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araBusqueda" sheetId="1" r:id="rId4"/>
    <sheet state="visible" name="Resumen" sheetId="2" r:id="rId5"/>
    <sheet state="visible" name="Cotizacion" sheetId="3" r:id="rId6"/>
    <sheet state="visible" name="Procesos" sheetId="4" r:id="rId7"/>
    <sheet state="visible" name="Rep Ovh Bal" sheetId="5" r:id="rId8"/>
    <sheet state="visible" name="Recurrentes 24-26" sheetId="6" r:id="rId9"/>
    <sheet state="visible" name="No Recurrentes 24-26" sheetId="7" r:id="rId10"/>
    <sheet state="visible" name="Pinzas Plateada" sheetId="8" r:id="rId11"/>
    <sheet state="hidden" name="Copia de Recurrentes(Lubricante" sheetId="9" r:id="rId12"/>
    <sheet state="visible" name="Lubricantes" sheetId="10" r:id="rId13"/>
    <sheet state="visible" name="PEDIDO GLOBAL" sheetId="11" r:id="rId14"/>
    <sheet state="visible" name="TDB_Plurianual" sheetId="12" r:id="rId15"/>
    <sheet state="hidden" name="ResumenGastoPorLineas" sheetId="13" r:id="rId16"/>
    <sheet state="visible" name="Resumenes Procesos" sheetId="14" r:id="rId17"/>
    <sheet state="visible" name="Resumen Partidas" sheetId="15" r:id="rId18"/>
  </sheets>
  <definedNames>
    <definedName localSheetId="8" name="TipoCambio">'Copia de Recurrentes(Lubricante'!$AX$1</definedName>
    <definedName name="CotizacionTDB">Cotizacion!$A$2:$E$1000</definedName>
    <definedName name="TipoCambio">'Recurrentes 24-26'!$AY$1</definedName>
    <definedName name="Multiplicador">Resumen!$E$1</definedName>
    <definedName hidden="1" localSheetId="0" name="_xlnm._FilterDatabase">ParaBusqueda!$A$1:$T$612</definedName>
    <definedName hidden="1" localSheetId="2" name="_xlnm._FilterDatabase">Cotizacion!$A$2:$M$536</definedName>
    <definedName hidden="1" localSheetId="3" name="_xlnm._FilterDatabase">Procesos!$A$5:$W$82</definedName>
    <definedName hidden="1" localSheetId="4" name="_xlnm._FilterDatabase">'Rep Ovh Bal'!$A$3:$BD$112</definedName>
    <definedName hidden="1" localSheetId="5" name="_xlnm._FilterDatabase">'Recurrentes 24-26'!$A$3:$CK$146</definedName>
    <definedName hidden="1" localSheetId="6" name="_xlnm._FilterDatabase">'No Recurrentes 24-26'!$A$3:$EI$379</definedName>
    <definedName hidden="1" localSheetId="8" name="_xlnm._FilterDatabase">'Copia de Recurrentes(Lubricante'!$A$3:$BE$149</definedName>
    <definedName hidden="1" localSheetId="9" name="_xlnm._FilterDatabase">Lubricantes!$A$2:$T$23</definedName>
    <definedName hidden="1" localSheetId="10" name="_xlnm._FilterDatabase">'PEDIDO GLOBAL'!$A$1:$CP$654</definedName>
    <definedName hidden="1" localSheetId="6" name="Z_C5D705B9_F9EB_4D3D_A6E5_962A9A1FF279_.wvu.FilterData">'No Recurrentes 24-26'!$C$3:$DV$383</definedName>
    <definedName hidden="1" localSheetId="6" name="Z_7AE31FDC_3B68_48EC_8144_6C60EFF4EC47_.wvu.FilterData">'No Recurrentes 24-26'!$C$3:$DV$383</definedName>
    <definedName hidden="1" localSheetId="6" name="Z_B75DF6C6_E18B_4B33_9D5F_0FC7F47689B0_.wvu.FilterData">'No Recurrentes 24-26'!$C$3:$DV$383</definedName>
    <definedName hidden="1" localSheetId="5" name="Z_C0B14D99_5A09_4773_B0A4_8BF91D71F9EE_.wvu.FilterData">'Recurrentes 24-26'!$C$3:$AY$151</definedName>
    <definedName hidden="1" localSheetId="6" name="Z_C0B14D99_5A09_4773_B0A4_8BF91D71F9EE_.wvu.FilterData">'No Recurrentes 24-26'!$C$3:$DV$383</definedName>
    <definedName hidden="1" localSheetId="8" name="Z_C0B14D99_5A09_4773_B0A4_8BF91D71F9EE_.wvu.FilterData">'Copia de Recurrentes(Lubricante'!$A$3:$AX$150</definedName>
    <definedName hidden="1" localSheetId="10" name="Z_C0B14D99_5A09_4773_B0A4_8BF91D71F9EE_.wvu.FilterData">'PEDIDO GLOBAL'!$A$1:$CM$654</definedName>
    <definedName hidden="1" localSheetId="10" name="Z_C0B14D99_5A09_4773_B0A4_8BF91D71F9EE_.wvu.FilterData">'PEDIDO GLOBAL'!$A$1:$CM$654</definedName>
  </definedNames>
  <calcPr/>
  <customWorkbookViews>
    <customWorkbookView activeSheetId="0" maximized="1" windowHeight="0" windowWidth="0" guid="{C5D705B9-F9EB-4D3D-A6E5-962A9A1FF279}" name="Filtro Para faltantes"/>
    <customWorkbookView activeSheetId="0" maximized="1" windowHeight="0" windowWidth="0" guid="{B75DF6C6-E18B-4B33-9D5F-0FC7F47689B0}" name="Faltantes"/>
    <customWorkbookView activeSheetId="0" maximized="1" windowHeight="0" windowWidth="0" guid="{C0B14D99-5A09-4773-B0A4-8BF91D71F9EE}" name="Filtro 1"/>
    <customWorkbookView activeSheetId="0" maximized="1" windowHeight="0" windowWidth="0" guid="{7AE31FDC-3B68-48EC-8144-6C60EFF4EC47}" name="Filtro 2"/>
  </customWorkbookViews>
  <pivotCaches>
    <pivotCache cacheId="0" r:id="rId19"/>
    <pivotCache cacheId="1" r:id="rId20"/>
    <pivotCache cacheId="2" r:id="rId21"/>
    <pivotCache cacheId="3" r:id="rId22"/>
    <pivotCache cacheId="4" r:id="rId23"/>
    <pivotCache cacheId="5" r:id="rId24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Se quita de las compras, se tienen existencias en todos los almacenes de lineas
	-Mantenimiento Departamento
----
Se tiene en stock TRM
	-Mantenimiento Departamento
----
Se tiene en su almacén en LCE
	-Nataly Challapa
----
Se baja de 172 a 24, para solo manto de palapadoras
	-Nataly Challapa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W12">
      <text>
        <t xml:space="preserve">10</t>
      </text>
    </comment>
    <comment authorId="0" ref="W18">
      <text>
        <t xml:space="preserve">23450</t>
      </text>
    </comment>
    <comment authorId="0" ref="AI18">
      <text>
        <t xml:space="preserve">23450</t>
      </text>
    </comment>
    <comment authorId="0" ref="W19">
      <text>
        <t xml:space="preserve">9.5</t>
      </text>
    </comment>
    <comment authorId="0" ref="W29">
      <text>
        <t xml:space="preserve">40</t>
      </text>
    </comment>
    <comment authorId="0" ref="W34">
      <text>
        <t xml:space="preserve">1600</t>
      </text>
    </comment>
    <comment authorId="0" ref="AI34">
      <text>
        <t xml:space="preserve">1600</t>
      </text>
    </comment>
    <comment authorId="0" ref="AU34">
      <text>
        <t xml:space="preserve">1600</t>
      </text>
    </comment>
    <comment authorId="0" ref="F20">
      <text>
        <t xml:space="preserve">Para las gestiones 2025-2026 se buscara otro proveedor
	-Mantenimiento Departamento</t>
      </text>
    </comment>
    <comment authorId="0" ref="L37">
      <text>
        <t xml:space="preserve">Se quita por stocks en almacenes de linea
	-Mantenimiento Departamento</t>
      </text>
    </comment>
    <comment authorId="0" ref="N95">
      <text>
        <t xml:space="preserve">Linea Verde Tiene 7u, coordinar transferencia
	-Mantenimiento Departamento</t>
      </text>
    </comment>
    <comment authorId="0" ref="X76">
      <text>
        <t xml:space="preserve">Se quita de todas las lineas, se asigna a morada el kit, se tendra para las lineas que se requieran
	-Mantenimiento Departamento</t>
      </text>
    </comment>
    <comment authorId="0" ref="J142">
      <text>
        <t xml:space="preserve">Se cambia a no recurrente
	-Mantenimiento Departamento</t>
      </text>
    </comment>
    <comment authorId="0" ref="U142">
      <text>
        <t xml:space="preserve">Se pide 1 para LVE
	-Nataly Challapa</t>
      </text>
    </comment>
    <comment authorId="0" ref="U116">
      <text>
        <t xml:space="preserve">Se pide 1 para LVE
	-Nataly Challapa</t>
      </text>
    </comment>
    <comment authorId="0" ref="U89">
      <text>
        <t xml:space="preserve">Se pide 1 para LVE
	-Nataly Challapa</t>
      </text>
    </comment>
    <comment authorId="0" ref="U25">
      <text>
        <t xml:space="preserve">Se pide 1 para LVE
	-Nataly Challapa</t>
      </text>
    </comment>
    <comment authorId="0" ref="U62">
      <text>
        <t xml:space="preserve">Se sube  de 0  a 1
	-Nataly Challapa</t>
      </text>
    </comment>
    <comment authorId="0" ref="U58">
      <text>
        <t xml:space="preserve">Se aumenta de 0 a 8
	-Nataly Challapa</t>
      </text>
    </comment>
    <comment authorId="0" ref="U51">
      <text>
        <t xml:space="preserve">Se baja de 50 a 30
	-Nataly Challapa</t>
      </text>
    </comment>
    <comment authorId="0" ref="U125">
      <text>
        <t xml:space="preserve">Se aumenta de 0 a 4
	-Nataly Challapa</t>
      </text>
    </comment>
    <comment authorId="0" ref="U41">
      <text>
        <t xml:space="preserve">Se aumenta de 0 a 8 pide para mantto, es del balancin de la palpadora
	-Nataly Challapa</t>
      </text>
    </comment>
    <comment authorId="0" ref="U130">
      <text>
        <t xml:space="preserve">Se aumenta de 0 a 4 pide para mantto, es del balancin de la palpadora
	-Nataly Challapa</t>
      </text>
    </comment>
    <comment authorId="0" ref="U135">
      <text>
        <t xml:space="preserve">Se aumenta de 0 a 2 pide para mantto, es del balancin de la palpadora
	-Nataly Challapa</t>
      </text>
    </comment>
    <comment authorId="0" ref="U9">
      <text>
        <t xml:space="preserve">Se tiene 40 unidades en subalmacen LVE
	-Nataly Challapa</t>
      </text>
    </comment>
    <comment authorId="0" ref="U113">
      <text>
        <t xml:space="preserve">Para mantto de palpadoras 2024
	-Nataly Challapa</t>
      </text>
    </comment>
    <comment authorId="0" ref="U139">
      <text>
        <t xml:space="preserve">Se aumenta de 0 a 8 por la cantidad de poleas palpadoras en LVE
	-Nataly Challapa</t>
      </text>
    </comment>
    <comment authorId="0" ref="U134">
      <text>
        <t xml:space="preserve">Se aumenta de 2 a 16 por la cantidad de poleas palpadoras en LVE.
	-Nataly Challapa</t>
      </text>
    </comment>
    <comment authorId="0" ref="U56">
      <text>
        <t xml:space="preserve">Se aumenta para ciclo de pínzas 2024
	-Nataly Challapa</t>
      </text>
    </comment>
    <comment authorId="0" ref="U83">
      <text>
        <t xml:space="preserve">NO SE TIENE EN SUBALMACEN DEBE LLEGAR 2024  PARA MANTTO PINZAS
	-Nataly Challapa</t>
      </text>
    </comment>
    <comment authorId="0" ref="U18">
      <text>
        <t xml:space="preserve">Se tiene 6Kg en subalamcen de LVE
	-Nataly Challapa</t>
      </text>
    </comment>
    <comment authorId="0" ref="AS38">
      <text>
        <t xml:space="preserve">Se sube de 64 a 136 para 17 cabinas y 8 por cabina
	-Nataly Challapa</t>
      </text>
    </comment>
    <comment authorId="0" ref="AS16">
      <text>
        <t xml:space="preserve">Se sibe de 128 a 280 el 2026, 16 u por cabina
	-Nataly Challapa</t>
      </text>
    </comment>
    <comment authorId="0" ref="AS10">
      <text>
        <t xml:space="preserve">Se sube de 9 a 12 el 2026, es la cantidad correcta para LVE
	-Nataly Challapa</t>
      </text>
    </comment>
    <comment authorId="0" ref="U17">
      <text>
        <t xml:space="preserve">Se Necesita 1 y 1/2 por Piñon corona, se aumenta de 12 a 30
	-Nataly Challapa</t>
      </text>
    </comment>
    <comment authorId="0" ref="R23">
      <text>
        <t xml:space="preserve">Se incrementa por no tener en stock para inicio de pinzas
	-Marcelo Arias</t>
      </text>
    </comment>
    <comment authorId="0" ref="AR93">
      <text>
        <t xml:space="preserve">se incrementa de 1 a 2
	-Marcelo Arias</t>
      </text>
    </comment>
    <comment authorId="0" ref="AP93">
      <text>
        <t xml:space="preserve">se incrementa de 1 a 4
	-Marcelo Arias</t>
      </text>
    </comment>
    <comment authorId="0" ref="R24">
      <text>
        <t xml:space="preserve">Se incrementa 50 para 2024 no se cuenta con stock para pinzas
	-Marcelo Arias</t>
      </text>
    </comment>
    <comment authorId="0" ref="R83">
      <text>
        <t xml:space="preserve">Se incrementa de 187 a 266 para pinza ciclo 9
	-Marcelo Arias</t>
      </text>
    </comment>
    <comment authorId="0" ref="Q65">
      <text>
        <t xml:space="preserve">se adiciona 1 pieza.
	-Edwin Flores Mamani</t>
      </text>
    </comment>
    <comment authorId="0" ref="S83">
      <text>
        <t xml:space="preserve">Se cuenta con 900pz. a la fecha 02/2024 en LCE, quitar tambien en LBL
	-Nataly Challapa
@apuntesgom@gmail.com Favor verificar
	-Mantenimiento Departamento</t>
      </text>
    </comment>
    <comment authorId="0" ref="S120">
      <text>
        <t xml:space="preserve">Se pide para el mantto anual 2024 LCE, deberia LBL aumentar tambien
	-Nataly Challapa</t>
      </text>
    </comment>
    <comment authorId="0" ref="S39">
      <text>
        <t xml:space="preserve">Se aumenta 2pz. al 2024
	-Nataly Challapa</t>
      </text>
    </comment>
    <comment authorId="0" ref="S137">
      <text>
        <t xml:space="preserve">Se baja de 6 a 2 pz. 2024
	-Nataly Challapa</t>
      </text>
    </comment>
    <comment authorId="0" ref="S23">
      <text>
        <t xml:space="preserve">Se aumenta 50pz 2024 PARA COMENZAR PINZAS 2024
	-Nataly Challapa</t>
      </text>
    </comment>
    <comment authorId="0" ref="S56">
      <text>
        <t xml:space="preserve">Se parte 5 pz. el 2024 y 5 pz el 2025 luego 10pz desde el 2026
	-Nataly Challapa</t>
      </text>
    </comment>
    <comment authorId="0" ref="S27">
      <text>
        <t xml:space="preserve">Se aumenta 1 pz. El 2024 para mantto pinzas 2024 y se rebaja de 6 a 3 el 2025 y 2026.
	-Nataly Challapa</t>
      </text>
    </comment>
    <comment authorId="0" ref="S24">
      <text>
        <t xml:space="preserve">Se aumenta 50 pz. al 2024 SE COMENZARA PINZAS CON ESA CANTIDAD el 2024
	-Nataly Challapa</t>
      </text>
    </comment>
    <comment authorId="0" ref="S44">
      <text>
        <t xml:space="preserve">Se aumenta 40 pz. al 2024 es para el cambio de lenguetas
	-Nataly Challapa</t>
      </text>
    </comment>
    <comment authorId="0" ref="S110">
      <text>
        <t xml:space="preserve">Se cuenta con 695pz. a la fecha 02/2024 en LCE
	-Nataly Challapa</t>
      </text>
    </comment>
    <comment authorId="0" ref="S103">
      <text>
        <t xml:space="preserve">Se aumneta 4 al 2024, considerar que se rebajo en los demas ITEMS
	-Nataly Challapa</t>
      </text>
    </comment>
    <comment authorId="0" ref="AE16">
      <text>
        <t xml:space="preserve">Se cuenta con 347pz. a la fecha 02/2024 en LCE tambien puede ser en LBL
	-Nataly Challapa
@apuntesgom@gmail.com  verificar
	-Mantenimiento Departamento</t>
      </text>
    </comment>
    <comment authorId="0" ref="S133">
      <text>
        <t xml:space="preserve">Se cuenta con 800pz. a la fecha 02/2024 en LCE tambien puede ser en LBL
	-Nataly Challapa
@apuntesgom@gmail.com  verificar
	-Mantenimiento Departamento</t>
      </text>
    </comment>
    <comment authorId="0" ref="S12">
      <text>
        <t xml:space="preserve">Se cuenta con 8 botes de 1Kg a la fecha 02/2024 en LCE y LBL, no seran necesarios los años 24,25 y 26
	-Nataly Challapa</t>
      </text>
    </comment>
    <comment authorId="0" ref="S144">
      <text>
        <t xml:space="preserve">Se aumenta de 8 a 14
	-Nataly Challapa</t>
      </text>
    </comment>
    <comment authorId="0" ref="U144">
      <text>
        <t xml:space="preserve">Se cambia de 4 a 12 el 2024, 2025,2026
	-Nataly Challapa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C220">
      <text>
        <t xml:space="preserve">Se tienen en existencias</t>
      </text>
    </comment>
    <comment authorId="0" ref="J353">
      <text>
        <t xml:space="preserve">Añadido para linea morada S1</t>
      </text>
    </comment>
    <comment authorId="0" ref="BS79">
      <text>
        <t xml:space="preserve">Se cambia de linea Roja a LAZ ERS1
	-Mantenimiento Departamento</t>
      </text>
    </comment>
    <comment authorId="0" ref="DV57">
      <text>
        <t xml:space="preserve">Se aclara que es el item según Roberto Orellana
	-Mantenimiento Departamento</t>
      </text>
    </comment>
    <comment authorId="0" ref="BJ244">
      <text>
        <t xml:space="preserve">Se utilizaran las tipo 2 o tipo 3 largas
	-Mantenimiento Departamento</t>
      </text>
    </comment>
    <comment authorId="0" ref="BG266">
      <text>
        <t xml:space="preserve">Se reduce por cantidades en lineas
	-Mantenimiento Departamento</t>
      </text>
    </comment>
    <comment authorId="0" ref="BC276">
      <text>
        <t xml:space="preserve">Se tiene en almacen 110u
	-Mantenimiento Departamento</t>
      </text>
    </comment>
    <comment authorId="0" ref="BW149">
      <text>
        <t xml:space="preserve">Se movieron 2 de 2024
	-Mantenimiento Departamento</t>
      </text>
    </comment>
    <comment authorId="0" ref="BF85">
      <text>
        <t xml:space="preserve">Se recorta solo se compra 1 a azul
	-Mantenimiento Departamento</t>
      </text>
    </comment>
    <comment authorId="0" ref="BF79">
      <text>
        <t xml:space="preserve">Se envia a 2025
	-Mantenimiento Departamento</t>
      </text>
    </comment>
    <comment authorId="0" ref="J79">
      <text>
        <t xml:space="preserve">Consultar Programacion para linea Roja
	-Mantenimiento Departamento</t>
      </text>
    </comment>
    <comment authorId="0" ref="BJ8">
      <text>
        <t xml:space="preserve">Se llevan al25
	-Mantenimiento Departamento</t>
      </text>
    </comment>
    <comment authorId="0" ref="BE7">
      <text>
        <t xml:space="preserve">Se mueve al 25
	-Mantenimiento Departamento</t>
      </text>
    </comment>
    <comment authorId="0" ref="BC5">
      <text>
        <t xml:space="preserve">Se Prestara de TRM
	-Mantenimiento Departamento</t>
      </text>
    </comment>
    <comment authorId="0" ref="J221">
      <text>
        <t xml:space="preserve">Revision Bomba Azul 2025
	-Mantenimiento Departamento
Consultar si es la bomba que se requiere
	-Mantenimiento Departamento</t>
      </text>
    </comment>
    <comment authorId="0" ref="BU72">
      <text>
        <t xml:space="preserve">Las baterias 
Se envian al 2025
	-Mantenimiento Departamento</t>
      </text>
    </comment>
    <comment authorId="0" ref="BE274">
      <text>
        <t xml:space="preserve">Se realizara la transferencia de linea verde
	-Mantenimiento Departamento</t>
      </text>
    </comment>
    <comment authorId="0" ref="BL175">
      <text>
        <t xml:space="preserve">Se quita por el precio
	-Mantenimiento Departamento</t>
      </text>
    </comment>
    <comment authorId="0" ref="CH175">
      <text>
        <t xml:space="preserve">Se quita por el precio.
	-Mantenimiento Departamento</t>
      </text>
    </comment>
    <comment authorId="0" ref="BE174">
      <text>
        <t xml:space="preserve">Se quita, para buscar una alternativa local de compra
	-Mantenimiento Departamento</t>
      </text>
    </comment>
    <comment authorId="0" ref="BL160">
      <text>
        <t xml:space="preserve">Se pide 1 unidad para estudio y buscar alguna solucion para reemplazar este repuesto
	-Mantenimiento Departamento</t>
      </text>
    </comment>
    <comment authorId="0" ref="BL9">
      <text>
        <t xml:space="preserve">Se pide 1 el 2025
	-Nataly Challapa</t>
      </text>
    </comment>
    <comment authorId="0" ref="BW377">
      <text>
        <t xml:space="preserve">Se adiciona 2 para el 2025
	-Nataly Challapa</t>
      </text>
    </comment>
    <comment authorId="0" ref="BW365">
      <text>
        <t xml:space="preserve">Se aumenta 2 el 2025
	-Nataly Challapa</t>
      </text>
    </comment>
    <comment authorId="0" ref="BW5">
      <text>
        <t xml:space="preserve">Se aumenta 20 el 2025
	-Nataly Challapa
Se añaden en stock TRM
	-Mantenimiento Departamento</t>
      </text>
    </comment>
    <comment authorId="0" ref="BL258">
      <text>
        <t xml:space="preserve">Se aumenta 10 el 2024
	-Nataly Challapa</t>
      </text>
    </comment>
    <comment authorId="0" ref="BL170">
      <text>
        <t xml:space="preserve">Se aumenta 3 el 2024
	-Nataly Challapa</t>
      </text>
    </comment>
    <comment authorId="0" ref="BW330">
      <text>
        <t xml:space="preserve">Se aumenta 1 el 2025
	-Nataly Challapa</t>
      </text>
    </comment>
    <comment authorId="0" ref="CH312">
      <text>
        <t xml:space="preserve">Se auemnta 4 el 2026
	-Nataly Challapa</t>
      </text>
    </comment>
    <comment authorId="0" ref="BI267">
      <text>
        <t xml:space="preserve">para PINZAS CICLO 10. sin stock
	-Marcelo Arias</t>
      </text>
    </comment>
    <comment authorId="0" ref="BI251">
      <text>
        <t xml:space="preserve">1 PARA DEVOLUCION A LVE. 1 PARA REPONER A CABINA 153. 2 PARA STOCK actual sin stock
	-Marcelo Arias</t>
      </text>
    </comment>
    <comment authorId="0" ref="BI249">
      <text>
        <t xml:space="preserve">para pinzas ciclo 9
	-Marcelo Arias</t>
      </text>
    </comment>
    <comment authorId="0" ref="CH310">
      <text>
        <t xml:space="preserve">Se aumenta 1 el 2026
	-Nataly Challapa</t>
      </text>
    </comment>
    <comment authorId="0" ref="BI247">
      <text>
        <t xml:space="preserve">para CAMBIO de MORDAZAS Y PINZAS CICLO 9. SIN STOCK EN ALMACENES
	-Marcelo Arias</t>
      </text>
    </comment>
    <comment authorId="0" ref="BK245">
      <text>
        <t xml:space="preserve">para Ciclo 9 Pinzas
	-Marcelo Arias</t>
      </text>
    </comment>
    <comment authorId="0" ref="BI245">
      <text>
        <t xml:space="preserve">para Ciclo 9 Pinzas -y  devolución a LVE
	-Marcelo Arias</t>
      </text>
    </comment>
    <comment authorId="0" ref="BI243">
      <text>
        <t xml:space="preserve">para PINZAS de CICLO 9. SIN STOCK
	-Marcelo Arias</t>
      </text>
    </comment>
    <comment authorId="0" ref="BI270">
      <text>
        <t xml:space="preserve">para PINZAS CICLO 9. y  PARA CAMBIO EN OBSERVADAS del CICLO 8
	-Marcelo Arias
Se quitan cantidades, se tiene en linea verde, se realizara traspaso
	-Mantenimiento Departamento</t>
      </text>
    </comment>
    <comment authorId="0" ref="BK153">
      <text>
        <t xml:space="preserve">Se incrementa de 0 a 26. Mantenimiento anual de puertas y stock. pendientes a cambio
	-Marcelo Arias</t>
      </text>
    </comment>
    <comment authorId="0" ref="BI153">
      <text>
        <t xml:space="preserve">Se incrementa de 0 a 133. Mantenimiento anual de puertas y stock. pendientes a cambio
	-Marcelo Arias</t>
      </text>
    </comment>
    <comment authorId="0" ref="BL333">
      <text>
        <t xml:space="preserve">Se aumenta 2 el 2024
	-Nataly Challapa</t>
      </text>
    </comment>
    <comment authorId="0" ref="BW331">
      <text>
        <t xml:space="preserve">Se aumenta 10 el 2025
	-Nataly Challapa</t>
      </text>
    </comment>
    <comment authorId="0" ref="CH279">
      <text>
        <t xml:space="preserve">Para cambios grandes de correas en LVE
	-Nataly Challapa</t>
      </text>
    </comment>
    <comment authorId="0" ref="J33">
      <text>
        <t xml:space="preserve">Este repuesto tambien se usa en las cadenas de KFE y KFA de LCE
	-Nataly Challapa</t>
      </text>
    </comment>
    <comment authorId="0" ref="BI18">
      <text>
        <t xml:space="preserve">Se incrementa 2;  1 para cambio. 1 para stock
	-Marcelo Arias</t>
      </text>
    </comment>
    <comment authorId="0" ref="BJ41">
      <text>
        <t xml:space="preserve">Para mantto de KFE y KFA, segun requerimiento
	-Nataly Challapa</t>
      </text>
    </comment>
    <comment authorId="0" ref="CH295">
      <text>
        <t xml:space="preserve">Se aumenta 20 pz. para el 2026
	-Nataly Challapa</t>
      </text>
    </comment>
    <comment authorId="0" ref="BI83">
      <text>
        <t xml:space="preserve">1. pendiente reemplazo. 1 para stock
	-Marcelo Arias</t>
      </text>
    </comment>
    <comment authorId="0" ref="BI59">
      <text>
        <t xml:space="preserve">Se reduce de 2 a 1
	-Marcelo Arias</t>
      </text>
    </comment>
    <comment authorId="0" ref="CH203">
      <text>
        <t xml:space="preserve">Se pide 1 para el 2026
	-Nataly Challapa</t>
      </text>
    </comment>
    <comment authorId="0" ref="BI377">
      <text>
        <t xml:space="preserve">Para Stock
	-Marcelo Arias</t>
      </text>
    </comment>
    <comment authorId="0" ref="BK377">
      <text>
        <t xml:space="preserve">1. devolución LMO. 1 para Stock
	-Marcelo Arias</t>
      </text>
    </comment>
    <comment authorId="0" ref="BK163">
      <text>
        <t xml:space="preserve">Para mantenimiento anual de mecanismo puertas. sin stock
	-Marcelo Arias</t>
      </text>
    </comment>
    <comment authorId="0" ref="BI163">
      <text>
        <t xml:space="preserve">Para mantenimiento anual de mecanismo puertas. sin stock
	-Marcelo Arias</t>
      </text>
    </comment>
    <comment authorId="0" ref="BK21">
      <text>
        <t xml:space="preserve">no se cuenta con stock
	-Marcelo Arias</t>
      </text>
    </comment>
    <comment authorId="0" ref="BI21">
      <text>
        <t xml:space="preserve">no se cuenta con stock
	-Marcelo Arias</t>
      </text>
    </comment>
    <comment authorId="0" ref="BK365">
      <text>
        <t xml:space="preserve">Se reduce 5 de 10
	-Marcelo Arias
Se quita de pedido
	-Mantenimiento Departamento</t>
      </text>
    </comment>
    <comment authorId="0" ref="BK314">
      <text>
        <t xml:space="preserve">no se cuenta con stock
	-Marcelo Arias</t>
      </text>
    </comment>
    <comment authorId="0" ref="BK95">
      <text>
        <t xml:space="preserve">se incrementa de 1, no se cuenta con stock
	-Marcelo Arias</t>
      </text>
    </comment>
    <comment authorId="0" ref="BI95">
      <text>
        <t xml:space="preserve">se incrementa de 1, no se cuenta con stock
	-Marcelo Arias</t>
      </text>
    </comment>
    <comment authorId="0" ref="CH183">
      <text>
        <t xml:space="preserve">Se aumenta 1 el 2026
	-Nataly Challapa</t>
      </text>
    </comment>
    <comment authorId="0" ref="BI45">
      <text>
        <t xml:space="preserve">Se incrementa 1 mínimo para dos garajes
	-Marcelo Arias</t>
      </text>
    </comment>
    <comment authorId="0" ref="CH186">
      <text>
        <t xml:space="preserve">Se aumenta 1 el 2026
	-Nataly Challapa</t>
      </text>
    </comment>
    <comment authorId="0" ref="BI93">
      <text>
        <t xml:space="preserve">Se incrementa 1 mínimo para dos garajes
	-Marcelo Arias</t>
      </text>
    </comment>
    <comment authorId="0" ref="BL148">
      <text>
        <t xml:space="preserve">Se aumenta 2 el 2024, es lo que se necesita en LVE
	-Nataly Challapa</t>
      </text>
    </comment>
    <comment authorId="0" ref="BK369">
      <text>
        <t xml:space="preserve">Se incrementa para trabajo anual eléctrica en torres
	-Marcelo Arias</t>
      </text>
    </comment>
    <comment authorId="0" ref="BI369">
      <text>
        <t xml:space="preserve">Se incrementa para trabajo anual eléctrica en torres
	-Marcelo Arias</t>
      </text>
    </comment>
    <comment authorId="0" ref="BW131">
      <text>
        <t xml:space="preserve">Se aumenta 1 el 2025
	-Nataly Challapa</t>
      </text>
    </comment>
    <comment authorId="0" ref="BW99">
      <text>
        <t xml:space="preserve">Se aumenta 1 el 2025
	-Nataly Challapa</t>
      </text>
    </comment>
    <comment authorId="0" ref="BW126">
      <text>
        <t xml:space="preserve">Se aumenta 1 el 2025
	-Nataly Challapa</t>
      </text>
    </comment>
    <comment authorId="0" ref="BW119">
      <text>
        <t xml:space="preserve">Se pide 1 el 2025
	-Nataly Challapa</t>
      </text>
    </comment>
    <comment authorId="0" ref="BL88">
      <text>
        <t xml:space="preserve">Se auemnta 2 el 2024
	-Nataly Challapa</t>
      </text>
    </comment>
    <comment authorId="0" ref="BW113">
      <text>
        <t xml:space="preserve">Se pide 1 el 2025
	-Nataly Challapa</t>
      </text>
    </comment>
    <comment authorId="0" ref="BL83">
      <text>
        <t xml:space="preserve">Se aumenta de 1 a 2 el 2024
	-Nataly Challapa</t>
      </text>
    </comment>
    <comment authorId="0" ref="BW86">
      <text>
        <t xml:space="preserve">Se pide 1 el 2025
	-Nataly Challapa</t>
      </text>
    </comment>
    <comment authorId="0" ref="BW85">
      <text>
        <t xml:space="preserve">Se pide 1 el 2025
	-Nataly Challapa</t>
      </text>
    </comment>
    <comment authorId="0" ref="BW89">
      <text>
        <t xml:space="preserve">Se aumenta 1 el 2025
	-Nataly Challapa</t>
      </text>
    </comment>
    <comment authorId="0" ref="BW84">
      <text>
        <t xml:space="preserve">Se aumenta 1 el 2025
	-Nataly Challapa</t>
      </text>
    </comment>
    <comment authorId="0" ref="BW90">
      <text>
        <t xml:space="preserve">Se aumenta 1 el 2025
	-Nataly Challapa</t>
      </text>
    </comment>
    <comment authorId="0" ref="BL75">
      <text>
        <t xml:space="preserve">Se aumenta 2 en 2024
	-Nataly Challapa</t>
      </text>
    </comment>
    <comment authorId="0" ref="J59">
      <text>
        <t xml:space="preserve">Verificar que sea solo UN DISCO, tiene un precio ALTO
	-Nataly Challapa</t>
      </text>
    </comment>
    <comment authorId="0" ref="BJ59">
      <text>
        <t xml:space="preserve">Se reduce por el precio de 2 a 1
	-Nataly Challapa</t>
      </text>
    </comment>
    <comment authorId="0" ref="BJ30">
      <text>
        <t xml:space="preserve">PAra cambio de 60 piezas las mas desgastadas el 2024 y otro tanto el 2026
	-Nataly Challapa</t>
      </text>
    </comment>
    <comment authorId="0" ref="BJ46">
      <text>
        <t xml:space="preserve">Mantto de la KFE y KFA de LCE, solo cambio de ser necesario.
	-Nataly Challapa</t>
      </text>
    </comment>
    <comment authorId="0" ref="BW29">
      <text>
        <t xml:space="preserve">Se pide 2 el 2025
	-Nataly Challapa</t>
      </text>
    </comment>
    <comment authorId="0" ref="BU29">
      <text>
        <t xml:space="preserve">Se pide 2 el 2025
	-Nataly Challapa</t>
      </text>
    </comment>
    <comment authorId="0" ref="BW28">
      <text>
        <t xml:space="preserve">Se pide 2 el 2025
	-Nataly Challapa</t>
      </text>
    </comment>
    <comment authorId="0" ref="CH4">
      <text>
        <t xml:space="preserve">Se mueve de 2024 a 2026, ya que se cambio el 2022 a toda la linea
	-Nataly Challapa</t>
      </text>
    </comment>
    <comment authorId="0" ref="BS381">
      <text>
        <t xml:space="preserve">se adiciona 2 piezas
	-Edwin Flores Mamani</t>
      </text>
    </comment>
    <comment authorId="0" ref="BS376">
      <text>
        <t xml:space="preserve">se adiciona 2 piezas
	-Edwin Flores Mamani</t>
      </text>
    </comment>
    <comment authorId="0" ref="BR381">
      <text>
        <t xml:space="preserve">se adiciona 2 piezas
	-Edwin Flores Mamani</t>
      </text>
    </comment>
    <comment authorId="0" ref="BR376">
      <text>
        <t xml:space="preserve">se adiciona 2 piezas
	-Edwin Flores Mamani</t>
      </text>
    </comment>
    <comment authorId="0" ref="BQ381">
      <text>
        <t xml:space="preserve">se adiciona 1 pieza
	-Edwin Flores Mamani</t>
      </text>
    </comment>
    <comment authorId="0" ref="BQ376">
      <text>
        <t xml:space="preserve">se adiciona 1 pieza
	-Edwin Flores Mamani</t>
      </text>
    </comment>
    <comment authorId="0" ref="BH336">
      <text>
        <t xml:space="preserve">se adiciona 1 pieza.
	-Edwin Flores Mamani</t>
      </text>
    </comment>
    <comment authorId="0" ref="BG336">
      <text>
        <t xml:space="preserve">se adiciona 1 pieza.
	-Edwin Flores Mamani</t>
      </text>
    </comment>
    <comment authorId="0" ref="BF336">
      <text>
        <t xml:space="preserve">se adiciona 1 pieza.
	-Edwin Flores Mamani</t>
      </text>
    </comment>
    <comment authorId="0" ref="J292">
      <text>
        <t xml:space="preserve">aclarar que actualmente se tiene estos pernos en toda la RIM con cabeza para llave 18 y 19, se debe solicitar para una sola medida (19 mm.)
	-Edwin Flores Mamani</t>
      </text>
    </comment>
    <comment authorId="0" ref="BE382">
      <text>
        <t xml:space="preserve">Lampara  lD 10411702
	-Erick Carrasco
Nueva Cotización?
	-Mantenimiento Departamento</t>
      </text>
    </comment>
    <comment authorId="0" ref="BH258">
      <text>
        <t xml:space="preserve">se adiciona porque se solicito en al ajuste anterior.
se recomienda compra local.
	-Edwin Flores Mamani</t>
      </text>
    </comment>
    <comment authorId="0" ref="BG258">
      <text>
        <t xml:space="preserve">se adiciona porque se solicito en al ajuste anterior.
se recomienda compra local.
	-Edwin Flores Mamani</t>
      </text>
    </comment>
    <comment authorId="0" ref="BF258">
      <text>
        <t xml:space="preserve">se adiciona porque se solicito en al ajuste anterior.
se recomienda compra local.
	-Edwin Flores Mamani</t>
      </text>
    </comment>
    <comment authorId="0" ref="BS254">
      <text>
        <t xml:space="preserve">se adiciona 168 piezas.
	-Edwin Flores Mamani</t>
      </text>
    </comment>
    <comment authorId="0" ref="BS251">
      <text>
        <t xml:space="preserve">se adiciona 2 piezas.
	-Edwin Flores Mamani</t>
      </text>
    </comment>
    <comment authorId="0" ref="BR251">
      <text>
        <t xml:space="preserve">se adiciona 2 piezas.
	-Edwin Flores Mamani</t>
      </text>
    </comment>
    <comment authorId="0" ref="BQ251">
      <text>
        <t xml:space="preserve">se adiciona 2 piezas.
	-Edwin Flores Mamani</t>
      </text>
    </comment>
    <comment authorId="0" ref="J251">
      <text>
        <t xml:space="preserve">Segun planos esta con el ID: 10958263
	-Edwin Flores Mamani
Es necesario verificar con TDB, al parecer la descripción en la ultima cotización coincide
	-Mantenimiento Departamento</t>
      </text>
    </comment>
    <comment authorId="0" ref="J264">
      <text>
        <t xml:space="preserve">Se solicito las siguientes cantidades, pero no figuran en esta lista.
Roja= 1100
Naranja= 1260
Azul= 2080
Una compra local nos sale mas economico.
	-Edwin Flores Mamani
Se recomendara compra local
	-Mantenimiento Departamento</t>
      </text>
    </comment>
    <comment authorId="0" ref="J175">
      <text>
        <t xml:space="preserve">no justifica el precio, este item puede ser comprado localmente como anteriores ocasiones.
	-Edwin Flores Mamani</t>
      </text>
    </comment>
    <comment authorId="0" ref="BF114">
      <text>
        <t xml:space="preserve">se retira en item.
	-Edwin Flores Mamani
@erickh.carrasco@gmail.com , es posible retirar este item?
	-Mantenimiento Departamento</t>
      </text>
    </comment>
    <comment authorId="0" ref="J157">
      <text>
        <t xml:space="preserve">Solicitar el despiece de estos brazos, ya que solamente necesitamos algunas piezas y no tanto los brazos en su conjunto.
	-Edwin Flores Mamani</t>
      </text>
    </comment>
    <comment authorId="0" ref="J80">
      <text>
        <t xml:space="preserve">Lineas roja, naranja y azul pidieron este item con el ID: 10867451 para la gestion 2024
	-Edwin Flores Mamani
Estos contactoires peuden rescatarse con KITs de repuestos
	-Nataly Challapa
_Marcado como resuelto_
	-Mantenimiento Departamento
_Reabierto_
	-Mantenimiento Departamento</t>
      </text>
    </comment>
    <comment authorId="0" ref="J112">
      <text>
        <t xml:space="preserve">Linea azul requiere la version 1, porque con el de la version 2 no arranca el sistema.
Se retira el item.
	-Edwin Flores Mamani</t>
      </text>
    </comment>
    <comment authorId="0" ref="J57">
      <text>
        <t xml:space="preserve">Corroborar si el item cotizado corresponde solo al plato dentado del embrague.
Por el precio al parecer nos estan cotizando el embrague completo.
	-Edwin Flores Mamani
Al parecer es solo un disco, verificar
	-Nataly Challapa</t>
      </text>
    </comment>
    <comment authorId="0" ref="BG83">
      <text>
        <t xml:space="preserve">se reduce de 9 a 5.
	-Edwin Flores Mamani</t>
      </text>
    </comment>
    <comment authorId="0" ref="BH83">
      <text>
        <t xml:space="preserve">se reduce de 10 a 5
	-Edwin Flores Mamani</t>
      </text>
    </comment>
    <comment authorId="0" ref="BD256">
      <text>
        <t xml:space="preserve">Lengueta tipo 2 con ID 10765094
	-Erick Carrasco</t>
      </text>
    </comment>
    <comment authorId="0" ref="BC256">
      <text>
        <t xml:space="preserve">Lengueta tipo 2 con ID 10765094
	-Erick Carrasco</t>
      </text>
    </comment>
    <comment authorId="0" ref="BQ377">
      <text>
        <t xml:space="preserve">se adiciona 1 pieza para el 2025
	-Edwin Flores Mamani</t>
      </text>
    </comment>
    <comment authorId="0" ref="BS377">
      <text>
        <t xml:space="preserve">se adiciona 1 pieza para el 2025
	-Edwin Flores Mamani</t>
      </text>
    </comment>
    <comment authorId="0" ref="BR377">
      <text>
        <t xml:space="preserve">se adiciona 2 piezas para el 2025
	-Edwin Flores Mamani</t>
      </text>
    </comment>
    <comment authorId="0" ref="BR187">
      <text>
        <t xml:space="preserve">se adiciona 1 para el 2025
	-Edwin Flores Mamani</t>
      </text>
    </comment>
    <comment authorId="0" ref="BQ187">
      <text>
        <t xml:space="preserve">se adiciona 1 para el 2025
	-Edwin Flores Mamani</t>
      </text>
    </comment>
    <comment authorId="0" ref="J183">
      <text>
        <t xml:space="preserve">Corresponde el mismo elemento para las filas 117 y 118.
	-Edwin Flores Mamani</t>
      </text>
    </comment>
    <comment authorId="0" ref="J219">
      <text>
        <t xml:space="preserve">Corresponde el mismo elemento para las filas 117 y 118.
	-Edwin Flores Mamani</t>
      </text>
    </comment>
    <comment authorId="0" ref="BF171">
      <text>
        <t xml:space="preserve">Se reduce de 3 a 1.
	-Edwin Flores Mamani</t>
      </text>
    </comment>
    <comment authorId="0" ref="BG171">
      <text>
        <t xml:space="preserve">Reducir de 5 a 2
	-Edwin Flores Mamani</t>
      </text>
    </comment>
    <comment authorId="0" ref="BH171">
      <text>
        <t xml:space="preserve">Reducir de 6 a 1
	-Edwin Flores Mamani</t>
      </text>
    </comment>
    <comment authorId="0" ref="BC182">
      <text>
        <t xml:space="preserve">Actualmente hay uno en almacen, del cual podemos disponer
	-Erick Carrasco</t>
      </text>
    </comment>
    <comment authorId="0" ref="J43">
      <text>
        <t xml:space="preserve">lineas roja, naranja y azul pidio este item para torres.
	-Edwin Flores Mamani</t>
      </text>
    </comment>
    <comment authorId="0" ref="J320">
      <text>
        <t xml:space="preserve">Ver la posibilidad de comprar localmente y solo es necesario comprar la esponja
	-Edwin Flores Mamani</t>
      </text>
    </comment>
    <comment authorId="0" ref="CB335">
      <text>
        <t xml:space="preserve">Se reduce de 8 a 0
	-Edwin Flores Mamani</t>
      </text>
    </comment>
    <comment authorId="0" ref="CC335">
      <text>
        <t xml:space="preserve">Se reduce de 8 a 0
	-Edwin Flores Mamani</t>
      </text>
    </comment>
    <comment authorId="0" ref="BN154">
      <text>
        <t xml:space="preserve">Evaluar una alternativa mejor en el medio local (de poliouterano)
	-Erick Carrasco</t>
      </text>
    </comment>
    <comment authorId="0" ref="BC154">
      <text>
        <t xml:space="preserve">Evaluar una alternativa mejor en el medio local (de poliouterano)
	-Erick Carrasco
Se mueve a 2024
	-Mantenimiento Departamento</t>
      </text>
    </comment>
    <comment authorId="0" ref="BH169">
      <text>
        <t xml:space="preserve">LAZ no realizo el pedido, el item corresponde al acoplamiento del volante
	-Edwin Flores Mamani</t>
      </text>
    </comment>
    <comment authorId="0" ref="E146">
      <text>
        <t xml:space="preserve">es 
Hidraulico
	-Erick Carrasco</t>
      </text>
    </comment>
    <comment authorId="0" ref="CC344">
      <text>
        <t xml:space="preserve">Se reduce a 0 piezas.
	-Edwin Flores Mamani</t>
      </text>
    </comment>
    <comment authorId="0" ref="CB344">
      <text>
        <t xml:space="preserve">Se reduce a 0 piezas.
	-Edwin Flores Mamani</t>
      </text>
    </comment>
    <comment authorId="0" ref="BG344">
      <text>
        <t xml:space="preserve">Se reduce a 0 piezas.
	-Edwin Flores Mamani</t>
      </text>
    </comment>
    <comment authorId="0" ref="BF344">
      <text>
        <t xml:space="preserve">Se reduce a 0 piezas.
	-Edwin Flores Mamani</t>
      </text>
    </comment>
    <comment authorId="0" ref="BH348">
      <text>
        <t xml:space="preserve">Se reduce de 6 a 4 piezas.
	-Edwin Flores Mamani</t>
      </text>
    </comment>
    <comment authorId="0" ref="J275">
      <text>
        <t xml:space="preserve">SUGERENCIA:
se plantea tornear la polea, reduciendo su diametro a la medida del canal de la correa, esta accion podria alargar la vida util de esta polea.
	-Edwin Flores Mamani</t>
      </text>
    </comment>
    <comment authorId="0" ref="BH275">
      <text>
        <t xml:space="preserve">Se lo traslada a la gestion 2025
	-Edwin Flores Mamani</t>
      </text>
    </comment>
    <comment authorId="0" ref="BG275">
      <text>
        <t xml:space="preserve">Se lo traslada a la gestion 2025
	-Edwin Flores Mamani</t>
      </text>
    </comment>
    <comment authorId="0" ref="CD314">
      <text>
        <t xml:space="preserve">Se reduce de 2 a 1 pieza
	-Edwin Flores Mamani</t>
      </text>
    </comment>
    <comment authorId="0" ref="CC314">
      <text>
        <t xml:space="preserve">Se reduce de 2 a 1 pieza
	-Edwin Flores Mamani</t>
      </text>
    </comment>
    <comment authorId="0" ref="CB314">
      <text>
        <t xml:space="preserve">Se reduce de 2 a 1 pieza
	-Edwin Flores Mamani</t>
      </text>
    </comment>
    <comment authorId="0" ref="BH314">
      <text>
        <t xml:space="preserve">Se reduce de 2 a 1 pieza
	-Edwin Flores Mamani</t>
      </text>
    </comment>
    <comment authorId="0" ref="BG314">
      <text>
        <t xml:space="preserve">Se reduce de 2 a 1 pieza
	-Edwin Flores Mamani</t>
      </text>
    </comment>
    <comment authorId="0" ref="BF314">
      <text>
        <t xml:space="preserve">Se reduce de 2 a 1 pieza
	-Edwin Flores Mamani</t>
      </text>
    </comment>
    <comment authorId="0" ref="BH201">
      <text>
        <t xml:space="preserve">Las 8 piezas que pide la linea azul, se lo distribuye entre las lineas roja, naranja y azul.
	-Edwin Flores Mamani</t>
      </text>
    </comment>
    <comment authorId="0" ref="J269">
      <text>
        <t xml:space="preserve">Consultar a TDB con que frecuencia se deben cambiar las tuercas del paquete de muelle (pinza), considerando que realizamos el desmontaje de la pinza 1 vez por año.
	-Edwin Flores Mamani
@a.m.carrascoch@gmail.com Favor realizar la consulta del repuesto indicado
	-Mantenimiento Departamento
Se requiere la tuerca M18 corta
	-Mantenimiento Departamento</t>
      </text>
    </comment>
    <comment authorId="0" ref="BH149">
      <text>
        <t xml:space="preserve">Se lo traslada a la gestion 2026 las 2 piezas.
	-Edwin Flores Mamani</t>
      </text>
    </comment>
    <comment authorId="0" ref="BG149">
      <text>
        <t xml:space="preserve">Se lo traslada a la gestion 2026 las 2 piezas.
	-Edwin Flores Mamani</t>
      </text>
    </comment>
    <comment authorId="0" ref="BF149">
      <text>
        <t xml:space="preserve">Se lo traslada a la gestion 2026 las 2 piezas.
	-Edwin Flores Mamani</t>
      </text>
    </comment>
    <comment authorId="0" ref="J95">
      <text>
        <t xml:space="preserve">Compra local
	-Edwin Flores Mamani</t>
      </text>
    </comment>
    <comment authorId="0" ref="BE296">
      <text>
        <t xml:space="preserve">las lineas de fase 1 y fase 2 cuentan con este accesorio.
segun el ID son para tensar correas en los tramos rectos.
	-Edwin Flores Mamani</t>
      </text>
    </comment>
    <comment authorId="0" ref="BJ251">
      <text>
        <t xml:space="preserve">Se aunenta de 0 a 1
	-Nataly Challapa</t>
      </text>
    </comment>
    <comment authorId="0" ref="BJ351">
      <text>
        <t xml:space="preserve">Se aumenta de 0 a 50 a 2024
	-Nataly Challapa</t>
      </text>
    </comment>
    <comment authorId="0" ref="BU153">
      <text>
        <t xml:space="preserve">Se aumneta 156 en 2024 y 2026
	-Nataly Challapa</t>
      </text>
    </comment>
    <comment authorId="0" ref="BJ153">
      <text>
        <t xml:space="preserve">Se aumenta de 0 a 156 en 2024 y 2026
	-Nataly Challapa</t>
      </text>
    </comment>
    <comment authorId="0" ref="BJ139">
      <text>
        <t xml:space="preserve">Se baja de 0 a 1
	-Nataly Challapa</t>
      </text>
    </comment>
    <comment authorId="0" ref="CF368">
      <text>
        <t xml:space="preserve">Se baja de 10 a 0
	-Nataly Challapa</t>
      </text>
    </comment>
    <comment authorId="0" ref="BJ368">
      <text>
        <t xml:space="preserve">Se baja de 10 a 0
	-Nataly Challapa</t>
      </text>
    </comment>
    <comment authorId="0" ref="BJ187">
      <text>
        <t xml:space="preserve">Se baja de 3 a 1
	-Nataly Challapa</t>
      </text>
    </comment>
    <comment authorId="0" ref="BJ10">
      <text>
        <t xml:space="preserve">Se reduce de 8 a 5
	-Nataly Challapa</t>
      </text>
    </comment>
    <comment authorId="0" ref="BJ365">
      <text>
        <t xml:space="preserve">Se quita 20 pz.
	-Nataly Challapa</t>
      </text>
    </comment>
    <comment authorId="0" ref="BW343">
      <text>
        <t xml:space="preserve">Se pide solo 1 el 2025
	-Nataly Challapa</t>
      </text>
    </comment>
    <comment authorId="0" ref="BJ33">
      <text>
        <t xml:space="preserve">Se aumenta para Mantenimiento de KFE y KFA
	-Nataly Challapa</t>
      </text>
    </comment>
    <comment authorId="0" ref="BH190">
      <text>
        <t xml:space="preserve">Se adquirirá 4 en 2024 y 4 en 2026? @edwinetm1@gmail.com
_Asignado a edwinetm1@gmail.com_
	-Mantenimiento Departamento</t>
      </text>
    </comment>
    <comment authorId="0" ref="BW61">
      <text>
        <t xml:space="preserve">Se pide 1 el 2025
	-Nataly Challapa</t>
      </text>
    </comment>
    <comment authorId="0" ref="BW60">
      <text>
        <t xml:space="preserve">Se pide 1 el 2025
	-Nataly Challapa</t>
      </text>
    </comment>
    <comment authorId="0" ref="BW57">
      <text>
        <t xml:space="preserve">Se pide 1 el 2025
	-Nataly Challapa</t>
      </text>
    </comment>
    <comment authorId="0" ref="BW59">
      <text>
        <t xml:space="preserve">Se pide 1 el 2025
	-Nataly Challapa</t>
      </text>
    </comment>
    <comment authorId="0" ref="BW47">
      <text>
        <t xml:space="preserve">Se pide 8 el 2025
	-Nataly Challapa</t>
      </text>
    </comment>
    <comment authorId="0" ref="BW34">
      <text>
        <t xml:space="preserve">Se pide 4 el 2025
	-Nataly Challapa</t>
      </text>
    </comment>
    <comment authorId="0" ref="BL39">
      <text>
        <t xml:space="preserve">Se borra el pedido
	-Nataly Challapa</t>
      </text>
    </comment>
    <comment authorId="0" ref="BW17">
      <text>
        <t xml:space="preserve">Solo 2 el 2025
	-Nataly Challapa</t>
      </text>
    </comment>
    <comment authorId="0" ref="BW13">
      <text>
        <t xml:space="preserve">Se pide solo 14 el 2025
	-Nataly Challapa</t>
      </text>
    </comment>
    <comment authorId="0" ref="BW11">
      <text>
        <t xml:space="preserve">Se pide solo 16 el 2025
	-Nataly Challapa</t>
      </text>
    </comment>
    <comment authorId="0" ref="BW8">
      <text>
        <t xml:space="preserve">Se pide solo 2 el 2025
	-Nataly Challapa</t>
      </text>
    </comment>
    <comment authorId="0" ref="BW10">
      <text>
        <t xml:space="preserve">Se cambia de 2024 a 2025
	-Nataly Challapa</t>
      </text>
    </comment>
    <comment authorId="0" ref="BP4">
      <text>
        <t xml:space="preserve">Se mueven para la gestión 2025.
	-Mantenimiento Departamento</t>
      </text>
    </comment>
    <comment authorId="0" ref="J109">
      <text>
        <t xml:space="preserve">El precio para este socalo es muy elevado, aparentemente el ID no corresponde.
el ID correcto es: 10257510
	-Edwin Flores Mamani
El precio historico del item del portafusible es 59.86, es item: PORTAFUSIBLE RSS 214 14POLAR ARTICULO N°:180050 TELE
	-Mantenimiento Departamento</t>
      </text>
    </comment>
    <comment authorId="0" ref="BG34">
      <text>
        <t xml:space="preserve">Cambiar de 0 a 8 pzas.
Se solicito 8 piezas, se solicita respetar esa cantidad (8 pzas.)
	-Edwin Flores Mamani</t>
      </text>
    </comment>
    <comment authorId="0" ref="J111">
      <text>
        <t xml:space="preserve">@edwinetm1@gmail.com
_Asignado a edwinetm1@gmail.com_
	-Mantenimiento Departamento
Favor verificar si es el router que se requiere, es para lìnea roja
	-Mantenimiento Departamento</t>
      </text>
    </comment>
    <comment authorId="0" ref="J184">
      <text>
        <t xml:space="preserve">Aparentemente por el precio de este item, nos estarian cotizando el cartucho del filtro, sin embargo solamente necesitamos el elemento filtrante, el codigo del fabricante de este filtro es: 70527202 y el codigo del filtro es: 294431.
	-Edwin Flores Mamani
Se consutlara
	-Mantenimiento Departamento</t>
      </text>
    </comment>
    <comment authorId="0" ref="J212">
      <text>
        <t xml:space="preserve">TDB nos cotizo la bomba hidraulica, solo necesitamos el filtro para esa bomba.
El ID que corresponde al filtro solicitado es ID: 11004919.
	-Edwin Flores Mamani
Verificar el ID ya que esta a 22000$
	-Nataly Challapa</t>
      </text>
    </comment>
    <comment authorId="0" ref="J213">
      <text>
        <t xml:space="preserve">TDB nos cotizo la bomba hidraulica, solo necesitamos el filtro para esa bomba.
El ID que corresponde al filtro solicitado es ID: 11004918.
	-Edwin Flores Mamani
Se cotizara solo filtro
	-Mantenimiento Departamento</t>
      </text>
    </comment>
    <comment authorId="0" ref="J180">
      <text>
        <t xml:space="preserve">NO corresponde por el alto precio, solamente es una abrazadera metalica para sujetar el cable meflex.
Se propone realizar la fabricacion de estas abrazaderas con materiales de compra local.
	-Edwin Flores Mamani
Se analizará compra local
	-Mantenimiento Departamento</t>
      </text>
    </comment>
    <comment authorId="0" ref="J153">
      <text>
        <t xml:space="preserve">No se cuenta con el ID y la descripcion en los manuales de TDB, sin embargo se pudo extraer los siguientes datos:
PAF 20 215 P14
	-Edwin Flores Mamani
Se consultará
	-Mantenimiento Departamento
Se requiere que se confirme que sea el casquillo
	-Mantenimiento Departamento</t>
      </text>
    </comment>
    <comment authorId="0" ref="BR154">
      <text>
        <t xml:space="preserve">Se reduce de 126 a 0.
Se lo realizara con compra local.
Corresponde al inserto de la pisadera.
	-Edwin Flores Mamani
Se comprara en mercado local 126 u
	-Mantenimiento Departamento</t>
      </text>
    </comment>
    <comment authorId="0" ref="J82">
      <text>
        <t xml:space="preserve">Para el caso de la linea azul, la version 2 no es compatible con los safetybus de version 1 que se tienen instalados en las estaciones.
Se retira el item para la gestion 2025.
	-Edwin Flores Mamani</t>
      </text>
    </comment>
    <comment authorId="0" ref="BC49">
      <text>
        <t xml:space="preserve">PARA SUJECION DE ANTENAS EN CABINAS
	-Armando Ramos</t>
      </text>
    </comment>
    <comment authorId="0" ref="BC40">
      <text>
        <t xml:space="preserve">EL MISMO TAMBIEN SERA USADO PARA SUJECION DE PATIN DE FRICCION DE PINZA
	-Armando Ramos</t>
      </text>
    </comment>
    <comment authorId="0" ref="CJ362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OVH BALANCINES TRM: 40
REACONDICIONAMIENTO Y CAMBIO DE POLEAS DE TORRE: 99
POLEAS DE ESTACION: 70
	-tc={22F4FC54-823D-4882-8DA1-DF414F3435C9}</t>
      </text>
    </comment>
    <comment authorId="0" ref="CJ357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OVH BALANCINES TRM: 920
REACONDICIONAMIENTO Y CAMBIO DE POLEAS DE TORRE: 279
	-tc={45549B5E-DA82-4A3B-B6AC-E49D96CDB931}</t>
      </text>
    </comment>
    <comment authorId="0" ref="CJ361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REACONDICIONAMIENTO Y CAMBIO DE POLEAS DE TORRE: 58
OVH BALANCINES TRM: 122
POLEAS DE ESTACION: 2
	-tc={A46A1927-070D-4858-9FB6-79EC4410A8FF}</t>
      </text>
    </comment>
    <comment authorId="0" ref="CJ360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OVH BALANCINES TRM: 82
REACONDICIONAMIENTO Y CAMBIO DE POLEAS DE TORRE: 77
	-tc={B94624BB-B60F-4A87-82CC-4E58E465526E}</t>
      </text>
    </comment>
    <comment authorId="0" ref="CJ359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OVH BALANCINES TRM:164
REACONDICIONAMIENTO Y CAMBIO DE POLEAS DE TORRE: 106
POLEAS DE ESTACION: 120
POLEAS DE ESTACION: 4
	-tc={83E7BC3E-9EA8-44D9-8158-BC80D7AB6EFC}</t>
      </text>
    </comment>
    <comment authorId="0" ref="CJ358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REACONDICIONAMIENTO Y CAMBIO DE POLEAS DE TORRE: 61
OVH BALANCINES TRM: 82
	-tc={2660C5A5-CE9E-49EA-B4A3-EC5C6973023D}</t>
      </text>
    </comment>
    <comment authorId="0" ref="CJ356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REACONDICIONAMIENTO Y CAMBIO DE POLEAS DE TORRE: 152
OVH BALANCINES DE TRM: 1448
	-tc={46869927-1C13-4D8C-9A05-29FE93F57CFE}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U100">
      <text>
        <t xml:space="preserve">9.5</t>
      </text>
    </comment>
    <comment authorId="0" ref="U108">
      <text>
        <t xml:space="preserve">40</t>
      </text>
    </comment>
    <comment authorId="0" ref="U115">
      <text>
        <t xml:space="preserve">1600</t>
      </text>
    </comment>
    <comment authorId="0" ref="AG115">
      <text>
        <t xml:space="preserve">1600</t>
      </text>
    </comment>
    <comment authorId="0" ref="AS115">
      <text>
        <t xml:space="preserve">1600</t>
      </text>
    </comment>
    <comment authorId="0" ref="U130">
      <text>
        <t xml:space="preserve">10</t>
      </text>
    </comment>
    <comment authorId="0" ref="AG134">
      <text>
        <t xml:space="preserve">7</t>
      </text>
    </comment>
    <comment authorId="0" ref="AS134">
      <text>
        <t xml:space="preserve">7</t>
      </text>
    </comment>
    <comment authorId="0" ref="U135">
      <text>
        <t xml:space="preserve">23450</t>
      </text>
    </comment>
    <comment authorId="0" ref="AG135">
      <text>
        <t xml:space="preserve">23450</t>
      </text>
    </comment>
  </commentList>
</comments>
</file>

<file path=xl/sharedStrings.xml><?xml version="1.0" encoding="utf-8"?>
<sst xmlns="http://schemas.openxmlformats.org/spreadsheetml/2006/main" count="17251" uniqueCount="3854">
  <si>
    <t>N°</t>
  </si>
  <si>
    <t>ID</t>
  </si>
  <si>
    <t>ID ANTERIOR</t>
  </si>
  <si>
    <t>Tipo</t>
  </si>
  <si>
    <t>GRUPO</t>
  </si>
  <si>
    <t>DESCRIPCIÓN TDB</t>
  </si>
  <si>
    <t>UNID</t>
  </si>
  <si>
    <t>Q 2024</t>
  </si>
  <si>
    <t>Q 2025</t>
  </si>
  <si>
    <t>Q 2026</t>
  </si>
  <si>
    <t>Q Total</t>
  </si>
  <si>
    <t>PRECIO UNIT EN USD</t>
  </si>
  <si>
    <t>TOTAL IMPORTE EN USD</t>
  </si>
  <si>
    <t>COMENTARIO</t>
  </si>
  <si>
    <t>Recurrencia</t>
  </si>
  <si>
    <t>Codigo</t>
  </si>
  <si>
    <t>OVH</t>
  </si>
  <si>
    <t>Recurrentes</t>
  </si>
  <si>
    <t>No Recurrente</t>
  </si>
  <si>
    <t>Ok</t>
  </si>
  <si>
    <t>R118</t>
  </si>
  <si>
    <t> </t>
  </si>
  <si>
    <t>Repuestos</t>
  </si>
  <si>
    <t>OVH balancines TRM</t>
  </si>
  <si>
    <t xml:space="preserve">GUARN.DE GOMA  501 485X100/R40 </t>
  </si>
  <si>
    <t>Pza</t>
  </si>
  <si>
    <t>Recurrente</t>
  </si>
  <si>
    <t>104317408978978972691</t>
  </si>
  <si>
    <t>R116</t>
  </si>
  <si>
    <t>104317402806165521448</t>
  </si>
  <si>
    <t>R134</t>
  </si>
  <si>
    <t xml:space="preserve">GUARN.DE GOMA  420 422X 93/R34 </t>
  </si>
  <si>
    <t>104341072686646641596</t>
  </si>
  <si>
    <t>R117</t>
  </si>
  <si>
    <t>10431740674964961059</t>
  </si>
  <si>
    <t>R269</t>
  </si>
  <si>
    <t>Mantenimiento Cadenas Transportadoras</t>
  </si>
  <si>
    <t>RRB DIN 625/1- 6310-2RS1-C3GLE VT210 (90% +/-5%)ROD.RAN.BOLAS</t>
  </si>
  <si>
    <t>105019892690189418946478</t>
  </si>
  <si>
    <t>R168</t>
  </si>
  <si>
    <t>NEUMÁTICO "DOPPELMAYR-K"</t>
  </si>
  <si>
    <t>120084411958608601915</t>
  </si>
  <si>
    <t>R106</t>
  </si>
  <si>
    <t>POLEA DE RODADURA DIÁ.180 MM, A-108C INSP. FINAL - AJUSTE P7</t>
  </si>
  <si>
    <t>11982756105405290800</t>
  </si>
  <si>
    <t>R9</t>
  </si>
  <si>
    <t xml:space="preserve">10% Suspensiones de Cabinas </t>
  </si>
  <si>
    <t>MANDÍBULA FIJA   A108-C DIA.50 MECAN.CANAL DEL CABLE Ø44-56MM</t>
  </si>
  <si>
    <t>10487922007171</t>
  </si>
  <si>
    <t>R133</t>
  </si>
  <si>
    <t>1043410750896316920</t>
  </si>
  <si>
    <t>R66</t>
  </si>
  <si>
    <t>Manto. Pinza</t>
  </si>
  <si>
    <t>BULÓN DIÁ 85H8 NL=684 M16 ROS P. CP 4P EN ARM. 6/8P 501C</t>
  </si>
  <si>
    <t>115449334896104248</t>
  </si>
  <si>
    <t>R203</t>
  </si>
  <si>
    <t>Reacondionamiento y cambio de Poleas de torre</t>
  </si>
  <si>
    <t>GUARN. GOMA C 258X69/R30/CONCAV.P.POL.SENSOR (RPD EN CP SUJ.)</t>
  </si>
  <si>
    <t>105392895725125121596</t>
  </si>
  <si>
    <t>R18</t>
  </si>
  <si>
    <t>11-080297</t>
  </si>
  <si>
    <t>Cambio Correas</t>
  </si>
  <si>
    <t>KIT SUSPENSIÓN DE CABINAS OMIV</t>
  </si>
  <si>
    <t>11-080297006666</t>
  </si>
  <si>
    <t>R267</t>
  </si>
  <si>
    <t>10501989560123211042896</t>
  </si>
  <si>
    <t>R28</t>
  </si>
  <si>
    <t>MANDÍBULA MÓVIL A108-C  DIA.50 MECAN.CANAL DEL CABLE Ø44-56MM</t>
  </si>
  <si>
    <t>10487943007171</t>
  </si>
  <si>
    <t>R43</t>
  </si>
  <si>
    <t>BULÓN DIÁ 100H8 LN 691 P. APOYO 10 Y 12 P. TIPO 501C</t>
  </si>
  <si>
    <t>11544996246430118</t>
  </si>
  <si>
    <t>R164</t>
  </si>
  <si>
    <t>POLEA DE CORREA TRAPEZ.DIÁ.160 ALUM.DIÁ.72 PERFIL CORR.T.XPC</t>
  </si>
  <si>
    <t>1050662280500805</t>
  </si>
  <si>
    <t>R148</t>
  </si>
  <si>
    <t xml:space="preserve">GUARN.DE GOMA  403 403X 93/R38 </t>
  </si>
  <si>
    <t>104614360297297594</t>
  </si>
  <si>
    <t>L7</t>
  </si>
  <si>
    <t>Lubricantes</t>
  </si>
  <si>
    <t xml:space="preserve">Guias de vehiculos moviles </t>
  </si>
  <si>
    <t>SILAMIN 510, FENKART, BIDÓN DE 25 L</t>
  </si>
  <si>
    <t>1118192119191957</t>
  </si>
  <si>
    <t>R94</t>
  </si>
  <si>
    <t>STREIFLEISTE ZU PODEST OMIV    ART.NR.: 11-067649         CWA</t>
  </si>
  <si>
    <t>1165043127600276</t>
  </si>
  <si>
    <t>R159</t>
  </si>
  <si>
    <t>BULÓN DIA.50,0 LN 388 M30      P.BÁSC.DE 2 EN BAST.DE 4P.501C</t>
  </si>
  <si>
    <t>10482959112236224572</t>
  </si>
  <si>
    <t>R78</t>
  </si>
  <si>
    <t>EJE DIÁ75H8 LN 585 M16 AGP P. C. 4 POL. EN ARM 6/8 ARM. 420C</t>
  </si>
  <si>
    <t>115450321081254174</t>
  </si>
  <si>
    <t>R114</t>
  </si>
  <si>
    <t>GUARNICIÓN DE GOMA 500 474X100/R40/2XR8,5 P. POL.FRICC. UNIG</t>
  </si>
  <si>
    <t>115920820145145290</t>
  </si>
  <si>
    <t>R154</t>
  </si>
  <si>
    <t xml:space="preserve">POLEA GUÍA DIA.158 MM    AGA-C </t>
  </si>
  <si>
    <t>1048808616421080454</t>
  </si>
  <si>
    <t>R278</t>
  </si>
  <si>
    <t>CORREA TRAP.XPC     LA=1900 MM DIN 7753-1</t>
  </si>
  <si>
    <t>10082482190001602060</t>
  </si>
  <si>
    <t>R251</t>
  </si>
  <si>
    <t>Estructura</t>
  </si>
  <si>
    <t>CASQUILLO DIST. DIÁ50/30 L=160</t>
  </si>
  <si>
    <t>En listado son 1656</t>
  </si>
  <si>
    <t>114303512806165521448</t>
  </si>
  <si>
    <t>R268</t>
  </si>
  <si>
    <t>1050198908748741748</t>
  </si>
  <si>
    <t>R81</t>
  </si>
  <si>
    <t>BULÓN DIÁ 60H8 NL=761 M30 P. CP 2P EN ARMAZÓN 6P 501C</t>
  </si>
  <si>
    <t>11544852287252152</t>
  </si>
  <si>
    <t>R65</t>
  </si>
  <si>
    <t>INTERR. ETHERNET 1XGOL          MONOMODO/4RJ45     WESTERMO</t>
  </si>
  <si>
    <t>1152568865035100</t>
  </si>
  <si>
    <t>R74</t>
  </si>
  <si>
    <t>BULÓN DIÁ 85H8 LN=478 P. APOYO CP 6 Y 8 TIPO 501C</t>
  </si>
  <si>
    <t>11544947246236122</t>
  </si>
  <si>
    <t>R193</t>
  </si>
  <si>
    <t>Reacondicionamiento y Cambio de poleas de estacion</t>
  </si>
  <si>
    <t>FORRO FRICCION SINT. DT, AGA   P.PINZA DESEMBR.DT,AGA    2003</t>
  </si>
  <si>
    <t>632NR + 60 R. Se unieron ambos</t>
  </si>
  <si>
    <t>1044166729836430692</t>
  </si>
  <si>
    <t>R52</t>
  </si>
  <si>
    <t>CABLE D.ACCIONAM.CWA COMPL. L=3,0M/M8, NO.ID CWA: 801217</t>
  </si>
  <si>
    <t>111058504702269</t>
  </si>
  <si>
    <t>R49</t>
  </si>
  <si>
    <t>RPD INTERRUPTOR DE VIGILANCIA DEL CABLE   GS 5001, ESTADO: AJ</t>
  </si>
  <si>
    <t>1131792022212164</t>
  </si>
  <si>
    <t>R337</t>
  </si>
  <si>
    <t>Manto. Eléctrico</t>
  </si>
  <si>
    <t>RRB DIN 625/1- 6307-2RS1-C3GLE VT210 (90% +/-5%)ROD.RAN.BOLAS</t>
  </si>
  <si>
    <t>10501992379114811482675</t>
  </si>
  <si>
    <t>L2</t>
  </si>
  <si>
    <t xml:space="preserve">acoplamiento piñon - corona </t>
  </si>
  <si>
    <t>LUBRICANTE GRIZZLYGREASE N.1 ENVASE AEROSOL 500ML/LUBCON</t>
  </si>
  <si>
    <t>10550848322322322966</t>
  </si>
  <si>
    <t>R82</t>
  </si>
  <si>
    <t>BULÓN DIÁ 75H8 LN 407 P. APOYO 6 Y 8 POL. TIPO 420C</t>
  </si>
  <si>
    <t>1154503370638114</t>
  </si>
  <si>
    <t>R290</t>
  </si>
  <si>
    <t>Mantenimiento de Embragues</t>
  </si>
  <si>
    <t>PERNO DIA.29,9  L 225 M24      PARA POLEA TIPO 501</t>
  </si>
  <si>
    <t>102933442806165521448</t>
  </si>
  <si>
    <t>R360</t>
  </si>
  <si>
    <t>RRB DIN 625/1- 6207-2RS1-C3 LT VT210 (TTF 90% +/-5%)ROD.R.B.</t>
  </si>
  <si>
    <t>10591180560128511452990</t>
  </si>
  <si>
    <t>R182</t>
  </si>
  <si>
    <t>BULÓN DIA.40,0 LN 347 M24      P.2CP EN BAST.DE 4P. TIPO-420C</t>
  </si>
  <si>
    <t>1045621421648140404</t>
  </si>
  <si>
    <t>R217</t>
  </si>
  <si>
    <t>Sistema RPD</t>
  </si>
  <si>
    <t>TUBO DISTANCIADOR DIÁ.60/50,2 L=245</t>
  </si>
  <si>
    <t>11430347112236224572</t>
  </si>
  <si>
    <t>R272</t>
  </si>
  <si>
    <t>TORNILLO ISO 4014-8.8U M27X500 ESP. FVZ TORN.HEX. GALV.INM.CA</t>
  </si>
  <si>
    <t>111853383602643961020</t>
  </si>
  <si>
    <t>R77</t>
  </si>
  <si>
    <t>EJE DIÁ85H8 LN=457 P. APOYO 6 U 8 POL. 501C</t>
  </si>
  <si>
    <t>1154494814224278</t>
  </si>
  <si>
    <t>L10</t>
  </si>
  <si>
    <t xml:space="preserve">Apoyos de par transportador de vehiculos </t>
  </si>
  <si>
    <t>GETRIEBEOEL  ALPHASYN EP 220   FASS ZU A 208,0LTR     CASTROL</t>
  </si>
  <si>
    <t>121579934116</t>
  </si>
  <si>
    <t>R239</t>
  </si>
  <si>
    <t>Dinamo y polea impulsos</t>
  </si>
  <si>
    <t>LENGÜETA DE PLÁST. A108-C TIPO 3/510/IBAF Ø52-56MM</t>
  </si>
  <si>
    <t>113594220300300600</t>
  </si>
  <si>
    <t>R326</t>
  </si>
  <si>
    <t>CASQUILLO PM 7560 DS   TIPO KW SIN AGUJ.DE ENGRASE    GLACIER</t>
  </si>
  <si>
    <t>102747197604064061572</t>
  </si>
  <si>
    <t>R335</t>
  </si>
  <si>
    <t>1050199210161926321840</t>
  </si>
  <si>
    <t>R218</t>
  </si>
  <si>
    <t>RESORTE DE BRAZOS 1 OMIII/OMIV/CO VE=5 STK ANR.:409533</t>
  </si>
  <si>
    <t>111575712690199468</t>
  </si>
  <si>
    <t>R68</t>
  </si>
  <si>
    <t>EJE DIÁ90H8 LN 581 P. APOYO 10-16 POL. 420C</t>
  </si>
  <si>
    <t>115450403801654</t>
  </si>
  <si>
    <t>R33</t>
  </si>
  <si>
    <t>POLEA        501C CL100 DIA525 C.LAMINILLAS EMP.,RRB ESP.,PAC</t>
  </si>
  <si>
    <t>10870308220022</t>
  </si>
  <si>
    <t>R210</t>
  </si>
  <si>
    <t>TUBO DISTANCIADOR DIÁ.55/40,2 L=220</t>
  </si>
  <si>
    <t>1143035021648140404</t>
  </si>
  <si>
    <t>L4</t>
  </si>
  <si>
    <t xml:space="preserve">Cable Meflex </t>
  </si>
  <si>
    <t>GRASA LUBRIC. UNISILKON GLK 112, LATA DE 1.0KG, KLUEBER</t>
  </si>
  <si>
    <t>1049886124242472</t>
  </si>
  <si>
    <t>R1</t>
  </si>
  <si>
    <t>BOMBA EMB.AX. H1P147RCM2C2BD3GG2H2L38L38LM24H1NNNNNN DANFOSS</t>
  </si>
  <si>
    <t>114046392002</t>
  </si>
  <si>
    <t>R63</t>
  </si>
  <si>
    <t>POLEA CORR.TRAPEZ. DIÁ.318/328 DIÁ.59 PERFIL CORR. XPC ALUM.</t>
  </si>
  <si>
    <t>112113391827045</t>
  </si>
  <si>
    <t>R396</t>
  </si>
  <si>
    <t>Manto. gral. Cabina</t>
  </si>
  <si>
    <t>CASQUILLO CON BORDE GGB2215 DU GLACIER</t>
  </si>
  <si>
    <t>101827560168216823364</t>
  </si>
  <si>
    <t>R45</t>
  </si>
  <si>
    <t>DISP.DE COMUNICACIÓN P. CABINA SEG. OFERTA 1603 HOLZKNECHT</t>
  </si>
  <si>
    <t>115368591601632</t>
  </si>
  <si>
    <t>R281</t>
  </si>
  <si>
    <t>CASQUILLO PM 8580 DS   TIPO KW SIN AGUJ.DE ENGRASE    GLACIER</t>
  </si>
  <si>
    <t>10494137156324324804</t>
  </si>
  <si>
    <t>R57</t>
  </si>
  <si>
    <t>EJE DIÁ85H8 LN=798 M16 AGP P. BAL. 4 POL. EN CONOSLA 501C</t>
  </si>
  <si>
    <t>11544869822838</t>
  </si>
  <si>
    <t>L9</t>
  </si>
  <si>
    <t>Transportador de vehiculos- Cadena de tracción</t>
  </si>
  <si>
    <t>SPRAY P.CADENA TRANSPORT.2"/4" 0.4L P.PARKING, CADENA</t>
  </si>
  <si>
    <t>10541941115125125365</t>
  </si>
  <si>
    <t>R20</t>
  </si>
  <si>
    <t>90-083788</t>
  </si>
  <si>
    <t>Cambio de Neumáticos</t>
  </si>
  <si>
    <t>PLACA RECTIFICADORA OM IV</t>
  </si>
  <si>
    <t>90-083788105015</t>
  </si>
  <si>
    <t>R50</t>
  </si>
  <si>
    <t>113179202211033</t>
  </si>
  <si>
    <t>R108</t>
  </si>
  <si>
    <t xml:space="preserve">CABEZAL RESORTE A108-C  50X290 </t>
  </si>
  <si>
    <t>1048842534303094</t>
  </si>
  <si>
    <t>R167</t>
  </si>
  <si>
    <t>PLATILLO DE RESORTE SUP., A108-C, RECUB.DE LAMINILLAS DE CINC</t>
  </si>
  <si>
    <t>106282601000100200</t>
  </si>
  <si>
    <t>R336</t>
  </si>
  <si>
    <t>1050199206346341268</t>
  </si>
  <si>
    <t>R306</t>
  </si>
  <si>
    <t>Manto. Agujas</t>
  </si>
  <si>
    <t>PERNO DIA.24,9 LN 192 M20      PARA POLEA TIPO 420C</t>
  </si>
  <si>
    <t>1045620950896316920</t>
  </si>
  <si>
    <t>L12</t>
  </si>
  <si>
    <t>Manto. Hidraulico</t>
  </si>
  <si>
    <t>ACEITE HIDR. DOPP-SYNT 70+, BARRIL DE 210,0L</t>
  </si>
  <si>
    <t>114248598008</t>
  </si>
  <si>
    <t>R2</t>
  </si>
  <si>
    <t>BOMBA EMB.AX. H1P078RAM2C2BD3HG9H2L38L38CM24PHNNNNNN DANFOSS</t>
  </si>
  <si>
    <t>114046362002</t>
  </si>
  <si>
    <t>R195</t>
  </si>
  <si>
    <t>BULÓN DIÁ 40H8 L=222, COJINETE P. BRAZO GIR. 4P/2PG CP 420C</t>
  </si>
  <si>
    <t>114302171522480256</t>
  </si>
  <si>
    <t>R179</t>
  </si>
  <si>
    <t>FILTRO   SAUER BR 90 - CORTO   ELEM.FILTR. P.BOMBA DE EMB.AX.</t>
  </si>
  <si>
    <t>103025021000100200</t>
  </si>
  <si>
    <t>R131</t>
  </si>
  <si>
    <t>AMORTIGUADOR TURING 316 975 Nº PEDIDO: 81 4901 003 608</t>
  </si>
  <si>
    <t>1180553210200102</t>
  </si>
  <si>
    <t>R235</t>
  </si>
  <si>
    <t>Cable</t>
  </si>
  <si>
    <t>LENGÜETA P. PINZA A108-C TIPO 2/510/IBAF Ø48-51MM</t>
  </si>
  <si>
    <t>1135524816610166342</t>
  </si>
  <si>
    <t>R202</t>
  </si>
  <si>
    <t>105392891522480256</t>
  </si>
  <si>
    <t>R16</t>
  </si>
  <si>
    <t>CONVERSOR DE TENSIÓN CC10-F-350NB
INOUT:10-52VDC, output 3v</t>
  </si>
  <si>
    <t>0100010</t>
  </si>
  <si>
    <t>R380</t>
  </si>
  <si>
    <t>Manto. Forros de frenos</t>
  </si>
  <si>
    <t>CASQUILLO PM 5540 DS  TIPO: KW SIN AGUJ.DE ENGRASE    GLACIER</t>
  </si>
  <si>
    <t>1018305610161686161800</t>
  </si>
  <si>
    <t>R149</t>
  </si>
  <si>
    <t>CORREA TRAP.CC/HCC LREF=6150MM DOBLE</t>
  </si>
  <si>
    <t>1027508567042109</t>
  </si>
  <si>
    <t>R277</t>
  </si>
  <si>
    <t>100824820258258516</t>
  </si>
  <si>
    <t>R304</t>
  </si>
  <si>
    <t>EJE DE RESORTE          A108-C DIA.28  LN 91</t>
  </si>
  <si>
    <t>104884295766565706</t>
  </si>
  <si>
    <t>R264</t>
  </si>
  <si>
    <t>LENGÜETA  A108-C TIPO 2     CABLE Ø48-51 MM</t>
  </si>
  <si>
    <t>120232409025593438</t>
  </si>
  <si>
    <t>R393</t>
  </si>
  <si>
    <t>RODAMIENTO C.SOP:ABRIDADO BK1 20/23/30X20+1,5 NO.ART.: 806568</t>
  </si>
  <si>
    <t>111013092054002054</t>
  </si>
  <si>
    <t>R90</t>
  </si>
  <si>
    <t>EJE DIÁ55H8 LN 653 M24 P. C. DE 2 POL. EN ARM. 6 POL. 420C</t>
  </si>
  <si>
    <t>115449953201850</t>
  </si>
  <si>
    <t>R282</t>
  </si>
  <si>
    <t>CASQUILLO PM 7580 DS   TIPO KW SIN AGUJ.DE ENGRASE    GLACIER</t>
  </si>
  <si>
    <t>1048798030836160504</t>
  </si>
  <si>
    <t>R373</t>
  </si>
  <si>
    <t>CASQUILLO PM 6040 DS   TIPO KW SIN AGUJ.DE ENGRASE    GLACIER</t>
  </si>
  <si>
    <t>100839262806165521448</t>
  </si>
  <si>
    <t>L1</t>
  </si>
  <si>
    <t>GRASA LUBRICANTE ISOFLEX   NBU 15  LATA DE 1,0 KG   KLUEBER</t>
  </si>
  <si>
    <t>100727047101027</t>
  </si>
  <si>
    <t>R31</t>
  </si>
  <si>
    <t>DÍNAMO TACOM.REO444 R1B 0,06EG JT-IP56 CON MAX.10000RPM-0,18A</t>
  </si>
  <si>
    <t>1001110360410</t>
  </si>
  <si>
    <t>R100</t>
  </si>
  <si>
    <t>ENCHUFE PROTECT.SOBREVOLTAJE PHOENIX CONTACTO NO.:2838322</t>
  </si>
  <si>
    <t>1087336315171749</t>
  </si>
  <si>
    <t>R299</t>
  </si>
  <si>
    <t>TORN.HALFEN 72/48  8.8 M20X 60 TORNIL.HALFEN C. TUERCA,   GIC</t>
  </si>
  <si>
    <t>103097164620100562</t>
  </si>
  <si>
    <t>R14</t>
  </si>
  <si>
    <t>CUBO DE POLEA DE FRICCIÓN MGD P. CORREA DOBLE</t>
  </si>
  <si>
    <t>103581984037</t>
  </si>
  <si>
    <t>R241</t>
  </si>
  <si>
    <t>TORNILLO ISO 4014-8.8U M27X580 ESP. FVZ TORN.HEX. GALV.INM.CA</t>
  </si>
  <si>
    <t>111853414812084252</t>
  </si>
  <si>
    <t>R420</t>
  </si>
  <si>
    <t>ROD.RA.BOLAS  DIN 625/1- 6205-2RS-C3 LT VT210 (TTF 90% +/-5%)</t>
  </si>
  <si>
    <t>10420185353102410722449</t>
  </si>
  <si>
    <t>R48</t>
  </si>
  <si>
    <t>TENSOR DE CORREA 0° CD+CI UNIG XPC, P.CORREAS DOBLES+INDIVID.</t>
  </si>
  <si>
    <t>10413477126018</t>
  </si>
  <si>
    <t>R298</t>
  </si>
  <si>
    <t>CASQU.GOMA/MET. DIA.40/ 25 L= 30, 85 SHORE</t>
  </si>
  <si>
    <t>1086098200528528</t>
  </si>
  <si>
    <t>R250</t>
  </si>
  <si>
    <t>BULÓN DIA.22H7  LN 297,5  M16  ARMAZ.4PTS.  8P. CWA OMEGA III</t>
  </si>
  <si>
    <t>1056894500264264</t>
  </si>
  <si>
    <t>R283</t>
  </si>
  <si>
    <t>ROLDANA P. APAR. A/C MODELO E  DIA.=65 A=30       COLOR:NEGRO</t>
  </si>
  <si>
    <t>107654402080208416</t>
  </si>
  <si>
    <t>R137</t>
  </si>
  <si>
    <t>GUÍA RESORTES A108-C L=431</t>
  </si>
  <si>
    <t>115313963503570</t>
  </si>
  <si>
    <t>R26</t>
  </si>
  <si>
    <t>AUSSENKOERPER 522.26     ART.NR. 676433           MOENNINGHOF</t>
  </si>
  <si>
    <t>113110218008</t>
  </si>
  <si>
    <t>R38</t>
  </si>
  <si>
    <t>POLEA       420C LW 93 DIA.455 C.LAMINILLAS EMP.,RRB ESP.,PAC</t>
  </si>
  <si>
    <t>10870719120012</t>
  </si>
  <si>
    <t>R85</t>
  </si>
  <si>
    <t>POLEA SENSOR  C   CL 64 DIA265 CON CONCAVID.DIA.250 /ALUMINIO</t>
  </si>
  <si>
    <t>10539609330033</t>
  </si>
  <si>
    <t>R395</t>
  </si>
  <si>
    <t>CASQUILLO PM 5040 DS  TIPO: KW SIN AGUJ.DE ENGRASE    GLACIER</t>
  </si>
  <si>
    <t>100839235407791551474</t>
  </si>
  <si>
    <t>R36</t>
  </si>
  <si>
    <t>N/D</t>
  </si>
  <si>
    <t>BATTERY HOLDER</t>
  </si>
  <si>
    <t>N/D110011</t>
  </si>
  <si>
    <t>R35</t>
  </si>
  <si>
    <t>POLEA DE CORREA TRAPEZ. DIÁ.340 PERF. DE CORREA HCC ALUM</t>
  </si>
  <si>
    <t>11107822100010</t>
  </si>
  <si>
    <t>R275</t>
  </si>
  <si>
    <t>ACHSE   DM 14.8 LG  80                                    GVZ</t>
  </si>
  <si>
    <t>1094216734000340</t>
  </si>
  <si>
    <t>R71</t>
  </si>
  <si>
    <t>CASQUILLO GOM./MET. DIÁ.145/70 L=135 FMAX=85KN     GMT</t>
  </si>
  <si>
    <t>10631452240024</t>
  </si>
  <si>
    <t>R261</t>
  </si>
  <si>
    <t>ANILLO DIST. DIÁ.68/50 E=13,5 P. POLEA 501</t>
  </si>
  <si>
    <t>110400591440144288</t>
  </si>
  <si>
    <t>R442</t>
  </si>
  <si>
    <t>TORNILLO TENSILOCK CL. 100 M16X40 T.DIENTES DE PARADA RLZ</t>
  </si>
  <si>
    <t>10007419904106410643032</t>
  </si>
  <si>
    <t>R73</t>
  </si>
  <si>
    <t xml:space="preserve">CUERPO DE POLEA 501 400X130    </t>
  </si>
  <si>
    <t>101861091301124</t>
  </si>
  <si>
    <t>R123</t>
  </si>
  <si>
    <t>DF  D=22,00/DM=120,0/LO=389,0 IF= 8,60; DRUCKFEDER DIN 2095</t>
  </si>
  <si>
    <t>120066720252550</t>
  </si>
  <si>
    <t>R435</t>
  </si>
  <si>
    <t>TUERCA HEXAG. ISO 4032-8 M27 GIC</t>
  </si>
  <si>
    <t>111369255887688642220</t>
  </si>
  <si>
    <t>R19</t>
  </si>
  <si>
    <t>TUERARM LI+RE OMIV ET-SET KPL. ARTNR.:11-096246    BEST. AUS:</t>
  </si>
  <si>
    <t>118760513036</t>
  </si>
  <si>
    <t>L8</t>
  </si>
  <si>
    <t>Lubricación de rodetes de apertura y cierre</t>
  </si>
  <si>
    <t>UNIDAD LC PERMA, DOKUSIL 120, 250ML</t>
  </si>
  <si>
    <t>1086710224242472</t>
  </si>
  <si>
    <t>R161</t>
  </si>
  <si>
    <t>TUBO DIST. DIÁ60/50.2 L=337 UNIG BALANCÍN POL. FRICC. NIT</t>
  </si>
  <si>
    <t>10918361760076</t>
  </si>
  <si>
    <t>R40</t>
  </si>
  <si>
    <t>LAMELLENPAKET  TYP 521/522.26                    MOENNINGHOFF</t>
  </si>
  <si>
    <t>11319448100010</t>
  </si>
  <si>
    <t>R155</t>
  </si>
  <si>
    <t>VENTILADOR TIPO: SPR-MEC21543, P. DISP. NX DE VACON</t>
  </si>
  <si>
    <t>114168723642464</t>
  </si>
  <si>
    <t>R318</t>
  </si>
  <si>
    <t>RODAM.RAN.D.BOLAS DIN625/1-6308-2RS1-C3GLE VT210 (90% +/-5%)</t>
  </si>
  <si>
    <t>106865663250140465</t>
  </si>
  <si>
    <t>R83</t>
  </si>
  <si>
    <t>10539609270027</t>
  </si>
  <si>
    <t>R3</t>
  </si>
  <si>
    <t>ACOPLAM. DE FRENO A353/B293 B E AL+GLE FKB 500NM-08</t>
  </si>
  <si>
    <t>116519211001</t>
  </si>
  <si>
    <t>R425</t>
  </si>
  <si>
    <t>CASQUILLO C.BORDE GGB2222DU-S, GLACIER (22X25X32X21,5)</t>
  </si>
  <si>
    <t>1055149109359351870</t>
  </si>
  <si>
    <t>R296</t>
  </si>
  <si>
    <t>CASQUILLO DIST. DIÁ50/30 L=140</t>
  </si>
  <si>
    <t>10168055133108133374</t>
  </si>
  <si>
    <t>R412</t>
  </si>
  <si>
    <t>CASQUILLO PM 3240 DS  TIPO: KW AGA, SIN AGUJ.DE ENGR. GLACIER</t>
  </si>
  <si>
    <t>102740545008342101544</t>
  </si>
  <si>
    <t>R95</t>
  </si>
  <si>
    <t xml:space="preserve">ZAPATA DE FRENO     190X120X27 </t>
  </si>
  <si>
    <t>10450482280028</t>
  </si>
  <si>
    <t>R151</t>
  </si>
  <si>
    <t>BULÓN DIÁ 55H8 LN 334 P. BRAZO GIRATORIO EN 4P/4S CP 420C</t>
  </si>
  <si>
    <t>115450510243256</t>
  </si>
  <si>
    <t>R205</t>
  </si>
  <si>
    <t>JUNTA CARD.A RÓT. TS ATL/BSA 25 R.EXT.=M12X1,75</t>
  </si>
  <si>
    <t>1023962112000120</t>
  </si>
  <si>
    <t>R219</t>
  </si>
  <si>
    <t>BULÓN DE BLOQUEO P. ASIENTOS Nº ART.: 10-000477 CWA</t>
  </si>
  <si>
    <t>1167319113500135</t>
  </si>
  <si>
    <t>R29</t>
  </si>
  <si>
    <t>CONTACTOR  AF305-30-22-13      1SFL587002R1322        ABB</t>
  </si>
  <si>
    <t>116487516006</t>
  </si>
  <si>
    <t>R124</t>
  </si>
  <si>
    <t>12006672400040</t>
  </si>
  <si>
    <t>R397</t>
  </si>
  <si>
    <t>101827560010561056</t>
  </si>
  <si>
    <t>R244</t>
  </si>
  <si>
    <t>CASQUILLO PM 100115 DS TIPO KW SIN AGUJ.DE ENGRASE    GLACIER</t>
  </si>
  <si>
    <t>10083935328444160</t>
  </si>
  <si>
    <t>R288</t>
  </si>
  <si>
    <t>TOPE DE GOMA    DIA.90/36 A=24 CENTR.RESORTE ESPIRAL 8MGD-GCS</t>
  </si>
  <si>
    <t>1054246100264264</t>
  </si>
  <si>
    <t>R41</t>
  </si>
  <si>
    <t>INCLUYE EL: 52226-08028 DISCO DE FRICCION DENTADO EXTERIOR</t>
  </si>
  <si>
    <t>113194488008</t>
  </si>
  <si>
    <t>R172</t>
  </si>
  <si>
    <t>ANILLO DIA. 80,0/ 60,0 L= 20,5   UNIG</t>
  </si>
  <si>
    <t>109417434403074</t>
  </si>
  <si>
    <t>R345</t>
  </si>
  <si>
    <t>LAMINILLA EMPAQUE.Z212F 60X110 SUPERFICIE DE EJECUC.ESPECIAL</t>
  </si>
  <si>
    <t>1087137750200502</t>
  </si>
  <si>
    <t>R15</t>
  </si>
  <si>
    <t>CRISTAL FRONTAL KF OMIV-10 LWI Nº ART.: 110049475GRAU133</t>
  </si>
  <si>
    <t>1100494750314</t>
  </si>
  <si>
    <t>R4</t>
  </si>
  <si>
    <t>UNID.DE PR.CENTR.DM MOD.FS CPU PROGRAMADA</t>
  </si>
  <si>
    <t>107739931001</t>
  </si>
  <si>
    <t>R60</t>
  </si>
  <si>
    <t>BÁSCULA DE 2 P. TIPO C-L AC.60 DP572 P. P.SENSOR TIPO 420C-L</t>
  </si>
  <si>
    <t>11094109120012</t>
  </si>
  <si>
    <t>R61</t>
  </si>
  <si>
    <t>R162</t>
  </si>
  <si>
    <t>CHAPA E=20 L=150 B=100, UNIG, GALVAN.</t>
  </si>
  <si>
    <t>113591473003060</t>
  </si>
  <si>
    <t>R62</t>
  </si>
  <si>
    <t>FILTRO DESHUMECTADOR BDE400 G2W1.0/-RV0.003, HYDAC</t>
  </si>
  <si>
    <t>11138884120012</t>
  </si>
  <si>
    <t>R34</t>
  </si>
  <si>
    <t>POLEA DE CORREA TRAP. DIÁ.328/318 DIÁ.80 PERFIL CORREA XPC AL</t>
  </si>
  <si>
    <t>111078306006</t>
  </si>
  <si>
    <t>R53</t>
  </si>
  <si>
    <t>90-083786</t>
  </si>
  <si>
    <t>TABLERO DE CONTROL DEL PANEL SOLAR</t>
  </si>
  <si>
    <t>90-083786100010</t>
  </si>
  <si>
    <t>R258</t>
  </si>
  <si>
    <t>Lubricacion</t>
  </si>
  <si>
    <t>TUBO DIST. DIÁ=30/20.2 L=126, P. BÁSCULA P. SENS. EN BRAZO GI</t>
  </si>
  <si>
    <t>El ID no coincidia en hoja OVH, La cantidad en OVH es solo 14</t>
  </si>
  <si>
    <t>114303401181240170</t>
  </si>
  <si>
    <t>R88</t>
  </si>
  <si>
    <t xml:space="preserve">CUERPO DE POLEA  420C 330X120  </t>
  </si>
  <si>
    <t>10465474191121</t>
  </si>
  <si>
    <t>R87</t>
  </si>
  <si>
    <t>90-083828</t>
  </si>
  <si>
    <t>CABLE DE CONECCIÓN ANTENAS RADIO</t>
  </si>
  <si>
    <t>90-0838281001020</t>
  </si>
  <si>
    <t>R17</t>
  </si>
  <si>
    <t>11-0802970404</t>
  </si>
  <si>
    <t>R221</t>
  </si>
  <si>
    <t>RODAM.RAN.D.BOLAS DIN625/1-6312-2RS1-C3GLE VT210 (90% +/-5%)</t>
  </si>
  <si>
    <t>1074585780300110</t>
  </si>
  <si>
    <t>R96</t>
  </si>
  <si>
    <t>CILINDRO DE FRENO, COMPLETO    CARRERA=300, D=1080</t>
  </si>
  <si>
    <t>10894128210021</t>
  </si>
  <si>
    <t>R535</t>
  </si>
  <si>
    <t>ARANDELA SEGUR.  NORDLOCK NL8  RECUB.DE LAMINILLAS DE CINC</t>
  </si>
  <si>
    <t>1024739823335658565813649</t>
  </si>
  <si>
    <t>R307</t>
  </si>
  <si>
    <t>104562091078686279</t>
  </si>
  <si>
    <t>R76</t>
  </si>
  <si>
    <t>POLEA +COJIN. P.POL.CONT.DIA29 PARA POLEA CONTADORA</t>
  </si>
  <si>
    <t>1036385150914</t>
  </si>
  <si>
    <t>R180</t>
  </si>
  <si>
    <t>BEFESTIGUNGSWINKEL ZU FERNBET. OMIII/OMIV      ART.NR.:410653</t>
  </si>
  <si>
    <t>11416549630063</t>
  </si>
  <si>
    <t>R385</t>
  </si>
  <si>
    <t>CASQUILLO NTPM 2830 DS DE=32MM AGA (CON BOQUI.ENGRASE)GLACIER</t>
  </si>
  <si>
    <t>10274056170246246662</t>
  </si>
  <si>
    <t>R39</t>
  </si>
  <si>
    <t>TENSOR DE CORREA, ACCIONAM.POR RUEDA DE FRICCIÓN UNI</t>
  </si>
  <si>
    <t>106814296006</t>
  </si>
  <si>
    <t>R147</t>
  </si>
  <si>
    <t>EJE P.ACC.RUE.DE FRICC.L=335,1 UNIG</t>
  </si>
  <si>
    <t>105052941901736</t>
  </si>
  <si>
    <t>R273</t>
  </si>
  <si>
    <t>BULÓN DIA. 20,0 LN 193 M16 P.BÁSCULA POLEA SENS.EN BRAZO OSC.</t>
  </si>
  <si>
    <t>105310931181240170</t>
  </si>
  <si>
    <t>R289</t>
  </si>
  <si>
    <t>PERNO DEL EJE P. POLEA  A108-C DIA.35 LN 115,5</t>
  </si>
  <si>
    <t>107096601243939202</t>
  </si>
  <si>
    <t>R5</t>
  </si>
  <si>
    <t>SISTEMA MANOMÉTR.0-600KN/0-10V F61541560077          WIKA</t>
  </si>
  <si>
    <t>106908251001</t>
  </si>
  <si>
    <t>R101</t>
  </si>
  <si>
    <t>10873363200020</t>
  </si>
  <si>
    <t>R346</t>
  </si>
  <si>
    <t>10871377123123123369</t>
  </si>
  <si>
    <t>R72</t>
  </si>
  <si>
    <t>10186109120012</t>
  </si>
  <si>
    <t>R317</t>
  </si>
  <si>
    <t>TOPE DE GOMA    DIA.90/35 A=24 CENTRAJE RESORTE ESPIRAL</t>
  </si>
  <si>
    <t>1034052800264264</t>
  </si>
  <si>
    <t>R245</t>
  </si>
  <si>
    <t>CORREA TRAPEZOIDAL XPC LW=1960 MM DIN 7753-1</t>
  </si>
  <si>
    <t>1038851305454108</t>
  </si>
  <si>
    <t>R46</t>
  </si>
  <si>
    <t>VALV.DIST.2/2 SK 7936 L-RK-X-24-T 2/2 V.DISTR.DE ASIENTO HAWE</t>
  </si>
  <si>
    <t>111604767007</t>
  </si>
  <si>
    <t>R538</t>
  </si>
  <si>
    <t>Sistema de Horquilla</t>
  </si>
  <si>
    <t>NIPLE DE ENGRASE EN 6, ~DIN71412 NIPLE CÓNICO (CIL.),0 GRADOS</t>
  </si>
  <si>
    <t>1130462811880052012400</t>
  </si>
  <si>
    <t>R69</t>
  </si>
  <si>
    <t>EJE DIÁ.90H8 LN=541, P. APOYO P. CP 4P/4S TIPO 420C</t>
  </si>
  <si>
    <t>1154505206410</t>
  </si>
  <si>
    <t>R80</t>
  </si>
  <si>
    <t>CIL.HIDR.CGS10N38X CURSO CORTO CARGA NOM.(PRES.):10T  TECNOS.</t>
  </si>
  <si>
    <t>10397941121013</t>
  </si>
  <si>
    <t>R274</t>
  </si>
  <si>
    <t>1053109307474148</t>
  </si>
  <si>
    <t>R291</t>
  </si>
  <si>
    <t>10293344834848179</t>
  </si>
  <si>
    <t>R356</t>
  </si>
  <si>
    <t>ARANDELA OBTURAD.-Z010F 50X 80 DISEÑO ESPEC. DE LA SUPERFICIE</t>
  </si>
  <si>
    <t>10871370122122122366</t>
  </si>
  <si>
    <t>R6</t>
  </si>
  <si>
    <t>RIEL DE ENLACE RECTO PASO SOLD. SD PIEZA SOLDADA</t>
  </si>
  <si>
    <t>107811471001</t>
  </si>
  <si>
    <t>R7</t>
  </si>
  <si>
    <t>CARRIL DE CONEXIÓN RECTO CONEX. SOLD. IE PZA SOLDADA</t>
  </si>
  <si>
    <t>107811481001</t>
  </si>
  <si>
    <t>R22</t>
  </si>
  <si>
    <t>AMORTIGUADOR WM-Z7-200-K4G4-C FUERZA COMPR./TRACT.2-50KN WEF.</t>
  </si>
  <si>
    <t>111359961203</t>
  </si>
  <si>
    <t>R367</t>
  </si>
  <si>
    <t>CÁMARA DE AIRE P.CUBIERTA DOP.-K  CON VALVULA TR 88 G</t>
  </si>
  <si>
    <t>1000973386170170426</t>
  </si>
  <si>
    <t>R259</t>
  </si>
  <si>
    <t>11430340373939115</t>
  </si>
  <si>
    <t>R514</t>
  </si>
  <si>
    <t>Poleas de estacion</t>
  </si>
  <si>
    <t>PASADOR SUJ. DIN1481 10  X 50 CON RECUBR.DACROMET (I</t>
  </si>
  <si>
    <t>100005940285228525704</t>
  </si>
  <si>
    <t>R230</t>
  </si>
  <si>
    <t>CORREA TRAP.XPB     LW=1870 MM DIN 7753-1</t>
  </si>
  <si>
    <t>100677670404080</t>
  </si>
  <si>
    <t>R242</t>
  </si>
  <si>
    <t xml:space="preserve">EJE DE CAB.A108-C DIA.32 L 354 </t>
  </si>
  <si>
    <t>En listado esta 63 solamente</t>
  </si>
  <si>
    <t>1048842745212187</t>
  </si>
  <si>
    <t>R445</t>
  </si>
  <si>
    <t>POLEA DIA. 30/ 6,2  A= 20,0    PARA CADENA TRANSPORTADORA</t>
  </si>
  <si>
    <t>10014917512950121474</t>
  </si>
  <si>
    <t>R357</t>
  </si>
  <si>
    <t>RODILLO DE PLÁSTICO DIÁ. 80/ 17   B= 50</t>
  </si>
  <si>
    <t>1099902134000340</t>
  </si>
  <si>
    <t>R386</t>
  </si>
  <si>
    <t>CASQUILLO PM 4040 DS  TIPO: KW SIN AGUJ.DE ENGRASE    GLACIER</t>
  </si>
  <si>
    <t>1038958730448160512</t>
  </si>
  <si>
    <t>R401</t>
  </si>
  <si>
    <t>CASQUILLO PM 2260 DS  TIPO: KW SIN AGUJERO DE ENGRASE GLACIER</t>
  </si>
  <si>
    <t>10274057160244244648</t>
  </si>
  <si>
    <t>R260</t>
  </si>
  <si>
    <t>90-041648</t>
  </si>
  <si>
    <t>CERRADURA DE PESTILLO, OMIV
PARA CUBIERTAS LATERALES Y SUPERIORES</t>
  </si>
  <si>
    <t>90-04164810900109</t>
  </si>
  <si>
    <t>R238</t>
  </si>
  <si>
    <t>CORREA TRAP. XPC LW=2000 MM DIN 7753-1</t>
  </si>
  <si>
    <t>10217238700979</t>
  </si>
  <si>
    <t>R252</t>
  </si>
  <si>
    <t>48R+44NR</t>
  </si>
  <si>
    <t>1143035122244692</t>
  </si>
  <si>
    <t>R394</t>
  </si>
  <si>
    <t>ARAND.DE SEGUR. DIA.50/23 L=15  P. DISPOSITIVO DE SUSP. 8-MGD</t>
  </si>
  <si>
    <t>1151580600528528</t>
  </si>
  <si>
    <t>R339</t>
  </si>
  <si>
    <t>ARANDELA DE FIJAC. DIA.80, M20 P. SUSPENSIÓN CABINA OMEGAIII</t>
  </si>
  <si>
    <t>1049047200264264</t>
  </si>
  <si>
    <t>R30</t>
  </si>
  <si>
    <t>116487513003</t>
  </si>
  <si>
    <t>R197</t>
  </si>
  <si>
    <t>CABLE DE CONEX.RPD 10M KDKS AMARILLO CON ENCHUFE INYECTADO Y</t>
  </si>
  <si>
    <t>1030203018181854</t>
  </si>
  <si>
    <t>R347</t>
  </si>
  <si>
    <t>108713771350135270</t>
  </si>
  <si>
    <t>R185</t>
  </si>
  <si>
    <t>Poleas de Impulso-Dinamo tacométrica</t>
  </si>
  <si>
    <t>ARO DE GOMA  290X44 SIN RANURA PARA POLEA</t>
  </si>
  <si>
    <t>103173572502348</t>
  </si>
  <si>
    <t>R211</t>
  </si>
  <si>
    <t>1054194126181660</t>
  </si>
  <si>
    <t>R344</t>
  </si>
  <si>
    <t>TORNILLO ISO 4014-8.8U M24X470 FVZ TORN.HEX. GALV.INM.CALIEN.</t>
  </si>
  <si>
    <t>113167994814472264</t>
  </si>
  <si>
    <t>R109</t>
  </si>
  <si>
    <t>FILTRO        0240 D 005 ON                             HYDAC</t>
  </si>
  <si>
    <t>10311398120416</t>
  </si>
  <si>
    <t>R98</t>
  </si>
  <si>
    <t>ZAPATA FRENO 260X120/10 COMPL. FRENO DE EMERG. 50KN</t>
  </si>
  <si>
    <t>10020270140014</t>
  </si>
  <si>
    <t>R129</t>
  </si>
  <si>
    <t>11805532210021</t>
  </si>
  <si>
    <t>R166</t>
  </si>
  <si>
    <t>10628260350035</t>
  </si>
  <si>
    <t>R91</t>
  </si>
  <si>
    <t>BALANCÍN DE 2 POL. TIPO C AC.60 DP=572 P. POLEA SENSOR 420C</t>
  </si>
  <si>
    <t>10946774120012</t>
  </si>
  <si>
    <t>R349</t>
  </si>
  <si>
    <t>BULÓN DIA.24,9 LN 148 M20      PARA POLEA TIPO C/401(&gt;1970)</t>
  </si>
  <si>
    <t>102886961522480256</t>
  </si>
  <si>
    <t>R369</t>
  </si>
  <si>
    <t>RODAM.RAN.DIN 625/1- 6306-2RS1 RODAM.RANUR.DE BOLAS (TTF-60%)</t>
  </si>
  <si>
    <t>1000407934000340</t>
  </si>
  <si>
    <t>R136</t>
  </si>
  <si>
    <t>1153139677721</t>
  </si>
  <si>
    <t>L11</t>
  </si>
  <si>
    <t>Manto. Motores y reductores</t>
  </si>
  <si>
    <t>GRASA LUBR. KLUEBERQUIET BQH72  CARTUCHO DE 1,0 KG  KLUEBER</t>
  </si>
  <si>
    <t>121567062226</t>
  </si>
  <si>
    <t>R284</t>
  </si>
  <si>
    <t>TUBO DIST. DIÁ 35/25 L=140, TUBO DIST. P. POLEA 420C</t>
  </si>
  <si>
    <t>1143034812200122</t>
  </si>
  <si>
    <t>R431</t>
  </si>
  <si>
    <t>CASQUILLO PM 3030 DS  TIPO: KW SIN AGUJ.DE ENGRASE    GLACIER</t>
  </si>
  <si>
    <t>100839130375375750</t>
  </si>
  <si>
    <t>R227</t>
  </si>
  <si>
    <t>CORREA TRAPEZOIDAL XPC LA=1850 MM DIN 7753-1</t>
  </si>
  <si>
    <t>103603533003060</t>
  </si>
  <si>
    <t>R470</t>
  </si>
  <si>
    <t>Manto. Transmisión Tren de Ruedas</t>
  </si>
  <si>
    <t>TUERCA AUTOFIJ.  INLOC - 8 M24 C.ELEM.DE FIJAC. ~DIN934 GALV.</t>
  </si>
  <si>
    <t>102520619544844841922</t>
  </si>
  <si>
    <t>R402</t>
  </si>
  <si>
    <t>TORNILLO HEXAG. M10X50 GALV. Nº ART. 809559 C. REV. TUFLOK</t>
  </si>
  <si>
    <t>1112958250200502</t>
  </si>
  <si>
    <t>L3</t>
  </si>
  <si>
    <t xml:space="preserve">Acople cardanico </t>
  </si>
  <si>
    <t>GRASA LUBRIC.  MOBILGREASE XHP222 CUBA DE 50,0KG</t>
  </si>
  <si>
    <t>111809751113</t>
  </si>
  <si>
    <t>R319</t>
  </si>
  <si>
    <t>10686566130300160</t>
  </si>
  <si>
    <t>R21</t>
  </si>
  <si>
    <t>VENTANA LADO TORRE OMIV-8 LWI Nº ART. 110048874GRAU133</t>
  </si>
  <si>
    <t>116727790112</t>
  </si>
  <si>
    <t>R436</t>
  </si>
  <si>
    <t>TUERCA HEXAG. DIN 985-8 M30 GALVANIZADO (C.ELEM.DE FIJACION)</t>
  </si>
  <si>
    <t>10000085140308276724</t>
  </si>
  <si>
    <t>R86</t>
  </si>
  <si>
    <t>CARTUCHO DE REPUESTO P.DESHUMECTADOR BDE400X2W0.0, HYDAC</t>
  </si>
  <si>
    <t>111393699009</t>
  </si>
  <si>
    <t>R24</t>
  </si>
  <si>
    <t>ACOPLAD.FIBROÓPT. SBR-FX15000/RMD V2.0 Nº 12-20-540-81 ESCLA.</t>
  </si>
  <si>
    <t>115183842002</t>
  </si>
  <si>
    <t>R25</t>
  </si>
  <si>
    <t>R27</t>
  </si>
  <si>
    <t>POLEA H 500 CL.100 DIÁ.505 C.ARO LAT. ACERO SIN NIPLE ENGRASE</t>
  </si>
  <si>
    <t>112002912002</t>
  </si>
  <si>
    <t>R37</t>
  </si>
  <si>
    <t>MANDO A DIST. CWA DERECHA-EXER. Nº ART. 11-080638</t>
  </si>
  <si>
    <t>118081043003</t>
  </si>
  <si>
    <t>R469</t>
  </si>
  <si>
    <t>102520619543343341622</t>
  </si>
  <si>
    <t>R340</t>
  </si>
  <si>
    <t>POLEA DIÁ.47/12,0  B=20,0 PARA CADENA TRANSPORTADORA 4"</t>
  </si>
  <si>
    <t>105898001324012184</t>
  </si>
  <si>
    <t>R8</t>
  </si>
  <si>
    <t>HERRAM.DE SUJEC. P.CORREAS UNIG GALVANIZADA, COMPUESTA DE:</t>
  </si>
  <si>
    <t>106897321001</t>
  </si>
  <si>
    <t>R92</t>
  </si>
  <si>
    <t>109467749009</t>
  </si>
  <si>
    <t>R93</t>
  </si>
  <si>
    <t>R352</t>
  </si>
  <si>
    <t>SOPORTE DE EJE P. DIÁ.75       PROT. CONTRA PÉRDIDA</t>
  </si>
  <si>
    <t>1145254620200202</t>
  </si>
  <si>
    <t>R51</t>
  </si>
  <si>
    <t>CIRC.IMP.BLSCHAS2 PROT.C.RAYOS DOTADO                  LUETZE</t>
  </si>
  <si>
    <t>103204444004</t>
  </si>
  <si>
    <t>R309</t>
  </si>
  <si>
    <t>RESORTE DE COMPR. D=10,50/DIÁ=72,00/LO=91,0 IF= 2,71; RAL5003</t>
  </si>
  <si>
    <t>1187027300132132</t>
  </si>
  <si>
    <t>R332</t>
  </si>
  <si>
    <t>ELEM.ACTUAD.P.INTERRUPT.FINAL  PARA CABEZA INTERR.F. ZCK-E056</t>
  </si>
  <si>
    <t>10752419525252156</t>
  </si>
  <si>
    <t>R97</t>
  </si>
  <si>
    <t>CARGADOR BLUE SMART 24/12     A PRUEBA DE AGUA VICTRON ENERGY</t>
  </si>
  <si>
    <t>120207535409</t>
  </si>
  <si>
    <t>R418</t>
  </si>
  <si>
    <t>1042018530448160512</t>
  </si>
  <si>
    <t>R54</t>
  </si>
  <si>
    <t>BLOQUE D.ALIM. QS20.481</t>
  </si>
  <si>
    <t>107636512024</t>
  </si>
  <si>
    <t>R322</t>
  </si>
  <si>
    <t>KONSOLE F. 2 BERO                                         GD.</t>
  </si>
  <si>
    <t>10083434761248136</t>
  </si>
  <si>
    <t>R32</t>
  </si>
  <si>
    <t>POLEA V 500 CL.100 DIÁ.505 C.ARO LAT. ACERO SIN NIPLE ENGRASE</t>
  </si>
  <si>
    <t>112003102002</t>
  </si>
  <si>
    <t>R359</t>
  </si>
  <si>
    <t>SOPORTE DE EJE P. DIÁ 55 Y DIÁ 75 AJUSTABLE PROT.CONTRA TORS.</t>
  </si>
  <si>
    <t>1144617620200202</t>
  </si>
  <si>
    <t>R10</t>
  </si>
  <si>
    <t>INTERR. ETHERNET CONTROLADO L210-F2G LYNX PROGRAMADO</t>
  </si>
  <si>
    <t>111422611001</t>
  </si>
  <si>
    <t>R89</t>
  </si>
  <si>
    <t xml:space="preserve">LLANTA DE POLEA 403 330X120    </t>
  </si>
  <si>
    <t>101861085038</t>
  </si>
  <si>
    <t>R56</t>
  </si>
  <si>
    <t>FILTRO NDF PI 2015-058 PI 3115PS10 FILTRO DE PRES.BA</t>
  </si>
  <si>
    <t>114122464004</t>
  </si>
  <si>
    <t>R226</t>
  </si>
  <si>
    <t>103603532502045</t>
  </si>
  <si>
    <t>R426</t>
  </si>
  <si>
    <t>1055149100528528</t>
  </si>
  <si>
    <t>R468</t>
  </si>
  <si>
    <t>102520612806165521448</t>
  </si>
  <si>
    <t>R11</t>
  </si>
  <si>
    <t>MAGNETTEIL 522.26-SO                             MOENNINGHOFF</t>
  </si>
  <si>
    <t>113192011001</t>
  </si>
  <si>
    <t>R255</t>
  </si>
  <si>
    <t>CASQUILLO PM 9080 DS  TIPO: KW SIN AGUJERO DE ENGRASE GLACIER</t>
  </si>
  <si>
    <t>10488001600060</t>
  </si>
  <si>
    <t>R459</t>
  </si>
  <si>
    <t>CIRCLIP INTER. DIN 472  72X3,0 GALVAN.</t>
  </si>
  <si>
    <t>102740526402442441128</t>
  </si>
  <si>
    <t>R145</t>
  </si>
  <si>
    <t>RUEDA COMPLETA "DOPPELMAYR-G" PRESION 3,5 - 5,0 BARES</t>
  </si>
  <si>
    <t>12008364150015</t>
  </si>
  <si>
    <t>R247</t>
  </si>
  <si>
    <t>CORREA TRAP.XPB     LW=1500 MM DIN 7753-1</t>
  </si>
  <si>
    <t>102415580252550</t>
  </si>
  <si>
    <t>R240</t>
  </si>
  <si>
    <t>RODAM.R.BOL.DIN625/1- 6016-2RS RODAMIENTO RANURADO DE BOLAS</t>
  </si>
  <si>
    <t>100220922026046</t>
  </si>
  <si>
    <t>R482</t>
  </si>
  <si>
    <t>OVH Suspension Cabina</t>
  </si>
  <si>
    <t>TUERCA AUTOFIJ.  INLOC - 8 M20 C.ELEM.DE FIJAC. ~DIN934 GALV.</t>
  </si>
  <si>
    <t>107967475875655651717</t>
  </si>
  <si>
    <t>R331</t>
  </si>
  <si>
    <t>RRB DIN 625/1- 6208-2RS-C3GLE VT210 (90%+5%)RODAM.RANU.BOLAS</t>
  </si>
  <si>
    <t>1061666664064128</t>
  </si>
  <si>
    <t>R312</t>
  </si>
  <si>
    <t>RODAM.RAN.D.BOLAS DIN625/1- 6309-2RS1-C3GLE VT210 (90% +/-5%)</t>
  </si>
  <si>
    <t>1074585580300110</t>
  </si>
  <si>
    <t>R375</t>
  </si>
  <si>
    <t>1008392622800228</t>
  </si>
  <si>
    <t>R119</t>
  </si>
  <si>
    <t>ARRANCAD.REV, ELR H5-SC-24VDC/  500AC-9   NO.:2900538 PHOENIX</t>
  </si>
  <si>
    <t>1115498260410</t>
  </si>
  <si>
    <t>R12</t>
  </si>
  <si>
    <t>LEISTUNGSSCHALTER TMAX XT5H 630 3P KOMPL. F.AF300         ABB</t>
  </si>
  <si>
    <t>120466491001</t>
  </si>
  <si>
    <t>R13</t>
  </si>
  <si>
    <t>FREMDLUEFTERMOTOR  HEFIE3 FOL 100LA/4  3,0KW 400V 50HZ  EMOD</t>
  </si>
  <si>
    <t>120478731001</t>
  </si>
  <si>
    <t>R67</t>
  </si>
  <si>
    <t>VÁLVULA DISTR. 3/2 AS32061B-G24-  HRKS792Z328  WANDFLUH</t>
  </si>
  <si>
    <t>117806044004</t>
  </si>
  <si>
    <t>R246</t>
  </si>
  <si>
    <t>103885132302043</t>
  </si>
  <si>
    <t>R404</t>
  </si>
  <si>
    <t>TUERCA HEXAGONAL M18   A 108-C</t>
  </si>
  <si>
    <t>1048857133000330</t>
  </si>
  <si>
    <t>R84</t>
  </si>
  <si>
    <t>105396096006</t>
  </si>
  <si>
    <t>R224</t>
  </si>
  <si>
    <t>FILTRO        0030 D 005 ON                             HYDAC</t>
  </si>
  <si>
    <t>10261450360036</t>
  </si>
  <si>
    <t>R248</t>
  </si>
  <si>
    <t>102415582501843</t>
  </si>
  <si>
    <t>R493</t>
  </si>
  <si>
    <t>ANILLO EN O, DIA I. 22,0X3,5</t>
  </si>
  <si>
    <t>107528345885885881764</t>
  </si>
  <si>
    <t>R126</t>
  </si>
  <si>
    <t>MANGUERA AP AN25-2SC L=2400MM     DKOL-28/CEL-28</t>
  </si>
  <si>
    <t>11247815100010</t>
  </si>
  <si>
    <t>R389</t>
  </si>
  <si>
    <t>ANILL.SINUS.85,8X75,8X1,10/8,0 N° ART.: SR 050.43-36</t>
  </si>
  <si>
    <t>1062565823600236</t>
  </si>
  <si>
    <t>R350</t>
  </si>
  <si>
    <t>10288696464646138</t>
  </si>
  <si>
    <t>R550</t>
  </si>
  <si>
    <t>Reacondicionamiento de Poleas Palpadoras</t>
  </si>
  <si>
    <t>CIRCLIP DIN 471 30X2,0 REFOZADO, FOSFATIZADO</t>
  </si>
  <si>
    <t>100003132346234623467038</t>
  </si>
  <si>
    <t>R292</t>
  </si>
  <si>
    <t>CASQU.DIST. DIÁ42/25 L=125 CASQUILLO DIST. P. POLEA 403</t>
  </si>
  <si>
    <t>114304633803876</t>
  </si>
  <si>
    <t>R343</t>
  </si>
  <si>
    <t>RESORTE DE COMPR.D=10,00/DIÁ=71,00/LO=85,7 IF= 2,42; RAL7016</t>
  </si>
  <si>
    <t>1187027200132132</t>
  </si>
  <si>
    <t>R120</t>
  </si>
  <si>
    <t>EJE P. ACC. POR FRICC. L=323,0 UNIG P. BALANCÍN POL.FR. BLK</t>
  </si>
  <si>
    <t>109194573339</t>
  </si>
  <si>
    <t>R176</t>
  </si>
  <si>
    <t>ELEMENTO BAS.P.ENCHUFE PROTECT.PHOENIX CONTACTO NO.:2839376</t>
  </si>
  <si>
    <t>11131578200020</t>
  </si>
  <si>
    <t>R483</t>
  </si>
  <si>
    <t>107967475874124121411</t>
  </si>
  <si>
    <t>R527</t>
  </si>
  <si>
    <t>TUERCA HEX. DIN 985-8 M16 ELECTROGALVAN. (C.ELEM.DE FIJAC.)</t>
  </si>
  <si>
    <t>100000821474117811783830</t>
  </si>
  <si>
    <t>R188</t>
  </si>
  <si>
    <t>CABLE CONEX. RPD 12,0M LDKS AMARILLO C. ENCHUFE INYECTADO Y</t>
  </si>
  <si>
    <t>1030203288824</t>
  </si>
  <si>
    <t>R142</t>
  </si>
  <si>
    <t>PROT. CONTRA SOBRETENS. ALIMENT. PHOENIX CONTACT Nº 2907920</t>
  </si>
  <si>
    <t>1182238244412</t>
  </si>
  <si>
    <t>R489</t>
  </si>
  <si>
    <t>NIPLE ENGRASE M10X1 H1 RES.RESF. NIPLE CÓNICO DE ENGRASE 0°</t>
  </si>
  <si>
    <t>107529901576001576</t>
  </si>
  <si>
    <t>R58</t>
  </si>
  <si>
    <t>ADAPTADOR DE NIVEL PAP4 +FILTRO NO.305158 P. RS232/RPD PILZ</t>
  </si>
  <si>
    <t>102998431113</t>
  </si>
  <si>
    <t>R484</t>
  </si>
  <si>
    <t>107967475873603601307</t>
  </si>
  <si>
    <t>R156</t>
  </si>
  <si>
    <t>1141687260612</t>
  </si>
  <si>
    <t>L6</t>
  </si>
  <si>
    <t>Carro tensor</t>
  </si>
  <si>
    <t>PROTECCIÓN ANTICORROSIVA ANTICORIT RPC5000 BOTELLA 1,0L FUCHS</t>
  </si>
  <si>
    <t>1152713120383896</t>
  </si>
  <si>
    <t>R75</t>
  </si>
  <si>
    <t>BULÓN DIÁ 90H8 LN 441    420C SOPORTE 4P/4S EN ARMAZÓN 8P/8S</t>
  </si>
  <si>
    <t>115450620044</t>
  </si>
  <si>
    <t>R64</t>
  </si>
  <si>
    <t>115256883003</t>
  </si>
  <si>
    <t>R285</t>
  </si>
  <si>
    <t>114303482223458</t>
  </si>
  <si>
    <t>R443</t>
  </si>
  <si>
    <t>TUERCA HEXAG. ISO 4032-8 M24 GIC</t>
  </si>
  <si>
    <t>11136923120288112520</t>
  </si>
  <si>
    <t>R472</t>
  </si>
  <si>
    <t>TORNILLO DIN931-8.8U M16X65, GIC, TORN.HEX., GIC (ISO 4014)</t>
  </si>
  <si>
    <t>11136966328272348948</t>
  </si>
  <si>
    <t>R44</t>
  </si>
  <si>
    <t>NIEDERHALTESCHIENE      L=2550 F.BAHNHOF</t>
  </si>
  <si>
    <t>102575002002</t>
  </si>
  <si>
    <t>L5</t>
  </si>
  <si>
    <t>Cadena de acoplamiento - volante</t>
  </si>
  <si>
    <t>105508480191938</t>
  </si>
  <si>
    <t>R495</t>
  </si>
  <si>
    <t>ARANDELA SEGUR.  NORDLOCK NL16 RECUB.DE LAMINILLAS DE CINC</t>
  </si>
  <si>
    <t>100461544724044961372</t>
  </si>
  <si>
    <t>R23</t>
  </si>
  <si>
    <t>ACOPLADOR FIBROÓPT. SBR-FX15000/RMD V2.0 Nº:12-20-540-80 MAES</t>
  </si>
  <si>
    <t>115183831001</t>
  </si>
  <si>
    <t>R160</t>
  </si>
  <si>
    <t>ARO LATER. DIA435/330,5 S=16 R 6,9+-0,1</t>
  </si>
  <si>
    <t>1030344060612</t>
  </si>
  <si>
    <t>R563</t>
  </si>
  <si>
    <t>PASADOR SUJ. DIN1481  6  X 45 CON RECUBR.DACROMET (I</t>
  </si>
  <si>
    <t>100005621993283228327657</t>
  </si>
  <si>
    <t>R222</t>
  </si>
  <si>
    <t>107458571001626</t>
  </si>
  <si>
    <t>R526</t>
  </si>
  <si>
    <t>TORN.P.RUEDA 8.8 M12X 20  ESP. HEXAGONAL, DIN 933 + ARANDELA</t>
  </si>
  <si>
    <t>10653936217604002576</t>
  </si>
  <si>
    <t>R462</t>
  </si>
  <si>
    <t>TORNILLO TENSILOCK CL.90 M16X35 T.CON DIENTE, RV.LAM.DE ZINC</t>
  </si>
  <si>
    <t>1051085738488280752</t>
  </si>
  <si>
    <t>R70</t>
  </si>
  <si>
    <t>11-000505</t>
  </si>
  <si>
    <t>HORQUILLA DE PUERTA DERECHA + PUERTA IZQUIERDA, OMIV
147X103X48MM</t>
  </si>
  <si>
    <t>11-0005053003</t>
  </si>
  <si>
    <t>R568</t>
  </si>
  <si>
    <t>PASADOR SUJ.DIN 1481  6  X 55 CON RECUBR.DACROMET (I</t>
  </si>
  <si>
    <t>100005643646283228329310</t>
  </si>
  <si>
    <t>R270</t>
  </si>
  <si>
    <t>ESCOBILLA STAND. 31-41-EG 600V P. DÍNAMO TACOM. REO 444 R</t>
  </si>
  <si>
    <t>100313272401640</t>
  </si>
  <si>
    <t>R403</t>
  </si>
  <si>
    <t>1048857120100100220</t>
  </si>
  <si>
    <t>R354</t>
  </si>
  <si>
    <t>INTERRUPT.DE HORQUILLA DE SEG. RACOR ATORN.P.2 CABLES DIA.5-6</t>
  </si>
  <si>
    <t>1053098510000100</t>
  </si>
  <si>
    <t>R481</t>
  </si>
  <si>
    <t>10796747508120332960</t>
  </si>
  <si>
    <t>R265</t>
  </si>
  <si>
    <t>CORREA TRAP.XPB     LW=1545 MM DIN 7753-1</t>
  </si>
  <si>
    <t>103190110181836</t>
  </si>
  <si>
    <t>R324</t>
  </si>
  <si>
    <t xml:space="preserve">TORNILLO DE AJUSTE      A108-C </t>
  </si>
  <si>
    <t>1068747522222266</t>
  </si>
  <si>
    <t>R170</t>
  </si>
  <si>
    <t>CAB.ARTICUL.DE.ROT.10/M8 INOX. N° ART. 806598</t>
  </si>
  <si>
    <t>1110130760612</t>
  </si>
  <si>
    <t>R208</t>
  </si>
  <si>
    <t>CABLE CONECTOR RPD 8M KDKS AMARILLO CON CONECTOR INTEGRADO +</t>
  </si>
  <si>
    <t>1030202866618</t>
  </si>
  <si>
    <t>R59</t>
  </si>
  <si>
    <t>102998431012</t>
  </si>
  <si>
    <t>R152</t>
  </si>
  <si>
    <t>MANGUERA AP AN35-2SC L=900MM      DKOL-28/DKOL90-28</t>
  </si>
  <si>
    <t>112479618008</t>
  </si>
  <si>
    <t>R376</t>
  </si>
  <si>
    <t>1008392660060120</t>
  </si>
  <si>
    <t>R363</t>
  </si>
  <si>
    <t>ARAND.DIST. DIA.79,5/35 S=12,1 ARANDELA DIST.P.POLEA TIPO 403</t>
  </si>
  <si>
    <t>1051898652052104</t>
  </si>
  <si>
    <t>R234</t>
  </si>
  <si>
    <t>CORREA TRAPEZ. XPC  LA=2080 MM DIN 7753-1</t>
  </si>
  <si>
    <t>105676471201022</t>
  </si>
  <si>
    <t>R428</t>
  </si>
  <si>
    <t>100839131522480256</t>
  </si>
  <si>
    <t>R111</t>
  </si>
  <si>
    <t>INTERRUPT.PROXIM.KD5018    IFM KAPAZITIV           M.LED-GELB</t>
  </si>
  <si>
    <t>103555721405</t>
  </si>
  <si>
    <t>R295</t>
  </si>
  <si>
    <t>BULÓN DIA.30 H8 - L= 120       PARA POLEA CONTADORA</t>
  </si>
  <si>
    <t>10607522460046</t>
  </si>
  <si>
    <t>R256</t>
  </si>
  <si>
    <t>ID GOM INCORRECTO</t>
  </si>
  <si>
    <t>104880010121628</t>
  </si>
  <si>
    <t>R214</t>
  </si>
  <si>
    <t>CABLE DE CONEX.RPD 6M KDKS AMARILLO CON ENCHUFE INYECTADO Y</t>
  </si>
  <si>
    <t>1030202666618</t>
  </si>
  <si>
    <t>R233</t>
  </si>
  <si>
    <t>CORREA TRAPEZOIDAL XPC LA=2140 MM DIN 7753-1</t>
  </si>
  <si>
    <t>103885091101021</t>
  </si>
  <si>
    <t>R157</t>
  </si>
  <si>
    <t>CONTACTOR K3-50A00.230      AC                BENEDIKT&amp;JAEGER</t>
  </si>
  <si>
    <t>107635954048</t>
  </si>
  <si>
    <t>R300</t>
  </si>
  <si>
    <t>10309716470047</t>
  </si>
  <si>
    <t>R130</t>
  </si>
  <si>
    <t>118055326006</t>
  </si>
  <si>
    <t>R132</t>
  </si>
  <si>
    <t>MANGUERA AP AN25-2SC L=1700MM CEL-28/DKOL90-28</t>
  </si>
  <si>
    <t>116685726006</t>
  </si>
  <si>
    <t>R430</t>
  </si>
  <si>
    <t>100839131270112239</t>
  </si>
  <si>
    <t>R102</t>
  </si>
  <si>
    <t>CONTADOR HORAS DE SERVICIO R5 97 10-50V DC 96X96MM BAUSER</t>
  </si>
  <si>
    <t>100400244004</t>
  </si>
  <si>
    <t>R103</t>
  </si>
  <si>
    <t>MOTORSCHUTZSCHALT. 30,0- 42,0A MS165-42                   ABB</t>
  </si>
  <si>
    <t>118671632024</t>
  </si>
  <si>
    <t>R355</t>
  </si>
  <si>
    <t>10871370820082</t>
  </si>
  <si>
    <t>R135</t>
  </si>
  <si>
    <t>INTERR. PROXIM. F1 GS (ROJO) PULSOR  M18 9914-1735 ANALÓGICO</t>
  </si>
  <si>
    <t>103706244116</t>
  </si>
  <si>
    <t>R204</t>
  </si>
  <si>
    <t>10239621150015</t>
  </si>
  <si>
    <t>R105</t>
  </si>
  <si>
    <t>FI-SCHALTER 5SV3 646-8     63A AUSLOESESTROM 0,3A     SIEMENS</t>
  </si>
  <si>
    <t>115360542024</t>
  </si>
  <si>
    <t>R410</t>
  </si>
  <si>
    <t>STECKVERBINDER EINBAU  2,5MM2  PV-FT-CF-C-2,5-130-BU</t>
  </si>
  <si>
    <t>111634581003040170</t>
  </si>
  <si>
    <t>R411</t>
  </si>
  <si>
    <t>STECKVERBINDER EINBAU  2,5MM2  PV-FT-CM-C-2,5-130-RD</t>
  </si>
  <si>
    <t>111634571003040170</t>
  </si>
  <si>
    <t>R139</t>
  </si>
  <si>
    <t>INTERRUPT.LLAVE 22-353.111D  EAO 2 CONT.DE CIERRE 24X36 NEGRO</t>
  </si>
  <si>
    <t>100596966006</t>
  </si>
  <si>
    <t>R505</t>
  </si>
  <si>
    <t>TORNILLO TENSILOCK CL. 90 M10X20 T.CON DIENTES DE PARADA RLZ</t>
  </si>
  <si>
    <t>10004958608963201024</t>
  </si>
  <si>
    <t>R143</t>
  </si>
  <si>
    <t>118223826006</t>
  </si>
  <si>
    <t>R444</t>
  </si>
  <si>
    <t xml:space="preserve">DI-BU    DM  20,0/ 12.5 L=  16 </t>
  </si>
  <si>
    <t>105918672001000300</t>
  </si>
  <si>
    <t>R128</t>
  </si>
  <si>
    <t>MANGUERA AP AN10-2SC L=9500MM     DKOL-12/CEL-12</t>
  </si>
  <si>
    <t>114306465005</t>
  </si>
  <si>
    <t>R491</t>
  </si>
  <si>
    <t>1075299078800788</t>
  </si>
  <si>
    <t>R461</t>
  </si>
  <si>
    <t>TUERCA HEXAG. DIN 985-8 M24 GALVANIZADA (CON ELEM. DE FIJ.)</t>
  </si>
  <si>
    <t>1000008425460166480</t>
  </si>
  <si>
    <t>R112</t>
  </si>
  <si>
    <t>MANGUERA AP AN10-2SC L=11500MM    DKOL-12/CEL-12</t>
  </si>
  <si>
    <t>114054414004</t>
  </si>
  <si>
    <t>R379</t>
  </si>
  <si>
    <t>RODAM.RAN. DIN 625/1- 6305-2RS RODAMIENTO RANURADO DE BOLAS</t>
  </si>
  <si>
    <t>100040764804896</t>
  </si>
  <si>
    <t>R165</t>
  </si>
  <si>
    <t>MANGUERA AP AN12-2SC L=2400MM     CES-16/DKOS90-16</t>
  </si>
  <si>
    <t>112478148008</t>
  </si>
  <si>
    <t>R365</t>
  </si>
  <si>
    <t xml:space="preserve">ARANDELA 80X3            AGA-C </t>
  </si>
  <si>
    <t>1048855828282884</t>
  </si>
  <si>
    <t>R150</t>
  </si>
  <si>
    <t>INT.CORR.DEF.5SU1 354-6KK06 6A CORR.LIBERACIÓN 0,03A  SIEMENS</t>
  </si>
  <si>
    <t>111001723036</t>
  </si>
  <si>
    <t>R266</t>
  </si>
  <si>
    <t>103190111501025</t>
  </si>
  <si>
    <t>R42</t>
  </si>
  <si>
    <t>BRAZO DE PUERTA LADO IZQUIERDO, OMIV</t>
  </si>
  <si>
    <t>110018961001</t>
  </si>
  <si>
    <t>R153</t>
  </si>
  <si>
    <t>MANGUERA AP AN25-1SC L=1550MM  CEL-28/DKOL90-28</t>
  </si>
  <si>
    <t>112470906006</t>
  </si>
  <si>
    <t>R253</t>
  </si>
  <si>
    <t>ARRASTRADOR 28X12X10 P. ACOPLAM. FELXIBLE INCL.P.DE GOMA 90SH</t>
  </si>
  <si>
    <t>11402505210021</t>
  </si>
  <si>
    <t>R175</t>
  </si>
  <si>
    <t>111315783339</t>
  </si>
  <si>
    <t>R122</t>
  </si>
  <si>
    <t>VÁLVULA DIR. 2/2 VEI-16-08A-NC VÁLVULA DE ASIENTO HABERKORN</t>
  </si>
  <si>
    <t>117971384004</t>
  </si>
  <si>
    <t>R413</t>
  </si>
  <si>
    <t>ARANDELA DIST. DM 46,6/20 S=10 P.POLEA TIPO OE/A</t>
  </si>
  <si>
    <t>1007574098054152</t>
  </si>
  <si>
    <t>R531</t>
  </si>
  <si>
    <t>1000008211182962961710</t>
  </si>
  <si>
    <t>R315</t>
  </si>
  <si>
    <t>CEPILLO P. LUBRCAR PERMA 40X30 G1/4I, A101397</t>
  </si>
  <si>
    <t>108632132102142</t>
  </si>
  <si>
    <t>R366</t>
  </si>
  <si>
    <t>TAPA DE EJE              AGA-C A108-C, A104-C</t>
  </si>
  <si>
    <t>1100750324262676</t>
  </si>
  <si>
    <t>R138</t>
  </si>
  <si>
    <t>MANGUERA AP AN10-2SC L=8000MM     DKOL-12/CEL-12</t>
  </si>
  <si>
    <t>106616605005</t>
  </si>
  <si>
    <t>R371</t>
  </si>
  <si>
    <t>ANILLO DIST. DIÁ.68/50 E=23,5 P. POLEA 501 GALV.+AMARILLO</t>
  </si>
  <si>
    <t>10834216820082</t>
  </si>
  <si>
    <t>R194</t>
  </si>
  <si>
    <t>ESCOBILLA DE CARBÓN 5/4/8.5 P. TACOM. HUEBNER Nº ID 10875889</t>
  </si>
  <si>
    <t>10876923110011</t>
  </si>
  <si>
    <t>R388</t>
  </si>
  <si>
    <t>106256580484896</t>
  </si>
  <si>
    <t>R125</t>
  </si>
  <si>
    <t>INTERR. CORR. DEF. 5SV3 344-6LA01 40A CORR.ACT. 0,03A SIEMENS</t>
  </si>
  <si>
    <t>115360462024</t>
  </si>
  <si>
    <t>R144</t>
  </si>
  <si>
    <t>118223824015</t>
  </si>
  <si>
    <t>R320</t>
  </si>
  <si>
    <t>106865662002040</t>
  </si>
  <si>
    <t>R228</t>
  </si>
  <si>
    <t>MANGUERA AP AN10-2SC L=1400MM     DKOL-12/DKOL-12</t>
  </si>
  <si>
    <t>10966162140014</t>
  </si>
  <si>
    <t>R146</t>
  </si>
  <si>
    <t>105052941225</t>
  </si>
  <si>
    <t>R416</t>
  </si>
  <si>
    <t>ARANDELA DIST. DIÁ.51,5/14 E=12,5 P.POLEA C-C, ENSAYO FINAL</t>
  </si>
  <si>
    <t>10075741464646138</t>
  </si>
  <si>
    <t>R294</t>
  </si>
  <si>
    <t>106075226121230</t>
  </si>
  <si>
    <t>R178</t>
  </si>
  <si>
    <t>103025028008</t>
  </si>
  <si>
    <t>R47</t>
  </si>
  <si>
    <t>111604761001</t>
  </si>
  <si>
    <t>R577</t>
  </si>
  <si>
    <t>OVH Suspensiones 100%</t>
  </si>
  <si>
    <t>CHAVETA     DIN 94  5  X 50 AC GALVAN.             (ISO-1234)</t>
  </si>
  <si>
    <t>100004600283228325664</t>
  </si>
  <si>
    <t>R279</t>
  </si>
  <si>
    <t>100824821201022</t>
  </si>
  <si>
    <t>R302</t>
  </si>
  <si>
    <t>ANILLO DE CIERRE        A108-C DIA95,0/ 75,0  S=26,0  EL.GALV</t>
  </si>
  <si>
    <t>1048843110101030</t>
  </si>
  <si>
    <t>R348</t>
  </si>
  <si>
    <t>RESORTE DE COMPRESIÓN D=7,50/DIÁ=47,5/AG=94,0 IF=4,95 DIN2095</t>
  </si>
  <si>
    <t>109862832719046</t>
  </si>
  <si>
    <t>R198</t>
  </si>
  <si>
    <t>NoRecurrente</t>
  </si>
  <si>
    <t>103020309009</t>
  </si>
  <si>
    <t>R314</t>
  </si>
  <si>
    <t>1086321311111133</t>
  </si>
  <si>
    <t>R391</t>
  </si>
  <si>
    <t>ANILLO DIST. DIÁ.57/35 E=18,5 P. POLEA 420C GALV.+AMARILLO</t>
  </si>
  <si>
    <t>10834428820082</t>
  </si>
  <si>
    <t>R361</t>
  </si>
  <si>
    <t>RODAM.R.B. DIN 625/1- 6008-2RS RODAMIENTO RANURADO DE BOLAS</t>
  </si>
  <si>
    <t>101344724101253</t>
  </si>
  <si>
    <t>R487</t>
  </si>
  <si>
    <t>TORNILLO ISO 4017-8.8 M16X45 GIC TORN. HEXAG.</t>
  </si>
  <si>
    <t>11137015240120172532</t>
  </si>
  <si>
    <t>R184</t>
  </si>
  <si>
    <t>103173570448</t>
  </si>
  <si>
    <t>R325</t>
  </si>
  <si>
    <t>106874751701734</t>
  </si>
  <si>
    <t>R55</t>
  </si>
  <si>
    <t>90-035037</t>
  </si>
  <si>
    <t>CRISTAL DE REPUESTO PARA VENTANA ABATIBLE, OMIV.</t>
  </si>
  <si>
    <t>90-0350371001</t>
  </si>
  <si>
    <t>R341</t>
  </si>
  <si>
    <t>BATERIA DE LITIO    3,6V 2,6AH TAMAÑO: AA</t>
  </si>
  <si>
    <t>10191058340741</t>
  </si>
  <si>
    <t>R392</t>
  </si>
  <si>
    <t>1083442823213377</t>
  </si>
  <si>
    <t>R372</t>
  </si>
  <si>
    <t>1083421615172961</t>
  </si>
  <si>
    <t>R171</t>
  </si>
  <si>
    <t>MANGUERA AP AN12-2SC L=1800MM     CES-16/DKOS45-16</t>
  </si>
  <si>
    <t>116685656006</t>
  </si>
  <si>
    <t>R458</t>
  </si>
  <si>
    <t>ARANDELA D.CENTRAR DIA.104,5MM P.SUSPENSIÓN DE CABINA  6/8MGD</t>
  </si>
  <si>
    <t>1039234100264264</t>
  </si>
  <si>
    <t>R452</t>
  </si>
  <si>
    <t>TORNILLO TENSILOCK CL.90 M16X25 T.CON DIENTE, REV.LAM.DE ZINC</t>
  </si>
  <si>
    <t>10245633096128224</t>
  </si>
  <si>
    <t>R174</t>
  </si>
  <si>
    <t>MANGUERA AP AN12-2SC L=1650MM     CES-16/DKOS45-16</t>
  </si>
  <si>
    <t>112470936006</t>
  </si>
  <si>
    <t>R177</t>
  </si>
  <si>
    <t>111315786006</t>
  </si>
  <si>
    <t>R576</t>
  </si>
  <si>
    <t>TUERCA HEXAG. DIN 985-8 M10 ELECTROGALV. (C.ELEM.DE FIJAC.)</t>
  </si>
  <si>
    <t>100000791602143214324466</t>
  </si>
  <si>
    <t>R479</t>
  </si>
  <si>
    <t>TORNILLO TENSILOCK CL. 100 M12X30 T. DIENTES DE PARADA RLZ</t>
  </si>
  <si>
    <t>10004961132144140416</t>
  </si>
  <si>
    <t>R200</t>
  </si>
  <si>
    <t>RESORTE A GAS 750N CARR.=200MM TIPO ESPECIAL, ACEITE UNIVIS</t>
  </si>
  <si>
    <t>104944328008</t>
  </si>
  <si>
    <t>R496</t>
  </si>
  <si>
    <t>ARANDELA SEGUR.  NORDLOCK NL12 RECUB.DE LAMINILLAS DE CINC</t>
  </si>
  <si>
    <t>1026293830448160512</t>
  </si>
  <si>
    <t>R225</t>
  </si>
  <si>
    <t>1036035305510</t>
  </si>
  <si>
    <t>R99</t>
  </si>
  <si>
    <t>KEILRIEMENSCH. DM160 4RI  DM57 4 RIEMEN - TYPE 5V/15J</t>
  </si>
  <si>
    <t>101494442002</t>
  </si>
  <si>
    <t>R313</t>
  </si>
  <si>
    <t>107458551001626</t>
  </si>
  <si>
    <t>R524</t>
  </si>
  <si>
    <t>ARAND.DE AJ.DIN988  35X 45X1,5                 ELECTROGALVAN.</t>
  </si>
  <si>
    <t>10274064295295295885</t>
  </si>
  <si>
    <t>R104</t>
  </si>
  <si>
    <t>BLITZDUCTOR  Nº ART. 920324     MÓDULO DE PROT. BXT ML4 BE 24</t>
  </si>
  <si>
    <t>108484112002</t>
  </si>
  <si>
    <t>R419</t>
  </si>
  <si>
    <t>104201854804896</t>
  </si>
  <si>
    <t>R423</t>
  </si>
  <si>
    <t>CONECTADOR ENCHUF. 2,5-6,0MM2 PV-C3M-S 2,5-6 (-)</t>
  </si>
  <si>
    <t>1116346010000100</t>
  </si>
  <si>
    <t>R549</t>
  </si>
  <si>
    <t>TUERCA HEX. DIN 985-8 M14X1.5 GVZ ELECTROGALV. (PARTE APR.)</t>
  </si>
  <si>
    <t>107528395885885881764</t>
  </si>
  <si>
    <t>R107</t>
  </si>
  <si>
    <t>SOPORTE DE EJE DIA63 H7 ESPEC. UNIG              ELECTROGALV.</t>
  </si>
  <si>
    <t>107482902002</t>
  </si>
  <si>
    <t>R187</t>
  </si>
  <si>
    <t>103020326006</t>
  </si>
  <si>
    <t>R190</t>
  </si>
  <si>
    <t>FUSIBLE AUTOM. CA 5SY6 320-7, CORRIENTE ALTERNA, SIE</t>
  </si>
  <si>
    <t>107559573036</t>
  </si>
  <si>
    <t>R110</t>
  </si>
  <si>
    <t>CONV.MANOMÉTR. TIPO 8254.65.2317.32.0000.  0000.19.44.83 TRAF</t>
  </si>
  <si>
    <t>114392272002</t>
  </si>
  <si>
    <t>R113</t>
  </si>
  <si>
    <t>BOMBA RUEDAS D. SNP1/1,7DCO01F BOMBA RUEDAS DENTADAS    SAUER</t>
  </si>
  <si>
    <t>105369151102</t>
  </si>
  <si>
    <t>R437</t>
  </si>
  <si>
    <t>ARANDELA DIN 7349-31 300HSFG, FLZNNC-720H-L, R.L.ZN SIN BISEL</t>
  </si>
  <si>
    <t>11424994861016112</t>
  </si>
  <si>
    <t>R249</t>
  </si>
  <si>
    <t>10568945100010</t>
  </si>
  <si>
    <t>R415</t>
  </si>
  <si>
    <t>10075741820082</t>
  </si>
  <si>
    <t>R328</t>
  </si>
  <si>
    <t>BULÓN P. CILINDRO AMORT. MGD Y CLD</t>
  </si>
  <si>
    <t>107527240121224</t>
  </si>
  <si>
    <t>R196</t>
  </si>
  <si>
    <t>No se encuentra en lista de recurrentes. Se encuentra en OVH, pero solo 2</t>
  </si>
  <si>
    <t>103020306006</t>
  </si>
  <si>
    <t>R558</t>
  </si>
  <si>
    <t>TUERCA HEX.ISO4035- 8 M18       GALVANIZADA         (DIN439B)</t>
  </si>
  <si>
    <t>1112507238010086242012</t>
  </si>
  <si>
    <t>R560</t>
  </si>
  <si>
    <t>TUERCA HEXAGONAL DIN 985-8 M12, GALVANIZADA (C.ELEM.DE FIJ.)</t>
  </si>
  <si>
    <t>1000008063012201301980</t>
  </si>
  <si>
    <t>R121</t>
  </si>
  <si>
    <t>109194572002</t>
  </si>
  <si>
    <t>R287</t>
  </si>
  <si>
    <t>10542461150015</t>
  </si>
  <si>
    <t>R201</t>
  </si>
  <si>
    <t>FUSIBLE AUTOMÁT. CA 5SY6 302-7 CORRIENTE ALTERNA</t>
  </si>
  <si>
    <t>107559533036</t>
  </si>
  <si>
    <t>R421</t>
  </si>
  <si>
    <t>CASQUILLO DISTANC. 34/25 L= 45 CAQUILLO DISTANCIADOR</t>
  </si>
  <si>
    <t>10167525820082</t>
  </si>
  <si>
    <t>R236</t>
  </si>
  <si>
    <t>Cambio de amortiguadores</t>
  </si>
  <si>
    <t xml:space="preserve">ARO DE GOMA  254X44 SIN RANURA </t>
  </si>
  <si>
    <t>100123634048</t>
  </si>
  <si>
    <t>R476</t>
  </si>
  <si>
    <t>DISCO DISTANCIADOR DIA. 50  / 31   E=  1,5</t>
  </si>
  <si>
    <t>10531215878787261</t>
  </si>
  <si>
    <t>R351</t>
  </si>
  <si>
    <t>BATERÍA CR2477N     3,0V 950MAH LITIO</t>
  </si>
  <si>
    <t>10894070220729</t>
  </si>
  <si>
    <t>R207</t>
  </si>
  <si>
    <t>103020286006</t>
  </si>
  <si>
    <t>R209</t>
  </si>
  <si>
    <t>R434</t>
  </si>
  <si>
    <t>ROD.RB DIN625/1-6204-2RS1-C3LT VT210  TTF90% +/-5% RODAM.RAN.</t>
  </si>
  <si>
    <t>104201846202688</t>
  </si>
  <si>
    <t>R79</t>
  </si>
  <si>
    <t>LEVANTACABLE P.CON.POL.DEFL.F. P.POLEAS D.APOYO EN AMBOS LAD.</t>
  </si>
  <si>
    <t>101086231001</t>
  </si>
  <si>
    <t>R231</t>
  </si>
  <si>
    <t>MANGUERA AP AN10-2SC L=800MM     DKOL-12/DKOL-12</t>
  </si>
  <si>
    <t>109661117007</t>
  </si>
  <si>
    <t>R127</t>
  </si>
  <si>
    <t>SOPORTE DE EJE, CORTO</t>
  </si>
  <si>
    <t>113404632002</t>
  </si>
  <si>
    <t>R213</t>
  </si>
  <si>
    <t>103020266006</t>
  </si>
  <si>
    <t>R263</t>
  </si>
  <si>
    <t>CUBO DIÁ.52/DIÁ.110 L=49 POLEAS HORIZONTALES</t>
  </si>
  <si>
    <t>1104009260410</t>
  </si>
  <si>
    <t>R405</t>
  </si>
  <si>
    <t>ANILLO ELÁSTICO  393,5X 6,3    CON RECUBRIMIENTO DELTA-TONE</t>
  </si>
  <si>
    <t>10096799600060</t>
  </si>
  <si>
    <t>R216</t>
  </si>
  <si>
    <t>Sistema de seg. Apertura/Cierre de puertas</t>
  </si>
  <si>
    <t>CONTACTOR K3-24A00.230      AC                BENEDIKT&amp;JAEGER</t>
  </si>
  <si>
    <t>107635883036</t>
  </si>
  <si>
    <t>R501</t>
  </si>
  <si>
    <t>TUERCA HEXAG. DIN 985-8 M20 ELECTROGALV. (C. ELEM.DE FIJAC.)</t>
  </si>
  <si>
    <t>1000008380322330</t>
  </si>
  <si>
    <t>R220</t>
  </si>
  <si>
    <t>MANGUERA AP AN10-2SC L=1100MM     DKOL-12/CEL-12</t>
  </si>
  <si>
    <t>114306746006</t>
  </si>
  <si>
    <t>R523</t>
  </si>
  <si>
    <t>ARANDELA ELÁSTICA DIN137B   22 CON RECUBRIMIENTO GEOMET</t>
  </si>
  <si>
    <t>1079102000528528</t>
  </si>
  <si>
    <t>R223</t>
  </si>
  <si>
    <t>CABLE DE CONEX.RPD 4M KDKS AMARILLO CON ENCHUFE INYECTADO Y</t>
  </si>
  <si>
    <t>103020246006</t>
  </si>
  <si>
    <t>R438</t>
  </si>
  <si>
    <t>ANILLO MUELLE 194,8X 5,0       CON RECUBRIMIENTO DELTA-TONE</t>
  </si>
  <si>
    <t>10096801820082</t>
  </si>
  <si>
    <t>R474</t>
  </si>
  <si>
    <t>ARAND.DIST. DIA.110/75,5 E=1,5 ARANDELA DISTANCIADORA</t>
  </si>
  <si>
    <t>1056698820200202</t>
  </si>
  <si>
    <t>R305</t>
  </si>
  <si>
    <t>ELEM.FILTR.  SFE 15S 125 W 1.0 P.FILTRO DE SUCCIÓN HYDAC</t>
  </si>
  <si>
    <t>10007252150015</t>
  </si>
  <si>
    <t>R140</t>
  </si>
  <si>
    <t>PROTECC.SOBREVOLTAJE ALIM.CORRIENTE PHOENIX CONTACT NO.2839..</t>
  </si>
  <si>
    <t>111319291012</t>
  </si>
  <si>
    <t>R141</t>
  </si>
  <si>
    <t xml:space="preserve">ARO LATERAL DIA.505/400,5 S=18 </t>
  </si>
  <si>
    <t>104358522002</t>
  </si>
  <si>
    <t>R186</t>
  </si>
  <si>
    <t>CONTACTOR KG3-18A10.24  24V/CD (1 CONT.DE C.) BENEDIKT&amp;JAEGER</t>
  </si>
  <si>
    <t>107636042024</t>
  </si>
  <si>
    <t>R232</t>
  </si>
  <si>
    <t>MANGUERA AP AN10-2SC L=800MM      DKOL-12/CEL-12</t>
  </si>
  <si>
    <t>109661666006</t>
  </si>
  <si>
    <t>R422</t>
  </si>
  <si>
    <t>101675250313162</t>
  </si>
  <si>
    <t>R378</t>
  </si>
  <si>
    <t>10004076310233</t>
  </si>
  <si>
    <t>R384</t>
  </si>
  <si>
    <t>EMPUJADOR P.CAD.TRANSP.148X203 S=13,5 TRANSF.CORTA, C. CASQU.</t>
  </si>
  <si>
    <t>102866492015035</t>
  </si>
  <si>
    <t>R215</t>
  </si>
  <si>
    <t>103020265005</t>
  </si>
  <si>
    <t>R506</t>
  </si>
  <si>
    <t>ARANDELA ISO 7089 M27 300HV, FLZNNC-720H-L, REV.L.ZN SIN BIS.</t>
  </si>
  <si>
    <t>11424367228096324</t>
  </si>
  <si>
    <t>R494</t>
  </si>
  <si>
    <t>1075283400264264</t>
  </si>
  <si>
    <t>R191</t>
  </si>
  <si>
    <t>INTERR.PROT.MOTOR  0,25- 0,40A MS132-0.4-HKF1-11   1S+1OE ABB</t>
  </si>
  <si>
    <t>111748682024</t>
  </si>
  <si>
    <t>R192</t>
  </si>
  <si>
    <t>INTERR.PROT.MOTOR  0,40- 0,63A MS132-0.63-HKF1-11  1S+1OE ABB</t>
  </si>
  <si>
    <t>111748692024</t>
  </si>
  <si>
    <t>R534</t>
  </si>
  <si>
    <t>102473980324324648</t>
  </si>
  <si>
    <t>R545</t>
  </si>
  <si>
    <t>ARANDELA ISO 7089 M20 300HV, FLZNNC-720H-L, REV.L.ZINC SIN CH</t>
  </si>
  <si>
    <t>108736734620322784</t>
  </si>
  <si>
    <t>R181</t>
  </si>
  <si>
    <t>OPTOACOPLADOR LCIS-SR-DC-2L-5000140-PI  LUETZE 764050.0140</t>
  </si>
  <si>
    <t>118673923003</t>
  </si>
  <si>
    <t>R414</t>
  </si>
  <si>
    <t>BATTERIE CR2450    3,0V 560MAH LITHIUM</t>
  </si>
  <si>
    <t>10449062480048</t>
  </si>
  <si>
    <t>R564</t>
  </si>
  <si>
    <t>TORNILLO ISO 4017-8.8 M8X20, TORN. HEXAG., GALVAN.</t>
  </si>
  <si>
    <t>100018604755255251525</t>
  </si>
  <si>
    <t>R532</t>
  </si>
  <si>
    <t>1000008200528528</t>
  </si>
  <si>
    <t>R449</t>
  </si>
  <si>
    <t>CIRCLIP INTER.  DIN 472 110X4  FOSFAT.</t>
  </si>
  <si>
    <t>1000040935263899</t>
  </si>
  <si>
    <t>R329</t>
  </si>
  <si>
    <t>10752724140014</t>
  </si>
  <si>
    <t>R158</t>
  </si>
  <si>
    <t>RELE DE TIEMPO K3ZM20P-D    2-240V AC/DC        TELE HAASE</t>
  </si>
  <si>
    <t>114355291012</t>
  </si>
  <si>
    <t>R334</t>
  </si>
  <si>
    <t>ARAND.DIST. 108,5/50,1 S= 13,5 ACCIONAMIENTO P.RUEDA D.FRICC.</t>
  </si>
  <si>
    <t>1004414955515</t>
  </si>
  <si>
    <t>R519</t>
  </si>
  <si>
    <t>TORNILLO ISO 4014-8.8 M8X130 GALV. TORN. HEXAG.</t>
  </si>
  <si>
    <t>1051013934000340</t>
  </si>
  <si>
    <t>R257</t>
  </si>
  <si>
    <t>FUSIBLE AUTOMÁT. CA/CC 5SY6 316-7, 3P/16A/C.CAR. C, SIEMENS</t>
  </si>
  <si>
    <t>107559563036</t>
  </si>
  <si>
    <t>R364</t>
  </si>
  <si>
    <t>GRASA DE VASELINA 17223 BLANCO CARTUCHO DE 0,4KG</t>
  </si>
  <si>
    <t>1100732839921</t>
  </si>
  <si>
    <t>R189</t>
  </si>
  <si>
    <t>MANGUERA AP AN10-2SC L=2200MM     DKOL-12/DKOL-12</t>
  </si>
  <si>
    <t>106913383003</t>
  </si>
  <si>
    <t>R297</t>
  </si>
  <si>
    <t>RELÉ DE SEGURIDAD SR2M 2 CAMBIADOR   V23047-A1024-A501</t>
  </si>
  <si>
    <t>1047990470310</t>
  </si>
  <si>
    <t>R163</t>
  </si>
  <si>
    <t>113591472002</t>
  </si>
  <si>
    <t>R115</t>
  </si>
  <si>
    <t>VORRATSANZEIGE 0-1/4-4/4   24V P/N 0015ECT</t>
  </si>
  <si>
    <t>107537161001</t>
  </si>
  <si>
    <t>R303</t>
  </si>
  <si>
    <t>10488431100010</t>
  </si>
  <si>
    <t>R471</t>
  </si>
  <si>
    <t>ARANDELA                A108-C DIA. 70,0/ 50,0  E= 6,5</t>
  </si>
  <si>
    <t>10488435444444132</t>
  </si>
  <si>
    <t>R229</t>
  </si>
  <si>
    <t>109661624004</t>
  </si>
  <si>
    <t>R522</t>
  </si>
  <si>
    <t>NIPLE ENGRASE BM 10X1 DIN71412 RACOR CÓNICO ENGRASE 45 GRADOS</t>
  </si>
  <si>
    <t>100044621740174348</t>
  </si>
  <si>
    <t>R407</t>
  </si>
  <si>
    <t>TUERCA ALMEN. DIN979-04 M30X2  VERZINKT, NIEDRIGE BAUART</t>
  </si>
  <si>
    <t>102924060181836</t>
  </si>
  <si>
    <t>R512</t>
  </si>
  <si>
    <t>TORNILLO DIN933-8.8U M12X45 GIC, TORN.HEX., GIC (ISO 4017)</t>
  </si>
  <si>
    <t>111370054868136252</t>
  </si>
  <si>
    <t>R362</t>
  </si>
  <si>
    <t>BULÓN DIA.19,9 LN 127 M16      PARA POLEA DE PRESIÓN TIPO 0/A</t>
  </si>
  <si>
    <t>10030309130619</t>
  </si>
  <si>
    <t>R330</t>
  </si>
  <si>
    <t>VÁLVULA DE RETENCIÓN DE ACEITE PERMA         A 104862</t>
  </si>
  <si>
    <t>1086321062412</t>
  </si>
  <si>
    <t>R308</t>
  </si>
  <si>
    <t>11870273100010</t>
  </si>
  <si>
    <t>R169</t>
  </si>
  <si>
    <t>PLATILLO DE RESORTE INF., A108-CR RECUB.DE LAMINILLAS DE CINC</t>
  </si>
  <si>
    <t>109582550112</t>
  </si>
  <si>
    <t>R381</t>
  </si>
  <si>
    <t>JUEGO DE EMPAQUETADURAS P. MIRILLA DE ACEITE FSA, FLUTEC</t>
  </si>
  <si>
    <t>10034666220022</t>
  </si>
  <si>
    <t>R488</t>
  </si>
  <si>
    <t>10752990575757171</t>
  </si>
  <si>
    <t>R173</t>
  </si>
  <si>
    <t>109417432002</t>
  </si>
  <si>
    <t>R447</t>
  </si>
  <si>
    <t xml:space="preserve">ANILLO DIST. DIA.43/35  L=16,0 </t>
  </si>
  <si>
    <t>1048848723232369</t>
  </si>
  <si>
    <t>R543</t>
  </si>
  <si>
    <t>TORNILLO DIN7984-8.8 M12X20, TORN.CIL., GALVAN.</t>
  </si>
  <si>
    <t>1053578030448160512</t>
  </si>
  <si>
    <t>R451</t>
  </si>
  <si>
    <t>100004093503570</t>
  </si>
  <si>
    <t>R429</t>
  </si>
  <si>
    <t>100839130202040</t>
  </si>
  <si>
    <t>R548</t>
  </si>
  <si>
    <t>ARANDELA BN737 17,0X 40X 3,0 ACERO    GALVANIZADA</t>
  </si>
  <si>
    <t>1056912400528528</t>
  </si>
  <si>
    <t>R508</t>
  </si>
  <si>
    <t>CONECTOR HEMBRA DIA.7  L=38    P.INTERRUPTOR HORQUILLA</t>
  </si>
  <si>
    <t>1000629120000200</t>
  </si>
  <si>
    <t>R323</t>
  </si>
  <si>
    <t>MANGUERA PTFE      6,00 / 8,00 COLOR: NATURAL N.° 127653</t>
  </si>
  <si>
    <t>118255396039</t>
  </si>
  <si>
    <t>R589</t>
  </si>
  <si>
    <t>CHAVETA     DIN 94  4  X 25 AC ZINCADA</t>
  </si>
  <si>
    <t>100004491483117611763835</t>
  </si>
  <si>
    <t>R546</t>
  </si>
  <si>
    <t>1087367346200462</t>
  </si>
  <si>
    <t>R254</t>
  </si>
  <si>
    <t>FUSIBLE AUTOMÁT. CA/CC 5SY6 104-7   1P/4A/CURVA C  SIEMENS</t>
  </si>
  <si>
    <t>107559412024</t>
  </si>
  <si>
    <t>R311</t>
  </si>
  <si>
    <t>107458558008</t>
  </si>
  <si>
    <t>R370</t>
  </si>
  <si>
    <t>ESLABÓN P. CADENA TRANSP. 2"X17,02 DISTANCIA 8X2"</t>
  </si>
  <si>
    <t>1145970988016</t>
  </si>
  <si>
    <t>R492</t>
  </si>
  <si>
    <t>10752990574040137</t>
  </si>
  <si>
    <t>R504</t>
  </si>
  <si>
    <t>RESORTE TORS.2,00X19,0/15,0X10 DIN 2088</t>
  </si>
  <si>
    <t>10014372805030160</t>
  </si>
  <si>
    <t>R507</t>
  </si>
  <si>
    <t>CIRCLIP INTER. DIN 472  80X2,5 FOSFAT.</t>
  </si>
  <si>
    <t>1000040016400164</t>
  </si>
  <si>
    <t>R199</t>
  </si>
  <si>
    <t>INTERRUPT.PROXIM.IFRM 12P1701/ S14L INDUCTIVO DIA.12  PNP NO</t>
  </si>
  <si>
    <t>100593822002</t>
  </si>
  <si>
    <t>R342</t>
  </si>
  <si>
    <t>11870272100010</t>
  </si>
  <si>
    <t>R399</t>
  </si>
  <si>
    <t>ANILLO ELÁSTICO  323,8X 6,0    CON RECUBRIMIENTO DELTA-TONE</t>
  </si>
  <si>
    <t>101493931001020</t>
  </si>
  <si>
    <t>R464</t>
  </si>
  <si>
    <t xml:space="preserve">PLACA DISTANCIAD. T=1 PARA RPD </t>
  </si>
  <si>
    <t>1049535824242472</t>
  </si>
  <si>
    <t>R533</t>
  </si>
  <si>
    <t>TUERCA HEX.ISO4035-04 M20      GALVAN.              (DIN439B)</t>
  </si>
  <si>
    <t>1000012300264264</t>
  </si>
  <si>
    <t>R276</t>
  </si>
  <si>
    <t>FUSIBLE AUTOM. CA/CC 5SY6 106-7       1P/6A/CURVA C  SIEMENS</t>
  </si>
  <si>
    <t>107559432024</t>
  </si>
  <si>
    <t>R310</t>
  </si>
  <si>
    <t xml:space="preserve">ANILLO "V" V 250 L             </t>
  </si>
  <si>
    <t>100047136006</t>
  </si>
  <si>
    <t>R467</t>
  </si>
  <si>
    <t>ARANDELA ISO 7092 M24 300HV, FLZNNC-720H-L, REV.LAM.ZN S. BI.</t>
  </si>
  <si>
    <t>1142467728202068</t>
  </si>
  <si>
    <t>R478</t>
  </si>
  <si>
    <t>ARAND.DIST. DIA.80/56,0 E= 1,0 ARANDELA DISTANCIADORA</t>
  </si>
  <si>
    <t>10688217800080</t>
  </si>
  <si>
    <t>R327</t>
  </si>
  <si>
    <t>INTERRUPT.AUX.5ST3 010  1T +1R                        SIEMENS</t>
  </si>
  <si>
    <t>107560003036</t>
  </si>
  <si>
    <t>R262</t>
  </si>
  <si>
    <t>ELEMENTO BÁSICO P.ENCHUFE DE PROT. PHOENIX CONTACT Nº 2905557</t>
  </si>
  <si>
    <t>114366851113</t>
  </si>
  <si>
    <t>R579</t>
  </si>
  <si>
    <t>1000007951526565845</t>
  </si>
  <si>
    <t>R510</t>
  </si>
  <si>
    <t>1000040060060120</t>
  </si>
  <si>
    <t>R448</t>
  </si>
  <si>
    <t>10000409400040</t>
  </si>
  <si>
    <t>R520</t>
  </si>
  <si>
    <t>TORNILLO  DIN7984- 8.8 M12X 30 DE CABEZA CILÍNDRICA, GALV.</t>
  </si>
  <si>
    <t>10087005404864152</t>
  </si>
  <si>
    <t>R237</t>
  </si>
  <si>
    <t>102172380112</t>
  </si>
  <si>
    <t>R333</t>
  </si>
  <si>
    <t>FUSIBLE AUTOM. CA/CC 5SY6 101-7       1P/1A/CURVA C  SIEMENS</t>
  </si>
  <si>
    <t>107559393036</t>
  </si>
  <si>
    <t>R584</t>
  </si>
  <si>
    <t>CHAVETA     DIN 94  4  X 36 AC ZINCADA             (ISO-1234)</t>
  </si>
  <si>
    <t>100004524765885881652</t>
  </si>
  <si>
    <t>R387</t>
  </si>
  <si>
    <t>EMPALME DE MANGUERA PERMA G1/4A                     A104822</t>
  </si>
  <si>
    <t>1086321280412</t>
  </si>
  <si>
    <t>R513</t>
  </si>
  <si>
    <t>CIRCLIP INTER. DIN 472  72X2,5, FOSFAT., SEEGER</t>
  </si>
  <si>
    <t>1000039812000120</t>
  </si>
  <si>
    <t>R243</t>
  </si>
  <si>
    <t>INVALID: CLAVIJA BFA CON CABLE 3 POLOS N°: 7000-18021-6361000   MURR</t>
  </si>
  <si>
    <t>112469072002</t>
  </si>
  <si>
    <t>R316</t>
  </si>
  <si>
    <t>103405285005</t>
  </si>
  <si>
    <t>R453</t>
  </si>
  <si>
    <t>ARAND.DIST.DIA.90 / 60,5 E=4,0 ARANDELA DISTANCIADORA</t>
  </si>
  <si>
    <t>10693756400040</t>
  </si>
  <si>
    <t>R509</t>
  </si>
  <si>
    <t>10000400343042106</t>
  </si>
  <si>
    <t>R338</t>
  </si>
  <si>
    <t>V-RING  V 220 L</t>
  </si>
  <si>
    <t>108744376006</t>
  </si>
  <si>
    <t>R446</t>
  </si>
  <si>
    <t>TORNILLO ISO 4017-10.9U M20X50 FVZ TORN.HEX. GALV.INM.CAL.</t>
  </si>
  <si>
    <t>11420025320032</t>
  </si>
  <si>
    <t>R408</t>
  </si>
  <si>
    <t>10292406150015</t>
  </si>
  <si>
    <t>R585</t>
  </si>
  <si>
    <t>TORNILLO DIN 931-8.8 M6X35, TORN.HEX., GALVAN. (ISO 4014)</t>
  </si>
  <si>
    <t>10001135512950121474</t>
  </si>
  <si>
    <t>R456</t>
  </si>
  <si>
    <t>ANILLO RETEN. DIN 471 100X3    FOSFAT.</t>
  </si>
  <si>
    <t>10000343400040</t>
  </si>
  <si>
    <t>R497</t>
  </si>
  <si>
    <t>TORNILLO ISO 4017-8.8U M16X75 GIC TORN. HEXAG.</t>
  </si>
  <si>
    <t>11185351820082</t>
  </si>
  <si>
    <t>R552</t>
  </si>
  <si>
    <t>ARANDELA DIN 7349-8,4 300HV, FLZNNC-720H-L, REV.ZINC LAM. S.B</t>
  </si>
  <si>
    <t>1087235634000340</t>
  </si>
  <si>
    <t>R528</t>
  </si>
  <si>
    <t>100000821181240170</t>
  </si>
  <si>
    <t>R409</t>
  </si>
  <si>
    <t>REDUCTOR PERMA M6                                    A 104837</t>
  </si>
  <si>
    <t>1089507490514</t>
  </si>
  <si>
    <t>R183</t>
  </si>
  <si>
    <t>HD-SCHLAUCH NW10-2SC L= 2500MM   DKOL-12/DKOL-12</t>
  </si>
  <si>
    <t>106880261001</t>
  </si>
  <si>
    <t>R537</t>
  </si>
  <si>
    <t>11304628656565195</t>
  </si>
  <si>
    <t>R499</t>
  </si>
  <si>
    <t>1118535124242472</t>
  </si>
  <si>
    <t>R374</t>
  </si>
  <si>
    <t>UÑA - CADENA P.TRANSP. 165X155 S=19   D=10,0</t>
  </si>
  <si>
    <t>104059794048</t>
  </si>
  <si>
    <t>R551</t>
  </si>
  <si>
    <t>1075283900264264</t>
  </si>
  <si>
    <t>R590</t>
  </si>
  <si>
    <t>TUERCA HEXAG. DIN 985- 8 M 8  GALVANIZ. (CON PIEZA DE APRIETE</t>
  </si>
  <si>
    <t>100000782076976971601</t>
  </si>
  <si>
    <t>R465</t>
  </si>
  <si>
    <t>ARAND.DIST. DIÁ.120/86 E=1,5 ARANDELA DISTANCIADOR</t>
  </si>
  <si>
    <t>10538144400040</t>
  </si>
  <si>
    <t>R517</t>
  </si>
  <si>
    <t>ARANDELA ISO 7089 M24 300HV, FLZNNC-720H-L, REV.LAM.ZINC S.C.</t>
  </si>
  <si>
    <t>108716050484896</t>
  </si>
  <si>
    <t>R206</t>
  </si>
  <si>
    <t>MODULO DE INTERFACE, RJ45 IF, GOGATECH GMBH</t>
  </si>
  <si>
    <t>111769871001</t>
  </si>
  <si>
    <t>R556</t>
  </si>
  <si>
    <t>1087235600264264</t>
  </si>
  <si>
    <t>R271</t>
  </si>
  <si>
    <t>MANÓMETRO 0-250BAR NG 63 ABAJO G 1/4"A-D0,5  LLEN.DE SILICONA</t>
  </si>
  <si>
    <t>118793272002</t>
  </si>
  <si>
    <t>R485</t>
  </si>
  <si>
    <t>RACOR DE ENGRASE H1 12X1 DIN71412 CÓNICO       RECTO</t>
  </si>
  <si>
    <t>10295381500050</t>
  </si>
  <si>
    <t>R578</t>
  </si>
  <si>
    <t>1000007951500515</t>
  </si>
  <si>
    <t>R473</t>
  </si>
  <si>
    <t>ANILLO RETEN.  DIN 471  85X3,0 FOSFAT.</t>
  </si>
  <si>
    <t>10000338400040</t>
  </si>
  <si>
    <t>R557</t>
  </si>
  <si>
    <t>1112507274114114302</t>
  </si>
  <si>
    <t>R368</t>
  </si>
  <si>
    <t>FUSIBLE AUTOMÁT. CA/CC 5SY6 120-7   1P/20A/CURVA C SIEMENS</t>
  </si>
  <si>
    <t>107559463036</t>
  </si>
  <si>
    <t>R212</t>
  </si>
  <si>
    <t>CONTACTOR KG3-07D04.24      DC (40E)          BENEDIKT&amp;JAEGER</t>
  </si>
  <si>
    <t>108211301001</t>
  </si>
  <si>
    <t>R439</t>
  </si>
  <si>
    <t>ENCHUFE POTEN.GDM 3009 3-AFIL. DIN 43650-A/ISO4400</t>
  </si>
  <si>
    <t>1016978481615</t>
  </si>
  <si>
    <t>R477</t>
  </si>
  <si>
    <t>ARAND.DIST.DIA.90 / 60,5 E=1,0 ARANDELA DISTANCIADORA</t>
  </si>
  <si>
    <t>10693755400040</t>
  </si>
  <si>
    <t>R516</t>
  </si>
  <si>
    <t>TUERCA HEXAG. ISO 4032-8 M16 GIC</t>
  </si>
  <si>
    <t>11136880820082</t>
  </si>
  <si>
    <t>R536</t>
  </si>
  <si>
    <t>1024739800132132</t>
  </si>
  <si>
    <t>R544</t>
  </si>
  <si>
    <t>1087367316400164</t>
  </si>
  <si>
    <t>R475</t>
  </si>
  <si>
    <t>TORNILLO ISO 4017-10.9U M16X35 TORN. HEXAG. GIC</t>
  </si>
  <si>
    <t>11420014360036</t>
  </si>
  <si>
    <t>R321</t>
  </si>
  <si>
    <t>CABLE P. PUENTEO COMPLETO ARMAZÓN DE 4 PUNTOS DG</t>
  </si>
  <si>
    <t>112883403003</t>
  </si>
  <si>
    <t>R377</t>
  </si>
  <si>
    <t>FUSIBLE AUTOM. CA/CC 5SY6 110-7      1P/10A/CURVA C  SIEMENS</t>
  </si>
  <si>
    <t>107559443036</t>
  </si>
  <si>
    <t>R455</t>
  </si>
  <si>
    <t>CORONA DENTADA PARA ACOPLE DE PLÁSTICO 19/24 DIA. RED</t>
  </si>
  <si>
    <t>11324514240024</t>
  </si>
  <si>
    <t>R286</t>
  </si>
  <si>
    <t>114303482002</t>
  </si>
  <si>
    <t>R559</t>
  </si>
  <si>
    <t>100000804868136252</t>
  </si>
  <si>
    <t>R382</t>
  </si>
  <si>
    <t>RARB DIN 711/1-51104           RODAMIENTO AXIAL RÍG. DE BOLAS</t>
  </si>
  <si>
    <t>100039976006</t>
  </si>
  <si>
    <t>R383</t>
  </si>
  <si>
    <t>FUSIBLE AUTOM. CA/CC 5SY6 116-7      1P/16A/CURVA C  SIEMENS</t>
  </si>
  <si>
    <t>107559453036</t>
  </si>
  <si>
    <t>R518</t>
  </si>
  <si>
    <t>1113688024242472</t>
  </si>
  <si>
    <t>R542</t>
  </si>
  <si>
    <t>CIRCLIP INTER.  DIN 472  52X2  FOSFAT.</t>
  </si>
  <si>
    <t>10000381434343129</t>
  </si>
  <si>
    <t>R490</t>
  </si>
  <si>
    <t>10752990400040</t>
  </si>
  <si>
    <t>R457</t>
  </si>
  <si>
    <t>10392341200020</t>
  </si>
  <si>
    <t>R500</t>
  </si>
  <si>
    <t>ARANDELA DIN 7349-17 300HV, FLZNNC-720H-L, REV.DE ZINC LAM.</t>
  </si>
  <si>
    <t>10872696420042</t>
  </si>
  <si>
    <t>R591</t>
  </si>
  <si>
    <t>TUERCA HEXAG. DIN 985- 8 M 6 GALVAN. (CON PIEZA DE APRIETE)</t>
  </si>
  <si>
    <t>100000771588106974</t>
  </si>
  <si>
    <t>R565</t>
  </si>
  <si>
    <t>1000186024000240</t>
  </si>
  <si>
    <t>R502</t>
  </si>
  <si>
    <t>TORNILLO ISO 4014-8.8 M10X75 GALVAN. TORN.HEXAG.</t>
  </si>
  <si>
    <t>100012012020040</t>
  </si>
  <si>
    <t>R450</t>
  </si>
  <si>
    <t xml:space="preserve">ANILLO EN O   DI 129,2 X 5,7   </t>
  </si>
  <si>
    <t>10004575150015</t>
  </si>
  <si>
    <t>R432</t>
  </si>
  <si>
    <t>ELEMENTO DE CONEXIÓN 1OE B3T01 (INSTAL.FRONT.)BENEDIKT&amp;JAEGER</t>
  </si>
  <si>
    <t>101241764048</t>
  </si>
  <si>
    <t>R555</t>
  </si>
  <si>
    <t>TORNILLO ISO 4762- 8.8 M 8X 35 CILINDRICO, GALVAN.</t>
  </si>
  <si>
    <t>1000127200132132</t>
  </si>
  <si>
    <t>R575</t>
  </si>
  <si>
    <t>100000790130130260</t>
  </si>
  <si>
    <t>R540</t>
  </si>
  <si>
    <t>10000381820082</t>
  </si>
  <si>
    <t>R280</t>
  </si>
  <si>
    <t>CONMUTADOR     M10H EU3 +OV    PROTEG.CONTR CONT.ACCID. TELUX</t>
  </si>
  <si>
    <t>100594821001</t>
  </si>
  <si>
    <t>R515</t>
  </si>
  <si>
    <t>RESORTE T.2,20X18,0/14,0X 10   DIN 2088</t>
  </si>
  <si>
    <t>103968932020040</t>
  </si>
  <si>
    <t>R541</t>
  </si>
  <si>
    <t>TUERCA AUTOBLOC. BILOC - 8 M16 GALVAN.           WOLTERS GMBH</t>
  </si>
  <si>
    <t>103120214902776</t>
  </si>
  <si>
    <t>R573</t>
  </si>
  <si>
    <t>RES.C. A=1,00/DIA.7,0/LSC=20,0 EE=  7,5; RES.DE COMPR.DIN2095</t>
  </si>
  <si>
    <t>10006287646464192</t>
  </si>
  <si>
    <t>R562</t>
  </si>
  <si>
    <t>TORNILLO ISO 4762 8.8 M 8X40    CILINDRICO, GALVAN.</t>
  </si>
  <si>
    <t>1000127300132132</t>
  </si>
  <si>
    <t>R427</t>
  </si>
  <si>
    <t>MICRORELÉ    RT425024          TENSION BOBINA: 24V/DC SCHRACK</t>
  </si>
  <si>
    <t>104145463036</t>
  </si>
  <si>
    <t>R353</t>
  </si>
  <si>
    <t>INTERR. AUXIL. P. MS4XX   1NO/1NC HK4-11                  ABB</t>
  </si>
  <si>
    <t>111749251012</t>
  </si>
  <si>
    <t>R358</t>
  </si>
  <si>
    <t>CHAPA  E= 4  L= 150 A=100      UNIG              ELECTROGALV.</t>
  </si>
  <si>
    <t>102947712002</t>
  </si>
  <si>
    <t>R293</t>
  </si>
  <si>
    <t>CABEZAL I.FIN.R.AL FR.ZCK-E676 TAQUÉ DE RODILLO TELEMECANIQUE</t>
  </si>
  <si>
    <t>102748141001</t>
  </si>
  <si>
    <t>R597</t>
  </si>
  <si>
    <t>1000007700528528</t>
  </si>
  <si>
    <t>R599</t>
  </si>
  <si>
    <t>1000044900528528</t>
  </si>
  <si>
    <t>R440</t>
  </si>
  <si>
    <t>CONTACTO AUX. 1S   HN 10       BENEDIKT&amp;JAEGER</t>
  </si>
  <si>
    <t>100262933036</t>
  </si>
  <si>
    <t>R521</t>
  </si>
  <si>
    <t>TORNILLO ISO 4017- 8.8U M12X 50 HEXAG. GALVAN.INM.CALIENTE</t>
  </si>
  <si>
    <t>10291787350035</t>
  </si>
  <si>
    <t>R301</t>
  </si>
  <si>
    <t>MICRORELÉ    MY4ZIN1 24VCC     CONTACTO INVERSOR DE 14 POLOS</t>
  </si>
  <si>
    <t>102692671001</t>
  </si>
  <si>
    <t>R441</t>
  </si>
  <si>
    <t>SOPORTE DE POLEA P. CADENA TRANSP.</t>
  </si>
  <si>
    <t>101826663036</t>
  </si>
  <si>
    <t>R592</t>
  </si>
  <si>
    <t>ARANDELA AJ. DIN988 12X 18X1,0 BRILLANTE, ACEITADO</t>
  </si>
  <si>
    <t>100224771803000480</t>
  </si>
  <si>
    <t>R553</t>
  </si>
  <si>
    <t>10872356800080</t>
  </si>
  <si>
    <t>R571</t>
  </si>
  <si>
    <t>ARANDELA ISO 7089 M10 300HV GALV.P.INM.CAL. SIN BISEL</t>
  </si>
  <si>
    <t>1142431886406132</t>
  </si>
  <si>
    <t>R581</t>
  </si>
  <si>
    <t>ARANDELA ISO 7089 M12 300AR FLZNNC-720H-L LAM.CINC SIN BISEL</t>
  </si>
  <si>
    <t>1087160315000150</t>
  </si>
  <si>
    <t>R582</t>
  </si>
  <si>
    <t>1000007900132132</t>
  </si>
  <si>
    <t>R390</t>
  </si>
  <si>
    <t>CHAPA CURVA   E=3 L=145 A=64   UNIG                     GALV.</t>
  </si>
  <si>
    <t>102947882002</t>
  </si>
  <si>
    <t>R588</t>
  </si>
  <si>
    <t>1000045200264264</t>
  </si>
  <si>
    <t>R554</t>
  </si>
  <si>
    <t>ARANDELA AJ. DIN 988 50X62X0,5 DESNUDO, ACEITADO</t>
  </si>
  <si>
    <t>102205773003060</t>
  </si>
  <si>
    <t>R593</t>
  </si>
  <si>
    <t>TUERCA HEX. ISO 4032-8 M8 GALVANIZADA</t>
  </si>
  <si>
    <t>1000002934000340</t>
  </si>
  <si>
    <t>R598</t>
  </si>
  <si>
    <t>1000007800330330</t>
  </si>
  <si>
    <t>R466</t>
  </si>
  <si>
    <t>114246778008</t>
  </si>
  <si>
    <t>R570</t>
  </si>
  <si>
    <t>Cambio de mordazas</t>
  </si>
  <si>
    <t>10006287920092</t>
  </si>
  <si>
    <t>R398</t>
  </si>
  <si>
    <t>101493932002</t>
  </si>
  <si>
    <t>R400</t>
  </si>
  <si>
    <t>COMPONENTE RC 110-230V RC-K3N 230 (CA/CC) BENEDIKT&amp;JAEGER</t>
  </si>
  <si>
    <t>113205202002</t>
  </si>
  <si>
    <t>R547</t>
  </si>
  <si>
    <t>Trompeta</t>
  </si>
  <si>
    <t>1087367312121236</t>
  </si>
  <si>
    <t>R460</t>
  </si>
  <si>
    <t>TORNILLO ISO 4017-8.8U M16X80 GIC TORN. HEXAG.</t>
  </si>
  <si>
    <t>113085846006</t>
  </si>
  <si>
    <t>R503</t>
  </si>
  <si>
    <t>TORNILLO ISO 4014-8.8 M10X90 GALVAN. TORN. HEXAG.</t>
  </si>
  <si>
    <t>1000120560612</t>
  </si>
  <si>
    <t>R583</t>
  </si>
  <si>
    <t>ARANDELA ISO 7089 M8 300HV GALVAN. SIN CHAFLAN</t>
  </si>
  <si>
    <t>1142431700132132</t>
  </si>
  <si>
    <t>R480</t>
  </si>
  <si>
    <t>TORNILLO ISO 4017-10.9U M14X 35 GIC CABEZA HEXAGONAL</t>
  </si>
  <si>
    <t>114200118008</t>
  </si>
  <si>
    <t>R417</t>
  </si>
  <si>
    <t>LED-LAMPE ROT 24V AC/DC        F.SOCKEL BA 9S     NR.18602350</t>
  </si>
  <si>
    <t>118844842002</t>
  </si>
  <si>
    <t>R525</t>
  </si>
  <si>
    <t>ANILLO EN O DIÁ.I. 45X3,0</t>
  </si>
  <si>
    <t>10032632180018</t>
  </si>
  <si>
    <t>R574</t>
  </si>
  <si>
    <t>TORNILLO ISO 4017-8.8 M8X25, TORN. HEXAG., GALVANIZADO</t>
  </si>
  <si>
    <t>10001861006666</t>
  </si>
  <si>
    <t>R454</t>
  </si>
  <si>
    <t>TORNILLO DE FIJACION M6, NO.10.100.365 C.COLLAR DE PL.+ANILLO</t>
  </si>
  <si>
    <t>114125544004</t>
  </si>
  <si>
    <t>R424</t>
  </si>
  <si>
    <t>PORTALÁMPARA         B3F       (INSTAL.FRONT.)BENEDIKT&amp;JAEGER</t>
  </si>
  <si>
    <t>101238341012</t>
  </si>
  <si>
    <t>R433</t>
  </si>
  <si>
    <t>ELEMENTO DE CONEXIÓN 1S  B3T10 (INSTAL.FRONT.)BENEDIKT&amp;JAEGER</t>
  </si>
  <si>
    <t>101241751012</t>
  </si>
  <si>
    <t>R529</t>
  </si>
  <si>
    <t>EMPAQUETADURA PERFIL GDM 3-16  731 531-002 PARA GDM 3009</t>
  </si>
  <si>
    <t>1016978870714</t>
  </si>
  <si>
    <t>R406</t>
  </si>
  <si>
    <t>100967991001</t>
  </si>
  <si>
    <t>R569</t>
  </si>
  <si>
    <t>10006287400040</t>
  </si>
  <si>
    <t>R486</t>
  </si>
  <si>
    <t>TORNILLO ISO 4017-10.9U M18X40 GIC TORN. HEXAG.</t>
  </si>
  <si>
    <t>114200224004</t>
  </si>
  <si>
    <t>R530</t>
  </si>
  <si>
    <t>10000123100010</t>
  </si>
  <si>
    <t>R596</t>
  </si>
  <si>
    <t>TORNILLO ISO 4762-8.8 M4X12 GALV. TORN.DE CABEZA CILINDR.</t>
  </si>
  <si>
    <t>1000116710500105</t>
  </si>
  <si>
    <t>R463</t>
  </si>
  <si>
    <t>TORNILLO ISO 4762-8.8 M16X35 FLZNNC-480H-L;CIL. REB.LAM.ZN</t>
  </si>
  <si>
    <t>114230112002</t>
  </si>
  <si>
    <t>R511</t>
  </si>
  <si>
    <t>100004004004</t>
  </si>
  <si>
    <t>R498</t>
  </si>
  <si>
    <t>PIEZA ACOPLAM.P.BOTON B3M      BENEDIKT&amp;JAEGER</t>
  </si>
  <si>
    <t>101091003003</t>
  </si>
  <si>
    <t>R539</t>
  </si>
  <si>
    <t>113046288008</t>
  </si>
  <si>
    <t>R561</t>
  </si>
  <si>
    <t>10001273120012</t>
  </si>
  <si>
    <t>R566</t>
  </si>
  <si>
    <t>VERSCHLUSST.   GPN 900  A13,5  KAPSTO</t>
  </si>
  <si>
    <t>11318364120012</t>
  </si>
  <si>
    <t>R572</t>
  </si>
  <si>
    <t>1000186160612</t>
  </si>
  <si>
    <t>R567</t>
  </si>
  <si>
    <t>MANGUITO SUJ. ISO 8752 8X40 GEOMET 321A (DIN 1481)</t>
  </si>
  <si>
    <t>100005718008</t>
  </si>
  <si>
    <t>R586</t>
  </si>
  <si>
    <t>SHR ISO 4762- 8.8 M 5X 12  GVZ  ZYL-SHR, GALV.VERZINKT</t>
  </si>
  <si>
    <t>10001177180018</t>
  </si>
  <si>
    <t>R580</t>
  </si>
  <si>
    <t>108716034048</t>
  </si>
  <si>
    <t>R595</t>
  </si>
  <si>
    <t>TORNILLO ISO 4762- 8.8 M 5X 10 DE CABEZA CILINDRICA, GALVAN.</t>
  </si>
  <si>
    <t>10001175180018</t>
  </si>
  <si>
    <t>R594</t>
  </si>
  <si>
    <t>1000007860612</t>
  </si>
  <si>
    <t>R587</t>
  </si>
  <si>
    <t>SHR ISO 4762- 8.8 M 4X 10  GVZ  ZYL-SHR, GALV.VERZINKT</t>
  </si>
  <si>
    <t>114406036006</t>
  </si>
  <si>
    <t>Proyección De Pagos</t>
  </si>
  <si>
    <t xml:space="preserve">Factor de descuento : </t>
  </si>
  <si>
    <t xml:space="preserve">TC: </t>
  </si>
  <si>
    <t>Categoria</t>
  </si>
  <si>
    <t>Descripción</t>
  </si>
  <si>
    <t>TOTAL</t>
  </si>
  <si>
    <t>Observaciones</t>
  </si>
  <si>
    <t>Archivos Fuente</t>
  </si>
  <si>
    <t>TDB</t>
  </si>
  <si>
    <r>
      <rPr>
        <rFont val="Arial Narrow"/>
        <color rgb="FF0563C1"/>
        <sz val="11.0"/>
        <u/>
      </rPr>
      <t>Recurrentes (TDB</t>
    </r>
    <r>
      <rPr>
        <rFont val="Arial Narrow"/>
        <color rgb="FF000000"/>
        <sz val="11.0"/>
        <u/>
      </rPr>
      <t>)</t>
    </r>
  </si>
  <si>
    <t>No Recurrentes</t>
  </si>
  <si>
    <t>No Recurrentes (TDB)</t>
  </si>
  <si>
    <t>OVH de Balancines</t>
  </si>
  <si>
    <t>Pinzas Plateada</t>
  </si>
  <si>
    <t>Lubricantes(TDB)</t>
  </si>
  <si>
    <t>https://docs.google.com/spreadsheets/d/1PNX_owPqRGx3Mf6LScnR3fM35xhTCEvrrAu4bz3C13g/edit#gid=1547332198</t>
  </si>
  <si>
    <t>Servicios</t>
  </si>
  <si>
    <t>Servicios TDB [24120]</t>
  </si>
  <si>
    <r>
      <rPr>
        <rFont val="Arial Narrow"/>
        <color rgb="FF000000"/>
        <sz val="11.0"/>
        <u/>
      </rPr>
      <t>https://docs.google.com/spreadsheets/d/1SXWzkdT8kVSDoW1Ld9kXeavFM_VNKL3PXECM3OCbjuY</t>
    </r>
    <r>
      <rPr>
        <rFont val="Arial Narrow"/>
        <color rgb="FF000000"/>
        <sz val="11.0"/>
        <u/>
      </rPr>
      <t xml:space="preserve"> </t>
    </r>
  </si>
  <si>
    <t>LOCAL</t>
  </si>
  <si>
    <t>Recurrentes (Locales)</t>
  </si>
  <si>
    <t>No Recurrentes (Locales)</t>
  </si>
  <si>
    <r>
      <rPr>
        <rFont val="Arial Narrow"/>
        <color rgb="FF0563C1"/>
        <sz val="11.0"/>
        <u/>
      </rPr>
      <t>Compras Locales</t>
    </r>
    <r>
      <rPr>
        <rFont val="Arial Narrow"/>
        <color rgb="FF000000"/>
        <sz val="11.0"/>
      </rPr>
      <t xml:space="preserve"> (Insumos y consumibles)</t>
    </r>
  </si>
  <si>
    <t>https://docs.google.com/spreadsheets/d/1CQ6svkMpKvbqHGq8eyQcXoP4AdazfgEIDq2UgpEa4EU/edit#gid=335490190</t>
  </si>
  <si>
    <t>Rodamientos Motores Principales</t>
  </si>
  <si>
    <t>https://docs.google.com/spreadsheets/d/1XqUjlRfFypwkUmdmpiH5b0giYK67YSKvx1DXiCTJPj8/edit#gid=727394509</t>
  </si>
  <si>
    <t>Lubricantes(Locales)</t>
  </si>
  <si>
    <t xml:space="preserve"> </t>
  </si>
  <si>
    <t>Servicios Locales</t>
  </si>
  <si>
    <t>https://docs.google.com/spreadsheets/d/1SXWzkdT8kVSDoW1Ld9kXeavFM_VNKL3PXECM3OCbjuY</t>
  </si>
  <si>
    <t>Total Mantenimientos Menores</t>
  </si>
  <si>
    <t>Bienes TDB</t>
  </si>
  <si>
    <t>Servicios TDB</t>
  </si>
  <si>
    <t>Insumos</t>
  </si>
  <si>
    <t>DIFERENCIAS</t>
  </si>
  <si>
    <t xml:space="preserve">Sin Descuento: </t>
  </si>
  <si>
    <t xml:space="preserve">Con Descuento: </t>
  </si>
  <si>
    <t>Diferencia:</t>
  </si>
  <si>
    <t>Bienes TDB Bs</t>
  </si>
  <si>
    <t>Bienes TDB Repuestos</t>
  </si>
  <si>
    <t>Bienes TDB $us</t>
  </si>
  <si>
    <t>Bienes TDB Lubricantes</t>
  </si>
  <si>
    <t>BienesTDB 2024(Bs)</t>
  </si>
  <si>
    <t>RESUMENES</t>
  </si>
  <si>
    <t>No Recurrentes por trabajo</t>
  </si>
  <si>
    <t>Tipo de trabajo</t>
  </si>
  <si>
    <t>SUM de Bs. 2024</t>
  </si>
  <si>
    <t>SUM de Bs. 2025</t>
  </si>
  <si>
    <t>SUM de Bs. 2026</t>
  </si>
  <si>
    <t>Revisado</t>
  </si>
  <si>
    <t>Comentarios</t>
  </si>
  <si>
    <t xml:space="preserve">Cambio de baterías </t>
  </si>
  <si>
    <t>Herramienta Cable</t>
  </si>
  <si>
    <t>Se quita todos los items al 2025, se desplazan a las siguientes gestiones</t>
  </si>
  <si>
    <t>Se retrasa al año 2025, necesario cotizar otras fuentes.</t>
  </si>
  <si>
    <t>Mantenimiento Grupos Electrógenos</t>
  </si>
  <si>
    <t>Se recorre 2024 a 2025, y al 2026</t>
  </si>
  <si>
    <t>Se desplaza repuestos al 2025, solo se compra los mas criticos.</t>
  </si>
  <si>
    <t>CPU linea Roja se esperara actualización, se priorizan repuestos electricos críticos</t>
  </si>
  <si>
    <t>Se recorre del 2024 al 2025,2026 , 2027. Se priorizan compra de valvulas. El mantenimiento hidraulico se desplaza 1 gestion</t>
  </si>
  <si>
    <t>Suma total</t>
  </si>
  <si>
    <t>Recurrente por trabajo</t>
  </si>
  <si>
    <t>Total Recurrentes No Recurrentes</t>
  </si>
  <si>
    <t>No Recurrentes por trabajo TDB</t>
  </si>
  <si>
    <t>No Recurrentes por trabajo Local</t>
  </si>
  <si>
    <t>Total</t>
  </si>
  <si>
    <t>Subtotales</t>
  </si>
  <si>
    <t>Grupos</t>
  </si>
  <si>
    <t>Repuestos Electromecánicos</t>
  </si>
  <si>
    <t>Repuestos Mecánicos para suspensiones de vehiculos</t>
  </si>
  <si>
    <t>Repuestos mecánicos para Overhaull de Balancines</t>
  </si>
  <si>
    <t>Repuestos mecánicos para Overhaull de Frenos</t>
  </si>
  <si>
    <t>Lubricantes Especiales</t>
  </si>
  <si>
    <t>Repuestos Electricos Reposicion Torres</t>
  </si>
  <si>
    <t>Recurrente por trabajo TDB</t>
  </si>
  <si>
    <t>Recurrente por trabajo Local</t>
  </si>
  <si>
    <t>OVH Bombas de reductores principales</t>
  </si>
  <si>
    <t>OVH Frenos de Servicio</t>
  </si>
  <si>
    <t>Descripción del Bien</t>
  </si>
  <si>
    <t>SUM de Precio Total</t>
  </si>
  <si>
    <t>Total TDB Bs</t>
  </si>
  <si>
    <t>Total Local Bs</t>
  </si>
  <si>
    <t>Total TDB $us</t>
  </si>
  <si>
    <t xml:space="preserve">Total GENERAL </t>
  </si>
  <si>
    <t>Con descuento 85%</t>
  </si>
  <si>
    <t>Cotizacion TDB</t>
  </si>
  <si>
    <t>Monto +/-10% (Hacia abajo)</t>
  </si>
  <si>
    <t>Diferencia</t>
  </si>
  <si>
    <t>Url :</t>
  </si>
  <si>
    <t>https://docs.google.com/spreadsheets/d/16ZgySNosycViCWfV-is4qvHX-f3aK7qmFWE9J26qK0M/edit#gid=1618543835</t>
  </si>
  <si>
    <t>IMPORTRANGE(K1;"Items!A1:D")</t>
  </si>
  <si>
    <t>DESCRIPCION</t>
  </si>
  <si>
    <t>UNID.</t>
  </si>
  <si>
    <t>Precio con descuento</t>
  </si>
  <si>
    <t>TC</t>
  </si>
  <si>
    <t>10000029</t>
  </si>
  <si>
    <t>10000077</t>
  </si>
  <si>
    <t>10000078</t>
  </si>
  <si>
    <t>TUERCA HEXAG. DIN 985- 8 M 8 GALVANIZ. (CON PIEZA DE APRIETE</t>
  </si>
  <si>
    <t>10000079</t>
  </si>
  <si>
    <t>10000080</t>
  </si>
  <si>
    <t>10000082</t>
  </si>
  <si>
    <t>10000083</t>
  </si>
  <si>
    <t>10000084</t>
  </si>
  <si>
    <t>10000085</t>
  </si>
  <si>
    <t>10000123</t>
  </si>
  <si>
    <t>TUERCA HEX.ISO4035-04 M20 GALVAN. (DIN439B)</t>
  </si>
  <si>
    <t>10000313</t>
  </si>
  <si>
    <t>10000338</t>
  </si>
  <si>
    <t>ANILLO RETEN. DIN 471 85X3,0 FOSFAT.</t>
  </si>
  <si>
    <t>10000343</t>
  </si>
  <si>
    <t>ANILLO RETEN. DIN 471 100X3 FOSFAT.</t>
  </si>
  <si>
    <t>10000381</t>
  </si>
  <si>
    <t>CIRCLIP INTER. DIN 472 52X2 FOSFAT.</t>
  </si>
  <si>
    <t>10000398</t>
  </si>
  <si>
    <t>CIRCLIP INTER. DIN 472 72X2,5, FOSFAT., SEEGER</t>
  </si>
  <si>
    <t>10000400</t>
  </si>
  <si>
    <t>CIRCLIP INTER. DIN 472 80X2,5 FOSFAT.</t>
  </si>
  <si>
    <t>10000409</t>
  </si>
  <si>
    <t>CIRCLIP INTER. DIN 472 110X4 FOSFAT.</t>
  </si>
  <si>
    <t>10000449</t>
  </si>
  <si>
    <t>CHAVETA DIN 94 4 X 25 AC ZINCADA</t>
  </si>
  <si>
    <t>10000452</t>
  </si>
  <si>
    <t>CHAVETA DIN 94 4 X 36 AC ZINCADA (ISO-1234)</t>
  </si>
  <si>
    <t>10000460</t>
  </si>
  <si>
    <t>CHAVETA DIN 94 5 X 50 AC GALVAN. (ISO-1234)</t>
  </si>
  <si>
    <t>10000562</t>
  </si>
  <si>
    <t>PASADOR SUJ. DIN1481 6 X 45 CON RECUBR.DACROMET (I</t>
  </si>
  <si>
    <t>10000564</t>
  </si>
  <si>
    <t>PASADOR SUJ.DIN 1481 6 X 55 CON RECUBR.DACROMET (I</t>
  </si>
  <si>
    <t>10000594</t>
  </si>
  <si>
    <t>PASADOR SUJ. DIN1481 10 X 50 CON RECUBR.DACROMET (I</t>
  </si>
  <si>
    <t>10001088</t>
  </si>
  <si>
    <t>TORNILLO ISO1207 MS M 3,5X12 CABEZA CIL.CON RANURA (DIN84)</t>
  </si>
  <si>
    <t>10001135</t>
  </si>
  <si>
    <t>10001167</t>
  </si>
  <si>
    <t>10001175</t>
  </si>
  <si>
    <t>10001177</t>
  </si>
  <si>
    <t>SHR ISO 4762- 8.8 M 5X 12 GVZ ZYL-SHR, GALV.VERZINKT</t>
  </si>
  <si>
    <t>10001205</t>
  </si>
  <si>
    <t>10001273</t>
  </si>
  <si>
    <t>TORNILLO ISO 4762 8.8 M 8X40 CILINDRICO, GALVAN.</t>
  </si>
  <si>
    <t>10001860</t>
  </si>
  <si>
    <t>10001861</t>
  </si>
  <si>
    <t>10003997</t>
  </si>
  <si>
    <t>RARB DIN 711/1-51104 RODAMIENTO AXIAL RÍG. DE BOLAS</t>
  </si>
  <si>
    <t>10004076</t>
  </si>
  <si>
    <t>10004079</t>
  </si>
  <si>
    <t>10004462</t>
  </si>
  <si>
    <t>NIPLE ENGRASE B M10X1 DIN71412 RACOR CÓNICO ENGRASE 45 GRAD</t>
  </si>
  <si>
    <t>10004575</t>
  </si>
  <si>
    <t>ANILLO EN O DI 129,2 X 5,7</t>
  </si>
  <si>
    <t>10004713</t>
  </si>
  <si>
    <t>ANILLO "V" V 250 L</t>
  </si>
  <si>
    <t>10004958</t>
  </si>
  <si>
    <t>10004961</t>
  </si>
  <si>
    <t>10006287</t>
  </si>
  <si>
    <t>RES.C. A=1,00/DIA.7,0/LSC=20,0 EE= 7,5; RES.DE COMPR.DIN2095</t>
  </si>
  <si>
    <t>10006291</t>
  </si>
  <si>
    <t>CONECTOR HEMBRA DIA.7 L=38 P.INTERRUPTOR HORQUILLA</t>
  </si>
  <si>
    <t>10006292</t>
  </si>
  <si>
    <t>TORNILLO DE FIJACION M10X25 P. INTERRUPTOR DE HORQUILLA</t>
  </si>
  <si>
    <t>10007252</t>
  </si>
  <si>
    <t>ELEM.FILTR. SFE 15S 125 W 1.0 P.FILTRO DE SUCCIÓN HYDAC</t>
  </si>
  <si>
    <t>10007419</t>
  </si>
  <si>
    <t>10009733</t>
  </si>
  <si>
    <t>CÁMARA DE AIRE P.CUBIERTA DOP.-K CON VALVULA TR 88 G</t>
  </si>
  <si>
    <t>10011103</t>
  </si>
  <si>
    <t>10012363</t>
  </si>
  <si>
    <t>ARO DE GOMA 254X44 SIN RANURA</t>
  </si>
  <si>
    <t>10014372</t>
  </si>
  <si>
    <t>10014917</t>
  </si>
  <si>
    <t>POLEA DIA. 30/ 6,2 A= 20,0 PARA CADENA TRANSPORTADORA</t>
  </si>
  <si>
    <t>10020270</t>
  </si>
  <si>
    <t>10022092</t>
  </si>
  <si>
    <t>10022477</t>
  </si>
  <si>
    <t>10026293</t>
  </si>
  <si>
    <t>CONTACTO AUX. 1S HN 10 BENEDIKT&amp;JAEGER</t>
  </si>
  <si>
    <t>10030309</t>
  </si>
  <si>
    <t>BULÓN DIA.19,9 LN 127 M16 PARA POLEA DE PRESIÓN TIPO 0/A</t>
  </si>
  <si>
    <t>10031327</t>
  </si>
  <si>
    <t>10032632</t>
  </si>
  <si>
    <t>10034666</t>
  </si>
  <si>
    <t>10040024</t>
  </si>
  <si>
    <t>10044149</t>
  </si>
  <si>
    <t>10046154</t>
  </si>
  <si>
    <t>ARANDELA SEGUR. NORDLOCK NL16 RECUB.DE LAMINILLAS DE CINC</t>
  </si>
  <si>
    <t>10059382</t>
  </si>
  <si>
    <t>INTERRUPT.PROXIM.IFRM 12P1701/ S14L INDUCTIVO DIA.12 PNP NO</t>
  </si>
  <si>
    <t>10059482</t>
  </si>
  <si>
    <t>CONMUTADOR M10H EU3 +OV PROTEG.CONTR CONT.ACCID. TELUX</t>
  </si>
  <si>
    <t>10059696</t>
  </si>
  <si>
    <t>INTERRUPT.LLAVE 22-353.111D EAO 2 CONT.DE CIERRE 24X36 NEGRO</t>
  </si>
  <si>
    <t>10067767</t>
  </si>
  <si>
    <t>CORREA TRAP.XPB LW=1870 MM DIN 7753-1</t>
  </si>
  <si>
    <t>10075740</t>
  </si>
  <si>
    <t>10075741</t>
  </si>
  <si>
    <t>10082482</t>
  </si>
  <si>
    <t>CORREA TRAP.XPC LA=1900 MM DIN 7753-1</t>
  </si>
  <si>
    <t>10083913</t>
  </si>
  <si>
    <t>CASQUILLO PM 3030 DS TIPO: KW SIN AGUJ.DE ENGRASE GLACIER</t>
  </si>
  <si>
    <t>10083923</t>
  </si>
  <si>
    <t>CASQUILLO PM 5040 DS TIPO: KW SIN AGUJ.DE ENGRASE GLACIER</t>
  </si>
  <si>
    <t>10083926</t>
  </si>
  <si>
    <t>CASQUILLO PM 6040 DS TIPO KW SIN AGUJ.DE ENGRASE GLACIER</t>
  </si>
  <si>
    <t>10083934</t>
  </si>
  <si>
    <t>CASQUILLO PM 90100 DS TIPO KW SIN AGUJ.DE ENGRASE GLACIER</t>
  </si>
  <si>
    <t>10083935</t>
  </si>
  <si>
    <t>CASQUILLO PM 100115 DS TIPO KW SIN AGUJ.DE ENGRASE GLACIER</t>
  </si>
  <si>
    <t>10087005</t>
  </si>
  <si>
    <t>TORNILLO DIN7984- 8.8 M12X 30 DE CABEZA CILÍNDRICA, GALV.</t>
  </si>
  <si>
    <t>10096799</t>
  </si>
  <si>
    <t>ANILLO ELÁSTICO 393,5X 6,3 CON RECUBRIMIENTO DELTA-TONE</t>
  </si>
  <si>
    <t>10096801</t>
  </si>
  <si>
    <t>ANILLO MUELLE 194,8X 5,0 CON RECUBRIMIENTO DELTA-TONE</t>
  </si>
  <si>
    <t>10108623</t>
  </si>
  <si>
    <t>10109100</t>
  </si>
  <si>
    <t>PIEZA ACOPLAM.P.BOTON B3M BENEDIKT&amp;JAEGER</t>
  </si>
  <si>
    <t>10123834</t>
  </si>
  <si>
    <t>PORTALÁMPARA B3F (INSTAL.FRONT.)BENEDIKT&amp;JAEGER</t>
  </si>
  <si>
    <t>10124175</t>
  </si>
  <si>
    <t>ELEMENTO DE CONEXIÓN 1S B3T10 (INSTAL.FRONT.)BENEDIKT&amp;JAEGER</t>
  </si>
  <si>
    <t>10124176</t>
  </si>
  <si>
    <t>10134472</t>
  </si>
  <si>
    <t>10149393</t>
  </si>
  <si>
    <t>ANILLO ELÁSTICO 323,8X 6,0 CON RECUBRIMIENTO DELTA-TONE</t>
  </si>
  <si>
    <t>10149444</t>
  </si>
  <si>
    <t>KEILRIEMENSCH. DM160 4RI DM57 4 RIEMEN - TYPE 5V/15J</t>
  </si>
  <si>
    <t>10166095</t>
  </si>
  <si>
    <t>RACOR ATORN.P.CAB.HSK-K PG 16 NEGRO, N° DE PED.1.597.1605.01</t>
  </si>
  <si>
    <t>10167525</t>
  </si>
  <si>
    <t>10168055</t>
  </si>
  <si>
    <t>10169784</t>
  </si>
  <si>
    <t>10169788</t>
  </si>
  <si>
    <t>EMPAQUETADURA PERFIL GDM 3-16 731 531-002 PARA GDM 3009</t>
  </si>
  <si>
    <t>10182666</t>
  </si>
  <si>
    <t>10182756</t>
  </si>
  <si>
    <t>10183056</t>
  </si>
  <si>
    <t>CASQUILLO PM 5540 DS TIPO: KW SIN AGUJ.DE ENGRASE GLACIER</t>
  </si>
  <si>
    <t>10186108</t>
  </si>
  <si>
    <t>LLANTA DE POLEA 403 330X120</t>
  </si>
  <si>
    <t>10186109</t>
  </si>
  <si>
    <t>CUERPO DE POLEA 501 400X130</t>
  </si>
  <si>
    <t>10191058</t>
  </si>
  <si>
    <t>BATERIA DE LITIO 3,6V 2,6AH TAMAÑO: AA</t>
  </si>
  <si>
    <t>10217238</t>
  </si>
  <si>
    <t>10220577</t>
  </si>
  <si>
    <t>10239621</t>
  </si>
  <si>
    <t>10241558</t>
  </si>
  <si>
    <t>CORREA TRAP.XPB LW=1500 MM DIN 7753-1</t>
  </si>
  <si>
    <t>10245633</t>
  </si>
  <si>
    <t>10247398</t>
  </si>
  <si>
    <t>ARANDELA SEGUR. NORDLOCK NL8 RECUB.DE LAMINILLAS DE CINC</t>
  </si>
  <si>
    <t>10252061</t>
  </si>
  <si>
    <t>TUERCA AUTOFIJ. INLOC - 8 M24 C.ELEM.DE FIJAC. ~DIN934 GALV.</t>
  </si>
  <si>
    <t>10257510</t>
  </si>
  <si>
    <t>PORTAFUSIB. RSS 214 14POLAR ART. N°:180050 TELE</t>
  </si>
  <si>
    <t>10261450</t>
  </si>
  <si>
    <t>FILTRO 0030 D 005 ON HYDAC</t>
  </si>
  <si>
    <t>10262938</t>
  </si>
  <si>
    <t>ARANDELA SEGUR. NORDLOCK NL12 RECUB.DE LAMINILLAS DE CINC</t>
  </si>
  <si>
    <t>10269267</t>
  </si>
  <si>
    <t>MICRORELÉ MY4ZIN1 24VCC CONTACTO INVERSOR DE 14 POLOS</t>
  </si>
  <si>
    <t>10274052</t>
  </si>
  <si>
    <t>CIRCLIP INTER. DIN 472 72X3,0 GALVAN.</t>
  </si>
  <si>
    <t>10274054</t>
  </si>
  <si>
    <t>CASQUILLO PM 3240 DS TIPO: KW AGA, SIN AGUJ.DE ENGR. GLACIER</t>
  </si>
  <si>
    <t>10274056</t>
  </si>
  <si>
    <t>10274057</t>
  </si>
  <si>
    <t>CASQUILLO PM 2260 DS TIPO: KW SIN AGUJERO DE ENGRASE GLACIER</t>
  </si>
  <si>
    <t>10274064</t>
  </si>
  <si>
    <t>ARAND.DE AJ.DIN988 35X 45X1,5 ELECTROGALVAN.</t>
  </si>
  <si>
    <t>10274719</t>
  </si>
  <si>
    <t>CASQUILLO PM 7560 DS TIPO KW SIN AGUJ.DE ENGRASE GLACIER</t>
  </si>
  <si>
    <t>10275085</t>
  </si>
  <si>
    <t>10286649</t>
  </si>
  <si>
    <t>10288696</t>
  </si>
  <si>
    <t>BULÓN DIA.24,9 LN 148 M20 PARA POLEA TIPO C/401(&gt;1970)</t>
  </si>
  <si>
    <t>10291787</t>
  </si>
  <si>
    <t>10292406</t>
  </si>
  <si>
    <t>TUERCA ALMEN. DIN979-04 M30X2 VERZINKT, NIEDRIGE BAUART</t>
  </si>
  <si>
    <t>10293344</t>
  </si>
  <si>
    <t>PERNO DIA.29,9 L 225 M24 PARA POLEA TIPO 501</t>
  </si>
  <si>
    <t>10294771</t>
  </si>
  <si>
    <t>CHAPA E= 4 L= 150 A=100 UNIG ELECTROGALV.</t>
  </si>
  <si>
    <t>10294788</t>
  </si>
  <si>
    <t>CHAPA CURVA E=3 L=145 A=64 UNIG GALV.</t>
  </si>
  <si>
    <t>10295381</t>
  </si>
  <si>
    <t>RACOR DE ENGRASE A 12X1,0 DIN71412 CÓNICO RECTO</t>
  </si>
  <si>
    <t>10299843</t>
  </si>
  <si>
    <t>10302024</t>
  </si>
  <si>
    <t>10302026</t>
  </si>
  <si>
    <t>10302028</t>
  </si>
  <si>
    <t>10302030</t>
  </si>
  <si>
    <t>10302032</t>
  </si>
  <si>
    <t>10302502</t>
  </si>
  <si>
    <t>FILTRO SAUER BR 90 - CORTO ELEM.FILTR. P.BOMBA DE EMB.AX.</t>
  </si>
  <si>
    <t>10302503</t>
  </si>
  <si>
    <t>FILTER DANFOSS 90R / H1P130-165 - LANG/FILTERELEMENT AK-PUMPE</t>
  </si>
  <si>
    <t>10303440</t>
  </si>
  <si>
    <t>10309716</t>
  </si>
  <si>
    <t>TORN.HALFEN 72/48 8.8 M20X 60 TORNIL.HALFEN C. TUERCA, GIC</t>
  </si>
  <si>
    <t>10311398</t>
  </si>
  <si>
    <t>FILTRO 0240 D 005 ON HYDAC</t>
  </si>
  <si>
    <t>10312021</t>
  </si>
  <si>
    <t>TUERCA AUTOBLOC. BILOC - 8 M16 GALVAN. WOLTERS GMBH</t>
  </si>
  <si>
    <t>10317357</t>
  </si>
  <si>
    <t>ARO DE GOMA 290X44 SIN RANURA PARA POLEA</t>
  </si>
  <si>
    <t>10319011</t>
  </si>
  <si>
    <t>CORREA TRAP.XPB LW=1545 MM DIN 7753-1</t>
  </si>
  <si>
    <t>10320444</t>
  </si>
  <si>
    <t>CIRC.IMP.BLSCHAS2 PROT.C.RAYOS DOTADO LUETZE</t>
  </si>
  <si>
    <t>10340528</t>
  </si>
  <si>
    <t>TOPE DE GOMA DIA.90/35 A=24 CENTRAJE RESORTE ESPIRAL</t>
  </si>
  <si>
    <t>10355572</t>
  </si>
  <si>
    <t>INTERRUPT.PROXIM.KD5018 IFM KAPAZITIV M.LED-GELB</t>
  </si>
  <si>
    <t>10358198</t>
  </si>
  <si>
    <t>10360353</t>
  </si>
  <si>
    <t>10363851</t>
  </si>
  <si>
    <t>10370624</t>
  </si>
  <si>
    <t>INTERR. PROXIM. F1 GS (ROJO) PULSOR M18 9914-1735 ANALÓGICO</t>
  </si>
  <si>
    <t>10388509</t>
  </si>
  <si>
    <t>10388513</t>
  </si>
  <si>
    <t>10389587</t>
  </si>
  <si>
    <t>CASQUILLO PM 4040 DS TIPO: KW SIN AGUJ.DE ENGRASE GLACIER</t>
  </si>
  <si>
    <t>10392341</t>
  </si>
  <si>
    <t>ARANDELA D.CENTRAR DIA.104,5MM P.SUSPENSIÓN DE CABINA 6/8MGD</t>
  </si>
  <si>
    <t>10396893</t>
  </si>
  <si>
    <t>RESORTE T.2,20X18,0/14,0X 10 DIN 2088</t>
  </si>
  <si>
    <t>10397941</t>
  </si>
  <si>
    <t>CIL.HIDR.CGS10N38X CURSO CORTO CARGA NOM.(PRES.):10T TECNOS.</t>
  </si>
  <si>
    <t>10405979</t>
  </si>
  <si>
    <t>UÑA - CADENA P.TRANSP. 165X155 S=19 D=10,0</t>
  </si>
  <si>
    <t>10414546</t>
  </si>
  <si>
    <t>MICRORELÉ RT425024 TENSION BOBINA: 24V/DC SCHRACK</t>
  </si>
  <si>
    <t>10420184</t>
  </si>
  <si>
    <t>ROD.RB DIN625/1-6204-2RS1-C3LT VT210 TTF90% +/-5% RODAM.RAN.</t>
  </si>
  <si>
    <t>10420185</t>
  </si>
  <si>
    <t>ROD.RA.BOLAS DIN 625/1- 6205-2RS-C3 LT VT210 (TTF 90% +/-5%)</t>
  </si>
  <si>
    <t>10431740</t>
  </si>
  <si>
    <t>GUARN.DE GOMA 501 485X100/R40</t>
  </si>
  <si>
    <t>10434107</t>
  </si>
  <si>
    <t>GUARN.DE GOMA 420 422X 93/R34</t>
  </si>
  <si>
    <t>10441667</t>
  </si>
  <si>
    <t>FORRO FRICCION SINT. DT, AGA P.PINZA DESEMBR.DT,AGA 2003</t>
  </si>
  <si>
    <t>10449062</t>
  </si>
  <si>
    <t>BATTERIE CR2450 3,0V 560MAH LITHIUM</t>
  </si>
  <si>
    <t>10450482</t>
  </si>
  <si>
    <t>ZAPATA DE FRENO 190X120X27</t>
  </si>
  <si>
    <t>10456209</t>
  </si>
  <si>
    <t>PERNO DIA.24,9 LN 192 M20 PARA POLEA TIPO 420C</t>
  </si>
  <si>
    <t>10456214</t>
  </si>
  <si>
    <t>BULÓN DIA.40,0 LN 347 M24 P.2CP EN BAST.DE 4P. TIPO-420C</t>
  </si>
  <si>
    <t>10461436</t>
  </si>
  <si>
    <t>GUARN.DE GOMA 403 403X 93/R38</t>
  </si>
  <si>
    <t>10465474</t>
  </si>
  <si>
    <t>CUERPO DE POLEA 420C 330X120</t>
  </si>
  <si>
    <t>10479904</t>
  </si>
  <si>
    <t>RELÉ DE SEGURIDAD SR2M 2 CAMBIADOR V23047-A1024-A501</t>
  </si>
  <si>
    <t>10482959</t>
  </si>
  <si>
    <t>BULÓN DIA.50,0 LN 388 M30 P.BÁSC.DE 2 EN BAST.DE 4P.501C</t>
  </si>
  <si>
    <t>10487922</t>
  </si>
  <si>
    <t>MANDÍBULA FIJA A108-C DIA.50 MECAN.CANAL DEL CABLE Ø44-56MM</t>
  </si>
  <si>
    <t>10487943</t>
  </si>
  <si>
    <t>MANDÍBULA MÓVIL A108-C DIA.50 MECAN.CANAL DEL CABLE Ø44-56MM</t>
  </si>
  <si>
    <t>10487980</t>
  </si>
  <si>
    <t>CASQUILLO PM 7580 DS TIPO KW SIN AGUJ.DE ENGRASE GLACIER</t>
  </si>
  <si>
    <t>10488001</t>
  </si>
  <si>
    <t>CASQUILLO PM 9080 DS TIPO: KW SIN AGUJERO DE ENGRASE GLACIER</t>
  </si>
  <si>
    <t>10488425</t>
  </si>
  <si>
    <t>CABEZAL RESORTE A108-C 50X290</t>
  </si>
  <si>
    <t>10488427</t>
  </si>
  <si>
    <t>EJE DE CAB.A108-C DIA.32 L 354</t>
  </si>
  <si>
    <t>10488429</t>
  </si>
  <si>
    <t>EJE DE RESORTE A108-C DIA.28 LN 91</t>
  </si>
  <si>
    <t>10488431</t>
  </si>
  <si>
    <t>ANILLO DE CIERRE A108-C DIA95,0/ 75,0 S=26,0 EL.GALV</t>
  </si>
  <si>
    <t>10488435</t>
  </si>
  <si>
    <t>ARANDELA A108-C DIA. 70,0/ 50,0 E= 6,5</t>
  </si>
  <si>
    <t>10488487</t>
  </si>
  <si>
    <t>ANILLO DIST. DIA.43/35 L=16,0</t>
  </si>
  <si>
    <t>10488558</t>
  </si>
  <si>
    <t>ARANDELA 80X3 AGA-C</t>
  </si>
  <si>
    <t>10488571</t>
  </si>
  <si>
    <t>TUERCA HEXAGONAL M18 A 108-C</t>
  </si>
  <si>
    <t>10494137</t>
  </si>
  <si>
    <t>CASQUILLO PM 8580 DS TIPO KW SIN AGUJ.DE ENGRASE GLACIER</t>
  </si>
  <si>
    <t>10494432</t>
  </si>
  <si>
    <t>10495358</t>
  </si>
  <si>
    <t>PLACA DISTANCIAD. T=1 PARA RPD</t>
  </si>
  <si>
    <t>10501989</t>
  </si>
  <si>
    <t>10501992</t>
  </si>
  <si>
    <t>10505294</t>
  </si>
  <si>
    <t>10506622</t>
  </si>
  <si>
    <t>10510139</t>
  </si>
  <si>
    <t>10510857</t>
  </si>
  <si>
    <t>10514554</t>
  </si>
  <si>
    <t>ÉMBOLO COMPLETO DIÁ.70/63</t>
  </si>
  <si>
    <t>10514556</t>
  </si>
  <si>
    <t>PISTON COMPLETO DIA.75 / 63</t>
  </si>
  <si>
    <t>10518986</t>
  </si>
  <si>
    <t>10530985</t>
  </si>
  <si>
    <t>10531093</t>
  </si>
  <si>
    <t>10531215</t>
  </si>
  <si>
    <t>DISCO DISTANCIADOR DIA. 50 / 31 E= 1,5</t>
  </si>
  <si>
    <t>10535780</t>
  </si>
  <si>
    <t>10536915</t>
  </si>
  <si>
    <t>BOMBA RUEDAS D. SNP1/1,7DCO01F BOMBA RUEDAS DENTADAS SAUER</t>
  </si>
  <si>
    <t>10538144</t>
  </si>
  <si>
    <t>10539289</t>
  </si>
  <si>
    <t>10539609</t>
  </si>
  <si>
    <t>POLEA SENSOR C CL 64 DIA265 CON CONCAVID.DIA.250 /ALUMINIO</t>
  </si>
  <si>
    <t>10542461</t>
  </si>
  <si>
    <t>TOPE DE GOMA DIA.90/36 A=24 CENTR.RESORTE ESPIRAL 8MGD-GCS</t>
  </si>
  <si>
    <t>10551491</t>
  </si>
  <si>
    <t>10566988</t>
  </si>
  <si>
    <t>10567647</t>
  </si>
  <si>
    <t>CORREA TRAPEZ. XPC LA=2080 MM DIN 7753-1</t>
  </si>
  <si>
    <t>10568945</t>
  </si>
  <si>
    <t>BULÓN DIA.22H7 LN 297,5 M16 ARMAZ.4PTS. 8P. CWA OMEGA III</t>
  </si>
  <si>
    <t>10589800</t>
  </si>
  <si>
    <t>POLEA DIÁ.47/12,0 B=20,0 PARA CADENA TRANSPORTADORA 4"</t>
  </si>
  <si>
    <t>10591180</t>
  </si>
  <si>
    <t>10591867</t>
  </si>
  <si>
    <t>DI-BU DM 20,0/ 12.5 L= 16</t>
  </si>
  <si>
    <t>10593193</t>
  </si>
  <si>
    <t>CARGADOR SKYLLA-TG 24/50 AJUSTADO VICTRON ENERGY</t>
  </si>
  <si>
    <t>10607522</t>
  </si>
  <si>
    <t>BULÓN DIA.30 H8 - L= 120 PARA POLEA CONTADORA</t>
  </si>
  <si>
    <t>10625658</t>
  </si>
  <si>
    <t>10628260</t>
  </si>
  <si>
    <t>10653936</t>
  </si>
  <si>
    <t>TORN.P.RUEDA 8.8 M12X 20 ESP. HEXAGONAL, DIN 933 + ARANDELA</t>
  </si>
  <si>
    <t>10661660</t>
  </si>
  <si>
    <t>MANGUERA AP AN10-2SC L=8000MM DKOL-12/CEL-12</t>
  </si>
  <si>
    <t>10681429</t>
  </si>
  <si>
    <t>10686566</t>
  </si>
  <si>
    <t>10687475</t>
  </si>
  <si>
    <t>TORNILLO DE AJUSTE A108-C</t>
  </si>
  <si>
    <t>10688026</t>
  </si>
  <si>
    <t>HD-SCHLAUCH NW10-2SC L= 2500MM DKOL-12/DKOL-12</t>
  </si>
  <si>
    <t>10688217</t>
  </si>
  <si>
    <t>10689732</t>
  </si>
  <si>
    <t>10690825</t>
  </si>
  <si>
    <t>SISTEMA MANOMÉTR.0-600KN/0-10V F61541560077 WIKA</t>
  </si>
  <si>
    <t>10691338</t>
  </si>
  <si>
    <t>MANGUERA AP AN10-2SC L=2200MM DKOL-12/DKOL-12</t>
  </si>
  <si>
    <t>10693755</t>
  </si>
  <si>
    <t>10693756</t>
  </si>
  <si>
    <t>10709660</t>
  </si>
  <si>
    <t>PERNO DEL EJE P. POLEA A108-C DIA.35 LN 115,5</t>
  </si>
  <si>
    <t>10745855</t>
  </si>
  <si>
    <t>10745857</t>
  </si>
  <si>
    <t>10748290</t>
  </si>
  <si>
    <t>SOPORTE DE EJE DIA63 H7 ESPEC. UNIG ELECTROGALV.</t>
  </si>
  <si>
    <t>10752419</t>
  </si>
  <si>
    <t>ELEM.ACTUAD.P.INTERRUPT.FINAL PARA CABEZA INTERR.F. ZCK-E056</t>
  </si>
  <si>
    <t>10752724</t>
  </si>
  <si>
    <t>10752834</t>
  </si>
  <si>
    <t>10752839</t>
  </si>
  <si>
    <t>10752990</t>
  </si>
  <si>
    <t>10753716</t>
  </si>
  <si>
    <t>VORRATSANZEIGE 0-1/4-4/4 24V P/N 0015ECT</t>
  </si>
  <si>
    <t>10755939</t>
  </si>
  <si>
    <t>FUSIBLE AUTOM. CA/CC 5SY6 101-7 1P/1A/CURVA C SIEMENS</t>
  </si>
  <si>
    <t>10755941</t>
  </si>
  <si>
    <t>FUSIBLE AUTOMÁT. CA/CC 5SY6 104-7 1P/4A/CURVA C SIEMENS</t>
  </si>
  <si>
    <t>10755943</t>
  </si>
  <si>
    <t>FUSIBLE AUTOM. CA/CC 5SY6 106-7 1P/6A/CURVA C SIEMENS</t>
  </si>
  <si>
    <t>10755944</t>
  </si>
  <si>
    <t>FUSIBLE AUTOM. CA/CC 5SY6 110-7 1P/10A/CURVA C SIEMENS</t>
  </si>
  <si>
    <t>10755945</t>
  </si>
  <si>
    <t>FUSIBLE AUTOM. CA/CC 5SY6 116-7 1P/16A/CURVA C SIEMENS</t>
  </si>
  <si>
    <t>10755946</t>
  </si>
  <si>
    <t>FUSIBLE AUTOMÁT. CA/CC 5SY6 120-7 1P/20A/CURVA C SIEMENS</t>
  </si>
  <si>
    <t>10755953</t>
  </si>
  <si>
    <t>10755956</t>
  </si>
  <si>
    <t>10755957</t>
  </si>
  <si>
    <t>10756000</t>
  </si>
  <si>
    <t>INTERRUPT.AUX.5ST3 010 1T +1R SIEMENS</t>
  </si>
  <si>
    <t>10763588</t>
  </si>
  <si>
    <t>CONTACTOR K3-24A00.230 AC BENEDIKT&amp;JAEGER</t>
  </si>
  <si>
    <t>10763595</t>
  </si>
  <si>
    <t>CONTACTOR K3-50A00.230 AC BENEDIKT&amp;JAEGER</t>
  </si>
  <si>
    <t>10763604</t>
  </si>
  <si>
    <t>CONTACTOR KG3-18A10.24 24V/CD (1 CONT.DE C.) BENEDIKT&amp;JAEGER</t>
  </si>
  <si>
    <t>10763651</t>
  </si>
  <si>
    <t>10773993</t>
  </si>
  <si>
    <t>10781147</t>
  </si>
  <si>
    <t>10781148</t>
  </si>
  <si>
    <t>10796747</t>
  </si>
  <si>
    <t>TUERCA AUTOFIJ. INLOC - 8 M20 C.ELEM.DE FIJAC. ~DIN934 GALV.</t>
  </si>
  <si>
    <t>10821130</t>
  </si>
  <si>
    <t>CONTACTOR KG3-07D04.24 DC (40E) BENEDIKT&amp;JAEGER</t>
  </si>
  <si>
    <t>10834216</t>
  </si>
  <si>
    <t>10834428</t>
  </si>
  <si>
    <t>10848411</t>
  </si>
  <si>
    <t>BLITZDUCTOR Nº ART. 920324 MÓDULO DE PROT. BXT ML4 BE 24</t>
  </si>
  <si>
    <t>10863210</t>
  </si>
  <si>
    <t>VÁLVULA DE RETENCIÓN DE ACEITE PERMA A 104862</t>
  </si>
  <si>
    <t>10863212</t>
  </si>
  <si>
    <t>EMPALME DE MANGUERA PERMA G1/4A A104822</t>
  </si>
  <si>
    <t>10863213</t>
  </si>
  <si>
    <t>10870308</t>
  </si>
  <si>
    <t>POLEA 501C CL100 DIA525 C.LAMINILLAS EMP.,RRB ESP.,PAC</t>
  </si>
  <si>
    <t>10870719</t>
  </si>
  <si>
    <t>POLEA 420C LW 93 DIA.455 C.LAMINILLAS EMP.,RRB ESP.,PAC</t>
  </si>
  <si>
    <t>10871370</t>
  </si>
  <si>
    <t>10871377</t>
  </si>
  <si>
    <t>10871603</t>
  </si>
  <si>
    <t>10871605</t>
  </si>
  <si>
    <t>10872356</t>
  </si>
  <si>
    <t>10872696</t>
  </si>
  <si>
    <t>10873363</t>
  </si>
  <si>
    <t>10873673</t>
  </si>
  <si>
    <t>10874437</t>
  </si>
  <si>
    <t>V-RING V 220 L</t>
  </si>
  <si>
    <t>10876923</t>
  </si>
  <si>
    <t>10894070</t>
  </si>
  <si>
    <t>BATERÍA CR2477N 3,0V 950MAH LITIO</t>
  </si>
  <si>
    <t>10894128</t>
  </si>
  <si>
    <t>CILINDRO DE FRENO, COMPLETO CARRERA=300, D=1080</t>
  </si>
  <si>
    <t>10895074</t>
  </si>
  <si>
    <t>REDUCTOR PERMA M6 A 104837</t>
  </si>
  <si>
    <t>10918361</t>
  </si>
  <si>
    <t>10919457</t>
  </si>
  <si>
    <t>10941743</t>
  </si>
  <si>
    <t>ANILLO DIA. 80,0/ 60,0 L= 20,5 UNIG</t>
  </si>
  <si>
    <t>10942167</t>
  </si>
  <si>
    <t>ACHSE DM 14.8 LG 80 GVZ</t>
  </si>
  <si>
    <t>10946773</t>
  </si>
  <si>
    <t>BALANCÍN 2 POL. TIPO C AC.60 DEP=560 P. POLEA SENSOR 420C</t>
  </si>
  <si>
    <t>10946774</t>
  </si>
  <si>
    <t>10958255</t>
  </si>
  <si>
    <t>10966111</t>
  </si>
  <si>
    <t>MANGUERA AP AN10-2SC L=800MM DKOL-12/DKOL-12</t>
  </si>
  <si>
    <t>10966162</t>
  </si>
  <si>
    <t>MANGUERA AP AN10-2SC L=1400MM DKOL-12/DKOL-12</t>
  </si>
  <si>
    <t>10966166</t>
  </si>
  <si>
    <t>MANGUERA AP AN10-2SC L=800MM DKOL-12/CEL-12</t>
  </si>
  <si>
    <t>10986283</t>
  </si>
  <si>
    <t>10999021</t>
  </si>
  <si>
    <t>RODILLO DE PLÁSTICO DIÁ. 80/ 17 B= 50</t>
  </si>
  <si>
    <t>11001896</t>
  </si>
  <si>
    <t>11007503</t>
  </si>
  <si>
    <t>TAPA DE EJE AGA-C A108-C, A104-C</t>
  </si>
  <si>
    <t>11040059</t>
  </si>
  <si>
    <t>11040092</t>
  </si>
  <si>
    <t>11094109</t>
  </si>
  <si>
    <t>11100172</t>
  </si>
  <si>
    <t>INT.CORR.DEF.5SU1 354-6KK06 6A CORR.LIBERACIÓN 0,03A SIEMENS</t>
  </si>
  <si>
    <t>11101307</t>
  </si>
  <si>
    <t>11101309</t>
  </si>
  <si>
    <t>11107822</t>
  </si>
  <si>
    <t>11107830</t>
  </si>
  <si>
    <t>11125072</t>
  </si>
  <si>
    <t>TUERCA HEX.ISO4035- 8 M18 GALVANIZADA (DIN439B)</t>
  </si>
  <si>
    <t>11129582</t>
  </si>
  <si>
    <t>11131578</t>
  </si>
  <si>
    <t>11131929</t>
  </si>
  <si>
    <t>11135996</t>
  </si>
  <si>
    <t>11136880</t>
  </si>
  <si>
    <t>11136923</t>
  </si>
  <si>
    <t>11136925</t>
  </si>
  <si>
    <t>11136966</t>
  </si>
  <si>
    <t>11137005</t>
  </si>
  <si>
    <t>11137015</t>
  </si>
  <si>
    <t>11139369</t>
  </si>
  <si>
    <t>11142261</t>
  </si>
  <si>
    <t>11154982</t>
  </si>
  <si>
    <t>ARRANCAD.REV, ELR H5-SC-24VDC/ 500AC-9 NO.:2900538 PHOENIX</t>
  </si>
  <si>
    <t>11157571</t>
  </si>
  <si>
    <t>INVALID: RESORTE DE BRAZOS 1 OMIII/OMIV/CO VE=5 STK ANR.:409533</t>
  </si>
  <si>
    <t>11160476</t>
  </si>
  <si>
    <t>11163457</t>
  </si>
  <si>
    <t>STECKVERBINDER EINBAU 2,5MM2 PV-FT-CM-C-2,5-130-RD</t>
  </si>
  <si>
    <t>11163458</t>
  </si>
  <si>
    <t>STECKVERBINDER EINBAU 2,5MM2 PV-FT-CF-C-2,5-130-BU</t>
  </si>
  <si>
    <t>11163460</t>
  </si>
  <si>
    <t>11174868</t>
  </si>
  <si>
    <t>INTERR.PROT.MOTOR 0,25- 0,40A MS132-0.4-HKF1-11 1S+1OE ABB</t>
  </si>
  <si>
    <t>11174869</t>
  </si>
  <si>
    <t>INTERR.PROT.MOTOR 0,40- 0,63A MS132-0.63-HKF1-11 1S+1OE ABB</t>
  </si>
  <si>
    <t>11174925</t>
  </si>
  <si>
    <t>INTERR. AUXIL. P. MS4XX 1NO/1NC HK4-11 ABB</t>
  </si>
  <si>
    <t>11185338</t>
  </si>
  <si>
    <t>11185341</t>
  </si>
  <si>
    <t>11185351</t>
  </si>
  <si>
    <t>11200291</t>
  </si>
  <si>
    <t>11200310</t>
  </si>
  <si>
    <t>11211339</t>
  </si>
  <si>
    <t>11246907</t>
  </si>
  <si>
    <t>INVALID: CLAVIJA BFA CON CABLE 3 POLOS N°: 7000-18021-6361000 MURR</t>
  </si>
  <si>
    <t>11247090</t>
  </si>
  <si>
    <t>MANGUERA AP AN25-1SC L=1550MM CEL-28/DKOL90-28</t>
  </si>
  <si>
    <t>11247093</t>
  </si>
  <si>
    <t>MANGUERA AP AN12-2SC L=1650MM CES-16/DKOS45-16</t>
  </si>
  <si>
    <t>11247814</t>
  </si>
  <si>
    <t>MANGUERA AP AN12-2SC L=2400MM CES-16/DKOS90-16</t>
  </si>
  <si>
    <t>11247815</t>
  </si>
  <si>
    <t>MANGUERA AP AN25-2SC L=2400MM DKOL-28/CEL-28</t>
  </si>
  <si>
    <t>11247961</t>
  </si>
  <si>
    <t>MANGUERA AP AN35-2SC L=900MM DKOL-28/DKOL90-28</t>
  </si>
  <si>
    <t>11288340</t>
  </si>
  <si>
    <t>11304628</t>
  </si>
  <si>
    <t>NIPLE DE ENGRASE A 6X1,0 ~DIN71412 NIPLE CÓNICO (CIL.) RECTA</t>
  </si>
  <si>
    <t>11308584</t>
  </si>
  <si>
    <t>11311021</t>
  </si>
  <si>
    <t>AUSSENKOERPER 522.26 ART.NR. 676433 MOENNINGHOF</t>
  </si>
  <si>
    <t>11314853</t>
  </si>
  <si>
    <t>FILTRO DANFOSS P. H1P060-100 - CORTO/ELEM.FILTR. P. BOMBA E.A</t>
  </si>
  <si>
    <t>11316799</t>
  </si>
  <si>
    <t>11317920</t>
  </si>
  <si>
    <t>RPD INTERRUPTOR DE VIGILANCIA DEL CABLE GS 5001, ESTADO: AJ</t>
  </si>
  <si>
    <t>11318364</t>
  </si>
  <si>
    <t>VERSCHLUSST. GPN 900 A13,5 KAPSTO</t>
  </si>
  <si>
    <t>11319201</t>
  </si>
  <si>
    <t>MAGNETTEIL 522.26-SO MOENNINGHOFF</t>
  </si>
  <si>
    <t>11319448</t>
  </si>
  <si>
    <t>LAMELLENPAKET TYP 521/522.26 MOENNINGHOFF</t>
  </si>
  <si>
    <t>11320520</t>
  </si>
  <si>
    <t>11324514</t>
  </si>
  <si>
    <t>11340463</t>
  </si>
  <si>
    <t>11355248</t>
  </si>
  <si>
    <t>11359147</t>
  </si>
  <si>
    <t>11359422</t>
  </si>
  <si>
    <t>11402505</t>
  </si>
  <si>
    <t>11404324</t>
  </si>
  <si>
    <t>JUEGO DE MANTENIMIENTO P. BOMBA KRAL K55-118 KRAL</t>
  </si>
  <si>
    <t>11405441</t>
  </si>
  <si>
    <t>MANGUERA AP AN10-2SC L=11500MM DKOL-12/CEL-12</t>
  </si>
  <si>
    <t>11412221</t>
  </si>
  <si>
    <t>ELEMEN.FILTRANTE PI 3115 PS 10 MAHLE FILTRO BAJA TEN</t>
  </si>
  <si>
    <t>11412554</t>
  </si>
  <si>
    <t>11416872</t>
  </si>
  <si>
    <t>11420011</t>
  </si>
  <si>
    <t>11420014</t>
  </si>
  <si>
    <t>11420022</t>
  </si>
  <si>
    <t>11420025</t>
  </si>
  <si>
    <t>11423011</t>
  </si>
  <si>
    <t>11424318</t>
  </si>
  <si>
    <t>11424367</t>
  </si>
  <si>
    <t>11424677</t>
  </si>
  <si>
    <t>11424994</t>
  </si>
  <si>
    <t>11430217</t>
  </si>
  <si>
    <t>11430340</t>
  </si>
  <si>
    <t>11430347</t>
  </si>
  <si>
    <t>11430348</t>
  </si>
  <si>
    <t>11430350</t>
  </si>
  <si>
    <t>11430351</t>
  </si>
  <si>
    <t>11430463</t>
  </si>
  <si>
    <t>11430646</t>
  </si>
  <si>
    <t>MANGUERA AP AN10-2SC L=9500MM DKOL-12/CEL-12</t>
  </si>
  <si>
    <t>11430674</t>
  </si>
  <si>
    <t>MANGUERA AP AN10-2SC L=1100MM DKOL-12/CEL-12</t>
  </si>
  <si>
    <t>11435529</t>
  </si>
  <si>
    <t>RELE DE TIEMPO K3ZM20P-D 2-240V AC/DC TELE HAASE</t>
  </si>
  <si>
    <t>11436685</t>
  </si>
  <si>
    <t>11439227</t>
  </si>
  <si>
    <t>CONV.MANOMÉTR. TIPO 8254.65.2317.32.0000. 0000.19.44.83 TRAF</t>
  </si>
  <si>
    <t>11440603</t>
  </si>
  <si>
    <t>SHR ISO 4762- 8.8 M 4X 10 GVZ ZYL-SHR, GALV.VERZINKT</t>
  </si>
  <si>
    <t>11446176</t>
  </si>
  <si>
    <t>11452546</t>
  </si>
  <si>
    <t>SOPORTE DE EJE P. DIÁ.75 PROT. CONTRA PÉRDIDA</t>
  </si>
  <si>
    <t>11456353</t>
  </si>
  <si>
    <t>HORQUILLA DE SEGUR. DIÁ4,5 L=122 CARGA ESTÁT. DE ROT. 60-100N</t>
  </si>
  <si>
    <t>11459709</t>
  </si>
  <si>
    <t>11518383</t>
  </si>
  <si>
    <t>11518384</t>
  </si>
  <si>
    <t>11525688</t>
  </si>
  <si>
    <t>INTERR. ETHERNET 1XGOL MONOMODO/4RJ45 WESTERMO</t>
  </si>
  <si>
    <t>11531396</t>
  </si>
  <si>
    <t>11536046</t>
  </si>
  <si>
    <t>11536054</t>
  </si>
  <si>
    <t>FI-SCHALTER 5SV3 646-8 63A AUSLOESESTROM 0,3A SIEMENS</t>
  </si>
  <si>
    <t>11539659</t>
  </si>
  <si>
    <t>SET DE MANTENIMIENTO P. BOMBA KRAL K 5-20</t>
  </si>
  <si>
    <t>11544852</t>
  </si>
  <si>
    <t>11544869</t>
  </si>
  <si>
    <t>11544933</t>
  </si>
  <si>
    <t>11544947</t>
  </si>
  <si>
    <t>11544948</t>
  </si>
  <si>
    <t>11544995</t>
  </si>
  <si>
    <t>11544996</t>
  </si>
  <si>
    <t>11545032</t>
  </si>
  <si>
    <t>11545033</t>
  </si>
  <si>
    <t>11545040</t>
  </si>
  <si>
    <t>11545051</t>
  </si>
  <si>
    <t>11545052</t>
  </si>
  <si>
    <t>11545062</t>
  </si>
  <si>
    <t>BULÓN DIÁ 90H8 LN 441 420C SOPORTE 4P/4S EN ARMAZÓN 8P/8S</t>
  </si>
  <si>
    <t>11592082</t>
  </si>
  <si>
    <t>11648751</t>
  </si>
  <si>
    <t>CONTACTOR AF305-30-22-13 1SFL587002R1322 ABB</t>
  </si>
  <si>
    <t>11668565</t>
  </si>
  <si>
    <t>MANGUERA AP AN12-2SC L=1800MM CES-16/DKOS45-16</t>
  </si>
  <si>
    <t>11668572</t>
  </si>
  <si>
    <t>11672779</t>
  </si>
  <si>
    <t>11673191</t>
  </si>
  <si>
    <t>11780604</t>
  </si>
  <si>
    <t>VÁLVULA DISTR. 3/2 AS32061B-G24- HRKS792Z328 WANDFLUH</t>
  </si>
  <si>
    <t>11797138</t>
  </si>
  <si>
    <t>11805532</t>
  </si>
  <si>
    <t>11808104</t>
  </si>
  <si>
    <t>11822382</t>
  </si>
  <si>
    <t>11825539</t>
  </si>
  <si>
    <t>MANGUERA PTFE 6,00 / 8,00 COLOR: NATURAL</t>
  </si>
  <si>
    <t>11867163</t>
  </si>
  <si>
    <t>MOTORSCHUTZSCHALT. 30,0- 42,0A MS165-42 ABB</t>
  </si>
  <si>
    <t>11867392</t>
  </si>
  <si>
    <t>OPTOACOPLADOR LCIS-SR-DC-2L-5000140-PI LUETZE 764050.0140</t>
  </si>
  <si>
    <t>11870272</t>
  </si>
  <si>
    <t>11870273</t>
  </si>
  <si>
    <t>11876051</t>
  </si>
  <si>
    <t>TUERARM LI+RE OMIV ET-SET KPL. ARTNR.:11-096246 BEST. AUS:</t>
  </si>
  <si>
    <t>11884484</t>
  </si>
  <si>
    <t>LED-LAMPE ROT 24V AC/DC F.SOCKEL BA 9S NR.18602350</t>
  </si>
  <si>
    <t>12006672</t>
  </si>
  <si>
    <t>DF D=22,00/DM=120,0/LO=389,0 IF= 8,60; DRUCKFEDER DIN 2095</t>
  </si>
  <si>
    <t>12008364</t>
  </si>
  <si>
    <t>12008441</t>
  </si>
  <si>
    <t>12020753</t>
  </si>
  <si>
    <t>CARGADOR BLUE SMART 24/12 A PRUEBA DE AGUA VICTRON ENERGY</t>
  </si>
  <si>
    <t>12023240</t>
  </si>
  <si>
    <t>LENGÜETA A108-C TIPO 2 CABLE Ø48-51 MM</t>
  </si>
  <si>
    <t>12047873</t>
  </si>
  <si>
    <t>FREMDLUEFTERMOTOR HEFIE3 FOL 100LA/4 3,0KW 400V 50HZ EMOD</t>
  </si>
  <si>
    <t>110049475</t>
  </si>
  <si>
    <t>HORQUILLA DE PUERTA DERECHA + PUERTA IZQUIERDA, OMIV
 147X103X48MM</t>
  </si>
  <si>
    <t>CERRADURA DE PESTILLO, OMIV
 PARA CUBIERTAS LATERALES Y SUPERIORES</t>
  </si>
  <si>
    <t>12157993</t>
  </si>
  <si>
    <t>COTIZACION PRODUCTOS ADICIONALES</t>
  </si>
  <si>
    <t>0</t>
  </si>
  <si>
    <t>PROGRAMA ANUAL DE CUOTAS DE CAJA "PACC"
(Procesos mayores a Bs 20,000.-)</t>
  </si>
  <si>
    <t>GESTIÓN 2024</t>
  </si>
  <si>
    <t>Formulario PAC</t>
  </si>
  <si>
    <t>PROGRAMACIÓN DE PAGOS</t>
  </si>
  <si>
    <t>UNIDAD SOLICITANTE</t>
  </si>
  <si>
    <t>MODALIDAD DE CONTRATACIÓN</t>
  </si>
  <si>
    <t>TIPO DE CONTRATACIÓN</t>
  </si>
  <si>
    <t>DETALLE DEL PROCESO</t>
  </si>
  <si>
    <t>PRECIO REFERENCIAL
EN BS</t>
  </si>
  <si>
    <t>MES DE
SOLICITUD (INICIO)</t>
  </si>
  <si>
    <t>MES DE FIRMA DE CONTRATO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</si>
  <si>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</si>
  <si>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</si>
  <si>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</si>
  <si>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</si>
  <si>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</si>
  <si>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</si>
  <si>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</si>
  <si>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</si>
  <si>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</si>
  <si>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</si>
  <si>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</si>
  <si>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</si>
  <si>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CÓDIGO POA</t>
  </si>
  <si>
    <t>PARTIDA PPTARIA.</t>
  </si>
  <si>
    <t xml:space="preserve">OBSERVCIONES </t>
  </si>
  <si>
    <t>GOM - Contratación Plurianual de Bienes para el Mantenimiento de las Líneas del Sistema de Transporte 2022</t>
  </si>
  <si>
    <t>Pago pendiente TDB</t>
  </si>
  <si>
    <t>GOM - Contratación Plurianual de Servicios para el Mantenimiento de las Líneas del Sistema de Transporte 2022</t>
  </si>
  <si>
    <t>Pago Pendiente TDB</t>
  </si>
  <si>
    <t>PROCESOS INSCRITOS EN EL PAC</t>
  </si>
  <si>
    <t>Gerencia de Operaciones y Mantenimiento</t>
  </si>
  <si>
    <t>Directa EPNE / Art 83 (Mayor a Bs20 Mil)</t>
  </si>
  <si>
    <t>SERVICIOS GENERALES</t>
  </si>
  <si>
    <t xml:space="preserve">GOM - Contratación trianual de Servicios para el Mantenimiento de las Líneas del Sistema de Transporte </t>
  </si>
  <si>
    <t>3.2</t>
  </si>
  <si>
    <t>BIENES</t>
  </si>
  <si>
    <t xml:space="preserve">GOM - Contratación trianual de Bienes para el Mantenimiento de las Líneas del Sistema de Transporte </t>
  </si>
  <si>
    <t>importe_calculado)</t>
  </si>
  <si>
    <t>GOM - Contratación servicio de cambio de balancines para las líneas de la EETC MT</t>
  </si>
  <si>
    <t>ANPE (Mayor a Bs 200 Mil)</t>
  </si>
  <si>
    <t>GOM - Adquisición de Rodamientos para motores de las Líneas de la EETC MT</t>
  </si>
  <si>
    <t>ubicacion,</t>
  </si>
  <si>
    <t>GOM- Contratación de Servicio de Inspecciones magneto inductivas para mantenimiento de los cables tractores de las lineas de la EETC MT</t>
  </si>
  <si>
    <t>tipo_de_gasto,</t>
  </si>
  <si>
    <t>ANPE (Hasta Bs 200 Mil)</t>
  </si>
  <si>
    <t xml:space="preserve">GOM-Contratacion de Servicio de inspecciones no destructivas para el para mantenimiento de pinzas de las lineas de la EETC MT </t>
  </si>
  <si>
    <t>proveedor,</t>
  </si>
  <si>
    <t xml:space="preserve">GOM-Contratación de Servicio de monitoreo continuo para mantenimiento de equipos criticos de las lineas de la EETC MT </t>
  </si>
  <si>
    <t>codigo_item,</t>
  </si>
  <si>
    <t>24120__</t>
  </si>
  <si>
    <t>GOM-Contratacion de Servicio basado en condiciones para equipos criticos de las lineas de la EETC MT</t>
  </si>
  <si>
    <t>item,</t>
  </si>
  <si>
    <t>GOM-Contratacion de Servicio de apriete de tornilleria en fustes y bases para las lineas de primera fase de la EETC MT</t>
  </si>
  <si>
    <t>unidad_medida,</t>
  </si>
  <si>
    <t xml:space="preserve">GOM-Contratacion de Servicio de análisis en laboratorio de Aceites, Grasas y Refrigerantes para las lineas de la EETC MT </t>
  </si>
  <si>
    <t>grupo,</t>
  </si>
  <si>
    <t xml:space="preserve">GOM-Contratacion de Servicio de  toma de muestra y análisis de aceite de transformadores para las lineas de la EETC MT </t>
  </si>
  <si>
    <t>subgrupo,</t>
  </si>
  <si>
    <t>GOM-Contratacion de Servicio de Mantenimiento de Transformadores para las lineas y TRM de la EETC MT</t>
  </si>
  <si>
    <t>cantidad,</t>
  </si>
  <si>
    <t>GOM-Adquisicion de repuestos mecanicos y electricos para los ascensores de lineas de la EETC MT</t>
  </si>
  <si>
    <t>precio_unitario,</t>
  </si>
  <si>
    <t>importe_historico,</t>
  </si>
  <si>
    <t>GOM-Adquisicion de lubricantes para las lineas de la EETC MT</t>
  </si>
  <si>
    <t>cf_iva,</t>
  </si>
  <si>
    <t>GOM-Adquisicion de grasa para lubricación de pinzas para las lineas de la EETC MT</t>
  </si>
  <si>
    <t>Directa / Art 72 (Mayor a Bs20 Mil)</t>
  </si>
  <si>
    <t>GOM-Adquisicion de combustible diesel para las lineas y TRM de la EETC MT 2024</t>
  </si>
  <si>
    <t>GOM-Adquisicion depaños de limpieza industrial para la limpieza en trabajos de Mantenimiento de las lineas de la EETC MT</t>
  </si>
  <si>
    <t>Motivo de Ingreso,</t>
  </si>
  <si>
    <t>Menor (Superior a Bs20 Mil)</t>
  </si>
  <si>
    <t>GOM- Adquisiscion de insumos para ensayos no destructivos en las lineas de la EETC MT</t>
  </si>
  <si>
    <t>Departamento Solicitante,</t>
  </si>
  <si>
    <t>GOM- Adquisicion de repuestos para el mantenimiento de fibra optica de las lineas de la EETC MT</t>
  </si>
  <si>
    <t>Ubicacion,</t>
  </si>
  <si>
    <t>GOM-Adquisicion de insumos para el mantenimiento correctivo de las lineas de la EETC MT</t>
  </si>
  <si>
    <t>Tipo de Gasto,</t>
  </si>
  <si>
    <t>Partida Presupuestaria,</t>
  </si>
  <si>
    <t>Proveedor,</t>
  </si>
  <si>
    <t>GOM-Contratacion de Servicio de cambio de rodamientos de volante y alineación del motor direct drive para la LTVSO</t>
  </si>
  <si>
    <t>Código Item,</t>
  </si>
  <si>
    <t>3.4.2</t>
  </si>
  <si>
    <t>24120_</t>
  </si>
  <si>
    <t>GOM-Adquisicion de herramientas para el cambio de rodamientos de volante de la LTVSO</t>
  </si>
  <si>
    <t>Item,</t>
  </si>
  <si>
    <t>34800_</t>
  </si>
  <si>
    <t>GOM - Contratación de servicio de diseño y construcción de sistemas de puesta a tierra para las estaciones buenos aires, mirador y obrajes de la EETC MT</t>
  </si>
  <si>
    <t>Unidad Medida,</t>
  </si>
  <si>
    <t>GOM - Contratacion de Servicio de instalacion de tableros de proteccion de circuitos de iluminacion para las lineas verde y amarilla</t>
  </si>
  <si>
    <t>Grupo,</t>
  </si>
  <si>
    <t>3.2.1.2   3.2.1.3</t>
  </si>
  <si>
    <t>GOM – Contratación de servicio de mantenimiento de camiones del TRM</t>
  </si>
  <si>
    <t>GOM – Contratación de servicio de mantenimiento de escaleras mecánicas para la Línea Roja Estación 16 de Julio</t>
  </si>
  <si>
    <t>GOM – Contratación de servicio de mantenimiento de celda de media tensión del transformador de la Línea Amarilla Estación Mirador</t>
  </si>
  <si>
    <t>GOM – Adquisición de pasadores y soportes de plataformas de cabinas de las líneas de la EETC MT</t>
  </si>
  <si>
    <t>GOM- Adquisición de baterías para las líneas de la EETC MT</t>
  </si>
  <si>
    <t>GOM - Adquisición de rodamientos para las líneas de la EETC MT</t>
  </si>
  <si>
    <t>GOM – Adquisición de líquido hidráulico para camión grúa del TRM</t>
  </si>
  <si>
    <t>PROCESOS SIN PAC</t>
  </si>
  <si>
    <t>Menor (Hasta Bs20 Mil) - Solo para Presupuestos</t>
  </si>
  <si>
    <t>Adqquisicionde piezas metalicas para la extraccionde rodamientos de volante en LTVS</t>
  </si>
  <si>
    <t>34600_</t>
  </si>
  <si>
    <t>GOM-Adquisición de insumos para el cambio de rodamientos de volante LTVSO</t>
  </si>
  <si>
    <t>Cantidad,</t>
  </si>
  <si>
    <t>39700_</t>
  </si>
  <si>
    <t>Importe (Histórico) 100%,</t>
  </si>
  <si>
    <t>34200_</t>
  </si>
  <si>
    <t>GOM-Adquisicion de Material para caballetes de soporte de volante LTVSO</t>
  </si>
  <si>
    <t>Precio Unitario,</t>
  </si>
  <si>
    <t>GOM-Adquisicion de Grasas y lubricantes para lubricación y cambios de aceite de máquinas y equipos de la LTVSO</t>
  </si>
  <si>
    <t>CF-IVA,</t>
  </si>
  <si>
    <t>34110_</t>
  </si>
  <si>
    <t xml:space="preserve">GOM- Adquisición de diesel para el mantenimiento LTVSO </t>
  </si>
  <si>
    <t>Importe Calculado</t>
  </si>
  <si>
    <t>Visita de especialistas para mantenimientos preventivos y predictivos y para el mantenimiento mayor LTVSO</t>
  </si>
  <si>
    <t>22210_</t>
  </si>
  <si>
    <t>VIATICOS</t>
  </si>
  <si>
    <t>GOM-Contratacion de servicio de mantenimiento de motor de arranque para la linea plateada</t>
  </si>
  <si>
    <t>GOM – Primera adquisición de lubricante para cable tractor de las Líneas de la EETC MT</t>
  </si>
  <si>
    <t>GOM – Segunda adquisición de lubricante para cable tractor de las Líneas de la EETC MT</t>
  </si>
  <si>
    <t>GOM-Adquisicion de herramientas menores de lubricacion para lineas de la EETC MT</t>
  </si>
  <si>
    <t>GOM-Adquisicion de elementos electricos para mantenimiento de las lineas de la EETC MT</t>
  </si>
  <si>
    <t>GOM-Adquisicion de repuestos varios para las lineas de la EETC MT</t>
  </si>
  <si>
    <t>GOM-Adquisicion de aceite para compresores para las lineas de la EETC MT</t>
  </si>
  <si>
    <t>GOM - Adquisicion de material Metalico para las lineas de la EETC MT</t>
  </si>
  <si>
    <t>GOM - Adquisiscion de material Plasticos para las lineas de la EETC MT</t>
  </si>
  <si>
    <t>GOM - Adquisiciond de material de limpieza para las lineas de la EETC MT</t>
  </si>
  <si>
    <t>GOM - Aduqisicion de electrodos para las lineas de la EETC MT</t>
  </si>
  <si>
    <t>CAJA CHICA (39800)</t>
  </si>
  <si>
    <t>CAJA CHICA (39700)</t>
  </si>
  <si>
    <t>CAJA CHICA (24120)</t>
  </si>
  <si>
    <t>CAJA CHICA (34200)</t>
  </si>
  <si>
    <t>CAJA CHICA (34110)</t>
  </si>
  <si>
    <t>CAJA CHICA (39100)</t>
  </si>
  <si>
    <t>CAJA CHICA (34500)</t>
  </si>
  <si>
    <t>ADQUISICON DE CUCHILLA ROMBO 8MM x 8MM</t>
  </si>
  <si>
    <t>Adquisicion de materiales para energizacion de sala del simulador</t>
  </si>
  <si>
    <t>accesorios de tanque FMX 480</t>
  </si>
  <si>
    <t>jgo. Limas linea amarilla</t>
  </si>
  <si>
    <t>RESUMEN</t>
  </si>
  <si>
    <t>250 0 2</t>
  </si>
  <si>
    <t>LA PAZ</t>
  </si>
  <si>
    <t>DM</t>
  </si>
  <si>
    <t>Combustibles, Lubricantes, Derivados y otras Fuentes de Energía</t>
  </si>
  <si>
    <t>Productos Químicos y Farmacéuticos</t>
  </si>
  <si>
    <t>Llantas y Neumáticos</t>
  </si>
  <si>
    <t>Herramientas Menores</t>
  </si>
  <si>
    <t>Material de Limpieza</t>
  </si>
  <si>
    <t>Útiles y Materiales Eléctricos</t>
  </si>
  <si>
    <t>Otros Repuestos y Accesorios</t>
  </si>
  <si>
    <t>Otra Maquinaria y Equipo</t>
  </si>
  <si>
    <t>Productos metálicos</t>
  </si>
  <si>
    <t>Viaticos</t>
  </si>
  <si>
    <t>Productos de Minerales no Metálicos y Plásticos</t>
  </si>
  <si>
    <t>Total DM</t>
  </si>
  <si>
    <t>Total 250 0 2</t>
  </si>
  <si>
    <t>Pago bienes y servicios:</t>
  </si>
  <si>
    <t>Gasto 2024:</t>
  </si>
  <si>
    <t>Procesos por Mes</t>
  </si>
  <si>
    <t>Cantidad</t>
  </si>
  <si>
    <t xml:space="preserve">REPUESTOS PARA OVH BALANCINES
</t>
  </si>
  <si>
    <t>Cantidad (Q) de un item por año 2024</t>
  </si>
  <si>
    <t>Cantidad (Q) de un item por año 2025</t>
  </si>
  <si>
    <t>Cantidad (Q) de un item por año 2026</t>
  </si>
  <si>
    <t xml:space="preserve">T.C. </t>
  </si>
  <si>
    <t>COTIZACION</t>
  </si>
  <si>
    <t>Proceso</t>
  </si>
  <si>
    <t>Ubicación</t>
  </si>
  <si>
    <t>Tipo de Bien</t>
  </si>
  <si>
    <t>TDB/LOCAL</t>
  </si>
  <si>
    <t>Partida</t>
  </si>
  <si>
    <t>ID TDB o ID Almacén</t>
  </si>
  <si>
    <t>ID Cotizado</t>
  </si>
  <si>
    <t>Unid.</t>
  </si>
  <si>
    <t>Q LMO/año</t>
  </si>
  <si>
    <t>Q LPL/año</t>
  </si>
  <si>
    <t>Q LAM/año</t>
  </si>
  <si>
    <t>Q LR/año</t>
  </si>
  <si>
    <t>Q LN/año</t>
  </si>
  <si>
    <t>Q LAZ/año</t>
  </si>
  <si>
    <t>Q LB/año</t>
  </si>
  <si>
    <t>Q LCE/año</t>
  </si>
  <si>
    <t>Q LCA/año</t>
  </si>
  <si>
    <t>Q LV/año</t>
  </si>
  <si>
    <t>Q TRM/año</t>
  </si>
  <si>
    <t>Q LMO/año2</t>
  </si>
  <si>
    <t>Q LPL/año3</t>
  </si>
  <si>
    <t>Q LAM/año4</t>
  </si>
  <si>
    <t>Q LR/año5</t>
  </si>
  <si>
    <t>Q LN/año6</t>
  </si>
  <si>
    <t>Q LAZ/año7</t>
  </si>
  <si>
    <t>Q LB/año8</t>
  </si>
  <si>
    <t>Q LCE/año9</t>
  </si>
  <si>
    <t>Q LCA/año10</t>
  </si>
  <si>
    <t>Q LV/año11</t>
  </si>
  <si>
    <t>Q TRM/año12</t>
  </si>
  <si>
    <t>Q LMO/año3</t>
  </si>
  <si>
    <t>Q LPL/año4</t>
  </si>
  <si>
    <t>Q LAM/año5</t>
  </si>
  <si>
    <t>Q LR/año6</t>
  </si>
  <si>
    <t>Q LN/año7</t>
  </si>
  <si>
    <t>Q LAZ/año8</t>
  </si>
  <si>
    <t>Q LB/año9</t>
  </si>
  <si>
    <t>Q LCE/año10</t>
  </si>
  <si>
    <t>Q LCA/año11</t>
  </si>
  <si>
    <t>Q LV/año12</t>
  </si>
  <si>
    <t>Q TRM/año13</t>
  </si>
  <si>
    <t>P.U. $us.</t>
  </si>
  <si>
    <t>P.U. Bs</t>
  </si>
  <si>
    <t>Bs. 2024</t>
  </si>
  <si>
    <t>Bs. 2025</t>
  </si>
  <si>
    <t>Bs. 2026</t>
  </si>
  <si>
    <t>Bs. Total</t>
  </si>
  <si>
    <t>Entrega 2024</t>
  </si>
  <si>
    <t>Entrega 2025</t>
  </si>
  <si>
    <t>Entrega 2026</t>
  </si>
  <si>
    <t>Repuestos mantenimientos mayores para estaciones y torres</t>
  </si>
  <si>
    <t>Torres</t>
  </si>
  <si>
    <t>Repuesto Mecánico</t>
  </si>
  <si>
    <t>39800</t>
  </si>
  <si>
    <t>2-01-00844</t>
  </si>
  <si>
    <t>2-01-00340</t>
  </si>
  <si>
    <t>2-01-00124</t>
  </si>
  <si>
    <t>2-01-00125</t>
  </si>
  <si>
    <t>2-01-00487</t>
  </si>
  <si>
    <t>2-01-00128</t>
  </si>
  <si>
    <t>2-01-00488</t>
  </si>
  <si>
    <t>2-01-00035</t>
  </si>
  <si>
    <t>2-01-00036</t>
  </si>
  <si>
    <t>2-01-00489</t>
  </si>
  <si>
    <t>2-01-00129</t>
  </si>
  <si>
    <t>2-01-00835</t>
  </si>
  <si>
    <t>Repuesto Eléctrico</t>
  </si>
  <si>
    <t>39700</t>
  </si>
  <si>
    <t>2-02-00105</t>
  </si>
  <si>
    <t>2-01-00130</t>
  </si>
  <si>
    <t>2-01-00131</t>
  </si>
  <si>
    <t>2-01-00406</t>
  </si>
  <si>
    <t>2-01-00289</t>
  </si>
  <si>
    <t>2-01-00299</t>
  </si>
  <si>
    <t>2-01-00490</t>
  </si>
  <si>
    <t>CASQUILLO PM 90100 DS  TIPO KW SIN AGUJ.DE ENGRASE    GLACIER</t>
  </si>
  <si>
    <t>Se incrementa el precio en 62%</t>
  </si>
  <si>
    <t>2-01-00491</t>
  </si>
  <si>
    <t>2-01-00940</t>
  </si>
  <si>
    <t>2-01-00257</t>
  </si>
  <si>
    <t>2-01-00408</t>
  </si>
  <si>
    <t>2-01-00438</t>
  </si>
  <si>
    <t>2-01-00262</t>
  </si>
  <si>
    <t>2-01-00014</t>
  </si>
  <si>
    <t>2-01-00858</t>
  </si>
  <si>
    <t>2-01-00439</t>
  </si>
  <si>
    <t>2-01-00860</t>
  </si>
  <si>
    <t>2-01-00869</t>
  </si>
  <si>
    <t>RACOR DE ENGRASE A 12X1,0  DIN71412 CÓNICO RECTO</t>
  </si>
  <si>
    <t>2-02-00335</t>
  </si>
  <si>
    <t>2-02-00334</t>
  </si>
  <si>
    <t>2-02-00333</t>
  </si>
  <si>
    <t>2-02-00337</t>
  </si>
  <si>
    <t>2-02-00332</t>
  </si>
  <si>
    <t>2-01-00493</t>
  </si>
  <si>
    <t>2-01-00871</t>
  </si>
  <si>
    <t>2-01-00011</t>
  </si>
  <si>
    <t>2-01-00012</t>
  </si>
  <si>
    <t>2-01-00042</t>
  </si>
  <si>
    <t>2-01-00976</t>
  </si>
  <si>
    <t>2-01-00495</t>
  </si>
  <si>
    <t>2-01-00261</t>
  </si>
  <si>
    <t>2-01-00295</t>
  </si>
  <si>
    <t>2-01-00077</t>
  </si>
  <si>
    <t>2-01-00084</t>
  </si>
  <si>
    <t>2-01-00141</t>
  </si>
  <si>
    <t>2-01-00509</t>
  </si>
  <si>
    <t>2-01-00263</t>
  </si>
  <si>
    <t>2-01-00013</t>
  </si>
  <si>
    <t>2-01-00506</t>
  </si>
  <si>
    <t>2-01-00543</t>
  </si>
  <si>
    <t>2-01-00510</t>
  </si>
  <si>
    <t>2-01-00147</t>
  </si>
  <si>
    <t>2-01-00264</t>
  </si>
  <si>
    <t>2-01-00050</t>
  </si>
  <si>
    <t>2-01-00570</t>
  </si>
  <si>
    <t>2-01-00589</t>
  </si>
  <si>
    <t>2-01-00294</t>
  </si>
  <si>
    <t>2-01-00600</t>
  </si>
  <si>
    <t>2-01-00044</t>
  </si>
  <si>
    <t>2-01-00045</t>
  </si>
  <si>
    <t>2-01-00511</t>
  </si>
  <si>
    <t>1-01-00378</t>
  </si>
  <si>
    <t>2-01-00840</t>
  </si>
  <si>
    <t>1-01-00159</t>
  </si>
  <si>
    <t>2-01-00512</t>
  </si>
  <si>
    <t>2-01-00574</t>
  </si>
  <si>
    <t>2-01-00148</t>
  </si>
  <si>
    <t>2-01-00941</t>
  </si>
  <si>
    <t>2-01-00514</t>
  </si>
  <si>
    <t>2-01-00515</t>
  </si>
  <si>
    <t>2-01-00516</t>
  </si>
  <si>
    <t>2-01-00520</t>
  </si>
  <si>
    <t>2-01-00523</t>
  </si>
  <si>
    <t>2-01-00501</t>
  </si>
  <si>
    <t>2-01-00499</t>
  </si>
  <si>
    <t>2-01-00498</t>
  </si>
  <si>
    <t>2-01-00674</t>
  </si>
  <si>
    <t>2-01-00497</t>
  </si>
  <si>
    <t>2-01-00571</t>
  </si>
  <si>
    <t>2-01-00843</t>
  </si>
  <si>
    <t>2-01-00977</t>
  </si>
  <si>
    <t>2-01-00846</t>
  </si>
  <si>
    <t>2-01-00848</t>
  </si>
  <si>
    <t>2-01-00850</t>
  </si>
  <si>
    <t>2-01-00851</t>
  </si>
  <si>
    <t>2-01-00992</t>
  </si>
  <si>
    <t>2-01-00945</t>
  </si>
  <si>
    <t>2-01-00852</t>
  </si>
  <si>
    <t>2-01-00854</t>
  </si>
  <si>
    <t>2-01-00946</t>
  </si>
  <si>
    <t>2-01-01265</t>
  </si>
  <si>
    <t>Estaciones</t>
  </si>
  <si>
    <t>JUEGO DE MANTENIMIENTO P. BOMBA KRAL  K55-118   KRAL</t>
  </si>
  <si>
    <t>El precio se incremento 171%</t>
  </si>
  <si>
    <t>2-01-00880</t>
  </si>
  <si>
    <t xml:space="preserve">El precio se incremento 90% </t>
  </si>
  <si>
    <t>El precio se incremento 103%</t>
  </si>
  <si>
    <t>2-01-01014</t>
  </si>
  <si>
    <t xml:space="preserve">PISTON COMPLETO DIA.75 / 63    </t>
  </si>
  <si>
    <t>El precio se incremento 107%</t>
  </si>
  <si>
    <t>REPUESTOS RECURRENTES (FRECUENCIAS DE MANTENIMIENTO MENORES IGUALES A UN AÑO)  f ≤ 1 año</t>
  </si>
  <si>
    <t>Bs LMO/24</t>
  </si>
  <si>
    <t>Bs LPL/24</t>
  </si>
  <si>
    <t>Bs LAM/24</t>
  </si>
  <si>
    <t>Bs LR/24</t>
  </si>
  <si>
    <t>Bs LN/24</t>
  </si>
  <si>
    <t>Bs LAZ/24</t>
  </si>
  <si>
    <t>Bs LB/24</t>
  </si>
  <si>
    <t>Bs LCE/24</t>
  </si>
  <si>
    <t>Bs LCA/24</t>
  </si>
  <si>
    <t>Bs LV/24</t>
  </si>
  <si>
    <t>Bs LMO/25</t>
  </si>
  <si>
    <t>Bs LPL/25</t>
  </si>
  <si>
    <t>Bs LAM/25</t>
  </si>
  <si>
    <t>Bs LR/25</t>
  </si>
  <si>
    <t>Bs LN/25</t>
  </si>
  <si>
    <t>Bs LAZ/25</t>
  </si>
  <si>
    <t>Bs LB/25</t>
  </si>
  <si>
    <t>Bs LCE/25</t>
  </si>
  <si>
    <t>Bs LCA/25</t>
  </si>
  <si>
    <t>Bs LV/25</t>
  </si>
  <si>
    <t>Bs LMO/26</t>
  </si>
  <si>
    <t>Bs LPL/26</t>
  </si>
  <si>
    <t>Bs LAM/26</t>
  </si>
  <si>
    <t>Bs LR/26</t>
  </si>
  <si>
    <t>Bs LN/26</t>
  </si>
  <si>
    <t>Bs LAZ/26</t>
  </si>
  <si>
    <t>Bs LB/26</t>
  </si>
  <si>
    <t>Bs LCE/26</t>
  </si>
  <si>
    <t>Bs LCA/26</t>
  </si>
  <si>
    <t>Bs LV/26</t>
  </si>
  <si>
    <t>Repuestos Electromecánicos recurrentes</t>
  </si>
  <si>
    <t>2-01-00074</t>
  </si>
  <si>
    <t>2-01-00879</t>
  </si>
  <si>
    <t>2-02-00151</t>
  </si>
  <si>
    <t>Vehículo</t>
  </si>
  <si>
    <t>2-01-00651</t>
  </si>
  <si>
    <t>2-01-00342</t>
  </si>
  <si>
    <t>34300</t>
  </si>
  <si>
    <t>2-01-00873</t>
  </si>
  <si>
    <t>A partir de la gestión 2025, se buscará otro proveedor</t>
  </si>
  <si>
    <t>2-01-00595</t>
  </si>
  <si>
    <t>2-01-00075</t>
  </si>
  <si>
    <t>2-01-00052</t>
  </si>
  <si>
    <t>2-02-00044</t>
  </si>
  <si>
    <t>ENCHUFE PROTECT. SOBREVOLTAJE PHOENIX CONTACT N.°2838322</t>
  </si>
  <si>
    <t>2-01-00003</t>
  </si>
  <si>
    <t>2-02-00279</t>
  </si>
  <si>
    <t>Se rebajo cantidad</t>
  </si>
  <si>
    <t>2-01-00650</t>
  </si>
  <si>
    <t>Cepillo de lubricador de duckosil</t>
  </si>
  <si>
    <t>2-01-00019</t>
  </si>
  <si>
    <t>10488086</t>
  </si>
  <si>
    <t>2-01-00061</t>
  </si>
  <si>
    <t>2-01-00079</t>
  </si>
  <si>
    <t>2-01-00004</t>
  </si>
  <si>
    <t>2-01-00016</t>
  </si>
  <si>
    <t>2-01-00297</t>
  </si>
  <si>
    <t>2-01-00281</t>
  </si>
  <si>
    <t>2-01-00353</t>
  </si>
  <si>
    <t>2-01-00007</t>
  </si>
  <si>
    <t>2-01-00047</t>
  </si>
  <si>
    <t>2-01-00123</t>
  </si>
  <si>
    <t>2-01-00096</t>
  </si>
  <si>
    <t>2-01-00043</t>
  </si>
  <si>
    <t>2-01-00419</t>
  </si>
  <si>
    <t>2-01-00420</t>
  </si>
  <si>
    <t>2-01-00239</t>
  </si>
  <si>
    <t>2-06-00028</t>
  </si>
  <si>
    <t>POTENCIÓMETRO PAP4 INCL. FILTRO N.° 305158 P. RS232/RPD PILZ</t>
  </si>
  <si>
    <t>2-01-00098</t>
  </si>
  <si>
    <t>2-01-00284</t>
  </si>
  <si>
    <t>2-01-00018</t>
  </si>
  <si>
    <t>2-01-01048</t>
  </si>
  <si>
    <t>2-01-00001</t>
  </si>
  <si>
    <t>LENGÜETA DE PLÁSTICO A108-C TIPO 1/510/IBAF Ø48-51MM</t>
  </si>
  <si>
    <t>2-01-00748</t>
  </si>
  <si>
    <r>
      <rPr>
        <rFont val="Calibri"/>
        <color theme="1"/>
      </rPr>
      <t xml:space="preserve">Se requerian 7 pernos de suspensión, se opta por </t>
    </r>
    <r>
      <rPr>
        <rFont val="Calibri"/>
        <b/>
        <color theme="1"/>
      </rPr>
      <t>1</t>
    </r>
    <r>
      <rPr>
        <rFont val="Calibri"/>
        <color theme="1"/>
      </rPr>
      <t xml:space="preserve"> kit completo, para el 2025</t>
    </r>
  </si>
  <si>
    <t>2-01-00020</t>
  </si>
  <si>
    <t>11982756</t>
  </si>
  <si>
    <t>POLEA DE RODADURA DIÁ.180MM, A-108C ENSAYO FINAL</t>
  </si>
  <si>
    <t>Se rebajo a 0,185,,185 = 370, Quiza se tenia en existencias</t>
  </si>
  <si>
    <t>2-01-00022</t>
  </si>
  <si>
    <t>2-01-00021</t>
  </si>
  <si>
    <t>2-01-00743</t>
  </si>
  <si>
    <t>2-01-00009</t>
  </si>
  <si>
    <t>2-01-00025</t>
  </si>
  <si>
    <t>2-01-00876</t>
  </si>
  <si>
    <t>2-01-00192</t>
  </si>
  <si>
    <t>2-01-00348</t>
  </si>
  <si>
    <t>2-02-00616</t>
  </si>
  <si>
    <t>ELEMENTO BASE P. ENCHUFE PROTECT. PHOENIX CONTACT N.°:2839376</t>
  </si>
  <si>
    <t>2-01-00026</t>
  </si>
  <si>
    <t>2-01-00193</t>
  </si>
  <si>
    <t>2-02-00620</t>
  </si>
  <si>
    <t>2-01-00371</t>
  </si>
  <si>
    <t>2-01-00636</t>
  </si>
  <si>
    <t>2-01-00083</t>
  </si>
  <si>
    <t>2-01-00029</t>
  </si>
  <si>
    <t>2-01-00567</t>
  </si>
  <si>
    <t>2-01-00325</t>
  </si>
  <si>
    <t>2-01-00866</t>
  </si>
  <si>
    <t>2-01-00426</t>
  </si>
  <si>
    <t>1-01-00763</t>
  </si>
  <si>
    <t>2-01-00657</t>
  </si>
  <si>
    <t>2-01-00656</t>
  </si>
  <si>
    <t>2-01-00503</t>
  </si>
  <si>
    <t>2-01-00286</t>
  </si>
  <si>
    <t>2-01-00351</t>
  </si>
  <si>
    <t>2-01-00076</t>
  </si>
  <si>
    <t>2-01-00721</t>
  </si>
  <si>
    <t>2-01-00023</t>
  </si>
  <si>
    <t>2-01-00887</t>
  </si>
  <si>
    <t>2-01-00258</t>
  </si>
  <si>
    <t>2-01-00633</t>
  </si>
  <si>
    <t>2-02-00336</t>
  </si>
  <si>
    <t>2-01-00521</t>
  </si>
  <si>
    <t>2-01-00341</t>
  </si>
  <si>
    <t>Hay items que no se estan considerando</t>
  </si>
  <si>
    <t>2-01-00282</t>
  </si>
  <si>
    <t>2-01-00332</t>
  </si>
  <si>
    <t>2-01-00525</t>
  </si>
  <si>
    <t>2-01-00569</t>
  </si>
  <si>
    <t>2-01-00349</t>
  </si>
  <si>
    <t>2-02-00672</t>
  </si>
  <si>
    <t>Filtros de proteccion en puente</t>
  </si>
  <si>
    <t>TOTAL RECURRENTES (TDB)</t>
  </si>
  <si>
    <t>TOTAL RECURRENTES (LOCAL)</t>
  </si>
  <si>
    <t>REPUESTOS NO RECURRENTES (FRECUENCIAS DE MANTENIMIENTO MAYORES A UN AÑO)
f &gt; 1 año</t>
  </si>
  <si>
    <t>Linea Base (año)</t>
  </si>
  <si>
    <t>Frecuencias (f) en años por Línea = f</t>
  </si>
  <si>
    <t>Cantidad de un item (Q) por una sola frecuencia de Mantenimiento = Q/f   2024</t>
  </si>
  <si>
    <t>Cantidad de un item (Q) por una sola frecuencia de Mantenimiento = Q/f   2025</t>
  </si>
  <si>
    <t>Cantidad de un item (Q) por una sola frecuencia de Mantenimiento = Q/f   2026</t>
  </si>
  <si>
    <t>MATRIZ DE FRECUENCIAS + LINEA BASE</t>
  </si>
  <si>
    <t>LMO</t>
  </si>
  <si>
    <t xml:space="preserve"> LPL</t>
  </si>
  <si>
    <t>LAM</t>
  </si>
  <si>
    <t xml:space="preserve"> LR</t>
  </si>
  <si>
    <t>LN</t>
  </si>
  <si>
    <t>LAZ</t>
  </si>
  <si>
    <t>LB</t>
  </si>
  <si>
    <t>LCE</t>
  </si>
  <si>
    <t xml:space="preserve"> LCA</t>
  </si>
  <si>
    <t>LV</t>
  </si>
  <si>
    <t>Lineas Base</t>
  </si>
  <si>
    <t>f LMO/año</t>
  </si>
  <si>
    <t>f LPL/año</t>
  </si>
  <si>
    <t>f LAM/año</t>
  </si>
  <si>
    <t>f LR/año</t>
  </si>
  <si>
    <t>f LN/año</t>
  </si>
  <si>
    <t>f LAZ/año</t>
  </si>
  <si>
    <t>f LB/año</t>
  </si>
  <si>
    <t>f LCE/año</t>
  </si>
  <si>
    <t>f LCA/año</t>
  </si>
  <si>
    <t>f LV/año</t>
  </si>
  <si>
    <t>Pr Frecuencia</t>
  </si>
  <si>
    <t>LMO2</t>
  </si>
  <si>
    <t xml:space="preserve"> LPL3</t>
  </si>
  <si>
    <t>LAM4</t>
  </si>
  <si>
    <t xml:space="preserve"> LR5</t>
  </si>
  <si>
    <t>LN6</t>
  </si>
  <si>
    <t>LAZ7</t>
  </si>
  <si>
    <t>LB8</t>
  </si>
  <si>
    <t>LCE9</t>
  </si>
  <si>
    <t xml:space="preserve"> LCA10</t>
  </si>
  <si>
    <t>LV11</t>
  </si>
  <si>
    <t>f LMO/año2</t>
  </si>
  <si>
    <t>f LPL/año3</t>
  </si>
  <si>
    <t>f LAM/año4</t>
  </si>
  <si>
    <t>f LR/año5</t>
  </si>
  <si>
    <t>f LN/año6</t>
  </si>
  <si>
    <t>f LAZ/año7</t>
  </si>
  <si>
    <t>f LB/año8</t>
  </si>
  <si>
    <t>f LCE/año9</t>
  </si>
  <si>
    <t>f LCA/año10</t>
  </si>
  <si>
    <t>f LV/año11</t>
  </si>
  <si>
    <t xml:space="preserve">MATRIZ </t>
  </si>
  <si>
    <t>Q/f LMO</t>
  </si>
  <si>
    <t>Q/f LPL</t>
  </si>
  <si>
    <t>Q/f LAM</t>
  </si>
  <si>
    <t>Q/f LR</t>
  </si>
  <si>
    <t>Q/f LN</t>
  </si>
  <si>
    <t>Q/f LAZ</t>
  </si>
  <si>
    <t>Q/f LB</t>
  </si>
  <si>
    <t>Q/f LCE</t>
  </si>
  <si>
    <t>Q/f LCA</t>
  </si>
  <si>
    <t>Q/f LV</t>
  </si>
  <si>
    <t>Q/f LMO2</t>
  </si>
  <si>
    <t>Q/f LPL3</t>
  </si>
  <si>
    <t>Q/f LAM4</t>
  </si>
  <si>
    <t>Q/f LR5</t>
  </si>
  <si>
    <t>Q/f LN6</t>
  </si>
  <si>
    <t>Q/f LAZ7</t>
  </si>
  <si>
    <t>Q/f LB8</t>
  </si>
  <si>
    <t>Q/f LCE9</t>
  </si>
  <si>
    <t>Q/f LCA10</t>
  </si>
  <si>
    <t>Q/f LV11</t>
  </si>
  <si>
    <t>Q/f LMO22</t>
  </si>
  <si>
    <t>Q/f LPL33</t>
  </si>
  <si>
    <t>Q/f LAM44</t>
  </si>
  <si>
    <t>Q/f LR55</t>
  </si>
  <si>
    <t>Q/f LN66</t>
  </si>
  <si>
    <t>Q/f LAZ77</t>
  </si>
  <si>
    <t>Q/f LB88</t>
  </si>
  <si>
    <t>Q/f LCE99</t>
  </si>
  <si>
    <t>Q/f LCA1010</t>
  </si>
  <si>
    <t>Q/f LV1111</t>
  </si>
  <si>
    <t>Observaciones a la descripción</t>
  </si>
  <si>
    <t>Repuestos Electromecánicos no recurrentes</t>
  </si>
  <si>
    <t>Estación</t>
  </si>
  <si>
    <t>Lubricante</t>
  </si>
  <si>
    <t>34110</t>
  </si>
  <si>
    <t>Aceite lubricantes ISO220 (GETRIEBEOEL  ALPHASYN EP 220   FASS ZU A 208,0LTR     CASTROL)</t>
  </si>
  <si>
    <t>Turril</t>
  </si>
  <si>
    <t>Torre</t>
  </si>
  <si>
    <t>AMORTIGUADOR TOURING EM835002 (AMORTIGUADOR TURING 316 975 Nº PEDIDO: 81 4901 003 608)</t>
  </si>
  <si>
    <t>Vehiculo</t>
  </si>
  <si>
    <t>BATERIA PARA SISTEMA LOOP 21 EN CABINAS 12V 55 Ah (22,3x10x27,3) (DISP.DE COMUNICACIÓN P. CABINA SEG. OFERTA 1603 HOLZKNECHT)</t>
  </si>
  <si>
    <t>2-02-00107</t>
  </si>
  <si>
    <t>DÍNAMO TACOM.REO444 R1B 0,06EG JT-IP56 CON MAX.10000RPM-0,18A (BANDAJE DE DINAMO TACOMETRICA)</t>
  </si>
  <si>
    <t xml:space="preserve">POLEA +COJIN. P.POL.CONT.DIA29 PARA POLEA CONTADORA </t>
  </si>
  <si>
    <t>BULON DIA. 30 H8 - L= 120</t>
  </si>
  <si>
    <t>2-02-00050</t>
  </si>
  <si>
    <t>2-02-00599</t>
  </si>
  <si>
    <t>CASQUILLO PM3030 DS TIPO: KW</t>
  </si>
  <si>
    <t>2-01-00086</t>
  </si>
  <si>
    <t>RODAMIENTO RANURADO DE BOLAS DIN 625/1-6008-2RS (DINAMO TACOMETRICA)</t>
  </si>
  <si>
    <t>2-01-00085</t>
  </si>
  <si>
    <t>RODAMIENTO RANURADO DE BOLAS DIN -6204-2RS (POLEA DE IMPULSOS)</t>
  </si>
  <si>
    <t>2-01-00037</t>
  </si>
  <si>
    <t>2-01-01049</t>
  </si>
  <si>
    <t>RESORTE DE COMPRESION D=7,50/D</t>
  </si>
  <si>
    <t>BULON DIA. 19,9 LN127M16</t>
  </si>
  <si>
    <t>ARANDELA DIST. DM 46,6/20 S=10</t>
  </si>
  <si>
    <t>2-01-00416</t>
  </si>
  <si>
    <t>TURCA AUTOBLOC. BILOC-8M16</t>
  </si>
  <si>
    <t>NIPLE DE ENGRASE M10X1 H1</t>
  </si>
  <si>
    <t>2-01-00849</t>
  </si>
  <si>
    <t>NIPLE ENGRASE B  M10X1 DIN71412 RACOR CÓNICO ENGRASE 45 GRAD</t>
  </si>
  <si>
    <t>ALEMITAS M10 DE 45 GRADOS</t>
  </si>
  <si>
    <t>RES.C. A=1.00/DIA.7.0/LSC=20,0</t>
  </si>
  <si>
    <t>Herramienta</t>
  </si>
  <si>
    <t>34800</t>
  </si>
  <si>
    <t>1-05-00042</t>
  </si>
  <si>
    <t>LEVANTA CABLE PARA CONJUNTO DE POLEAS (LEVANTACABLE P.CON.POL.DEFL.F. P.POLEAS D.APOYO EN AMBOS LAD.)</t>
  </si>
  <si>
    <t>MANGUERA PTFE      6,00 / 8,00 COLOR: NATURAL</t>
  </si>
  <si>
    <t>PE-MANGUERA 06X08 NR. 105407</t>
  </si>
  <si>
    <t>PERMA DROSSEL A810</t>
  </si>
  <si>
    <t>CONECTOR DE MANGUERA PERMA</t>
  </si>
  <si>
    <t>1-01-00300</t>
  </si>
  <si>
    <t>ROLDANA  NEGRA DIÁ. 80X15MM L=50MM (CADENA LCE KFA KFE)</t>
  </si>
  <si>
    <t>BUJE SEPARADOR DIA. 25X15X8MM L=80MM (CADENA LCE KFA KFE)</t>
  </si>
  <si>
    <t>2-01-00103</t>
  </si>
  <si>
    <t>POLEA DIAMETRO 47MM/12MM ANCHURA 20MM PARA CADENA TRANSPORTADORA</t>
  </si>
  <si>
    <t>2-01-00104</t>
  </si>
  <si>
    <t>POLEA DIAMETRO 30MM/6,2MM PARA CADENA TRANSPORTADORA</t>
  </si>
  <si>
    <t>2-01-00217</t>
  </si>
  <si>
    <t>RODAMIENTO DIN 625/1- 6016 - 2RS (PIÑON TRANSPORTADOR CADENA)</t>
  </si>
  <si>
    <t>DI/BU DM 20,0/12,5 L=16</t>
  </si>
  <si>
    <t>2-01-00102</t>
  </si>
  <si>
    <t>EMPUJADOR PARA CADENA DE TRANSPORTE</t>
  </si>
  <si>
    <t xml:space="preserve">ESLABON CADENA </t>
  </si>
  <si>
    <t>2-01-00185</t>
  </si>
  <si>
    <t>RESORTE TORSIONAL 2MMX19MM/15MMX10MM DIN 2088</t>
  </si>
  <si>
    <t>2-01-00024</t>
  </si>
  <si>
    <t>TORNILLOS CAB. HEX. M8X130 GRADO 10.9 (CADENA LCE KFA KFE)</t>
  </si>
  <si>
    <t>2-01-00008</t>
  </si>
  <si>
    <t>2-01-00100</t>
  </si>
  <si>
    <t>2-01-00183</t>
  </si>
  <si>
    <t>TORNILLO DIN 931-8.8 M6X35MM, TORNILLO HEXAGONAL, GALVANIZADO</t>
  </si>
  <si>
    <t>2-01-00178</t>
  </si>
  <si>
    <t>RESORTE 20X18</t>
  </si>
  <si>
    <t>2-01-00744</t>
  </si>
  <si>
    <t>ARANDELA  PLANA M8 (CADENA LCE KFA KFE)</t>
  </si>
  <si>
    <t>ARANDELA SJ. DIN 988 12X18X1.0</t>
  </si>
  <si>
    <t>2-01-00855</t>
  </si>
  <si>
    <t>ROLLENHALTERUNG F.F-KETTE      (perfil soporte c de rodete)</t>
  </si>
  <si>
    <t>2-01-00184</t>
  </si>
  <si>
    <t>TUERCA HEXAGONAL DIN 985-8 M6 GALVANIZADA (CON PIEZA DE APRIETE)</t>
  </si>
  <si>
    <t>2-01-00060</t>
  </si>
  <si>
    <t>2-01-00847</t>
  </si>
  <si>
    <t>2-01-00741</t>
  </si>
  <si>
    <t>TUERCA HEX. M8 GRADO 10 (CADENA LCE KFA KFE)</t>
  </si>
  <si>
    <t>TORNILLO ISO 8.8 M10X75</t>
  </si>
  <si>
    <t>34200</t>
  </si>
  <si>
    <t>3-03-00001</t>
  </si>
  <si>
    <t>SPRAY PARA CADENA TRANSPORTADORA 2"/4" 0.4L PARA PARKING, CADENA RENOLD</t>
  </si>
  <si>
    <t>Insumo Quimico, se quita de este listado, se añaden cantidades a Lubricantes, no se considera en listado de repuestos</t>
  </si>
  <si>
    <t xml:space="preserve"> Verificar item, Según última observación se requiere solamente el plato exterior. Verificar que sea el plato exterior y no asi todo el embrague. Se requiere aclaracion</t>
  </si>
  <si>
    <t>(LAMELLENPAKET  TYP 521/522.26                    MOENNINGHOFF) 52226-08028 DISCO DE FRICCION DENTADO EXTERIOR</t>
  </si>
  <si>
    <t>V-RING 250-L</t>
  </si>
  <si>
    <t>V-RING 220-L</t>
  </si>
  <si>
    <t>M16X35 DIN4262</t>
  </si>
  <si>
    <t>2-01-00740</t>
  </si>
  <si>
    <t>M8x40 ISO 4762</t>
  </si>
  <si>
    <t>No cotizo. Cotiza con ID: 11318364</t>
  </si>
  <si>
    <t>TAPON DE CIERRE GPN 950/0126</t>
  </si>
  <si>
    <t>Observaciones en la descripcion: SHR ISO 4762- 8.8 M 4X 10  GVZ  ZYL-SHR, GALV.VERZINKT</t>
  </si>
  <si>
    <t>M4X10 ISO 4262-8.8</t>
  </si>
  <si>
    <t>M5X12 ISO 4762-8.8.</t>
  </si>
  <si>
    <t>M5X10 ISO 4762-8.8</t>
  </si>
  <si>
    <t>2-01-00934</t>
  </si>
  <si>
    <t>Se elimino en coordinaciòn don Diego Ramos, no corresponde a embrague</t>
  </si>
  <si>
    <t>AcOPLAM.DE FRENO A353/B293 500NM-08</t>
  </si>
  <si>
    <t>Generador_Auxiliar</t>
  </si>
  <si>
    <t>2-02-00122</t>
  </si>
  <si>
    <t>BATERIA 950 CCA 850A 90AH</t>
  </si>
  <si>
    <t>Precio referencial.</t>
  </si>
  <si>
    <t>2-02-00674</t>
  </si>
  <si>
    <t>PRECALENTADOR VOLTAGE ON VOLTAJE 230/240 VATAJE 1500VATTIOS</t>
  </si>
  <si>
    <t>Precio Referencial, Consultar precio</t>
  </si>
  <si>
    <t>PRECALENTADOR DE 1000 W 240 V MOD LR 1843 (MOTOR TERMICO)</t>
  </si>
  <si>
    <t>CARRIL DE CONEXION, RECTO PASO SD</t>
  </si>
  <si>
    <t>CARRIL DE CONEXION, RECTO PASO IE</t>
  </si>
  <si>
    <t>2-01-00857</t>
  </si>
  <si>
    <t>2-01-00243</t>
  </si>
  <si>
    <t>TORNILLO ISO 4017-8.8U M12X50</t>
  </si>
  <si>
    <t>2-02-00136</t>
  </si>
  <si>
    <t>2-02-00666</t>
  </si>
  <si>
    <t>CONTACTOR AF300-30-22          1SFL557001R7022            ABB</t>
  </si>
  <si>
    <t>2-02-00694</t>
  </si>
  <si>
    <t>BATERIA A GEL DE 12 VOLTIOS - 100 AMPERIOS</t>
  </si>
  <si>
    <t>Precio refencial</t>
  </si>
  <si>
    <t>2-01-00691</t>
  </si>
  <si>
    <t>iD ANTERIOR 11112181, se une con 11518384</t>
  </si>
  <si>
    <t>modulo safety bus (SAFETY BUS SLAVE VERSIÓN 2 (ACOPLAD.FIBROÓPT. SBR-FX15000/RMD V2.0 Nº 12-20-540-81 ESCLA.)</t>
  </si>
  <si>
    <t>2-01-00122</t>
  </si>
  <si>
    <t>VENTILADOR TIPO 60PP01096 PARA DISPOSITIVO NX DE VACON</t>
  </si>
  <si>
    <t>2-02-00180</t>
  </si>
  <si>
    <t>tarjeta de fusibles 480F1</t>
  </si>
  <si>
    <t>2-06-00018</t>
  </si>
  <si>
    <t>FUENTE ALIMENT. CONMUT. PULS QS20.481 100-240VAC-48VDC/10A</t>
  </si>
  <si>
    <t>BLOQUE DE ALIMENTACION QS20.481</t>
  </si>
  <si>
    <t>2-06-00029</t>
  </si>
  <si>
    <t>ARRANCAD. INVERS. ELR H5-SC-24VDC/ 500AC-9 N.°2900538 PHOENIX</t>
  </si>
  <si>
    <t>ARRANCADOR REVERSIBLE ELR H5 ‐ SC ‐ 24VDC/ 500AC ‐ 9 Nº.:2900538   PHOENIX</t>
  </si>
  <si>
    <t>BLUE POWER 24/12 WATERPROOF TYPE:BPC241208006</t>
  </si>
  <si>
    <t>No coincide las cantidades, Verificar con cat Repuesto eléctrico, se une con 11822382</t>
  </si>
  <si>
    <t>Filtros de proteccion en puente (PROT. CONTRA SOBRETENS. ALIMENT. PHOENIX CONTACT Nº 2907920)</t>
  </si>
  <si>
    <t>2-02-00152</t>
  </si>
  <si>
    <t>INTERRUPTOR PROXIMIDAD .F1 GS(ROJO) PULSOR M18 9914-1735 ANALOGICO</t>
  </si>
  <si>
    <t>No esta en la cotizacion, se encuentra en 2 categorias diferentes</t>
  </si>
  <si>
    <t>Filtro PILTZ</t>
  </si>
  <si>
    <t>CONTADOR HORAS SERVICIO</t>
  </si>
  <si>
    <t>La Cantidad no coincide</t>
  </si>
  <si>
    <t>2-02-00640</t>
  </si>
  <si>
    <t>BERO CAPACITIVO</t>
  </si>
  <si>
    <t>2-02-00633</t>
  </si>
  <si>
    <t>INTERRUPTOR LLAVE 22-353.111D EAO 2 CONT DE CIERRE 24X36 NEGRO</t>
  </si>
  <si>
    <t>BATERIA CR2450 (DOKUSIL)</t>
  </si>
  <si>
    <t>FUSIBLE AUTOM. CA/CC 5SY6 320-7  TRIPOL./20A/CURVA C  SIEMENS</t>
  </si>
  <si>
    <t>FUSIBLE AUTOMATICO</t>
  </si>
  <si>
    <t>2-06-00026</t>
  </si>
  <si>
    <t>BATERIA DE LITIO 3,6V 2,6 AH TAMAÑO: AA</t>
  </si>
  <si>
    <t>2-02-00385</t>
  </si>
  <si>
    <t>2-02-00603</t>
  </si>
  <si>
    <t>2-02-00036</t>
  </si>
  <si>
    <t>CONMUTADOR M10H EU3 +OV PROTEGIDO CONTRA CONTACTOS ACCIDENTALES TELUX</t>
  </si>
  <si>
    <t>OPTO-KOPPLER OT 7-032; DC 24V 10? LUETZE ART-NR</t>
  </si>
  <si>
    <t>2-02-00106</t>
  </si>
  <si>
    <t>CONTACTOR KG3-18A10.24  24V/CC (1 CIERRE) BENEDIKT&amp;JAEGER</t>
  </si>
  <si>
    <t>CONTACTO KG3=18A10.24 24V</t>
  </si>
  <si>
    <t>2-02-00006</t>
  </si>
  <si>
    <t>INTERR.PROT.MOTOR  0,25- 0,40A MS132-0.4-HKF1-11 1CI+1AP ABB</t>
  </si>
  <si>
    <t>INTERRUPTOR PROTECTOR DE MOTOR 0,25- 0,40A MS132-0.4-HKF1-11 1S+1OE ABB</t>
  </si>
  <si>
    <t>2-02-00007</t>
  </si>
  <si>
    <t>INTERR.PROT.MOTOR  0,40- 0,63A MS132-0.63-HKF1-11 1CI+1AP ABB</t>
  </si>
  <si>
    <t>INTERRUPTOR PROTECTOR DE MOTOR 0,40- 0,63A MS132-0.63-HKF1-11 1S+1OE ABB</t>
  </si>
  <si>
    <t>2-02-00028</t>
  </si>
  <si>
    <t>BLOQUE DE CONTACTO AUXILIAR 5ST3 010  1T +1R   SIEMENS</t>
  </si>
  <si>
    <t>INTERRUPTOR AUXILIAR 5ST3 010 1T +1R SIEMENS</t>
  </si>
  <si>
    <t>FUSIBLE AUTOMÁT. CA/CC 5SY6 120-7 UNIPOL./20A/CURVA C SIEMENS</t>
  </si>
  <si>
    <t>2-02-00149</t>
  </si>
  <si>
    <t>2-02-00161</t>
  </si>
  <si>
    <t>Rele OMRON MY4ZIN1 24VDC</t>
  </si>
  <si>
    <t>PORTAFUSIB. RSS 214   14POLAR  ART. N°:180050            TELE</t>
  </si>
  <si>
    <t>El ID correspondia a otro item, se corrigio ID</t>
  </si>
  <si>
    <t>SOCKET RSS 214 14-PIN(SOCALO DE RELE)</t>
  </si>
  <si>
    <t>2-02-00150</t>
  </si>
  <si>
    <t>INTERR. ETHERNET MANEJADO L210-F2G LYNX PROGRAMADO</t>
  </si>
  <si>
    <t>2-02-00388</t>
  </si>
  <si>
    <t>Se requiere con compatibilidad para Linea Azul</t>
  </si>
  <si>
    <t xml:space="preserve">Es necesario version 1 para línea azul. Consultar que el que nos envìen sea compatible con al versión 1, en todas las estaciones de linea azul.
</t>
  </si>
  <si>
    <t>ETHERNET INTERRUPTOR 4-PORT 1LWL BNR.: 2891029 PHOENIX CONTACT</t>
  </si>
  <si>
    <t>INTERRUPTOR DE POTENCIA (LEISTUNGSSCHALTER TMAX XT5H 630 3P KOMPL. F.AF300         ABB)</t>
  </si>
  <si>
    <t>CARGADOR SKYLLA-TG 24/50  AJUSTADO   VICTRON ENERGY</t>
  </si>
  <si>
    <t>Se tuvo un incremento del 74%</t>
  </si>
  <si>
    <t>2-02-00003</t>
  </si>
  <si>
    <t>CONTACTOR K3-50A00.230      CA                BENEDIKT&amp;JAEGER</t>
  </si>
  <si>
    <t>INTERRUPTOR PROTECTOR DE MOTOR 28,0- 40,0A MS450-40 ABB</t>
  </si>
  <si>
    <t>INTERRUPTOR DE CORRIENTE DE DEFECTO 5SM3 646-8, 63A CORRIENTE DE LIBERACION 0,03A SIEMENS</t>
  </si>
  <si>
    <t>2-02-00379</t>
  </si>
  <si>
    <t>INTERRUPT.CORR.FI 5SU1 354-6KK06 6A CORR.LIBER. 0,03A SIEMENS</t>
  </si>
  <si>
    <t>DISYUNTOR 5SU1 354-6KK06 6A CORRIENTE LIBERACION 0.03A</t>
  </si>
  <si>
    <t>2-02-00177</t>
  </si>
  <si>
    <t>DESCARGADOR COMBINADO ARTICULO N°920324 MÓDULO DE PROTECCION BXT ML4 BE 24</t>
  </si>
  <si>
    <t>2-02-00380</t>
  </si>
  <si>
    <t>FUSIBLE AUTOMÁT. CA/CC 5SY6 302-7 TRIPOL./2A/CURVA C  SIEMENS</t>
  </si>
  <si>
    <t>FUSIBLE AUTOMATICO CA 5SY6 302-7 CORRIENTE ALTERNA</t>
  </si>
  <si>
    <t>INTERRUPTOR DE CORRIENTE DE DEFECTO 5SM3 344 ‐ 6LA01 40A CORRIENTE LIBERACION 0,03A SIEMENS</t>
  </si>
  <si>
    <t>2-02-00001</t>
  </si>
  <si>
    <t>CONTACTOR K3-24A00.230      CC                BENEDIKT&amp;JAEGER</t>
  </si>
  <si>
    <t>Descripcion indicaba FILTRO DE RAVO</t>
  </si>
  <si>
    <t>RELE DE TIEMPO</t>
  </si>
  <si>
    <t>2-02-00030</t>
  </si>
  <si>
    <t>FUSIBLE AUTOMÁT. CA/CC 5SY6 316-7 TRIPOL./16A/CURVA C SIEMENS</t>
  </si>
  <si>
    <t>FUSIBLE AUTOMATICO CA 5SY6 316-7 CORRIENTE ALTERNA SIEMENS</t>
  </si>
  <si>
    <t>INDICADOR NIVEL DE COMBUSTIBLE TIPO A2C5341298512/24V</t>
  </si>
  <si>
    <t>2-02-00023</t>
  </si>
  <si>
    <t>FUSIBLE AUTOMÁT. CA/CC 5SY6 104-7  UNIPOL/4A/CURVA C  SIEMENS</t>
  </si>
  <si>
    <t>FUSIBLE AUTOMATICO CA 5SY6 104-7 CORRIENTE ALTERNA SIEMENS</t>
  </si>
  <si>
    <t>2-06-00039</t>
  </si>
  <si>
    <t>INTERRUPTOR DE PROXIMIDAD IFRM 12P1701/S14L INDUCTIVO DIA.12 PNP NO</t>
  </si>
  <si>
    <t>2-02-00024</t>
  </si>
  <si>
    <t>FUSIBLE AUTOM. CA/CC 5SY6 106-7  UNIPOL./6A/CURVA C  SIEMENS</t>
  </si>
  <si>
    <t>FUSIBLE AUTOMATICO AC 5SY6 106-7 CORRIENTE ALTERNA SIEMENS</t>
  </si>
  <si>
    <t>2-02-00372</t>
  </si>
  <si>
    <t>FUSIBLE AUTOMATICO AC 5SY6 101-7 CORRIENTE ALTERNA</t>
  </si>
  <si>
    <t>Descripción indicaba -5556 (TARJETA)</t>
  </si>
  <si>
    <t>2-02-00169</t>
  </si>
  <si>
    <t>CONTACTOR KG3-07D04.24  CC (4 APERTURA)     BENEDIKT&amp;JAEGER</t>
  </si>
  <si>
    <t>2-02-00025</t>
  </si>
  <si>
    <t>FUSIBLE AUTOM. CA/CC 5SY6 110-7  UNIPOL./10A/CURVA C  SIEMENS</t>
  </si>
  <si>
    <t>FUSIBLE AUTOMATICO AC 5SY6 110-7 CORRIENTE ALTERNA SIEMENS</t>
  </si>
  <si>
    <t>2-02-00026</t>
  </si>
  <si>
    <t>FUSIBLE AUTOM. CA/CC 5SY6 116-7  UNIPOL./16A/CURVA C  SIEMENS</t>
  </si>
  <si>
    <t>FUSIBLE AUTOMATICO AC 5SY6 116-7 CORRIENTE ALTERNA SIEMENS</t>
  </si>
  <si>
    <t>2-02-00193</t>
  </si>
  <si>
    <t>BLOQUE DE CONTACTO 1OE B3T01 (INSTAL.FRONTAL) BENEDIKT&amp;JAEGER</t>
  </si>
  <si>
    <t>ELEMENTO DE CONEXIÓN 1OE B3T01 (INSTALACION FRONTAL)BENEDIKT&amp;JAEGER</t>
  </si>
  <si>
    <t>2-02-00040</t>
  </si>
  <si>
    <t>MICRORELE RT425024 TENSION BOBINA: 24V/DC SCHRACK</t>
  </si>
  <si>
    <t>ELEMENTO DE CONMUTACION</t>
  </si>
  <si>
    <t>2-01-00211</t>
  </si>
  <si>
    <t>cabezal de final de carrera</t>
  </si>
  <si>
    <t>2-02-00190</t>
  </si>
  <si>
    <t>CONTACTO AUXILIAR 1S   HN 10       BENEDIKT&amp;JAEGER</t>
  </si>
  <si>
    <t>CONTACTO AUXILIAR 1S HN 10 BENEDIKT&amp;JAEGER</t>
  </si>
  <si>
    <t>UNIDAD - RC</t>
  </si>
  <si>
    <t>LÁMPARA LED ROJA 24V CA/CC P. CASQUILLO BA 9S N.°18602350</t>
  </si>
  <si>
    <t>LAMPARA DE DIODO LUMINISCENTES</t>
  </si>
  <si>
    <t>PORTALÁMPARA     B3F   FRONTAL       BENEDIKT&amp;JAEGER</t>
  </si>
  <si>
    <t>PORTALAMPARA</t>
  </si>
  <si>
    <t>2-02-00100</t>
  </si>
  <si>
    <t>BLOQUE DE CONTACTO 1S  B3T10 INSTAL.FRONTAL BENEDIKT&amp;JAEGER</t>
  </si>
  <si>
    <t>ELEMENTO DE CONEXION 1S B3T10</t>
  </si>
  <si>
    <t>2-02-00099</t>
  </si>
  <si>
    <t>PIEZA DE ACOPLAM. P. BOTÓN B3M      BENEDIKT&amp;JAEGER</t>
  </si>
  <si>
    <t>PIEZA DE ACOPLAMIENTO BENEDIKT&amp;JAEGER</t>
  </si>
  <si>
    <t>2-04-00009</t>
  </si>
  <si>
    <t>DMU TYP 8253.85.2317.32.0000. (TRANSDUCTOR)</t>
  </si>
  <si>
    <t>CONECTOR Y CABLE DE LA VALVULA DE SEGURIDAD (FASE 2)</t>
  </si>
  <si>
    <t>Repuesto Hidráulico</t>
  </si>
  <si>
    <t>2-01-00553</t>
  </si>
  <si>
    <t xml:space="preserve">2024	</t>
  </si>
  <si>
    <t>#VALUE!</t>
  </si>
  <si>
    <t>2-01-00222</t>
  </si>
  <si>
    <t>2-01-00425</t>
  </si>
  <si>
    <t>SOPORTE DE PLATAFORMA PARA LA CABINA, PERFIL</t>
  </si>
  <si>
    <t>Se divide en 3 años las bases de las pisaderas</t>
  </si>
  <si>
    <t>2-02-00653</t>
  </si>
  <si>
    <t>BATERÍA LIBRE DE MANTENIMIENTO
12V - 9Ah, 2-02-00653</t>
  </si>
  <si>
    <t>#REF!</t>
  </si>
  <si>
    <t>Precio referencial, segun cotizacion</t>
  </si>
  <si>
    <t>Insumo mecánico</t>
  </si>
  <si>
    <t>2-01-00634</t>
  </si>
  <si>
    <t>Mover, del 2024 al 2025 al 2026</t>
  </si>
  <si>
    <t>BULÓN DE BLOQUEO P. ASIENTOS Nº ART.: 10-000477 CWA (O SU EQUIVALENTE)</t>
  </si>
  <si>
    <t>Efectivamente es el casquillo indicado</t>
  </si>
  <si>
    <t>RODAMIENTO C.SOP:ABRIDADO BK1 20/23/30X20+1,5 NO.ART.: 806568(CASQUILLO CON BORDE DEL BRAZO DE APERTURA Y CIERRE DE PUERTAS)</t>
  </si>
  <si>
    <t>PASADOR P. PEDESTAL INOX 58,7X40X400MM ART.: 11-067649</t>
  </si>
  <si>
    <t>Consultar Reducción de cantidad (MO, PL, NA), se sugiere realizar el cambio con la cotización de Indumar, cada inserto cuesta Bs.594,50</t>
  </si>
  <si>
    <t>2-01-00225</t>
  </si>
  <si>
    <t>ROLDANA PARA APERTURA A/C MODELO E DIÁMETRO 65 A 30</t>
  </si>
  <si>
    <t>Se cambia a compra local, Se maneja el mismo precio estimado</t>
  </si>
  <si>
    <t>Investigar compra local. Investigacion</t>
  </si>
  <si>
    <t>TUERARM LI+RE OMIV ET-SET KPL. ARTNR 11-096246 BEST.AUS</t>
  </si>
  <si>
    <t>2-02-00598</t>
  </si>
  <si>
    <t>Id anterior: 10865976</t>
  </si>
  <si>
    <t>APARATO DE APERTURA Y CIERRE CABINAS (MANDO A DIST. CWA DERECHA-EXER. Nº ART. 11-080638)</t>
  </si>
  <si>
    <t>2-01-00486</t>
  </si>
  <si>
    <t>RODAMIENTO CONICO (MM) HR30203J-NSK 9585 MEDIDAS: 17.00X40.00X13.30 MM</t>
  </si>
  <si>
    <t>Preio referencial</t>
  </si>
  <si>
    <t>CONVERSOR DE TENSION CC10-F-350NB Inout: 10-52 VDC, Output: 3V</t>
  </si>
  <si>
    <t>Se requiere compra local, se quita</t>
  </si>
  <si>
    <t>2-01-00115</t>
  </si>
  <si>
    <t>Analizar fabricacion</t>
  </si>
  <si>
    <t>RESORTE DE BRAZOS</t>
  </si>
  <si>
    <t>Brazo Izquierdo de cabina CWA</t>
  </si>
  <si>
    <t>No cotizo: Cotiza con ID: 11129582</t>
  </si>
  <si>
    <t>PERNO DEL BRAZO DE APERTURA Y CIERRE DE PUERTAS (SUJETA A LA ROTULA DEL CABLE MEFLEX)</t>
  </si>
  <si>
    <t>2-01-00654</t>
  </si>
  <si>
    <t>TOPE GUIA PARA INSERTO DE CABINA 22.2MM X 17.7MM</t>
  </si>
  <si>
    <t>Precio referencial</t>
  </si>
  <si>
    <t>Terminales enchufables plano hembra # 8 con aislamiento</t>
  </si>
  <si>
    <t>No existe cotizacion</t>
  </si>
  <si>
    <t>2-01-00645</t>
  </si>
  <si>
    <t>TORNILLO DE FIJACION M6, NO.10.100.365 C.COLLAR DE PL.+ANILLO (Para acrilico de cabina)</t>
  </si>
  <si>
    <t>TDB00098</t>
  </si>
  <si>
    <t>PLACA ELECTRONICA CONTROL DE PANEL SOLAR 90-083786</t>
  </si>
  <si>
    <t>2-01-00116</t>
  </si>
  <si>
    <t>ROTULA DE ARTICULACION PARA AMORTIGUADOR DE SUSPENSION CABINA</t>
  </si>
  <si>
    <t>2-01-00287</t>
  </si>
  <si>
    <t>CABLE DE ACCIONAMIENTO CWA COMPLETO L=3,0M/M8, NO.ID:801217</t>
  </si>
  <si>
    <t>Se redistribuira de lina verda a toda la RIM</t>
  </si>
  <si>
    <t>2-02-00384</t>
  </si>
  <si>
    <t>PARLANTES P. CABINA CWA N° 0710024-03 (intercomunicador)</t>
  </si>
  <si>
    <t>2-01-00878</t>
  </si>
  <si>
    <t>VIDRIO LADO TORRE OMIV-8 LWI 1272X1039X5 H=1818MM COD.:11004887</t>
  </si>
  <si>
    <t>TDB00089</t>
  </si>
  <si>
    <t>PLACA DE RECTIFICADOR 90-083788</t>
  </si>
  <si>
    <t>TDB00096</t>
  </si>
  <si>
    <t>CABLE COAXIAL CONEXION ANTENA DE RADIO 90-083828</t>
  </si>
  <si>
    <t>SOPORTE DE BATERIAS FASE 1</t>
  </si>
  <si>
    <t>Soporte de Baterias, no tiene codigo en la cotizacion</t>
  </si>
  <si>
    <t>CRISTAL FRONTAL KF OMIV-10 LWI 1569,9X1775,9X5 COD.: 110049475</t>
  </si>
  <si>
    <t>TURGABEL, LINKS + RECHTS DOOR FORK, LEFT + RIGHT SIDE FOURCHE DE PORTE, COTE GAUCHE + DROITE 147X103X48MM.</t>
  </si>
  <si>
    <t>CRISTAL DE RECAMBIO PARA VENTANA AVATIBLE</t>
  </si>
  <si>
    <t>ABRAZADERA DEL CABLE MEFLEX</t>
  </si>
  <si>
    <t>No cotizo. Cotiza con ID: 11416549. verificar caracteristicas</t>
  </si>
  <si>
    <t>LED PARA CABINA OMEGA IV-10LWI</t>
  </si>
  <si>
    <t>No se encuentra en cotizacion</t>
  </si>
  <si>
    <t>2-04-00118</t>
  </si>
  <si>
    <t xml:space="preserve"> Se requiere cotizar repuesto con servicio de cambio, El Item incluye el servicio por $us2936,42</t>
  </si>
  <si>
    <t>Se requiere cotizar repuesto con servicio de cambio</t>
  </si>
  <si>
    <t>SISTEMA MANOMÉTR.0-600KN/0-10V</t>
  </si>
  <si>
    <t>2-04-00003</t>
  </si>
  <si>
    <t>CARTUCHO DE REPUESTO PARA DESHUMECTADOR BDE400X2W0.0, HYDAC</t>
  </si>
  <si>
    <t>Se aclaró el item elemento filtrante</t>
  </si>
  <si>
    <t>ELEMEN.FILTRANTE PI 3115 PS 10 MAHLE FILTRO BAJA TEN (Anterior = FILTER LPF PI 2015-058 PI3115)</t>
  </si>
  <si>
    <t>2-01-00568</t>
  </si>
  <si>
    <t xml:space="preserve">Filtro 0240 D 005 BN4HC  - hidraulica de tension </t>
  </si>
  <si>
    <t>2-01-00234</t>
  </si>
  <si>
    <t>CILINDRO HIDRÁULICO CGS10N38X CURSO CORTO CARGA NOMINAL(PRESION):10T TECNOS</t>
  </si>
  <si>
    <t>2-04-00017</t>
  </si>
  <si>
    <t>Se une de item Valvula de seguridad</t>
  </si>
  <si>
    <t>VALV.DIST.2/2 SK 7936 L-RK-X-2</t>
  </si>
  <si>
    <t>2-01-00577</t>
  </si>
  <si>
    <t>MANGUERA HIDRAULICA SAE--</t>
  </si>
  <si>
    <t>2-01-00576</t>
  </si>
  <si>
    <t>MANGUERA AP AN35-2SC L=900MM C. VÁLVULAS DKOL-28/DKOL90-28</t>
  </si>
  <si>
    <t>2-01-00432</t>
  </si>
  <si>
    <t>FILTRO 0030 D 005 BN4HC ELEMENTO FILTRADOR HYDAC</t>
  </si>
  <si>
    <t>2-04-00090</t>
  </si>
  <si>
    <t>MANGUERA HIDRAULICA SAE 100 R2 AT/DIN-EN 853 2SN -08 --LONGITUD 2500 mm /MS10B-08-24*2 CES GEWINDEZAPFENN REIHE 24°</t>
  </si>
  <si>
    <t>2-01-00578</t>
  </si>
  <si>
    <t>2-01-00345</t>
  </si>
  <si>
    <t>TOPE DE GOMA 28X12X10 PARA ACOPLAMIENTO FLEXIBLE INCLUIDO PARA DE GOMA 90SH</t>
  </si>
  <si>
    <t>2-04-00053</t>
  </si>
  <si>
    <t>MANGUERA AP AN10-2SC LONGITUD=8000MM CON VALCULAS DKOL-12/CEL-12</t>
  </si>
  <si>
    <t>2-01-00172</t>
  </si>
  <si>
    <t>2-01-00240</t>
  </si>
  <si>
    <t>RESORTE A GAS 750 CARRERA=200MM TIPO ESPECIAL ACEITE UNIVIS</t>
  </si>
  <si>
    <t>W 3/2 M-3SED6CK1X/350 CG24N9K4</t>
  </si>
  <si>
    <t>VALV. 2/2 VEI-8A-2T-06-NC-S-NSS (VALVULA FLUSHING)</t>
  </si>
  <si>
    <t>2-04-00006</t>
  </si>
  <si>
    <t>ELEMENTO FILTRANTE PARA BOMBA DE EMB SAUER BR 90</t>
  </si>
  <si>
    <t>2-04-00066</t>
  </si>
  <si>
    <t>HD-SCHLAUCH NW10-2SC L= 800MM M.ARMATUREN DKOL-12/DKOL-12</t>
  </si>
  <si>
    <t>2-04-00065</t>
  </si>
  <si>
    <t>2-01-00402</t>
  </si>
  <si>
    <t>ELEMENTO FILTRANTE SFE 15S 125 W PARA FILTRO DE SUCCIÓN</t>
  </si>
  <si>
    <t>MAGUERA HIDRAULICA FRENO DE SERVICIO</t>
  </si>
  <si>
    <t>MANGUERA HIDRAULICA FRENO DE EMERGENCIA</t>
  </si>
  <si>
    <t>HD-SCHLAUCH NW10-2SC L= 1400MM M.ARMATUREN DKOL-12/DKOL-12</t>
  </si>
  <si>
    <t>2-01-00405</t>
  </si>
  <si>
    <t>JUEGO DE EMPAQUETADURAS PARA MIRILLA DE ACEITE FSA</t>
  </si>
  <si>
    <t xml:space="preserve">Se tiene un incremento del  precio de referencia del 106% </t>
  </si>
  <si>
    <t>FILTER DANFOSS 90R / H1P130-165 - LANG/FILTERELEMENT AK-PUMPE (Anterior = AK-PUMPE H1P147RCM2C2BD3GG2H2L38L38LM24H1NNNNNN DANFOSS (ID DANFOSS 11004919))</t>
  </si>
  <si>
    <t xml:space="preserve">Se tiene un incremento del  precio de referencia del 102% </t>
  </si>
  <si>
    <t>FILTRO DANFOSS P. H1P060-100 - CORTO/ELEM.FILTR. P. BOMBA E.A (Anterior=AK-PUMPE
H1P078RAM2C2BD3HG9H2L38L38CM24PHNNNNNN
ID DANFOSS: 11004918
FILTERPATRONE)</t>
  </si>
  <si>
    <t>2-01-00424</t>
  </si>
  <si>
    <t>2-01-00401</t>
  </si>
  <si>
    <t>ANILLO EN O DIAMETRO 129,2MMX5,7MM</t>
  </si>
  <si>
    <t>2-01-00404</t>
  </si>
  <si>
    <t>ANILLO EN O DIÁMETRO 46MMX3MM</t>
  </si>
  <si>
    <t>2-01-00400</t>
  </si>
  <si>
    <t>TORNILLO DE CABEZA CILINDRICO 8.8 M4X12MM</t>
  </si>
  <si>
    <t>2-01-00935</t>
  </si>
  <si>
    <t>3-01-00022</t>
  </si>
  <si>
    <t>Aceite hidraulico Dopp Syny 70  210L</t>
  </si>
  <si>
    <t>L- Turril</t>
  </si>
  <si>
    <t>2-01-01138</t>
  </si>
  <si>
    <t>MANÓMETRO PRES. 0-250 BAR TN 63</t>
  </si>
  <si>
    <t>MAGUERA HIDRAULICA FRENO DE EMERGENCIA</t>
  </si>
  <si>
    <t>MOTOR VENTILADOR EMOD TIPO HEFIE2 FOL100LA/4  50Hz.
8110989</t>
  </si>
  <si>
    <t>2-01-00563</t>
  </si>
  <si>
    <t>RODAMIENTO 6305 ZZ (MOTOR APOYO PAR)</t>
  </si>
  <si>
    <t>Precio Estimado</t>
  </si>
  <si>
    <t>No se encuentran en la cotizacion</t>
  </si>
  <si>
    <t>2-01-00562</t>
  </si>
  <si>
    <t>RODAMIENTO 6205 ZZ (MOTOR APOYO PAR)</t>
  </si>
  <si>
    <t>Se coloca precio tentativo</t>
  </si>
  <si>
    <t>2-01-00812</t>
  </si>
  <si>
    <t>RODAMIENTO 6001 - 2Z (VENTILADOR VARIADORES VACOM)</t>
  </si>
  <si>
    <t>2-01-01140</t>
  </si>
  <si>
    <t>RODAMIENTO 6206-2Z (PARA MOTOR VENTILADOR DEL MOTOR PRINCIPAL)</t>
  </si>
  <si>
    <t>Precio tentativo</t>
  </si>
  <si>
    <t>Diferenctes cotizaciones</t>
  </si>
  <si>
    <t>2-01-00958</t>
  </si>
  <si>
    <t>RODAMIENTO 6207-Z (MOTOR DE VENTILADOR CENTRIFUGO)</t>
  </si>
  <si>
    <t>2-01-01144</t>
  </si>
  <si>
    <t>RODAMIENTO 624-2Z (04x13x05) (VELETA Y ANEMOMETRO)</t>
  </si>
  <si>
    <t>2-01-00828</t>
  </si>
  <si>
    <t>RODAMIENTO 6204-ZZ (MOTOR REFRIGERACION DE ACEITE REDUCTOR)</t>
  </si>
  <si>
    <t>RODAMIENTO 6206-Z (MOTOR DE VENTILADOR CENTRIFUGO)</t>
  </si>
  <si>
    <t>Precio tentativo, igual a 6206 zz</t>
  </si>
  <si>
    <t>2-01-00988</t>
  </si>
  <si>
    <t xml:space="preserve">RODAMIENTO 6204 – 2Z (MOTOR CENTRAL DE FRENOS)                      </t>
  </si>
  <si>
    <t>TORNILLO ISO 4017-10.9U M20X50 FBZ GIC TORN. HEXAG.</t>
  </si>
  <si>
    <t>2-01-00827</t>
  </si>
  <si>
    <t xml:space="preserve">RODAMIENTO 6203 – 2Z (MOTOR CENTRAL DE FRENOS)                      </t>
  </si>
  <si>
    <t>6-01-00211</t>
  </si>
  <si>
    <t>RETEN 25X37X6 (REDUCTOR APOYO PAR)</t>
  </si>
  <si>
    <t>Precio referencial de un Reten 25x40x7  ID 6-01-00211</t>
  </si>
  <si>
    <t>2-01-00686</t>
  </si>
  <si>
    <t>6204-ZZ RODAMIENTO MOTORES TERMOMECANICA</t>
  </si>
  <si>
    <t>Precio Referencial</t>
  </si>
  <si>
    <t>Diferentes cotizaciones</t>
  </si>
  <si>
    <t>6205-ZZ RODAMIENTO MOTORES TERMOMECANICA</t>
  </si>
  <si>
    <t>Precio referencial de un Rodamiento 6205-2Z ID 2-01-00562</t>
  </si>
  <si>
    <t>MOTOR ELECTRICO INOTECH TIS-370GS (CICLON)</t>
  </si>
  <si>
    <t>Cotizacion local. Consultar con Juan Salazar</t>
  </si>
  <si>
    <t>FORRO FRICCIÓN SINTÉTICO PARA PINZA</t>
  </si>
  <si>
    <t>Se quita de 20204, se analizara para el 2026</t>
  </si>
  <si>
    <t>GUIA RESORTES A108-C L=431</t>
  </si>
  <si>
    <t>RESORTE DE COMPRESION ESPESOR=22MM DIAMETRO 120MM LONGITUD=389MM</t>
  </si>
  <si>
    <t>2-01-00118</t>
  </si>
  <si>
    <t>LENGÜETA P.PINZA A108-C TIPO 2 DIÁM.DEL CABLE 48-51 MM</t>
  </si>
  <si>
    <t>CASQUILLO NTPM 2830 DS DE=32MM AGA</t>
  </si>
  <si>
    <t>Se tenia duplicado</t>
  </si>
  <si>
    <t>2-01-00363</t>
  </si>
  <si>
    <t>CASQUILLO PM 2260 DS TIPO: KW SIN AGUJERO DE ENGRASE</t>
  </si>
  <si>
    <t>TORNILLO DE AJUSTE A 108-C</t>
  </si>
  <si>
    <t>ANILLO DE CIERRE A 108-C</t>
  </si>
  <si>
    <t>NIPLE DE ENGRASE EN 6, DIN 71412 NIPLE CONICO (CIL.), 0 GRADOS</t>
  </si>
  <si>
    <t>TUERCA ALMEN. DIN979-04 M30X2</t>
  </si>
  <si>
    <t>TUERCA HEX.DIN936- 8 M18       GALVANIZADA</t>
  </si>
  <si>
    <t xml:space="preserve">Repuesto Electrico </t>
  </si>
  <si>
    <t>Nuevo</t>
  </si>
  <si>
    <t>Supresor de picos DEHNshield DSH TN 255</t>
  </si>
  <si>
    <t>Interruptor diferencial ABB FH202, 25A, 30mA</t>
  </si>
  <si>
    <t>Termomagnético C-20, 6KA</t>
  </si>
  <si>
    <t>2-01-00874</t>
  </si>
  <si>
    <t>2-01-00442</t>
  </si>
  <si>
    <t>Recorrer años</t>
  </si>
  <si>
    <t>RODAMIENTO RANURADO DE BOLAS DIN 625/1-6308-2RS1-C3GLE VT 210 (90% +/-5%)</t>
  </si>
  <si>
    <t>2-01-00002</t>
  </si>
  <si>
    <t>CORREA TRAP.CC/HCC LREF=6150MM DOBLE                 OPTIBELT (O SU EQUIVALENTE)</t>
  </si>
  <si>
    <t>2-01-00038</t>
  </si>
  <si>
    <t>TORN. HALFEN 72/48 8.8 M20X60</t>
  </si>
  <si>
    <t>2-01-00101</t>
  </si>
  <si>
    <t>2-01-00232</t>
  </si>
  <si>
    <t>RUEDA NEUMAT. COMPL. DOPPELME.G</t>
  </si>
  <si>
    <t>2-01-00233</t>
  </si>
  <si>
    <t>2-01-00275</t>
  </si>
  <si>
    <t>2-01-00701</t>
  </si>
  <si>
    <t>ARANDELA ISO 7089 M20 300HV, F</t>
  </si>
  <si>
    <t>2-01-00298</t>
  </si>
  <si>
    <t>TORN. P.RUEDA 8.8 M12X20 ESP.</t>
  </si>
  <si>
    <t>2-01-00179</t>
  </si>
  <si>
    <t>ARANDELA ISO 7089 M12 300AR FL</t>
  </si>
  <si>
    <t>2-01-00399</t>
  </si>
  <si>
    <t>TUERCA SSI DIN 985-8 M20</t>
  </si>
  <si>
    <t>1-01-00034</t>
  </si>
  <si>
    <t>TENSOR DE CORREA O°</t>
  </si>
  <si>
    <t>1-08-00038</t>
  </si>
  <si>
    <t>GATO HIDRAULICO PARA TENSAR CORREAS</t>
  </si>
  <si>
    <t>POLEA CORR. TRAPEZ. DIA. 318/328</t>
  </si>
  <si>
    <t>2-01-00198</t>
  </si>
  <si>
    <t>CILINDRO DE FRENO, COMPLETO</t>
  </si>
  <si>
    <t>2-01-00336</t>
  </si>
  <si>
    <t>BULÓN DIA.22H7 LN 297,5 M16</t>
  </si>
  <si>
    <t>2-01-00201</t>
  </si>
  <si>
    <t>TOPE DE GOMA DIA.90/36 A=24</t>
  </si>
  <si>
    <t>2-01-00335</t>
  </si>
  <si>
    <t>TOPE DE GOMA DIA.90/35 A=24</t>
  </si>
  <si>
    <t>CABLE P. PUENTEO COMPLETO ARMA</t>
  </si>
  <si>
    <t>2-01-00333</t>
  </si>
  <si>
    <t>ARANDELA D.CENTRAR DIA.104,5MM</t>
  </si>
  <si>
    <t>ARANDELA DIN 7349-8,4 300HV, FLZNNC-720H-L</t>
  </si>
  <si>
    <t>2-01-00738</t>
  </si>
  <si>
    <t>R00 TUERCA HEX.DIN439B-04 M20</t>
  </si>
  <si>
    <t>RES.COMPR.DA=10,5/DIA=72/LSC=9</t>
  </si>
  <si>
    <t>2-01-00922</t>
  </si>
  <si>
    <t>RES.COMPR.DA=10/DIA=71,0/LSC=6</t>
  </si>
  <si>
    <t>POLEA DE CORREA TRAPEZ. DIA.34</t>
  </si>
  <si>
    <t>2-01-00270</t>
  </si>
  <si>
    <t xml:space="preserve">TENSOR DE CORREA, ACCIONAM. POR FRICCION </t>
  </si>
  <si>
    <t>POLEA DE CORREA TRAPEZ. DIA.328/</t>
  </si>
  <si>
    <t>2-01-01002</t>
  </si>
  <si>
    <t>CASQUILLO DIST. DIA. 50/30 L=140</t>
  </si>
  <si>
    <t>2-01-00056</t>
  </si>
  <si>
    <t>Se tenian Ids duplicados</t>
  </si>
  <si>
    <t>ANILLO DIA. 80,0/60,0 L=20,5</t>
  </si>
  <si>
    <t>2-01-00277</t>
  </si>
  <si>
    <t>POLEA HORIZONTAL</t>
  </si>
  <si>
    <t>DI-RING DM 68/50 S=13.5</t>
  </si>
  <si>
    <t>1-01-00678</t>
  </si>
  <si>
    <t>POLEA VERTICAL</t>
  </si>
  <si>
    <t>Se tenian duplicados</t>
  </si>
  <si>
    <t>CHAPA E=20 L=150 B=100, UNIG</t>
  </si>
  <si>
    <t>2-01-00985</t>
  </si>
  <si>
    <t>CUBO DE POLEA DE FRICCION MGD</t>
  </si>
  <si>
    <t>2-01-01053</t>
  </si>
  <si>
    <t>SOPORTE DE EJE CORTO           UNIG              ELECTROGALV.</t>
  </si>
  <si>
    <t>CHR HALFEN 72/48 8.8 M20X60</t>
  </si>
  <si>
    <t>2-01-00666</t>
  </si>
  <si>
    <t>2-01-00254</t>
  </si>
  <si>
    <t>2-01-00875</t>
  </si>
  <si>
    <t>ACHSE F REIBRADANTRIEB L=323,0 UNIG F. WIPPE REIBRAD      BLK (Eje para accionamiento de polea de fricción)</t>
  </si>
  <si>
    <t>2-01-00575</t>
  </si>
  <si>
    <t>CASQUILLO PM 6040 DS TIPO KW GLACIER</t>
  </si>
  <si>
    <t>RODAMIENTO RANURADO DIN 625/1- 6305-2RS RODAMIENTO RANURADO DE BOLAS</t>
  </si>
  <si>
    <t>ARO LATER. DIA435/330,5 S=16</t>
  </si>
  <si>
    <t>RODAMIENTO RANURADO DE BOLAS DIN625/1- 6309-2RS1-C3GLE VT210 (90% +/-5%)</t>
  </si>
  <si>
    <t>2-01-00237</t>
  </si>
  <si>
    <t>RARB DIN 711/1-51104           RODAMIENTO AXIAL RÍG. DE BOLAS (RODAMIENTO HERRAMIENTA RINO)</t>
  </si>
  <si>
    <t>CIRCLIP INTER. DIN 472 110X4</t>
  </si>
  <si>
    <t>2-01-00253</t>
  </si>
  <si>
    <t>2-01-00057</t>
  </si>
  <si>
    <t>2-01-00058</t>
  </si>
  <si>
    <t>2-01-00238</t>
  </si>
  <si>
    <t>ARANDELA DE AJ. DIN 988 50X62X0,5</t>
  </si>
  <si>
    <t>2-01-00326</t>
  </si>
  <si>
    <t>2-01-00142</t>
  </si>
  <si>
    <t>RODAMIENTO RANURADO DEBOLAS DIN625/1-6312-2RS1-C3GLE VT210 (90% +/-5%) (MANDO A DIST. CWA DERECHA-EXER. Nº ART. 11-080638)</t>
  </si>
  <si>
    <t>ARO LATER. DIA 505/400,5 S=18</t>
  </si>
  <si>
    <t>2-01-00041</t>
  </si>
  <si>
    <t>Se eilmina, se trabajara con basculas de Edwin y Erick</t>
  </si>
  <si>
    <t>POLEA SENSOR C CL 64 DIA265</t>
  </si>
  <si>
    <t>torre</t>
  </si>
  <si>
    <t>2-01-01050</t>
  </si>
  <si>
    <t>BALANCIN DE 2 POL. TIPO C AC.6</t>
  </si>
  <si>
    <t>RRB DIN 625/1- 6205-2RS-C3 LT VT210 (TTF 90% +/-5%)ROD.R.B.</t>
  </si>
  <si>
    <t>ARANDELA M24 300HV LAMINILLA ZINC SIN BISEL</t>
  </si>
  <si>
    <t>Añadido para linea Morada. No se cotizo en anterior cotización.</t>
  </si>
  <si>
    <t>BALANCIN DE 2 POL. TIPO C AC.60D</t>
  </si>
  <si>
    <t>CASQUILLO DISTANCIADOR DIÁMETRO 50MM/30MM LONGITUD 160MM (CASQUILLO DIST. DIÁ50/30 L=160)</t>
  </si>
  <si>
    <t>PERNO DIAMETRO 29,9 L 223 M24 PARA POLEA TIPO 501 (PERNO DIA.29,9  L 225 M24      PARA POLEA TIPO 501)</t>
  </si>
  <si>
    <t>PERNO DIAMETRO 24,9 LN 192 M20 PARA POLEA TIPO 420C</t>
  </si>
  <si>
    <t xml:space="preserve">
2-01-00570</t>
  </si>
  <si>
    <t>ANILLO DISTANCIADOR DIÁMETRO 68MM/50MM(ANILLO DIST. DIÁ.68/50 E=23,5 P. POLEA 501 GALV.+AMARILLO)</t>
  </si>
  <si>
    <t>CIRCLIP INTERNO 80X2,5 (CIRCLIP INTER. DIN 472  80X2,5 FOSFAT.)</t>
  </si>
  <si>
    <t>ANILLO DIST. DIÁ.57/35 E=18,5 (ANILLO DIST. DIÁ.57/35 E=18,5 P. POLEA 420C GALV.+AMARILLO)</t>
  </si>
  <si>
    <t>CIRCLIP INTER. DIN 472 110X4 (CIRCLIP INTER.  DIN 472 110X4  FOSFAT.)</t>
  </si>
  <si>
    <t>2-01-00430</t>
  </si>
  <si>
    <t>ANILLO ELÁSTICO 323,8X 6,0 (ANILLO ELÁSTICO  323,8X 6,0    CON RECUBRIMIENTO DELTA-TONE)</t>
  </si>
  <si>
    <t>2-01-00428</t>
  </si>
  <si>
    <t>ANILLO ELÁSTICO 393,5X 6,3 (ANILLO ELÁSTICO  393,5X 6,3    CON RECUBRIMIENTO DELTA-TONE)</t>
  </si>
  <si>
    <t>2-01-00265</t>
  </si>
  <si>
    <t>Porta Horquillas</t>
  </si>
  <si>
    <t>PV-FT-CF-C 2.5 A 4 (CONECTOR CAJA HORQUILLA HEMBRA)</t>
  </si>
  <si>
    <t>PV-FT-CM-C 2.5 A 4 (CONECTOR CAJA HORQUILLA MACHO)</t>
  </si>
  <si>
    <t>2-02-00606</t>
  </si>
  <si>
    <t>HORQU.D.SEGURID. DIA.4,5 L=122 CARGA DE ROTURA ESTÁT.60 -100N</t>
  </si>
  <si>
    <t>CONECTOR HEMBRA DIAMETRO 7 L=38MM PARA INTERRUPTOR HORQUILLA</t>
  </si>
  <si>
    <t>2-01-00181</t>
  </si>
  <si>
    <t>TORNILLO DE FIJACION M10X25    P. INTERRUPTOR DE HORQUILLA</t>
  </si>
  <si>
    <t>TORNILLO DE FIJACION M10X25 PARA INTERRUPTOR DE HORQUILLA</t>
  </si>
  <si>
    <t>2-01-00182</t>
  </si>
  <si>
    <t>RACOR ATORN.P.CAB.HSK-K  PG 16 NEGRO, N° DE PED.1.597.1605.01</t>
  </si>
  <si>
    <t>RACOR ATORN. P.CAB.HSK-K PG16</t>
  </si>
  <si>
    <t>2-01-00099</t>
  </si>
  <si>
    <t>TORNILLO ISO1207  MS  M 3,5X12 CABEZA CIL.CON RANURA (DIN84)</t>
  </si>
  <si>
    <t>TORNILLO DIN 84 LATON M3,5X12MM</t>
  </si>
  <si>
    <t>ENCHUFE FILTRO DE SOBRETENSION</t>
  </si>
  <si>
    <t>PROTECCION SOBRETENSION RPD: ELEMENTO BASE</t>
  </si>
  <si>
    <t>Cable de conexión RPD 10m KDKS amarillo con enchufe inyectado</t>
  </si>
  <si>
    <t>Cable conector RPD 8m KDKS amarillo con enchufe inyectado</t>
  </si>
  <si>
    <t>INTERRUPTOR RPD PARA CONTROL POSICION DEL CABLE GS 5001</t>
  </si>
  <si>
    <t>Cable de conexión RPD 6m KDKS amarillo con enchufe inyectado</t>
  </si>
  <si>
    <t>2-01-00226</t>
  </si>
  <si>
    <t xml:space="preserve">AMORTIGUADOR DE TROMPETA </t>
  </si>
  <si>
    <t>TOTAL TDB</t>
  </si>
  <si>
    <t>TOTAL LOCAL</t>
  </si>
  <si>
    <t>Para Linea Blanca 66 Cabinas 2026</t>
  </si>
  <si>
    <t>Cant Cabinas:</t>
  </si>
  <si>
    <t>Anterior</t>
  </si>
  <si>
    <t>Para una cabina</t>
  </si>
  <si>
    <t>Precio U Dolares</t>
  </si>
  <si>
    <t>Precio U. Bs</t>
  </si>
  <si>
    <t>Precio Total</t>
  </si>
  <si>
    <t>OVH Suspensiones</t>
  </si>
  <si>
    <t>TUERCA AUTIFIJANTES DIN 985-8M8</t>
  </si>
  <si>
    <t>TUERCA HEXAGONAL DIN 985-8 M10 ELECTROGALVANIZADO (CON ELEMENTO DE FIJACION)</t>
  </si>
  <si>
    <t>TUERCA HEXAGONAL M16</t>
  </si>
  <si>
    <t>TUERCA HEXAGONAL DIN439B-04 M20</t>
  </si>
  <si>
    <t>CHAVETA 4MM X 25MM</t>
  </si>
  <si>
    <t>CHAVETA 4 X 36MM</t>
  </si>
  <si>
    <t>10001272</t>
  </si>
  <si>
    <t>TORNILLO ISO 4762- 8.8 M 8X 35 CILINDRICO</t>
  </si>
  <si>
    <t>TORNILLO ISO 4762 8.8 M 8X40 CILINDRICO, GALVANIZADO</t>
  </si>
  <si>
    <t>TORNILLO ISO 4017-8.8 M8X25</t>
  </si>
  <si>
    <t>CASQUILLO CON BORDE GGB2215 DU</t>
  </si>
  <si>
    <t>ARANDELA SEGURIDAD NORDLOCK NL8 RECUBRIMIENTO DE LAMINILLAS DE CINC</t>
  </si>
  <si>
    <t>TOPE DE GOMA DIAMETRO 90MM/35MM</t>
  </si>
  <si>
    <t>ARANDELA DE CENTRAR DIAMETRO 104,5MM</t>
  </si>
  <si>
    <t>10490472</t>
  </si>
  <si>
    <t>ARANDELA DE FIJACION DIAMETRO 80, M20 PARA SUSPENSIÓN CABINA OMEGAIII (O SU EQUIVALENTE)</t>
  </si>
  <si>
    <t>TOPE DE GOMA DIAMETRO 90/36 A=24 CENTRO RESORTE ESPIRAL 8MGD-GCS</t>
  </si>
  <si>
    <t>CASQUILLO CON BORDE GGB2222DU-S, GLACIER (22X25X32X21,5)</t>
  </si>
  <si>
    <t>BULON DIAMETRO 22H7 LONGITUD 297.5MM M16</t>
  </si>
  <si>
    <t>10569124</t>
  </si>
  <si>
    <t>ARANDELA UN737 17MM X 40MM</t>
  </si>
  <si>
    <t>ANILLO EN O, DIA I. 22,0MM X 3,5MM</t>
  </si>
  <si>
    <t>TUERCA HEXAGONAL DIN 985-8 M14X1.5 GVZ ELECTROGALVANIZADO</t>
  </si>
  <si>
    <t>10791020</t>
  </si>
  <si>
    <t>ARANDELA ELASTICA DIN 137B</t>
  </si>
  <si>
    <t>10860982</t>
  </si>
  <si>
    <t>CASQUILLO GOMA/METAL DIA.40/ 25 L= 30, 85</t>
  </si>
  <si>
    <t>RESORTE DE COMPR.D=10,00/DIÁ=71,00/LO=85,7 NT= 4,10; DIN 2095</t>
  </si>
  <si>
    <t>RESORTE DE COMPR. D=10,50/DIÁ=72,00/LO=91,0 NT=4,4, DIN 2095</t>
  </si>
  <si>
    <t>11424317</t>
  </si>
  <si>
    <t>ARANDELA ISO 7089 M8 300HV LAMINILLA SIN CHAFLAN GALVANIZADO</t>
  </si>
  <si>
    <t>11515806</t>
  </si>
  <si>
    <t>ARANDELA DE SEGURIDAD DIAMETRO 50/23 L=7 PARA DISPOSITIVO DE SUSPENSION 8MGD</t>
  </si>
  <si>
    <t xml:space="preserve">KIT SUSPENCIÓN CABINA CWA (O SU EQUIVALENTE): </t>
  </si>
  <si>
    <t xml:space="preserve"> 4 x 10-022567, barra de suspensión para OMIV
 4 x 90-022333, PASADOR 4x40
 4 x 50-022145, tornillo de cabeza hexagonal M10x12
 4 x 90-022541, Tapa de sellado, negro
 4 x 10-022848, goma de contrapresión para OMIV</t>
  </si>
  <si>
    <t>Repuestos cambio de mordazas</t>
  </si>
  <si>
    <t>Linea Plateada</t>
  </si>
  <si>
    <t>Para Plateada 2026 al 60%</t>
  </si>
  <si>
    <t>10</t>
  </si>
  <si>
    <t>Ok Raul</t>
  </si>
  <si>
    <t>Q Rec</t>
  </si>
  <si>
    <t>Suma R NR</t>
  </si>
  <si>
    <t>RODAMIENTO RANURADO DE BOLAS DIN 625/1-6310-2RS1-C3GLE VT210 (90%+/-5%) RRB</t>
  </si>
  <si>
    <t>GUARNICION DE GOMA 420 422X93/R34</t>
  </si>
  <si>
    <t>NEUMÁTICO "DOPPELMAYR-K" (O SU EQUIVALENTE)</t>
  </si>
  <si>
    <t>GUARN.DE GOMA  501 485X100/R40  1GR</t>
  </si>
  <si>
    <t>RODAMIENTO RANURADO DE BOLAS DIN 625/1 - 6307 - 2RS1-C3GLE VT210 (90%+/-5%) RRB</t>
  </si>
  <si>
    <t>ENCHUFE PROTECTOR SOBREVOLTAJE PHOENIX CONTACT Nº:2838322</t>
  </si>
  <si>
    <t>TUBO DIST. DIÁ=30/20.2 L=126, P. BÁSCULA P. SENS. EN BRAZO GI (O SU EQUIVALENTE)</t>
  </si>
  <si>
    <t>Arandelas o laminillas para poleas 501</t>
  </si>
  <si>
    <t>Arandelas o laminillas para poleas 420</t>
  </si>
  <si>
    <t>CABEZAL DE RESORTE A108-C 50X290</t>
  </si>
  <si>
    <t>CABLE DE CONEX.RPD 10M KDKS AMARILLO CON ENCHUFE INYECTADO</t>
  </si>
  <si>
    <t>PERNO DIAMETRO 29,9 L 223 M24 PARA POLEA TIPO 501</t>
  </si>
  <si>
    <t>RODAMIENTO RANURADO DE BOLAS 6205 DIN 625/1-6205-2RS-C3</t>
  </si>
  <si>
    <t>varilla del sistema de cierre y apertura en vehículos</t>
  </si>
  <si>
    <t>TUERCA AUTOBLOCANTE INLOC 8 - M20 (CABEZA 30)</t>
  </si>
  <si>
    <t>CABLE RPD 12 METROS</t>
  </si>
  <si>
    <t xml:space="preserve">CÁMARA DE AIRE P.CUBIERTA DOP.-K  (O SU EQUIVALENTE) CON VALVULA TR 88 G </t>
  </si>
  <si>
    <t>Socalo de proteccion PLT-SEC-T3-24-FM-UT)</t>
  </si>
  <si>
    <t>CASQUILLO DISTANCIADOR DIÁMETRO 50MM/30MM LONGITUD 160MM</t>
  </si>
  <si>
    <t xml:space="preserve">PASADOR SUJ. DIN1481 10  X 50 CON RECUBR.DACROMET </t>
  </si>
  <si>
    <t xml:space="preserve">PASADOR SUJ. DIN1481  6  X 45 CON RECUBR.DACROMET </t>
  </si>
  <si>
    <t xml:space="preserve">PASADOR SUJ.DIN 1481  6  X 55 CON RECUBR.DACROMET </t>
  </si>
  <si>
    <t xml:space="preserve">BULÓN DIA.30 H8 - L= 120       PARA POLEA CONTADORA </t>
  </si>
  <si>
    <t>TUERCA HEXAGONAL DIN 985-8 M14X1.5 GVZ ELECTROGALVANIZADO (Inspeccion amortiguador)</t>
  </si>
  <si>
    <t>ANILLO DIST. DIÁ.57/35 E=18,5</t>
  </si>
  <si>
    <t>Socalo de proteccion contra sobretensiones</t>
  </si>
  <si>
    <t>BULÓN P. CILINDRO AMORT. MGD Y CLD (Inspeccion amortiguador)</t>
  </si>
  <si>
    <t>ARAND.DIST. 108,5/50,1 S= 13,5 ACCIONAMIENTO P.RUEDA D.FRICC. (arandela distanciadora (guardapolvo) )</t>
  </si>
  <si>
    <t>PLACA DISTANCIADORA T=1 PARA RPD</t>
  </si>
  <si>
    <t>Insumo químico</t>
  </si>
  <si>
    <t>3-02-00007</t>
  </si>
  <si>
    <t>GRASA DE VASELINA 17223 CARTUCHO DE 0,4KG</t>
  </si>
  <si>
    <t>TORNILLO CABEZA HEXAGONAL - 8.8 M16X75MM</t>
  </si>
  <si>
    <t>ANILLO DISTANCIADOR DIÁMETRO 68MM/50MM</t>
  </si>
  <si>
    <t xml:space="preserve">CIRCLIP INTERNO 80X2,5 </t>
  </si>
  <si>
    <t>CIRCLIP INTER. DIN 472 52X2</t>
  </si>
  <si>
    <t>TUERCA HEXAGONAL ISO 4032-8 M16 GIC</t>
  </si>
  <si>
    <t>3-01-00002</t>
  </si>
  <si>
    <t xml:space="preserve">Grasa Grizzly grease N°1 - Lata 500 ml </t>
  </si>
  <si>
    <t>l-Lata</t>
  </si>
  <si>
    <t>Se quita para poner en listado de lubricantes</t>
  </si>
  <si>
    <t>3-03-00003</t>
  </si>
  <si>
    <t>ANTICORIT OHK 1L</t>
  </si>
  <si>
    <t>L-Bote</t>
  </si>
  <si>
    <t>Silamin 25L</t>
  </si>
  <si>
    <t>L-Bidon</t>
  </si>
  <si>
    <t>3-01-00001</t>
  </si>
  <si>
    <t>DOKUSIL 120 250cc</t>
  </si>
  <si>
    <t>Se coloca en listado de lubricantes</t>
  </si>
  <si>
    <t>3-01-00035</t>
  </si>
  <si>
    <t>ACEITE 80W-90 GL5 210L</t>
  </si>
  <si>
    <t>L-Turril</t>
  </si>
  <si>
    <t>3-02-00042</t>
  </si>
  <si>
    <t>BQH-72-102 - Grasa para motores eléctricos principales 1kg</t>
  </si>
  <si>
    <t>g-Bote</t>
  </si>
  <si>
    <t>3-02-00031</t>
  </si>
  <si>
    <t>NBU 8 EP - Grasa para motores eléctricos principales 1Kg</t>
  </si>
  <si>
    <t>3-02-00039</t>
  </si>
  <si>
    <t>Polyrex  EM - Grasa para motores eléctricos principales 400g</t>
  </si>
  <si>
    <t>g - Cartucho</t>
  </si>
  <si>
    <t>3-02-00002</t>
  </si>
  <si>
    <t>XHP222 Turril 50 Kg</t>
  </si>
  <si>
    <t>g-Turril</t>
  </si>
  <si>
    <t>GUARNICIÓN DE GOMA 500 474X100/R40/2XR8,5 P. POL.FRICC. UNIG 3GR</t>
  </si>
  <si>
    <t>Grasa en spray renold latas  0.4L</t>
  </si>
  <si>
    <t>L-Lata</t>
  </si>
  <si>
    <t>3-02-00032</t>
  </si>
  <si>
    <t>ISO FLEX NBU15  1kg</t>
  </si>
  <si>
    <t>kg-Bote</t>
  </si>
  <si>
    <r>
      <rPr>
        <rFont val="Calibri"/>
        <color theme="1"/>
      </rPr>
      <t xml:space="preserve">Se requerian 7 pernos de suspensión, se opta por </t>
    </r>
    <r>
      <rPr>
        <rFont val="Calibri"/>
        <b/>
        <color theme="1"/>
      </rPr>
      <t>1</t>
    </r>
    <r>
      <rPr>
        <rFont val="Calibri"/>
        <color theme="1"/>
      </rPr>
      <t xml:space="preserve"> kit completo, para el 2025</t>
    </r>
  </si>
  <si>
    <t>3-02-00028</t>
  </si>
  <si>
    <t>Unisilikon GLK112 1Kg</t>
  </si>
  <si>
    <t>Suspensiones de Cabinas Bimensuales</t>
  </si>
  <si>
    <t>Necesario recuperar cantidades LT2</t>
  </si>
  <si>
    <t>Bs TRM/24</t>
  </si>
  <si>
    <t>Bs TRM/25</t>
  </si>
  <si>
    <t>Bs TRM/26</t>
  </si>
  <si>
    <t>Compra nueva</t>
  </si>
  <si>
    <t>Tipo de Cambio</t>
  </si>
  <si>
    <t>SUM de Q 2024</t>
  </si>
  <si>
    <t>Precio $us</t>
  </si>
  <si>
    <t>Proveedor</t>
  </si>
  <si>
    <t>SUM de $us.2024</t>
  </si>
  <si>
    <t>SUM de $us.2025</t>
  </si>
  <si>
    <t>SUM de $us.2026</t>
  </si>
  <si>
    <t>Total LOCAL</t>
  </si>
  <si>
    <t>Total TDB</t>
  </si>
  <si>
    <t>10867102</t>
  </si>
  <si>
    <t xml:space="preserve">DOKUSIL - ELEMENTO LUBRICADOR 
PARA RODETES DE CABINAS </t>
  </si>
  <si>
    <t>SILICONA WACKER AK350 - 190KG</t>
  </si>
  <si>
    <t xml:space="preserve">Total </t>
  </si>
  <si>
    <t>10072704</t>
  </si>
  <si>
    <t xml:space="preserve"> ISO FLEX NBU 15 - Kluber 
GRASA PARA PERNOS DE SUSPENCIÓN </t>
  </si>
  <si>
    <t>10498861</t>
  </si>
  <si>
    <t xml:space="preserve">UNISILKON GLK112 
GRASA LUBRICANTE - CABLE METFLEX </t>
  </si>
  <si>
    <t>10541941</t>
  </si>
  <si>
    <t>RENOLD 
GRASA PARA CADENAS TRANSPORTADORAS DE VEHICULOS 
(TDB)</t>
  </si>
  <si>
    <t>10550848</t>
  </si>
  <si>
    <t xml:space="preserve">GRIZZLY GREASE N°1
CORONA Y PIÑON - VOLANTES (TDB) </t>
  </si>
  <si>
    <t>10961484</t>
  </si>
  <si>
    <t>GRASA  PARA CUIDADO CONTACTOS (SPRAY AEROSOL)   200ML.</t>
  </si>
  <si>
    <t>11007328</t>
  </si>
  <si>
    <t>11309149</t>
  </si>
  <si>
    <t xml:space="preserve">NBU 8 EP - KLUBER 
 GRASA PARA MOTORES ELÉCTRICOS PRINCIPALES </t>
  </si>
  <si>
    <t>11527131</t>
  </si>
  <si>
    <t xml:space="preserve">ANTICORIT OHK - 
ACEITE PARA VASTAGOS DE CILINDROS HIDRAULICOS </t>
  </si>
  <si>
    <t>12156706</t>
  </si>
  <si>
    <t xml:space="preserve">BQH72 - 102 - KLUBER 
 GRASA PARA MOTORES ELÉCTRICOS PRINCIPALES </t>
  </si>
  <si>
    <t xml:space="preserve">ACEITE ISO 220 - MONOGRADO  SINTETICO 
MOTOREDUCTORES NORD </t>
  </si>
  <si>
    <t>Total 2</t>
  </si>
  <si>
    <t>3-01-00007</t>
  </si>
  <si>
    <t>ACEITE 15W40 
PARA MOTORES DE COMBUSTION INTERNA A DIESEL 
(COMPRA LOCAL 2023)</t>
  </si>
  <si>
    <t xml:space="preserve">80W90 GL-5 PARA ENGRANAJES 
REDUCTORES PRINCIPALES 
(COMPRA LOCAL 2023)  </t>
  </si>
  <si>
    <t>3-01-00042</t>
  </si>
  <si>
    <t xml:space="preserve">Aceite Mobil shc 630 </t>
  </si>
  <si>
    <t>Balde</t>
  </si>
  <si>
    <t xml:space="preserve">GRASA AZUL 
XHP222 - MOBIL - CABINAS - BALANCINES - RODAMIENTOS 
(COMPRA LOCAL 2023)  </t>
  </si>
  <si>
    <t>3-02-00033</t>
  </si>
  <si>
    <t xml:space="preserve">GRASA ROJA 
 MOBILITCH 460 SHC - VOLANTES Y  
(COMPRA LOCAL 2023)  </t>
  </si>
  <si>
    <t>3-02-00044</t>
  </si>
  <si>
    <t>POLYREX EM  - MOBIL 
 GRASA PARA MOTORES ELÉCTRICOS PRINCIPALES 
(COMPRA LOCAL 2023)</t>
  </si>
  <si>
    <t>Total 13</t>
  </si>
  <si>
    <t>3-02-00001</t>
  </si>
  <si>
    <t xml:space="preserve">GRASA BLANCA
INTERLFON LT 2 - PINZAS DE CABINAS 
(COMPRA LOCAL 2023)  </t>
  </si>
  <si>
    <t>Total 14</t>
  </si>
  <si>
    <t>3-03-00008</t>
  </si>
  <si>
    <t xml:space="preserve">LUBRICANTE PARA CABLE TRACTOR 
"WD 40"
(EXISTEN NUEVAS INSTRUCCIONES EMITIDAS POR FATZER EN CUANTO AL USO DE LUBRICANTES PAR CABLE - VERIFICAR) </t>
  </si>
  <si>
    <t>Total 31</t>
  </si>
  <si>
    <t>Total 38</t>
  </si>
  <si>
    <t>Total 39</t>
  </si>
  <si>
    <t>Total 40</t>
  </si>
  <si>
    <t>Aceite para compresores.
Turbine/Compressor Oil R&amp;O ISO 68</t>
  </si>
  <si>
    <t>Total 42</t>
  </si>
  <si>
    <t>Total 47</t>
  </si>
  <si>
    <t>LINEAS</t>
  </si>
  <si>
    <t>Porc. Promedio</t>
  </si>
  <si>
    <t>Valoración</t>
  </si>
  <si>
    <t>Consumo 2024</t>
  </si>
  <si>
    <t>LMO/24</t>
  </si>
  <si>
    <t>LR/24</t>
  </si>
  <si>
    <t>LN/24</t>
  </si>
  <si>
    <t>LAZ/24</t>
  </si>
  <si>
    <t>LAM/24</t>
  </si>
  <si>
    <t>LPL/24</t>
  </si>
  <si>
    <t>LV/24</t>
  </si>
  <si>
    <t>LCE/24</t>
  </si>
  <si>
    <t>LB/24</t>
  </si>
  <si>
    <t>LCA/24</t>
  </si>
  <si>
    <t>TRM/24</t>
  </si>
  <si>
    <t>Consumo 2025</t>
  </si>
  <si>
    <t>SUM de Bs LR/25</t>
  </si>
  <si>
    <t>SUM de Bs LN/25</t>
  </si>
  <si>
    <t>SUM de Bs LAZ/25</t>
  </si>
  <si>
    <t>SUM de Bs LAM/25</t>
  </si>
  <si>
    <t>SUM de Bs LMO/25</t>
  </si>
  <si>
    <t>SUM de Bs LPL/25</t>
  </si>
  <si>
    <t>SUM de Bs LV/25</t>
  </si>
  <si>
    <t>SUM de Bs LCE/25</t>
  </si>
  <si>
    <t>SUM de Bs LB/25</t>
  </si>
  <si>
    <t>SUM de Bs LCA/25</t>
  </si>
  <si>
    <t>SUM de Bs TRM/25</t>
  </si>
  <si>
    <t>Consumo 2026</t>
  </si>
  <si>
    <t>SUM de Bs LR/26</t>
  </si>
  <si>
    <t>SUM de Bs LN/26</t>
  </si>
  <si>
    <t>SUM de Bs LAZ/26</t>
  </si>
  <si>
    <t>SUM de Bs LAM/26</t>
  </si>
  <si>
    <t>SUM de Bs LMO/26</t>
  </si>
  <si>
    <t>SUM de Bs LPL/26</t>
  </si>
  <si>
    <t>SUM de Bs LV/26</t>
  </si>
  <si>
    <t>SUM de Bs LCE/26</t>
  </si>
  <si>
    <t>SUM de Bs LB/26</t>
  </si>
  <si>
    <t>SUM de Bs LCA/26</t>
  </si>
  <si>
    <t>SUM de Bs TRM/26</t>
  </si>
  <si>
    <t>Sin trabajos TRM</t>
  </si>
  <si>
    <t>Subtotal</t>
  </si>
  <si>
    <t>LISTADO CONSOLIDADO COMPRAS POR PROCESO</t>
  </si>
  <si>
    <t>Descripción de proceso</t>
  </si>
  <si>
    <t>GOM - Contratación anual de Bienes para el Mantenimiento de las Líneas del Sistema de Transporte</t>
  </si>
  <si>
    <t>GOM-Adquisicion de lubricantes para las lineas de la EETC MT *</t>
  </si>
  <si>
    <t>RECURRENTES (TDB)</t>
  </si>
  <si>
    <t>NO RECURRENTES (TDB)</t>
  </si>
  <si>
    <t>Insumos y compras Locales (Resumen Por partidas)*</t>
  </si>
  <si>
    <t>SUM de Bs. Total</t>
  </si>
  <si>
    <t>PARTIDA</t>
  </si>
  <si>
    <t>SUM de P Total</t>
  </si>
  <si>
    <t>Fuente</t>
  </si>
  <si>
    <t>SUM de Bs 2024</t>
  </si>
  <si>
    <t>SUM de Bs 2025</t>
  </si>
  <si>
    <t>SUM de Bs 2026</t>
  </si>
  <si>
    <t>TOTALES</t>
  </si>
  <si>
    <t>Local</t>
  </si>
  <si>
    <t>GOM-Adquisicion de lubricantes especificos para las lineas de la EETC MT</t>
  </si>
  <si>
    <t>Combustibles, Lubricantes y Derivados para consumo</t>
  </si>
  <si>
    <t xml:space="preserve">Nota1: </t>
  </si>
  <si>
    <t>Se incrementan lubricantes no solicitados en la listados</t>
  </si>
  <si>
    <t>Productos Químicos</t>
  </si>
  <si>
    <t xml:space="preserve">* No se actualiza automaticamente, se encuentra en libro </t>
  </si>
  <si>
    <t>Materiales Eléctricos</t>
  </si>
  <si>
    <t>NO RECURRENTES (LOCAL)</t>
  </si>
  <si>
    <t xml:space="preserve">COMPRAS LOCALES </t>
  </si>
  <si>
    <t xml:space="preserve">GOM - Contratación anual de Bienes para el Mantenimiento de las Líneas del Sistema de Transporte 
</t>
  </si>
  <si>
    <t>No recurrentes (Local)</t>
  </si>
  <si>
    <t>Insumos Compras Locales</t>
  </si>
  <si>
    <t>Resumen Por partidas (TDB)</t>
  </si>
  <si>
    <t>Indumar</t>
  </si>
  <si>
    <t>Baterias</t>
  </si>
  <si>
    <t>Rodamientos</t>
  </si>
  <si>
    <t>OVH (TDB)</t>
  </si>
  <si>
    <t xml:space="preserve">TOTAL </t>
  </si>
  <si>
    <t>Partidas por lineas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</si>
</sst>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#,##0.00;(#,##0.00)"/>
    <numFmt numFmtId="165" formatCode="_-* #,##0.00_-;\-* #,##0.00_-;_-* &quot;-&quot;??_-;_-@"/>
    <numFmt numFmtId="166" formatCode="_-&quot;$&quot;\ * #,##0.00_-;\-&quot;$&quot;\ * #,##0.00_-;_-&quot;$&quot;\ * &quot;-&quot;??_-;_-@"/>
    <numFmt numFmtId="167" formatCode="d.m"/>
    <numFmt numFmtId="168" formatCode="#,##0.00_ ;[Red]\-#,##0.00\ "/>
    <numFmt numFmtId="169" formatCode="d.m.yyyy"/>
    <numFmt numFmtId="170" formatCode="dd-mm-yyyy"/>
    <numFmt numFmtId="171" formatCode="_-* #,##0_-;\-* #,##0_-;_-* &quot;-&quot;??_-;_-@"/>
    <numFmt numFmtId="172" formatCode="&quot;Bs&quot;#,##0;[Red]\-&quot;Bs&quot;#,##0"/>
  </numFmts>
  <fonts count="85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Arial Narrow"/>
    </font>
    <font>
      <u/>
      <sz val="11.0"/>
      <color rgb="FF0000FF"/>
      <name val="Arial Narrow"/>
    </font>
    <font>
      <color theme="1"/>
      <name val="Arial Narrow"/>
    </font>
    <font>
      <b/>
      <color theme="1"/>
      <name val="Arial Narrow"/>
    </font>
    <font>
      <u/>
      <sz val="11.0"/>
      <color rgb="FF0563C1"/>
      <name val="Arial Narrow"/>
    </font>
    <font>
      <u/>
      <color rgb="FF0000FF"/>
      <name val="Arial Narrow"/>
    </font>
    <font>
      <u/>
      <color rgb="FF0000FF"/>
      <name val="Arial Narrow"/>
    </font>
    <font>
      <u/>
      <sz val="11.0"/>
      <color rgb="FF0563C1"/>
      <name val="Arial Narrow"/>
    </font>
    <font>
      <u/>
      <sz val="11.0"/>
      <color rgb="FF0000FF"/>
      <name val="Arial Narrow"/>
    </font>
    <font>
      <u/>
      <sz val="11.0"/>
      <color rgb="FF0000FF"/>
      <name val="Arial Narrow"/>
    </font>
    <font>
      <u/>
      <sz val="11.0"/>
      <color rgb="FF000000"/>
      <name val="Arial Narrow"/>
    </font>
    <font>
      <u/>
      <sz val="11.0"/>
      <color rgb="FF000000"/>
      <name val="Arial Narrow"/>
    </font>
    <font>
      <b/>
      <u/>
      <color rgb="FF0000FF"/>
      <name val="Arial Narrow"/>
    </font>
    <font>
      <u/>
      <sz val="11.0"/>
      <color rgb="FF0000FF"/>
      <name val="Arial Narrow"/>
    </font>
    <font>
      <sz val="11.0"/>
      <color rgb="FF4472C4"/>
      <name val="Arial Narrow"/>
    </font>
    <font>
      <b/>
      <sz val="11.0"/>
      <color theme="1"/>
      <name val="Arial Narrow"/>
    </font>
    <font>
      <sz val="11.0"/>
      <color rgb="FF000000"/>
      <name val="&quot;Arial Narrow&quot;"/>
    </font>
    <font>
      <b/>
      <sz val="15.0"/>
      <color theme="1"/>
      <name val="Arial Narrow"/>
    </font>
    <font>
      <u/>
      <sz val="11.0"/>
      <color theme="1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11.0"/>
      <color theme="1"/>
      <name val="Calibri"/>
    </font>
    <font>
      <b/>
      <sz val="14.0"/>
      <color theme="1"/>
      <name val="Tahoma"/>
    </font>
    <font>
      <b/>
      <sz val="12.0"/>
      <color theme="1"/>
      <name val="Tahoma"/>
    </font>
    <font>
      <b/>
      <sz val="11.0"/>
      <color theme="1"/>
      <name val="Tahoma"/>
    </font>
    <font>
      <b/>
      <sz val="9.0"/>
      <color theme="1"/>
      <name val="&quot;Arial Narrow&quot;"/>
    </font>
    <font>
      <b/>
      <sz val="9.0"/>
      <color rgb="FF3F3F3F"/>
      <name val="&quot;Arial Narrow&quot;"/>
    </font>
    <font>
      <b/>
      <color theme="1"/>
      <name val="&quot;Arial Narrow&quot;"/>
    </font>
    <font>
      <color theme="1"/>
      <name val="&quot;Arial Narrow&quot;"/>
    </font>
    <font/>
    <font>
      <b/>
      <sz val="19.0"/>
      <color theme="1"/>
      <name val="&quot;Arial Narrow&quot;"/>
    </font>
    <font>
      <u/>
      <color rgb="FF0000FF"/>
      <name val="&quot;Arial Narrow&quot;"/>
    </font>
    <font>
      <u/>
      <color rgb="FF0000FF"/>
      <name val="&quot;Arial Narrow&quot;"/>
    </font>
    <font>
      <u/>
      <color rgb="FF0000FF"/>
      <name val="&quot;Arial Narrow&quot;"/>
    </font>
    <font>
      <u/>
      <color rgb="FF0000FF"/>
      <name val="&quot;Arial Narrow&quot;"/>
    </font>
    <font>
      <u/>
      <sz val="11.0"/>
      <color rgb="FF0000FF"/>
      <name val="Calibri"/>
    </font>
    <font>
      <u/>
      <color rgb="FF0000FF"/>
      <name val="&quot;Arial Narrow&quot;"/>
    </font>
    <font>
      <b/>
      <sz val="21.0"/>
      <color theme="1"/>
      <name val="&quot;Arial Narrow&quot;"/>
    </font>
    <font>
      <b/>
      <sz val="12.0"/>
      <color theme="1"/>
      <name val="&quot;Arial Narrow&quot;"/>
    </font>
    <font>
      <u/>
      <color rgb="FF0000FF"/>
      <name val="&quot;Arial Narrow&quot;"/>
    </font>
    <font>
      <u/>
      <sz val="11.0"/>
      <color rgb="FF0000FF"/>
      <name val="Calibri"/>
    </font>
    <font>
      <u/>
      <sz val="11.0"/>
      <color rgb="FF0000FF"/>
      <name val="&quot;Arial Narrow&quot;"/>
    </font>
    <font>
      <sz val="11.0"/>
      <color theme="1"/>
      <name val="&quot;Arial Narrow&quot;"/>
    </font>
    <font>
      <u/>
      <color rgb="FF0000FF"/>
      <name val="&quot;Arial Narrow&quot;"/>
    </font>
    <font>
      <u/>
      <color rgb="FF0000FF"/>
      <name val="&quot;Arial Narrow&quot;"/>
    </font>
    <font>
      <b/>
      <sz val="11.0"/>
      <color theme="1"/>
      <name val="Calibri"/>
    </font>
    <font>
      <sz val="9.0"/>
      <color theme="0"/>
      <name val="Calibri"/>
    </font>
    <font>
      <b/>
      <sz val="9.0"/>
      <color theme="0"/>
      <name val="Calibri"/>
    </font>
    <font>
      <b/>
      <sz val="9.0"/>
      <color rgb="FFFFFFFF"/>
      <name val="Calibri"/>
    </font>
    <font>
      <sz val="9.0"/>
      <color rgb="FFFFFFFF"/>
      <name val="Calibri"/>
    </font>
    <font>
      <sz val="6.0"/>
      <color theme="1"/>
      <name val="Calibri"/>
    </font>
    <font>
      <sz val="9.0"/>
      <color theme="1"/>
      <name val="Calibri"/>
    </font>
    <font>
      <sz val="9.0"/>
      <color rgb="FF000000"/>
      <name val="Arial"/>
    </font>
    <font>
      <sz val="9.0"/>
      <color rgb="FF000000"/>
      <name val="Calibri"/>
    </font>
    <font>
      <sz val="9.0"/>
      <color rgb="FFFF0000"/>
      <name val="Calibri"/>
    </font>
    <font>
      <b/>
      <sz val="9.0"/>
      <color theme="1"/>
      <name val="Calibri"/>
    </font>
    <font>
      <sz val="9.0"/>
      <color theme="9"/>
      <name val="Calibri"/>
    </font>
    <font>
      <sz val="9.0"/>
      <color rgb="FF1F4E78"/>
      <name val="Calibri"/>
    </font>
    <font>
      <sz val="9.0"/>
      <color rgb="FF00B050"/>
      <name val="Calibri"/>
    </font>
    <font>
      <strike/>
      <sz val="9.0"/>
      <color theme="1"/>
      <name val="Calibri"/>
    </font>
    <font>
      <b/>
      <sz val="9.0"/>
      <color rgb="FFFF0000"/>
      <name val="Calibri"/>
    </font>
    <font>
      <sz val="9.0"/>
      <color rgb="FF002060"/>
      <name val="Calibri"/>
    </font>
    <font>
      <sz val="9.0"/>
      <color rgb="FF1F1F1F"/>
      <name val="&quot;Google Sans&quot;"/>
    </font>
    <font>
      <sz val="9.0"/>
      <color theme="1"/>
      <name val="Arial"/>
    </font>
    <font>
      <sz val="9.0"/>
      <color rgb="FF70AD47"/>
      <name val="Calibri"/>
    </font>
    <font>
      <sz val="9.0"/>
      <color rgb="FF0070C0"/>
      <name val="Calibri"/>
    </font>
    <font>
      <u/>
      <color rgb="FF0000FF"/>
    </font>
    <font>
      <sz val="7.0"/>
      <color theme="1"/>
      <name val="Calibri"/>
      <scheme val="minor"/>
    </font>
    <font>
      <b/>
      <color theme="1"/>
      <name val="Calibri"/>
      <scheme val="minor"/>
    </font>
    <font>
      <b/>
      <color rgb="FFFFFFFF"/>
      <name val="Calibri"/>
      <scheme val="minor"/>
    </font>
    <font>
      <b/>
      <i/>
      <color theme="1"/>
      <name val="Arial Narrow"/>
    </font>
    <font>
      <b/>
      <sz val="11.0"/>
      <color theme="1"/>
      <name val="&quot;Arial Narrow&quot;"/>
    </font>
    <font>
      <b/>
      <u/>
      <color rgb="FF0000FF"/>
    </font>
    <font>
      <i/>
      <sz val="11.0"/>
      <color theme="1"/>
      <name val="Calibri"/>
    </font>
    <font>
      <sz val="11.0"/>
      <color rgb="FFFFFFFF"/>
      <name val="Calibri"/>
    </font>
    <font>
      <i/>
      <sz val="11.0"/>
      <color theme="1"/>
      <name val="Arial"/>
    </font>
    <font>
      <sz val="11.0"/>
      <color rgb="FFFFFFFF"/>
      <name val="Arial"/>
    </font>
    <font>
      <sz val="11.0"/>
      <color theme="1"/>
      <name val="Arial"/>
    </font>
    <font>
      <color rgb="FF000000"/>
      <name val="&quot;Times New Roman&quot;"/>
    </font>
    <font>
      <b/>
      <sz val="11.0"/>
      <color theme="1"/>
      <name val="Arial"/>
    </font>
    <font>
      <sz val="8.0"/>
      <color theme="1"/>
      <name val="Arial Narrow"/>
    </font>
    <font>
      <u/>
      <sz val="8.0"/>
      <color rgb="FF0563C1"/>
    </font>
    <font>
      <b/>
      <color rgb="FF000000"/>
      <name val="Arial Narrow"/>
    </font>
  </fonts>
  <fills count="62">
    <fill>
      <patternFill patternType="none"/>
    </fill>
    <fill>
      <patternFill patternType="lightGray"/>
    </fill>
    <fill>
      <patternFill patternType="solid">
        <fgColor rgb="FF4DD0E1"/>
        <bgColor rgb="FF4DD0E1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4F81BD"/>
        <bgColor rgb="FF4F81BD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4A86E8"/>
        <bgColor rgb="FF4A86E8"/>
      </patternFill>
    </fill>
    <fill>
      <patternFill patternType="solid">
        <fgColor rgb="FFDBE5F1"/>
        <bgColor rgb="FFDBE5F1"/>
      </patternFill>
    </fill>
    <fill>
      <patternFill patternType="solid">
        <fgColor rgb="FF002060"/>
        <bgColor rgb="FF002060"/>
      </patternFill>
    </fill>
    <fill>
      <patternFill patternType="solid">
        <fgColor rgb="FF2F5496"/>
        <bgColor rgb="FF2F5496"/>
      </patternFill>
    </fill>
    <fill>
      <patternFill patternType="solid">
        <fgColor rgb="FF222A35"/>
        <bgColor rgb="FF222A35"/>
      </patternFill>
    </fill>
    <fill>
      <patternFill patternType="solid">
        <fgColor theme="4"/>
        <bgColor theme="4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rgb="FF7030A0"/>
        <bgColor rgb="FF7030A0"/>
      </patternFill>
    </fill>
    <fill>
      <patternFill patternType="solid">
        <fgColor rgb="FF7F7F7F"/>
        <bgColor rgb="FF7F7F7F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rgb="FF00B0F0"/>
        <bgColor rgb="FF00B0F0"/>
      </patternFill>
    </fill>
    <fill>
      <patternFill patternType="solid">
        <fgColor rgb="FF833C0B"/>
        <bgColor rgb="FF833C0B"/>
      </patternFill>
    </fill>
    <fill>
      <patternFill patternType="solid">
        <fgColor rgb="FF385623"/>
        <bgColor rgb="FF385623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  <fill>
      <patternFill patternType="solid">
        <fgColor rgb="FFFFD966"/>
        <bgColor rgb="FFFFD966"/>
      </patternFill>
    </fill>
    <fill>
      <patternFill patternType="solid">
        <fgColor rgb="FFCCCCCC"/>
        <bgColor rgb="FFCCCCCC"/>
      </patternFill>
    </fill>
    <fill>
      <patternFill patternType="solid">
        <fgColor rgb="FFCC4125"/>
        <bgColor rgb="FFCC4125"/>
      </patternFill>
    </fill>
    <fill>
      <patternFill patternType="solid">
        <fgColor rgb="FFB45F06"/>
        <bgColor rgb="FFB45F06"/>
      </patternFill>
    </fill>
    <fill>
      <patternFill patternType="solid">
        <fgColor rgb="FFFEF2CB"/>
        <bgColor rgb="FFFEF2CB"/>
      </patternFill>
    </fill>
    <fill>
      <patternFill patternType="solid">
        <fgColor rgb="FFBDBDBD"/>
        <bgColor rgb="FFBDBDBD"/>
      </patternFill>
    </fill>
    <fill>
      <patternFill patternType="solid">
        <fgColor rgb="FF9900FF"/>
        <bgColor rgb="FF9900FF"/>
      </patternFill>
    </fill>
    <fill>
      <patternFill patternType="solid">
        <fgColor rgb="FFFF9900"/>
        <bgColor rgb="FFFF9900"/>
      </patternFill>
    </fill>
    <fill>
      <patternFill patternType="solid">
        <fgColor rgb="FF3D85C6"/>
        <bgColor rgb="FF3D85C6"/>
      </patternFill>
    </fill>
    <fill>
      <patternFill patternType="solid">
        <fgColor rgb="FF93C47D"/>
        <bgColor rgb="FF93C47D"/>
      </patternFill>
    </fill>
    <fill>
      <patternFill patternType="solid">
        <fgColor rgb="FFF1C232"/>
        <bgColor rgb="FFF1C232"/>
      </patternFill>
    </fill>
    <fill>
      <patternFill patternType="solid">
        <fgColor rgb="FFB7B7B7"/>
        <bgColor rgb="FFB7B7B7"/>
      </patternFill>
    </fill>
    <fill>
      <patternFill patternType="solid">
        <fgColor rgb="FFFFC7CE"/>
        <bgColor rgb="FFFFC7CE"/>
      </patternFill>
    </fill>
    <fill>
      <patternFill patternType="solid">
        <fgColor rgb="FFE69138"/>
        <bgColor rgb="FFE69138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6B26B"/>
        <bgColor rgb="FFF6B26B"/>
      </patternFill>
    </fill>
    <fill>
      <patternFill patternType="solid">
        <fgColor rgb="FFF4CCCC"/>
        <bgColor rgb="FFF4CCCC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rgb="FFE0F7FA"/>
        <bgColor rgb="FFE0F7FA"/>
      </patternFill>
    </fill>
    <fill>
      <patternFill patternType="solid">
        <fgColor rgb="FF000000"/>
        <bgColor rgb="FF000000"/>
      </patternFill>
    </fill>
    <fill>
      <patternFill patternType="solid">
        <fgColor rgb="FFD9E0E8"/>
        <bgColor rgb="FFD9E0E8"/>
      </patternFill>
    </fill>
    <fill>
      <patternFill patternType="solid">
        <fgColor rgb="FF6883A4"/>
        <bgColor rgb="FF6883A4"/>
      </patternFill>
    </fill>
    <fill>
      <patternFill patternType="solid">
        <fgColor rgb="FFD8DEE8"/>
        <bgColor rgb="FFD8DEE8"/>
      </patternFill>
    </fill>
    <fill>
      <patternFill patternType="solid">
        <fgColor rgb="FF657BA3"/>
        <bgColor rgb="FF657BA3"/>
      </patternFill>
    </fill>
    <fill>
      <patternFill patternType="solid">
        <fgColor rgb="FFF2F5F7"/>
        <bgColor rgb="FFF2F5F7"/>
      </patternFill>
    </fill>
    <fill>
      <patternFill patternType="solid">
        <fgColor rgb="FFF2F4F7"/>
        <bgColor rgb="FFF2F4F7"/>
      </patternFill>
    </fill>
    <fill>
      <patternFill patternType="solid">
        <fgColor rgb="FFD0E0E3"/>
        <bgColor rgb="FFD0E0E3"/>
      </patternFill>
    </fill>
  </fills>
  <borders count="90">
    <border/>
    <border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/>
      <right/>
      <top/>
      <bottom style="thin">
        <color rgb="FF8EAADB"/>
      </bottom>
    </border>
    <border>
      <left style="thick">
        <color rgb="FF000000"/>
      </left>
    </border>
    <border>
      <left style="thick">
        <color rgb="FF000000"/>
      </left>
      <bottom style="thick">
        <color rgb="FF000000"/>
      </bottom>
    </border>
    <border>
      <top style="double">
        <color rgb="FF000000"/>
      </top>
    </border>
    <border>
      <bottom style="medium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bottom style="thin">
        <color rgb="FF8EA9DB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9BC2E6"/>
      </bottom>
    </border>
    <border>
      <bottom style="thin">
        <color rgb="FF5B9BD5"/>
      </bottom>
    </border>
    <border>
      <left/>
      <top/>
    </border>
    <border>
      <top/>
    </border>
    <border>
      <right style="thin">
        <color theme="0"/>
      </right>
      <top/>
    </border>
    <border>
      <left style="thin">
        <color theme="0"/>
      </left>
      <top/>
    </border>
    <border>
      <left style="medium">
        <color rgb="FF434343"/>
      </left>
      <right/>
      <top style="medium">
        <color rgb="FF434343"/>
      </top>
      <bottom/>
    </border>
    <border>
      <left style="thin">
        <color theme="0"/>
      </left>
      <top style="medium">
        <color rgb="FF434343"/>
      </top>
    </border>
    <border>
      <top style="medium">
        <color rgb="FF434343"/>
      </top>
    </border>
    <border>
      <right style="thin">
        <color theme="0"/>
      </right>
      <top style="medium">
        <color rgb="FF434343"/>
      </top>
    </border>
    <border>
      <left style="thin">
        <color theme="0"/>
      </left>
      <right style="thin">
        <color theme="0"/>
      </right>
      <top style="medium">
        <color rgb="FF434343"/>
      </top>
      <bottom/>
    </border>
    <border>
      <left/>
      <right/>
      <top style="medium">
        <color rgb="FF434343"/>
      </top>
      <bottom/>
    </border>
    <border>
      <right style="medium">
        <color rgb="FF434343"/>
      </right>
      <top style="medium">
        <color rgb="FF434343"/>
      </top>
    </border>
    <border>
      <left style="medium">
        <color rgb="FF434343"/>
      </left>
      <right/>
      <top style="medium">
        <color rgb="FF434343"/>
      </top>
      <bottom style="thin">
        <color rgb="FF8EAADB"/>
      </bottom>
    </border>
    <border>
      <left/>
      <right style="medium">
        <color rgb="FF434343"/>
      </right>
      <top style="medium">
        <color rgb="FF434343"/>
      </top>
      <bottom style="thin">
        <color rgb="FF8EAADB"/>
      </bottom>
    </border>
    <border>
      <left/>
      <bottom/>
    </border>
    <border>
      <bottom/>
    </border>
    <border>
      <right style="thin">
        <color theme="0"/>
      </right>
      <bottom/>
    </border>
    <border>
      <left style="thin">
        <color theme="0"/>
      </left>
      <bottom/>
    </border>
    <border>
      <left style="medium">
        <color rgb="FF434343"/>
      </left>
      <right/>
      <top/>
      <bottom/>
    </border>
    <border>
      <left style="thin">
        <color theme="0"/>
      </left>
      <right style="thin">
        <color theme="0"/>
      </right>
      <top/>
      <bottom/>
    </border>
    <border>
      <left/>
      <right/>
      <top/>
      <bottom/>
    </border>
    <border>
      <right style="medium">
        <color rgb="FF434343"/>
      </right>
    </border>
    <border>
      <left style="medium">
        <color rgb="FF434343"/>
      </left>
      <top style="thin">
        <color rgb="FF8EAADB"/>
      </top>
      <bottom style="thin">
        <color rgb="FF8EAADB"/>
      </bottom>
    </border>
    <border>
      <right style="medium">
        <color rgb="FF434343"/>
      </right>
      <top style="thin">
        <color rgb="FF8EAADB"/>
      </top>
      <bottom style="thin">
        <color rgb="FF8EAADB"/>
      </bottom>
    </border>
    <border>
      <left/>
      <right/>
      <top/>
    </border>
    <border>
      <left/>
      <right style="thin">
        <color theme="0"/>
      </right>
      <top/>
    </border>
    <border>
      <left style="medium">
        <color rgb="FF434343"/>
      </left>
      <right/>
      <top/>
    </border>
    <border>
      <left/>
      <right style="medium">
        <color rgb="FF434343"/>
      </right>
      <top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434343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434343"/>
      </right>
      <top style="thin">
        <color rgb="FF000000"/>
      </top>
      <bottom style="thin">
        <color rgb="FF000000"/>
      </bottom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</border>
    <border>
      <left style="medium">
        <color rgb="FF434343"/>
      </left>
      <right style="thin">
        <color rgb="FF000000"/>
      </right>
      <bottom/>
    </border>
    <border>
      <left/>
      <right/>
      <bottom/>
    </border>
    <border>
      <left/>
      <right style="thin">
        <color rgb="FF000000"/>
      </right>
      <bottom/>
    </border>
    <border>
      <left style="thin">
        <color rgb="FF000000"/>
      </left>
      <right style="medium">
        <color rgb="FF434343"/>
      </right>
      <bottom/>
    </border>
    <border>
      <left style="medium">
        <color rgb="FF434343"/>
      </left>
    </border>
    <border>
      <left style="medium">
        <color rgb="FF434343"/>
      </left>
      <right style="thin">
        <color rgb="FF000000"/>
      </right>
      <top/>
      <bottom style="medium">
        <color rgb="FF434343"/>
      </bottom>
    </border>
    <border>
      <bottom style="medium">
        <color rgb="FF434343"/>
      </bottom>
    </border>
    <border>
      <left/>
      <right/>
      <top/>
      <bottom style="medium">
        <color rgb="FF434343"/>
      </bottom>
    </border>
    <border>
      <left/>
      <right style="thin">
        <color rgb="FF000000"/>
      </right>
      <top/>
      <bottom style="medium">
        <color rgb="FF434343"/>
      </bottom>
    </border>
    <border>
      <left style="thin">
        <color rgb="FF000000"/>
      </left>
      <right style="medium">
        <color rgb="FF434343"/>
      </right>
      <bottom style="medium">
        <color rgb="FF434343"/>
      </bottom>
    </border>
    <border>
      <left style="medium">
        <color rgb="FF434343"/>
      </left>
      <right style="thin">
        <color rgb="FF000000"/>
      </right>
      <bottom style="medium">
        <color rgb="FF434343"/>
      </bottom>
    </border>
    <border>
      <right style="medium">
        <color rgb="FF000000"/>
      </right>
      <bottom style="medium">
        <color rgb="FF000000"/>
      </bottom>
    </border>
    <border>
      <left/>
      <right/>
      <top style="thin">
        <color rgb="FF8EAADB"/>
      </top>
      <bottom style="thin">
        <color rgb="FF8EAADB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434343"/>
      </left>
      <right style="thin">
        <color rgb="FF434343"/>
      </right>
      <top style="thin">
        <color rgb="FF434343"/>
      </top>
      <bottom style="thin">
        <color rgb="FF434343"/>
      </bottom>
    </border>
    <border>
      <lef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/>
      <top/>
    </border>
    <border>
      <left style="thin">
        <color rgb="FF8EA9DB"/>
      </left>
      <right style="thin">
        <color rgb="FF8EA9DB"/>
      </right>
    </border>
    <border>
      <left style="thin">
        <color rgb="FF8EA9DB"/>
      </left>
      <right style="thin">
        <color rgb="FF8EA9DB"/>
      </right>
      <top style="thin">
        <color rgb="FF8EA9DB"/>
      </top>
      <bottom style="thin">
        <color rgb="FF8EA9DB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bottom style="thick">
        <color rgb="FF6883A4"/>
      </bottom>
    </border>
    <border>
      <bottom style="thick">
        <color rgb="FF657BA3"/>
      </bottom>
    </border>
    <border>
      <right style="thin">
        <color rgb="FFFFFFFF"/>
      </right>
    </border>
    <border>
      <right style="thin">
        <color rgb="FFFFFFFF"/>
      </right>
      <bottom style="double">
        <color rgb="FF000000"/>
      </bottom>
    </border>
    <border>
      <bottom style="double">
        <color rgb="FF000000"/>
      </bottom>
    </border>
    <border>
      <top style="thin">
        <color rgb="FF5B9BD5"/>
      </top>
      <bottom style="thin">
        <color rgb="FF5B9BD5"/>
      </bottom>
    </border>
  </borders>
  <cellStyleXfs count="1">
    <xf borderId="0" fillId="0" fontId="0" numFmtId="0" applyAlignment="1" applyFont="1"/>
  </cellStyleXfs>
  <cellXfs count="115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1" fillId="0" fontId="5" numFmtId="0" xfId="0" applyAlignment="1" applyBorder="1" applyFont="1">
      <alignment horizontal="right" readingOrder="0"/>
    </xf>
    <xf borderId="2" fillId="2" fontId="4" numFmtId="0" xfId="0" applyAlignment="1" applyBorder="1" applyFill="1" applyFont="1">
      <alignment readingOrder="0"/>
    </xf>
    <xf borderId="0" fillId="0" fontId="4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3" fillId="3" fontId="2" numFmtId="0" xfId="0" applyBorder="1" applyFill="1" applyFont="1"/>
    <xf borderId="0" fillId="0" fontId="5" numFmtId="0" xfId="0" applyAlignment="1" applyFont="1">
      <alignment readingOrder="0"/>
    </xf>
    <xf borderId="1" fillId="0" fontId="5" numFmtId="0" xfId="0" applyAlignment="1" applyBorder="1" applyFont="1">
      <alignment readingOrder="0"/>
    </xf>
    <xf borderId="1" fillId="0" fontId="5" numFmtId="0" xfId="0" applyAlignment="1" applyBorder="1" applyFont="1">
      <alignment horizontal="right" readingOrder="0" shrinkToFit="0" wrapText="1"/>
    </xf>
    <xf borderId="0" fillId="0" fontId="5" numFmtId="0" xfId="0" applyFont="1"/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readingOrder="0"/>
    </xf>
    <xf borderId="0" fillId="2" fontId="4" numFmtId="4" xfId="0" applyAlignment="1" applyFont="1" applyNumberFormat="1">
      <alignment readingOrder="0"/>
    </xf>
    <xf borderId="4" fillId="2" fontId="4" numFmtId="4" xfId="0" applyAlignment="1" applyBorder="1" applyFont="1" applyNumberFormat="1">
      <alignment readingOrder="0"/>
    </xf>
    <xf borderId="0" fillId="4" fontId="4" numFmtId="0" xfId="0" applyAlignment="1" applyFill="1" applyFont="1">
      <alignment horizontal="left" readingOrder="0"/>
    </xf>
    <xf borderId="0" fillId="4" fontId="7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2" fontId="4" numFmtId="4" xfId="0" applyFont="1" applyNumberFormat="1"/>
    <xf borderId="0" fillId="0" fontId="2" numFmtId="0" xfId="0" applyAlignment="1" applyFont="1">
      <alignment horizontal="left" shrinkToFit="0" wrapText="1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4" numFmtId="4" xfId="0" applyFont="1" applyNumberFormat="1"/>
    <xf borderId="0" fillId="0" fontId="9" numFmtId="0" xfId="0" applyAlignment="1" applyFont="1">
      <alignment horizontal="left" readingOrder="0"/>
    </xf>
    <xf borderId="0" fillId="5" fontId="2" numFmtId="0" xfId="0" applyAlignment="1" applyFill="1" applyFont="1">
      <alignment horizontal="left" readingOrder="0"/>
    </xf>
    <xf borderId="0" fillId="0" fontId="10" numFmtId="0" xfId="0" applyAlignment="1" applyFont="1">
      <alignment horizontal="left" readingOrder="0" shrinkToFit="0" wrapText="1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left" readingOrder="0"/>
    </xf>
    <xf borderId="0" fillId="0" fontId="11" numFmtId="0" xfId="0" applyAlignment="1" applyFont="1">
      <alignment horizontal="left" readingOrder="0"/>
    </xf>
    <xf borderId="0" fillId="6" fontId="4" numFmtId="4" xfId="0" applyAlignment="1" applyFill="1" applyFont="1" applyNumberFormat="1">
      <alignment readingOrder="0"/>
    </xf>
    <xf borderId="4" fillId="5" fontId="4" numFmtId="4" xfId="0" applyAlignment="1" applyBorder="1" applyFont="1" applyNumberFormat="1">
      <alignment readingOrder="0"/>
    </xf>
    <xf borderId="0" fillId="0" fontId="2" numFmtId="0" xfId="0" applyAlignment="1" applyFont="1">
      <alignment horizontal="left" readingOrder="0" shrinkToFit="0" wrapText="1"/>
    </xf>
    <xf borderId="0" fillId="0" fontId="12" numFmtId="0" xfId="0" applyAlignment="1" applyFont="1">
      <alignment horizontal="left" readingOrder="0" shrinkToFit="0" wrapText="1"/>
    </xf>
    <xf borderId="0" fillId="0" fontId="13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0" fontId="4" numFmtId="4" xfId="0" applyAlignment="1" applyFont="1" applyNumberFormat="1">
      <alignment readingOrder="0"/>
    </xf>
    <xf borderId="4" fillId="0" fontId="4" numFmtId="4" xfId="0" applyAlignment="1" applyBorder="1" applyFont="1" applyNumberFormat="1">
      <alignment readingOrder="0"/>
    </xf>
    <xf borderId="0" fillId="7" fontId="4" numFmtId="4" xfId="0" applyAlignment="1" applyFill="1" applyFont="1" applyNumberFormat="1">
      <alignment readingOrder="0"/>
    </xf>
    <xf borderId="0" fillId="0" fontId="4" numFmtId="0" xfId="0" applyAlignment="1" applyFont="1">
      <alignment readingOrder="0" shrinkToFit="0" wrapText="1"/>
    </xf>
    <xf borderId="1" fillId="0" fontId="14" numFmtId="0" xfId="0" applyAlignment="1" applyBorder="1" applyFont="1">
      <alignment horizontal="left" readingOrder="0" shrinkToFit="0" wrapText="1"/>
    </xf>
    <xf borderId="0" fillId="0" fontId="2" numFmtId="4" xfId="0" applyAlignment="1" applyFont="1" applyNumberFormat="1">
      <alignment horizontal="right"/>
    </xf>
    <xf borderId="0" fillId="0" fontId="2" numFmtId="164" xfId="0" applyAlignment="1" applyFont="1" applyNumberFormat="1">
      <alignment horizontal="left" readingOrder="0"/>
    </xf>
    <xf borderId="0" fillId="5" fontId="15" numFmtId="0" xfId="0" applyAlignment="1" applyFont="1">
      <alignment horizontal="left" readingOrder="0"/>
    </xf>
    <xf borderId="0" fillId="5" fontId="4" numFmtId="4" xfId="0" applyAlignment="1" applyFont="1" applyNumberFormat="1">
      <alignment readingOrder="0"/>
    </xf>
    <xf borderId="0" fillId="0" fontId="2" numFmtId="0" xfId="0" applyAlignment="1" applyFont="1">
      <alignment horizontal="left" readingOrder="0" shrinkToFit="0" wrapText="1"/>
    </xf>
    <xf borderId="0" fillId="5" fontId="16" numFmtId="0" xfId="0" applyAlignment="1" applyFont="1">
      <alignment horizontal="left" readingOrder="0"/>
    </xf>
    <xf borderId="1" fillId="0" fontId="4" numFmtId="0" xfId="0" applyBorder="1" applyFont="1"/>
    <xf borderId="1" fillId="0" fontId="4" numFmtId="0" xfId="0" applyAlignment="1" applyBorder="1" applyFont="1">
      <alignment readingOrder="0"/>
    </xf>
    <xf borderId="5" fillId="0" fontId="4" numFmtId="0" xfId="0" applyAlignment="1" applyBorder="1" applyFont="1">
      <alignment readingOrder="0"/>
    </xf>
    <xf borderId="0" fillId="0" fontId="17" numFmtId="0" xfId="0" applyAlignment="1" applyFont="1">
      <alignment horizontal="left" readingOrder="0"/>
    </xf>
    <xf borderId="0" fillId="0" fontId="5" numFmtId="4" xfId="0" applyFont="1" applyNumberFormat="1"/>
    <xf borderId="4" fillId="0" fontId="5" numFmtId="4" xfId="0" applyBorder="1" applyFont="1" applyNumberFormat="1"/>
    <xf borderId="0" fillId="0" fontId="4" numFmtId="4" xfId="0" applyAlignment="1" applyFont="1" applyNumberFormat="1">
      <alignment shrinkToFit="0" wrapText="1"/>
    </xf>
    <xf borderId="0" fillId="0" fontId="4" numFmtId="10" xfId="0" applyFont="1" applyNumberFormat="1"/>
    <xf borderId="0" fillId="0" fontId="2" numFmtId="0" xfId="0" applyAlignment="1" applyFont="1">
      <alignment horizontal="right" readingOrder="0"/>
    </xf>
    <xf borderId="0" fillId="0" fontId="17" numFmtId="0" xfId="0" applyAlignment="1" applyFont="1">
      <alignment horizontal="right" readingOrder="0"/>
    </xf>
    <xf borderId="0" fillId="2" fontId="4" numFmtId="4" xfId="0" applyAlignment="1" applyFont="1" applyNumberFormat="1">
      <alignment readingOrder="0" shrinkToFit="0" wrapText="1"/>
    </xf>
    <xf borderId="0" fillId="0" fontId="2" numFmtId="4" xfId="0" applyAlignment="1" applyFont="1" applyNumberFormat="1">
      <alignment horizontal="left" shrinkToFit="0" wrapText="1"/>
    </xf>
    <xf borderId="0" fillId="2" fontId="4" numFmtId="4" xfId="0" applyAlignment="1" applyFont="1" applyNumberFormat="1">
      <alignment horizontal="right" readingOrder="0"/>
    </xf>
    <xf borderId="6" fillId="0" fontId="18" numFmtId="4" xfId="0" applyAlignment="1" applyBorder="1" applyFont="1" applyNumberFormat="1">
      <alignment horizontal="right" readingOrder="0" shrinkToFit="0" vertical="bottom" wrapText="0"/>
    </xf>
    <xf borderId="0" fillId="0" fontId="19" numFmtId="0" xfId="0" applyAlignment="1" applyFont="1">
      <alignment horizontal="left" readingOrder="0"/>
    </xf>
    <xf borderId="0" fillId="0" fontId="2" numFmtId="4" xfId="0" applyAlignment="1" applyFont="1" applyNumberFormat="1">
      <alignment horizontal="left"/>
    </xf>
    <xf borderId="7" fillId="0" fontId="5" numFmtId="0" xfId="0" applyAlignment="1" applyBorder="1" applyFont="1">
      <alignment readingOrder="0"/>
    </xf>
    <xf borderId="7" fillId="0" fontId="5" numFmtId="0" xfId="0" applyAlignment="1" applyBorder="1" applyFont="1">
      <alignment readingOrder="0" shrinkToFit="0" wrapText="1"/>
    </xf>
    <xf borderId="7" fillId="0" fontId="4" numFmtId="0" xfId="0" applyAlignment="1" applyBorder="1" applyFont="1">
      <alignment shrinkToFit="0" wrapText="1"/>
    </xf>
    <xf borderId="8" fillId="0" fontId="4" numFmtId="0" xfId="0" applyBorder="1" applyFont="1"/>
    <xf borderId="9" fillId="0" fontId="5" numFmtId="0" xfId="0" applyAlignment="1" applyBorder="1" applyFont="1">
      <alignment horizontal="right" readingOrder="0"/>
    </xf>
    <xf borderId="0" fillId="0" fontId="4" numFmtId="4" xfId="0" applyAlignment="1" applyFont="1" applyNumberFormat="1">
      <alignment readingOrder="0" shrinkToFit="0" wrapText="1"/>
    </xf>
    <xf borderId="6" fillId="0" fontId="4" numFmtId="165" xfId="0" applyAlignment="1" applyBorder="1" applyFont="1" applyNumberFormat="1">
      <alignment readingOrder="0"/>
    </xf>
    <xf borderId="0" fillId="0" fontId="4" numFmtId="165" xfId="0" applyFont="1" applyNumberFormat="1"/>
    <xf borderId="6" fillId="0" fontId="4" numFmtId="165" xfId="0" applyBorder="1" applyFont="1" applyNumberFormat="1"/>
    <xf borderId="6" fillId="0" fontId="4" numFmtId="4" xfId="0" applyBorder="1" applyFont="1" applyNumberFormat="1"/>
    <xf borderId="6" fillId="0" fontId="4" numFmtId="0" xfId="0" applyBorder="1" applyFont="1"/>
    <xf borderId="2" fillId="0" fontId="1" numFmtId="4" xfId="0" applyBorder="1" applyFont="1" applyNumberFormat="1"/>
    <xf borderId="0" fillId="0" fontId="5" numFmtId="0" xfId="0" applyAlignment="1" applyFont="1">
      <alignment horizontal="right" readingOrder="0"/>
    </xf>
    <xf borderId="0" fillId="0" fontId="4" numFmtId="4" xfId="0" applyAlignment="1" applyFont="1" applyNumberFormat="1">
      <alignment horizontal="left" shrinkToFit="0" wrapText="1"/>
    </xf>
    <xf borderId="0" fillId="0" fontId="4" numFmtId="165" xfId="0" applyAlignment="1" applyFont="1" applyNumberFormat="1">
      <alignment readingOrder="0" shrinkToFit="0" wrapText="1"/>
    </xf>
    <xf borderId="10" fillId="0" fontId="4" numFmtId="4" xfId="0" applyBorder="1" applyFont="1" applyNumberFormat="1"/>
    <xf borderId="10" fillId="0" fontId="4" numFmtId="4" xfId="0" applyAlignment="1" applyBorder="1" applyFont="1" applyNumberFormat="1">
      <alignment shrinkToFit="0" wrapText="1"/>
    </xf>
    <xf borderId="2" fillId="0" fontId="5" numFmtId="0" xfId="0" applyAlignment="1" applyBorder="1" applyFont="1">
      <alignment horizontal="right" readingOrder="0"/>
    </xf>
    <xf borderId="2" fillId="0" fontId="4" numFmtId="4" xfId="0" applyAlignment="1" applyBorder="1" applyFont="1" applyNumberFormat="1">
      <alignment readingOrder="0"/>
    </xf>
    <xf borderId="8" fillId="0" fontId="5" numFmtId="0" xfId="0" applyAlignment="1" applyBorder="1" applyFont="1">
      <alignment readingOrder="0"/>
    </xf>
    <xf borderId="9" fillId="0" fontId="4" numFmtId="4" xfId="0" applyBorder="1" applyFont="1" applyNumberFormat="1"/>
    <xf borderId="0" fillId="0" fontId="4" numFmtId="9" xfId="0" applyAlignment="1" applyFont="1" applyNumberFormat="1">
      <alignment readingOrder="0"/>
    </xf>
    <xf borderId="0" fillId="0" fontId="5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1" numFmtId="2" xfId="0" applyAlignment="1" applyFont="1" applyNumberFormat="1">
      <alignment shrinkToFit="0" wrapText="1"/>
    </xf>
    <xf borderId="0" fillId="0" fontId="1" numFmtId="0" xfId="0" applyAlignment="1" applyFont="1">
      <alignment shrinkToFit="0" wrapText="1"/>
    </xf>
    <xf borderId="0" fillId="0" fontId="1" numFmtId="49" xfId="0" applyAlignment="1" applyFont="1" applyNumberFormat="1">
      <alignment readingOrder="0"/>
    </xf>
    <xf borderId="0" fillId="0" fontId="1" numFmtId="2" xfId="0" applyAlignment="1" applyFont="1" applyNumberFormat="1">
      <alignment readingOrder="0" shrinkToFit="0" wrapText="1"/>
    </xf>
    <xf borderId="11" fillId="0" fontId="21" numFmtId="49" xfId="0" applyAlignment="1" applyBorder="1" applyFont="1" applyNumberFormat="1">
      <alignment horizontal="right" readingOrder="0"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1" numFmtId="4" xfId="0" applyAlignment="1" applyFont="1" applyNumberFormat="1">
      <alignment horizontal="right" readingOrder="0" shrinkToFit="0" vertical="bottom" wrapText="0"/>
    </xf>
    <xf borderId="0" fillId="0" fontId="22" numFmtId="2" xfId="0" applyAlignment="1" applyFont="1" applyNumberFormat="1">
      <alignment horizontal="right" readingOrder="0" shrinkToFit="0" vertical="bottom" wrapText="0"/>
    </xf>
    <xf borderId="0" fillId="0" fontId="23" numFmtId="166" xfId="0" applyFont="1" applyNumberFormat="1"/>
    <xf borderId="11" fillId="0" fontId="21" numFmtId="49" xfId="0" applyAlignment="1" applyBorder="1" applyFont="1" applyNumberFormat="1">
      <alignment readingOrder="0" shrinkToFit="0" vertical="bottom" wrapText="0"/>
    </xf>
    <xf borderId="0" fillId="0" fontId="1" numFmtId="49" xfId="0" applyFont="1" applyNumberFormat="1"/>
    <xf borderId="0" fillId="0" fontId="1" numFmtId="4" xfId="0" applyFont="1" applyNumberFormat="1"/>
    <xf borderId="0" fillId="0" fontId="24" numFmtId="14" xfId="0" applyAlignment="1" applyFont="1" applyNumberFormat="1">
      <alignment readingOrder="0"/>
    </xf>
    <xf borderId="0" fillId="0" fontId="23" numFmtId="0" xfId="0" applyAlignment="1" applyFont="1">
      <alignment vertical="bottom"/>
    </xf>
    <xf borderId="0" fillId="0" fontId="23" numFmtId="0" xfId="0" applyAlignment="1" applyFont="1">
      <alignment vertical="bottom"/>
    </xf>
    <xf borderId="0" fillId="0" fontId="23" numFmtId="4" xfId="0" applyAlignment="1" applyFont="1" applyNumberFormat="1">
      <alignment vertical="bottom"/>
    </xf>
    <xf borderId="0" fillId="0" fontId="23" numFmtId="167" xfId="0" applyAlignment="1" applyFont="1" applyNumberFormat="1">
      <alignment vertical="bottom"/>
    </xf>
    <xf borderId="0" fillId="0" fontId="25" numFmtId="0" xfId="0" applyAlignment="1" applyFont="1">
      <alignment shrinkToFit="0" wrapText="1"/>
    </xf>
    <xf borderId="0" fillId="0" fontId="26" numFmtId="0" xfId="0" applyFont="1"/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horizontal="center" vertical="bottom"/>
    </xf>
    <xf borderId="7" fillId="0" fontId="23" numFmtId="0" xfId="0" applyAlignment="1" applyBorder="1" applyFont="1">
      <alignment vertical="bottom"/>
    </xf>
    <xf borderId="7" fillId="0" fontId="23" numFmtId="4" xfId="0" applyAlignment="1" applyBorder="1" applyFont="1" applyNumberFormat="1">
      <alignment vertical="bottom"/>
    </xf>
    <xf borderId="12" fillId="0" fontId="23" numFmtId="0" xfId="0" applyAlignment="1" applyBorder="1" applyFont="1">
      <alignment vertical="bottom"/>
    </xf>
    <xf borderId="7" fillId="0" fontId="23" numFmtId="0" xfId="0" applyAlignment="1" applyBorder="1" applyFont="1">
      <alignment vertical="bottom"/>
    </xf>
    <xf borderId="13" fillId="8" fontId="27" numFmtId="0" xfId="0" applyAlignment="1" applyBorder="1" applyFill="1" applyFont="1">
      <alignment horizontal="center" shrinkToFit="0" wrapText="1"/>
    </xf>
    <xf borderId="13" fillId="8" fontId="27" numFmtId="0" xfId="0" applyAlignment="1" applyBorder="1" applyFont="1">
      <alignment horizontal="center" shrinkToFit="0" wrapText="1"/>
    </xf>
    <xf borderId="13" fillId="8" fontId="28" numFmtId="0" xfId="0" applyAlignment="1" applyBorder="1" applyFont="1">
      <alignment horizontal="center" shrinkToFit="0" wrapText="1"/>
    </xf>
    <xf borderId="13" fillId="8" fontId="28" numFmtId="0" xfId="0" applyAlignment="1" applyBorder="1" applyFont="1">
      <alignment horizontal="center" shrinkToFit="0" wrapText="1"/>
    </xf>
    <xf borderId="13" fillId="8" fontId="23" numFmtId="0" xfId="0" applyBorder="1" applyFont="1"/>
    <xf borderId="14" fillId="9" fontId="23" numFmtId="0" xfId="0" applyBorder="1" applyFill="1" applyFont="1"/>
    <xf borderId="15" fillId="9" fontId="23" numFmtId="0" xfId="0" applyBorder="1" applyFont="1"/>
    <xf borderId="15" fillId="9" fontId="29" numFmtId="0" xfId="0" applyAlignment="1" applyBorder="1" applyFont="1">
      <alignment shrinkToFit="0" wrapText="1"/>
    </xf>
    <xf borderId="13" fillId="9" fontId="30" numFmtId="168" xfId="0" applyAlignment="1" applyBorder="1" applyFont="1" applyNumberFormat="1">
      <alignment horizontal="right"/>
    </xf>
    <xf borderId="15" fillId="9" fontId="23" numFmtId="168" xfId="0" applyBorder="1" applyFont="1" applyNumberFormat="1"/>
    <xf borderId="13" fillId="9" fontId="23" numFmtId="168" xfId="0" applyBorder="1" applyFont="1" applyNumberFormat="1"/>
    <xf borderId="13" fillId="9" fontId="23" numFmtId="0" xfId="0" applyBorder="1" applyFont="1"/>
    <xf borderId="13" fillId="9" fontId="30" numFmtId="0" xfId="0" applyAlignment="1" applyBorder="1" applyFont="1">
      <alignment horizontal="center" shrinkToFit="0" wrapText="1"/>
    </xf>
    <xf borderId="15" fillId="9" fontId="30" numFmtId="0" xfId="0" applyAlignment="1" applyBorder="1" applyFont="1">
      <alignment horizontal="center" shrinkToFit="0" wrapText="1"/>
    </xf>
    <xf borderId="13" fillId="9" fontId="23" numFmtId="164" xfId="0" applyBorder="1" applyFont="1" applyNumberFormat="1"/>
    <xf borderId="13" fillId="9" fontId="30" numFmtId="164" xfId="0" applyAlignment="1" applyBorder="1" applyFont="1" applyNumberFormat="1">
      <alignment horizontal="center" shrinkToFit="0" wrapText="1"/>
    </xf>
    <xf borderId="14" fillId="0" fontId="31" numFmtId="0" xfId="0" applyBorder="1" applyFont="1"/>
    <xf borderId="15" fillId="0" fontId="31" numFmtId="0" xfId="0" applyBorder="1" applyFont="1"/>
    <xf borderId="13" fillId="9" fontId="23" numFmtId="167" xfId="0" applyBorder="1" applyFont="1" applyNumberFormat="1"/>
    <xf borderId="16" fillId="0" fontId="31" numFmtId="0" xfId="0" applyBorder="1" applyFont="1"/>
    <xf borderId="13" fillId="0" fontId="31" numFmtId="0" xfId="0" applyBorder="1" applyFont="1"/>
    <xf borderId="16" fillId="9" fontId="23" numFmtId="0" xfId="0" applyBorder="1" applyFont="1"/>
    <xf borderId="13" fillId="9" fontId="23" numFmtId="0" xfId="0" applyBorder="1" applyFont="1"/>
    <xf borderId="13" fillId="9" fontId="29" numFmtId="0" xfId="0" applyAlignment="1" applyBorder="1" applyFont="1">
      <alignment shrinkToFit="0" wrapText="1"/>
    </xf>
    <xf borderId="17" fillId="4" fontId="32" numFmtId="0" xfId="0" applyAlignment="1" applyBorder="1" applyFont="1">
      <alignment horizontal="center" shrinkToFit="0" wrapText="1"/>
    </xf>
    <xf borderId="12" fillId="0" fontId="31" numFmtId="0" xfId="0" applyBorder="1" applyFont="1"/>
    <xf borderId="13" fillId="4" fontId="30" numFmtId="164" xfId="0" applyAlignment="1" applyBorder="1" applyFont="1" applyNumberFormat="1">
      <alignment horizontal="center" shrinkToFit="0" wrapText="1"/>
    </xf>
    <xf borderId="18" fillId="10" fontId="30" numFmtId="0" xfId="0" applyAlignment="1" applyBorder="1" applyFill="1" applyFont="1">
      <alignment horizontal="center" shrinkToFit="0" wrapText="1"/>
    </xf>
    <xf borderId="19" fillId="10" fontId="30" numFmtId="0" xfId="0" applyAlignment="1" applyBorder="1" applyFont="1">
      <alignment shrinkToFit="0" wrapText="1"/>
    </xf>
    <xf borderId="19" fillId="10" fontId="30" numFmtId="0" xfId="0" applyAlignment="1" applyBorder="1" applyFont="1">
      <alignment horizontal="center" shrinkToFit="0" wrapText="1"/>
    </xf>
    <xf borderId="19" fillId="11" fontId="30" numFmtId="0" xfId="0" applyAlignment="1" applyBorder="1" applyFill="1" applyFont="1">
      <alignment shrinkToFit="0" wrapText="1"/>
    </xf>
    <xf borderId="19" fillId="10" fontId="33" numFmtId="168" xfId="0" applyAlignment="1" applyBorder="1" applyFont="1" applyNumberFormat="1">
      <alignment horizontal="right"/>
    </xf>
    <xf borderId="19" fillId="10" fontId="30" numFmtId="0" xfId="0" applyAlignment="1" applyBorder="1" applyFont="1">
      <alignment horizontal="center"/>
    </xf>
    <xf borderId="19" fillId="10" fontId="30" numFmtId="168" xfId="0" applyAlignment="1" applyBorder="1" applyFont="1" applyNumberFormat="1">
      <alignment horizontal="center"/>
    </xf>
    <xf borderId="19" fillId="10" fontId="23" numFmtId="168" xfId="0" applyBorder="1" applyFont="1" applyNumberFormat="1"/>
    <xf borderId="19" fillId="10" fontId="34" numFmtId="168" xfId="0" applyAlignment="1" applyBorder="1" applyFont="1" applyNumberFormat="1">
      <alignment horizontal="center"/>
    </xf>
    <xf borderId="19" fillId="10" fontId="30" numFmtId="167" xfId="0" applyAlignment="1" applyBorder="1" applyFont="1" applyNumberFormat="1">
      <alignment horizontal="center" shrinkToFit="0" wrapText="1"/>
    </xf>
    <xf borderId="19" fillId="10" fontId="30" numFmtId="0" xfId="0" applyAlignment="1" applyBorder="1" applyFont="1">
      <alignment horizontal="center" shrinkToFit="0" wrapText="1"/>
    </xf>
    <xf borderId="13" fillId="4" fontId="30" numFmtId="4" xfId="0" applyAlignment="1" applyBorder="1" applyFont="1" applyNumberFormat="1">
      <alignment horizontal="center" shrinkToFit="0" wrapText="1"/>
    </xf>
    <xf borderId="14" fillId="10" fontId="30" numFmtId="0" xfId="0" applyAlignment="1" applyBorder="1" applyFont="1">
      <alignment horizontal="center" shrinkToFit="0" wrapText="1"/>
    </xf>
    <xf borderId="15" fillId="10" fontId="30" numFmtId="0" xfId="0" applyAlignment="1" applyBorder="1" applyFont="1">
      <alignment shrinkToFit="0" wrapText="1"/>
    </xf>
    <xf borderId="15" fillId="10" fontId="30" numFmtId="0" xfId="0" applyAlignment="1" applyBorder="1" applyFont="1">
      <alignment horizontal="center" shrinkToFit="0" wrapText="1"/>
    </xf>
    <xf borderId="15" fillId="11" fontId="30" numFmtId="0" xfId="0" applyAlignment="1" applyBorder="1" applyFont="1">
      <alignment shrinkToFit="0" wrapText="1"/>
    </xf>
    <xf borderId="13" fillId="10" fontId="35" numFmtId="168" xfId="0" applyAlignment="1" applyBorder="1" applyFont="1" applyNumberFormat="1">
      <alignment horizontal="right"/>
    </xf>
    <xf borderId="15" fillId="10" fontId="30" numFmtId="0" xfId="0" applyAlignment="1" applyBorder="1" applyFont="1">
      <alignment horizontal="center"/>
    </xf>
    <xf borderId="15" fillId="10" fontId="30" numFmtId="168" xfId="0" applyAlignment="1" applyBorder="1" applyFont="1" applyNumberFormat="1">
      <alignment horizontal="center"/>
    </xf>
    <xf borderId="13" fillId="10" fontId="23" numFmtId="168" xfId="0" applyBorder="1" applyFont="1" applyNumberFormat="1"/>
    <xf borderId="13" fillId="10" fontId="23" numFmtId="167" xfId="0" applyBorder="1" applyFont="1" applyNumberFormat="1"/>
    <xf borderId="13" fillId="10" fontId="30" numFmtId="0" xfId="0" applyAlignment="1" applyBorder="1" applyFont="1">
      <alignment horizontal="center" shrinkToFit="0" wrapText="1"/>
    </xf>
    <xf borderId="13" fillId="4" fontId="23" numFmtId="4" xfId="0" applyBorder="1" applyFont="1" applyNumberFormat="1"/>
    <xf borderId="13" fillId="4" fontId="23" numFmtId="164" xfId="0" applyBorder="1" applyFont="1" applyNumberFormat="1"/>
    <xf borderId="13" fillId="10" fontId="23" numFmtId="0" xfId="0" applyBorder="1" applyFont="1"/>
    <xf borderId="13" fillId="10" fontId="30" numFmtId="0" xfId="0" applyAlignment="1" applyBorder="1" applyFont="1">
      <alignment horizontal="center" shrinkToFit="0" wrapText="1"/>
    </xf>
    <xf borderId="13" fillId="10" fontId="30" numFmtId="168" xfId="0" applyAlignment="1" applyBorder="1" applyFont="1" applyNumberFormat="1">
      <alignment horizontal="center"/>
    </xf>
    <xf borderId="13" fillId="10" fontId="30" numFmtId="167" xfId="0" applyAlignment="1" applyBorder="1" applyFont="1" applyNumberFormat="1">
      <alignment horizontal="center" shrinkToFit="0" wrapText="1"/>
    </xf>
    <xf borderId="13" fillId="4" fontId="30" numFmtId="0" xfId="0" applyAlignment="1" applyBorder="1" applyFont="1">
      <alignment horizontal="center" shrinkToFit="0" wrapText="1"/>
    </xf>
    <xf borderId="13" fillId="4" fontId="23" numFmtId="0" xfId="0" applyBorder="1" applyFont="1"/>
    <xf borderId="16" fillId="10" fontId="30" numFmtId="0" xfId="0" applyAlignment="1" applyBorder="1" applyFont="1">
      <alignment horizontal="center" shrinkToFit="0" wrapText="1"/>
    </xf>
    <xf borderId="13" fillId="10" fontId="30" numFmtId="0" xfId="0" applyAlignment="1" applyBorder="1" applyFont="1">
      <alignment shrinkToFit="0" wrapText="1"/>
    </xf>
    <xf borderId="13" fillId="10" fontId="30" numFmtId="0" xfId="0" applyAlignment="1" applyBorder="1" applyFont="1">
      <alignment shrinkToFit="0" wrapText="1"/>
    </xf>
    <xf borderId="13" fillId="11" fontId="30" numFmtId="0" xfId="0" applyAlignment="1" applyBorder="1" applyFont="1">
      <alignment shrinkToFit="0" wrapText="1"/>
    </xf>
    <xf borderId="13" fillId="10" fontId="30" numFmtId="0" xfId="0" applyAlignment="1" applyBorder="1" applyFont="1">
      <alignment horizontal="center"/>
    </xf>
    <xf borderId="13" fillId="4" fontId="30" numFmtId="0" xfId="0" applyAlignment="1" applyBorder="1" applyFont="1">
      <alignment horizontal="center" shrinkToFit="0" wrapText="1"/>
    </xf>
    <xf borderId="13" fillId="10" fontId="30" numFmtId="0" xfId="0" applyAlignment="1" applyBorder="1" applyFont="1">
      <alignment horizontal="center"/>
    </xf>
    <xf borderId="13" fillId="10" fontId="36" numFmtId="168" xfId="0" applyAlignment="1" applyBorder="1" applyFont="1" applyNumberFormat="1">
      <alignment horizontal="center"/>
    </xf>
    <xf borderId="13" fillId="10" fontId="23" numFmtId="0" xfId="0" applyBorder="1" applyFont="1"/>
    <xf borderId="13" fillId="11" fontId="30" numFmtId="0" xfId="0" applyAlignment="1" applyBorder="1" applyFont="1">
      <alignment shrinkToFit="0" wrapText="1"/>
    </xf>
    <xf borderId="13" fillId="12" fontId="30" numFmtId="0" xfId="0" applyAlignment="1" applyBorder="1" applyFill="1" applyFont="1">
      <alignment shrinkToFit="0" wrapText="1"/>
    </xf>
    <xf borderId="13" fillId="10" fontId="30" numFmtId="169" xfId="0" applyAlignment="1" applyBorder="1" applyFont="1" applyNumberFormat="1">
      <alignment horizontal="center" shrinkToFit="0" wrapText="1"/>
    </xf>
    <xf borderId="15" fillId="10" fontId="23" numFmtId="0" xfId="0" applyBorder="1" applyFont="1"/>
    <xf borderId="15" fillId="10" fontId="30" numFmtId="168" xfId="0" applyAlignment="1" applyBorder="1" applyFont="1" applyNumberFormat="1">
      <alignment horizontal="right"/>
    </xf>
    <xf borderId="15" fillId="10" fontId="23" numFmtId="168" xfId="0" applyBorder="1" applyFont="1" applyNumberFormat="1"/>
    <xf borderId="13" fillId="4" fontId="23" numFmtId="0" xfId="0" applyBorder="1" applyFont="1"/>
    <xf borderId="13" fillId="10" fontId="37" numFmtId="4" xfId="0" applyAlignment="1" applyBorder="1" applyFont="1" applyNumberFormat="1">
      <alignment horizontal="right" vertical="bottom"/>
    </xf>
    <xf borderId="13" fillId="10" fontId="23" numFmtId="168" xfId="0" applyAlignment="1" applyBorder="1" applyFont="1" applyNumberFormat="1">
      <alignment vertical="bottom"/>
    </xf>
    <xf borderId="13" fillId="10" fontId="30" numFmtId="168" xfId="0" applyAlignment="1" applyBorder="1" applyFont="1" applyNumberFormat="1">
      <alignment horizontal="right"/>
    </xf>
    <xf borderId="12" fillId="10" fontId="23" numFmtId="168" xfId="0" applyBorder="1" applyFont="1" applyNumberFormat="1"/>
    <xf borderId="12" fillId="10" fontId="30" numFmtId="168" xfId="0" applyAlignment="1" applyBorder="1" applyFont="1" applyNumberFormat="1">
      <alignment horizontal="center" shrinkToFit="0" wrapText="0"/>
    </xf>
    <xf borderId="15" fillId="10" fontId="30" numFmtId="0" xfId="0" applyAlignment="1" applyBorder="1" applyFont="1">
      <alignment horizontal="center"/>
    </xf>
    <xf borderId="13" fillId="10" fontId="30" numFmtId="168" xfId="0" applyAlignment="1" applyBorder="1" applyFont="1" applyNumberFormat="1">
      <alignment horizontal="center" shrinkToFit="0" wrapText="0"/>
    </xf>
    <xf borderId="13" fillId="10" fontId="38" numFmtId="4" xfId="0" applyAlignment="1" applyBorder="1" applyFont="1" applyNumberFormat="1">
      <alignment horizontal="right"/>
    </xf>
    <xf borderId="16" fillId="10" fontId="23" numFmtId="0" xfId="0" applyBorder="1" applyFont="1"/>
    <xf borderId="13" fillId="9" fontId="30" numFmtId="0" xfId="0" applyAlignment="1" applyBorder="1" applyFont="1">
      <alignment shrinkToFit="0" wrapText="1"/>
    </xf>
    <xf borderId="13" fillId="10" fontId="30" numFmtId="4" xfId="0" applyAlignment="1" applyBorder="1" applyFont="1" applyNumberFormat="1">
      <alignment horizontal="right"/>
    </xf>
    <xf borderId="17" fillId="4" fontId="39" numFmtId="0" xfId="0" applyAlignment="1" applyBorder="1" applyFont="1">
      <alignment horizontal="center" shrinkToFit="0" wrapText="1"/>
    </xf>
    <xf borderId="16" fillId="12" fontId="30" numFmtId="0" xfId="0" applyAlignment="1" applyBorder="1" applyFont="1">
      <alignment horizontal="center" shrinkToFit="0" wrapText="1"/>
    </xf>
    <xf borderId="13" fillId="12" fontId="30" numFmtId="0" xfId="0" applyAlignment="1" applyBorder="1" applyFont="1">
      <alignment horizontal="center" shrinkToFit="0" wrapText="1"/>
    </xf>
    <xf borderId="13" fillId="12" fontId="30" numFmtId="168" xfId="0" applyAlignment="1" applyBorder="1" applyFont="1" applyNumberFormat="1">
      <alignment horizontal="right"/>
    </xf>
    <xf borderId="13" fillId="12" fontId="30" numFmtId="0" xfId="0" applyAlignment="1" applyBorder="1" applyFont="1">
      <alignment horizontal="center"/>
    </xf>
    <xf borderId="13" fillId="12" fontId="30" numFmtId="168" xfId="0" applyAlignment="1" applyBorder="1" applyFont="1" applyNumberFormat="1">
      <alignment horizontal="center"/>
    </xf>
    <xf borderId="13" fillId="12" fontId="23" numFmtId="168" xfId="0" applyBorder="1" applyFont="1" applyNumberFormat="1"/>
    <xf borderId="13" fillId="12" fontId="23" numFmtId="0" xfId="0" applyBorder="1" applyFont="1"/>
    <xf borderId="13" fillId="12" fontId="30" numFmtId="0" xfId="0" applyAlignment="1" applyBorder="1" applyFont="1">
      <alignment horizontal="center" shrinkToFit="0" wrapText="1"/>
    </xf>
    <xf borderId="13" fillId="12" fontId="23" numFmtId="0" xfId="0" applyBorder="1" applyFont="1"/>
    <xf borderId="14" fillId="12" fontId="30" numFmtId="0" xfId="0" applyAlignment="1" applyBorder="1" applyFont="1">
      <alignment horizontal="center" shrinkToFit="0" wrapText="1"/>
    </xf>
    <xf borderId="15" fillId="12" fontId="30" numFmtId="0" xfId="0" applyAlignment="1" applyBorder="1" applyFont="1">
      <alignment shrinkToFit="0" wrapText="1"/>
    </xf>
    <xf borderId="15" fillId="12" fontId="30" numFmtId="0" xfId="0" applyAlignment="1" applyBorder="1" applyFont="1">
      <alignment horizontal="center" shrinkToFit="0" wrapText="1"/>
    </xf>
    <xf borderId="13" fillId="12" fontId="30" numFmtId="0" xfId="0" applyAlignment="1" applyBorder="1" applyFont="1">
      <alignment horizontal="center"/>
    </xf>
    <xf borderId="12" fillId="12" fontId="23" numFmtId="168" xfId="0" applyBorder="1" applyFont="1" applyNumberFormat="1"/>
    <xf borderId="12" fillId="12" fontId="30" numFmtId="168" xfId="0" applyAlignment="1" applyBorder="1" applyFont="1" applyNumberFormat="1">
      <alignment horizontal="center" shrinkToFit="0" wrapText="0"/>
    </xf>
    <xf borderId="13" fillId="12" fontId="30" numFmtId="0" xfId="0" applyAlignment="1" applyBorder="1" applyFont="1">
      <alignment shrinkToFit="0" wrapText="1"/>
    </xf>
    <xf borderId="16" fillId="4" fontId="30" numFmtId="0" xfId="0" applyAlignment="1" applyBorder="1" applyFont="1">
      <alignment horizontal="center" shrinkToFit="0" wrapText="1"/>
    </xf>
    <xf borderId="13" fillId="4" fontId="30" numFmtId="0" xfId="0" applyAlignment="1" applyBorder="1" applyFont="1">
      <alignment shrinkToFit="0" wrapText="1"/>
    </xf>
    <xf borderId="13" fillId="4" fontId="30" numFmtId="0" xfId="0" applyAlignment="1" applyBorder="1" applyFont="1">
      <alignment shrinkToFit="0" wrapText="1"/>
    </xf>
    <xf borderId="13" fillId="4" fontId="30" numFmtId="168" xfId="0" applyAlignment="1" applyBorder="1" applyFont="1" applyNumberFormat="1">
      <alignment horizontal="right"/>
    </xf>
    <xf borderId="13" fillId="4" fontId="23" numFmtId="168" xfId="0" applyBorder="1" applyFont="1" applyNumberFormat="1"/>
    <xf borderId="13" fillId="4" fontId="29" numFmtId="168" xfId="0" applyAlignment="1" applyBorder="1" applyFont="1" applyNumberFormat="1">
      <alignment horizontal="center"/>
    </xf>
    <xf borderId="13" fillId="4" fontId="30" numFmtId="168" xfId="0" applyAlignment="1" applyBorder="1" applyFont="1" applyNumberFormat="1">
      <alignment horizontal="center"/>
    </xf>
    <xf borderId="13" fillId="4" fontId="40" numFmtId="0" xfId="0" applyAlignment="1" applyBorder="1" applyFont="1">
      <alignment horizontal="center" shrinkToFit="0" wrapText="1"/>
    </xf>
    <xf borderId="13" fillId="12" fontId="41" numFmtId="168" xfId="0" applyAlignment="1" applyBorder="1" applyFont="1" applyNumberFormat="1">
      <alignment horizontal="right"/>
    </xf>
    <xf borderId="13" fillId="12" fontId="42" numFmtId="4" xfId="0" applyAlignment="1" applyBorder="1" applyFont="1" applyNumberFormat="1">
      <alignment horizontal="right" vertical="bottom"/>
    </xf>
    <xf borderId="13" fillId="12" fontId="23" numFmtId="0" xfId="0" applyAlignment="1" applyBorder="1" applyFont="1">
      <alignment vertical="bottom"/>
    </xf>
    <xf borderId="13" fillId="12" fontId="23" numFmtId="168" xfId="0" applyAlignment="1" applyBorder="1" applyFont="1" applyNumberFormat="1">
      <alignment vertical="bottom"/>
    </xf>
    <xf borderId="13" fillId="12" fontId="23" numFmtId="0" xfId="0" applyAlignment="1" applyBorder="1" applyFont="1">
      <alignment vertical="bottom"/>
    </xf>
    <xf borderId="13" fillId="12" fontId="43" numFmtId="168" xfId="0" applyAlignment="1" applyBorder="1" applyFont="1" applyNumberFormat="1">
      <alignment horizontal="right" vertical="bottom"/>
    </xf>
    <xf borderId="13" fillId="12" fontId="44" numFmtId="0" xfId="0" applyAlignment="1" applyBorder="1" applyFont="1">
      <alignment horizontal="center" shrinkToFit="0" vertical="bottom" wrapText="1"/>
    </xf>
    <xf borderId="13" fillId="12" fontId="30" numFmtId="4" xfId="0" applyAlignment="1" applyBorder="1" applyFont="1" applyNumberFormat="1">
      <alignment horizontal="right"/>
    </xf>
    <xf borderId="16" fillId="4" fontId="23" numFmtId="0" xfId="0" applyAlignment="1" applyBorder="1" applyFont="1">
      <alignment readingOrder="0"/>
    </xf>
    <xf borderId="13" fillId="4" fontId="30" numFmtId="0" xfId="0" applyAlignment="1" applyBorder="1" applyFont="1">
      <alignment horizontal="center"/>
    </xf>
    <xf borderId="13" fillId="4" fontId="45" numFmtId="168" xfId="0" applyAlignment="1" applyBorder="1" applyFont="1" applyNumberFormat="1">
      <alignment horizontal="right"/>
    </xf>
    <xf borderId="13" fillId="4" fontId="30" numFmtId="4" xfId="0" applyAlignment="1" applyBorder="1" applyFont="1" applyNumberFormat="1">
      <alignment horizontal="right"/>
    </xf>
    <xf borderId="13" fillId="4" fontId="46" numFmtId="4" xfId="0" applyAlignment="1" applyBorder="1" applyFont="1" applyNumberFormat="1">
      <alignment horizontal="right"/>
    </xf>
    <xf borderId="0" fillId="0" fontId="47" numFmtId="0" xfId="0" applyAlignment="1" applyFont="1">
      <alignment vertical="bottom"/>
    </xf>
    <xf borderId="20" fillId="0" fontId="47" numFmtId="0" xfId="0" applyAlignment="1" applyBorder="1" applyFont="1">
      <alignment vertical="bottom"/>
    </xf>
    <xf borderId="20" fillId="0" fontId="23" numFmtId="0" xfId="0" applyAlignment="1" applyBorder="1" applyFont="1">
      <alignment vertical="bottom"/>
    </xf>
    <xf borderId="0" fillId="0" fontId="23" numFmtId="0" xfId="0" applyAlignment="1" applyFont="1">
      <alignment shrinkToFit="0" vertical="bottom" wrapText="1"/>
    </xf>
    <xf borderId="16" fillId="13" fontId="44" numFmtId="0" xfId="0" applyAlignment="1" applyBorder="1" applyFill="1" applyFont="1">
      <alignment horizontal="center" vertical="bottom"/>
    </xf>
    <xf borderId="0" fillId="0" fontId="23" numFmtId="0" xfId="0" applyAlignment="1" applyFont="1">
      <alignment horizontal="right" vertical="bottom"/>
    </xf>
    <xf borderId="0" fillId="0" fontId="23" numFmtId="4" xfId="0" applyAlignment="1" applyFont="1" applyNumberFormat="1">
      <alignment horizontal="right" vertical="bottom"/>
    </xf>
    <xf borderId="0" fillId="0" fontId="23" numFmtId="4" xfId="0" applyAlignment="1" applyFont="1" applyNumberFormat="1">
      <alignment horizontal="right" shrinkToFit="0" vertical="bottom" wrapText="1"/>
    </xf>
    <xf borderId="0" fillId="0" fontId="23" numFmtId="164" xfId="0" applyAlignment="1" applyFont="1" applyNumberFormat="1">
      <alignment horizontal="right" shrinkToFit="0" vertical="bottom" wrapText="1"/>
    </xf>
    <xf borderId="0" fillId="0" fontId="23" numFmtId="0" xfId="0" applyAlignment="1" applyFont="1">
      <alignment shrinkToFit="0" vertical="bottom" wrapText="0"/>
    </xf>
    <xf borderId="14" fillId="14" fontId="44" numFmtId="0" xfId="0" applyAlignment="1" applyBorder="1" applyFill="1" applyFont="1">
      <alignment horizontal="center" vertical="bottom"/>
    </xf>
    <xf borderId="0" fillId="0" fontId="47" numFmtId="0" xfId="0" applyAlignment="1" applyFont="1">
      <alignment horizontal="right" vertical="bottom"/>
    </xf>
    <xf borderId="0" fillId="0" fontId="47" numFmtId="4" xfId="0" applyAlignment="1" applyFont="1" applyNumberFormat="1">
      <alignment horizontal="right" vertical="bottom"/>
    </xf>
    <xf borderId="0" fillId="0" fontId="23" numFmtId="164" xfId="0" applyAlignment="1" applyFont="1" applyNumberFormat="1">
      <alignment vertical="bottom"/>
    </xf>
    <xf borderId="0" fillId="0" fontId="47" numFmtId="0" xfId="0" applyAlignment="1" applyFont="1">
      <alignment shrinkToFit="0" vertical="bottom" wrapText="0"/>
    </xf>
    <xf borderId="21" fillId="0" fontId="23" numFmtId="0" xfId="0" applyAlignment="1" applyBorder="1" applyFont="1">
      <alignment vertical="bottom"/>
    </xf>
    <xf borderId="21" fillId="0" fontId="47" numFmtId="0" xfId="0" applyAlignment="1" applyBorder="1" applyFont="1">
      <alignment vertical="bottom"/>
    </xf>
    <xf borderId="21" fillId="0" fontId="47" numFmtId="4" xfId="0" applyAlignment="1" applyBorder="1" applyFont="1" applyNumberFormat="1">
      <alignment horizontal="right" vertical="bottom"/>
    </xf>
    <xf borderId="0" fillId="0" fontId="47" numFmtId="4" xfId="0" applyAlignment="1" applyFont="1" applyNumberFormat="1">
      <alignment horizontal="right" shrinkToFit="0" vertical="bottom" wrapText="1"/>
    </xf>
    <xf borderId="7" fillId="0" fontId="44" numFmtId="0" xfId="0" applyAlignment="1" applyBorder="1" applyFont="1">
      <alignment horizontal="right" vertical="bottom"/>
    </xf>
    <xf borderId="7" fillId="0" fontId="44" numFmtId="4" xfId="0" applyAlignment="1" applyBorder="1" applyFont="1" applyNumberFormat="1">
      <alignment horizontal="right" vertical="bottom"/>
    </xf>
    <xf borderId="0" fillId="0" fontId="44" numFmtId="0" xfId="0" applyAlignment="1" applyFont="1">
      <alignment horizontal="right" vertical="bottom"/>
    </xf>
    <xf borderId="0" fillId="0" fontId="44" numFmtId="4" xfId="0" applyAlignment="1" applyFont="1" applyNumberFormat="1">
      <alignment horizontal="right" vertical="bottom"/>
    </xf>
    <xf borderId="0" fillId="0" fontId="23" numFmtId="0" xfId="0" applyFont="1"/>
    <xf borderId="0" fillId="15" fontId="48" numFmtId="0" xfId="0" applyAlignment="1" applyFill="1" applyFont="1">
      <alignment horizontal="center" shrinkToFit="0" vertical="center" wrapText="1"/>
    </xf>
    <xf borderId="22" fillId="15" fontId="48" numFmtId="0" xfId="0" applyAlignment="1" applyBorder="1" applyFont="1">
      <alignment horizontal="center" shrinkToFit="0" vertical="center" wrapText="1"/>
    </xf>
    <xf borderId="23" fillId="0" fontId="31" numFmtId="0" xfId="0" applyBorder="1" applyFont="1"/>
    <xf borderId="24" fillId="0" fontId="31" numFmtId="0" xfId="0" applyBorder="1" applyFont="1"/>
    <xf borderId="25" fillId="15" fontId="48" numFmtId="0" xfId="0" applyAlignment="1" applyBorder="1" applyFont="1">
      <alignment horizontal="center" vertical="center"/>
    </xf>
    <xf borderId="26" fillId="16" fontId="48" numFmtId="4" xfId="0" applyAlignment="1" applyBorder="1" applyFill="1" applyFont="1" applyNumberFormat="1">
      <alignment horizontal="center" vertical="center"/>
    </xf>
    <xf borderId="27" fillId="15" fontId="48" numFmtId="0" xfId="0" applyAlignment="1" applyBorder="1" applyFont="1">
      <alignment horizontal="center" vertical="center"/>
    </xf>
    <xf borderId="28" fillId="0" fontId="31" numFmtId="0" xfId="0" applyBorder="1" applyFont="1"/>
    <xf borderId="29" fillId="0" fontId="31" numFmtId="0" xfId="0" applyBorder="1" applyFont="1"/>
    <xf borderId="30" fillId="16" fontId="48" numFmtId="4" xfId="0" applyAlignment="1" applyBorder="1" applyFont="1" applyNumberFormat="1">
      <alignment horizontal="center" vertical="center"/>
    </xf>
    <xf borderId="31" fillId="16" fontId="48" numFmtId="4" xfId="0" applyAlignment="1" applyBorder="1" applyFont="1" applyNumberFormat="1">
      <alignment horizontal="center" vertical="center"/>
    </xf>
    <xf borderId="32" fillId="0" fontId="1" numFmtId="4" xfId="0" applyBorder="1" applyFont="1" applyNumberFormat="1"/>
    <xf borderId="33" fillId="17" fontId="49" numFmtId="4" xfId="0" applyAlignment="1" applyBorder="1" applyFill="1" applyFont="1" applyNumberFormat="1">
      <alignment shrinkToFit="0" vertical="center" wrapText="1"/>
    </xf>
    <xf borderId="34" fillId="17" fontId="50" numFmtId="4" xfId="0" applyAlignment="1" applyBorder="1" applyFont="1" applyNumberFormat="1">
      <alignment readingOrder="0" shrinkToFit="0" vertical="center" wrapText="1"/>
    </xf>
    <xf borderId="0" fillId="0" fontId="1" numFmtId="4" xfId="0" applyAlignment="1" applyFont="1" applyNumberFormat="1">
      <alignment horizontal="right"/>
    </xf>
    <xf borderId="0" fillId="0" fontId="1" numFmtId="1" xfId="0" applyFont="1" applyNumberFormat="1"/>
    <xf borderId="35" fillId="0" fontId="31" numFmtId="0" xfId="0" applyBorder="1" applyFont="1"/>
    <xf borderId="36" fillId="0" fontId="31" numFmtId="0" xfId="0" applyBorder="1" applyFont="1"/>
    <xf borderId="37" fillId="0" fontId="31" numFmtId="0" xfId="0" applyBorder="1" applyFont="1"/>
    <xf borderId="38" fillId="0" fontId="31" numFmtId="0" xfId="0" applyBorder="1" applyFont="1"/>
    <xf borderId="39" fillId="16" fontId="48" numFmtId="4" xfId="0" applyAlignment="1" applyBorder="1" applyFont="1" applyNumberFormat="1">
      <alignment horizontal="center" vertical="center"/>
    </xf>
    <xf borderId="40" fillId="16" fontId="48" numFmtId="4" xfId="0" applyAlignment="1" applyBorder="1" applyFont="1" applyNumberFormat="1">
      <alignment horizontal="center" vertical="center"/>
    </xf>
    <xf borderId="41" fillId="16" fontId="48" numFmtId="4" xfId="0" applyAlignment="1" applyBorder="1" applyFont="1" applyNumberFormat="1">
      <alignment horizontal="center" vertical="center"/>
    </xf>
    <xf borderId="42" fillId="0" fontId="1" numFmtId="4" xfId="0" applyBorder="1" applyFont="1" applyNumberFormat="1"/>
    <xf borderId="43" fillId="17" fontId="49" numFmtId="4" xfId="0" applyAlignment="1" applyBorder="1" applyFont="1" applyNumberFormat="1">
      <alignment horizontal="center" shrinkToFit="0" vertical="center" wrapText="1"/>
    </xf>
    <xf borderId="44" fillId="0" fontId="31" numFmtId="0" xfId="0" applyBorder="1" applyFont="1"/>
    <xf borderId="0" fillId="18" fontId="51" numFmtId="0" xfId="0" applyAlignment="1" applyFill="1" applyFont="1">
      <alignment readingOrder="0"/>
    </xf>
    <xf borderId="0" fillId="18" fontId="51" numFmtId="0" xfId="0" applyFont="1"/>
    <xf borderId="0" fillId="18" fontId="51" numFmtId="49" xfId="0" applyAlignment="1" applyFont="1" applyNumberFormat="1">
      <alignment readingOrder="0"/>
    </xf>
    <xf borderId="0" fillId="18" fontId="51" numFmtId="49" xfId="0" applyFont="1" applyNumberFormat="1"/>
    <xf borderId="45" fillId="18" fontId="51" numFmtId="49" xfId="0" applyAlignment="1" applyBorder="1" applyFont="1" applyNumberFormat="1">
      <alignment horizontal="center" shrinkToFit="0" vertical="center" wrapText="1"/>
    </xf>
    <xf borderId="0" fillId="18" fontId="51" numFmtId="0" xfId="0" applyAlignment="1" applyFont="1">
      <alignment shrinkToFit="0" wrapText="1"/>
    </xf>
    <xf borderId="45" fillId="18" fontId="51" numFmtId="0" xfId="0" applyAlignment="1" applyBorder="1" applyFont="1">
      <alignment horizontal="center" shrinkToFit="0" textRotation="90" vertical="center" wrapText="1"/>
    </xf>
    <xf borderId="46" fillId="18" fontId="51" numFmtId="0" xfId="0" applyAlignment="1" applyBorder="1" applyFont="1">
      <alignment horizontal="center" shrinkToFit="0" textRotation="90" vertical="center" wrapText="1"/>
    </xf>
    <xf borderId="22" fillId="18" fontId="51" numFmtId="0" xfId="0" applyAlignment="1" applyBorder="1" applyFont="1">
      <alignment horizontal="center" shrinkToFit="0" textRotation="90" vertical="center" wrapText="1"/>
    </xf>
    <xf borderId="47" fillId="18" fontId="51" numFmtId="4" xfId="0" applyAlignment="1" applyBorder="1" applyFont="1" applyNumberFormat="1">
      <alignment horizontal="center" shrinkToFit="0" textRotation="90" vertical="center" wrapText="1"/>
    </xf>
    <xf borderId="45" fillId="18" fontId="51" numFmtId="4" xfId="0" applyAlignment="1" applyBorder="1" applyFont="1" applyNumberFormat="1">
      <alignment horizontal="center" shrinkToFit="0" textRotation="90" vertical="center" wrapText="1"/>
    </xf>
    <xf borderId="48" fillId="18" fontId="51" numFmtId="4" xfId="0" applyAlignment="1" applyBorder="1" applyFont="1" applyNumberFormat="1">
      <alignment horizontal="center" readingOrder="0" shrinkToFit="0" textRotation="90" vertical="center" wrapText="1"/>
    </xf>
    <xf borderId="47" fillId="18" fontId="51" numFmtId="4" xfId="0" applyAlignment="1" applyBorder="1" applyFont="1" applyNumberFormat="1">
      <alignment horizontal="center" shrinkToFit="0" vertical="center" wrapText="1"/>
    </xf>
    <xf borderId="48" fillId="18" fontId="51" numFmtId="4" xfId="0" applyAlignment="1" applyBorder="1" applyFont="1" applyNumberFormat="1">
      <alignment horizontal="center" shrinkToFit="0" vertical="center" wrapText="1"/>
    </xf>
    <xf borderId="0" fillId="18" fontId="51" numFmtId="4" xfId="0" applyFont="1" applyNumberFormat="1"/>
    <xf borderId="0" fillId="18" fontId="51" numFmtId="4" xfId="0" applyAlignment="1" applyFont="1" applyNumberFormat="1">
      <alignment horizontal="right"/>
    </xf>
    <xf borderId="0" fillId="18" fontId="51" numFmtId="1" xfId="0" applyAlignment="1" applyFont="1" applyNumberFormat="1">
      <alignment readingOrder="0"/>
    </xf>
    <xf borderId="18" fillId="19" fontId="52" numFmtId="0" xfId="0" applyAlignment="1" applyBorder="1" applyFill="1" applyFont="1">
      <alignment readingOrder="0" shrinkToFit="0" wrapText="1"/>
    </xf>
    <xf borderId="18" fillId="19" fontId="53" numFmtId="0" xfId="0" applyAlignment="1" applyBorder="1" applyFont="1">
      <alignment readingOrder="0"/>
    </xf>
    <xf borderId="18" fillId="19" fontId="53" numFmtId="0" xfId="0" applyBorder="1" applyFont="1"/>
    <xf borderId="18" fillId="19" fontId="53" numFmtId="49" xfId="0" applyAlignment="1" applyBorder="1" applyFont="1" applyNumberFormat="1">
      <alignment readingOrder="0"/>
    </xf>
    <xf borderId="18" fillId="19" fontId="54" numFmtId="49" xfId="0" applyAlignment="1" applyBorder="1" applyFont="1" applyNumberFormat="1">
      <alignment shrinkToFit="0" wrapText="1"/>
    </xf>
    <xf borderId="18" fillId="19" fontId="54" numFmtId="165" xfId="0" applyAlignment="1" applyBorder="1" applyFont="1" applyNumberFormat="1">
      <alignment readingOrder="0" shrinkToFit="0" wrapText="1"/>
    </xf>
    <xf borderId="18" fillId="19" fontId="53" numFmtId="0" xfId="0" applyAlignment="1" applyBorder="1" applyFont="1">
      <alignment vertical="center"/>
    </xf>
    <xf borderId="49" fillId="19" fontId="54" numFmtId="0" xfId="0" applyAlignment="1" applyBorder="1" applyFont="1">
      <alignment shrinkToFit="0" wrapText="1"/>
    </xf>
    <xf borderId="50" fillId="19" fontId="55" numFmtId="4" xfId="0" applyAlignment="1" applyBorder="1" applyFont="1" applyNumberFormat="1">
      <alignment vertical="center"/>
    </xf>
    <xf borderId="18" fillId="19" fontId="55" numFmtId="0" xfId="0" applyAlignment="1" applyBorder="1" applyFont="1">
      <alignment vertical="center"/>
    </xf>
    <xf borderId="18" fillId="19" fontId="54" numFmtId="0" xfId="0" applyAlignment="1" applyBorder="1" applyFont="1">
      <alignment shrinkToFit="0" wrapText="1"/>
    </xf>
    <xf borderId="18" fillId="19" fontId="55" numFmtId="4" xfId="0" applyAlignment="1" applyBorder="1" applyFont="1" applyNumberFormat="1">
      <alignment vertical="center"/>
    </xf>
    <xf borderId="51" fillId="19" fontId="55" numFmtId="4" xfId="0" applyAlignment="1" applyBorder="1" applyFont="1" applyNumberFormat="1">
      <alignment vertical="center"/>
    </xf>
    <xf borderId="52" fillId="20" fontId="22" numFmtId="2" xfId="0" applyAlignment="1" applyBorder="1" applyFill="1" applyFont="1" applyNumberFormat="1">
      <alignment horizontal="right" readingOrder="0" shrinkToFit="0" vertical="top" wrapText="0"/>
    </xf>
    <xf borderId="51" fillId="19" fontId="53" numFmtId="4" xfId="0" applyAlignment="1" applyBorder="1" applyFont="1" applyNumberFormat="1">
      <alignment horizontal="center" readingOrder="0" vertical="center"/>
    </xf>
    <xf borderId="53" fillId="19" fontId="53" numFmtId="4" xfId="0" applyAlignment="1" applyBorder="1" applyFont="1" applyNumberFormat="1">
      <alignment horizontal="right" vertical="center"/>
    </xf>
    <xf borderId="54" fillId="19" fontId="53" numFmtId="4" xfId="0" applyAlignment="1" applyBorder="1" applyFont="1" applyNumberFormat="1">
      <alignment horizontal="right" vertical="center"/>
    </xf>
    <xf borderId="0" fillId="19" fontId="55" numFmtId="165" xfId="0" applyFont="1" applyNumberFormat="1"/>
    <xf borderId="0" fillId="19" fontId="55" numFmtId="2" xfId="0" applyAlignment="1" applyFont="1" applyNumberFormat="1">
      <alignment readingOrder="0"/>
    </xf>
    <xf borderId="0" fillId="19" fontId="55" numFmtId="4" xfId="0" applyAlignment="1" applyFont="1" applyNumberFormat="1">
      <alignment readingOrder="0"/>
    </xf>
    <xf borderId="0" fillId="19" fontId="55" numFmtId="1" xfId="0" applyAlignment="1" applyFont="1" applyNumberFormat="1">
      <alignment readingOrder="0"/>
    </xf>
    <xf borderId="18" fillId="3" fontId="52" numFmtId="0" xfId="0" applyAlignment="1" applyBorder="1" applyFont="1">
      <alignment readingOrder="0" shrinkToFit="0" wrapText="1"/>
    </xf>
    <xf borderId="18" fillId="3" fontId="53" numFmtId="0" xfId="0" applyAlignment="1" applyBorder="1" applyFont="1">
      <alignment readingOrder="0"/>
    </xf>
    <xf borderId="18" fillId="3" fontId="53" numFmtId="0" xfId="0" applyBorder="1" applyFont="1"/>
    <xf borderId="18" fillId="3" fontId="53" numFmtId="49" xfId="0" applyAlignment="1" applyBorder="1" applyFont="1" applyNumberFormat="1">
      <alignment readingOrder="0"/>
    </xf>
    <xf borderId="18" fillId="3" fontId="54" numFmtId="49" xfId="0" applyAlignment="1" applyBorder="1" applyFont="1" applyNumberFormat="1">
      <alignment shrinkToFit="0" wrapText="1"/>
    </xf>
    <xf borderId="18" fillId="3" fontId="54" numFmtId="165" xfId="0" applyAlignment="1" applyBorder="1" applyFont="1" applyNumberFormat="1">
      <alignment readingOrder="0" shrinkToFit="0" wrapText="1"/>
    </xf>
    <xf borderId="18" fillId="3" fontId="53" numFmtId="0" xfId="0" applyAlignment="1" applyBorder="1" applyFont="1">
      <alignment vertical="center"/>
    </xf>
    <xf borderId="49" fillId="3" fontId="54" numFmtId="0" xfId="0" applyAlignment="1" applyBorder="1" applyFont="1">
      <alignment shrinkToFit="0" wrapText="1"/>
    </xf>
    <xf borderId="50" fillId="3" fontId="55" numFmtId="4" xfId="0" applyAlignment="1" applyBorder="1" applyFont="1" applyNumberFormat="1">
      <alignment vertical="center"/>
    </xf>
    <xf borderId="18" fillId="3" fontId="55" numFmtId="0" xfId="0" applyAlignment="1" applyBorder="1" applyFont="1">
      <alignment vertical="center"/>
    </xf>
    <xf borderId="18" fillId="3" fontId="54" numFmtId="0" xfId="0" applyAlignment="1" applyBorder="1" applyFont="1">
      <alignment shrinkToFit="0" wrapText="1"/>
    </xf>
    <xf borderId="18" fillId="3" fontId="55" numFmtId="4" xfId="0" applyAlignment="1" applyBorder="1" applyFont="1" applyNumberFormat="1">
      <alignment vertical="center"/>
    </xf>
    <xf borderId="51" fillId="3" fontId="55" numFmtId="4" xfId="0" applyAlignment="1" applyBorder="1" applyFont="1" applyNumberFormat="1">
      <alignment vertical="center"/>
    </xf>
    <xf borderId="52" fillId="3" fontId="22" numFmtId="2" xfId="0" applyAlignment="1" applyBorder="1" applyFont="1" applyNumberFormat="1">
      <alignment horizontal="right" readingOrder="0" shrinkToFit="0" vertical="top" wrapText="0"/>
    </xf>
    <xf borderId="51" fillId="3" fontId="53" numFmtId="4" xfId="0" applyAlignment="1" applyBorder="1" applyFont="1" applyNumberFormat="1">
      <alignment horizontal="center" readingOrder="0" vertical="center"/>
    </xf>
    <xf borderId="0" fillId="3" fontId="53" numFmtId="4" xfId="0" applyAlignment="1" applyFont="1" applyNumberFormat="1">
      <alignment horizontal="right" vertical="center"/>
    </xf>
    <xf borderId="55" fillId="3" fontId="53" numFmtId="4" xfId="0" applyAlignment="1" applyBorder="1" applyFont="1" applyNumberFormat="1">
      <alignment horizontal="right" vertical="center"/>
    </xf>
    <xf borderId="0" fillId="3" fontId="55" numFmtId="165" xfId="0" applyFont="1" applyNumberFormat="1"/>
    <xf borderId="0" fillId="3" fontId="55" numFmtId="2" xfId="0" applyAlignment="1" applyFont="1" applyNumberFormat="1">
      <alignment readingOrder="0"/>
    </xf>
    <xf borderId="0" fillId="3" fontId="55" numFmtId="4" xfId="0" applyAlignment="1" applyFont="1" applyNumberFormat="1">
      <alignment readingOrder="0"/>
    </xf>
    <xf borderId="0" fillId="3" fontId="55" numFmtId="1" xfId="0" applyAlignment="1" applyFont="1" applyNumberFormat="1">
      <alignment readingOrder="0"/>
    </xf>
    <xf borderId="0" fillId="19" fontId="53" numFmtId="4" xfId="0" applyAlignment="1" applyFont="1" applyNumberFormat="1">
      <alignment horizontal="right" vertical="center"/>
    </xf>
    <xf borderId="55" fillId="19" fontId="53" numFmtId="4" xfId="0" applyAlignment="1" applyBorder="1" applyFont="1" applyNumberFormat="1">
      <alignment horizontal="right" vertical="center"/>
    </xf>
    <xf borderId="18" fillId="19" fontId="55" numFmtId="4" xfId="0" applyBorder="1" applyFont="1" applyNumberFormat="1"/>
    <xf borderId="18" fillId="19" fontId="55" numFmtId="165" xfId="0" applyBorder="1" applyFont="1" applyNumberFormat="1"/>
    <xf borderId="18" fillId="3" fontId="55" numFmtId="4" xfId="0" applyBorder="1" applyFont="1" applyNumberFormat="1"/>
    <xf borderId="18" fillId="3" fontId="55" numFmtId="165" xfId="0" applyBorder="1" applyFont="1" applyNumberFormat="1"/>
    <xf borderId="18" fillId="3" fontId="54" numFmtId="3" xfId="0" applyAlignment="1" applyBorder="1" applyFont="1" applyNumberFormat="1">
      <alignment shrinkToFit="0" wrapText="1"/>
    </xf>
    <xf borderId="0" fillId="19" fontId="55" numFmtId="165" xfId="0" applyAlignment="1" applyFont="1" applyNumberFormat="1">
      <alignment readingOrder="0"/>
    </xf>
    <xf borderId="49" fillId="19" fontId="54" numFmtId="3" xfId="0" applyAlignment="1" applyBorder="1" applyFont="1" applyNumberFormat="1">
      <alignment shrinkToFit="0" wrapText="1"/>
    </xf>
    <xf borderId="18" fillId="19" fontId="53" numFmtId="49" xfId="0" applyBorder="1" applyFont="1" applyNumberFormat="1"/>
    <xf borderId="18" fillId="21" fontId="53" numFmtId="49" xfId="0" applyAlignment="1" applyBorder="1" applyFill="1" applyFont="1" applyNumberFormat="1">
      <alignment readingOrder="0"/>
    </xf>
    <xf borderId="18" fillId="7" fontId="53" numFmtId="49" xfId="0" applyAlignment="1" applyBorder="1" applyFont="1" applyNumberFormat="1">
      <alignment readingOrder="0"/>
    </xf>
    <xf borderId="18" fillId="3" fontId="53" numFmtId="49" xfId="0" applyBorder="1" applyFont="1" applyNumberFormat="1"/>
    <xf borderId="18" fillId="3" fontId="55" numFmtId="49" xfId="0" applyAlignment="1" applyBorder="1" applyFont="1" applyNumberFormat="1">
      <alignment readingOrder="0"/>
    </xf>
    <xf borderId="18" fillId="19" fontId="56" numFmtId="49" xfId="0" applyBorder="1" applyFont="1" applyNumberFormat="1"/>
    <xf borderId="18" fillId="7" fontId="55" numFmtId="4" xfId="0" applyAlignment="1" applyBorder="1" applyFont="1" applyNumberFormat="1">
      <alignment readingOrder="0" vertical="center"/>
    </xf>
    <xf borderId="18" fillId="7" fontId="1" numFmtId="49" xfId="0" applyAlignment="1" applyBorder="1" applyFont="1" applyNumberFormat="1">
      <alignment readingOrder="0"/>
    </xf>
    <xf borderId="50" fillId="3" fontId="55" numFmtId="4" xfId="0" applyAlignment="1" applyBorder="1" applyFont="1" applyNumberFormat="1">
      <alignment readingOrder="0" vertical="center"/>
    </xf>
    <xf borderId="18" fillId="3" fontId="55" numFmtId="4" xfId="0" applyAlignment="1" applyBorder="1" applyFont="1" applyNumberFormat="1">
      <alignment horizontal="center" readingOrder="0" vertical="center"/>
    </xf>
    <xf borderId="0" fillId="3" fontId="55" numFmtId="165" xfId="0" applyAlignment="1" applyFont="1" applyNumberFormat="1">
      <alignment readingOrder="0"/>
    </xf>
    <xf borderId="0" fillId="3" fontId="55" numFmtId="0" xfId="0" applyAlignment="1" applyFont="1">
      <alignment readingOrder="0"/>
    </xf>
    <xf borderId="50" fillId="19" fontId="55" numFmtId="4" xfId="0" applyAlignment="1" applyBorder="1" applyFont="1" applyNumberFormat="1">
      <alignment readingOrder="0" vertical="center"/>
    </xf>
    <xf borderId="18" fillId="19" fontId="55" numFmtId="4" xfId="0" applyAlignment="1" applyBorder="1" applyFont="1" applyNumberFormat="1">
      <alignment horizontal="center" readingOrder="0" vertical="center"/>
    </xf>
    <xf borderId="52" fillId="19" fontId="22" numFmtId="2" xfId="0" applyAlignment="1" applyBorder="1" applyFont="1" applyNumberFormat="1">
      <alignment horizontal="right" readingOrder="0" shrinkToFit="0" vertical="top" wrapText="0"/>
    </xf>
    <xf borderId="18" fillId="3" fontId="55" numFmtId="4" xfId="0" applyAlignment="1" applyBorder="1" applyFont="1" applyNumberFormat="1">
      <alignment horizontal="center" vertical="center"/>
    </xf>
    <xf borderId="18" fillId="19" fontId="55" numFmtId="4" xfId="0" applyAlignment="1" applyBorder="1" applyFont="1" applyNumberFormat="1">
      <alignment horizontal="center" vertical="center"/>
    </xf>
    <xf borderId="0" fillId="3" fontId="53" numFmtId="0" xfId="0" applyFont="1"/>
    <xf borderId="0" fillId="3" fontId="53" numFmtId="49" xfId="0" applyAlignment="1" applyFont="1" applyNumberFormat="1">
      <alignment readingOrder="0"/>
    </xf>
    <xf borderId="0" fillId="3" fontId="53" numFmtId="49" xfId="0" applyFont="1" applyNumberFormat="1"/>
    <xf borderId="0" fillId="3" fontId="1" numFmtId="49" xfId="0" applyFont="1" applyNumberFormat="1"/>
    <xf borderId="0" fillId="3" fontId="23" numFmtId="0" xfId="0" applyAlignment="1" applyFont="1">
      <alignment shrinkToFit="0" wrapText="1"/>
    </xf>
    <xf borderId="56" fillId="3" fontId="55" numFmtId="4" xfId="0" applyAlignment="1" applyBorder="1" applyFont="1" applyNumberFormat="1">
      <alignment vertical="center"/>
    </xf>
    <xf borderId="0" fillId="3" fontId="55" numFmtId="0" xfId="0" applyAlignment="1" applyFont="1">
      <alignment vertical="center"/>
    </xf>
    <xf borderId="57" fillId="3" fontId="55" numFmtId="4" xfId="0" applyAlignment="1" applyBorder="1" applyFont="1" applyNumberFormat="1">
      <alignment horizontal="center" vertical="center"/>
    </xf>
    <xf borderId="0" fillId="3" fontId="55" numFmtId="0" xfId="0" applyFont="1"/>
    <xf borderId="15" fillId="3" fontId="55" numFmtId="0" xfId="0" applyBorder="1" applyFont="1"/>
    <xf borderId="58" fillId="3" fontId="55" numFmtId="4" xfId="0" applyAlignment="1" applyBorder="1" applyFont="1" applyNumberFormat="1">
      <alignment horizontal="center" vertical="center"/>
    </xf>
    <xf borderId="59" fillId="3" fontId="55" numFmtId="4" xfId="0" applyAlignment="1" applyBorder="1" applyFont="1" applyNumberFormat="1">
      <alignment horizontal="center" vertical="center"/>
    </xf>
    <xf borderId="60" fillId="3" fontId="53" numFmtId="4" xfId="0" applyAlignment="1" applyBorder="1" applyFont="1" applyNumberFormat="1">
      <alignment horizontal="center" vertical="center"/>
    </xf>
    <xf borderId="42" fillId="3" fontId="53" numFmtId="4" xfId="0" applyAlignment="1" applyBorder="1" applyFont="1" applyNumberFormat="1">
      <alignment horizontal="center" vertical="center"/>
    </xf>
    <xf borderId="0" fillId="3" fontId="53" numFmtId="4" xfId="0" applyAlignment="1" applyFont="1" applyNumberFormat="1">
      <alignment horizontal="center" vertical="center"/>
    </xf>
    <xf borderId="55" fillId="3" fontId="53" numFmtId="4" xfId="0" applyAlignment="1" applyBorder="1" applyFont="1" applyNumberFormat="1">
      <alignment horizontal="center" vertical="center"/>
    </xf>
    <xf borderId="0" fillId="3" fontId="55" numFmtId="1" xfId="0" applyFont="1" applyNumberFormat="1"/>
    <xf borderId="14" fillId="18" fontId="51" numFmtId="49" xfId="0" applyAlignment="1" applyBorder="1" applyFont="1" applyNumberFormat="1">
      <alignment horizontal="center" vertical="center"/>
    </xf>
    <xf borderId="61" fillId="18" fontId="51" numFmtId="4" xfId="0" applyAlignment="1" applyBorder="1" applyFont="1" applyNumberFormat="1">
      <alignment horizontal="center" vertical="center"/>
    </xf>
    <xf borderId="62" fillId="18" fontId="51" numFmtId="0" xfId="0" applyBorder="1" applyFont="1"/>
    <xf borderId="63" fillId="18" fontId="51" numFmtId="4" xfId="0" applyAlignment="1" applyBorder="1" applyFont="1" applyNumberFormat="1">
      <alignment horizontal="center" vertical="center"/>
    </xf>
    <xf borderId="64" fillId="18" fontId="51" numFmtId="4" xfId="0" applyAlignment="1" applyBorder="1" applyFont="1" applyNumberFormat="1">
      <alignment horizontal="center" vertical="center"/>
    </xf>
    <xf borderId="65" fillId="18" fontId="51" numFmtId="4" xfId="0" applyAlignment="1" applyBorder="1" applyFont="1" applyNumberFormat="1">
      <alignment horizontal="center" vertical="center"/>
    </xf>
    <xf borderId="66" fillId="18" fontId="51" numFmtId="4" xfId="0" applyAlignment="1" applyBorder="1" applyFont="1" applyNumberFormat="1">
      <alignment horizontal="center" vertical="center"/>
    </xf>
    <xf borderId="7" fillId="18" fontId="51" numFmtId="4" xfId="0" applyAlignment="1" applyBorder="1" applyFont="1" applyNumberFormat="1">
      <alignment horizontal="center" vertical="center"/>
    </xf>
    <xf borderId="67" fillId="18" fontId="51" numFmtId="4" xfId="0" applyAlignment="1" applyBorder="1" applyFont="1" applyNumberFormat="1">
      <alignment horizontal="center" vertical="center"/>
    </xf>
    <xf borderId="0" fillId="18" fontId="51" numFmtId="1" xfId="0" applyFont="1" applyNumberFormat="1"/>
    <xf borderId="0" fillId="15" fontId="51" numFmtId="0" xfId="0" applyAlignment="1" applyFont="1">
      <alignment readingOrder="0" shrinkToFit="0" vertical="center" wrapText="0"/>
    </xf>
    <xf borderId="18" fillId="15" fontId="51" numFmtId="0" xfId="0" applyAlignment="1" applyBorder="1" applyFont="1">
      <alignment readingOrder="0" shrinkToFit="0" vertical="center" wrapText="0"/>
    </xf>
    <xf borderId="18" fillId="15" fontId="48" numFmtId="0" xfId="0" applyAlignment="1" applyBorder="1" applyFont="1">
      <alignment shrinkToFit="0" vertical="center" wrapText="1"/>
    </xf>
    <xf borderId="18" fillId="15" fontId="48" numFmtId="0" xfId="0" applyAlignment="1" applyBorder="1" applyFont="1">
      <alignment vertical="center"/>
    </xf>
    <xf borderId="18" fillId="15" fontId="48" numFmtId="49" xfId="0" applyAlignment="1" applyBorder="1" applyFont="1" applyNumberFormat="1">
      <alignment horizontal="center" vertical="center"/>
    </xf>
    <xf borderId="18" fillId="15" fontId="48" numFmtId="0" xfId="0" applyAlignment="1" applyBorder="1" applyFont="1">
      <alignment horizontal="left" shrinkToFit="0" vertical="center" wrapText="0"/>
    </xf>
    <xf borderId="18" fillId="15" fontId="48" numFmtId="0" xfId="0" applyAlignment="1" applyBorder="1" applyFont="1">
      <alignment horizontal="center" vertical="center"/>
    </xf>
    <xf borderId="18" fillId="15" fontId="48" numFmtId="4" xfId="0" applyAlignment="1" applyBorder="1" applyFont="1" applyNumberFormat="1">
      <alignment horizontal="center" vertical="center"/>
    </xf>
    <xf borderId="18" fillId="15" fontId="48" numFmtId="0" xfId="0" applyAlignment="1" applyBorder="1" applyFont="1">
      <alignment horizontal="left" vertical="center"/>
    </xf>
    <xf borderId="18" fillId="0" fontId="1" numFmtId="4" xfId="0" applyBorder="1" applyFont="1" applyNumberFormat="1"/>
    <xf borderId="18" fillId="0" fontId="1" numFmtId="0" xfId="0" applyBorder="1" applyFont="1"/>
    <xf borderId="68" fillId="17" fontId="49" numFmtId="4" xfId="0" applyAlignment="1" applyBorder="1" applyFont="1" applyNumberFormat="1">
      <alignment shrinkToFit="0" vertical="center" wrapText="1"/>
    </xf>
    <xf borderId="68" fillId="17" fontId="50" numFmtId="4" xfId="0" applyAlignment="1" applyBorder="1" applyFont="1" applyNumberFormat="1">
      <alignment readingOrder="0" shrinkToFit="0" vertical="center" wrapText="1"/>
    </xf>
    <xf borderId="18" fillId="22" fontId="23" numFmtId="0" xfId="0" applyBorder="1" applyFill="1" applyFont="1"/>
    <xf borderId="18" fillId="0" fontId="1" numFmtId="0" xfId="0" applyAlignment="1" applyBorder="1" applyFont="1">
      <alignment shrinkToFit="0" wrapText="1"/>
    </xf>
    <xf borderId="0" fillId="15" fontId="48" numFmtId="0" xfId="0" applyAlignment="1" applyFont="1">
      <alignment vertical="center"/>
    </xf>
    <xf borderId="49" fillId="17" fontId="49" numFmtId="4" xfId="0" applyAlignment="1" applyBorder="1" applyFont="1" applyNumberFormat="1">
      <alignment horizontal="center" shrinkToFit="0" vertical="center" wrapText="1"/>
    </xf>
    <xf borderId="19" fillId="0" fontId="31" numFmtId="0" xfId="0" applyBorder="1" applyFont="1"/>
    <xf borderId="69" fillId="0" fontId="57" numFmtId="0" xfId="0" applyAlignment="1" applyBorder="1" applyFont="1">
      <alignment readingOrder="0" shrinkToFit="0" vertical="center" wrapText="1"/>
    </xf>
    <xf borderId="69" fillId="0" fontId="57" numFmtId="0" xfId="0" applyAlignment="1" applyBorder="1" applyFont="1">
      <alignment shrinkToFit="0" vertical="center" wrapText="1"/>
    </xf>
    <xf borderId="69" fillId="0" fontId="57" numFmtId="49" xfId="0" applyAlignment="1" applyBorder="1" applyFont="1" applyNumberFormat="1">
      <alignment horizontal="center" readingOrder="0" shrinkToFit="0" vertical="center" wrapText="1"/>
    </xf>
    <xf borderId="69" fillId="0" fontId="57" numFmtId="49" xfId="0" applyAlignment="1" applyBorder="1" applyFont="1" applyNumberFormat="1">
      <alignment horizontal="center" shrinkToFit="0" vertical="center" wrapText="1"/>
    </xf>
    <xf borderId="69" fillId="0" fontId="57" numFmtId="0" xfId="0" applyAlignment="1" applyBorder="1" applyFont="1">
      <alignment horizontal="center" readingOrder="0" shrinkToFit="0" vertical="center" wrapText="1"/>
    </xf>
    <xf borderId="18" fillId="0" fontId="57" numFmtId="0" xfId="0" applyAlignment="1" applyBorder="1" applyFont="1">
      <alignment shrinkToFit="0" vertical="center" wrapText="1"/>
    </xf>
    <xf borderId="18" fillId="23" fontId="57" numFmtId="0" xfId="0" applyAlignment="1" applyBorder="1" applyFill="1" applyFont="1">
      <alignment horizontal="center" shrinkToFit="0" vertical="center" wrapText="1"/>
    </xf>
    <xf borderId="18" fillId="24" fontId="57" numFmtId="0" xfId="0" applyAlignment="1" applyBorder="1" applyFill="1" applyFont="1">
      <alignment horizontal="center" shrinkToFit="0" vertical="center" wrapText="1"/>
    </xf>
    <xf borderId="18" fillId="21" fontId="57" numFmtId="0" xfId="0" applyAlignment="1" applyBorder="1" applyFont="1">
      <alignment horizontal="center" shrinkToFit="0" vertical="center" wrapText="1"/>
    </xf>
    <xf borderId="18" fillId="25" fontId="57" numFmtId="0" xfId="0" applyAlignment="1" applyBorder="1" applyFill="1" applyFont="1">
      <alignment horizontal="center" shrinkToFit="0" vertical="center" wrapText="1"/>
    </xf>
    <xf borderId="18" fillId="26" fontId="57" numFmtId="0" xfId="0" applyAlignment="1" applyBorder="1" applyFill="1" applyFont="1">
      <alignment horizontal="center" shrinkToFit="0" vertical="center" wrapText="1"/>
    </xf>
    <xf borderId="18" fillId="15" fontId="57" numFmtId="0" xfId="0" applyAlignment="1" applyBorder="1" applyFont="1">
      <alignment horizontal="center" shrinkToFit="0" vertical="center" wrapText="1"/>
    </xf>
    <xf borderId="18" fillId="27" fontId="57" numFmtId="0" xfId="0" applyAlignment="1" applyBorder="1" applyFill="1" applyFont="1">
      <alignment horizontal="center" shrinkToFit="0" vertical="center" wrapText="1"/>
    </xf>
    <xf borderId="18" fillId="28" fontId="57" numFmtId="0" xfId="0" applyAlignment="1" applyBorder="1" applyFill="1" applyFont="1">
      <alignment horizontal="center" shrinkToFit="0" vertical="center" wrapText="1"/>
    </xf>
    <xf borderId="18" fillId="29" fontId="57" numFmtId="0" xfId="0" applyAlignment="1" applyBorder="1" applyFill="1" applyFont="1">
      <alignment horizontal="center" shrinkToFit="0" vertical="center" wrapText="1"/>
    </xf>
    <xf borderId="18" fillId="30" fontId="57" numFmtId="0" xfId="0" applyAlignment="1" applyBorder="1" applyFill="1" applyFont="1">
      <alignment horizontal="center" shrinkToFit="0" vertical="center" wrapText="1"/>
    </xf>
    <xf borderId="18" fillId="17" fontId="50" numFmtId="0" xfId="0" applyAlignment="1" applyBorder="1" applyFont="1">
      <alignment horizontal="center" shrinkToFit="0" vertical="center" wrapText="1"/>
    </xf>
    <xf borderId="18" fillId="17" fontId="50" numFmtId="4" xfId="0" applyAlignment="1" applyBorder="1" applyFont="1" applyNumberFormat="1">
      <alignment horizontal="center" shrinkToFit="0" vertical="center" wrapText="1"/>
    </xf>
    <xf borderId="18" fillId="15" fontId="50" numFmtId="0" xfId="0" applyAlignment="1" applyBorder="1" applyFont="1">
      <alignment horizontal="center" shrinkToFit="0" vertical="center" wrapText="1"/>
    </xf>
    <xf borderId="18" fillId="17" fontId="50" numFmtId="4" xfId="0" applyAlignment="1" applyBorder="1" applyFont="1" applyNumberFormat="1">
      <alignment horizontal="center" readingOrder="0" shrinkToFit="0" vertical="center" wrapText="1"/>
    </xf>
    <xf borderId="18" fillId="23" fontId="57" numFmtId="0" xfId="0" applyAlignment="1" applyBorder="1" applyFont="1">
      <alignment horizontal="center" readingOrder="0" shrinkToFit="0" vertical="center" wrapText="1"/>
    </xf>
    <xf borderId="18" fillId="24" fontId="57" numFmtId="0" xfId="0" applyAlignment="1" applyBorder="1" applyFont="1">
      <alignment horizontal="center" readingOrder="0" shrinkToFit="0" vertical="center" wrapText="1"/>
    </xf>
    <xf borderId="18" fillId="21" fontId="57" numFmtId="0" xfId="0" applyAlignment="1" applyBorder="1" applyFont="1">
      <alignment horizontal="center" readingOrder="0" shrinkToFit="0" vertical="center" wrapText="1"/>
    </xf>
    <xf borderId="18" fillId="25" fontId="57" numFmtId="0" xfId="0" applyAlignment="1" applyBorder="1" applyFont="1">
      <alignment horizontal="center" readingOrder="0" shrinkToFit="0" vertical="center" wrapText="1"/>
    </xf>
    <xf borderId="18" fillId="26" fontId="57" numFmtId="0" xfId="0" applyAlignment="1" applyBorder="1" applyFont="1">
      <alignment horizontal="center" readingOrder="0" shrinkToFit="0" vertical="center" wrapText="1"/>
    </xf>
    <xf borderId="18" fillId="15" fontId="57" numFmtId="0" xfId="0" applyAlignment="1" applyBorder="1" applyFont="1">
      <alignment horizontal="center" readingOrder="0" shrinkToFit="0" vertical="center" wrapText="1"/>
    </xf>
    <xf borderId="18" fillId="27" fontId="57" numFmtId="0" xfId="0" applyAlignment="1" applyBorder="1" applyFont="1">
      <alignment horizontal="center" readingOrder="0" shrinkToFit="0" vertical="center" wrapText="1"/>
    </xf>
    <xf borderId="18" fillId="28" fontId="57" numFmtId="0" xfId="0" applyAlignment="1" applyBorder="1" applyFont="1">
      <alignment horizontal="center" readingOrder="0" shrinkToFit="0" vertical="center" wrapText="1"/>
    </xf>
    <xf borderId="18" fillId="29" fontId="57" numFmtId="0" xfId="0" applyAlignment="1" applyBorder="1" applyFont="1">
      <alignment horizontal="center" readingOrder="0" shrinkToFit="0" vertical="center" wrapText="1"/>
    </xf>
    <xf borderId="18" fillId="30" fontId="57" numFmtId="0" xfId="0" applyAlignment="1" applyBorder="1" applyFont="1">
      <alignment horizontal="center" readingOrder="0" shrinkToFit="0" vertical="center" wrapText="1"/>
    </xf>
    <xf borderId="18" fillId="13" fontId="50" numFmtId="4" xfId="0" applyAlignment="1" applyBorder="1" applyFont="1" applyNumberFormat="1">
      <alignment shrinkToFit="0" vertical="center" wrapText="1"/>
    </xf>
    <xf borderId="18" fillId="0" fontId="57" numFmtId="0" xfId="0" applyAlignment="1" applyBorder="1" applyFont="1">
      <alignment readingOrder="0" shrinkToFit="0" vertical="center" wrapText="1"/>
    </xf>
    <xf borderId="18" fillId="0" fontId="57" numFmtId="1" xfId="0" applyAlignment="1" applyBorder="1" applyFont="1" applyNumberFormat="1">
      <alignment readingOrder="0"/>
    </xf>
    <xf borderId="70" fillId="4" fontId="52" numFmtId="0" xfId="0" applyAlignment="1" applyBorder="1" applyFont="1">
      <alignment readingOrder="0" shrinkToFit="0" wrapText="1"/>
    </xf>
    <xf borderId="70" fillId="4" fontId="53" numFmtId="0" xfId="0" applyAlignment="1" applyBorder="1" applyFont="1">
      <alignment readingOrder="0"/>
    </xf>
    <xf borderId="70" fillId="4" fontId="53" numFmtId="0" xfId="0" applyBorder="1" applyFont="1"/>
    <xf borderId="70" fillId="4" fontId="53" numFmtId="0" xfId="0" applyAlignment="1" applyBorder="1" applyFont="1">
      <alignment shrinkToFit="0" wrapText="1"/>
    </xf>
    <xf borderId="70" fillId="4" fontId="55" numFmtId="49" xfId="0" applyAlignment="1" applyBorder="1" applyFont="1" applyNumberFormat="1">
      <alignment horizontal="center" readingOrder="0"/>
    </xf>
    <xf borderId="70" fillId="4" fontId="53" numFmtId="49" xfId="0" applyAlignment="1" applyBorder="1" applyFont="1" applyNumberFormat="1">
      <alignment horizontal="center" vertical="center"/>
    </xf>
    <xf borderId="70" fillId="4" fontId="53" numFmtId="0" xfId="0" applyAlignment="1" applyBorder="1" applyFont="1">
      <alignment readingOrder="0" shrinkToFit="0" wrapText="1"/>
    </xf>
    <xf borderId="19" fillId="4" fontId="53" numFmtId="0" xfId="0" applyBorder="1" applyFont="1"/>
    <xf borderId="18" fillId="4" fontId="53" numFmtId="0" xfId="0" applyAlignment="1" applyBorder="1" applyFont="1">
      <alignment horizontal="center" vertical="center"/>
    </xf>
    <xf borderId="18" fillId="4" fontId="53" numFmtId="0" xfId="0" applyAlignment="1" applyBorder="1" applyFont="1">
      <alignment horizontal="center" readingOrder="0" vertical="center"/>
    </xf>
    <xf borderId="18" fillId="31" fontId="53" numFmtId="4" xfId="0" applyAlignment="1" applyBorder="1" applyFill="1" applyFont="1" applyNumberFormat="1">
      <alignment horizontal="center"/>
    </xf>
    <xf borderId="18" fillId="31" fontId="53" numFmtId="4" xfId="0" applyAlignment="1" applyBorder="1" applyFont="1" applyNumberFormat="1">
      <alignment horizontal="center" vertical="center"/>
    </xf>
    <xf borderId="18" fillId="4" fontId="53" numFmtId="4" xfId="0" applyAlignment="1" applyBorder="1" applyFont="1" applyNumberFormat="1">
      <alignment horizontal="right" vertical="center"/>
    </xf>
    <xf borderId="18" fillId="4" fontId="53" numFmtId="0" xfId="0" applyAlignment="1" applyBorder="1" applyFont="1">
      <alignment horizontal="center" shrinkToFit="0" vertical="center" wrapText="1"/>
    </xf>
    <xf borderId="18" fillId="4" fontId="53" numFmtId="4" xfId="0" applyAlignment="1" applyBorder="1" applyFont="1" applyNumberFormat="1">
      <alignment horizontal="center" vertical="center"/>
    </xf>
    <xf borderId="18" fillId="4" fontId="53" numFmtId="165" xfId="0" applyBorder="1" applyFont="1" applyNumberFormat="1"/>
    <xf borderId="18" fillId="4" fontId="55" numFmtId="165" xfId="0" applyBorder="1" applyFont="1" applyNumberFormat="1"/>
    <xf borderId="18" fillId="4" fontId="55" numFmtId="4" xfId="0" applyBorder="1" applyFont="1" applyNumberFormat="1"/>
    <xf borderId="18" fillId="4" fontId="1" numFmtId="0" xfId="0" applyAlignment="1" applyBorder="1" applyFont="1">
      <alignment shrinkToFit="0" wrapText="1"/>
    </xf>
    <xf borderId="18" fillId="0" fontId="1" numFmtId="0" xfId="0" applyAlignment="1" applyBorder="1" applyFont="1">
      <alignment readingOrder="0"/>
    </xf>
    <xf borderId="0" fillId="0" fontId="1" numFmtId="2" xfId="0" applyAlignment="1" applyFont="1" applyNumberFormat="1">
      <alignment readingOrder="0"/>
    </xf>
    <xf borderId="70" fillId="32" fontId="52" numFmtId="0" xfId="0" applyAlignment="1" applyBorder="1" applyFill="1" applyFont="1">
      <alignment readingOrder="0" shrinkToFit="0" wrapText="1"/>
    </xf>
    <xf borderId="70" fillId="32" fontId="53" numFmtId="0" xfId="0" applyAlignment="1" applyBorder="1" applyFont="1">
      <alignment readingOrder="0"/>
    </xf>
    <xf borderId="70" fillId="32" fontId="53" numFmtId="0" xfId="0" applyBorder="1" applyFont="1"/>
    <xf borderId="70" fillId="32" fontId="53" numFmtId="0" xfId="0" applyAlignment="1" applyBorder="1" applyFont="1">
      <alignment shrinkToFit="0" wrapText="1"/>
    </xf>
    <xf borderId="70" fillId="32" fontId="53" numFmtId="49" xfId="0" applyAlignment="1" applyBorder="1" applyFont="1" applyNumberFormat="1">
      <alignment horizontal="center" vertical="center"/>
    </xf>
    <xf borderId="70" fillId="32" fontId="53" numFmtId="0" xfId="0" applyAlignment="1" applyBorder="1" applyFont="1">
      <alignment readingOrder="0" shrinkToFit="0" wrapText="1"/>
    </xf>
    <xf borderId="19" fillId="32" fontId="53" numFmtId="0" xfId="0" applyBorder="1" applyFont="1"/>
    <xf borderId="18" fillId="32" fontId="53" numFmtId="0" xfId="0" applyAlignment="1" applyBorder="1" applyFont="1">
      <alignment horizontal="center" vertical="center"/>
    </xf>
    <xf borderId="18" fillId="32" fontId="53" numFmtId="0" xfId="0" applyAlignment="1" applyBorder="1" applyFont="1">
      <alignment horizontal="center" readingOrder="0" vertical="center"/>
    </xf>
    <xf borderId="18" fillId="32" fontId="53" numFmtId="4" xfId="0" applyAlignment="1" applyBorder="1" applyFont="1" applyNumberFormat="1">
      <alignment horizontal="right" vertical="center"/>
    </xf>
    <xf borderId="18" fillId="32" fontId="53" numFmtId="0" xfId="0" applyAlignment="1" applyBorder="1" applyFont="1">
      <alignment horizontal="center" shrinkToFit="0" vertical="center" wrapText="1"/>
    </xf>
    <xf borderId="18" fillId="32" fontId="53" numFmtId="4" xfId="0" applyAlignment="1" applyBorder="1" applyFont="1" applyNumberFormat="1">
      <alignment horizontal="center" vertical="center"/>
    </xf>
    <xf borderId="18" fillId="32" fontId="53" numFmtId="165" xfId="0" applyBorder="1" applyFont="1" applyNumberFormat="1"/>
    <xf borderId="18" fillId="32" fontId="55" numFmtId="165" xfId="0" applyBorder="1" applyFont="1" applyNumberFormat="1"/>
    <xf borderId="18" fillId="32" fontId="55" numFmtId="4" xfId="0" applyBorder="1" applyFont="1" applyNumberFormat="1"/>
    <xf borderId="18" fillId="32" fontId="1" numFmtId="0" xfId="0" applyAlignment="1" applyBorder="1" applyFont="1">
      <alignment shrinkToFit="0" wrapText="1"/>
    </xf>
    <xf borderId="18" fillId="4" fontId="56" numFmtId="0" xfId="0" applyAlignment="1" applyBorder="1" applyFont="1">
      <alignment horizontal="center" readingOrder="0" vertical="center"/>
    </xf>
    <xf borderId="18" fillId="32" fontId="55" numFmtId="0" xfId="0" applyAlignment="1" applyBorder="1" applyFont="1">
      <alignment horizontal="center" readingOrder="0" vertical="center"/>
    </xf>
    <xf borderId="18" fillId="32" fontId="56" numFmtId="0" xfId="0" applyAlignment="1" applyBorder="1" applyFont="1">
      <alignment horizontal="center" readingOrder="0" vertical="center"/>
    </xf>
    <xf borderId="18" fillId="4" fontId="55" numFmtId="0" xfId="0" applyAlignment="1" applyBorder="1" applyFont="1">
      <alignment horizontal="center" readingOrder="0" vertical="center"/>
    </xf>
    <xf borderId="18" fillId="4" fontId="58" numFmtId="165" xfId="0" applyBorder="1" applyFont="1" applyNumberFormat="1"/>
    <xf borderId="70" fillId="4" fontId="53" numFmtId="0" xfId="0" applyAlignment="1" applyBorder="1" applyFont="1">
      <alignment horizontal="center" vertical="center"/>
    </xf>
    <xf borderId="18" fillId="25" fontId="53" numFmtId="4" xfId="0" applyAlignment="1" applyBorder="1" applyFont="1" applyNumberFormat="1">
      <alignment horizontal="center"/>
    </xf>
    <xf borderId="18" fillId="4" fontId="53" numFmtId="4" xfId="0" applyAlignment="1" applyBorder="1" applyFont="1" applyNumberFormat="1">
      <alignment horizontal="center" readingOrder="0" vertical="center"/>
    </xf>
    <xf borderId="18" fillId="4" fontId="1" numFmtId="0" xfId="0" applyBorder="1" applyFont="1"/>
    <xf borderId="18" fillId="4" fontId="55" numFmtId="165" xfId="0" applyAlignment="1" applyBorder="1" applyFont="1" applyNumberFormat="1">
      <alignment readingOrder="0"/>
    </xf>
    <xf borderId="18" fillId="33" fontId="53" numFmtId="0" xfId="0" applyAlignment="1" applyBorder="1" applyFill="1" applyFont="1">
      <alignment horizontal="center" readingOrder="0" vertical="center"/>
    </xf>
    <xf borderId="70" fillId="32" fontId="53" numFmtId="49" xfId="0" applyAlignment="1" applyBorder="1" applyFont="1" applyNumberFormat="1">
      <alignment horizontal="center" shrinkToFit="0" vertical="center" wrapText="1"/>
    </xf>
    <xf borderId="19" fillId="32" fontId="53" numFmtId="0" xfId="0" applyAlignment="1" applyBorder="1" applyFont="1">
      <alignment shrinkToFit="0" wrapText="1"/>
    </xf>
    <xf borderId="18" fillId="32" fontId="53" numFmtId="4" xfId="0" applyAlignment="1" applyBorder="1" applyFont="1" applyNumberFormat="1">
      <alignment horizontal="center" shrinkToFit="0" vertical="center" wrapText="1"/>
    </xf>
    <xf borderId="18" fillId="32" fontId="53" numFmtId="165" xfId="0" applyAlignment="1" applyBorder="1" applyFont="1" applyNumberFormat="1">
      <alignment shrinkToFit="0" wrapText="1"/>
    </xf>
    <xf borderId="18" fillId="32" fontId="55" numFmtId="165" xfId="0" applyAlignment="1" applyBorder="1" applyFont="1" applyNumberFormat="1">
      <alignment shrinkToFit="0" wrapText="1"/>
    </xf>
    <xf borderId="70" fillId="32" fontId="53" numFmtId="0" xfId="0" applyAlignment="1" applyBorder="1" applyFont="1">
      <alignment horizontal="center" vertical="center"/>
    </xf>
    <xf borderId="18" fillId="32" fontId="53" numFmtId="4" xfId="0" applyAlignment="1" applyBorder="1" applyFont="1" applyNumberFormat="1">
      <alignment horizontal="center" readingOrder="0" vertical="center"/>
    </xf>
    <xf borderId="18" fillId="32" fontId="1" numFmtId="0" xfId="0" applyBorder="1" applyFont="1"/>
    <xf borderId="18" fillId="32" fontId="55" numFmtId="165" xfId="0" applyAlignment="1" applyBorder="1" applyFont="1" applyNumberFormat="1">
      <alignment readingOrder="0"/>
    </xf>
    <xf borderId="18" fillId="25" fontId="53" numFmtId="4" xfId="0" applyAlignment="1" applyBorder="1" applyFont="1" applyNumberFormat="1">
      <alignment horizontal="center" vertical="center"/>
    </xf>
    <xf borderId="70" fillId="7" fontId="53" numFmtId="0" xfId="0" applyBorder="1" applyFont="1"/>
    <xf borderId="18" fillId="7" fontId="53" numFmtId="0" xfId="0" applyAlignment="1" applyBorder="1" applyFont="1">
      <alignment horizontal="center" vertical="center"/>
    </xf>
    <xf borderId="18" fillId="7" fontId="56" numFmtId="0" xfId="0" applyAlignment="1" applyBorder="1" applyFont="1">
      <alignment horizontal="center" readingOrder="0" vertical="center"/>
    </xf>
    <xf borderId="70" fillId="4" fontId="53" numFmtId="49" xfId="0" applyAlignment="1" applyBorder="1" applyFont="1" applyNumberFormat="1">
      <alignment horizontal="center" shrinkToFit="0" vertical="center" wrapText="1"/>
    </xf>
    <xf borderId="19" fillId="4" fontId="53" numFmtId="0" xfId="0" applyAlignment="1" applyBorder="1" applyFont="1">
      <alignment shrinkToFit="0" wrapText="1"/>
    </xf>
    <xf borderId="18" fillId="4" fontId="53" numFmtId="4" xfId="0" applyAlignment="1" applyBorder="1" applyFont="1" applyNumberFormat="1">
      <alignment horizontal="center" shrinkToFit="0" vertical="center" wrapText="1"/>
    </xf>
    <xf borderId="18" fillId="4" fontId="58" numFmtId="165" xfId="0" applyAlignment="1" applyBorder="1" applyFont="1" applyNumberFormat="1">
      <alignment shrinkToFit="0" wrapText="1"/>
    </xf>
    <xf borderId="18" fillId="4" fontId="55" numFmtId="165" xfId="0" applyAlignment="1" applyBorder="1" applyFont="1" applyNumberFormat="1">
      <alignment shrinkToFit="0" wrapText="1"/>
    </xf>
    <xf borderId="18" fillId="34" fontId="53" numFmtId="0" xfId="0" applyAlignment="1" applyBorder="1" applyFill="1" applyFont="1">
      <alignment horizontal="center" readingOrder="0" vertical="center"/>
    </xf>
    <xf borderId="18" fillId="32" fontId="56" numFmtId="0" xfId="0" applyAlignment="1" applyBorder="1" applyFont="1">
      <alignment horizontal="center" vertical="center"/>
    </xf>
    <xf borderId="70" fillId="4" fontId="53" numFmtId="170" xfId="0" applyAlignment="1" applyBorder="1" applyFont="1" applyNumberFormat="1">
      <alignment readingOrder="0"/>
    </xf>
    <xf borderId="18" fillId="25" fontId="53" numFmtId="0" xfId="0" applyAlignment="1" applyBorder="1" applyFont="1">
      <alignment horizontal="center"/>
    </xf>
    <xf borderId="18" fillId="4" fontId="53" numFmtId="0" xfId="0" applyAlignment="1" applyBorder="1" applyFont="1">
      <alignment horizontal="center" vertical="center"/>
    </xf>
    <xf borderId="18" fillId="25" fontId="53" numFmtId="0" xfId="0" applyAlignment="1" applyBorder="1" applyFont="1">
      <alignment horizontal="center" readingOrder="0"/>
    </xf>
    <xf borderId="18" fillId="32" fontId="53" numFmtId="0" xfId="0" applyAlignment="1" applyBorder="1" applyFont="1">
      <alignment horizontal="center" vertical="center"/>
    </xf>
    <xf borderId="18" fillId="4" fontId="53" numFmtId="1" xfId="0" applyAlignment="1" applyBorder="1" applyFont="1" applyNumberFormat="1">
      <alignment horizontal="center" vertical="center"/>
    </xf>
    <xf borderId="18" fillId="4" fontId="53" numFmtId="1" xfId="0" applyAlignment="1" applyBorder="1" applyFont="1" applyNumberFormat="1">
      <alignment horizontal="center" readingOrder="0" vertical="center"/>
    </xf>
    <xf borderId="18" fillId="25" fontId="53" numFmtId="4" xfId="0" applyAlignment="1" applyBorder="1" applyFont="1" applyNumberFormat="1">
      <alignment horizontal="center" readingOrder="0" vertical="center"/>
    </xf>
    <xf borderId="70" fillId="32" fontId="53" numFmtId="0" xfId="0" applyAlignment="1" applyBorder="1" applyFont="1">
      <alignment horizontal="center" readingOrder="0" vertical="center"/>
    </xf>
    <xf borderId="70" fillId="35" fontId="53" numFmtId="0" xfId="0" applyAlignment="1" applyBorder="1" applyFill="1" applyFont="1">
      <alignment shrinkToFit="0" wrapText="1"/>
    </xf>
    <xf borderId="70" fillId="7" fontId="53" numFmtId="0" xfId="0" applyAlignment="1" applyBorder="1" applyFont="1">
      <alignment readingOrder="0" shrinkToFit="0" wrapText="1"/>
    </xf>
    <xf borderId="18" fillId="7" fontId="53" numFmtId="0" xfId="0" applyAlignment="1" applyBorder="1" applyFont="1">
      <alignment horizontal="center" readingOrder="0" vertical="center"/>
    </xf>
    <xf borderId="18" fillId="31" fontId="53" numFmtId="0" xfId="0" applyAlignment="1" applyBorder="1" applyFont="1">
      <alignment horizontal="center"/>
    </xf>
    <xf borderId="18" fillId="31" fontId="53" numFmtId="0" xfId="0" applyAlignment="1" applyBorder="1" applyFont="1">
      <alignment horizontal="center" vertical="center"/>
    </xf>
    <xf borderId="18" fillId="32" fontId="53" numFmtId="1" xfId="0" applyAlignment="1" applyBorder="1" applyFont="1" applyNumberFormat="1">
      <alignment horizontal="right" vertical="center"/>
    </xf>
    <xf borderId="18" fillId="32" fontId="53" numFmtId="0" xfId="0" applyAlignment="1" applyBorder="1" applyFont="1">
      <alignment horizontal="center" readingOrder="0" shrinkToFit="0" vertical="center" wrapText="1"/>
    </xf>
    <xf borderId="70" fillId="32" fontId="53" numFmtId="49" xfId="0" applyAlignment="1" applyBorder="1" applyFont="1" applyNumberFormat="1">
      <alignment horizontal="center" shrinkToFit="0" wrapText="1"/>
    </xf>
    <xf borderId="18" fillId="4" fontId="53" numFmtId="165" xfId="0" applyAlignment="1" applyBorder="1" applyFont="1" applyNumberFormat="1">
      <alignment shrinkToFit="0" wrapText="1"/>
    </xf>
    <xf borderId="70" fillId="4" fontId="57" numFmtId="49" xfId="0" applyAlignment="1" applyBorder="1" applyFont="1" applyNumberFormat="1">
      <alignment horizontal="center" vertical="center"/>
    </xf>
    <xf borderId="70" fillId="4" fontId="57" numFmtId="0" xfId="0" applyAlignment="1" applyBorder="1" applyFont="1">
      <alignment readingOrder="0" shrinkToFit="0" wrapText="1"/>
    </xf>
    <xf borderId="70" fillId="32" fontId="53" numFmtId="0" xfId="0" applyAlignment="1" applyBorder="1" applyFont="1">
      <alignment horizontal="center" shrinkToFit="0" vertical="center" wrapText="1"/>
    </xf>
    <xf borderId="18" fillId="32" fontId="53" numFmtId="0" xfId="0" applyAlignment="1" applyBorder="1" applyFont="1">
      <alignment horizontal="center" shrinkToFit="0" vertical="center" wrapText="1"/>
    </xf>
    <xf borderId="70" fillId="32" fontId="56" numFmtId="49" xfId="0" applyAlignment="1" applyBorder="1" applyFont="1" applyNumberFormat="1">
      <alignment horizontal="center" vertical="center"/>
    </xf>
    <xf borderId="18" fillId="32" fontId="53" numFmtId="4" xfId="0" applyAlignment="1" applyBorder="1" applyFont="1" applyNumberFormat="1">
      <alignment horizontal="center" readingOrder="0" shrinkToFit="0" vertical="center" wrapText="1"/>
    </xf>
    <xf borderId="70" fillId="36" fontId="53" numFmtId="0" xfId="0" applyAlignment="1" applyBorder="1" applyFill="1" applyFont="1">
      <alignment readingOrder="0" shrinkToFit="0" wrapText="1"/>
    </xf>
    <xf borderId="18" fillId="21" fontId="53" numFmtId="0" xfId="0" applyAlignment="1" applyBorder="1" applyFont="1">
      <alignment horizontal="center" vertical="center"/>
    </xf>
    <xf borderId="18" fillId="4" fontId="1" numFmtId="0" xfId="0" applyAlignment="1" applyBorder="1" applyFont="1">
      <alignment readingOrder="0" shrinkToFit="0" wrapText="1"/>
    </xf>
    <xf borderId="70" fillId="32" fontId="53" numFmtId="49" xfId="0" applyAlignment="1" applyBorder="1" applyFont="1" applyNumberFormat="1">
      <alignment horizontal="center" readingOrder="0" shrinkToFit="0" wrapText="1"/>
    </xf>
    <xf borderId="18" fillId="33" fontId="53" numFmtId="0" xfId="0" applyAlignment="1" applyBorder="1" applyFont="1">
      <alignment horizontal="center" vertical="center"/>
    </xf>
    <xf borderId="18" fillId="33" fontId="56" numFmtId="0" xfId="0" applyAlignment="1" applyBorder="1" applyFont="1">
      <alignment horizontal="center" readingOrder="0" vertical="center"/>
    </xf>
    <xf borderId="18" fillId="4" fontId="56" numFmtId="0" xfId="0" applyAlignment="1" applyBorder="1" applyFont="1">
      <alignment horizontal="center" vertical="center"/>
    </xf>
    <xf borderId="0" fillId="4" fontId="1" numFmtId="0" xfId="0" applyAlignment="1" applyFont="1">
      <alignment shrinkToFit="0" wrapText="1"/>
    </xf>
    <xf borderId="0" fillId="32" fontId="52" numFmtId="0" xfId="0" applyAlignment="1" applyFont="1">
      <alignment readingOrder="0" shrinkToFit="0" wrapText="1"/>
    </xf>
    <xf borderId="0" fillId="32" fontId="53" numFmtId="0" xfId="0" applyAlignment="1" applyFont="1">
      <alignment readingOrder="0"/>
    </xf>
    <xf borderId="16" fillId="32" fontId="53" numFmtId="0" xfId="0" applyBorder="1" applyFont="1"/>
    <xf borderId="16" fillId="32" fontId="53" numFmtId="0" xfId="0" applyAlignment="1" applyBorder="1" applyFont="1">
      <alignment shrinkToFit="0" wrapText="1"/>
    </xf>
    <xf borderId="16" fillId="32" fontId="53" numFmtId="0" xfId="0" applyAlignment="1" applyBorder="1" applyFont="1">
      <alignment readingOrder="0"/>
    </xf>
    <xf borderId="16" fillId="7" fontId="55" numFmtId="49" xfId="0" applyAlignment="1" applyBorder="1" applyFont="1" applyNumberFormat="1">
      <alignment horizontal="center" readingOrder="0"/>
    </xf>
    <xf borderId="16" fillId="4" fontId="55" numFmtId="49" xfId="0" applyAlignment="1" applyBorder="1" applyFont="1" applyNumberFormat="1">
      <alignment horizontal="center" readingOrder="0"/>
    </xf>
    <xf borderId="16" fillId="32" fontId="53" numFmtId="49" xfId="0" applyAlignment="1" applyBorder="1" applyFont="1" applyNumberFormat="1">
      <alignment horizontal="center" vertical="center"/>
    </xf>
    <xf borderId="16" fillId="32" fontId="53" numFmtId="0" xfId="0" applyAlignment="1" applyBorder="1" applyFont="1">
      <alignment readingOrder="0" shrinkToFit="0" wrapText="1"/>
    </xf>
    <xf borderId="18" fillId="32" fontId="53" numFmtId="0" xfId="0" applyBorder="1" applyFont="1"/>
    <xf borderId="18" fillId="7" fontId="56" numFmtId="0" xfId="0" applyAlignment="1" applyBorder="1" applyFont="1">
      <alignment horizontal="center" vertical="center"/>
    </xf>
    <xf borderId="18" fillId="32" fontId="1" numFmtId="0" xfId="0" applyAlignment="1" applyBorder="1" applyFont="1">
      <alignment readingOrder="0" shrinkToFit="0" wrapText="1"/>
    </xf>
    <xf borderId="0" fillId="4" fontId="52" numFmtId="0" xfId="0" applyAlignment="1" applyFont="1">
      <alignment readingOrder="0" shrinkToFit="0" wrapText="1"/>
    </xf>
    <xf borderId="0" fillId="4" fontId="53" numFmtId="0" xfId="0" applyAlignment="1" applyFont="1">
      <alignment readingOrder="0"/>
    </xf>
    <xf borderId="18" fillId="4" fontId="53" numFmtId="0" xfId="0" applyBorder="1" applyFont="1"/>
    <xf borderId="18" fillId="4" fontId="53" numFmtId="0" xfId="0" applyAlignment="1" applyBorder="1" applyFont="1">
      <alignment shrinkToFit="0" wrapText="1"/>
    </xf>
    <xf borderId="18" fillId="4" fontId="55" numFmtId="49" xfId="0" applyAlignment="1" applyBorder="1" applyFont="1" applyNumberFormat="1">
      <alignment horizontal="center" readingOrder="0"/>
    </xf>
    <xf borderId="0" fillId="32" fontId="53" numFmtId="0" xfId="0" applyFont="1"/>
    <xf borderId="18" fillId="32" fontId="53" numFmtId="0" xfId="0" applyAlignment="1" applyBorder="1" applyFont="1">
      <alignment shrinkToFit="0" wrapText="1"/>
    </xf>
    <xf borderId="18" fillId="22" fontId="53" numFmtId="0" xfId="0" applyAlignment="1" applyBorder="1" applyFont="1">
      <alignment horizontal="center" vertical="center"/>
    </xf>
    <xf borderId="18" fillId="37" fontId="53" numFmtId="0" xfId="0" applyAlignment="1" applyBorder="1" applyFill="1" applyFont="1">
      <alignment horizontal="center" shrinkToFit="0" vertical="center" wrapText="1"/>
    </xf>
    <xf borderId="18" fillId="4" fontId="59" numFmtId="0" xfId="0" applyAlignment="1" applyBorder="1" applyFont="1">
      <alignment horizontal="center" readingOrder="0" vertical="center"/>
    </xf>
    <xf borderId="0" fillId="4" fontId="53" numFmtId="0" xfId="0" applyFont="1"/>
    <xf borderId="0" fillId="4" fontId="53" numFmtId="0" xfId="0" applyAlignment="1" applyFont="1">
      <alignment shrinkToFit="0" wrapText="1"/>
    </xf>
    <xf borderId="0" fillId="0" fontId="53" numFmtId="0" xfId="0" applyAlignment="1" applyFont="1">
      <alignment shrinkToFit="0" wrapText="1"/>
    </xf>
    <xf borderId="18" fillId="0" fontId="53" numFmtId="0" xfId="0" applyAlignment="1" applyBorder="1" applyFont="1">
      <alignment shrinkToFit="0" wrapText="1"/>
    </xf>
    <xf borderId="18" fillId="4" fontId="55" numFmtId="0" xfId="0" applyAlignment="1" applyBorder="1" applyFont="1">
      <alignment horizontal="center" readingOrder="0"/>
    </xf>
    <xf borderId="18" fillId="0" fontId="53" numFmtId="0" xfId="0" applyAlignment="1" applyBorder="1" applyFont="1">
      <alignment horizontal="center" shrinkToFit="0" vertical="center" wrapText="1"/>
    </xf>
    <xf borderId="18" fillId="0" fontId="53" numFmtId="0" xfId="0" applyAlignment="1" applyBorder="1" applyFont="1">
      <alignment horizontal="center" vertical="center"/>
    </xf>
    <xf borderId="18" fillId="31" fontId="53" numFmtId="0" xfId="0" applyAlignment="1" applyBorder="1" applyFont="1">
      <alignment horizontal="center" vertical="center"/>
    </xf>
    <xf borderId="18" fillId="0" fontId="56" numFmtId="0" xfId="0" applyAlignment="1" applyBorder="1" applyFont="1">
      <alignment horizontal="center" readingOrder="0" vertical="center"/>
    </xf>
    <xf borderId="18" fillId="22" fontId="53" numFmtId="0" xfId="0" applyAlignment="1" applyBorder="1" applyFont="1">
      <alignment horizontal="center" vertical="center"/>
    </xf>
    <xf borderId="18" fillId="37" fontId="53" numFmtId="0" xfId="0" applyAlignment="1" applyBorder="1" applyFont="1">
      <alignment horizontal="center" shrinkToFit="0" vertical="center" wrapText="1"/>
    </xf>
    <xf borderId="18" fillId="0" fontId="53" numFmtId="165" xfId="0" applyAlignment="1" applyBorder="1" applyFont="1" applyNumberFormat="1">
      <alignment shrinkToFit="0" wrapText="1"/>
    </xf>
    <xf borderId="18" fillId="0" fontId="55" numFmtId="165" xfId="0" applyBorder="1" applyFont="1" applyNumberFormat="1"/>
    <xf borderId="18" fillId="0" fontId="55" numFmtId="165" xfId="0" applyBorder="1" applyFont="1" applyNumberFormat="1"/>
    <xf borderId="0" fillId="0" fontId="53" numFmtId="0" xfId="0" applyFont="1"/>
    <xf borderId="18" fillId="0" fontId="53" numFmtId="0" xfId="0" applyBorder="1" applyFont="1"/>
    <xf borderId="18" fillId="0" fontId="53" numFmtId="0" xfId="0" applyAlignment="1" applyBorder="1" applyFont="1">
      <alignment shrinkToFit="0" wrapText="1"/>
    </xf>
    <xf borderId="18" fillId="0" fontId="53" numFmtId="49" xfId="0" applyAlignment="1" applyBorder="1" applyFont="1" applyNumberFormat="1">
      <alignment horizontal="center"/>
    </xf>
    <xf borderId="18" fillId="0" fontId="53" numFmtId="0" xfId="0" applyAlignment="1" applyBorder="1" applyFont="1">
      <alignment horizontal="center" vertical="center"/>
    </xf>
    <xf borderId="18" fillId="0" fontId="55" numFmtId="4" xfId="0" applyBorder="1" applyFont="1" applyNumberFormat="1"/>
    <xf borderId="18" fillId="0" fontId="53" numFmtId="4" xfId="0" applyAlignment="1" applyBorder="1" applyFont="1" applyNumberFormat="1">
      <alignment horizontal="center" vertical="center"/>
    </xf>
    <xf borderId="18" fillId="0" fontId="53" numFmtId="4" xfId="0" applyAlignment="1" applyBorder="1" applyFont="1" applyNumberFormat="1">
      <alignment horizontal="right" vertical="center"/>
    </xf>
    <xf borderId="18" fillId="0" fontId="55" numFmtId="165" xfId="0" applyAlignment="1" applyBorder="1" applyFont="1" applyNumberFormat="1">
      <alignment readingOrder="0" shrinkToFit="0" wrapText="1"/>
    </xf>
    <xf borderId="0" fillId="15" fontId="48" numFmtId="0" xfId="0" applyAlignment="1" applyFont="1">
      <alignment shrinkToFit="0" vertical="center" wrapText="1"/>
    </xf>
    <xf borderId="71" fillId="15" fontId="48" numFmtId="0" xfId="0" applyAlignment="1" applyBorder="1" applyFont="1">
      <alignment shrinkToFit="0" vertical="center" wrapText="1"/>
    </xf>
    <xf borderId="72" fillId="15" fontId="48" numFmtId="0" xfId="0" applyAlignment="1" applyBorder="1" applyFont="1">
      <alignment horizontal="center" shrinkToFit="0" vertical="center" wrapText="1"/>
    </xf>
    <xf borderId="73" fillId="0" fontId="31" numFmtId="0" xfId="0" applyBorder="1" applyFont="1"/>
    <xf borderId="74" fillId="0" fontId="31" numFmtId="0" xfId="0" applyBorder="1" applyFont="1"/>
    <xf borderId="18" fillId="15" fontId="48" numFmtId="0" xfId="0" applyAlignment="1" applyBorder="1" applyFont="1">
      <alignment horizontal="center" shrinkToFit="0" vertical="center" wrapText="1"/>
    </xf>
    <xf borderId="75" fillId="15" fontId="48" numFmtId="4" xfId="0" applyAlignment="1" applyBorder="1" applyFont="1" applyNumberFormat="1">
      <alignment horizontal="center" shrinkToFit="0" vertical="center" wrapText="1"/>
    </xf>
    <xf borderId="73" fillId="15" fontId="48" numFmtId="4" xfId="0" applyAlignment="1" applyBorder="1" applyFont="1" applyNumberFormat="1">
      <alignment horizontal="center" shrinkToFit="0" vertical="center" wrapText="1"/>
    </xf>
    <xf borderId="19" fillId="0" fontId="53" numFmtId="4" xfId="0" applyBorder="1" applyFont="1" applyNumberFormat="1"/>
    <xf borderId="18" fillId="0" fontId="53" numFmtId="4" xfId="0" applyBorder="1" applyFont="1" applyNumberFormat="1"/>
    <xf borderId="0" fillId="0" fontId="53" numFmtId="0" xfId="0" applyAlignment="1" applyFont="1">
      <alignment shrinkToFit="0" wrapText="1"/>
    </xf>
    <xf borderId="0" fillId="0" fontId="53" numFmtId="2" xfId="0" applyFont="1" applyNumberFormat="1"/>
    <xf borderId="0" fillId="0" fontId="53" numFmtId="1" xfId="0" applyFont="1" applyNumberFormat="1"/>
    <xf borderId="22" fillId="15" fontId="48" numFmtId="0" xfId="0" applyAlignment="1" applyBorder="1" applyFont="1">
      <alignment shrinkToFit="0" vertical="center" wrapText="1"/>
    </xf>
    <xf borderId="18" fillId="15" fontId="48" numFmtId="49" xfId="0" applyAlignment="1" applyBorder="1" applyFont="1" applyNumberFormat="1">
      <alignment horizontal="center" shrinkToFit="0" vertical="center" wrapText="1"/>
    </xf>
    <xf borderId="17" fillId="15" fontId="48" numFmtId="0" xfId="0" applyAlignment="1" applyBorder="1" applyFont="1">
      <alignment horizontal="center" shrinkToFit="0" vertical="center" wrapText="1"/>
    </xf>
    <xf borderId="12" fillId="15" fontId="48" numFmtId="0" xfId="0" applyAlignment="1" applyBorder="1" applyFont="1">
      <alignment horizontal="center" shrinkToFit="0" vertical="center" wrapText="1"/>
    </xf>
    <xf borderId="13" fillId="15" fontId="48" numFmtId="0" xfId="0" applyAlignment="1" applyBorder="1" applyFont="1">
      <alignment horizontal="center" shrinkToFit="0" vertical="center" wrapText="1"/>
    </xf>
    <xf borderId="76" fillId="15" fontId="48" numFmtId="4" xfId="0" applyAlignment="1" applyBorder="1" applyFont="1" applyNumberFormat="1">
      <alignment horizontal="center" shrinkToFit="0" vertical="center" wrapText="1"/>
    </xf>
    <xf borderId="12" fillId="15" fontId="48" numFmtId="4" xfId="0" applyAlignment="1" applyBorder="1" applyFont="1" applyNumberFormat="1">
      <alignment horizontal="center" shrinkToFit="0" vertical="center" wrapText="1"/>
    </xf>
    <xf borderId="18" fillId="38" fontId="57" numFmtId="0" xfId="0" applyAlignment="1" applyBorder="1" applyFill="1" applyFont="1">
      <alignment readingOrder="0" shrinkToFit="0" vertical="center" wrapText="1"/>
    </xf>
    <xf borderId="18" fillId="38" fontId="57" numFmtId="0" xfId="0" applyAlignment="1" applyBorder="1" applyFont="1">
      <alignment shrinkToFit="0" wrapText="1"/>
    </xf>
    <xf borderId="18" fillId="38" fontId="57" numFmtId="0" xfId="0" applyAlignment="1" applyBorder="1" applyFont="1">
      <alignment readingOrder="0" shrinkToFit="0" wrapText="1"/>
    </xf>
    <xf borderId="18" fillId="38" fontId="57" numFmtId="49" xfId="0" applyAlignment="1" applyBorder="1" applyFont="1" applyNumberFormat="1">
      <alignment horizontal="center" readingOrder="0" shrinkToFit="0" wrapText="1"/>
    </xf>
    <xf borderId="18" fillId="38" fontId="57" numFmtId="49" xfId="0" applyAlignment="1" applyBorder="1" applyFont="1" applyNumberFormat="1">
      <alignment horizontal="center" shrinkToFit="0" wrapText="1"/>
    </xf>
    <xf borderId="18" fillId="38" fontId="57" numFmtId="0" xfId="0" applyAlignment="1" applyBorder="1" applyFont="1">
      <alignment readingOrder="0" shrinkToFit="0" textRotation="90" wrapText="1"/>
    </xf>
    <xf borderId="18" fillId="38" fontId="53" numFmtId="0" xfId="0" applyAlignment="1" applyBorder="1" applyFont="1">
      <alignment horizontal="center" shrinkToFit="0" textRotation="90" vertical="center" wrapText="1"/>
    </xf>
    <xf borderId="18" fillId="39" fontId="53" numFmtId="0" xfId="0" applyAlignment="1" applyBorder="1" applyFill="1" applyFont="1">
      <alignment horizontal="center" shrinkToFit="0" textRotation="90" vertical="center" wrapText="1"/>
    </xf>
    <xf borderId="18" fillId="21" fontId="53" numFmtId="0" xfId="0" applyAlignment="1" applyBorder="1" applyFont="1">
      <alignment horizontal="center" shrinkToFit="0" textRotation="90" vertical="center" wrapText="1"/>
    </xf>
    <xf borderId="18" fillId="25" fontId="53" numFmtId="0" xfId="0" applyAlignment="1" applyBorder="1" applyFont="1">
      <alignment horizontal="center" shrinkToFit="0" textRotation="90" vertical="center" wrapText="1"/>
    </xf>
    <xf borderId="18" fillId="40" fontId="53" numFmtId="0" xfId="0" applyAlignment="1" applyBorder="1" applyFill="1" applyFont="1">
      <alignment horizontal="center" shrinkToFit="0" textRotation="90" vertical="center" wrapText="1"/>
    </xf>
    <xf borderId="18" fillId="41" fontId="53" numFmtId="0" xfId="0" applyAlignment="1" applyBorder="1" applyFill="1" applyFont="1">
      <alignment horizontal="center" shrinkToFit="0" textRotation="90" vertical="center" wrapText="1"/>
    </xf>
    <xf borderId="18" fillId="4" fontId="53" numFmtId="0" xfId="0" applyAlignment="1" applyBorder="1" applyFont="1">
      <alignment horizontal="center" shrinkToFit="0" textRotation="90" vertical="center" wrapText="1"/>
    </xf>
    <xf borderId="18" fillId="7" fontId="53" numFmtId="0" xfId="0" applyAlignment="1" applyBorder="1" applyFont="1">
      <alignment horizontal="center" shrinkToFit="0" textRotation="90" vertical="center" wrapText="1"/>
    </xf>
    <xf borderId="18" fillId="36" fontId="53" numFmtId="0" xfId="0" applyAlignment="1" applyBorder="1" applyFont="1">
      <alignment horizontal="center" shrinkToFit="0" textRotation="90" vertical="center" wrapText="1"/>
    </xf>
    <xf borderId="49" fillId="42" fontId="53" numFmtId="0" xfId="0" applyAlignment="1" applyBorder="1" applyFill="1" applyFont="1">
      <alignment horizontal="center" shrinkToFit="0" textRotation="90" vertical="center" wrapText="1"/>
    </xf>
    <xf borderId="76" fillId="38" fontId="53" numFmtId="4" xfId="0" applyAlignment="1" applyBorder="1" applyFont="1" applyNumberFormat="1">
      <alignment horizontal="center" shrinkToFit="0" vertical="center" wrapText="1"/>
    </xf>
    <xf borderId="19" fillId="38" fontId="53" numFmtId="4" xfId="0" applyAlignment="1" applyBorder="1" applyFont="1" applyNumberFormat="1">
      <alignment horizontal="center" shrinkToFit="0" textRotation="90" vertical="center" wrapText="1"/>
    </xf>
    <xf borderId="18" fillId="38" fontId="53" numFmtId="4" xfId="0" applyAlignment="1" applyBorder="1" applyFont="1" applyNumberFormat="1">
      <alignment horizontal="center" shrinkToFit="0" textRotation="90" vertical="center" wrapText="1"/>
    </xf>
    <xf borderId="49" fillId="38" fontId="53" numFmtId="4" xfId="0" applyAlignment="1" applyBorder="1" applyFont="1" applyNumberFormat="1">
      <alignment horizontal="center" shrinkToFit="0" textRotation="90" vertical="center" wrapText="1"/>
    </xf>
    <xf borderId="19" fillId="38" fontId="53" numFmtId="4" xfId="0" applyAlignment="1" applyBorder="1" applyFont="1" applyNumberFormat="1">
      <alignment horizontal="center" shrinkToFit="0" vertical="center" wrapText="1"/>
    </xf>
    <xf borderId="18" fillId="38" fontId="53" numFmtId="4" xfId="0" applyAlignment="1" applyBorder="1" applyFont="1" applyNumberFormat="1">
      <alignment horizontal="center" shrinkToFit="0" vertical="center" wrapText="1"/>
    </xf>
    <xf borderId="49" fillId="38" fontId="53" numFmtId="4" xfId="0" applyAlignment="1" applyBorder="1" applyFont="1" applyNumberFormat="1">
      <alignment horizontal="center" shrinkToFit="0" vertical="center" wrapText="1"/>
    </xf>
    <xf borderId="19" fillId="38" fontId="51" numFmtId="4" xfId="0" applyAlignment="1" applyBorder="1" applyFont="1" applyNumberFormat="1">
      <alignment readingOrder="0" shrinkToFit="0" wrapText="1"/>
    </xf>
    <xf borderId="18" fillId="38" fontId="51" numFmtId="4" xfId="0" applyAlignment="1" applyBorder="1" applyFont="1" applyNumberFormat="1">
      <alignment horizontal="center" shrinkToFit="0" vertical="center" wrapText="1"/>
    </xf>
    <xf borderId="18" fillId="38" fontId="57" numFmtId="4" xfId="0" applyAlignment="1" applyBorder="1" applyFont="1" applyNumberFormat="1">
      <alignment horizontal="center" shrinkToFit="0" vertical="center" wrapText="1"/>
    </xf>
    <xf borderId="19" fillId="38" fontId="57" numFmtId="4" xfId="0" applyAlignment="1" applyBorder="1" applyFont="1" applyNumberFormat="1">
      <alignment horizontal="center" shrinkToFit="0" vertical="center" wrapText="1"/>
    </xf>
    <xf borderId="18" fillId="38" fontId="50" numFmtId="4" xfId="0" applyAlignment="1" applyBorder="1" applyFont="1" applyNumberFormat="1">
      <alignment shrinkToFit="0" vertical="center" wrapText="1"/>
    </xf>
    <xf borderId="18" fillId="38" fontId="57" numFmtId="4" xfId="0" applyAlignment="1" applyBorder="1" applyFont="1" applyNumberFormat="1">
      <alignment horizontal="center" readingOrder="0" shrinkToFit="0" vertical="center" wrapText="1"/>
    </xf>
    <xf borderId="19" fillId="38" fontId="57" numFmtId="4" xfId="0" applyAlignment="1" applyBorder="1" applyFont="1" applyNumberFormat="1">
      <alignment horizontal="center" readingOrder="0" shrinkToFit="0" vertical="center" wrapText="1"/>
    </xf>
    <xf borderId="18" fillId="38" fontId="53" numFmtId="0" xfId="0" applyAlignment="1" applyBorder="1" applyFont="1">
      <alignment readingOrder="0" shrinkToFit="0" wrapText="1"/>
    </xf>
    <xf borderId="18" fillId="38" fontId="53" numFmtId="0" xfId="0" applyAlignment="1" applyBorder="1" applyFont="1">
      <alignment readingOrder="0"/>
    </xf>
    <xf borderId="19" fillId="38" fontId="53" numFmtId="0" xfId="0" applyAlignment="1" applyBorder="1" applyFont="1">
      <alignment horizontal="center" shrinkToFit="0" vertical="center" wrapText="1"/>
    </xf>
    <xf borderId="18" fillId="38" fontId="53" numFmtId="0" xfId="0" applyAlignment="1" applyBorder="1" applyFont="1">
      <alignment horizontal="center" shrinkToFit="0" vertical="center" wrapText="1"/>
    </xf>
    <xf borderId="49" fillId="38" fontId="53" numFmtId="0" xfId="0" applyAlignment="1" applyBorder="1" applyFont="1">
      <alignment horizontal="center" shrinkToFit="0" vertical="center" wrapText="1"/>
    </xf>
    <xf borderId="76" fillId="38" fontId="53" numFmtId="0" xfId="0" applyAlignment="1" applyBorder="1" applyFont="1">
      <alignment horizontal="center" readingOrder="0" shrinkToFit="0" vertical="center" wrapText="1"/>
    </xf>
    <xf borderId="0" fillId="38" fontId="57" numFmtId="0" xfId="0" applyAlignment="1" applyFont="1">
      <alignment horizontal="center" readingOrder="0" shrinkToFit="0" vertical="center" wrapText="1"/>
    </xf>
    <xf borderId="0" fillId="38" fontId="53" numFmtId="2" xfId="0" applyAlignment="1" applyFont="1" applyNumberFormat="1">
      <alignment horizontal="center" readingOrder="0" shrinkToFit="0" vertical="center" wrapText="1"/>
    </xf>
    <xf borderId="0" fillId="38" fontId="53" numFmtId="1" xfId="0" applyAlignment="1" applyFont="1" applyNumberFormat="1">
      <alignment horizontal="center" readingOrder="0" shrinkToFit="0" vertical="center" wrapText="1"/>
    </xf>
    <xf borderId="18" fillId="4" fontId="53" numFmtId="49" xfId="0" applyAlignment="1" applyBorder="1" applyFont="1" applyNumberFormat="1">
      <alignment horizontal="center" readingOrder="0"/>
    </xf>
    <xf borderId="18" fillId="4" fontId="53" numFmtId="49" xfId="0" applyAlignment="1" applyBorder="1" applyFont="1" applyNumberFormat="1">
      <alignment horizontal="center"/>
    </xf>
    <xf borderId="18" fillId="4" fontId="55" numFmtId="0" xfId="0" applyBorder="1" applyFont="1"/>
    <xf borderId="18" fillId="43" fontId="53" numFmtId="0" xfId="0" applyAlignment="1" applyBorder="1" applyFill="1" applyFont="1">
      <alignment shrinkToFit="0" wrapText="1"/>
    </xf>
    <xf borderId="18" fillId="4" fontId="53" numFmtId="0" xfId="0" applyAlignment="1" applyBorder="1" applyFont="1">
      <alignment readingOrder="0"/>
    </xf>
    <xf borderId="18" fillId="4" fontId="60" numFmtId="0" xfId="0" applyBorder="1" applyFont="1"/>
    <xf borderId="18" fillId="4" fontId="53" numFmtId="2" xfId="0" applyBorder="1" applyFont="1" applyNumberFormat="1"/>
    <xf borderId="49" fillId="4" fontId="53" numFmtId="2" xfId="0" applyBorder="1" applyFont="1" applyNumberFormat="1"/>
    <xf borderId="76" fillId="31" fontId="53" numFmtId="4" xfId="0" applyBorder="1" applyFont="1" applyNumberFormat="1"/>
    <xf borderId="19" fillId="7" fontId="53" numFmtId="4" xfId="0" applyBorder="1" applyFont="1" applyNumberFormat="1"/>
    <xf borderId="18" fillId="7" fontId="53" numFmtId="4" xfId="0" applyBorder="1" applyFont="1" applyNumberFormat="1"/>
    <xf borderId="18" fillId="4" fontId="53" numFmtId="4" xfId="0" applyBorder="1" applyFont="1" applyNumberFormat="1"/>
    <xf borderId="18" fillId="7" fontId="56" numFmtId="4" xfId="0" applyAlignment="1" applyBorder="1" applyFont="1" applyNumberFormat="1">
      <alignment readingOrder="0"/>
    </xf>
    <xf borderId="49" fillId="4" fontId="53" numFmtId="4" xfId="0" applyBorder="1" applyFont="1" applyNumberFormat="1"/>
    <xf borderId="19" fillId="4" fontId="53" numFmtId="4" xfId="0" applyBorder="1" applyFont="1" applyNumberFormat="1"/>
    <xf borderId="18" fillId="7" fontId="56" numFmtId="4" xfId="0" applyBorder="1" applyFont="1" applyNumberFormat="1"/>
    <xf borderId="49" fillId="7" fontId="56" numFmtId="4" xfId="0" applyBorder="1" applyFont="1" applyNumberFormat="1"/>
    <xf borderId="18" fillId="4" fontId="53" numFmtId="4" xfId="0" applyAlignment="1" applyBorder="1" applyFont="1" applyNumberFormat="1">
      <alignment readingOrder="0"/>
    </xf>
    <xf borderId="18" fillId="4" fontId="53" numFmtId="165" xfId="0" applyAlignment="1" applyBorder="1" applyFont="1" applyNumberFormat="1">
      <alignment readingOrder="0"/>
    </xf>
    <xf borderId="0" fillId="4" fontId="53" numFmtId="165" xfId="0" applyAlignment="1" applyFont="1" applyNumberFormat="1">
      <alignment readingOrder="0"/>
    </xf>
    <xf borderId="0" fillId="4" fontId="53" numFmtId="165" xfId="0" applyAlignment="1" applyFont="1" applyNumberFormat="1">
      <alignment readingOrder="0" shrinkToFit="0" wrapText="1"/>
    </xf>
    <xf borderId="0" fillId="4" fontId="53" numFmtId="1" xfId="0" applyAlignment="1" applyFont="1" applyNumberFormat="1">
      <alignment readingOrder="0"/>
    </xf>
    <xf borderId="18" fillId="32" fontId="54" numFmtId="0" xfId="0" applyAlignment="1" applyBorder="1" applyFont="1">
      <alignment shrinkToFit="0" vertical="top" wrapText="1"/>
    </xf>
    <xf borderId="18" fillId="7" fontId="53" numFmtId="0" xfId="0" applyAlignment="1" applyBorder="1" applyFont="1">
      <alignment readingOrder="0"/>
    </xf>
    <xf borderId="49" fillId="32" fontId="53" numFmtId="0" xfId="0" applyBorder="1" applyFont="1"/>
    <xf borderId="19" fillId="32" fontId="53" numFmtId="4" xfId="0" applyBorder="1" applyFont="1" applyNumberFormat="1"/>
    <xf borderId="18" fillId="32" fontId="53" numFmtId="4" xfId="0" applyBorder="1" applyFont="1" applyNumberFormat="1"/>
    <xf borderId="18" fillId="7" fontId="53" numFmtId="4" xfId="0" applyAlignment="1" applyBorder="1" applyFont="1" applyNumberFormat="1">
      <alignment readingOrder="0"/>
    </xf>
    <xf borderId="49" fillId="7" fontId="56" numFmtId="4" xfId="0" applyAlignment="1" applyBorder="1" applyFont="1" applyNumberFormat="1">
      <alignment readingOrder="0"/>
    </xf>
    <xf borderId="49" fillId="32" fontId="53" numFmtId="4" xfId="0" applyBorder="1" applyFont="1" applyNumberFormat="1"/>
    <xf borderId="18" fillId="32" fontId="53" numFmtId="4" xfId="0" applyAlignment="1" applyBorder="1" applyFont="1" applyNumberFormat="1">
      <alignment readingOrder="0"/>
    </xf>
    <xf borderId="0" fillId="32" fontId="53" numFmtId="165" xfId="0" applyFont="1" applyNumberFormat="1"/>
    <xf borderId="0" fillId="32" fontId="53" numFmtId="165" xfId="0" applyAlignment="1" applyFont="1" applyNumberFormat="1">
      <alignment readingOrder="0" shrinkToFit="0" wrapText="1"/>
    </xf>
    <xf borderId="0" fillId="32" fontId="53" numFmtId="1" xfId="0" applyAlignment="1" applyFont="1" applyNumberFormat="1">
      <alignment readingOrder="0"/>
    </xf>
    <xf borderId="0" fillId="32" fontId="53" numFmtId="1" xfId="0" applyFont="1" applyNumberFormat="1"/>
    <xf borderId="18" fillId="4" fontId="53" numFmtId="49" xfId="0" applyAlignment="1" applyBorder="1" applyFont="1" applyNumberFormat="1">
      <alignment readingOrder="0"/>
    </xf>
    <xf borderId="0" fillId="4" fontId="53" numFmtId="49" xfId="0" applyFont="1" applyNumberFormat="1"/>
    <xf borderId="18" fillId="7" fontId="61" numFmtId="0" xfId="0" applyAlignment="1" applyBorder="1" applyFont="1">
      <alignment readingOrder="0"/>
    </xf>
    <xf borderId="49" fillId="4" fontId="55" numFmtId="0" xfId="0" applyBorder="1" applyFont="1"/>
    <xf borderId="19" fillId="4" fontId="55" numFmtId="4" xfId="0" applyBorder="1" applyFont="1" applyNumberFormat="1"/>
    <xf borderId="49" fillId="4" fontId="55" numFmtId="4" xfId="0" applyBorder="1" applyFont="1" applyNumberFormat="1"/>
    <xf borderId="0" fillId="4" fontId="53" numFmtId="165" xfId="0" applyFont="1" applyNumberFormat="1"/>
    <xf borderId="0" fillId="4" fontId="53" numFmtId="1" xfId="0" applyFont="1" applyNumberFormat="1"/>
    <xf borderId="18" fillId="32" fontId="52" numFmtId="0" xfId="0" applyAlignment="1" applyBorder="1" applyFont="1">
      <alignment readingOrder="0" shrinkToFit="0" wrapText="1"/>
    </xf>
    <xf borderId="18" fillId="32" fontId="53" numFmtId="0" xfId="0" applyAlignment="1" applyBorder="1" applyFont="1">
      <alignment readingOrder="0"/>
    </xf>
    <xf borderId="18" fillId="32" fontId="53" numFmtId="49" xfId="0" applyAlignment="1" applyBorder="1" applyFont="1" applyNumberFormat="1">
      <alignment horizontal="center" readingOrder="0"/>
    </xf>
    <xf borderId="18" fillId="32" fontId="55" numFmtId="49" xfId="0" applyBorder="1" applyFont="1" applyNumberFormat="1"/>
    <xf borderId="18" fillId="32" fontId="53" numFmtId="49" xfId="0" applyAlignment="1" applyBorder="1" applyFont="1" applyNumberFormat="1">
      <alignment shrinkToFit="0" wrapText="1"/>
    </xf>
    <xf borderId="49" fillId="40" fontId="53" numFmtId="4" xfId="0" applyBorder="1" applyFont="1" applyNumberFormat="1"/>
    <xf borderId="18" fillId="32" fontId="53" numFmtId="2" xfId="0" applyAlignment="1" applyBorder="1" applyFont="1" applyNumberFormat="1">
      <alignment readingOrder="0"/>
    </xf>
    <xf borderId="0" fillId="32" fontId="53" numFmtId="0" xfId="0" applyAlignment="1" applyFont="1">
      <alignment shrinkToFit="0" wrapText="1"/>
    </xf>
    <xf borderId="0" fillId="32" fontId="53" numFmtId="2" xfId="0" applyAlignment="1" applyFont="1" applyNumberFormat="1">
      <alignment readingOrder="0"/>
    </xf>
    <xf borderId="18" fillId="4" fontId="52" numFmtId="0" xfId="0" applyAlignment="1" applyBorder="1" applyFont="1">
      <alignment readingOrder="0" shrinkToFit="0" wrapText="1"/>
    </xf>
    <xf borderId="18" fillId="4" fontId="53" numFmtId="49" xfId="0" applyBorder="1" applyFont="1" applyNumberFormat="1"/>
    <xf borderId="18" fillId="4" fontId="53" numFmtId="49" xfId="0" applyAlignment="1" applyBorder="1" applyFont="1" applyNumberFormat="1">
      <alignment shrinkToFit="0" wrapText="1"/>
    </xf>
    <xf borderId="49" fillId="4" fontId="53" numFmtId="0" xfId="0" applyAlignment="1" applyBorder="1" applyFont="1">
      <alignment readingOrder="0"/>
    </xf>
    <xf borderId="49" fillId="4" fontId="56" numFmtId="4" xfId="0" applyAlignment="1" applyBorder="1" applyFont="1" applyNumberFormat="1">
      <alignment readingOrder="0"/>
    </xf>
    <xf borderId="49" fillId="4" fontId="53" numFmtId="4" xfId="0" applyAlignment="1" applyBorder="1" applyFont="1" applyNumberFormat="1">
      <alignment readingOrder="0"/>
    </xf>
    <xf borderId="18" fillId="4" fontId="53" numFmtId="2" xfId="0" applyAlignment="1" applyBorder="1" applyFont="1" applyNumberFormat="1">
      <alignment readingOrder="0"/>
    </xf>
    <xf borderId="0" fillId="4" fontId="53" numFmtId="2" xfId="0" applyAlignment="1" applyFont="1" applyNumberFormat="1">
      <alignment readingOrder="0"/>
    </xf>
    <xf borderId="18" fillId="32" fontId="53" numFmtId="49" xfId="0" applyBorder="1" applyFont="1" applyNumberFormat="1"/>
    <xf borderId="18" fillId="7" fontId="53" numFmtId="0" xfId="0" applyBorder="1" applyFont="1"/>
    <xf borderId="49" fillId="32" fontId="56" numFmtId="0" xfId="0" applyAlignment="1" applyBorder="1" applyFont="1">
      <alignment readingOrder="0"/>
    </xf>
    <xf borderId="49" fillId="40" fontId="56" numFmtId="4" xfId="0" applyAlignment="1" applyBorder="1" applyFont="1" applyNumberFormat="1">
      <alignment readingOrder="0"/>
    </xf>
    <xf borderId="18" fillId="4" fontId="55" numFmtId="49" xfId="0" applyBorder="1" applyFont="1" applyNumberFormat="1"/>
    <xf borderId="18" fillId="4" fontId="56" numFmtId="0" xfId="0" applyAlignment="1" applyBorder="1" applyFont="1">
      <alignment readingOrder="0"/>
    </xf>
    <xf borderId="49" fillId="32" fontId="53" numFmtId="0" xfId="0" applyAlignment="1" applyBorder="1" applyFont="1">
      <alignment readingOrder="0"/>
    </xf>
    <xf borderId="49" fillId="32" fontId="56" numFmtId="4" xfId="0" applyAlignment="1" applyBorder="1" applyFont="1" applyNumberFormat="1">
      <alignment readingOrder="0"/>
    </xf>
    <xf borderId="49" fillId="4" fontId="53" numFmtId="0" xfId="0" applyBorder="1" applyFont="1"/>
    <xf borderId="49" fillId="32" fontId="53" numFmtId="4" xfId="0" applyAlignment="1" applyBorder="1" applyFont="1" applyNumberFormat="1">
      <alignment readingOrder="0"/>
    </xf>
    <xf borderId="18" fillId="34" fontId="53" numFmtId="0" xfId="0" applyAlignment="1" applyBorder="1" applyFont="1">
      <alignment readingOrder="0"/>
    </xf>
    <xf borderId="19" fillId="21" fontId="53" numFmtId="4" xfId="0" applyAlignment="1" applyBorder="1" applyFont="1" applyNumberFormat="1">
      <alignment readingOrder="0"/>
    </xf>
    <xf borderId="0" fillId="4" fontId="53" numFmtId="4" xfId="0" applyFont="1" applyNumberFormat="1"/>
    <xf borderId="18" fillId="44" fontId="53" numFmtId="4" xfId="0" applyAlignment="1" applyBorder="1" applyFill="1" applyFont="1" applyNumberFormat="1">
      <alignment readingOrder="0"/>
    </xf>
    <xf borderId="49" fillId="7" fontId="53" numFmtId="0" xfId="0" applyBorder="1" applyFont="1"/>
    <xf borderId="49" fillId="7" fontId="53" numFmtId="4" xfId="0" applyBorder="1" applyFont="1" applyNumberFormat="1"/>
    <xf borderId="19" fillId="32" fontId="53" numFmtId="4" xfId="0" applyAlignment="1" applyBorder="1" applyFont="1" applyNumberFormat="1">
      <alignment readingOrder="0"/>
    </xf>
    <xf borderId="19" fillId="7" fontId="53" numFmtId="4" xfId="0" applyAlignment="1" applyBorder="1" applyFont="1" applyNumberFormat="1">
      <alignment readingOrder="0"/>
    </xf>
    <xf borderId="49" fillId="7" fontId="56" numFmtId="0" xfId="0" applyAlignment="1" applyBorder="1" applyFont="1">
      <alignment readingOrder="0"/>
    </xf>
    <xf borderId="19" fillId="4" fontId="53" numFmtId="4" xfId="0" applyAlignment="1" applyBorder="1" applyFont="1" applyNumberFormat="1">
      <alignment readingOrder="0"/>
    </xf>
    <xf borderId="18" fillId="32" fontId="53" numFmtId="49" xfId="0" applyAlignment="1" applyBorder="1" applyFont="1" applyNumberFormat="1">
      <alignment horizontal="center"/>
    </xf>
    <xf borderId="18" fillId="33" fontId="53" numFmtId="49" xfId="0" applyBorder="1" applyFont="1" applyNumberFormat="1"/>
    <xf borderId="18" fillId="33" fontId="53" numFmtId="49" xfId="0" applyAlignment="1" applyBorder="1" applyFont="1" applyNumberFormat="1">
      <alignment shrinkToFit="0" wrapText="1"/>
    </xf>
    <xf borderId="18" fillId="45" fontId="53" numFmtId="49" xfId="0" applyAlignment="1" applyBorder="1" applyFill="1" applyFont="1" applyNumberFormat="1">
      <alignment shrinkToFit="0" wrapText="1"/>
    </xf>
    <xf borderId="49" fillId="4" fontId="56" numFmtId="0" xfId="0" applyAlignment="1" applyBorder="1" applyFont="1">
      <alignment readingOrder="0"/>
    </xf>
    <xf borderId="18" fillId="4" fontId="53" numFmtId="0" xfId="0" applyAlignment="1" applyBorder="1" applyFont="1">
      <alignment readingOrder="0" shrinkToFit="0" wrapText="1"/>
    </xf>
    <xf borderId="18" fillId="32" fontId="53" numFmtId="0" xfId="0" applyAlignment="1" applyBorder="1" applyFont="1">
      <alignment readingOrder="0" shrinkToFit="0" wrapText="1"/>
    </xf>
    <xf borderId="18" fillId="44" fontId="53" numFmtId="4" xfId="0" applyBorder="1" applyFont="1" applyNumberFormat="1"/>
    <xf borderId="18" fillId="32" fontId="56" numFmtId="4" xfId="0" applyAlignment="1" applyBorder="1" applyFont="1" applyNumberFormat="1">
      <alignment readingOrder="0"/>
    </xf>
    <xf borderId="18" fillId="7" fontId="56" numFmtId="0" xfId="0" applyAlignment="1" applyBorder="1" applyFont="1">
      <alignment readingOrder="0"/>
    </xf>
    <xf borderId="18" fillId="4" fontId="56" numFmtId="4" xfId="0" applyAlignment="1" applyBorder="1" applyFont="1" applyNumberFormat="1">
      <alignment readingOrder="0"/>
    </xf>
    <xf borderId="18" fillId="46" fontId="53" numFmtId="49" xfId="0" applyBorder="1" applyFill="1" applyFont="1" applyNumberFormat="1"/>
    <xf borderId="18" fillId="46" fontId="53" numFmtId="49" xfId="0" applyAlignment="1" applyBorder="1" applyFont="1" applyNumberFormat="1">
      <alignment shrinkToFit="0" wrapText="1"/>
    </xf>
    <xf borderId="0" fillId="7" fontId="56" numFmtId="171" xfId="0" applyAlignment="1" applyFont="1" applyNumberFormat="1">
      <alignment readingOrder="0"/>
    </xf>
    <xf borderId="0" fillId="7" fontId="53" numFmtId="171" xfId="0" applyFont="1" applyNumberFormat="1"/>
    <xf borderId="0" fillId="4" fontId="53" numFmtId="171" xfId="0" applyFont="1" applyNumberFormat="1"/>
    <xf borderId="18" fillId="7" fontId="62" numFmtId="0" xfId="0" applyAlignment="1" applyBorder="1" applyFont="1">
      <alignment readingOrder="0"/>
    </xf>
    <xf borderId="18" fillId="7" fontId="62" numFmtId="4" xfId="0" applyAlignment="1" applyBorder="1" applyFont="1" applyNumberFormat="1">
      <alignment readingOrder="0"/>
    </xf>
    <xf borderId="0" fillId="4" fontId="53" numFmtId="171" xfId="0" applyAlignment="1" applyFont="1" applyNumberFormat="1">
      <alignment readingOrder="0"/>
    </xf>
    <xf borderId="0" fillId="32" fontId="53" numFmtId="171" xfId="0" applyFont="1" applyNumberFormat="1"/>
    <xf borderId="49" fillId="4" fontId="59" numFmtId="4" xfId="0" applyAlignment="1" applyBorder="1" applyFont="1" applyNumberFormat="1">
      <alignment readingOrder="0"/>
    </xf>
    <xf borderId="49" fillId="7" fontId="59" numFmtId="4" xfId="0" applyAlignment="1" applyBorder="1" applyFont="1" applyNumberFormat="1">
      <alignment readingOrder="0"/>
    </xf>
    <xf borderId="0" fillId="7" fontId="53" numFmtId="0" xfId="0" applyFont="1"/>
    <xf borderId="0" fillId="7" fontId="59" numFmtId="0" xfId="0" applyAlignment="1" applyFont="1">
      <alignment readingOrder="0"/>
    </xf>
    <xf borderId="18" fillId="7" fontId="56" numFmtId="0" xfId="0" applyBorder="1" applyFont="1"/>
    <xf borderId="49" fillId="7" fontId="53" numFmtId="0" xfId="0" applyAlignment="1" applyBorder="1" applyFont="1">
      <alignment readingOrder="0"/>
    </xf>
    <xf borderId="49" fillId="7" fontId="53" numFmtId="4" xfId="0" applyAlignment="1" applyBorder="1" applyFont="1" applyNumberFormat="1">
      <alignment readingOrder="0"/>
    </xf>
    <xf borderId="49" fillId="32" fontId="59" numFmtId="4" xfId="0" applyAlignment="1" applyBorder="1" applyFont="1" applyNumberFormat="1">
      <alignment readingOrder="0"/>
    </xf>
    <xf borderId="0" fillId="34" fontId="53" numFmtId="171" xfId="0" applyAlignment="1" applyFont="1" applyNumberFormat="1">
      <alignment readingOrder="0"/>
    </xf>
    <xf borderId="0" fillId="44" fontId="53" numFmtId="171" xfId="0" applyAlignment="1" applyFont="1" applyNumberFormat="1">
      <alignment readingOrder="0"/>
    </xf>
    <xf borderId="0" fillId="4" fontId="53" numFmtId="165" xfId="0" applyAlignment="1" applyFont="1" applyNumberFormat="1">
      <alignment shrinkToFit="0" wrapText="1"/>
    </xf>
    <xf borderId="18" fillId="32" fontId="55" numFmtId="0" xfId="0" applyBorder="1" applyFont="1"/>
    <xf borderId="18" fillId="4" fontId="55" numFmtId="0" xfId="0" applyAlignment="1" applyBorder="1" applyFont="1">
      <alignment readingOrder="0" shrinkToFit="0" wrapText="1"/>
    </xf>
    <xf borderId="0" fillId="7" fontId="53" numFmtId="171" xfId="0" applyAlignment="1" applyFont="1" applyNumberFormat="1">
      <alignment readingOrder="0"/>
    </xf>
    <xf borderId="18" fillId="25" fontId="53" numFmtId="49" xfId="0" applyAlignment="1" applyBorder="1" applyFont="1" applyNumberFormat="1">
      <alignment shrinkToFit="0" wrapText="1"/>
    </xf>
    <xf borderId="18" fillId="33" fontId="53" numFmtId="0" xfId="0" applyBorder="1" applyFont="1"/>
    <xf borderId="18" fillId="33" fontId="53" numFmtId="4" xfId="0" applyBorder="1" applyFont="1" applyNumberFormat="1"/>
    <xf borderId="18" fillId="33" fontId="53" numFmtId="4" xfId="0" applyAlignment="1" applyBorder="1" applyFont="1" applyNumberFormat="1">
      <alignment readingOrder="0"/>
    </xf>
    <xf borderId="18" fillId="25" fontId="53" numFmtId="165" xfId="0" applyAlignment="1" applyBorder="1" applyFont="1" applyNumberFormat="1">
      <alignment readingOrder="0" shrinkToFit="0" wrapText="1"/>
    </xf>
    <xf borderId="0" fillId="32" fontId="53" numFmtId="0" xfId="0" applyAlignment="1" applyFont="1">
      <alignment readingOrder="0" shrinkToFit="0" wrapText="1"/>
    </xf>
    <xf borderId="18" fillId="4" fontId="53" numFmtId="49" xfId="0" applyAlignment="1" applyBorder="1" applyFont="1" applyNumberFormat="1">
      <alignment horizontal="center" shrinkToFit="0" vertical="top" wrapText="1"/>
    </xf>
    <xf borderId="19" fillId="21" fontId="53" numFmtId="4" xfId="0" applyBorder="1" applyFont="1" applyNumberFormat="1"/>
    <xf borderId="18" fillId="4" fontId="23" numFmtId="4" xfId="0" applyAlignment="1" applyBorder="1" applyFont="1" applyNumberFormat="1">
      <alignment vertical="bottom"/>
    </xf>
    <xf borderId="18" fillId="47" fontId="53" numFmtId="49" xfId="0" applyBorder="1" applyFill="1" applyFont="1" applyNumberFormat="1"/>
    <xf borderId="18" fillId="47" fontId="53" numFmtId="49" xfId="0" applyAlignment="1" applyBorder="1" applyFont="1" applyNumberFormat="1">
      <alignment shrinkToFit="0" wrapText="1"/>
    </xf>
    <xf borderId="18" fillId="33" fontId="53" numFmtId="0" xfId="0" applyAlignment="1" applyBorder="1" applyFont="1">
      <alignment readingOrder="0"/>
    </xf>
    <xf borderId="18" fillId="48" fontId="53" numFmtId="4" xfId="0" applyAlignment="1" applyBorder="1" applyFill="1" applyFont="1" applyNumberFormat="1">
      <alignment readingOrder="0"/>
    </xf>
    <xf borderId="0" fillId="32" fontId="53" numFmtId="165" xfId="0" applyAlignment="1" applyFont="1" applyNumberFormat="1">
      <alignment shrinkToFit="0" wrapText="1"/>
    </xf>
    <xf borderId="49" fillId="4" fontId="63" numFmtId="4" xfId="0" applyAlignment="1" applyBorder="1" applyFont="1" applyNumberFormat="1">
      <alignment readingOrder="0"/>
    </xf>
    <xf borderId="0" fillId="32" fontId="53" numFmtId="4" xfId="0" applyFont="1" applyNumberFormat="1"/>
    <xf borderId="18" fillId="40" fontId="53" numFmtId="49" xfId="0" applyBorder="1" applyFont="1" applyNumberFormat="1"/>
    <xf borderId="0" fillId="7" fontId="53" numFmtId="0" xfId="0" applyAlignment="1" applyFont="1">
      <alignment readingOrder="0"/>
    </xf>
    <xf borderId="0" fillId="7" fontId="63" numFmtId="0" xfId="0" applyAlignment="1" applyFont="1">
      <alignment readingOrder="0"/>
    </xf>
    <xf borderId="49" fillId="32" fontId="63" numFmtId="4" xfId="0" applyAlignment="1" applyBorder="1" applyFont="1" applyNumberFormat="1">
      <alignment readingOrder="0"/>
    </xf>
    <xf borderId="18" fillId="21" fontId="53" numFmtId="0" xfId="0" applyAlignment="1" applyBorder="1" applyFont="1">
      <alignment readingOrder="0"/>
    </xf>
    <xf borderId="18" fillId="4" fontId="53" numFmtId="165" xfId="0" applyAlignment="1" applyBorder="1" applyFont="1" applyNumberFormat="1">
      <alignment readingOrder="0" shrinkToFit="0" wrapText="1"/>
    </xf>
    <xf borderId="18" fillId="32" fontId="23" numFmtId="4" xfId="0" applyAlignment="1" applyBorder="1" applyFont="1" applyNumberFormat="1">
      <alignment vertical="bottom"/>
    </xf>
    <xf borderId="18" fillId="28" fontId="1" numFmtId="49" xfId="0" applyAlignment="1" applyBorder="1" applyFont="1" applyNumberFormat="1">
      <alignment readingOrder="0"/>
    </xf>
    <xf borderId="18" fillId="28" fontId="55" numFmtId="49" xfId="0" applyAlignment="1" applyBorder="1" applyFont="1" applyNumberFormat="1">
      <alignment horizontal="center" readingOrder="0"/>
    </xf>
    <xf borderId="18" fillId="49" fontId="1" numFmtId="0" xfId="0" applyBorder="1" applyFill="1" applyFont="1"/>
    <xf borderId="18" fillId="46" fontId="53" numFmtId="4" xfId="0" applyBorder="1" applyFont="1" applyNumberFormat="1"/>
    <xf borderId="18" fillId="28" fontId="53" numFmtId="4" xfId="0" applyAlignment="1" applyBorder="1" applyFont="1" applyNumberFormat="1">
      <alignment readingOrder="0"/>
    </xf>
    <xf borderId="18" fillId="4" fontId="55" numFmtId="49" xfId="0" applyAlignment="1" applyBorder="1" applyFont="1" applyNumberFormat="1">
      <alignment horizontal="left" readingOrder="0"/>
    </xf>
    <xf borderId="18" fillId="25" fontId="53" numFmtId="0" xfId="0" applyAlignment="1" applyBorder="1" applyFont="1">
      <alignment shrinkToFit="0" wrapText="1"/>
    </xf>
    <xf borderId="18" fillId="32" fontId="53" numFmtId="165" xfId="0" applyAlignment="1" applyBorder="1" applyFont="1" applyNumberFormat="1">
      <alignment readingOrder="0" shrinkToFit="0" wrapText="1"/>
    </xf>
    <xf borderId="18" fillId="32" fontId="53" numFmtId="165" xfId="0" applyAlignment="1" applyBorder="1" applyFont="1" applyNumberFormat="1">
      <alignment readingOrder="0"/>
    </xf>
    <xf borderId="0" fillId="32" fontId="53" numFmtId="165" xfId="0" applyAlignment="1" applyFont="1" applyNumberFormat="1">
      <alignment readingOrder="0"/>
    </xf>
    <xf borderId="18" fillId="43" fontId="1" numFmtId="0" xfId="0" applyBorder="1" applyFont="1"/>
    <xf borderId="19" fillId="43" fontId="53" numFmtId="4" xfId="0" applyBorder="1" applyFont="1" applyNumberFormat="1"/>
    <xf borderId="18" fillId="43" fontId="53" numFmtId="4" xfId="0" applyBorder="1" applyFont="1" applyNumberFormat="1"/>
    <xf borderId="18" fillId="43" fontId="53" numFmtId="4" xfId="0" applyAlignment="1" applyBorder="1" applyFont="1" applyNumberFormat="1">
      <alignment readingOrder="0"/>
    </xf>
    <xf borderId="18" fillId="32" fontId="56" numFmtId="0" xfId="0" applyBorder="1" applyFont="1"/>
    <xf borderId="49" fillId="40" fontId="56" numFmtId="0" xfId="0" applyAlignment="1" applyBorder="1" applyFont="1">
      <alignment readingOrder="0"/>
    </xf>
    <xf borderId="18" fillId="40" fontId="53" numFmtId="49" xfId="0" applyAlignment="1" applyBorder="1" applyFont="1" applyNumberFormat="1">
      <alignment shrinkToFit="0" wrapText="1"/>
    </xf>
    <xf borderId="49" fillId="40" fontId="53" numFmtId="4" xfId="0" applyAlignment="1" applyBorder="1" applyFont="1" applyNumberFormat="1">
      <alignment readingOrder="0"/>
    </xf>
    <xf borderId="0" fillId="32" fontId="53" numFmtId="0" xfId="0" applyAlignment="1" applyFont="1">
      <alignment shrinkToFit="0" wrapText="1"/>
    </xf>
    <xf borderId="18" fillId="32" fontId="1" numFmtId="4" xfId="0" applyBorder="1" applyFont="1" applyNumberFormat="1"/>
    <xf borderId="49" fillId="33" fontId="53" numFmtId="0" xfId="0" applyBorder="1" applyFont="1"/>
    <xf borderId="18" fillId="32" fontId="53" numFmtId="49" xfId="0" applyAlignment="1" applyBorder="1" applyFont="1" applyNumberFormat="1">
      <alignment horizontal="left" readingOrder="0"/>
    </xf>
    <xf borderId="18" fillId="28" fontId="64" numFmtId="4" xfId="0" applyAlignment="1" applyBorder="1" applyFont="1" applyNumberFormat="1">
      <alignment readingOrder="0"/>
    </xf>
    <xf borderId="0" fillId="28" fontId="53" numFmtId="165" xfId="0" applyAlignment="1" applyFont="1" applyNumberFormat="1">
      <alignment readingOrder="0" shrinkToFit="0" wrapText="1"/>
    </xf>
    <xf borderId="18" fillId="28" fontId="53" numFmtId="165" xfId="0" applyAlignment="1" applyBorder="1" applyFont="1" applyNumberFormat="1">
      <alignment readingOrder="0"/>
    </xf>
    <xf borderId="0" fillId="28" fontId="53" numFmtId="165" xfId="0" applyAlignment="1" applyFont="1" applyNumberFormat="1">
      <alignment readingOrder="0"/>
    </xf>
    <xf borderId="18" fillId="21" fontId="53" numFmtId="49" xfId="0" applyAlignment="1" applyBorder="1" applyFont="1" applyNumberFormat="1">
      <alignment shrinkToFit="0" wrapText="1"/>
    </xf>
    <xf borderId="18" fillId="32" fontId="60" numFmtId="0" xfId="0" applyBorder="1" applyFont="1"/>
    <xf borderId="18" fillId="4" fontId="55" numFmtId="49" xfId="0" applyAlignment="1" applyBorder="1" applyFont="1" applyNumberFormat="1">
      <alignment horizontal="right"/>
    </xf>
    <xf borderId="18" fillId="44" fontId="55" numFmtId="0" xfId="0" applyAlignment="1" applyBorder="1" applyFont="1">
      <alignment readingOrder="0"/>
    </xf>
    <xf borderId="18" fillId="44" fontId="55" numFmtId="4" xfId="0" applyAlignment="1" applyBorder="1" applyFont="1" applyNumberFormat="1">
      <alignment readingOrder="0"/>
    </xf>
    <xf borderId="18" fillId="32" fontId="56" numFmtId="0" xfId="0" applyAlignment="1" applyBorder="1" applyFont="1">
      <alignment readingOrder="0"/>
    </xf>
    <xf borderId="49" fillId="32" fontId="56" numFmtId="4" xfId="0" applyBorder="1" applyFont="1" applyNumberFormat="1"/>
    <xf borderId="18" fillId="4" fontId="54" numFmtId="49" xfId="0" applyAlignment="1" applyBorder="1" applyFont="1" applyNumberFormat="1">
      <alignment shrinkToFit="0" vertical="top" wrapText="1"/>
    </xf>
    <xf borderId="18" fillId="43" fontId="53" numFmtId="0" xfId="0" applyAlignment="1" applyBorder="1" applyFont="1">
      <alignment readingOrder="0"/>
    </xf>
    <xf borderId="49" fillId="33" fontId="56" numFmtId="0" xfId="0" applyAlignment="1" applyBorder="1" applyFont="1">
      <alignment readingOrder="0"/>
    </xf>
    <xf borderId="19" fillId="33" fontId="53" numFmtId="4" xfId="0" applyAlignment="1" applyBorder="1" applyFont="1" applyNumberFormat="1">
      <alignment readingOrder="0"/>
    </xf>
    <xf borderId="49" fillId="33" fontId="56" numFmtId="4" xfId="0" applyAlignment="1" applyBorder="1" applyFont="1" applyNumberFormat="1">
      <alignment readingOrder="0"/>
    </xf>
    <xf borderId="18" fillId="43" fontId="53" numFmtId="49" xfId="0" applyAlignment="1" applyBorder="1" applyFont="1" applyNumberFormat="1">
      <alignment shrinkToFit="0" wrapText="1"/>
    </xf>
    <xf borderId="49" fillId="32" fontId="53" numFmtId="165" xfId="0" applyBorder="1" applyFont="1" applyNumberFormat="1"/>
    <xf borderId="49" fillId="32" fontId="55" numFmtId="0" xfId="0" applyBorder="1" applyFont="1"/>
    <xf borderId="19" fillId="32" fontId="55" numFmtId="4" xfId="0" applyAlignment="1" applyBorder="1" applyFont="1" applyNumberFormat="1">
      <alignment readingOrder="0"/>
    </xf>
    <xf borderId="18" fillId="32" fontId="55" numFmtId="4" xfId="0" applyAlignment="1" applyBorder="1" applyFont="1" applyNumberFormat="1">
      <alignment readingOrder="0"/>
    </xf>
    <xf borderId="49" fillId="32" fontId="55" numFmtId="4" xfId="0" applyBorder="1" applyFont="1" applyNumberFormat="1"/>
    <xf borderId="77" fillId="4" fontId="53" numFmtId="0" xfId="0" applyBorder="1" applyFont="1"/>
    <xf borderId="77" fillId="4" fontId="53" numFmtId="4" xfId="0" applyBorder="1" applyFont="1" applyNumberFormat="1"/>
    <xf borderId="19" fillId="4" fontId="53" numFmtId="2" xfId="0" applyAlignment="1" applyBorder="1" applyFont="1" applyNumberFormat="1">
      <alignment readingOrder="0"/>
    </xf>
    <xf borderId="19" fillId="4" fontId="53" numFmtId="165" xfId="0" applyAlignment="1" applyBorder="1" applyFont="1" applyNumberFormat="1">
      <alignment shrinkToFit="0" wrapText="1"/>
    </xf>
    <xf borderId="19" fillId="4" fontId="53" numFmtId="165" xfId="0" applyBorder="1" applyFont="1" applyNumberFormat="1"/>
    <xf borderId="18" fillId="48" fontId="55" numFmtId="49" xfId="0" applyAlignment="1" applyBorder="1" applyFont="1" applyNumberFormat="1">
      <alignment readingOrder="0"/>
    </xf>
    <xf borderId="18" fillId="48" fontId="53" numFmtId="49" xfId="0" applyAlignment="1" applyBorder="1" applyFont="1" applyNumberFormat="1">
      <alignment shrinkToFit="0" wrapText="1"/>
    </xf>
    <xf borderId="49" fillId="32" fontId="53" numFmtId="165" xfId="0" applyAlignment="1" applyBorder="1" applyFont="1" applyNumberFormat="1">
      <alignment readingOrder="0"/>
    </xf>
    <xf borderId="18" fillId="50" fontId="53" numFmtId="49" xfId="0" applyAlignment="1" applyBorder="1" applyFill="1" applyFont="1" applyNumberFormat="1">
      <alignment shrinkToFit="0" wrapText="1"/>
    </xf>
    <xf borderId="18" fillId="21" fontId="53" numFmtId="0" xfId="0" applyAlignment="1" applyBorder="1" applyFont="1">
      <alignment shrinkToFit="0" wrapText="1"/>
    </xf>
    <xf borderId="18" fillId="32" fontId="53" numFmtId="49" xfId="0" applyAlignment="1" applyBorder="1" applyFont="1" applyNumberFormat="1">
      <alignment readingOrder="0"/>
    </xf>
    <xf borderId="18" fillId="21" fontId="53" numFmtId="4" xfId="0" applyAlignment="1" applyBorder="1" applyFont="1" applyNumberFormat="1">
      <alignment readingOrder="0"/>
    </xf>
    <xf borderId="18" fillId="44" fontId="53" numFmtId="0" xfId="0" applyAlignment="1" applyBorder="1" applyFont="1">
      <alignment readingOrder="0"/>
    </xf>
    <xf borderId="18" fillId="28" fontId="53" numFmtId="49" xfId="0" applyAlignment="1" applyBorder="1" applyFont="1" applyNumberFormat="1">
      <alignment readingOrder="0"/>
    </xf>
    <xf borderId="18" fillId="32" fontId="55" numFmtId="0" xfId="0" applyAlignment="1" applyBorder="1" applyFont="1">
      <alignment horizontal="left" readingOrder="0"/>
    </xf>
    <xf borderId="18" fillId="4" fontId="1" numFmtId="4" xfId="0" applyBorder="1" applyFont="1" applyNumberFormat="1"/>
    <xf borderId="49" fillId="32" fontId="56" numFmtId="0" xfId="0" applyBorder="1" applyFont="1"/>
    <xf borderId="19" fillId="43" fontId="53" numFmtId="4" xfId="0" applyAlignment="1" applyBorder="1" applyFont="1" applyNumberFormat="1">
      <alignment readingOrder="0"/>
    </xf>
    <xf borderId="18" fillId="21" fontId="56" numFmtId="4" xfId="0" applyAlignment="1" applyBorder="1" applyFont="1" applyNumberFormat="1">
      <alignment readingOrder="0"/>
    </xf>
    <xf borderId="18" fillId="4" fontId="53" numFmtId="49" xfId="0" applyAlignment="1" applyBorder="1" applyFont="1" applyNumberFormat="1">
      <alignment horizontal="left" readingOrder="0"/>
    </xf>
    <xf borderId="18" fillId="7" fontId="55" numFmtId="49" xfId="0" applyAlignment="1" applyBorder="1" applyFont="1" applyNumberFormat="1">
      <alignment horizontal="center" readingOrder="0"/>
    </xf>
    <xf borderId="18" fillId="7" fontId="55" numFmtId="0" xfId="0" applyBorder="1" applyFont="1"/>
    <xf borderId="19" fillId="32" fontId="55" numFmtId="4" xfId="0" applyBorder="1" applyFont="1" applyNumberFormat="1"/>
    <xf borderId="18" fillId="7" fontId="53" numFmtId="165" xfId="0" applyAlignment="1" applyBorder="1" applyFont="1" applyNumberFormat="1">
      <alignment readingOrder="0" shrinkToFit="0" wrapText="1"/>
    </xf>
    <xf borderId="18" fillId="4" fontId="1" numFmtId="0" xfId="0" applyAlignment="1" applyBorder="1" applyFont="1">
      <alignment readingOrder="0"/>
    </xf>
    <xf borderId="0" fillId="4" fontId="1" numFmtId="0" xfId="0" applyAlignment="1" applyFont="1">
      <alignment readingOrder="0"/>
    </xf>
    <xf borderId="49" fillId="32" fontId="1" numFmtId="0" xfId="0" applyBorder="1" applyFont="1"/>
    <xf borderId="49" fillId="43" fontId="53" numFmtId="4" xfId="0" applyBorder="1" applyFont="1" applyNumberFormat="1"/>
    <xf borderId="18" fillId="28" fontId="53" numFmtId="165" xfId="0" applyAlignment="1" applyBorder="1" applyFont="1" applyNumberFormat="1">
      <alignment readingOrder="0" shrinkToFit="0" wrapText="1"/>
    </xf>
    <xf borderId="18" fillId="32" fontId="58" numFmtId="0" xfId="0" applyBorder="1" applyFont="1"/>
    <xf borderId="18" fillId="46" fontId="53" numFmtId="0" xfId="0" applyAlignment="1" applyBorder="1" applyFont="1">
      <alignment readingOrder="0"/>
    </xf>
    <xf borderId="18" fillId="46" fontId="53" numFmtId="0" xfId="0" applyBorder="1" applyFont="1"/>
    <xf borderId="49" fillId="46" fontId="56" numFmtId="0" xfId="0" applyAlignment="1" applyBorder="1" applyFont="1">
      <alignment readingOrder="0"/>
    </xf>
    <xf borderId="49" fillId="46" fontId="55" numFmtId="0" xfId="0" applyBorder="1" applyFont="1"/>
    <xf borderId="19" fillId="46" fontId="53" numFmtId="4" xfId="0" applyBorder="1" applyFont="1" applyNumberFormat="1"/>
    <xf borderId="49" fillId="33" fontId="53" numFmtId="0" xfId="0" applyAlignment="1" applyBorder="1" applyFont="1">
      <alignment readingOrder="0"/>
    </xf>
    <xf borderId="49" fillId="33" fontId="53" numFmtId="4" xfId="0" applyAlignment="1" applyBorder="1" applyFont="1" applyNumberFormat="1">
      <alignment readingOrder="0"/>
    </xf>
    <xf borderId="49" fillId="43" fontId="53" numFmtId="4" xfId="0" applyAlignment="1" applyBorder="1" applyFont="1" applyNumberFormat="1">
      <alignment readingOrder="0"/>
    </xf>
    <xf borderId="18" fillId="4" fontId="65" numFmtId="0" xfId="0" applyAlignment="1" applyBorder="1" applyFont="1">
      <alignment shrinkToFit="0" vertical="top" wrapText="1"/>
    </xf>
    <xf borderId="18" fillId="21" fontId="66" numFmtId="0" xfId="0" applyAlignment="1" applyBorder="1" applyFont="1">
      <alignment readingOrder="0"/>
    </xf>
    <xf borderId="18" fillId="7" fontId="23" numFmtId="49" xfId="0" applyAlignment="1" applyBorder="1" applyFont="1" applyNumberFormat="1">
      <alignment horizontal="center" shrinkToFit="0" vertical="top" wrapText="1"/>
    </xf>
    <xf borderId="18" fillId="4" fontId="23" numFmtId="49" xfId="0" applyAlignment="1" applyBorder="1" applyFont="1" applyNumberFormat="1">
      <alignment shrinkToFit="0" vertical="bottom" wrapText="1"/>
    </xf>
    <xf borderId="18" fillId="7" fontId="53" numFmtId="49" xfId="0" applyAlignment="1" applyBorder="1" applyFont="1" applyNumberFormat="1">
      <alignment shrinkToFit="0" wrapText="1"/>
    </xf>
    <xf borderId="18" fillId="4" fontId="65" numFmtId="49" xfId="0" applyAlignment="1" applyBorder="1" applyFont="1" applyNumberFormat="1">
      <alignment shrinkToFit="0" vertical="top" wrapText="1"/>
    </xf>
    <xf borderId="18" fillId="7" fontId="65" numFmtId="49" xfId="0" applyAlignment="1" applyBorder="1" applyFont="1" applyNumberFormat="1">
      <alignment shrinkToFit="0" vertical="top" wrapText="1"/>
    </xf>
    <xf borderId="18" fillId="4" fontId="67" numFmtId="0" xfId="0" applyBorder="1" applyFont="1"/>
    <xf borderId="0" fillId="4" fontId="53" numFmtId="0" xfId="0" applyAlignment="1" applyFont="1">
      <alignment shrinkToFit="0" wrapText="1"/>
    </xf>
    <xf borderId="18" fillId="32" fontId="23" numFmtId="49" xfId="0" applyAlignment="1" applyBorder="1" applyFont="1" applyNumberFormat="1">
      <alignment shrinkToFit="0" vertical="bottom" wrapText="1"/>
    </xf>
    <xf borderId="18" fillId="32" fontId="65" numFmtId="49" xfId="0" applyAlignment="1" applyBorder="1" applyFont="1" applyNumberFormat="1">
      <alignment shrinkToFit="0" vertical="top" wrapText="1"/>
    </xf>
    <xf borderId="18" fillId="43" fontId="53" numFmtId="0" xfId="0" applyBorder="1" applyFont="1"/>
    <xf borderId="18" fillId="25" fontId="1" numFmtId="0" xfId="0" applyBorder="1" applyFont="1"/>
    <xf borderId="18" fillId="4" fontId="56" numFmtId="0" xfId="0" applyBorder="1" applyFont="1"/>
    <xf borderId="18" fillId="13" fontId="53" numFmtId="49" xfId="0" applyAlignment="1" applyBorder="1" applyFont="1" applyNumberFormat="1">
      <alignment readingOrder="0"/>
    </xf>
    <xf borderId="18" fillId="13" fontId="53" numFmtId="4" xfId="0" applyAlignment="1" applyBorder="1" applyFont="1" applyNumberFormat="1">
      <alignment readingOrder="0"/>
    </xf>
    <xf borderId="18" fillId="13" fontId="53" numFmtId="165" xfId="0" applyAlignment="1" applyBorder="1" applyFont="1" applyNumberFormat="1">
      <alignment readingOrder="0" shrinkToFit="0" wrapText="1"/>
    </xf>
    <xf borderId="18" fillId="51" fontId="53" numFmtId="165" xfId="0" applyAlignment="1" applyBorder="1" applyFill="1" applyFont="1" applyNumberFormat="1">
      <alignment readingOrder="0"/>
    </xf>
    <xf borderId="0" fillId="51" fontId="53" numFmtId="165" xfId="0" applyAlignment="1" applyFont="1" applyNumberFormat="1">
      <alignment readingOrder="0"/>
    </xf>
    <xf borderId="18" fillId="26" fontId="53" numFmtId="0" xfId="0" applyAlignment="1" applyBorder="1" applyFont="1">
      <alignment shrinkToFit="0" wrapText="1"/>
    </xf>
    <xf borderId="18" fillId="51" fontId="53" numFmtId="4" xfId="0" applyAlignment="1" applyBorder="1" applyFont="1" applyNumberFormat="1">
      <alignment readingOrder="0"/>
    </xf>
    <xf borderId="18" fillId="51" fontId="53" numFmtId="165" xfId="0" applyAlignment="1" applyBorder="1" applyFont="1" applyNumberFormat="1">
      <alignment readingOrder="0" shrinkToFit="0" wrapText="1"/>
    </xf>
    <xf borderId="19" fillId="51" fontId="53" numFmtId="165" xfId="0" applyAlignment="1" applyBorder="1" applyFont="1" applyNumberFormat="1">
      <alignment readingOrder="0"/>
    </xf>
    <xf borderId="18" fillId="26" fontId="53" numFmtId="4" xfId="0" applyAlignment="1" applyBorder="1" applyFont="1" applyNumberFormat="1">
      <alignment readingOrder="0"/>
    </xf>
    <xf borderId="18" fillId="47" fontId="53" numFmtId="0" xfId="0" applyAlignment="1" applyBorder="1" applyFont="1">
      <alignment shrinkToFit="0" wrapText="1"/>
    </xf>
    <xf borderId="18" fillId="25" fontId="55" numFmtId="49" xfId="0" applyAlignment="1" applyBorder="1" applyFont="1" applyNumberFormat="1">
      <alignment horizontal="center" readingOrder="0"/>
    </xf>
    <xf borderId="18" fillId="25" fontId="53" numFmtId="49" xfId="0" applyAlignment="1" applyBorder="1" applyFont="1" applyNumberFormat="1">
      <alignment horizontal="center"/>
    </xf>
    <xf borderId="49" fillId="33" fontId="53" numFmtId="4" xfId="0" applyBorder="1" applyFont="1" applyNumberFormat="1"/>
    <xf borderId="18" fillId="43" fontId="55" numFmtId="4" xfId="0" applyAlignment="1" applyBorder="1" applyFont="1" applyNumberFormat="1">
      <alignment readingOrder="0"/>
    </xf>
    <xf borderId="18" fillId="7" fontId="55" numFmtId="4" xfId="0" applyAlignment="1" applyBorder="1" applyFont="1" applyNumberFormat="1">
      <alignment readingOrder="0"/>
    </xf>
    <xf borderId="18" fillId="21" fontId="53" numFmtId="0" xfId="0" applyBorder="1" applyFont="1"/>
    <xf borderId="49" fillId="40" fontId="53" numFmtId="0" xfId="0" applyAlignment="1" applyBorder="1" applyFont="1">
      <alignment readingOrder="0"/>
    </xf>
    <xf borderId="18" fillId="21" fontId="53" numFmtId="4" xfId="0" applyBorder="1" applyFont="1" applyNumberFormat="1"/>
    <xf borderId="49" fillId="4" fontId="53" numFmtId="165" xfId="0" applyBorder="1" applyFont="1" applyNumberFormat="1"/>
    <xf borderId="18" fillId="40" fontId="53" numFmtId="4" xfId="0" applyAlignment="1" applyBorder="1" applyFont="1" applyNumberFormat="1">
      <alignment readingOrder="0"/>
    </xf>
    <xf borderId="19" fillId="32" fontId="53" numFmtId="165" xfId="0" applyBorder="1" applyFont="1" applyNumberFormat="1"/>
    <xf borderId="49" fillId="21" fontId="53" numFmtId="4" xfId="0" applyAlignment="1" applyBorder="1" applyFont="1" applyNumberFormat="1">
      <alignment readingOrder="0"/>
    </xf>
    <xf borderId="49" fillId="43" fontId="53" numFmtId="0" xfId="0" applyAlignment="1" applyBorder="1" applyFont="1">
      <alignment readingOrder="0"/>
    </xf>
    <xf borderId="49" fillId="40" fontId="55" numFmtId="4" xfId="0" applyAlignment="1" applyBorder="1" applyFont="1" applyNumberFormat="1">
      <alignment readingOrder="0"/>
    </xf>
    <xf borderId="18" fillId="26" fontId="53" numFmtId="49" xfId="0" applyAlignment="1" applyBorder="1" applyFont="1" applyNumberFormat="1">
      <alignment shrinkToFit="0" wrapText="1"/>
    </xf>
    <xf borderId="18" fillId="25" fontId="53" numFmtId="0" xfId="0" applyAlignment="1" applyBorder="1" applyFont="1">
      <alignment readingOrder="0"/>
    </xf>
    <xf borderId="18" fillId="4" fontId="23" numFmtId="4" xfId="0" applyBorder="1" applyFont="1" applyNumberFormat="1"/>
    <xf borderId="18" fillId="25" fontId="64" numFmtId="49" xfId="0" applyAlignment="1" applyBorder="1" applyFont="1" applyNumberFormat="1">
      <alignment readingOrder="0"/>
    </xf>
    <xf borderId="18" fillId="32" fontId="23" numFmtId="2" xfId="0" applyAlignment="1" applyBorder="1" applyFont="1" applyNumberFormat="1">
      <alignment readingOrder="0"/>
    </xf>
    <xf borderId="18" fillId="25" fontId="53" numFmtId="49" xfId="0" applyAlignment="1" applyBorder="1" applyFont="1" applyNumberFormat="1">
      <alignment readingOrder="0"/>
    </xf>
    <xf borderId="18" fillId="4" fontId="23" numFmtId="2" xfId="0" applyAlignment="1" applyBorder="1" applyFont="1" applyNumberFormat="1">
      <alignment readingOrder="0"/>
    </xf>
    <xf borderId="18" fillId="32" fontId="53" numFmtId="0" xfId="0" applyAlignment="1" applyBorder="1" applyFont="1">
      <alignment vertical="bottom"/>
    </xf>
    <xf borderId="18" fillId="32" fontId="53" numFmtId="0" xfId="0" applyAlignment="1" applyBorder="1" applyFont="1">
      <alignment shrinkToFit="0" vertical="bottom" wrapText="1"/>
    </xf>
    <xf borderId="18" fillId="32" fontId="23" numFmtId="49" xfId="0" applyAlignment="1" applyBorder="1" applyFont="1" applyNumberFormat="1">
      <alignment vertical="bottom"/>
    </xf>
    <xf borderId="18" fillId="25" fontId="53" numFmtId="49" xfId="0" applyAlignment="1" applyBorder="1" applyFont="1" applyNumberFormat="1">
      <alignment horizontal="right" readingOrder="0" vertical="bottom"/>
    </xf>
    <xf borderId="18" fillId="25" fontId="53" numFmtId="49" xfId="0" applyAlignment="1" applyBorder="1" applyFont="1" applyNumberFormat="1">
      <alignment shrinkToFit="0" vertical="bottom" wrapText="1"/>
    </xf>
    <xf borderId="18" fillId="32" fontId="53" numFmtId="0" xfId="0" applyAlignment="1" applyBorder="1" applyFont="1">
      <alignment horizontal="right" vertical="bottom"/>
    </xf>
    <xf borderId="18" fillId="32" fontId="23" numFmtId="0" xfId="0" applyAlignment="1" applyBorder="1" applyFont="1">
      <alignment vertical="bottom"/>
    </xf>
    <xf borderId="18" fillId="32" fontId="53" numFmtId="0" xfId="0" applyAlignment="1" applyBorder="1" applyFont="1">
      <alignment horizontal="right" readingOrder="0" vertical="bottom"/>
    </xf>
    <xf borderId="49" fillId="32" fontId="23" numFmtId="0" xfId="0" applyAlignment="1" applyBorder="1" applyFont="1">
      <alignment vertical="bottom"/>
    </xf>
    <xf borderId="19" fillId="32" fontId="23" numFmtId="4" xfId="0" applyAlignment="1" applyBorder="1" applyFont="1" applyNumberFormat="1">
      <alignment readingOrder="0" vertical="bottom"/>
    </xf>
    <xf borderId="49" fillId="32" fontId="23" numFmtId="4" xfId="0" applyAlignment="1" applyBorder="1" applyFont="1" applyNumberFormat="1">
      <alignment vertical="bottom"/>
    </xf>
    <xf borderId="19" fillId="32" fontId="53" numFmtId="4" xfId="0" applyAlignment="1" applyBorder="1" applyFont="1" applyNumberFormat="1">
      <alignment horizontal="right" vertical="bottom"/>
    </xf>
    <xf borderId="18" fillId="32" fontId="53" numFmtId="4" xfId="0" applyAlignment="1" applyBorder="1" applyFont="1" applyNumberFormat="1">
      <alignment horizontal="right" vertical="bottom"/>
    </xf>
    <xf borderId="49" fillId="32" fontId="53" numFmtId="4" xfId="0" applyAlignment="1" applyBorder="1" applyFont="1" applyNumberFormat="1">
      <alignment horizontal="right" vertical="bottom"/>
    </xf>
    <xf borderId="18" fillId="32" fontId="53" numFmtId="2" xfId="0" applyAlignment="1" applyBorder="1" applyFont="1" applyNumberFormat="1">
      <alignment horizontal="right" readingOrder="0" vertical="bottom"/>
    </xf>
    <xf borderId="18" fillId="52" fontId="23" numFmtId="165" xfId="0" applyAlignment="1" applyBorder="1" applyFill="1" applyFont="1" applyNumberFormat="1">
      <alignment readingOrder="0" shrinkToFit="0" vertical="bottom" wrapText="1"/>
    </xf>
    <xf borderId="0" fillId="52" fontId="23" numFmtId="165" xfId="0" applyAlignment="1" applyFont="1" applyNumberFormat="1">
      <alignment readingOrder="0" vertical="bottom"/>
    </xf>
    <xf borderId="19" fillId="43" fontId="53" numFmtId="4" xfId="0" applyAlignment="1" applyBorder="1" applyFont="1" applyNumberFormat="1">
      <alignment horizontal="right" vertical="bottom"/>
    </xf>
    <xf borderId="18" fillId="43" fontId="53" numFmtId="4" xfId="0" applyAlignment="1" applyBorder="1" applyFont="1" applyNumberFormat="1">
      <alignment horizontal="right" vertical="bottom"/>
    </xf>
    <xf borderId="18" fillId="25" fontId="55" numFmtId="49" xfId="0" applyBorder="1" applyFont="1" applyNumberFormat="1"/>
    <xf borderId="18" fillId="33" fontId="56" numFmtId="0" xfId="0" applyAlignment="1" applyBorder="1" applyFont="1">
      <alignment readingOrder="0"/>
    </xf>
    <xf borderId="18" fillId="33" fontId="56" numFmtId="0" xfId="0" applyBorder="1" applyFont="1"/>
    <xf borderId="19" fillId="33" fontId="56" numFmtId="4" xfId="0" applyAlignment="1" applyBorder="1" applyFont="1" applyNumberFormat="1">
      <alignment readingOrder="0"/>
    </xf>
    <xf borderId="18" fillId="33" fontId="56" numFmtId="4" xfId="0" applyAlignment="1" applyBorder="1" applyFont="1" applyNumberFormat="1">
      <alignment readingOrder="0"/>
    </xf>
    <xf borderId="18" fillId="32" fontId="56" numFmtId="4" xfId="0" applyBorder="1" applyFont="1" applyNumberFormat="1"/>
    <xf borderId="0" fillId="4" fontId="53" numFmtId="0" xfId="0" applyAlignment="1" applyFont="1">
      <alignment vertical="bottom"/>
    </xf>
    <xf borderId="15" fillId="4" fontId="53" numFmtId="0" xfId="0" applyAlignment="1" applyBorder="1" applyFont="1">
      <alignment vertical="bottom"/>
    </xf>
    <xf borderId="19" fillId="4" fontId="53" numFmtId="0" xfId="0" applyAlignment="1" applyBorder="1" applyFont="1">
      <alignment shrinkToFit="0" vertical="bottom" wrapText="1"/>
    </xf>
    <xf borderId="19" fillId="4" fontId="53" numFmtId="0" xfId="0" applyAlignment="1" applyBorder="1" applyFont="1">
      <alignment vertical="bottom"/>
    </xf>
    <xf borderId="13" fillId="4" fontId="55" numFmtId="49" xfId="0" applyAlignment="1" applyBorder="1" applyFont="1" applyNumberFormat="1">
      <alignment horizontal="center" vertical="bottom"/>
    </xf>
    <xf borderId="19" fillId="4" fontId="23" numFmtId="49" xfId="0" applyAlignment="1" applyBorder="1" applyFont="1" applyNumberFormat="1">
      <alignment vertical="bottom"/>
    </xf>
    <xf borderId="19" fillId="4" fontId="23" numFmtId="0" xfId="0" applyAlignment="1" applyBorder="1" applyFont="1">
      <alignment vertical="bottom"/>
    </xf>
    <xf borderId="78" fillId="4" fontId="23" numFmtId="0" xfId="0" applyAlignment="1" applyBorder="1" applyFont="1">
      <alignment vertical="bottom"/>
    </xf>
    <xf borderId="19" fillId="4" fontId="23" numFmtId="4" xfId="0" applyAlignment="1" applyBorder="1" applyFont="1" applyNumberFormat="1">
      <alignment vertical="bottom"/>
    </xf>
    <xf borderId="78" fillId="4" fontId="23" numFmtId="4" xfId="0" applyAlignment="1" applyBorder="1" applyFont="1" applyNumberFormat="1">
      <alignment vertical="bottom"/>
    </xf>
    <xf borderId="19" fillId="4" fontId="23" numFmtId="4" xfId="0" applyAlignment="1" applyBorder="1" applyFont="1" applyNumberFormat="1">
      <alignment readingOrder="0" vertical="bottom"/>
    </xf>
    <xf borderId="19" fillId="4" fontId="23" numFmtId="165" xfId="0" applyAlignment="1" applyBorder="1" applyFont="1" applyNumberFormat="1">
      <alignment vertical="bottom"/>
    </xf>
    <xf borderId="0" fillId="4" fontId="23" numFmtId="165" xfId="0" applyAlignment="1" applyFont="1" applyNumberFormat="1">
      <alignment vertical="bottom"/>
    </xf>
    <xf borderId="0" fillId="4" fontId="23" numFmtId="0" xfId="0" applyAlignment="1" applyFont="1">
      <alignment shrinkToFit="0" vertical="bottom" wrapText="1"/>
    </xf>
    <xf borderId="0" fillId="4" fontId="23" numFmtId="1" xfId="0" applyAlignment="1" applyFont="1" applyNumberFormat="1">
      <alignment vertical="bottom"/>
    </xf>
    <xf borderId="0" fillId="4" fontId="55" numFmtId="49" xfId="0" applyAlignment="1" applyFont="1" applyNumberFormat="1">
      <alignment horizontal="center" readingOrder="0"/>
    </xf>
    <xf borderId="18" fillId="4" fontId="58" numFmtId="0" xfId="0" applyBorder="1" applyFont="1"/>
    <xf borderId="76" fillId="4" fontId="53" numFmtId="4" xfId="0" applyBorder="1" applyFont="1" applyNumberFormat="1"/>
    <xf borderId="18" fillId="4" fontId="57" numFmtId="4" xfId="0" applyAlignment="1" applyBorder="1" applyFont="1" applyNumberFormat="1">
      <alignment readingOrder="0"/>
    </xf>
    <xf borderId="0" fillId="32" fontId="53" numFmtId="49" xfId="0" applyAlignment="1" applyFont="1" applyNumberFormat="1">
      <alignment horizontal="center"/>
    </xf>
    <xf borderId="0" fillId="32" fontId="58" numFmtId="0" xfId="0" applyFont="1"/>
    <xf borderId="79" fillId="32" fontId="53" numFmtId="4" xfId="0" applyBorder="1" applyFont="1" applyNumberFormat="1"/>
    <xf borderId="0" fillId="32" fontId="57" numFmtId="4" xfId="0" applyAlignment="1" applyFont="1" applyNumberFormat="1">
      <alignment readingOrder="0"/>
    </xf>
    <xf borderId="0" fillId="0" fontId="53" numFmtId="0" xfId="0" applyFont="1"/>
    <xf borderId="0" fillId="16" fontId="48" numFmtId="0" xfId="0" applyAlignment="1" applyFont="1">
      <alignment horizontal="center"/>
    </xf>
    <xf borderId="0" fillId="16" fontId="48" numFmtId="1" xfId="0" applyAlignment="1" applyFont="1" applyNumberFormat="1">
      <alignment horizontal="center"/>
    </xf>
    <xf borderId="0" fillId="2" fontId="53" numFmtId="0" xfId="0" applyFont="1"/>
    <xf borderId="22" fillId="2" fontId="48" numFmtId="0" xfId="0" applyAlignment="1" applyBorder="1" applyFont="1">
      <alignment horizontal="center"/>
    </xf>
    <xf borderId="80" fillId="2" fontId="31" numFmtId="0" xfId="0" applyBorder="1" applyFont="1"/>
    <xf borderId="0" fillId="4" fontId="57" numFmtId="0" xfId="0" applyAlignment="1" applyFont="1">
      <alignment readingOrder="0" shrinkToFit="0" vertical="bottom" wrapText="1"/>
    </xf>
    <xf borderId="18" fillId="4" fontId="57" numFmtId="0" xfId="0" applyAlignment="1" applyBorder="1" applyFont="1">
      <alignment shrinkToFit="0" vertical="bottom" wrapText="1"/>
    </xf>
    <xf borderId="18" fillId="4" fontId="57" numFmtId="0" xfId="0" applyAlignment="1" applyBorder="1" applyFont="1">
      <alignment shrinkToFit="0" vertical="bottom" wrapText="1"/>
    </xf>
    <xf borderId="18" fillId="4" fontId="57" numFmtId="0" xfId="0" applyAlignment="1" applyBorder="1" applyFont="1">
      <alignment shrinkToFit="0" vertical="bottom" wrapText="1"/>
    </xf>
    <xf borderId="18" fillId="4" fontId="57" numFmtId="49" xfId="0" applyAlignment="1" applyBorder="1" applyFont="1" applyNumberFormat="1">
      <alignment horizontal="center" shrinkToFit="0" vertical="bottom" wrapText="1"/>
    </xf>
    <xf borderId="18" fillId="4" fontId="57" numFmtId="0" xfId="0" applyAlignment="1" applyBorder="1" applyFont="1">
      <alignment shrinkToFit="0" wrapText="1"/>
    </xf>
    <xf borderId="18" fillId="4" fontId="57" numFmtId="0" xfId="0" applyAlignment="1" applyBorder="1" applyFont="1">
      <alignment readingOrder="0" shrinkToFit="0" wrapText="1"/>
    </xf>
    <xf borderId="18" fillId="4" fontId="57" numFmtId="0" xfId="0" applyAlignment="1" applyBorder="1" applyFont="1">
      <alignment horizontal="center" shrinkToFit="0" vertical="center" wrapText="1"/>
    </xf>
    <xf borderId="18" fillId="4" fontId="57" numFmtId="0" xfId="0" applyAlignment="1" applyBorder="1" applyFont="1">
      <alignment horizontal="center" readingOrder="0" shrinkToFit="0" vertical="center" wrapText="1"/>
    </xf>
    <xf borderId="18" fillId="4" fontId="57" numFmtId="1" xfId="0" applyAlignment="1" applyBorder="1" applyFont="1" applyNumberFormat="1">
      <alignment horizontal="center" readingOrder="0" shrinkToFit="0" vertical="center" wrapText="1"/>
    </xf>
    <xf borderId="0" fillId="4" fontId="57" numFmtId="1" xfId="0" applyAlignment="1" applyFont="1" applyNumberFormat="1">
      <alignment readingOrder="0" shrinkToFit="0" wrapText="1"/>
    </xf>
    <xf borderId="0" fillId="4" fontId="57" numFmtId="1" xfId="0" applyAlignment="1" applyFont="1" applyNumberFormat="1">
      <alignment readingOrder="0"/>
    </xf>
    <xf borderId="0" fillId="4" fontId="1" numFmtId="1" xfId="0" applyAlignment="1" applyFont="1" applyNumberFormat="1">
      <alignment readingOrder="0"/>
    </xf>
    <xf borderId="0" fillId="4" fontId="57" numFmtId="0" xfId="0" applyFont="1"/>
    <xf borderId="0" fillId="53" fontId="53" numFmtId="0" xfId="0" applyFill="1" applyFont="1"/>
    <xf borderId="18" fillId="53" fontId="53" numFmtId="0" xfId="0" applyBorder="1" applyFont="1"/>
    <xf borderId="81" fillId="53" fontId="55" numFmtId="0" xfId="0" applyAlignment="1" applyBorder="1" applyFont="1">
      <alignment readingOrder="0" shrinkToFit="0" vertical="top" wrapText="0"/>
    </xf>
    <xf borderId="18" fillId="53" fontId="53" numFmtId="0" xfId="0" applyAlignment="1" applyBorder="1" applyFont="1">
      <alignment shrinkToFit="0" wrapText="1"/>
    </xf>
    <xf borderId="18" fillId="53" fontId="1" numFmtId="0" xfId="0" applyAlignment="1" applyBorder="1" applyFont="1">
      <alignment readingOrder="0"/>
    </xf>
    <xf borderId="18" fillId="53" fontId="53" numFmtId="0" xfId="0" applyAlignment="1" applyBorder="1" applyFont="1">
      <alignment readingOrder="0"/>
    </xf>
    <xf borderId="18" fillId="53" fontId="1" numFmtId="0" xfId="0" applyBorder="1" applyFont="1"/>
    <xf borderId="18" fillId="53" fontId="53" numFmtId="49" xfId="0" applyBorder="1" applyFont="1" applyNumberFormat="1"/>
    <xf borderId="18" fillId="53" fontId="53" numFmtId="1" xfId="0" applyBorder="1" applyFont="1" applyNumberFormat="1"/>
    <xf borderId="18" fillId="53" fontId="53" numFmtId="4" xfId="0" applyBorder="1" applyFont="1" applyNumberFormat="1"/>
    <xf borderId="18" fillId="53" fontId="53" numFmtId="165" xfId="0" applyBorder="1" applyFont="1" applyNumberFormat="1"/>
    <xf borderId="0" fillId="53" fontId="53" numFmtId="165" xfId="0" applyFont="1" applyNumberFormat="1"/>
    <xf borderId="18" fillId="4" fontId="53" numFmtId="1" xfId="0" applyBorder="1" applyFont="1" applyNumberFormat="1"/>
    <xf borderId="82" fillId="4" fontId="55" numFmtId="0" xfId="0" applyAlignment="1" applyBorder="1" applyFont="1">
      <alignment readingOrder="0" shrinkToFit="0" vertical="top" wrapText="0"/>
    </xf>
    <xf borderId="0" fillId="4" fontId="57" numFmtId="49" xfId="0" applyAlignment="1" applyFont="1" applyNumberFormat="1">
      <alignment readingOrder="0"/>
    </xf>
    <xf borderId="0" fillId="4" fontId="53" numFmtId="2" xfId="0" applyFont="1" applyNumberFormat="1"/>
    <xf borderId="0" fillId="53" fontId="52" numFmtId="0" xfId="0" applyAlignment="1" applyFont="1">
      <alignment readingOrder="0" shrinkToFit="0" wrapText="1"/>
    </xf>
    <xf borderId="0" fillId="53" fontId="53" numFmtId="0" xfId="0" applyAlignment="1" applyFont="1">
      <alignment readingOrder="0"/>
    </xf>
    <xf borderId="82" fillId="53" fontId="55" numFmtId="0" xfId="0" applyAlignment="1" applyBorder="1" applyFont="1">
      <alignment readingOrder="0" shrinkToFit="0" vertical="top" wrapText="0"/>
    </xf>
    <xf borderId="18" fillId="53" fontId="53" numFmtId="49" xfId="0" applyAlignment="1" applyBorder="1" applyFont="1" applyNumberFormat="1">
      <alignment horizontal="center" readingOrder="0"/>
    </xf>
    <xf borderId="18" fillId="53" fontId="53" numFmtId="2" xfId="0" applyBorder="1" applyFont="1" applyNumberFormat="1"/>
    <xf borderId="0" fillId="53" fontId="53" numFmtId="49" xfId="0" applyAlignment="1" applyFont="1" applyNumberFormat="1">
      <alignment readingOrder="0"/>
    </xf>
    <xf borderId="0" fillId="53" fontId="53" numFmtId="2" xfId="0" applyFont="1" applyNumberFormat="1"/>
    <xf borderId="0" fillId="4" fontId="57" numFmtId="0" xfId="0" applyAlignment="1" applyFont="1">
      <alignment shrinkToFit="0" vertical="bottom" wrapText="1"/>
    </xf>
    <xf borderId="16" fillId="4" fontId="57" numFmtId="0" xfId="0" applyAlignment="1" applyBorder="1" applyFont="1">
      <alignment shrinkToFit="0" vertical="bottom" wrapText="1"/>
    </xf>
    <xf borderId="13" fillId="4" fontId="57" numFmtId="0" xfId="0" applyAlignment="1" applyBorder="1" applyFont="1">
      <alignment shrinkToFit="0" vertical="bottom" wrapText="1"/>
    </xf>
    <xf borderId="13" fillId="4" fontId="57" numFmtId="0" xfId="0" applyAlignment="1" applyBorder="1" applyFont="1">
      <alignment shrinkToFit="0" vertical="bottom" wrapText="1"/>
    </xf>
    <xf borderId="13" fillId="4" fontId="57" numFmtId="0" xfId="0" applyAlignment="1" applyBorder="1" applyFont="1">
      <alignment shrinkToFit="0" vertical="bottom" wrapText="1"/>
    </xf>
    <xf borderId="13" fillId="4" fontId="57" numFmtId="49" xfId="0" applyAlignment="1" applyBorder="1" applyFont="1" applyNumberFormat="1">
      <alignment horizontal="center" shrinkToFit="0" vertical="bottom" wrapText="1"/>
    </xf>
    <xf borderId="16" fillId="4" fontId="57" numFmtId="0" xfId="0" applyAlignment="1" applyBorder="1" applyFont="1">
      <alignment shrinkToFit="0" wrapText="1"/>
    </xf>
    <xf borderId="83" fillId="4" fontId="53" numFmtId="0" xfId="0" applyAlignment="1" applyBorder="1" applyFont="1">
      <alignment horizontal="center" shrinkToFit="0" vertical="center" wrapText="1"/>
    </xf>
    <xf borderId="83" fillId="4" fontId="53" numFmtId="0" xfId="0" applyAlignment="1" applyBorder="1" applyFont="1">
      <alignment horizontal="center" readingOrder="0" shrinkToFit="0" vertical="center" wrapText="1"/>
    </xf>
    <xf borderId="83" fillId="4" fontId="53" numFmtId="1" xfId="0" applyAlignment="1" applyBorder="1" applyFont="1" applyNumberFormat="1">
      <alignment horizontal="center" readingOrder="0" shrinkToFit="0" vertical="center" wrapText="1"/>
    </xf>
    <xf borderId="0" fillId="4" fontId="1" numFmtId="0" xfId="0" applyFont="1"/>
    <xf borderId="49" fillId="17" fontId="49" numFmtId="0" xfId="0" applyAlignment="1" applyBorder="1" applyFont="1">
      <alignment horizontal="center" shrinkToFit="0" vertical="center" wrapText="1"/>
    </xf>
    <xf borderId="18" fillId="0" fontId="57" numFmtId="49" xfId="0" applyAlignment="1" applyBorder="1" applyFont="1" applyNumberFormat="1">
      <alignment horizontal="center" readingOrder="0" shrinkToFit="0" vertical="center" wrapText="1"/>
    </xf>
    <xf borderId="18" fillId="0" fontId="57" numFmtId="49" xfId="0" applyAlignment="1" applyBorder="1" applyFont="1" applyNumberFormat="1">
      <alignment horizontal="center" shrinkToFit="0" vertical="center" wrapText="1"/>
    </xf>
    <xf borderId="18" fillId="0" fontId="57" numFmtId="0" xfId="0" applyAlignment="1" applyBorder="1" applyFont="1">
      <alignment horizontal="center" readingOrder="0" shrinkToFit="0" vertical="center" wrapText="1"/>
    </xf>
    <xf borderId="18" fillId="17" fontId="50" numFmtId="0" xfId="0" applyAlignment="1" applyBorder="1" applyFont="1">
      <alignment horizontal="center" readingOrder="0" shrinkToFit="0" vertical="center" wrapText="1"/>
    </xf>
    <xf borderId="18" fillId="13" fontId="50" numFmtId="172" xfId="0" applyAlignment="1" applyBorder="1" applyFont="1" applyNumberFormat="1">
      <alignment shrinkToFit="0" vertical="center" wrapText="1"/>
    </xf>
    <xf borderId="18" fillId="13" fontId="50" numFmtId="0" xfId="0" applyAlignment="1" applyBorder="1" applyFont="1">
      <alignment shrinkToFit="0" vertical="center" wrapText="1"/>
    </xf>
    <xf borderId="18" fillId="0" fontId="57" numFmtId="0" xfId="0" applyBorder="1" applyFont="1"/>
    <xf borderId="18" fillId="4" fontId="53" numFmtId="1" xfId="0" applyAlignment="1" applyBorder="1" applyFont="1" applyNumberFormat="1">
      <alignment horizontal="right" vertical="center"/>
    </xf>
    <xf borderId="18" fillId="32" fontId="58" numFmtId="165" xfId="0" applyBorder="1" applyFont="1" applyNumberFormat="1"/>
    <xf borderId="18" fillId="21" fontId="53" numFmtId="0" xfId="0" applyAlignment="1" applyBorder="1" applyFont="1">
      <alignment horizontal="center" readingOrder="0" vertical="center"/>
    </xf>
    <xf borderId="18" fillId="21" fontId="53" numFmtId="0" xfId="0" applyAlignment="1" applyBorder="1" applyFont="1">
      <alignment horizontal="center" readingOrder="0"/>
    </xf>
    <xf borderId="18" fillId="32" fontId="58" numFmtId="165" xfId="0" applyAlignment="1" applyBorder="1" applyFont="1" applyNumberFormat="1">
      <alignment shrinkToFit="0" wrapText="1"/>
    </xf>
    <xf borderId="18" fillId="4" fontId="57" numFmtId="0" xfId="0" applyAlignment="1" applyBorder="1" applyFont="1">
      <alignment horizontal="center" vertical="center"/>
    </xf>
    <xf borderId="18" fillId="4" fontId="53" numFmtId="49" xfId="0" applyAlignment="1" applyBorder="1" applyFont="1" applyNumberFormat="1">
      <alignment horizontal="center" shrinkToFit="0" wrapText="1"/>
    </xf>
    <xf borderId="18" fillId="4" fontId="53" numFmtId="170" xfId="0" applyAlignment="1" applyBorder="1" applyFont="1" applyNumberFormat="1">
      <alignment readingOrder="0"/>
    </xf>
    <xf borderId="18" fillId="32" fontId="53" numFmtId="1" xfId="0" applyAlignment="1" applyBorder="1" applyFont="1" applyNumberFormat="1">
      <alignment horizontal="center" vertical="center"/>
    </xf>
    <xf borderId="18" fillId="32" fontId="53" numFmtId="1" xfId="0" applyAlignment="1" applyBorder="1" applyFont="1" applyNumberFormat="1">
      <alignment horizontal="center" readingOrder="0" vertical="center"/>
    </xf>
    <xf borderId="18" fillId="25" fontId="53" numFmtId="0" xfId="0" applyAlignment="1" applyBorder="1" applyFont="1">
      <alignment horizontal="center" vertical="center"/>
    </xf>
    <xf borderId="18" fillId="25" fontId="53" numFmtId="0" xfId="0" applyAlignment="1" applyBorder="1" applyFont="1">
      <alignment horizontal="center" readingOrder="0" vertical="center"/>
    </xf>
    <xf borderId="18" fillId="35" fontId="53" numFmtId="0" xfId="0" applyAlignment="1" applyBorder="1" applyFont="1">
      <alignment shrinkToFit="0" wrapText="1"/>
    </xf>
    <xf borderId="18" fillId="32" fontId="59" numFmtId="0" xfId="0" applyAlignment="1" applyBorder="1" applyFont="1">
      <alignment horizontal="center" readingOrder="0" vertical="center"/>
    </xf>
    <xf borderId="18" fillId="36" fontId="53" numFmtId="0" xfId="0" applyAlignment="1" applyBorder="1" applyFont="1">
      <alignment shrinkToFit="0" wrapText="1"/>
    </xf>
    <xf borderId="18" fillId="4" fontId="53" numFmtId="49" xfId="0" applyAlignment="1" applyBorder="1" applyFont="1" applyNumberFormat="1">
      <alignment horizontal="center" readingOrder="0" shrinkToFit="0" wrapText="1"/>
    </xf>
    <xf borderId="18" fillId="25" fontId="55" numFmtId="165" xfId="0" applyAlignment="1" applyBorder="1" applyFont="1" applyNumberFormat="1">
      <alignment readingOrder="0" shrinkToFit="0" wrapText="1"/>
    </xf>
    <xf borderId="18" fillId="0" fontId="53" numFmtId="1" xfId="0" applyAlignment="1" applyBorder="1" applyFont="1" applyNumberFormat="1">
      <alignment horizontal="right" vertical="center"/>
    </xf>
    <xf borderId="0" fillId="0" fontId="68" numFmtId="0" xfId="0" applyAlignment="1" applyFont="1">
      <alignment readingOrder="0"/>
    </xf>
    <xf borderId="0" fillId="0" fontId="1" numFmtId="0" xfId="0" applyFont="1"/>
    <xf borderId="0" fillId="0" fontId="1" numFmtId="1" xfId="0" applyFont="1" applyNumberFormat="1"/>
    <xf borderId="0" fillId="0" fontId="69" numFmtId="0" xfId="0" applyAlignment="1" applyFont="1">
      <alignment readingOrder="0"/>
    </xf>
    <xf borderId="0" fillId="0" fontId="1" numFmtId="2" xfId="0" applyFont="1" applyNumberFormat="1"/>
    <xf borderId="0" fillId="0" fontId="1" numFmtId="4" xfId="0" applyAlignment="1" applyFont="1" applyNumberFormat="1">
      <alignment shrinkToFit="0" wrapText="1"/>
    </xf>
    <xf borderId="0" fillId="0" fontId="1" numFmtId="0" xfId="0" applyAlignment="1" applyFont="1">
      <alignment shrinkToFit="0" wrapText="1"/>
    </xf>
    <xf borderId="18" fillId="0" fontId="57" numFmtId="49" xfId="0" applyAlignment="1" applyBorder="1" applyFont="1" applyNumberFormat="1">
      <alignment shrinkToFit="0" vertical="center" wrapText="1"/>
    </xf>
    <xf borderId="18" fillId="17" fontId="50" numFmtId="2" xfId="0" applyAlignment="1" applyBorder="1" applyFont="1" applyNumberFormat="1">
      <alignment horizontal="center" readingOrder="0" shrinkToFit="0" vertical="center" wrapText="1"/>
    </xf>
    <xf borderId="18" fillId="54" fontId="50" numFmtId="0" xfId="0" applyAlignment="1" applyBorder="1" applyFill="1" applyFont="1">
      <alignment horizontal="center" readingOrder="0" shrinkToFit="0" vertical="center" wrapText="1"/>
    </xf>
    <xf borderId="18" fillId="0" fontId="57" numFmtId="1" xfId="0" applyAlignment="1" applyBorder="1" applyFont="1" applyNumberFormat="1">
      <alignment readingOrder="0" shrinkToFit="0" vertical="center" wrapText="1"/>
    </xf>
    <xf borderId="18" fillId="0" fontId="57" numFmtId="49" xfId="0" applyAlignment="1" applyBorder="1" applyFont="1" applyNumberFormat="1">
      <alignment readingOrder="0" shrinkToFit="0" vertical="center" wrapText="1"/>
    </xf>
    <xf borderId="18" fillId="0" fontId="57" numFmtId="4" xfId="0" applyAlignment="1" applyBorder="1" applyFont="1" applyNumberFormat="1">
      <alignment readingOrder="0" shrinkToFit="0" vertical="center" wrapText="1"/>
    </xf>
    <xf borderId="18" fillId="0" fontId="57" numFmtId="2" xfId="0" applyAlignment="1" applyBorder="1" applyFont="1" applyNumberFormat="1">
      <alignment readingOrder="0" shrinkToFit="0" vertical="center" wrapText="1"/>
    </xf>
    <xf borderId="18" fillId="0" fontId="57" numFmtId="165" xfId="0" applyAlignment="1" applyBorder="1" applyFont="1" applyNumberFormat="1">
      <alignment readingOrder="0" shrinkToFit="0" vertical="center" wrapText="1"/>
    </xf>
    <xf borderId="18" fillId="0" fontId="57" numFmtId="2" xfId="0" applyAlignment="1" applyBorder="1" applyFont="1" applyNumberFormat="1">
      <alignment readingOrder="0" shrinkToFit="0" vertical="center" wrapText="1"/>
    </xf>
    <xf borderId="18" fillId="0" fontId="57" numFmtId="170" xfId="0" applyAlignment="1" applyBorder="1" applyFont="1" applyNumberFormat="1">
      <alignment readingOrder="0" shrinkToFit="0" vertical="center" wrapText="1"/>
    </xf>
    <xf borderId="18" fillId="0" fontId="57" numFmtId="1" xfId="0" applyAlignment="1" applyBorder="1" applyFont="1" applyNumberFormat="1">
      <alignment readingOrder="0" shrinkToFit="0" vertical="center" wrapText="1"/>
    </xf>
    <xf borderId="18" fillId="0" fontId="53" numFmtId="0" xfId="0" applyAlignment="1" applyBorder="1" applyFont="1">
      <alignment vertical="center"/>
    </xf>
    <xf borderId="18" fillId="0" fontId="53" numFmtId="4" xfId="0" applyAlignment="1" applyBorder="1" applyFont="1" applyNumberFormat="1">
      <alignment vertical="center"/>
    </xf>
    <xf borderId="18" fillId="0" fontId="57" numFmtId="3" xfId="0" applyAlignment="1" applyBorder="1" applyFont="1" applyNumberFormat="1">
      <alignment readingOrder="0" shrinkToFit="0" vertical="center" wrapText="1"/>
    </xf>
    <xf borderId="0" fillId="0" fontId="53" numFmtId="0" xfId="0" applyAlignment="1" applyFont="1">
      <alignment vertical="center"/>
    </xf>
    <xf borderId="18" fillId="21" fontId="57" numFmtId="0" xfId="0" applyAlignment="1" applyBorder="1" applyFont="1">
      <alignment readingOrder="0" shrinkToFit="0" vertical="center" wrapText="1"/>
    </xf>
    <xf borderId="0" fillId="0" fontId="4" numFmtId="0" xfId="0" applyFont="1"/>
    <xf borderId="0" fillId="0" fontId="4" numFmtId="0" xfId="0" applyAlignment="1" applyFont="1">
      <alignment horizontal="left"/>
    </xf>
    <xf borderId="0" fillId="0" fontId="5" numFmtId="0" xfId="0" applyAlignment="1" applyFont="1">
      <alignment shrinkToFit="0" wrapText="1"/>
    </xf>
    <xf borderId="0" fillId="0" fontId="5" numFmtId="49" xfId="0" applyAlignment="1" applyFont="1" applyNumberFormat="1">
      <alignment horizontal="left" shrinkToFit="0" wrapText="1"/>
    </xf>
    <xf borderId="0" fillId="0" fontId="5" numFmtId="49" xfId="0" applyAlignment="1" applyFont="1" applyNumberFormat="1">
      <alignment shrinkToFit="0" wrapText="1"/>
    </xf>
    <xf borderId="0" fillId="0" fontId="5" numFmtId="4" xfId="0" applyAlignment="1" applyFont="1" applyNumberFormat="1">
      <alignment shrinkToFit="0" wrapText="1"/>
    </xf>
    <xf borderId="0" fillId="0" fontId="70" numFmtId="0" xfId="0" applyAlignment="1" applyFont="1">
      <alignment shrinkToFit="0" wrapText="1"/>
    </xf>
    <xf borderId="0" fillId="18" fontId="71" numFmtId="0" xfId="0" applyAlignment="1" applyFont="1">
      <alignment shrinkToFit="0" wrapText="1"/>
    </xf>
    <xf borderId="0" fillId="0" fontId="5" numFmtId="0" xfId="0" applyAlignment="1" applyFont="1">
      <alignment horizontal="left" shrinkToFit="0" wrapText="1"/>
    </xf>
    <xf borderId="0" fillId="0" fontId="5" numFmtId="0" xfId="0" applyAlignment="1" applyFont="1">
      <alignment readingOrder="0" shrinkToFit="0" wrapText="1"/>
    </xf>
    <xf borderId="0" fillId="0" fontId="4" numFmtId="49" xfId="0" applyAlignment="1" applyFont="1" applyNumberFormat="1">
      <alignment horizontal="left"/>
    </xf>
    <xf borderId="0" fillId="0" fontId="4" numFmtId="49" xfId="0" applyFont="1" applyNumberFormat="1"/>
    <xf borderId="0" fillId="0" fontId="4" numFmtId="0" xfId="0" applyAlignment="1" applyFont="1">
      <alignment horizontal="center"/>
    </xf>
    <xf borderId="0" fillId="0" fontId="4" numFmtId="4" xfId="0" applyAlignment="1" applyFont="1" applyNumberFormat="1">
      <alignment horizontal="right"/>
    </xf>
    <xf borderId="0" fillId="0" fontId="4" numFmtId="0" xfId="0" applyAlignment="1" applyFont="1">
      <alignment horizontal="left"/>
    </xf>
    <xf borderId="0" fillId="0" fontId="4" numFmtId="4" xfId="0" applyAlignment="1" applyFont="1" applyNumberFormat="1">
      <alignment horizontal="left"/>
    </xf>
    <xf borderId="0" fillId="0" fontId="4" numFmtId="165" xfId="0" applyAlignment="1" applyFont="1" applyNumberFormat="1">
      <alignment horizontal="left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left" readingOrder="0"/>
    </xf>
    <xf borderId="0" fillId="0" fontId="4" numFmtId="165" xfId="0" applyAlignment="1" applyFont="1" applyNumberFormat="1">
      <alignment horizontal="right"/>
    </xf>
    <xf borderId="0" fillId="0" fontId="1" numFmtId="165" xfId="0" applyFont="1" applyNumberFormat="1"/>
    <xf borderId="0" fillId="0" fontId="4" numFmtId="1" xfId="0" applyFont="1" applyNumberFormat="1"/>
    <xf borderId="0" fillId="0" fontId="4" numFmtId="0" xfId="0" applyAlignment="1" applyFont="1">
      <alignment horizontal="right"/>
    </xf>
    <xf borderId="0" fillId="0" fontId="4" numFmtId="2" xfId="0" applyFont="1" applyNumberFormat="1"/>
    <xf borderId="0" fillId="0" fontId="70" numFmtId="0" xfId="0" applyAlignment="1" applyFont="1">
      <alignment readingOrder="0"/>
    </xf>
    <xf borderId="0" fillId="0" fontId="70" numFmtId="0" xfId="0" applyAlignment="1" applyFont="1">
      <alignment horizontal="center" readingOrder="0"/>
    </xf>
    <xf borderId="0" fillId="0" fontId="1" numFmtId="9" xfId="0" applyAlignment="1" applyFont="1" applyNumberFormat="1">
      <alignment horizontal="center"/>
    </xf>
    <xf borderId="0" fillId="0" fontId="1" numFmtId="10" xfId="0" applyFont="1" applyNumberFormat="1"/>
    <xf borderId="18" fillId="0" fontId="70" numFmtId="0" xfId="0" applyAlignment="1" applyBorder="1" applyFont="1">
      <alignment readingOrder="0"/>
    </xf>
    <xf borderId="18" fillId="0" fontId="70" numFmtId="0" xfId="0" applyAlignment="1" applyBorder="1" applyFont="1">
      <alignment horizontal="center" readingOrder="0"/>
    </xf>
    <xf borderId="18" fillId="0" fontId="1" numFmtId="10" xfId="0" applyAlignment="1" applyBorder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10" xfId="0" applyAlignment="1" applyFont="1" applyNumberFormat="1">
      <alignment horizontal="center"/>
    </xf>
    <xf borderId="0" fillId="0" fontId="5" numFmtId="0" xfId="0" applyAlignment="1" applyFont="1">
      <alignment horizontal="center" readingOrder="0"/>
    </xf>
    <xf borderId="0" fillId="0" fontId="72" numFmtId="0" xfId="0" applyAlignment="1" applyFont="1">
      <alignment readingOrder="0" shrinkToFit="0" wrapText="1"/>
    </xf>
    <xf borderId="0" fillId="0" fontId="73" numFmtId="0" xfId="0" applyAlignment="1" applyFont="1">
      <alignment readingOrder="0" shrinkToFit="0" vertical="bottom" wrapText="0"/>
    </xf>
    <xf borderId="0" fillId="0" fontId="74" numFmtId="0" xfId="0" applyAlignment="1" applyFont="1">
      <alignment readingOrder="0"/>
    </xf>
    <xf borderId="0" fillId="0" fontId="70" numFmtId="0" xfId="0" applyFont="1"/>
    <xf borderId="84" fillId="55" fontId="75" numFmtId="0" xfId="0" applyAlignment="1" applyBorder="1" applyFill="1" applyFont="1">
      <alignment vertical="bottom"/>
    </xf>
    <xf borderId="84" fillId="56" fontId="76" numFmtId="0" xfId="0" applyAlignment="1" applyBorder="1" applyFill="1" applyFont="1">
      <alignment vertical="bottom"/>
    </xf>
    <xf borderId="85" fillId="57" fontId="77" numFmtId="0" xfId="0" applyAlignment="1" applyBorder="1" applyFill="1" applyFont="1">
      <alignment readingOrder="0" vertical="bottom"/>
    </xf>
    <xf borderId="85" fillId="58" fontId="78" numFmtId="0" xfId="0" applyAlignment="1" applyBorder="1" applyFill="1" applyFont="1">
      <alignment readingOrder="0" vertical="bottom"/>
    </xf>
    <xf borderId="85" fillId="58" fontId="78" numFmtId="49" xfId="0" applyAlignment="1" applyBorder="1" applyFont="1" applyNumberFormat="1">
      <alignment readingOrder="0" shrinkToFit="0" vertical="bottom" wrapText="1"/>
    </xf>
    <xf borderId="86" fillId="59" fontId="23" numFmtId="0" xfId="0" applyAlignment="1" applyBorder="1" applyFill="1" applyFont="1">
      <alignment horizontal="right" vertical="bottom"/>
    </xf>
    <xf borderId="0" fillId="34" fontId="23" numFmtId="4" xfId="0" applyAlignment="1" applyFont="1" applyNumberFormat="1">
      <alignment horizontal="right" vertical="bottom"/>
    </xf>
    <xf borderId="86" fillId="60" fontId="79" numFmtId="0" xfId="0" applyAlignment="1" applyBorder="1" applyFill="1" applyFont="1">
      <alignment readingOrder="0" vertical="bottom"/>
    </xf>
    <xf borderId="0" fillId="4" fontId="79" numFmtId="4" xfId="0" applyAlignment="1" applyFont="1" applyNumberFormat="1">
      <alignment horizontal="right" readingOrder="0" vertical="bottom"/>
    </xf>
    <xf borderId="0" fillId="4" fontId="79" numFmtId="4" xfId="0" applyAlignment="1" applyFont="1" applyNumberFormat="1">
      <alignment horizontal="right" readingOrder="0" shrinkToFit="0" vertical="bottom" wrapText="1"/>
    </xf>
    <xf borderId="20" fillId="0" fontId="21" numFmtId="0" xfId="0" applyAlignment="1" applyBorder="1" applyFont="1">
      <alignment readingOrder="0" shrinkToFit="0" wrapText="0"/>
    </xf>
    <xf borderId="20" fillId="0" fontId="80" numFmtId="0" xfId="0" applyAlignment="1" applyBorder="1" applyFont="1">
      <alignment shrinkToFit="0" vertical="bottom" wrapText="0"/>
    </xf>
    <xf borderId="0" fillId="4" fontId="23" numFmtId="4" xfId="0" applyAlignment="1" applyFont="1" applyNumberFormat="1">
      <alignment horizontal="right" vertical="bottom"/>
    </xf>
    <xf borderId="87" fillId="60" fontId="79" numFmtId="0" xfId="0" applyAlignment="1" applyBorder="1" applyFont="1">
      <alignment readingOrder="0" vertical="bottom"/>
    </xf>
    <xf borderId="88" fillId="4" fontId="79" numFmtId="4" xfId="0" applyAlignment="1" applyBorder="1" applyFont="1" applyNumberFormat="1">
      <alignment horizontal="right" readingOrder="0" vertical="bottom"/>
    </xf>
    <xf borderId="88" fillId="4" fontId="79" numFmtId="4" xfId="0" applyAlignment="1" applyBorder="1" applyFont="1" applyNumberFormat="1">
      <alignment horizontal="right" readingOrder="0" shrinkToFit="0" vertical="bottom" wrapText="1"/>
    </xf>
    <xf borderId="0" fillId="0" fontId="80" numFmtId="0" xfId="0" applyAlignment="1" applyFont="1">
      <alignment shrinkToFit="0" vertical="bottom" wrapText="0"/>
    </xf>
    <xf borderId="0" fillId="0" fontId="21" numFmtId="0" xfId="0" applyAlignment="1" applyFont="1">
      <alignment readingOrder="0" shrinkToFit="0" wrapText="0"/>
    </xf>
    <xf borderId="0" fillId="57" fontId="81" numFmtId="0" xfId="0" applyAlignment="1" applyFont="1">
      <alignment readingOrder="0" vertical="bottom"/>
    </xf>
    <xf borderId="0" fillId="57" fontId="81" numFmtId="4" xfId="0" applyAlignment="1" applyFont="1" applyNumberFormat="1">
      <alignment horizontal="right" readingOrder="0" vertical="bottom"/>
    </xf>
    <xf borderId="0" fillId="57" fontId="81" numFmtId="4" xfId="0" applyAlignment="1" applyFont="1" applyNumberFormat="1">
      <alignment horizontal="right" readingOrder="0" shrinkToFit="0" vertical="bottom" wrapText="1"/>
    </xf>
    <xf borderId="0" fillId="0" fontId="22" numFmtId="0" xfId="0" applyAlignment="1" applyFont="1">
      <alignment horizontal="right" readingOrder="0" shrinkToFit="0" wrapText="0"/>
    </xf>
    <xf borderId="0" fillId="0" fontId="22" numFmtId="4" xfId="0" applyAlignment="1" applyFont="1" applyNumberFormat="1">
      <alignment horizontal="right" readingOrder="0" shrinkToFit="0" wrapText="0"/>
    </xf>
    <xf borderId="0" fillId="0" fontId="80" numFmtId="0" xfId="0" applyAlignment="1" applyFont="1">
      <alignment horizontal="right" readingOrder="0" shrinkToFit="0" vertical="bottom" wrapText="0"/>
    </xf>
    <xf borderId="0" fillId="0" fontId="82" numFmtId="0" xfId="0" applyAlignment="1" applyFont="1">
      <alignment readingOrder="0"/>
    </xf>
    <xf borderId="87" fillId="59" fontId="23" numFmtId="0" xfId="0" applyAlignment="1" applyBorder="1" applyFont="1">
      <alignment horizontal="right" vertical="bottom"/>
    </xf>
    <xf borderId="88" fillId="34" fontId="23" numFmtId="4" xfId="0" applyAlignment="1" applyBorder="1" applyFont="1" applyNumberFormat="1">
      <alignment horizontal="right" vertical="bottom"/>
    </xf>
    <xf borderId="0" fillId="55" fontId="47" numFmtId="0" xfId="0" applyAlignment="1" applyFont="1">
      <alignment vertical="bottom"/>
    </xf>
    <xf borderId="0" fillId="55" fontId="47" numFmtId="4" xfId="0" applyAlignment="1" applyFont="1" applyNumberFormat="1">
      <alignment horizontal="right" vertical="bottom"/>
    </xf>
    <xf borderId="0" fillId="0" fontId="83" numFmtId="0" xfId="0" applyAlignment="1" applyFont="1">
      <alignment readingOrder="0"/>
    </xf>
    <xf borderId="0" fillId="0" fontId="21" numFmtId="4" xfId="0" applyAlignment="1" applyFont="1" applyNumberFormat="1">
      <alignment horizontal="right" readingOrder="0" shrinkToFit="0" wrapText="0"/>
    </xf>
    <xf borderId="89" fillId="0" fontId="21" numFmtId="0" xfId="0" applyAlignment="1" applyBorder="1" applyFont="1">
      <alignment readingOrder="0" shrinkToFit="0" wrapText="0"/>
    </xf>
    <xf borderId="89" fillId="0" fontId="80" numFmtId="0" xfId="0" applyAlignment="1" applyBorder="1" applyFont="1">
      <alignment shrinkToFit="0" vertical="bottom" wrapText="0"/>
    </xf>
    <xf borderId="89" fillId="0" fontId="21" numFmtId="4" xfId="0" applyAlignment="1" applyBorder="1" applyFont="1" applyNumberFormat="1">
      <alignment horizontal="right" readingOrder="0" shrinkToFit="0" wrapText="0"/>
    </xf>
    <xf borderId="0" fillId="0" fontId="1" numFmtId="0" xfId="0" applyAlignment="1" applyFont="1">
      <alignment horizontal="right"/>
    </xf>
    <xf borderId="0" fillId="0" fontId="1" numFmtId="49" xfId="0" applyAlignment="1" applyFont="1" applyNumberFormat="1">
      <alignment horizontal="right"/>
    </xf>
    <xf borderId="0" fillId="0" fontId="1" numFmtId="0" xfId="0" applyAlignment="1" applyFont="1">
      <alignment horizontal="right" readingOrder="0"/>
    </xf>
    <xf borderId="0" fillId="21" fontId="1" numFmtId="4" xfId="0" applyFont="1" applyNumberFormat="1"/>
    <xf borderId="0" fillId="61" fontId="1" numFmtId="4" xfId="0" applyAlignment="1" applyFill="1" applyFont="1" applyNumberFormat="1">
      <alignment horizontal="right"/>
    </xf>
    <xf borderId="0" fillId="34" fontId="1" numFmtId="4" xfId="0" applyAlignment="1" applyFont="1" applyNumberFormat="1">
      <alignment horizontal="right"/>
    </xf>
    <xf borderId="0" fillId="0" fontId="4" numFmtId="49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14" fontId="84" numFmtId="0" xfId="0" applyAlignment="1" applyFont="1">
      <alignment horizontal="left" readingOrder="0"/>
    </xf>
  </cellXfs>
  <cellStyles count="1">
    <cellStyle xfId="0" name="Normal" builtinId="0"/>
  </cellStyles>
  <dxfs count="6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4.xml"/><Relationship Id="rId21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pivotCacheDefinition" Target="pivotCache/pivotCacheDefinition1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ResumenGastoPorLineas!$H$35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ResumenGastoPorLineas!$A$36:$A$45</c:f>
            </c:strRef>
          </c:cat>
          <c:val>
            <c:numRef>
              <c:f>ResumenGastoPorLineas!$H$36:$H$46</c:f>
              <c:numCache/>
            </c:numRef>
          </c:val>
        </c:ser>
        <c:axId val="1572894900"/>
        <c:axId val="1365186771"/>
      </c:barChart>
      <c:catAx>
        <c:axId val="15728949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5186771"/>
      </c:catAx>
      <c:valAx>
        <c:axId val="13651867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28949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85725</xdr:colOff>
      <xdr:row>33</xdr:row>
      <xdr:rowOff>171450</xdr:rowOff>
    </xdr:from>
    <xdr:ext cx="6972300" cy="29813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3:DT381" sheet="No Recurrentes 24-26"/>
  </cacheSource>
  <cacheFields>
    <cacheField name="Ubicación" numFmtId="0">
      <sharedItems containsBlank="1">
        <s v="Estación"/>
        <s v="Torre"/>
        <s v="Vehiculo"/>
        <s v="Generador_Auxiliar"/>
        <s v="Torres"/>
        <m/>
      </sharedItems>
    </cacheField>
    <cacheField name="Tipo de trabajo" numFmtId="0">
      <sharedItems containsBlank="1">
        <s v="Apoyos de par transportador de vehiculos "/>
        <s v="Cambio de amortiguadores"/>
        <s v="Cambio de baterías "/>
        <s v="Dinamo y polea impulsos"/>
        <s v="Estructura"/>
        <s v="Herramienta Cable"/>
        <s v="Lubricacion"/>
        <s v="Mantenimiento Cadenas Transportadoras"/>
        <s v="Mantenimiento de Embragues"/>
        <s v="Mantenimiento Grupos Electrógenos"/>
        <s v="Manto. Agujas"/>
        <s v="Manto. Eléctrico"/>
        <s v="Manto. Forros de frenos"/>
        <s v="Manto. gral. Cabina"/>
        <s v="Manto. Hidraulico"/>
        <s v="Manto. Motores y reductores"/>
        <s v="Manto. Pinza"/>
        <s v="Repuestos Electricos Reposicion Torres"/>
        <s v="Manto. Transmisión Tren de Ruedas"/>
        <s v="OVH Suspension Cabina"/>
        <s v="Poleas de estacion"/>
        <s v="Reacondicionamiento de Poleas Palpadoras"/>
        <s v="Reacondionamiento y cambio de Poleas de torre"/>
        <s v="Sistema de Horquilla"/>
        <s v="Sistema RPD"/>
        <s v="Trompeta"/>
        <m/>
      </sharedItems>
    </cacheField>
    <cacheField name="Tipo de Bien" numFmtId="0">
      <sharedItems containsBlank="1">
        <s v="Lubricante"/>
        <s v="Repuesto Mecánico"/>
        <s v="Repuesto Eléctrico"/>
        <s v="Herramienta"/>
        <s v="Manto. Eléctrico"/>
        <s v="Repuesto Hidráulico"/>
        <s v="Insumo mecánico"/>
        <s v="Repuesto Electrico "/>
        <m/>
      </sharedItems>
    </cacheField>
    <cacheField name="TDB/LOCAL" numFmtId="0">
      <sharedItems containsBlank="1">
        <s v="TDB"/>
        <s v="LOCAL"/>
        <m/>
      </sharedItems>
    </cacheField>
    <cacheField name="Partida" numFmtId="49">
      <sharedItems containsBlank="1">
        <s v="34110"/>
        <s v="39800"/>
        <s v="39700"/>
        <s v="34800"/>
        <s v="34200"/>
        <s v="34300"/>
        <m/>
      </sharedItems>
    </cacheField>
    <cacheField name="ID TDB o ID Almacén" numFmtId="0">
      <sharedItems containsBlank="1">
        <m/>
        <s v="2-01-01265"/>
        <s v="2-02-00107"/>
        <s v="2-01-00567"/>
        <s v="2-01-00636"/>
        <s v="2-02-00050"/>
        <s v="2-02-00599"/>
        <s v="2-01-00289"/>
        <s v="2-01-00086"/>
        <s v="2-01-00085"/>
        <s v="2-01-00037"/>
        <s v="2-01-01049"/>
        <s v="2-01-00416"/>
        <s v="2-01-00264"/>
        <s v="2-01-00849"/>
        <s v="2-01-00835"/>
        <s v="1-05-00042"/>
        <s v="2-01-00650"/>
        <s v="1-01-00300"/>
        <s v="2-01-00103"/>
        <s v="2-01-00104"/>
        <s v="2-01-00217"/>
        <s v="2-01-00102"/>
        <s v="2-01-00844"/>
        <s v="2-01-00185"/>
        <s v="2-01-00024"/>
        <s v="2-01-00008"/>
        <s v="2-01-00100"/>
        <s v="2-01-00183"/>
        <s v="2-01-00178"/>
        <s v="2-01-00744"/>
        <s v="2-01-00855"/>
        <s v="2-01-00184"/>
        <s v="2-01-00060"/>
        <s v="2-01-00847"/>
        <s v="2-01-00741"/>
        <s v="2-01-00569"/>
        <s v="3-03-00001"/>
        <s v="2-01-00740"/>
        <s v="2-01-00934"/>
        <s v="2-02-00122"/>
        <s v="2-02-00674"/>
        <s v="2-01-00857"/>
        <s v="2-01-00243"/>
        <s v="2-02-00136"/>
        <s v="2-02-00666"/>
        <s v="2-02-00694"/>
        <s v="2-01-00691"/>
        <s v="2-01-00122"/>
        <s v="2-02-00180"/>
        <s v="2-06-00018"/>
        <s v="2-06-00029"/>
        <s v="2-02-00672"/>
        <s v="2-02-00152"/>
        <s v="2-06-00028"/>
        <s v="2-02-00616"/>
        <s v="2-02-00640"/>
        <s v="2-02-00633"/>
        <s v="2-06-00026"/>
        <s v="2-02-00385"/>
        <s v="2-02-00603"/>
        <s v="2-02-00036"/>
        <s v="2-02-00106"/>
        <s v="2-02-00006"/>
        <s v="2-02-00007"/>
        <s v="2-02-00028"/>
        <s v="2-02-00149"/>
        <s v="2-02-00161"/>
        <s v="2-02-00150"/>
        <s v="2-02-00388"/>
        <s v="2-02-00003"/>
        <s v="2-02-00379"/>
        <s v="2-02-00177"/>
        <s v="2-02-00380"/>
        <s v="2-02-00001"/>
        <s v="2-02-00030"/>
        <s v="2-02-00023"/>
        <s v="2-06-00039"/>
        <s v="2-02-00024"/>
        <s v="2-02-00372"/>
        <s v="2-02-00169"/>
        <s v="2-02-00025"/>
        <s v="2-02-00026"/>
        <s v="2-02-00193"/>
        <s v="2-02-00040"/>
        <s v="2-01-00211"/>
        <s v="2-02-00190"/>
        <s v="2-02-00100"/>
        <s v="2-02-00099"/>
        <s v="2-04-00009"/>
        <s v="2-01-00553"/>
        <s v="2-01-00222"/>
        <s v="2-01-00425"/>
        <s v="2-02-00653"/>
        <s v="2-01-00634"/>
        <s v="2-01-00225"/>
        <s v="2-02-00598"/>
        <s v="2-01-00486"/>
        <s v="2-01-00115"/>
        <s v="2-01-00654"/>
        <s v="2-01-00866"/>
        <s v="2-01-00645"/>
        <s v="TDB00098"/>
        <s v="2-01-00116"/>
        <s v="2-01-00287"/>
        <s v="2-02-00384"/>
        <s v="2-01-00878"/>
        <s v="TDB00089"/>
        <s v="TDB00096"/>
        <s v="2-04-00118"/>
        <s v="2-04-00003"/>
        <s v="2-01-00568"/>
        <s v="2-01-00234"/>
        <s v="2-04-00017"/>
        <s v="2-01-00577"/>
        <s v="2-01-00576"/>
        <s v="2-01-00432"/>
        <s v="2-04-00090"/>
        <s v="2-01-00578"/>
        <s v="2-01-00345"/>
        <s v="2-04-00053"/>
        <s v="2-01-00172"/>
        <s v="2-01-00240"/>
        <s v="2-04-00006"/>
        <s v="2-04-00066"/>
        <s v="2-04-00065"/>
        <s v="2-01-00402"/>
        <s v="2-01-00405"/>
        <s v="2-01-00424"/>
        <s v="2-01-00401"/>
        <s v="2-01-00404"/>
        <s v="2-01-00400"/>
        <s v="2-01-00935"/>
        <s v="3-01-00022"/>
        <s v="2-01-01138"/>
        <s v="2-01-00563"/>
        <s v="2-01-00562"/>
        <s v="2-01-00812"/>
        <s v="2-01-01140"/>
        <s v="2-01-00958"/>
        <s v="2-01-01144"/>
        <s v="2-01-00828"/>
        <s v="2-01-00988"/>
        <s v="2-01-00827"/>
        <s v="6-01-00211"/>
        <s v="2-01-00686"/>
        <s v="2-01-00297"/>
        <s v="2-01-00075"/>
        <s v="2-01-00096"/>
        <s v="2-01-00052"/>
        <s v="2-01-00123"/>
        <s v="2-02-00279"/>
        <s v="2-01-00420"/>
        <s v="2-01-00018"/>
        <s v="2-01-00118"/>
        <s v="2-01-00029"/>
        <s v="2-01-00419"/>
        <s v="2-01-00876"/>
        <s v="2-01-00353"/>
        <s v="2-01-00363"/>
        <s v="2-01-00021"/>
        <s v="2-01-00284"/>
        <s v="2-01-00192"/>
        <s v="2-01-00282"/>
        <s v="2-01-00023"/>
        <s v="2-01-00286"/>
        <s v="2-01-00351"/>
        <s v="2-01-00349"/>
        <s v="2-01-00348"/>
        <s v="Nuevo"/>
        <s v="2-01-00019"/>
        <s v="2-01-00874"/>
        <s v="2-01-00442"/>
        <s v="2-01-00002"/>
        <s v="2-01-00038"/>
        <s v="2-01-00003"/>
        <s v="2-01-00595"/>
        <s v="2-01-00101"/>
        <s v="2-01-00232"/>
        <s v="1-01-00763"/>
        <s v="2-01-00233"/>
        <s v="2-01-00004"/>
        <s v="2-01-00001"/>
        <s v="2-01-00009"/>
        <s v="2-01-00275"/>
        <s v="2-01-00701"/>
        <s v="2-01-00840"/>
        <s v="2-01-00298"/>
        <s v="2-01-00179"/>
        <s v="2-01-00399"/>
        <s v="1-01-00034"/>
        <s v="1-08-00038"/>
        <s v="2-01-00198"/>
        <s v="2-01-00336"/>
        <s v="2-01-00201"/>
        <s v="2-01-00335"/>
        <s v="2-01-00333"/>
        <s v="2-01-00738"/>
        <s v="2-01-00922"/>
        <s v="2-01-00270"/>
        <s v="2-01-01002"/>
        <s v="2-01-00371"/>
        <s v="2-01-00056"/>
        <s v="2-01-00277"/>
        <s v="1-01-00678"/>
        <s v="2-01-00045"/>
        <s v="2-01-00985"/>
        <s v="2-01-00674"/>
        <s v="2-01-01053"/>
        <s v="2-01-00666"/>
        <s v="2-01-00014"/>
        <s v="2-01-00254"/>
        <s v="2-01-00875"/>
        <s v="2-01-01048"/>
        <s v="2-01-00575"/>
        <s v="2-01-00237"/>
        <s v="2-01-00036"/>
        <s v="2-01-00253"/>
        <s v="2-01-00057"/>
        <s v="2-01-00035"/>
        <s v="2-01-00058"/>
        <s v="2-01-00238"/>
        <s v="2-01-00326"/>
        <s v="2-01-00142"/>
        <s v="2-01-00041"/>
        <s v="2-01-01050"/>
        <s v="2-01-00871"/>
        <s v="2-01-00521"/>
        <s v="2-01-00325"/>
        <s v="2-01-00571"/>
        <s v="2-01-00043"/>
        <s v="2-01-00042"/>
        <s v="&#10;2-01-00570"/>
        <s v="2-01-00657"/>
        <s v="2-01-00430"/>
        <s v="2-01-00428"/>
        <s v="2-01-00265"/>
        <s v="2-02-00606"/>
        <s v="2-02-00105"/>
        <s v="2-01-00181"/>
        <s v="2-01-00182"/>
        <s v="2-01-00099"/>
        <s v="2-02-00044"/>
        <s v="2-02-00337"/>
        <s v="2-02-00333"/>
        <s v="2-02-00151"/>
        <s v="2-02-00334"/>
        <s v="2-01-00226"/>
      </sharedItems>
    </cacheField>
    <cacheField name="ID Cotizado">
      <sharedItems containsBlank="1" containsMixedTypes="1" containsNumber="1" containsInteger="1">
        <n v="1.2157993E7"/>
        <n v="1.1805532E7"/>
        <m/>
        <s v="10011103"/>
        <s v="10363851"/>
        <s v="10317357"/>
        <s v="10607522"/>
        <s v="10031327"/>
        <s v="10876923"/>
        <s v="10083913"/>
        <s v="10134472"/>
        <s v="10420184"/>
        <s v="10012363"/>
        <s v="10986283"/>
        <s v="10030309"/>
        <s v="10075740"/>
        <s v="10312021"/>
        <s v="10752990"/>
        <s v="10004462"/>
        <s v="10006287"/>
        <s v="10108623"/>
        <s v="10863213"/>
        <s v="11825539"/>
        <s v="10863210"/>
        <s v="10863212"/>
        <s v="10895074"/>
        <s v="10999021"/>
        <s v="10942167"/>
        <s v="10589800"/>
        <s v="10014917"/>
        <s v="10022092"/>
        <s v="10591867"/>
        <s v="10286649"/>
        <s v="10000080"/>
        <s v="11459709"/>
        <s v="10014372"/>
        <s v="10000079"/>
        <s v="10510139"/>
        <s v="10405979"/>
        <s v="10871603"/>
        <s v="10001135"/>
        <s v="10396893"/>
        <s v="10872356"/>
        <s v="10022477"/>
        <s v="10182666"/>
        <s v="10000077"/>
        <s v="11424318"/>
        <s v="10001205"/>
        <s v="10001861"/>
        <s v="10000029"/>
        <s v="10000078"/>
        <n v="1.0001201E7"/>
        <n v="1.0541941E7"/>
        <s v="11311021"/>
        <s v="11319201"/>
        <s v="11319448"/>
        <s v="10004713"/>
        <s v="10874437"/>
        <s v="11423011"/>
        <s v="10001273"/>
        <s v="11318364"/>
        <s v="11440603"/>
        <s v="10001177"/>
        <s v="10001175"/>
        <n v="1.0966162E7"/>
        <n v="1.1651921E7"/>
        <s v="10781147"/>
        <s v="10781148"/>
        <s v="10239621"/>
        <s v="10004076"/>
        <s v="11308584"/>
        <s v="10291787"/>
        <s v="10773993"/>
        <s v="11648751"/>
        <s v="11518384"/>
        <s v="11416872"/>
        <s v="10320444"/>
        <s v="10763651"/>
        <s v="11154982"/>
        <s v="12020753"/>
        <s v="11822382"/>
        <s v="10370624"/>
        <s v="10299843"/>
        <s v="10040024"/>
        <s v="11131578"/>
        <s v="10355572"/>
        <s v="10059696"/>
        <s v="10449062"/>
        <s v="10755957"/>
        <s v="10191058"/>
        <s v="10894070"/>
        <s v="10479904"/>
        <s v="10059482"/>
        <s v="11867392"/>
        <s v="10763604"/>
        <s v="11174868"/>
        <s v="11174869"/>
        <s v="10756000"/>
        <s v="10755946"/>
        <s v="10169784"/>
        <s v="10269267"/>
        <s v="10257510"/>
        <s v="10169788"/>
        <s v="11142261"/>
        <s v="11518383"/>
        <s v="11525688"/>
        <n v="1.2046649E7"/>
        <s v="10593193"/>
        <s v="10763595"/>
        <s v="11867163"/>
        <s v="11536054"/>
        <s v="11100172"/>
        <s v="10848411"/>
        <s v="10755953"/>
        <s v="11536046"/>
        <s v="10763588"/>
        <s v="11131929"/>
        <s v="11435529"/>
        <s v="10755956"/>
        <s v="10753716"/>
        <s v="10755941"/>
        <s v="10059382"/>
        <s v="10755943"/>
        <s v="10755939"/>
        <n v="1.1176987E7"/>
        <s v="10821130"/>
        <s v="10755944"/>
        <s v="10755945"/>
        <s v="10124176"/>
        <s v="10414546"/>
        <s v="11174925"/>
        <n v="1.0274814E7"/>
        <s v="10026293"/>
        <s v="11320520"/>
        <s v="11884484"/>
        <s v="10123834"/>
        <s v="10124175"/>
        <s v="10109100"/>
        <s v="11439227"/>
        <s v="11246907"/>
        <s v="10020270"/>
        <s v="10450482"/>
        <n v="0.0"/>
        <s v="11673191"/>
        <s v="11101309"/>
        <n v="1.076544E7"/>
        <s v="90-041648"/>
        <s v="11876051"/>
        <s v="11808104"/>
        <s v="11157571"/>
        <s v="11001896"/>
        <s v="11129582"/>
        <s v="10752724"/>
        <s v="11412554"/>
        <s v="90-083786"/>
        <n v="1.0631452E7"/>
        <s v="11101307"/>
        <n v="1.110585E7"/>
        <n v="1.1536859E7"/>
        <s v="11672779"/>
        <s v="90-083788"/>
        <s v="90-083828"/>
        <s v="110049475"/>
        <s v="11-000505"/>
        <s v="90-035037"/>
        <n v="1.1416549E7"/>
        <s v="10690825"/>
        <s v="11139369"/>
        <s v="11412221"/>
        <s v="10311398"/>
        <s v="10397941"/>
        <s v="11160476"/>
        <s v="11247815"/>
        <s v="11247961"/>
        <s v="10261450"/>
        <s v="11668572"/>
        <s v="11780604"/>
        <s v="11430646"/>
        <s v="11405441"/>
        <s v="11247814"/>
        <s v="11247090"/>
        <s v="11402505"/>
        <s v="10661660"/>
        <s v="11668565"/>
        <s v="11247093"/>
        <s v="10494432"/>
        <s v="10149444"/>
        <s v="11797138"/>
        <s v="10302502"/>
        <s v="10966111"/>
        <s v="11430674"/>
        <s v="10007252"/>
        <s v="10966166"/>
        <s v="10691338"/>
        <s v="10966162"/>
        <s v="10034666"/>
        <s v="10302503"/>
        <s v="11314853"/>
        <s v="10688026"/>
        <s v="11324514"/>
        <s v="10004575"/>
        <s v="10032632"/>
        <s v="10001167"/>
        <n v="1.1138884E7"/>
        <n v="1.1424859E7"/>
        <s v="10536915"/>
        <n v="1.1879327E7"/>
        <s v="12047873"/>
        <s v="11420014"/>
        <s v="11420025"/>
        <s v="11420022"/>
        <s v="11420011"/>
        <s v="10441667"/>
        <s v="11355248"/>
        <s v="10591180"/>
        <s v="10488429"/>
        <s v="10274719"/>
        <s v="11531396"/>
        <s v="10488425"/>
        <s v="10709660"/>
        <s v="12006672"/>
        <s v="10274054"/>
        <s v="10628260"/>
        <s v="10625658"/>
        <s v="10488427"/>
        <s v="12023240"/>
        <s v="10274056"/>
        <s v="10274057"/>
        <s v="10274052"/>
        <s v="10083923"/>
        <s v="10687475"/>
        <s v="10488431"/>
        <s v="11304628"/>
        <s v="10292406"/>
        <s v="10001860"/>
        <s v="11125072"/>
        <n v="1.0488571E7"/>
        <n v="1.1982756E7"/>
        <n v="1.0488086E7"/>
        <s v="10506622"/>
        <s v="10686566"/>
        <s v="10275085"/>
        <s v="10309716"/>
        <s v="10082482"/>
        <s v="10217238"/>
        <s v="10004079"/>
        <s v="10745857"/>
        <s v="12008364"/>
        <s v="10360353"/>
        <s v="10745855"/>
        <s v="10388513"/>
        <s v="10241558"/>
        <s v="10319011"/>
        <s v="10388509"/>
        <s v="10567647"/>
        <s v="10873673"/>
        <s v="10653936"/>
        <s v="10000398"/>
        <s v="10000083"/>
        <n v="1.0413477E7"/>
        <s v="10689732"/>
        <s v="11211339"/>
        <s v="10894128"/>
        <s v="10568945"/>
        <s v="10542461"/>
        <s v="10340528"/>
        <s v="11288340"/>
        <s v="10392341"/>
        <s v="10000123"/>
        <s v="11870273"/>
        <s v="11870272"/>
        <s v="11107822"/>
        <s v="10681429"/>
        <s v="11107830"/>
        <s v="10918361"/>
        <s v="10168055"/>
        <s v="10505294"/>
        <s v="10941743"/>
        <s v="11200291"/>
        <s v="11040059"/>
        <s v="11200310"/>
        <s v="11359147"/>
        <s v="10871377"/>
        <s v="10358198"/>
        <s v="11430348"/>
        <s v="11340463"/>
        <s v="11430463"/>
        <s v="10186109"/>
        <s v="10518986"/>
        <s v="10748290"/>
        <s v="10919457"/>
        <s v="10083926"/>
        <s v="10303440"/>
        <s v="11040092"/>
        <s v="10003997"/>
        <s v="10000409"/>
        <s v="10149393"/>
        <s v="10294771"/>
        <s v="10000400"/>
        <s v="10294788"/>
        <s v="10220577"/>
        <s v="10186108"/>
        <n v="1.0616666E7"/>
        <n v="1.0435852E7"/>
        <n v="1.0000571E7"/>
        <s v="10539609"/>
        <s v="11094109"/>
        <n v="1.0946774E7"/>
        <s v="10420185"/>
        <s v="11424677"/>
        <s v="10946773"/>
        <s v="10465474"/>
        <s v="11430351"/>
        <s v="10293344"/>
        <s v="10456209"/>
        <s v="10834216"/>
        <s v="10834428"/>
        <s v="10096799"/>
        <s v="10530985"/>
        <s v="11163458"/>
        <s v="11163457"/>
        <s v="11456353"/>
        <s v="10006291"/>
        <s v="10006292"/>
        <s v="10166095"/>
        <s v="10001088"/>
        <s v="10873363"/>
        <s v="10302030"/>
        <s v="10302028"/>
        <n v="1.131792E7"/>
        <s v="10302026"/>
        <s v="11135996"/>
      </sharedItems>
    </cacheField>
    <cacheField name="Descripción del Bien" numFmtId="0">
      <sharedItems containsBlank="1">
        <s v="Aceite lubricantes ISO220 (GETRIEBEOEL  ALPHASYN EP 220   FASS ZU A 208,0LTR     CASTROL)"/>
        <s v="AMORTIGUADOR TOURING EM835002 (AMORTIGUADOR TURING 316 975 Nº PEDIDO: 81 4901 003 608)"/>
        <s v="BATERIA PARA SISTEMA LOOP 21 EN CABINAS 12V 55 Ah (22,3x10x27,3) (DISP.DE COMUNICACIÓN P. CABINA SEG. OFERTA 1603 HOLZKNECHT)"/>
        <s v="DÍNAMO TACOM.REO444 R1B 0,06EG JT-IP56 CON MAX.10000RPM-0,18A"/>
        <s v="POLEA +COJIN. P.POL.CONT.DIA29 PARA POLEA CONTADORA"/>
        <s v="ARO DE GOMA  290X44 SIN RANURA PARA POLEA"/>
        <s v="BULÓN DIA.30 H8 - L= 120       PARA POLEA CONTADORA"/>
        <s v="ESCOBILLA STAND. 31-41-EG 600V P. DÍNAMO TACOM. REO 444 R"/>
        <s v="ESCOBILLA DE CARBÓN 5/4/8.5 P. TACOM. HUEBNER Nº ID 10875889"/>
        <s v="CASQUILLO PM 3030 DS  TIPO: KW SIN AGUJ.DE ENGRASE    GLACIER"/>
        <s v="RODAM.R.B. DIN 625/1- 6008-2RS RODAMIENTO RANURADO DE BOLAS"/>
        <s v="ROD.RB DIN625/1-6204-2RS1-C3LT VT210  TTF90% +/-5% RODAM.RAN."/>
        <s v="ARO DE GOMA  254X44 SIN RANURA "/>
        <s v="RESORTE DE COMPRESIÓN D=7,50/DIÁ=47,5/AG=94,0 IF=4,95 DIN2095"/>
        <s v="BULÓN DIA.19,9 LN 127 M16      PARA POLEA DE PRESIÓN TIPO 0/A"/>
        <s v="ARANDELA DIST. DM 46,6/20 S=10 P.POLEA TIPO OE/A"/>
        <s v="TUERCA AUTOBLOC. BILOC - 8 M16 GALVAN.           WOLTERS GMBH"/>
        <s v="NIPLE ENGRASE M10X1 H1 RES.RESF. NIPLE CÓNICO DE ENGRASE 0°"/>
        <s v="NIPLE ENGRASE B  M10X1 DIN71412 RACOR CÓNICO ENGRASE 45 GRAD"/>
        <s v="RES.C. A=1,00/DIA.7,0/LSC=20,0 EE=  7,5; RES.DE COMPR.DIN2095"/>
        <s v="LEVANTACABLE P.CON.POL.DEFL.F. P.POLEAS D.APOYO EN AMBOS LAD."/>
        <s v="CEPILLO P. LUBRCAR PERMA 40X30 G1/4I, A101397"/>
        <s v="MANGUERA PTFE      6,00 / 8,00 COLOR: NATURAL"/>
        <s v="VÁLVULA DE RETENCIÓN DE ACEITE PERMA         A 104862"/>
        <s v="EMPALME DE MANGUERA PERMA G1/4A                     A104822"/>
        <s v="REDUCTOR PERMA M6                                    A 104837"/>
        <s v="RODILLO DE PLÁSTICO DIÁ. 80/ 17   B= 50"/>
        <s v="ACHSE   DM 14.8 LG  80                                    GVZ"/>
        <s v="POLEA DIÁ.47/12,0  B=20,0 PARA CADENA TRANSPORTADORA 4&quot;"/>
        <s v="POLEA DIA. 30/ 6,2  A= 20,0    PARA CADENA TRANSPORTADORA"/>
        <s v="RODAM.R.BOL.DIN625/1- 6016-2RS RODAMIENTO RANURADO DE BOLAS"/>
        <s v="DI-BU    DM  20,0/ 12.5 L=  16 "/>
        <s v="EMPUJADOR P.CAD.TRANSP.148X203 S=13,5 TRANSF.CORTA, C. CASQU."/>
        <s v="TUERCA HEXAGONAL DIN 985-8 M12, GALVANIZADA (C.ELEM.DE FIJ.)"/>
        <s v="ESLABÓN P. CADENA TRANSP. 2&quot;X17,02 DISTANCIA 8X2&quot;"/>
        <s v="RESORTE TORS.2,00X19,0/15,0X10 DIN 2088"/>
        <s v="TUERCA HEXAG. DIN 985-8 M10 ELECTROGALV. (C.ELEM.DE FIJAC.)"/>
        <s v="TORNILLO ISO 4014-8.8 M8X130 GALV. TORN. HEXAG."/>
        <s v="UÑA - CADENA P.TRANSP. 165X155 S=19   D=10,0"/>
        <s v="ARANDELA ISO 7089 M12 300AR FLZNNC-720H-L LAM.CINC SIN BISEL"/>
        <s v="TORNILLO DIN 931-8.8 M6X35, TORN.HEX., GALVAN. (ISO 4014)"/>
        <s v="RESORTE T.2,20X18,0/14,0X 10   DIN 2088"/>
        <s v="ARANDELA DIN 7349-8,4 300HV, FLZNNC-720H-L, REV.ZINC LAM. S.B"/>
        <s v="ARANDELA AJ. DIN988 12X 18X1,0 BRILLANTE, ACEITADO"/>
        <s v="SOPORTE DE POLEA P. CADENA TRANSP."/>
        <s v="TUERCA HEXAG. DIN 985- 8 M 6 GALVAN. (CON PIEZA DE APRIETE)"/>
        <s v="ARANDELA ISO 7089 M10 300HV GALV.P.INM.CAL. SIN BISEL"/>
        <s v="TORNILLO ISO 4014-8.8 M10X90 GALVAN. TORN. HEXAG."/>
        <s v="TORNILLO ISO 4017-8.8 M8X25, TORN. HEXAG., GALVANIZADO"/>
        <s v="TUERCA HEX. ISO 4032-8 M8 GALVANIZADA"/>
        <s v="TUERCA HEXAG. DIN 985- 8 M 8  GALVANIZ. (CON PIEZA DE APRIETE"/>
        <s v="TORNILLO ISO 8.8 M10X75"/>
        <s v="SPRAY PARA CADENA TRANSPORTADORA 2&quot;/4&quot; 0.4L PARA PARKING, CADENA RENOLD"/>
        <s v="AUSSENKOERPER 522.26     ART.NR. 676433           MOENNINGHOF"/>
        <s v="MAGNETTEIL 522.26-SO                             MOENNINGHOFF"/>
        <s v="LAMELLENPAKET  TYP 521/522.26                    MOENNINGHOFF"/>
        <s v="ANILLO &quot;V&quot; V 250 L             "/>
        <s v="V-RING  V 220 L"/>
        <s v="TORNILLO ISO 4762-8.8 M16X35 FLZNNC-480H-L;CIL. REB.LAM.ZN"/>
        <s v="TORNILLO ISO 4762 8.8 M 8X40    CILINDRICO, GALVAN."/>
        <s v="VERSCHLUSST.   GPN 900  A13,5  KAPSTO"/>
        <s v="SHR ISO 4762- 8.8 M 4X 10  GVZ  ZYL-SHR, GALV.VERZINKT"/>
        <s v="SHR ISO 4762- 8.8 M 5X 12  GVZ  ZYL-SHR, GALV.VERZINKT"/>
        <s v="TORNILLO ISO 4762- 8.8 M 5X 10 DE CABEZA CILINDRICA, GALVAN."/>
        <s v="MANGUERA AP AN10-2SC L=1400MM     DKOL-12/DKOL-12"/>
        <s v="AcOPLAM.DE FRENO A353/B293 500NM-08"/>
        <s v="BATERIA 950 CCA 850A 90AH"/>
        <s v="PRECALENTADOR VOLTAGE ON VOLTAJE 230/240 VATAJE 1500VATTIOS"/>
        <s v="PRECALENTADOR DE 1000 W 240 V MOD LR 1843 (MOTOR TERMICO)"/>
        <s v="RIEL DE ENLACE RECTO PASO SOLD. SD PIEZA SOLDADA"/>
        <s v="CARRIL DE CONEXIÓN RECTO CONEX. SOLD. IE PZA SOLDADA"/>
        <s v="JUNTA CARD.A RÓT. TS ATL/BSA 25 R.EXT.=M12X1,75"/>
        <s v="RODAM.RAN. DIN 625/1- 6305-2RS RODAMIENTO RANURADO DE BOLAS"/>
        <s v="TORNILLO ISO 4017-8.8U M16X80 GIC TORN. HEXAG."/>
        <s v="TORNILLO ISO 4017- 8.8U M12X 50 HEXAG. GALVAN.INM.CALIENTE"/>
        <s v="UNID.DE PR.CENTR.DM MOD.FS CPU PROGRAMADA"/>
        <s v="CONTACTOR  AF305-30-22-13      1SFL587002R1322        ABB"/>
        <s v="BATERIA A GEL DE 12 VOLTIOS - 100 AMPERIOS"/>
        <s v="ACOPLAD.FIBROÓPT. SBR-FX15000/RMD V2.0 Nº 12-20-540-81 ESCLA."/>
        <s v="VENTILADOR TIPO: SPR-MEC21543, P. DISP. NX DE VACON"/>
        <s v="CIRC.IMP.BLSCHAS2 PROT.C.RAYOS DOTADO                  LUETZE"/>
        <s v="FUENTE ALIMENT. CONMUT. PULS QS20.481 100-240VAC-48VDC/10A"/>
        <s v="ARRANCAD. INVERS. ELR H5-SC-24VDC/ 500AC-9 N.°2900538 PHOENIX"/>
        <s v="CARGADOR BLUE SMART 24/12     A PRUEBA DE AGUA VICTRON ENERGY"/>
        <s v="PROT. CONTRA SOBRETENS. ALIMENT. PHOENIX CONTACT Nº 2907920"/>
        <s v="INTERR. PROXIM. F1 GS (ROJO) PULSOR  M18 9914-1735 ANALÓGICO"/>
        <s v="POTENCIÓMETRO PAP4 INCL. FILTRO N.° 305158 P. RS232/RPD PILZ"/>
        <s v="CONTADOR HORAS DE SERVICIO R5 97 10-50V DC 96X96MM BAUSER"/>
        <s v="ELEMENTO BASE P. ENCHUFE PROTECT. PHOENIX CONTACT N.°:2839376"/>
        <s v="INTERRUPT.PROXIM.KD5018    IFM KAPAZITIV           M.LED-GELB"/>
        <s v="INTERRUPT.LLAVE 22-353.111D  EAO 2 CONT.DE CIERRE 24X36 NEGRO"/>
        <s v="BATTERIE CR2450    3,0V 560MAH LITHIUM"/>
        <s v="FUSIBLE AUTOM. CA/CC 5SY6 320-7  TRIPOL./20A/CURVA C  SIEMENS"/>
        <s v="BATERIA DE LITIO    3,6V 2,6AH TAMAÑO: AA"/>
        <s v="BATERÍA CR2477N     3,0V 950MAH LITIO"/>
        <s v="RELÉ DE SEGURIDAD SR2M 2 CAMBIADOR   V23047-A1024-A501"/>
        <s v="CONMUTADOR     M10H EU3 +OV    PROTEG.CONTR CONT.ACCID. TELUX"/>
        <s v="OPTOACOPLADOR LCIS-SR-DC-2L-5000140-PI  LUETZE 764050.0140"/>
        <s v="CONTACTOR KG3-18A10.24  24V/CC (1 CIERRE) BENEDIKT&amp;JAEGER"/>
        <s v="INTERR.PROT.MOTOR  0,25- 0,40A MS132-0.4-HKF1-11 1CI+1AP ABB"/>
        <s v="INTERR.PROT.MOTOR  0,40- 0,63A MS132-0.63-HKF1-11 1CI+1AP ABB"/>
        <s v="BLOQUE DE CONTACTO AUXILIAR 5ST3 010  1T +1R   SIEMENS"/>
        <s v="FUSIBLE AUTOMÁT. CA/CC 5SY6 120-7 UNIPOL./20A/CURVA C SIEMENS"/>
        <s v="ENCHUFE POTEN.GDM 3009 3-AFIL. DIN 43650-A/ISO4400"/>
        <s v="MICRORELÉ    MY4ZIN1 24VCC     CONTACTO INVERSOR DE 14 POLOS"/>
        <s v="PORTAFUSIB. RSS 214   14POLAR  ART. N°:180050            TELE"/>
        <s v="EMPAQUETADURA PERFIL GDM 3-16  731 531-002 PARA GDM 3009"/>
        <s v="INTERR. ETHERNET MANEJADO L210-F2G LYNX PROGRAMADO"/>
        <s v="ACOPLADOR FIBROÓPT. SBR-FX15000/RMD V2.0 Nº:12-20-540-80 MAES"/>
        <s v="INTERR. ETHERNET 1XGOL          MONOMODO/4RJ45     WESTERMO"/>
        <s v="INTERRUPTOR DE POTENCIA (LEISTUNGSSCHALTER TMAX XT5H 630 3P KOMPL. F.AF300         ABB)"/>
        <s v="CARGADOR SKYLLA-TG 24/50  AJUSTADO   VICTRON ENERGY"/>
        <s v="CONTACTOR K3-50A00.230      CA                BENEDIKT&amp;JAEGER"/>
        <s v="MOTORSCHUTZSCHALT. 30,0- 42,0A MS165-42                   ABB"/>
        <s v="FI-SCHALTER 5SV3 646-8     63A AUSLOESESTROM 0,3A     SIEMENS"/>
        <s v="INTERRUPT.CORR.FI 5SU1 354-6KK06 6A CORR.LIBER. 0,03A SIEMENS"/>
        <s v="BLITZDUCTOR  Nº ART. 920324     MÓDULO DE PROT. BXT ML4 BE 24"/>
        <s v="FUSIBLE AUTOMÁT. CA/CC 5SY6 302-7 TRIPOL./2A/CURVA C  SIEMENS"/>
        <s v="INTERR. CORR. DEF. 5SV3 344-6LA01 40A CORR.ACT. 0,03A SIEMENS"/>
        <s v="CONTACTOR K3-24A00.230      CC                BENEDIKT&amp;JAEGER"/>
        <s v="PROTECC.SOBREVOLTAJE ALIM.CORRIENTE PHOENIX CONTACT NO.2839.."/>
        <s v="RELE DE TIEMPO K3ZM20P-D    2-240V AC/DC        TELE HAASE"/>
        <s v="FUSIBLE AUTOMÁT. CA/CC 5SY6 316-7 TRIPOL./16A/CURVA C SIEMENS"/>
        <s v="VORRATSANZEIGE 0-1/4-4/4   24V P/N 0015ECT"/>
        <s v="FUSIBLE AUTOMÁT. CA/CC 5SY6 104-7  UNIPOL/4A/CURVA C  SIEMENS"/>
        <s v="INTERRUPT.PROXIM.IFRM 12P1701/ S14L INDUCTIVO DIA.12  PNP NO"/>
        <s v="FUSIBLE AUTOM. CA/CC 5SY6 106-7  UNIPOL./6A/CURVA C  SIEMENS"/>
        <s v="FUSIBLE AUTOM. CA/CC 5SY6 101-7       1P/1A/CURVA C  SIEMENS"/>
        <s v="MODULO DE INTERFACE, RJ45 IF, GOGATECH GMBH"/>
        <s v="CONTACTOR KG3-07D04.24  CC (4 APERTURA)     BENEDIKT&amp;JAEGER"/>
        <s v="FUSIBLE AUTOM. CA/CC 5SY6 110-7  UNIPOL./10A/CURVA C  SIEMENS"/>
        <s v="FUSIBLE AUTOM. CA/CC 5SY6 116-7  UNIPOL./16A/CURVA C  SIEMENS"/>
        <s v="BLOQUE DE CONTACTO 1OE B3T01 (INSTAL.FRONTAL) BENEDIKT&amp;JAEGER"/>
        <s v="MICRORELÉ    RT425024          TENSION BOBINA: 24V/DC SCHRACK"/>
        <s v="INTERR. AUXIL. P. MS4XX   1NO/1NC HK4-11                  ABB"/>
        <s v="cabezal de final de carrera"/>
        <s v="CONTACTO AUXILIAR 1S   HN 10       BENEDIKT&amp;JAEGER"/>
        <s v="COMPONENTE RC 110-230V RC-K3N 230 (CA/CC) BENEDIKT&amp;JAEGER"/>
        <s v="LÁMPARA LED ROJA 24V CA/CC P. CASQUILLO BA 9S N.°18602350"/>
        <s v="PORTALÁMPARA     B3F   FRONTAL       BENEDIKT&amp;JAEGER"/>
        <s v="BLOQUE DE CONTACTO 1S  B3T10 INSTAL.FRONTAL BENEDIKT&amp;JAEGER"/>
        <s v="PIEZA DE ACOPLAM. P. BOTÓN B3M      BENEDIKT&amp;JAEGER"/>
        <s v="CONV.MANOMÉTR. TIPO 8254.65.2317.32.0000.  0000.19.44.83 TRAF"/>
        <s v="INVALID: CLAVIJA BFA CON CABLE 3 POLOS N°: 7000-18021-6361000   MURR"/>
        <s v="ZAPATA FRENO 260X120/10 COMPL. FRENO DE EMERG. 50KN"/>
        <s v="ZAPATA DE FRENO     190X120X27 "/>
        <s v="SOPORTE DE PLATAFORMA PARA LA CABINA, PERFIL"/>
        <s v="BATERÍA LIBRE DE MANTENIMIENTO&#10;12V - 9Ah, 2-02-00653"/>
        <s v="BULÓN DE BLOQUEO P. ASIENTOS Nº ART.: 10-000477 CWA"/>
        <s v="RODAMIENTO C.SOP:ABRIDADO BK1 20/23/30X20+1,5 NO.ART.: 806568"/>
        <s v="PASADOR P. PEDESTAL INOX 58,7X40X400MM ART.: 11-067649"/>
        <s v="ROLDANA PARA APERTURA A/C MODELO E DIÁMETRO 65 A 30"/>
        <s v="CERRADURA DE PESTILLO, OMIV&#10;PARA CUBIERTAS LATERALES Y SUPERIORES"/>
        <s v="TUERARM LI+RE OMIV ET-SET KPL. ARTNR.:11-096246    BEST. AUS:"/>
        <s v="MANDO A DIST. CWA DERECHA-EXER. Nº ART. 11-080638"/>
        <s v="RODAMIENTO CONICO (MM) HR30203J-NSK 9585 MEDIDAS: 17.00X40.00X13.30 MM"/>
        <s v="CONVERSOR DE TENSION CC10-F-350NB Inout: 10-52 VDC, Output: 3V"/>
        <s v="INVALID: RESORTE DE BRAZOS 1 OMIII/OMIV/CO VE=5 STK ANR.:409533"/>
        <s v="BRAZO DE PUERTA LADO IZQUIERDO, OMIV"/>
        <s v="TORNILLO HEXAG. M10X50 GALV. Nº ART. 809559 C. REV. TUFLOK"/>
        <s v="TOPE GUIA PARA INSERTO DE CABINA 22.2MM X 17.7MM"/>
        <s v="BULÓN P. CILINDRO AMORT. MGD Y CLD"/>
        <s v="Terminales enchufables plano hembra # 8 con aislamiento"/>
        <s v="TORNILLO DE FIJACION M6, NO.10.100.365 C.COLLAR DE PL.+ANILLO"/>
        <s v="PLACA ELECTRONICA CONTROL DE PANEL SOLAR 90-083786"/>
        <s v="CASQUILLO GOM./MET. DIÁ.145/70 L=135 FMAX=85KN     GMT"/>
        <s v="CAB.ARTICUL.DE.ROT.10/M8 INOX. N° ART. 806598"/>
        <s v="CABLE DE ACCIONAMIENTO CWA COMPLETO L=3,0M/M8, NO.ID:801217"/>
        <s v="PARLANTES P. CABINA CWA N° 0710024-03 (intercomunicador)"/>
        <s v="VENTANA LADO TORRE OMIV-8 LWI Nº ART. 110048874GRAU133"/>
        <s v="PLACA DE RECTIFICADOR 90-083788"/>
        <s v="CABLE COAXIAL CONEXION ANTENA DE RADIO 90-083828"/>
        <s v="SOPORTE DE BATERIAS FASE 1"/>
        <s v="CRISTAL FRONTAL KF OMIV-10 LWI Nº ART.: 110049475GRAU133"/>
        <s v="HORQUILLA DE PUERTA DERECHA + PUERTA IZQUIERDA, OMIV&#10;147X103X48MM"/>
        <s v="CRISTAL DE RECAMBIO PARA VENTANA AVATIBLE"/>
        <s v="ABRAZADERA DEL CABLE MEFLEX"/>
        <s v="LED PARA CABINA OMEGA IV-10LWI"/>
        <s v="SISTEMA MANOMÉTR.0-600KN/0-10V F61541560077          WIKA"/>
        <s v="CARTUCHO DE REPUESTO P.DESHUMECTADOR BDE400X2W0.0, HYDAC"/>
        <s v="ELEMEN.FILTRANTE PI 3115 PS 10 MAHLE FILTRO BAJA TEN"/>
        <s v="FILTRO        0240 D 005 ON                             HYDAC"/>
        <s v="CIL.HIDR.CGS10N38X CURSO CORTO CARGA NOM.(PRES.):10T  TECNOS."/>
        <s v="VALV.DIST.2/2 SK 7936 L-RK-X-24-T 2/2 V.DISTR.DE ASIENTO HAWE"/>
        <s v="MANGUERA AP AN25-2SC L=2400MM     DKOL-28/CEL-28"/>
        <s v="MANGUERA AP AN35-2SC L=900MM      DKOL-28/DKOL90-28"/>
        <s v="FILTRO        0030 D 005 ON                             HYDAC"/>
        <s v="MANGUERA AP AN25-2SC L=1700MM CEL-28/DKOL90-28"/>
        <s v="VÁLVULA DISTR. 3/2 AS32061B-G24-  HRKS792Z328  WANDFLUH"/>
        <s v="MANGUERA AP AN10-2SC L=9500MM     DKOL-12/CEL-12"/>
        <s v="MANGUERA AP AN10-2SC L=11500MM    DKOL-12/CEL-12"/>
        <s v="MANGUERA AP AN12-2SC L=2400MM     CES-16/DKOS90-16"/>
        <s v="MANGUERA AP AN25-1SC L=1550MM  CEL-28/DKOL90-28"/>
        <s v="ARRASTRADOR 28X12X10 P. ACOPLAM. FELXIBLE INCL.P.DE GOMA 90SH"/>
        <s v="MANGUERA AP AN10-2SC L=8000MM     DKOL-12/CEL-12"/>
        <s v="MANGUERA AP AN12-2SC L=1800MM     CES-16/DKOS45-16"/>
        <s v="MANGUERA AP AN12-2SC L=1650MM     CES-16/DKOS45-16"/>
        <s v="RESORTE A GAS 750N CARR.=200MM TIPO ESPECIAL, ACEITE UNIVIS"/>
        <s v="KEILRIEMENSCH. DM160 4RI  DM57 4 RIEMEN - TYPE 5V/15J"/>
        <s v="VÁLVULA DIR. 2/2 VEI-16-08A-NC VÁLVULA DE ASIENTO HABERKORN"/>
        <s v="FILTRO   SAUER BR 90 - CORTO   ELEM.FILTR. P.BOMBA DE EMB.AX."/>
        <s v="MANGUERA AP AN10-2SC L=800MM     DKOL-12/DKOL-12"/>
        <s v="MANGUERA AP AN10-2SC L=1100MM     DKOL-12/CEL-12"/>
        <s v="ELEM.FILTR.  SFE 15S 125 W 1.0 P.FILTRO DE SUCCIÓN HYDAC"/>
        <s v="MANGUERA AP AN10-2SC L=800MM      DKOL-12/CEL-12"/>
        <s v="MANGUERA AP AN10-2SC L=2200MM     DKOL-12/DKOL-12"/>
        <s v="JUEGO DE EMPAQUETADURAS P. MIRILLA DE ACEITE FSA, FLUTEC"/>
        <s v="FILTER DANFOSS 90R / H1P130-165 - LANG/FILTERELEMENT AK-PUMPE"/>
        <s v="FILTRO DANFOSS P. H1P060-100 - CORTO/ELEM.FILTR. P. BOMBA E.A"/>
        <s v="HD-SCHLAUCH NW10-2SC L= 2500MM   DKOL-12/DKOL-12"/>
        <s v="CORONA DENTADA PARA ACOPLE DE PLÁSTICO 19/24 DIA. RED"/>
        <s v="ANILLO EN O   DI 129,2 X 5,7   "/>
        <s v="ANILLO EN O DIÁ.I. 45X3,0"/>
        <s v="TORNILLO ISO 4762-8.8 M4X12 GALV. TORN.DE CABEZA CILINDR."/>
        <s v="FILTRO DESHUMECTADOR BDE400 G2W1.0/-RV0.003, HYDAC"/>
        <s v="Aceite hidraulico Dopp Syny 70  210L"/>
        <s v="BOMBA RUEDAS D. SNP1/1,7DCO01F BOMBA RUEDAS DENTADAS    SAUER"/>
        <s v="MANÓMETRO PRES. 0-250 BAR TN 63"/>
        <s v="MAGUERA HIDRAULICA FRENO DE EMERGENCIA"/>
        <s v="FREMDLUEFTERMOTOR  HEFIE3 FOL 100LA/4  3,0KW 400V 50HZ  EMOD"/>
        <s v="RODAMIENTO 6305 ZZ (MOTOR APOYO PAR)"/>
        <s v="RODAMIENTO 6205 ZZ (MOTOR APOYO PAR)"/>
        <s v="RODAMIENTO 6001 - 2Z (VENTILADOR VARIADORES VACOM)"/>
        <s v="RODAMIENTO 6206-2Z (PARA MOTOR VENTILADOR DEL MOTOR PRINCIPAL)"/>
        <s v="RODAMIENTO 6207-Z (MOTOR DE VENTILADOR CENTRIFUGO)"/>
        <s v="RODAMIENTO 624-2Z (04x13x05) (VELETA Y ANEMOMETRO)"/>
        <s v="RODAMIENTO 6204-ZZ (MOTOR REFRIGERACION DE ACEITE REDUCTOR)"/>
        <s v="RODAMIENTO 6206-Z (MOTOR DE VENTILADOR CENTRIFUGO)"/>
        <s v="TORNILLO ISO 4017-10.9U M16X35 TORN. HEXAG. GIC"/>
        <s v="RODAMIENTO 6204 – 2Z (MOTOR CENTRAL DE FRENOS)                      "/>
        <s v="TORNILLO ISO 4017-10.9U M20X50 FVZ TORN.HEX. GALV.INM.CAL."/>
        <s v="RODAMIENTO 6203 – 2Z (MOTOR CENTRAL DE FRENOS)                      "/>
        <s v="RETEN 25X37X6 (REDUCTOR APOYO PAR)"/>
        <s v="TORNILLO ISO 4017-10.9U M18X40 GIC TORN. HEXAG."/>
        <s v="TORNILLO ISO 4017-10.9U M14X 35 GIC CABEZA HEXAGONAL"/>
        <s v="6204-ZZ RODAMIENTO MOTORES TERMOMECANICA"/>
        <s v="6205-ZZ RODAMIENTO MOTORES TERMOMECANICA"/>
        <s v="MOTOR ELECTRICO INOTECH TIS-370GS (CICLON)"/>
        <s v="FORRO FRICCION SINT. DT, AGA   P.PINZA DESEMBR.DT,AGA    2003"/>
        <s v="LENGÜETA P. PINZA A108-C TIPO 2/510/IBAF Ø48-51MM"/>
        <s v="RRB DIN 625/1- 6207-2RS1-C3 LT VT210 (TTF 90% +/-5%)ROD.R.B."/>
        <s v="EJE DE RESORTE          A108-C DIA.28  LN 91"/>
        <s v="CASQUILLO PM 7560 DS   TIPO KW SIN AGUJ.DE ENGRASE    GLACIER"/>
        <s v="GUÍA RESORTES A108-C L=431"/>
        <s v="CABEZAL RESORTE A108-C  50X290 "/>
        <s v="PERNO DEL EJE P. POLEA  A108-C DIA.35 LN 115,5"/>
        <s v="DF  D=22,00/DM=120,0/LO=389,0 IF= 8,60; DRUCKFEDER DIN 2095"/>
        <s v="CASQUILLO PM 3240 DS  TIPO: KW AGA, SIN AGUJ.DE ENGR. GLACIER"/>
        <s v="PLATILLO DE RESORTE SUP., A108-C, RECUB.DE LAMINILLAS DE CINC"/>
        <s v="ANILL.SINUS.85,8X75,8X1,10/8,0 N° ART.: SR 050.43-36"/>
        <s v="EJE DE CAB.A108-C DIA.32 L 354 "/>
        <s v="LENGÜETA  A108-C TIPO 2     CABLE Ø48-51 MM"/>
        <s v="CASQUILLO NTPM 2830 DS DE=32MM AGA (CON BOQUI.ENGRASE)GLACIER"/>
        <s v="CASQUILLO PM 2260 DS  TIPO: KW SIN AGUJERO DE ENGRASE GLACIER"/>
        <s v="CIRCLIP INTER. DIN 472  72X3,0 GALVAN."/>
        <s v="CASQUILLO PM 5040 DS  TIPO: KW SIN AGUJ.DE ENGRASE    GLACIER"/>
        <s v="TORNILLO DE AJUSTE      A108-C "/>
        <s v="ANILLO DE CIERRE        A108-C DIA95,0/ 75,0  S=26,0  EL.GALV"/>
        <s v="NIPLE DE ENGRASE A 6X1,0 ~DIN71412 NIPLE CÓNICO (CIL.) RECTA"/>
        <s v="TUERCA ALMEN. DIN979-04 M30X2  VERZINKT, NIEDRIGE BAUART"/>
        <s v="TORNILLO ISO 4017-8.8 M8X20, TORN. HEXAG., GALVAN."/>
        <s v="TUERCA HEX.ISO4035- 8 M18       GALVANIZADA         (DIN439B)"/>
        <s v="TUERCA HEXAGONAL M18   A 108-C"/>
        <s v="POLEA DE RODADURA DIÁ.180MM, A-108C ENSAYO FINAL"/>
        <s v="Supresor de picos DEHNshield DSH TN 255"/>
        <s v="Interruptor diferencial ABB FH202, 25A, 30mA"/>
        <s v="Termomagnético C-20, 6KA"/>
        <s v="POLEA GUÍA DIA.158 MM    AGA-C "/>
        <s v="POLEA DE CORREA TRAPEZ.DIÁ.160 ALUM.DIÁ.72 PERFIL CORR.T.XPC"/>
        <s v="RODAM.RAN.D.BOLAS DIN625/1-6308-2RS1-C3GLE VT210 (90% +/-5%)"/>
        <s v="CORREA TRAP.CC/HCC LREF=6150MM DOBLE"/>
        <s v="TORN.HALFEN 72/48  8.8 M20X 60 TORNIL.HALFEN C. TUERCA,   GIC"/>
        <s v="CORREA TRAP.XPC     LA=1900 MM DIN 7753-1"/>
        <s v="CORREA TRAP. XPC LW=2000 MM DIN 7753-1"/>
        <s v="RODAM.RAN.DIN 625/1- 6306-2RS1 RODAM.RANUR.DE BOLAS (TTF-60%)"/>
        <s v="RODAM.RAN.D.BOLAS DIN625/1-6312-2RS1-C3GLE VT210 (90% +/-5%)"/>
        <s v="RUEDA COMPLETA &quot;DOPPELMAYR-G&quot; PRESION 3,5 - 5,0 BARES"/>
        <s v="CORREA TRAPEZOIDAL XPC LA=1850 MM DIN 7753-1"/>
        <s v="RODAM.RAN.D.BOLAS DIN625/1- 6309-2RS1-C3GLE VT210 (90% +/-5%)"/>
        <s v="CORREA TRAPEZOIDAL XPC LW=1960 MM DIN 7753-1"/>
        <s v="CORREA TRAP.XPB     LW=1500 MM DIN 7753-1"/>
        <s v="CORREA TRAP.XPB     LW=1545 MM DIN 7753-1"/>
        <s v="CORREA TRAPEZOIDAL XPC LA=2140 MM DIN 7753-1"/>
        <s v="CORREA TRAPEZ. XPC  LA=2080 MM DIN 7753-1"/>
        <s v="ARANDELA ISO 7089 M20 300HV, FLZNNC-720H-L, REV.L.ZINC SIN CH"/>
        <s v="TORN.P.RUEDA 8.8 M12X 20  ESP. HEXAGONAL, DIN 933 + ARANDELA"/>
        <s v="CIRCLIP INTER. DIN 472  72X2,5, FOSFAT., SEEGER"/>
        <s v="TUERCA HEXAG. DIN 985-8 M20 ELECTROGALV. (C. ELEM.DE FIJAC.)"/>
        <s v="TENSOR DE CORREA O°"/>
        <s v="HERRAM.DE SUJEC. P.CORREAS UNIG GALVANIZADA, COMPUESTA DE:"/>
        <s v="POLEA CORR.TRAPEZ. DIÁ.318/328 DIÁ.59 PERFIL CORR. XPC ALUM."/>
        <s v="CILINDRO DE FRENO, COMPLETO    CARRERA=300, D=1080"/>
        <s v="BULÓN DIA.22H7  LN 297,5  M16  ARMAZ.4PTS.  8P. CWA OMEGA III"/>
        <s v="TOPE DE GOMA    DIA.90/36 A=24 CENTR.RESORTE ESPIRAL 8MGD-GCS"/>
        <s v="TOPE DE GOMA    DIA.90/35 A=24 CENTRAJE RESORTE ESPIRAL"/>
        <s v="CABLE P. PUENTEO COMPLETO ARMAZÓN DE 4 PUNTOS DG"/>
        <s v="ARANDELA D.CENTRAR DIA.104,5MM P.SUSPENSIÓN DE CABINA  6/8MGD"/>
        <s v="TUERCA HEX.ISO4035-04 M20      GALVAN.              (DIN439B)"/>
        <s v="RESORTE DE COMPR. D=10,50/DIÁ=72,00/LO=91,0 IF= 2,71; RAL5003"/>
        <s v="RESORTE DE COMPR.D=10,00/DIÁ=71,00/LO=85,7 IF= 2,42; RAL7016"/>
        <s v="POLEA DE CORREA TRAPEZ. DIÁ.340 PERF. DE CORREA HCC ALUM"/>
        <s v="TENSOR DE CORREA, ACCIONAM.POR RUEDA DE FRICCIÓN UNI"/>
        <s v="POLEA DE CORREA TRAP. DIÁ.328/318 DIÁ.80 PERFIL CORREA XPC AL"/>
        <s v="TUBO DIST. DIÁ60/50.2 L=337 UNIG BALANCÍN POL. FRICC. NIT"/>
        <s v="CASQUILLO DIST. DIÁ50/30 L=140"/>
        <s v="EJE P.ACC.RUE.DE FRICC.L=335,1 UNIG"/>
        <s v="ANILLO DIA. 80,0/ 60,0 L= 20,5   UNIG"/>
        <s v="POLEA H 500 CL.100 DIÁ.505 C.ARO LAT. ACERO SIN NIPLE ENGRASE"/>
        <s v="ANILLO DIST. DIÁ.68/50 E=13,5 P. POLEA 501"/>
        <s v="POLEA V 500 CL.100 DIÁ.505 C.ARO LAT. ACERO SIN NIPLE ENGRASE"/>
        <s v="CHAPA E=20 L=150 B=100, UNIG, GALVAN."/>
        <s v="LAMINILLA EMPAQUE.Z212F 60X110 SUPERFICIE DE EJECUC.ESPECIAL"/>
        <s v="CUBO DE POLEA DE FRICCIÓN MGD P. CORREA DOBLE"/>
        <s v="TUBO DIST. DIÁ 35/25 L=140, TUBO DIST. P. POLEA 420C"/>
        <s v="SOPORTE DE EJE, CORTO"/>
        <s v="CASQU.DIST. DIÁ42/25 L=125 CASQUILLO DIST. P. POLEA 403"/>
        <s v="CUERPO DE POLEA 501 400X130    "/>
        <s v="ARAND.DIST. DIA.79,5/35 S=12,1 ARANDELA DIST.P.POLEA TIPO 403"/>
        <s v="SOPORTE DE EJE DIA63 H7 ESPEC. UNIG              ELECTROGALV."/>
        <s v="EJE P. ACC. POR FRICC. L=323,0 UNIG P. BALANCÍN POL.FR. BLK"/>
        <s v="CASQUILLO PM 6040 DS   TIPO KW SIN AGUJ.DE ENGRASE    GLACIER"/>
        <s v="ARO LATER. DIA435/330,5 S=16 R 6,9+-0,1"/>
        <s v="CUBO DIÁ.52/DIÁ.110 L=49 POLEAS HORIZONTALES"/>
        <s v="RARB DIN 711/1-51104           RODAMIENTO AXIAL RÍG. DE BOLAS"/>
        <s v="CIRCLIP INTER.  DIN 472 110X4  FOSFAT."/>
        <s v="ANILLO ELÁSTICO  323,8X 6,0    CON RECUBRIMIENTO DELTA-TONE"/>
        <s v="CHAPA  E= 4  L= 150 A=100      UNIG              ELECTROGALV."/>
        <s v="CIRCLIP INTER. DIN 472  80X2,5 FOSFAT."/>
        <s v="CHAPA CURVA   E=3 L=145 A=64   UNIG                     GALV."/>
        <s v="ARANDELA AJ. DIN 988 50X62X0,5 DESNUDO, ACEITADO"/>
        <s v="LLANTA DE POLEA 403 330X120    "/>
        <s v="RRB DIN 625/1- 6208-2RS-C3GLE VT210 (90%+5%)RODAM.RANU.BOLAS"/>
        <s v="ARO LATER. DIA 505/400,5 S=18"/>
        <s v="MANGUITO SUJ. ISO 8752 8X40 GEOMET 321A (DIN 1481)"/>
        <s v="POLEA SENSOR  C   CL 64 DIA265 CON CONCAVID.DIA.250 /ALUMINIO"/>
        <s v="BÁSCULA DE 2 P. TIPO C-L AC.60 DP572 P. P.SENSOR TIPO 420C-L"/>
        <s v="BALANCIN DE 2 POL. TIPO C AC.6"/>
        <s v="ROD.RA.BOLAS  DIN 625/1- 6205-2RS-C3 LT VT210 (TTF 90% +/-5%)"/>
        <s v="ARANDELA ISO 7092 M24 300HV, FLZNNC-720H-L, REV.LAM.ZN S. BI."/>
        <s v="BALANCÍN 2 POL. TIPO C AC.60 DEP=560 P. POLEA SENSOR 420C"/>
        <s v="CUERPO DE POLEA  420C 330X120  "/>
        <s v="CASQUILLO DIST. DIÁ50/30 L=160"/>
        <s v="PERNO DIA.29,9  L 225 M24      PARA POLEA TIPO 501"/>
        <s v="PERNO DIA.24,9 LN 192 M20      PARA POLEA TIPO 420C"/>
        <s v="ANILLO DIST. DIÁ.68/50 E=23,5 P. POLEA 501 GALV.+AMARILLO"/>
        <s v="ANILLO DIST. DIÁ.57/35 E=18,5 P. POLEA 420C GALV.+AMARILLO"/>
        <s v="ANILLO ELÁSTICO  393,5X 6,3    CON RECUBRIMIENTO DELTA-TONE"/>
        <s v="INTERRUPT.DE HORQUILLA DE SEG. RACOR ATORN.P.2 CABLES DIA.5-6"/>
        <s v="STECKVERBINDER EINBAU  2,5MM2  PV-FT-CF-C-2,5-130-BU"/>
        <s v="STECKVERBINDER EINBAU  2,5MM2  PV-FT-CM-C-2,5-130-RD"/>
        <s v="HORQUILLA DE SEGUR. DIÁ4,5 L=122 CARGA ESTÁT. DE ROT. 60-100N"/>
        <s v="CONECTOR HEMBRA DIA.7  L=38    P.INTERRUPTOR HORQUILLA"/>
        <s v="TORNILLO DE FIJACION M10X25    P. INTERRUPTOR DE HORQUILLA"/>
        <s v="RACOR ATORN.P.CAB.HSK-K  PG 16 NEGRO, N° DE PED.1.597.1605.01"/>
        <s v="TORNILLO ISO1207  MS  M 3,5X12 CABEZA CIL.CON RANURA (DIN84)"/>
        <s v="ENCHUFE PROTECT. SOBREVOLTAJE PHOENIX CONTACT N.°2838322"/>
        <s v="CABLE DE CONEX.RPD 10M KDKS AMARILLO CON ENCHUFE INYECTADO Y"/>
        <s v="CABLE CONECTOR RPD 8M KDKS AMARILLO CON CONECTOR INTEGRADO +"/>
        <s v="INTERRUPTOR RPD PARA CONTROL POSICION DEL CABLE GS 5001"/>
        <s v="CABLE DE CONEX.RPD 6M KDKS AMARILLO CON ENCHUFE INYECTADO Y"/>
        <s v="AMORTIGUADOR WM-Z7-200-K4G4-C FUERZA COMPR./TRACT.2-50KN WEF."/>
        <m/>
      </sharedItems>
    </cacheField>
    <cacheField name="Unid." numFmtId="0">
      <sharedItems containsBlank="1">
        <s v="Turril"/>
        <s v="Pza"/>
        <s v="L- Turril"/>
        <m/>
      </sharedItems>
    </cacheField>
    <cacheField name="LMO" numFmtId="0">
      <sharedItems containsString="0" containsBlank="1" containsNumber="1" containsInteger="1">
        <n v="2024.0"/>
        <m/>
        <n v="2025.0"/>
        <n v="2028.0"/>
      </sharedItems>
    </cacheField>
    <cacheField name=" LPL" numFmtId="0">
      <sharedItems containsString="0" containsBlank="1" containsNumber="1" containsInteger="1">
        <n v="2024.0"/>
        <m/>
        <n v="2025.0"/>
        <n v="2028.0"/>
        <n v="2029.0"/>
      </sharedItems>
    </cacheField>
    <cacheField name="LAM" numFmtId="0">
      <sharedItems containsString="0" containsBlank="1" containsNumber="1" containsInteger="1">
        <n v="2024.0"/>
        <m/>
        <n v="2025.0"/>
        <n v="2026.0"/>
        <n v="2031.0"/>
      </sharedItems>
    </cacheField>
    <cacheField name=" LR" numFmtId="0">
      <sharedItems containsString="0" containsBlank="1" containsNumber="1" containsInteger="1">
        <n v="2026.0"/>
        <n v="2024.0"/>
        <m/>
        <n v="2025.0"/>
        <n v="2031.0"/>
      </sharedItems>
    </cacheField>
    <cacheField name="LN" numFmtId="0">
      <sharedItems containsString="0" containsBlank="1" containsNumber="1" containsInteger="1">
        <n v="2025.0"/>
        <n v="2024.0"/>
        <m/>
        <n v="2026.0"/>
        <n v="2032.0"/>
      </sharedItems>
    </cacheField>
    <cacheField name="LAZ" numFmtId="0">
      <sharedItems containsString="0" containsBlank="1" containsNumber="1" containsInteger="1">
        <n v="2026.0"/>
        <n v="2024.0"/>
        <m/>
        <n v="2025.0"/>
        <n v="2032.0"/>
      </sharedItems>
    </cacheField>
    <cacheField name="LB" numFmtId="0">
      <sharedItems containsString="0" containsBlank="1" containsNumber="1" containsInteger="1">
        <n v="2024.0"/>
        <m/>
        <n v="2033.0"/>
        <n v="2025.0"/>
        <n v="2026.0"/>
      </sharedItems>
    </cacheField>
    <cacheField name="LCE" numFmtId="0">
      <sharedItems containsString="0" containsBlank="1" containsNumber="1" containsInteger="1">
        <n v="2024.0"/>
        <m/>
        <n v="2025.0"/>
        <n v="2033.0"/>
        <n v="2026.0"/>
      </sharedItems>
    </cacheField>
    <cacheField name=" LCA">
      <sharedItems containsBlank="1" containsMixedTypes="1" containsNumber="1" containsInteger="1">
        <n v="2024.0"/>
        <m/>
        <s v="2024 "/>
        <n v="2028.0"/>
        <n v="2029.0"/>
        <n v="2025.0"/>
        <n v="2026.0"/>
      </sharedItems>
    </cacheField>
    <cacheField name="LV" numFmtId="0">
      <sharedItems containsString="0" containsBlank="1" containsNumber="1" containsInteger="1">
        <n v="2024.0"/>
        <m/>
        <n v="2025.0"/>
        <n v="2031.0"/>
      </sharedItems>
    </cacheField>
    <cacheField name="Lineas Base" numFmtId="0">
      <sharedItems containsString="0" containsBlank="1">
        <m/>
      </sharedItems>
    </cacheField>
    <cacheField name="f LMO/año" numFmtId="0">
      <sharedItems containsString="0" containsBlank="1" containsNumber="1" containsInteger="1">
        <n v="4.0"/>
        <n v="5.0"/>
        <m/>
        <n v="3.0"/>
        <n v="1.0"/>
        <n v="2.0"/>
        <n v="6.0"/>
        <n v="8.0"/>
        <n v="7.0"/>
        <n v="12.0"/>
        <n v="10.0"/>
      </sharedItems>
    </cacheField>
    <cacheField name="f LPL/año" numFmtId="0">
      <sharedItems containsString="0" containsBlank="1" containsNumber="1" containsInteger="1">
        <n v="4.0"/>
        <m/>
        <n v="5.0"/>
        <n v="3.0"/>
        <n v="1.0"/>
        <n v="2.0"/>
        <n v="7.0"/>
        <n v="6.0"/>
        <n v="8.0"/>
        <n v="0.0"/>
        <n v="12.0"/>
        <n v="10.0"/>
      </sharedItems>
    </cacheField>
    <cacheField name="f LAM/año" numFmtId="0">
      <sharedItems containsString="0" containsBlank="1" containsNumber="1" containsInteger="1">
        <n v="4.0"/>
        <n v="5.0"/>
        <m/>
        <n v="2.0"/>
        <n v="3.0"/>
        <n v="1.0"/>
        <n v="6.0"/>
        <n v="8.0"/>
        <n v="7.0"/>
        <n v="10.0"/>
        <n v="12.0"/>
      </sharedItems>
    </cacheField>
    <cacheField name="f LR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N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AZ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B/año" numFmtId="0">
      <sharedItems containsString="0" containsBlank="1" containsNumber="1" containsInteger="1">
        <n v="4.0"/>
        <m/>
        <n v="5.0"/>
        <n v="2.0"/>
        <n v="1.0"/>
        <n v="3.0"/>
        <n v="8.0"/>
        <n v="6.0"/>
        <n v="7.0"/>
      </sharedItems>
    </cacheField>
    <cacheField name="f LCE/año" numFmtId="0">
      <sharedItems containsString="0" containsBlank="1" containsNumber="1" containsInteger="1">
        <n v="4.0"/>
        <m/>
        <n v="5.0"/>
        <n v="2.0"/>
        <n v="1.0"/>
        <n v="3.0"/>
        <n v="8.0"/>
        <n v="6.0"/>
        <n v="7.0"/>
      </sharedItems>
    </cacheField>
    <cacheField name="f LCA/año" numFmtId="0">
      <sharedItems containsString="0" containsBlank="1" containsNumber="1" containsInteger="1">
        <n v="4.0"/>
        <m/>
        <n v="5.0"/>
        <n v="1.0"/>
        <n v="2.0"/>
        <n v="3.0"/>
        <n v="8.0"/>
        <n v="7.0"/>
      </sharedItems>
    </cacheField>
    <cacheField name="f LV/año" numFmtId="0">
      <sharedItems containsString="0" containsBlank="1" containsNumber="1" containsInteger="1">
        <n v="4.0"/>
        <m/>
        <n v="1.0"/>
        <n v="2.0"/>
        <n v="3.0"/>
        <n v="5.0"/>
        <n v="10.0"/>
        <n v="8.0"/>
        <n v="6.0"/>
        <n v="7.0"/>
      </sharedItems>
    </cacheField>
    <cacheField name="Pr Frecuencia" numFmtId="0">
      <sharedItems containsString="0" containsBlank="1">
        <m/>
      </sharedItems>
    </cacheField>
    <cacheField name="LMO2" numFmtId="0">
      <sharedItems containsString="0" containsBlank="1">
        <m/>
      </sharedItems>
    </cacheField>
    <cacheField name=" LPL3" numFmtId="0">
      <sharedItems containsString="0" containsBlank="1">
        <m/>
      </sharedItems>
    </cacheField>
    <cacheField name="LAM4" numFmtId="0">
      <sharedItems containsString="0" containsBlank="1">
        <m/>
      </sharedItems>
    </cacheField>
    <cacheField name=" LR5" numFmtId="0">
      <sharedItems containsString="0" containsBlank="1">
        <m/>
      </sharedItems>
    </cacheField>
    <cacheField name="LN6" numFmtId="0">
      <sharedItems containsString="0" containsBlank="1">
        <m/>
      </sharedItems>
    </cacheField>
    <cacheField name="LAZ7" numFmtId="0">
      <sharedItems containsString="0" containsBlank="1">
        <m/>
      </sharedItems>
    </cacheField>
    <cacheField name="LB8" numFmtId="0">
      <sharedItems containsString="0" containsBlank="1">
        <m/>
      </sharedItems>
    </cacheField>
    <cacheField name="LCE9" numFmtId="0">
      <sharedItems containsString="0" containsBlank="1">
        <m/>
      </sharedItems>
    </cacheField>
    <cacheField name=" LCA10" numFmtId="0">
      <sharedItems containsString="0" containsBlank="1">
        <m/>
      </sharedItems>
    </cacheField>
    <cacheField name="LV11" numFmtId="0">
      <sharedItems containsString="0" containsBlank="1">
        <m/>
      </sharedItems>
    </cacheField>
    <cacheField name="f LMO/año2" numFmtId="0">
      <sharedItems containsString="0" containsBlank="1" containsNumber="1" containsInteger="1">
        <n v="-2024.0"/>
        <n v="0.0"/>
        <n v="-2025.0"/>
        <n v="-2028.0"/>
        <m/>
      </sharedItems>
    </cacheField>
    <cacheField name="f LPL/año3" numFmtId="0">
      <sharedItems containsString="0" containsBlank="1" containsNumber="1" containsInteger="1">
        <n v="-2024.0"/>
        <n v="0.0"/>
        <n v="-2025.0"/>
        <n v="-2028.0"/>
        <n v="-2029.0"/>
        <m/>
      </sharedItems>
    </cacheField>
    <cacheField name="f LAM/año4">
      <sharedItems containsBlank="1" containsMixedTypes="1" containsNumber="1" containsInteger="1">
        <n v="-2024.0"/>
        <n v="0.0"/>
        <n v="-2025.0"/>
        <s v="#REF!"/>
        <n v="-2026.0"/>
        <n v="-2031.0"/>
        <m/>
      </sharedItems>
    </cacheField>
    <cacheField name="f LR/año5">
      <sharedItems containsBlank="1" containsMixedTypes="1" containsNumber="1" containsInteger="1">
        <n v="-2026.0"/>
        <n v="-2024.0"/>
        <n v="0.0"/>
        <n v="-2025.0"/>
        <s v="#REF!"/>
        <n v="-2031.0"/>
        <m/>
      </sharedItems>
    </cacheField>
    <cacheField name="f LN/año6" numFmtId="0">
      <sharedItems containsString="0" containsBlank="1" containsNumber="1" containsInteger="1">
        <n v="-2025.0"/>
        <n v="-2024.0"/>
        <n v="0.0"/>
        <n v="-2026.0"/>
        <n v="-2032.0"/>
        <m/>
      </sharedItems>
    </cacheField>
    <cacheField name="f LAZ/año7" numFmtId="0">
      <sharedItems containsString="0" containsBlank="1" containsNumber="1" containsInteger="1">
        <n v="-2026.0"/>
        <n v="-2024.0"/>
        <n v="0.0"/>
        <n v="-2025.0"/>
        <n v="-2032.0"/>
        <m/>
      </sharedItems>
    </cacheField>
    <cacheField name="f LB/año8" numFmtId="0">
      <sharedItems containsString="0" containsBlank="1" containsNumber="1" containsInteger="1">
        <n v="-2024.0"/>
        <n v="0.0"/>
        <n v="-2033.0"/>
        <n v="-2025.0"/>
        <n v="-2026.0"/>
        <m/>
      </sharedItems>
    </cacheField>
    <cacheField name="f LCE/año9" numFmtId="0">
      <sharedItems containsString="0" containsBlank="1" containsNumber="1" containsInteger="1">
        <n v="-2024.0"/>
        <n v="0.0"/>
        <n v="-2025.0"/>
        <n v="-2033.0"/>
        <n v="-2026.0"/>
        <m/>
      </sharedItems>
    </cacheField>
    <cacheField name="f LCA/año10">
      <sharedItems containsBlank="1" containsMixedTypes="1" containsNumber="1" containsInteger="1">
        <n v="-2024.0"/>
        <n v="0.0"/>
        <s v="#VALUE!"/>
        <n v="-2028.0"/>
        <n v="-2029.0"/>
        <n v="-2025.0"/>
        <n v="-2026.0"/>
        <m/>
      </sharedItems>
    </cacheField>
    <cacheField name="f LV/año11" numFmtId="0">
      <sharedItems containsString="0" containsBlank="1" containsNumber="1" containsInteger="1">
        <n v="-2024.0"/>
        <n v="0.0"/>
        <n v="-2025.0"/>
        <n v="-2031.0"/>
        <m/>
      </sharedItems>
    </cacheField>
    <cacheField name="MATRIZ " numFmtId="0">
      <sharedItems containsString="0" containsBlank="1">
        <m/>
      </sharedItems>
    </cacheField>
    <cacheField name="Q/f LMO" numFmtId="0">
      <sharedItems containsString="0" containsBlank="1" containsNumber="1" containsInteger="1">
        <m/>
        <n v="0.0"/>
        <n v="8.0"/>
        <n v="4.0"/>
        <n v="16.0"/>
        <n v="2.0"/>
        <n v="1.0"/>
        <n v="170.0"/>
        <n v="60.0"/>
        <n v="10.0"/>
        <n v="50.0"/>
        <n v="6.0"/>
        <n v="83.0"/>
        <n v="210.0"/>
        <n v="100.0"/>
        <n v="20.0"/>
        <n v="90.0"/>
        <n v="200.0"/>
        <n v="45.0"/>
        <n v="5.0"/>
        <n v="80.0"/>
        <n v="120.0"/>
        <n v="30.0"/>
        <n v="7.0"/>
        <n v="3.0"/>
        <n v="15.0"/>
      </sharedItems>
    </cacheField>
    <cacheField name="Q/f LPL" numFmtId="0">
      <sharedItems containsString="0" containsBlank="1" containsNumber="1" containsInteger="1">
        <m/>
        <n v="0.0"/>
        <n v="6.0"/>
        <n v="4.0"/>
        <n v="12.0"/>
        <n v="8.0"/>
        <n v="2.0"/>
        <n v="1.0"/>
        <n v="3.0"/>
        <n v="100.0"/>
        <n v="15.0"/>
        <n v="20.0"/>
        <n v="40.0"/>
        <n v="60.0"/>
        <n v="5.0"/>
        <n v="120.0"/>
        <n v="30.0"/>
        <n v="50.0"/>
        <n v="10.0"/>
        <n v="9.0"/>
        <n v="42.0"/>
        <n v="51.0"/>
      </sharedItems>
    </cacheField>
    <cacheField name="Q/f LAM" numFmtId="0">
      <sharedItems containsString="0" containsBlank="1" containsNumber="1" containsInteger="1">
        <m/>
        <n v="0.0"/>
        <n v="8.0"/>
        <n v="16.0"/>
        <n v="10.0"/>
        <n v="1.0"/>
        <n v="2.0"/>
        <n v="4.0"/>
        <n v="5.0"/>
        <n v="60.0"/>
        <n v="350.0"/>
        <n v="100.0"/>
        <n v="40.0"/>
        <n v="20.0"/>
        <n v="6.0"/>
        <n v="12.0"/>
        <n v="85.0"/>
        <n v="200.0"/>
        <n v="192.0"/>
        <n v="15.0"/>
        <n v="50.0"/>
        <n v="80.0"/>
        <n v="300.0"/>
        <n v="110.0"/>
        <n v="70.0"/>
        <n v="84.0"/>
        <n v="9.0"/>
        <n v="30.0"/>
        <n v="3.0"/>
      </sharedItems>
    </cacheField>
    <cacheField name="Q/f LR" numFmtId="0">
      <sharedItems containsString="0" containsBlank="1" containsNumber="1" containsInteger="1">
        <m/>
        <n v="0.0"/>
        <n v="4.0"/>
        <n v="16.0"/>
        <n v="172.0"/>
        <n v="38.0"/>
        <n v="20.0"/>
        <n v="2.0"/>
        <n v="1.0"/>
        <n v="3.0"/>
        <n v="8.0"/>
        <n v="6.0"/>
        <n v="280.0"/>
        <n v="110.0"/>
        <n v="5.0"/>
        <n v="10.0"/>
        <n v="220.0"/>
        <n v="360.0"/>
        <n v="111.0"/>
        <n v="222.0"/>
        <n v="50.0"/>
        <n v="15.0"/>
        <n v="32.0"/>
      </sharedItems>
    </cacheField>
    <cacheField name="Q/f LN" numFmtId="0">
      <sharedItems containsString="0" containsBlank="1" containsNumber="1" containsInteger="1">
        <m/>
        <n v="0.0"/>
        <n v="4.0"/>
        <n v="18.0"/>
        <n v="252.0"/>
        <n v="56.0"/>
        <n v="28.0"/>
        <n v="1.0"/>
        <n v="2.0"/>
        <n v="6.0"/>
        <n v="3.0"/>
        <n v="8.0"/>
        <n v="126.0"/>
        <n v="5.0"/>
        <n v="10.0"/>
        <n v="227.0"/>
        <n v="9.0"/>
        <n v="12.0"/>
        <n v="50.0"/>
        <n v="15.0"/>
        <n v="20.0"/>
        <n v="30.0"/>
      </sharedItems>
    </cacheField>
    <cacheField name="Q/f LAZ" numFmtId="0">
      <sharedItems containsString="0" containsBlank="1" containsNumber="1" containsInteger="1">
        <m/>
        <n v="0.0"/>
        <n v="4.0"/>
        <n v="20.0"/>
        <n v="364.0"/>
        <n v="80.0"/>
        <n v="44.0"/>
        <n v="2.0"/>
        <n v="1.0"/>
        <n v="8.0"/>
        <n v="50.0"/>
        <n v="208.0"/>
        <n v="5.0"/>
        <n v="10.0"/>
        <n v="12.0"/>
        <n v="6.0"/>
        <n v="416.0"/>
        <n v="13.0"/>
        <n v="9.0"/>
        <n v="18.0"/>
        <n v="54.0"/>
        <n v="15.0"/>
        <n v="30.0"/>
      </sharedItems>
    </cacheField>
    <cacheField name="Q/f LB" numFmtId="0">
      <sharedItems containsString="0" containsBlank="1" containsNumber="1" containsInteger="1">
        <m/>
        <n v="0.0"/>
        <n v="4.0"/>
        <n v="2.0"/>
        <n v="16.0"/>
        <n v="8.0"/>
        <n v="20.0"/>
        <n v="1.0"/>
        <n v="6.0"/>
        <n v="133.0"/>
        <n v="10.0"/>
        <n v="100.0"/>
        <n v="50.0"/>
        <n v="15.0"/>
        <n v="11.0"/>
        <n v="12.0"/>
        <n v="5.0"/>
      </sharedItems>
    </cacheField>
    <cacheField name="Q/f LCE" numFmtId="0">
      <sharedItems containsString="0" containsBlank="1" containsNumber="1" containsInteger="1">
        <m/>
        <n v="0.0"/>
        <n v="5.0"/>
        <n v="2.0"/>
        <n v="16.0"/>
        <n v="8.0"/>
        <n v="1.0"/>
        <n v="4.0"/>
        <n v="156.0"/>
        <n v="6.0"/>
        <n v="15.0"/>
        <n v="10.0"/>
        <n v="50.0"/>
      </sharedItems>
    </cacheField>
    <cacheField name="Q/f LCA" numFmtId="0">
      <sharedItems containsString="0" containsBlank="1" containsNumber="1" containsInteger="1">
        <m/>
        <n v="0.0"/>
        <n v="4.0"/>
        <n v="1.0"/>
        <n v="8.0"/>
        <n v="10.0"/>
        <n v="26.0"/>
        <n v="2.0"/>
        <n v="30.0"/>
        <n v="3.0"/>
        <n v="5.0"/>
        <n v="6.0"/>
      </sharedItems>
    </cacheField>
    <cacheField name="Q/f LV" numFmtId="0">
      <sharedItems containsString="0" containsBlank="1" containsNumber="1" containsInteger="1">
        <m/>
        <n v="0.0"/>
        <n v="2.0"/>
        <n v="1.0"/>
        <n v="315.0"/>
        <n v="10.0"/>
        <n v="200.0"/>
        <n v="24.0"/>
        <n v="4.0"/>
        <n v="8.0"/>
        <n v="9.0"/>
        <n v="30.0"/>
        <n v="60.0"/>
        <n v="6.0"/>
        <n v="20.0"/>
        <n v="15.0"/>
      </sharedItems>
    </cacheField>
    <cacheField name="Q 2024" numFmtId="4">
      <sharedItems containsString="0" containsBlank="1" containsNumber="1" containsInteger="1">
        <n v="0.0"/>
        <n v="47.0"/>
        <n v="16.0"/>
        <n v="13.0"/>
        <n v="138.0"/>
        <n v="34.0"/>
        <n v="818.0"/>
        <n v="174.0"/>
        <n v="92.0"/>
        <n v="1.0"/>
        <n v="21.0"/>
        <n v="6.0"/>
        <n v="8.0"/>
        <n v="9.0"/>
        <n v="12.0"/>
        <n v="18.0"/>
        <n v="2.0"/>
        <n v="40.0"/>
        <n v="19.0"/>
        <n v="3.0"/>
        <n v="4.0"/>
        <n v="5.0"/>
        <n v="56.0"/>
        <n v="15.0"/>
        <n v="10.0"/>
        <n v="50.0"/>
        <n v="655.0"/>
        <n v="935.0"/>
        <n v="60.0"/>
        <n v="198.0"/>
        <n v="28.0"/>
        <n v="120.0"/>
        <n v="554.0"/>
        <n v="20.0"/>
        <n v="200.0"/>
        <n v="63.0"/>
        <n v="64.0"/>
        <n v="32.0"/>
        <n v="52.0"/>
        <n v="36.0"/>
        <n v="22.0"/>
        <n v="42.0"/>
        <n v="24.0"/>
        <n v="228.0"/>
        <n v="640.0"/>
        <n v="315.0"/>
        <n v="352.0"/>
        <n v="35.0"/>
        <n v="136.0"/>
        <n v="718.0"/>
        <n v="246.0"/>
        <n v="170.0"/>
        <n v="974.0"/>
        <n v="160.0"/>
        <n v="605.0"/>
        <n v="70.0"/>
        <n v="17.0"/>
        <n v="500.0"/>
        <n v="580.0"/>
        <n v="290.0"/>
        <n v="55.0"/>
        <n v="61.0"/>
        <n v="180.0"/>
        <n v="49.0"/>
        <n v="171.0"/>
        <n v="126.0"/>
        <n v="110.0"/>
        <n v="25.0"/>
        <n v="23.0"/>
        <n v="466.0"/>
        <n v="125.0"/>
        <n v="158.0"/>
        <n v="7.0"/>
        <n v="30.0"/>
        <n v="73.0"/>
        <n v="149.0"/>
        <n v="98.0"/>
        <n v="14.0"/>
        <n v="27.0"/>
        <n v="166.0"/>
        <n v="100.0"/>
        <m/>
      </sharedItems>
    </cacheField>
    <cacheField name="Q/f LMO2" numFmtId="0">
      <sharedItems containsString="0" containsBlank="1" containsNumber="1" containsInteger="1">
        <m/>
        <n v="8.0"/>
        <n v="4.0"/>
        <n v="2.0"/>
        <n v="20.0"/>
        <n v="200.0"/>
        <n v="0.0"/>
        <n v="80.0"/>
        <n v="1.0"/>
        <n v="15.0"/>
        <n v="60.0"/>
        <n v="228.0"/>
        <n v="68.0"/>
        <n v="10.0"/>
        <n v="3.0"/>
        <n v="250.0"/>
        <n v="50.0"/>
        <n v="5.0"/>
        <n v="40.0"/>
        <n v="30.0"/>
        <n v="120.0"/>
        <n v="70.0"/>
        <n v="6.0"/>
      </sharedItems>
    </cacheField>
    <cacheField name="Q/f LPL3" numFmtId="0">
      <sharedItems containsString="0" containsBlank="1" containsNumber="1" containsInteger="1">
        <m/>
        <n v="6.0"/>
        <n v="2.0"/>
        <n v="4.0"/>
        <n v="8.0"/>
        <n v="1.0"/>
        <n v="10.0"/>
        <n v="30.0"/>
        <n v="20.0"/>
        <n v="126.0"/>
        <n v="5.0"/>
        <n v="40.0"/>
        <n v="120.0"/>
        <n v="100.0"/>
        <n v="25.0"/>
      </sharedItems>
    </cacheField>
    <cacheField name="Q/f LAM4" numFmtId="0">
      <sharedItems containsString="0" containsBlank="1" containsNumber="1" containsInteger="1">
        <m/>
        <n v="4.0"/>
        <n v="8.0"/>
        <n v="2.0"/>
        <n v="60.0"/>
        <n v="250.0"/>
        <n v="10.0"/>
        <n v="500.0"/>
        <n v="50.0"/>
        <n v="180.0"/>
        <n v="72.0"/>
        <n v="40.0"/>
        <n v="1.0"/>
        <n v="0.0"/>
        <n v="15.0"/>
        <n v="100.0"/>
        <n v="78.0"/>
        <n v="3.0"/>
        <n v="138.0"/>
        <n v="6.0"/>
        <n v="30.0"/>
        <n v="300.0"/>
        <n v="20.0"/>
        <n v="90.0"/>
        <n v="110.0"/>
        <n v="200.0"/>
        <n v="5.0"/>
      </sharedItems>
    </cacheField>
    <cacheField name="Q/f LR5" numFmtId="0">
      <sharedItems containsString="0" containsBlank="1" containsNumber="1" containsInteger="1">
        <m/>
        <n v="0.0"/>
        <n v="4.0"/>
        <n v="8.0"/>
        <n v="2.0"/>
        <n v="6.0"/>
        <n v="30.0"/>
        <n v="1.0"/>
        <n v="5.0"/>
        <n v="220.0"/>
        <n v="218.0"/>
        <n v="50.0"/>
        <n v="110.0"/>
        <n v="90.0"/>
        <n v="200.0"/>
        <n v="60.0"/>
        <n v="40.0"/>
        <n v="111.0"/>
        <n v="186.0"/>
        <n v="1776.0"/>
        <n v="222.0"/>
        <n v="22.0"/>
        <n v="16.0"/>
        <n v="3.0"/>
      </sharedItems>
    </cacheField>
    <cacheField name="Q/f LN6" numFmtId="0">
      <sharedItems containsString="0" containsBlank="1" containsNumber="1" containsInteger="1">
        <m/>
        <n v="0.0"/>
        <n v="9.0"/>
        <n v="10.0"/>
        <n v="2.0"/>
        <n v="6.0"/>
        <n v="8.0"/>
        <n v="100.0"/>
        <n v="30.0"/>
        <n v="4.0"/>
        <n v="1.0"/>
        <n v="5.0"/>
        <n v="7.0"/>
        <n v="252.0"/>
        <n v="126.0"/>
        <n v="20.0"/>
        <n v="200.0"/>
        <n v="152.0"/>
        <n v="232.0"/>
        <n v="60.0"/>
        <n v="40.0"/>
        <n v="160.0"/>
        <n v="50.0"/>
        <n v="292.0"/>
        <n v="16.0"/>
        <n v="3.0"/>
        <n v="80.0"/>
      </sharedItems>
    </cacheField>
    <cacheField name="Q/f LAZ7" numFmtId="0">
      <sharedItems containsString="0" containsBlank="1" containsNumber="1" containsInteger="1">
        <m/>
        <n v="0.0"/>
        <n v="10.0"/>
        <n v="12.0"/>
        <n v="2.0"/>
        <n v="8.0"/>
        <n v="100.0"/>
        <n v="60.0"/>
        <n v="1.0"/>
        <n v="5.0"/>
        <n v="6.0"/>
        <n v="3.0"/>
        <n v="4.0"/>
        <n v="80.0"/>
        <n v="416.0"/>
        <n v="208.0"/>
        <n v="300.0"/>
        <n v="50.0"/>
        <n v="316.0"/>
        <n v="168.0"/>
        <n v="75.0"/>
        <n v="372.0"/>
        <n v="200.0"/>
        <n v="116.0"/>
      </sharedItems>
    </cacheField>
    <cacheField name="Q/f LB8" numFmtId="0">
      <sharedItems containsString="0" containsBlank="1" containsNumber="1" containsInteger="1">
        <m/>
        <n v="2.0"/>
        <n v="1.0"/>
        <n v="8.0"/>
        <n v="4.0"/>
        <n v="40.0"/>
        <n v="10.0"/>
        <n v="20.0"/>
        <n v="5.0"/>
        <n v="133.0"/>
        <n v="65.0"/>
        <n v="100.0"/>
        <n v="50.0"/>
        <n v="262.0"/>
        <n v="30.0"/>
      </sharedItems>
    </cacheField>
    <cacheField name="Q/f LCE9" numFmtId="0">
      <sharedItems containsString="0" containsBlank="1" containsNumber="1" containsInteger="1">
        <m/>
        <n v="2.0"/>
        <n v="1.0"/>
        <n v="8.0"/>
        <n v="50.0"/>
        <n v="4.0"/>
        <n v="90.0"/>
        <n v="40.0"/>
        <n v="10.0"/>
        <n v="20.0"/>
        <n v="60.0"/>
        <n v="6.0"/>
        <n v="5.0"/>
        <n v="156.0"/>
        <n v="78.0"/>
        <n v="3.0"/>
        <n v="310.0"/>
      </sharedItems>
    </cacheField>
    <cacheField name="Q/f LCA10" numFmtId="0">
      <sharedItems containsString="0" containsBlank="1" containsNumber="1" containsInteger="1">
        <m/>
        <n v="1.0"/>
        <n v="8.0"/>
        <n v="4.0"/>
        <n v="26.0"/>
        <n v="13.0"/>
        <n v="2.0"/>
        <n v="30.0"/>
        <n v="52.0"/>
        <n v="5.0"/>
      </sharedItems>
    </cacheField>
    <cacheField name="Q/f LV11" numFmtId="0">
      <sharedItems containsString="0" containsBlank="1" containsNumber="1" containsInteger="1">
        <m/>
        <n v="0.0"/>
        <n v="4.0"/>
        <n v="2.0"/>
        <n v="1.0"/>
        <n v="9.0"/>
        <n v="16.0"/>
        <n v="14.0"/>
        <n v="10.0"/>
        <n v="8.0"/>
        <n v="6.0"/>
        <n v="330.0"/>
        <n v="30.0"/>
        <n v="60.0"/>
        <n v="20.0"/>
        <n v="58.0"/>
      </sharedItems>
    </cacheField>
    <cacheField name="Q 2025" numFmtId="4">
      <sharedItems containsString="0" containsBlank="1" containsNumber="1" containsInteger="1">
        <n v="0.0"/>
        <n v="8.0"/>
        <n v="6.0"/>
        <n v="27.0"/>
        <n v="9.0"/>
        <n v="16.0"/>
        <n v="14.0"/>
        <n v="26.0"/>
        <n v="76.0"/>
        <n v="4.0"/>
        <n v="43.0"/>
        <n v="32.0"/>
        <n v="49.0"/>
        <n v="10.0"/>
        <n v="3.0"/>
        <n v="2.0"/>
        <n v="50.0"/>
        <n v="72.0"/>
        <n v="344.0"/>
        <n v="18.0"/>
        <n v="200.0"/>
        <n v="20.0"/>
        <n v="580.0"/>
        <n v="70.0"/>
        <n v="490.0"/>
        <n v="60.0"/>
        <n v="124.0"/>
        <n v="258.0"/>
        <n v="21.0"/>
        <n v="188.0"/>
        <n v="156.0"/>
        <n v="46.0"/>
        <n v="1.0"/>
        <n v="5.0"/>
        <n v="24.0"/>
        <n v="35.0"/>
        <n v="12.0"/>
        <n v="80.0"/>
        <n v="1203.0"/>
        <n v="216.0"/>
        <n v="318.0"/>
        <n v="384.0"/>
        <n v="248.0"/>
        <n v="150.0"/>
        <n v="11.0"/>
        <n v="28.0"/>
        <n v="7.0"/>
        <n v="15.0"/>
        <n v="17.0"/>
        <n v="444.0"/>
        <n v="1306.0"/>
        <n v="602.0"/>
        <n v="736.0"/>
        <n v="704.0"/>
        <n v="168.0"/>
        <n v="30.0"/>
        <n v="362.0"/>
        <n v="1362.0"/>
        <n v="620.0"/>
        <n v="345.0"/>
        <n v="1652.0"/>
        <n v="375.0"/>
        <m/>
        <n v="195.0"/>
        <n v="480.0"/>
        <n v="211.0"/>
        <n v="850.0"/>
        <n v="140.0"/>
        <n v="2376.0"/>
        <n v="472.0"/>
        <n v="44.0"/>
        <n v="108.0"/>
        <n v="206.0"/>
      </sharedItems>
    </cacheField>
    <cacheField name="Q/f LMO22" numFmtId="4">
      <sharedItems containsString="0" containsBlank="1" containsNumber="1" containsInteger="1">
        <n v="0.0"/>
        <n v="8.0"/>
        <n v="2.0"/>
        <m/>
        <n v="1.0"/>
        <n v="4.0"/>
        <n v="60.0"/>
        <n v="228.0"/>
        <n v="10.0"/>
        <n v="25.0"/>
        <n v="200.0"/>
        <n v="100.0"/>
        <n v="20.0"/>
        <n v="15.0"/>
        <n v="90.0"/>
        <n v="234.0"/>
        <n v="30.0"/>
        <n v="224.0"/>
        <n v="5.0"/>
        <n v="120.0"/>
        <n v="110.0"/>
        <n v="80.0"/>
        <n v="172.0"/>
        <n v="6.0"/>
        <n v="150.0"/>
        <n v="3.0"/>
        <n v="32.0"/>
      </sharedItems>
    </cacheField>
    <cacheField name="Q/f LPL33" numFmtId="4">
      <sharedItems containsString="0" containsBlank="1" containsNumber="1" containsInteger="1">
        <n v="0.0"/>
        <n v="8.0"/>
        <n v="6.0"/>
        <m/>
        <n v="2.0"/>
        <n v="15.0"/>
        <n v="200.0"/>
        <n v="20.0"/>
        <n v="60.0"/>
        <n v="40.0"/>
        <n v="1.0"/>
        <n v="140.0"/>
        <n v="10.0"/>
        <n v="3.0"/>
        <n v="25.0"/>
        <n v="120.0"/>
        <n v="50.0"/>
        <n v="45.0"/>
        <n v="5.0"/>
        <n v="30.0"/>
        <n v="100.0"/>
        <n v="7.0"/>
        <n v="32.0"/>
      </sharedItems>
    </cacheField>
    <cacheField name="Q/f LAM44" numFmtId="4">
      <sharedItems containsString="0" containsBlank="1" containsNumber="1" containsInteger="1">
        <n v="0.0"/>
        <n v="4.0"/>
        <n v="8.0"/>
        <n v="2.0"/>
        <n v="10.0"/>
        <m/>
        <n v="1.0"/>
        <n v="50.0"/>
        <n v="100.0"/>
        <n v="5.0"/>
        <n v="25.0"/>
        <n v="180.0"/>
        <n v="45.0"/>
        <n v="15.0"/>
        <n v="20.0"/>
        <n v="30.0"/>
        <n v="300.0"/>
        <n v="80.0"/>
        <n v="110.0"/>
        <n v="84.0"/>
        <n v="9.0"/>
        <n v="200.0"/>
        <n v="6.0"/>
      </sharedItems>
    </cacheField>
    <cacheField name="Q/f LR55" numFmtId="0">
      <sharedItems containsString="0" containsBlank="1" containsNumber="1" containsInteger="1">
        <m/>
        <n v="0.0"/>
        <n v="4.0"/>
        <n v="16.0"/>
        <n v="2.0"/>
        <n v="6.0"/>
        <n v="8.0"/>
        <n v="38.0"/>
        <n v="1.0"/>
        <n v="3.0"/>
        <n v="280.0"/>
        <n v="100.0"/>
        <n v="1120.0"/>
        <n v="15.0"/>
        <n v="218.0"/>
        <n v="25.0"/>
        <n v="20.0"/>
        <n v="12.0"/>
        <n v="222.0"/>
        <n v="50.0"/>
        <n v="10.0"/>
      </sharedItems>
    </cacheField>
    <cacheField name="Q/f LN66" numFmtId="4">
      <sharedItems containsString="0" containsBlank="1" containsNumber="1" containsInteger="1">
        <n v="0.0"/>
        <n v="9.0"/>
        <n v="18.0"/>
        <n v="10.0"/>
        <n v="2.0"/>
        <n v="6.0"/>
        <n v="56.0"/>
        <n v="4.0"/>
        <n v="1.0"/>
        <n v="20.0"/>
        <n v="220.0"/>
        <n v="8.0"/>
        <n v="50.0"/>
        <n v="15.0"/>
        <n v="30.0"/>
        <m/>
        <n v="100.0"/>
        <n v="5.0"/>
        <n v="3.0"/>
        <n v="70.0"/>
        <n v="25.0"/>
        <n v="200.0"/>
      </sharedItems>
    </cacheField>
    <cacheField name="Q/f LAZ77" numFmtId="0">
      <sharedItems containsString="0" containsBlank="1" containsNumber="1" containsInteger="1">
        <m/>
        <n v="0.0"/>
        <n v="10.0"/>
        <n v="20.0"/>
        <n v="12.0"/>
        <n v="2.0"/>
        <n v="8.0"/>
        <n v="80.0"/>
        <n v="1.0"/>
        <n v="250.0"/>
        <n v="50.0"/>
        <n v="30.0"/>
        <n v="100.0"/>
        <n v="4.0"/>
        <n v="6.0"/>
        <n v="5.0"/>
        <n v="3.0"/>
        <n v="54.0"/>
        <n v="200.0"/>
      </sharedItems>
    </cacheField>
    <cacheField name="Q/f LB88" numFmtId="4">
      <sharedItems containsString="0" containsBlank="1" containsNumber="1" containsInteger="1">
        <n v="0.0"/>
        <n v="2.0"/>
        <n v="16.0"/>
        <m/>
        <n v="40.0"/>
        <n v="10.0"/>
        <n v="20.0"/>
        <n v="4.0"/>
        <n v="6.0"/>
        <n v="133.0"/>
      </sharedItems>
    </cacheField>
    <cacheField name="Q/f LCE99" numFmtId="0">
      <sharedItems containsString="0" containsBlank="1" containsNumber="1" containsInteger="1">
        <m/>
        <n v="0.0"/>
        <n v="2.0"/>
        <n v="16.0"/>
        <n v="60.0"/>
        <n v="50.0"/>
        <n v="40.0"/>
        <n v="10.0"/>
        <n v="6.0"/>
        <n v="1.0"/>
        <n v="156.0"/>
        <n v="5.0"/>
        <n v="310.0"/>
      </sharedItems>
    </cacheField>
    <cacheField name="Q/f LCA1010" numFmtId="4">
      <sharedItems containsString="0" containsBlank="1" containsNumber="1" containsInteger="1">
        <n v="0.0"/>
        <n v="8.0"/>
        <m/>
        <n v="1.0"/>
        <n v="6.0"/>
        <n v="2.0"/>
        <n v="26.0"/>
        <n v="5.0"/>
      </sharedItems>
    </cacheField>
    <cacheField name="Q/f LV1111" numFmtId="0">
      <sharedItems containsString="0" containsBlank="1" containsNumber="1" containsInteger="1">
        <m/>
        <n v="0.0"/>
        <n v="2.0"/>
        <n v="4.0"/>
        <n v="50.0"/>
        <n v="25.0"/>
        <n v="1.0"/>
        <n v="83.0"/>
        <n v="10.0"/>
        <n v="3.0"/>
        <n v="120.0"/>
        <n v="20.0"/>
      </sharedItems>
    </cacheField>
    <cacheField name="Q 2026" numFmtId="4">
      <sharedItems containsString="0" containsBlank="1" containsNumber="1" containsInteger="1">
        <n v="0.0"/>
        <n v="4.0"/>
        <n v="23.0"/>
        <n v="94.0"/>
        <n v="8.0"/>
        <n v="48.0"/>
        <n v="10.0"/>
        <n v="20.0"/>
        <n v="27.0"/>
        <n v="174.0"/>
        <n v="18.0"/>
        <n v="3.0"/>
        <n v="5.0"/>
        <n v="60.0"/>
        <n v="50.0"/>
        <n v="754.0"/>
        <n v="100.0"/>
        <n v="15.0"/>
        <n v="1350.0"/>
        <n v="70.0"/>
        <n v="585.0"/>
        <n v="2.0"/>
        <n v="958.0"/>
        <n v="300.0"/>
        <n v="814.0"/>
        <n v="40.0"/>
        <n v="1.0"/>
        <n v="6.0"/>
        <n v="12.0"/>
        <n v="22.0"/>
        <n v="16.0"/>
        <n v="9.0"/>
        <n v="80.0"/>
        <n v="315.0"/>
        <n v="130.0"/>
        <n v="318.0"/>
        <n v="596.0"/>
        <n v="150.0"/>
        <n v="156.0"/>
        <n v="500.0"/>
        <n v="200.0"/>
        <n v="190.0"/>
        <n v="35.0"/>
        <n v="92.0"/>
        <n v="234.0"/>
        <n v="254.0"/>
        <n v="17.0"/>
        <n v="620.0"/>
        <n v="310.0"/>
        <n v="105.0"/>
        <m/>
        <n v="220.0"/>
        <n v="42.0"/>
        <n v="180.0"/>
        <n v="376.0"/>
        <n v="25.0"/>
        <n v="326.0"/>
        <n v="800.0"/>
        <n v="342.0"/>
        <n v="14.0"/>
        <n v="79.0"/>
        <n v="145.0"/>
        <n v="38.0"/>
        <n v="95.0"/>
        <n v="52.0"/>
        <n v="64.0"/>
        <n v="28.0"/>
        <n v="30.0"/>
        <n v="26.0"/>
      </sharedItems>
    </cacheField>
    <cacheField name="Q Total" numFmtId="4">
      <sharedItems containsString="0" containsBlank="1" containsNumber="1" containsInteger="1">
        <n v="0.0"/>
        <n v="12.0"/>
        <n v="10.0"/>
        <n v="50.0"/>
        <n v="56.0"/>
        <n v="32.0"/>
        <n v="13.0"/>
        <n v="246.0"/>
        <n v="68.0"/>
        <n v="124.0"/>
        <n v="8.0"/>
        <n v="43.0"/>
        <n v="26.0"/>
        <n v="52.0"/>
        <n v="76.0"/>
        <n v="818.0"/>
        <n v="352.0"/>
        <n v="102.0"/>
        <n v="1.0"/>
        <n v="42.0"/>
        <n v="9.0"/>
        <n v="14.0"/>
        <n v="18.0"/>
        <n v="60.0"/>
        <n v="100.0"/>
        <n v="92.0"/>
        <n v="1098.0"/>
        <n v="36.0"/>
        <n v="300.0"/>
        <n v="35.0"/>
        <n v="1930.0"/>
        <n v="16.0"/>
        <n v="140.0"/>
        <n v="1075.0"/>
        <n v="6.0"/>
        <n v="1216.0"/>
        <n v="41.0"/>
        <n v="488.0"/>
        <n v="4.0"/>
        <n v="970.0"/>
        <n v="86.0"/>
        <n v="7.0"/>
        <n v="22.0"/>
        <n v="2.0"/>
        <n v="5.0"/>
        <n v="19.0"/>
        <n v="30.0"/>
        <n v="46.0"/>
        <n v="55.0"/>
        <n v="11.0"/>
        <n v="28.0"/>
        <n v="3.0"/>
        <n v="17.0"/>
        <n v="210.0"/>
        <n v="655.0"/>
        <n v="72.0"/>
        <n v="2453.0"/>
        <n v="276.0"/>
        <n v="346.0"/>
        <n v="636.0"/>
        <n v="980.0"/>
        <n v="292.0"/>
        <n v="270.0"/>
        <n v="574.0"/>
        <n v="200.0"/>
        <n v="40.0"/>
        <n v="21.0"/>
        <n v="27.0"/>
        <n v="24.0"/>
        <n v="150.0"/>
        <n v="63.0"/>
        <n v="64.0"/>
        <n v="20.0"/>
        <n v="672.0"/>
        <n v="156.0"/>
        <n v="2446.0"/>
        <n v="1117.0"/>
        <n v="1278.0"/>
        <n v="70.0"/>
        <n v="71.0"/>
        <n v="228.0"/>
        <n v="62.0"/>
        <n v="1656.0"/>
        <n v="25.0"/>
        <n v="414.0"/>
        <n v="492.0"/>
        <n v="170.0"/>
        <n v="974.0"/>
        <n v="160.0"/>
        <n v="1686.0"/>
        <n v="34.0"/>
        <n v="1740.0"/>
        <n v="15.0"/>
        <n v="580.0"/>
        <n v="935.0"/>
        <n v="2012.0"/>
        <n v="480.0"/>
        <n v="47.0"/>
        <n v="61.0"/>
        <n v="195.0"/>
        <n v="660.0"/>
        <n v="575.0"/>
        <n v="91.0"/>
        <n v="562.0"/>
        <n v="1352.0"/>
        <n v="79.0"/>
        <n v="250.0"/>
        <n v="110.0"/>
        <n v="45.0"/>
        <n v="33.0"/>
        <n v="792.0"/>
        <n v="3376.0"/>
        <n v="125.0"/>
        <n v="158.0"/>
        <n v="814.0"/>
        <n v="29.0"/>
        <n v="305.0"/>
        <n v="48.0"/>
        <n v="152.0"/>
        <n v="38.0"/>
        <n v="294.0"/>
        <n v="73.0"/>
        <n v="78.0"/>
        <n v="165.0"/>
        <n v="104.0"/>
        <n v="302.0"/>
        <n v="120.0"/>
        <n v="90.0"/>
        <n v="80.0"/>
        <n v="216.0"/>
        <m/>
      </sharedItems>
    </cacheField>
    <cacheField name="P.U. $us." numFmtId="4">
      <sharedItems containsString="0" containsBlank="1" containsNumber="1">
        <n v="9446.55"/>
        <n v="325.03"/>
        <m/>
        <n v="2388.56"/>
        <n v="754.93"/>
        <n v="145.09"/>
        <n v="45.03"/>
        <n v="61.68"/>
        <n v="132.6"/>
        <n v="8.11"/>
        <n v="22.04"/>
        <n v="7.92"/>
        <n v="93.56"/>
        <n v="25.92"/>
        <n v="20.42"/>
        <n v="10.04"/>
        <n v="0.69"/>
        <n v="2.11"/>
        <n v="1.15"/>
        <n v="0.27"/>
        <n v="692.48"/>
        <n v="35.57"/>
        <n v="34.19"/>
        <n v="32.26"/>
        <n v="15.0"/>
        <n v="10.69"/>
        <n v="23.0"/>
        <n v="57.11"/>
        <n v="27.03"/>
        <n v="5.34"/>
        <n v="91.06"/>
        <n v="5.61"/>
        <n v="16.0"/>
        <n v="0.39"/>
        <n v="18.23"/>
        <n v="1.73"/>
        <n v="0.23"/>
        <n v="1.27"/>
        <n v="17.54"/>
        <n v="0.11"/>
        <n v="1.35"/>
        <n v="0.46"/>
        <n v="0.08"/>
        <n v="6.73"/>
        <n v="1.77"/>
        <n v="115.29"/>
        <n v="2573.57"/>
        <n v="4345.36"/>
        <n v="1661.89"/>
        <n v="36.61"/>
        <n v="27.92"/>
        <n v="3.38"/>
        <n v="0.31"/>
        <n v="100.26"/>
        <n v="8341.04"/>
        <n v="8199.26"/>
        <n v="123.37"/>
        <n v="17.11"/>
        <n v="3.77"/>
        <n v="1.19"/>
        <n v="12845.69"/>
        <n v="2389.29"/>
        <n v="2625.33"/>
        <n v="257.23"/>
        <n v="1224.6"/>
        <n v="1185.38"/>
        <n v="394.79"/>
        <n v="529.85"/>
        <n v="282.77"/>
        <n v="313.88"/>
        <n v="1078.24"/>
        <n v="484.16"/>
        <n v="172.21"/>
        <n v="414.9"/>
        <n v="289.31"/>
        <n v="9.92"/>
        <n v="140.17"/>
        <n v="26.92"/>
        <n v="25.3"/>
        <n v="41.96"/>
        <n v="55.42"/>
        <n v="159.94"/>
        <n v="144.09"/>
        <n v="133.91"/>
        <n v="33.65"/>
        <n v="19.19"/>
        <n v="7.19"/>
        <n v="40.73"/>
        <n v="7.31"/>
        <n v="0.89"/>
        <n v="4564.72"/>
        <n v="2681.4"/>
        <n v="998.02"/>
        <n v="2796.23"/>
        <n v="244.2"/>
        <n v="473.94"/>
        <n v="447.44"/>
        <n v="268.12"/>
        <n v="448.71"/>
        <n v="125.37"/>
        <n v="354.76"/>
        <n v="109.72"/>
        <n v="288.42"/>
        <n v="226.93"/>
        <n v="71.14"/>
        <n v="406.68"/>
        <n v="73.57"/>
        <n v="131.21"/>
        <n v="56.07"/>
        <n v="30.57"/>
        <n v="112.25"/>
        <n v="17.34"/>
        <n v="16.19"/>
        <n v="8.08"/>
        <n v="8.31"/>
        <n v="23.5"/>
        <n v="7.0"/>
        <n v="11.88"/>
        <n v="9.77"/>
        <n v="8.58"/>
        <n v="1.96"/>
        <n v="416.02"/>
        <n v="88.95"/>
        <n v="491.05"/>
        <n v="536.31"/>
        <n v="106.68"/>
        <n v="13.69"/>
        <n v="69.03"/>
        <n v="2804.61"/>
        <n v="1705.53"/>
        <n v="1604.45"/>
        <n v="11.57"/>
        <n v="32.92"/>
        <n v="4.31"/>
        <n v="1212.66"/>
        <n v="183.97"/>
        <n v="2757.54"/>
        <n v="3223.6"/>
        <n v="839.54"/>
        <n v="12708.5"/>
        <n v="601.46"/>
        <n v="342.26"/>
        <n v="430.79"/>
        <n v="669.75"/>
        <n v="1333.7"/>
        <n v="354.14"/>
        <n v="266.77"/>
        <n v="100.41"/>
        <n v="323.96"/>
        <n v="936.37"/>
        <n v="333.26"/>
        <n v="414.02"/>
        <n v="205.2"/>
        <n v="265.0"/>
        <n v="74.03"/>
        <n v="293.73"/>
        <n v="179.13"/>
        <n v="174.17"/>
        <n v="125.6"/>
        <n v="488.32"/>
        <n v="382.91"/>
        <n v="168.48"/>
        <n v="95.87"/>
        <n v="103.49"/>
        <n v="38.92"/>
        <n v="95.6"/>
        <n v="141.17"/>
        <n v="16.61"/>
        <n v="236.51"/>
        <n v="231.51"/>
        <n v="149.09"/>
        <n v="4.27"/>
        <n v="4.73"/>
        <n v="1.04"/>
        <n v="412.67"/>
        <n v="3779.06"/>
        <n v="2.96"/>
        <n v="5.23"/>
        <n v="2.31"/>
        <n v="2.46"/>
        <n v="133.56"/>
        <n v="93.64"/>
        <n v="22.77"/>
        <n v="40.61"/>
        <n v="33.73"/>
        <n v="302.61"/>
        <n v="432.48"/>
        <n v="49.22"/>
        <n v="357.72"/>
        <n v="194.51"/>
        <n v="14.96"/>
        <n v="90.49"/>
        <n v="65.03"/>
        <n v="15.65"/>
        <n v="11.81"/>
        <n v="3.81"/>
        <n v="13.42"/>
        <n v="33.92"/>
        <n v="40.65"/>
        <n v="0.73"/>
        <n v="10.96"/>
        <n v="11.11"/>
        <n v="439.02"/>
        <n v="261.0"/>
        <n v="205.63"/>
        <n v="35.34"/>
        <n v="274.62"/>
        <n v="41.53"/>
        <n v="55.84"/>
        <n v="92.68"/>
        <n v="19.07"/>
        <n v="102.95"/>
        <n v="280.08"/>
        <n v="100.29"/>
        <n v="36.46"/>
        <n v="86.76"/>
        <n v="83.87"/>
        <n v="64.26"/>
        <n v="94.95"/>
        <n v="94.87"/>
        <n v="0.65"/>
        <n v="1.0"/>
        <n v="1.5"/>
        <n v="1.89"/>
        <n v="4972.78"/>
        <n v="999.86"/>
        <n v="532.66"/>
        <n v="81.41"/>
        <n v="50.42"/>
        <n v="35.53"/>
        <n v="35.26"/>
        <n v="4.0"/>
        <n v="37.07"/>
        <n v="26.23"/>
        <n v="1945.19"/>
        <n v="1677.65"/>
        <n v="2022.65"/>
        <n v="219.47"/>
        <n v="42.11"/>
        <n v="279.15"/>
        <n v="179.05"/>
        <n v="2560.69"/>
        <n v="66.8"/>
        <n v="2326.18"/>
        <n v="206.05"/>
        <n v="26.07"/>
        <n v="3313.85"/>
        <n v="50.92"/>
        <n v="335.34"/>
        <n v="45.99"/>
        <n v="784.35"/>
        <n v="20.23"/>
        <n v="437.86"/>
        <n v="384.33"/>
        <n v="223.35"/>
        <n v="66.72"/>
        <n v="16.23"/>
        <n v="12.34"/>
        <n v="1.61"/>
        <n v="14.57"/>
        <n v="566.84"/>
        <n v="603.26"/>
        <n v="1068.24"/>
        <n v="547.19"/>
        <n v="9.31"/>
        <n v="3.19"/>
        <n v="547.46"/>
        <n v="571.27"/>
        <n v="79.33"/>
        <n v="47.38"/>
        <n v="38.57"/>
        <n v="17.88"/>
        <n v="14.31"/>
        <n v="11.04"/>
        <n v="23.34"/>
        <n v="10.31"/>
        <n v="6.0"/>
        <n v="0.81"/>
        <n v="485.51"/>
        <n v="120.56"/>
        <n v="1233.52"/>
        <n v="111.25"/>
        <n v="2730.59"/>
      </sharedItems>
    </cacheField>
    <cacheField name="P.U. Bs" numFmtId="4">
      <sharedItems containsString="0" containsBlank="1" containsNumber="1">
        <n v="65842.45349999999"/>
        <n v="2265.4590999999996"/>
        <n v="0.0"/>
        <n v="16624.3776"/>
        <n v="5254.3128"/>
        <n v="1009.8264"/>
        <n v="313.4088"/>
        <n v="429.2928"/>
        <n v="922.896"/>
        <n v="56.4456"/>
        <n v="153.39839999999998"/>
        <n v="55.1232"/>
        <n v="651.1776"/>
        <n v="180.4032"/>
        <n v="142.1232"/>
        <n v="69.8784"/>
        <n v="4.8024"/>
        <n v="14.685599999999999"/>
        <n v="8.004"/>
        <n v="1.8792000000000002"/>
        <n v="4819.6608"/>
        <n v="247.5672"/>
        <n v="237.96239999999997"/>
        <n v="224.5296"/>
        <n v="104.4"/>
        <n v="74.4024"/>
        <n v="160.08"/>
        <n v="397.4856"/>
        <n v="188.1288"/>
        <n v="37.166399999999996"/>
        <n v="633.7776"/>
        <n v="39.0456"/>
        <n v="111.36"/>
        <n v="2.7144"/>
        <n v="126.88080000000001"/>
        <n v="12.040799999999999"/>
        <n v="1.6008"/>
        <n v="8.8392"/>
        <n v="122.07839999999999"/>
        <n v="0.7656"/>
        <n v="9.396"/>
        <n v="3.2016"/>
        <n v="0.5568"/>
        <n v="46.8408"/>
        <n v="12.3192"/>
        <n v="12.6157"/>
        <n v="803.5713000000001"/>
        <n v="17912.0472"/>
        <n v="30243.705599999998"/>
        <n v="11566.7544"/>
        <n v="254.8056"/>
        <n v="194.3232"/>
        <n v="23.5248"/>
        <n v="2.1576"/>
        <n v="698.8122"/>
        <n v="111327.4886"/>
        <n v="1154.0"/>
        <n v="2514.3"/>
        <n v="58053.6384"/>
        <n v="57066.8496"/>
        <n v="858.6552"/>
        <n v="119.0856"/>
        <n v="26.2392"/>
        <n v="8.282399999999999"/>
        <n v="89406.0024"/>
        <n v="16629.4584"/>
        <n v="1850.0"/>
        <n v="18272.2968"/>
        <n v="1790.3208000000002"/>
        <n v="8523.215999999999"/>
        <n v="8250.2448"/>
        <n v="2747.7384"/>
        <n v="3687.7560000000003"/>
        <n v="1968.0792"/>
        <n v="2184.6048"/>
        <n v="7504.5504"/>
        <n v="3369.7536"/>
        <n v="1198.5816"/>
        <n v="2887.7039999999997"/>
        <n v="2013.5976"/>
        <n v="69.0432"/>
        <n v="975.5831999999999"/>
        <n v="187.3632"/>
        <n v="176.088"/>
        <n v="292.0416"/>
        <n v="385.7232"/>
        <n v="1113.1824"/>
        <n v="1002.8664"/>
        <n v="932.0136"/>
        <n v="234.20399999999998"/>
        <n v="133.5624"/>
        <n v="50.0424"/>
        <n v="283.4808"/>
        <n v="50.877599999999994"/>
        <n v="6.1944"/>
        <n v="31770.451200000003"/>
        <n v="18662.544"/>
        <n v="6946.2192"/>
        <n v="26783.8978"/>
        <n v="19461.7608"/>
        <n v="1699.6319999999998"/>
        <n v="3298.6223999999997"/>
        <n v="3114.1824"/>
        <n v="1866.1152"/>
        <n v="3123.0216"/>
        <n v="872.5752"/>
        <n v="2469.1295999999998"/>
        <n v="763.6512"/>
        <n v="2007.4032000000002"/>
        <n v="1579.4328"/>
        <n v="495.1344"/>
        <n v="2830.4928"/>
        <n v="512.0472"/>
        <n v="913.2216000000001"/>
        <n v="390.2472"/>
        <n v="212.7672"/>
        <n v="850.4793999999999"/>
        <n v="781.26"/>
        <n v="120.68639999999999"/>
        <n v="112.6824"/>
        <n v="56.2368"/>
        <n v="57.8376"/>
        <n v="163.56"/>
        <n v="318.66839999999996"/>
        <n v="48.72"/>
        <n v="82.68480000000001"/>
        <n v="67.9992"/>
        <n v="59.7168"/>
        <n v="13.6416"/>
        <n v="2895.4991999999997"/>
        <n v="619.092"/>
        <n v="3417.708"/>
        <n v="3732.7175999999995"/>
        <n v="3500.0"/>
        <n v="205.0"/>
        <n v="742.4928"/>
        <n v="95.2824"/>
        <n v="594.5"/>
        <n v="355.96"/>
        <n v="480.4488"/>
        <n v="19520.085600000002"/>
        <n v="11870.4888"/>
        <n v="66.0"/>
        <n v="21325.7605"/>
        <n v="11166.972"/>
        <n v="80.52720000000001"/>
        <n v="10.6"/>
        <n v="229.1232"/>
        <n v="2.0"/>
        <n v="29.9976"/>
        <n v="8452.2402"/>
        <n v="5615.729"/>
        <n v="1280.4312"/>
        <n v="8470.0834"/>
        <n v="9574.689"/>
        <n v="19192.4784"/>
        <n v="19505.2662"/>
        <n v="4161.09"/>
        <n v="22436.255999999998"/>
        <n v="5843.198399999999"/>
        <n v="7958.1368999999995"/>
        <n v="1162.2475"/>
        <n v="88451.16"/>
        <n v="4186.1616"/>
        <n v="2382.1295999999998"/>
        <n v="2998.2984"/>
        <n v="4661.46"/>
        <n v="9282.552"/>
        <n v="2464.8143999999998"/>
        <n v="1856.7191999999998"/>
        <n v="698.8536"/>
        <n v="2254.7616"/>
        <n v="6517.1352"/>
        <n v="2319.4896"/>
        <n v="2881.5791999999997"/>
        <n v="1428.192"/>
        <n v="1844.4"/>
        <n v="515.2488"/>
        <n v="2044.3608000000002"/>
        <n v="1246.7448"/>
        <n v="1212.2232"/>
        <n v="874.1759999999999"/>
        <n v="3398.7072"/>
        <n v="2665.0536"/>
        <n v="1172.6208"/>
        <n v="667.2552000000001"/>
        <n v="720.2904"/>
        <n v="270.8832"/>
        <n v="665.376"/>
        <n v="982.5432"/>
        <n v="697.8096"/>
        <n v="115.6056"/>
        <n v="1646.1096"/>
        <n v="1611.3095999999998"/>
        <n v="1037.6664"/>
        <n v="29.719199999999997"/>
        <n v="32.9208"/>
        <n v="7.2384"/>
        <n v="7062.5616"/>
        <n v="30693.510199999997"/>
        <n v="2872.1832"/>
        <n v="422.45169999999996"/>
        <n v="26302.2576"/>
        <n v="112.0"/>
        <n v="69.0"/>
        <n v="49.0"/>
        <n v="94.0"/>
        <n v="127.0"/>
        <n v="48.0"/>
        <n v="67.0"/>
        <n v="20.6016"/>
        <n v="36.400800000000004"/>
        <n v="56.0"/>
        <n v="20.0"/>
        <n v="16.0776"/>
        <n v="17.1216"/>
        <n v="72.0"/>
        <n v="929.5776"/>
        <n v="651.7344"/>
        <n v="158.4792"/>
        <n v="282.6456"/>
        <n v="234.7608"/>
        <n v="2106.1656000000003"/>
        <n v="3010.0608"/>
        <n v="342.5712"/>
        <n v="2489.7312"/>
        <n v="1353.7895999999998"/>
        <n v="104.1216"/>
        <n v="629.8104"/>
        <n v="452.60880000000003"/>
        <n v="108.924"/>
        <n v="82.19760000000001"/>
        <n v="26.5176"/>
        <n v="93.4032"/>
        <n v="236.0832"/>
        <n v="282.924"/>
        <n v="5.0808"/>
        <n v="76.28160000000001"/>
        <n v="77.43669999999999"/>
        <n v="3059.9694"/>
        <n v="2262.69"/>
        <n v="424.5"/>
        <n v="47.3"/>
        <n v="1819.1699999999998"/>
        <n v="1431.1848"/>
        <n v="245.96640000000002"/>
        <n v="1911.3552"/>
        <n v="289.0488"/>
        <n v="388.6464"/>
        <n v="645.0528"/>
        <n v="132.7272"/>
        <n v="716.532"/>
        <n v="1949.3567999999998"/>
        <n v="698.0184"/>
        <n v="253.76160000000002"/>
        <n v="603.8496"/>
        <n v="583.7352000000001"/>
        <n v="447.24960000000004"/>
        <n v="660.852"/>
        <n v="660.2952"/>
        <n v="4.524"/>
        <n v="6.96"/>
        <n v="10.44"/>
        <n v="13.154399999999999"/>
        <n v="8665.7313"/>
        <n v="34610.5488"/>
        <n v="6959.0256"/>
        <n v="3707.3136"/>
        <n v="566.6136"/>
        <n v="350.9232"/>
        <n v="247.2888"/>
        <n v="245.40959999999998"/>
        <n v="27.84"/>
        <n v="258.0072"/>
        <n v="182.5608"/>
        <n v="13538.5224"/>
        <n v="11676.444000000001"/>
        <n v="14077.644"/>
        <n v="1527.5112"/>
        <n v="293.0856"/>
        <n v="1942.8839999999998"/>
        <n v="1246.188"/>
        <n v="17822.4024"/>
        <n v="464.928"/>
        <n v="16190.2128"/>
        <n v="1434.1080000000002"/>
        <n v="181.4472"/>
        <n v="23064.396"/>
        <n v="354.4032"/>
        <n v="2333.9664"/>
        <n v="320.0904"/>
        <n v="5459.076"/>
        <n v="140.8008"/>
        <n v="3047.5056"/>
        <n v="2674.9368"/>
        <n v="1554.5159999999998"/>
        <n v="464.3712"/>
        <n v="112.9608"/>
        <n v="85.8864"/>
        <n v="11.2056"/>
        <n v="101.4072"/>
        <n v="3945.2064"/>
        <n v="219.55499999999998"/>
        <n v="2010.0086"/>
        <n v="2.1607"/>
        <n v="4198.6896"/>
        <n v="7434.9504"/>
        <n v="3813.9143000000004"/>
        <n v="64.7976"/>
        <n v="22.2024"/>
        <n v="3810.3216"/>
        <n v="3976.0391999999997"/>
        <n v="552.1368"/>
        <n v="329.76480000000004"/>
        <n v="268.4472"/>
        <n v="124.44479999999999"/>
        <n v="99.5976"/>
        <n v="76.8384"/>
        <n v="162.4464"/>
        <n v="71.7576"/>
        <n v="41.76"/>
        <n v="5.6376"/>
        <n v="3379.1495999999997"/>
        <n v="839.0976"/>
        <n v="8597.634399999999"/>
        <n v="774.3"/>
        <n v="19004.9064"/>
        <m/>
      </sharedItems>
    </cacheField>
    <cacheField name="Bs LMO/24" numFmtId="0">
      <sharedItems containsString="0" containsBlank="1" containsNumber="1">
        <m/>
        <n v="0.0"/>
        <n v="2507.2704"/>
        <n v="3691.584"/>
        <n v="903.1296"/>
        <n v="495.1344"/>
        <n v="237.96239999999997"/>
        <n v="208.8"/>
        <n v="148.8048"/>
        <n v="9232.0"/>
        <n v="2514.3"/>
        <n v="1717.3104"/>
        <n v="14800.0"/>
        <n v="14322.566400000002"/>
        <n v="2747.7384"/>
        <n v="1968.0792"/>
        <n v="2184.6048"/>
        <n v="2397.1632"/>
        <n v="552.3456"/>
        <n v="584.0832"/>
        <n v="385.7232"/>
        <n v="24.7776"/>
        <n v="16198.008"/>
        <n v="35670.0"/>
        <n v="21357.6"/>
        <n v="23740.9776"/>
        <n v="805.272"/>
        <n v="530.0"/>
        <n v="88451.16"/>
        <n v="9282.552"/>
        <n v="672.0"/>
        <n v="414.0"/>
        <n v="392.0"/>
        <n v="376.0"/>
        <n v="254.0"/>
        <n v="288.0"/>
        <n v="268.0"/>
        <n v="188.0"/>
        <n v="164.8128"/>
        <n v="134.0"/>
        <n v="582.4128000000001"/>
        <n v="112.0"/>
        <n v="120.0"/>
        <n v="77154.9408"/>
        <n v="33280.632"/>
        <n v="28264.56"/>
        <n v="11738.039999999999"/>
        <n v="42123.312000000005"/>
        <n v="30831.408"/>
        <n v="12596.207999999999"/>
        <n v="5446.200000000001"/>
        <n v="2937.12"/>
        <n v="4109.88"/>
        <n v="1193.2920000000001"/>
        <n v="1180.416"/>
        <n v="1131.696"/>
        <n v="1016.16"/>
        <n v="762.8160000000001"/>
        <n v="128.064"/>
        <n v="258.912"/>
        <n v="71559.24"/>
        <n v="6450.528"/>
        <n v="21495.960000000003"/>
        <n v="6980.184"/>
        <n v="7612.848000000001"/>
        <n v="6038.496"/>
        <n v="361.92"/>
        <n v="20.88"/>
        <n v="6.4032"/>
        <n v="14829.2544"/>
        <n v="2833.068"/>
        <n v="2456.4624"/>
        <n v="1236.444"/>
        <n v="1227.048"/>
        <n v="139.2"/>
        <n v="61.944"/>
        <n v="12220.0896"/>
        <n v="2051.5992"/>
        <n v="5828.651999999999"/>
        <n v="2492.376"/>
        <n v="929.856"/>
        <n v="2868.2160000000003"/>
        <n v="3628.9440000000004"/>
        <n v="640.1808"/>
        <n v="1408.008"/>
        <n v="1190.856"/>
        <n v="112.9608"/>
        <n v="65.8416"/>
        <n v="171.7728"/>
        <n v="112.05600000000001"/>
        <n v="32.016"/>
        <n v="16794.7584"/>
        <n v="1295.952"/>
        <n v="44.4048"/>
        <n v="3976.0391999999997"/>
        <n v="5521.368"/>
        <n v="4946.472000000001"/>
        <n v="2147.5776"/>
        <n v="622.2239999999999"/>
        <n v="44.8224"/>
        <n v="497.988"/>
        <n v="164.60399999999998"/>
        <n v="2436.6960000000004"/>
        <n v="417.59999999999997"/>
        <n v="16895.748"/>
        <n v="5992.907999999999"/>
        <n v="3652.8864000000003"/>
        <n v="2517.2928"/>
      </sharedItems>
    </cacheField>
    <cacheField name="Bs LPL/24" numFmtId="0">
      <sharedItems containsString="0" containsBlank="1" containsNumber="1">
        <m/>
        <n v="0.0"/>
        <n v="1880.4528"/>
        <n v="3691.584"/>
        <n v="677.3471999999999"/>
        <n v="1227.1871999999998"/>
        <n v="495.1344"/>
        <n v="237.96239999999997"/>
        <n v="1717.3104"/>
        <n v="11100.0"/>
        <n v="7161.283200000001"/>
        <n v="3936.1584"/>
        <n v="2184.6048"/>
        <n v="1198.5816"/>
        <n v="414.25919999999996"/>
        <n v="562.0896"/>
        <n v="176.088"/>
        <n v="18.583199999999998"/>
        <n v="9528.24"/>
        <n v="5339.4"/>
        <n v="161.05440000000002"/>
        <n v="212.0"/>
        <n v="448.0"/>
        <n v="276.0"/>
        <n v="294.0"/>
        <n v="376.0"/>
        <n v="254.0"/>
        <n v="192.0"/>
        <n v="134.0"/>
        <n v="188.0"/>
        <n v="164.8128"/>
        <n v="112.0"/>
        <n v="80.0"/>
        <n v="37183.104"/>
        <n v="15847.919999999998"/>
        <n v="4239.684"/>
        <n v="14085.648"/>
        <n v="10530.828000000001"/>
        <n v="2055.4272"/>
        <n v="6768.947999999999"/>
        <n v="2519.2416"/>
        <n v="4356.96"/>
        <n v="1762.272"/>
        <n v="2465.9280000000003"/>
        <n v="397.764"/>
        <n v="1868.0639999999999"/>
        <n v="472.1664"/>
        <n v="96.048"/>
        <n v="107.88"/>
        <n v="135.72"/>
        <n v="42935.544"/>
        <n v="2459.664"/>
        <n v="17202.196799999998"/>
        <n v="2890.4880000000003"/>
        <n v="16323.1488"/>
        <n v="3225.264"/>
        <n v="3490.092"/>
        <n v="1811.5488"/>
        <n v="2236.248"/>
        <n v="660.852"/>
        <n v="1320.5904"/>
        <n v="45.24"/>
        <n v="10.44"/>
        <n v="7414.6272"/>
        <n v="1465.4279999999999"/>
        <n v="5828.651999999999"/>
        <n v="2492.376"/>
        <n v="35644.8048"/>
        <n v="929.856"/>
        <n v="32380.4256"/>
        <n v="2868.2160000000003"/>
        <n v="2721.708"/>
        <n v="18074.5632"/>
        <n v="640.1808"/>
        <n v="281.6016"/>
        <n v="952.6848"/>
        <n v="112.9608"/>
        <n v="32.9208"/>
        <n v="56.028000000000006"/>
        <n v="32.016"/>
        <n v="518.3808"/>
        <n v="44.4048"/>
        <n v="5521.368"/>
        <n v="1648.824"/>
        <n v="1073.7888"/>
        <n v="248.88959999999997"/>
        <n v="22.4112"/>
        <n v="199.1952"/>
        <n v="65.8416"/>
        <n v="417.59999999999997"/>
        <n v="112.05600000000001"/>
        <n v="33791.496"/>
        <n v="11985.815999999999"/>
        <n v="2739.6648000000005"/>
        <n v="1678.1952"/>
      </sharedItems>
    </cacheField>
    <cacheField name="Bs LAM/24" numFmtId="0">
      <sharedItems containsString="0" containsBlank="1" containsNumber="1">
        <m/>
        <n v="0.0"/>
        <n v="2507.2704"/>
        <n v="6868.6848"/>
        <n v="903.1296"/>
        <n v="1533.984"/>
        <n v="4819.6608"/>
        <n v="495.1344"/>
        <n v="237.96239999999997"/>
        <n v="449.0592"/>
        <n v="208.8"/>
        <n v="148.8048"/>
        <n v="4616.0"/>
        <n v="1717.3104"/>
        <n v="7161.283200000001"/>
        <n v="8523.215999999999"/>
        <n v="2747.7384"/>
        <n v="3687.7560000000003"/>
        <n v="4369.2096"/>
        <n v="7504.5504"/>
        <n v="3369.7536"/>
        <n v="2397.1632"/>
        <n v="2887.7039999999997"/>
        <n v="2013.5976"/>
        <n v="552.3456"/>
        <n v="936.816"/>
        <n v="352.176"/>
        <n v="584.0832"/>
        <n v="385.7232"/>
        <n v="24.7776"/>
        <n v="12300.0"/>
        <n v="33348.84"/>
        <n v="35596.0"/>
        <n v="11870.4888"/>
        <n v="8052.720000000001"/>
        <n v="424.0"/>
        <n v="4582.464"/>
        <n v="3398.7072"/>
        <n v="672.0"/>
        <n v="414.0"/>
        <n v="588.0"/>
        <n v="254.0"/>
        <n v="288.0"/>
        <n v="268.0"/>
        <n v="188.0"/>
        <n v="164.8128"/>
        <n v="134.0"/>
        <n v="582.4128000000001"/>
        <n v="112.0"/>
        <n v="120.0"/>
        <n v="79014.09599999999"/>
        <n v="31695.839999999997"/>
        <n v="56529.12"/>
        <n v="45074.073599999996"/>
        <n v="21061.656000000003"/>
        <n v="45150.912000000004"/>
        <n v="13702.847999999998"/>
        <n v="24897.312"/>
        <n v="3493.92"/>
        <n v="20306.843999999997"/>
        <n v="1041.216"/>
        <n v="6298.103999999999"/>
        <n v="8713.92"/>
        <n v="2937.12"/>
        <n v="6575.808000000001"/>
        <n v="1325.88"/>
        <n v="4670.16"/>
        <n v="2360.832"/>
        <n v="1414.62"/>
        <n v="1524.24"/>
        <n v="381.4080000000001"/>
        <n v="128.064"/>
        <n v="237.33599999999998"/>
        <n v="100182.936"/>
        <n v="19113.552"/>
        <n v="14452.440000000002"/>
        <n v="32646.2976"/>
        <n v="5805.475200000001"/>
        <n v="6636.360000000001"/>
        <n v="21495.960000000003"/>
        <n v="6980.184"/>
        <n v="7612.848000000001"/>
        <n v="6038.496"/>
        <n v="4669.881600000001"/>
        <n v="2236.248"/>
        <n v="3304.2599999999998"/>
        <n v="2641.1808"/>
        <n v="226.2"/>
        <n v="1392.0"/>
        <n v="20.88"/>
        <n v="6.4032"/>
        <n v="22243.8816"/>
        <n v="64.032"/>
        <n v="14077.644"/>
        <n v="12220.0896"/>
        <n v="2930.8559999999998"/>
        <n v="15543.071999999998"/>
        <n v="2492.376"/>
        <n v="1859.712"/>
        <n v="2868.2160000000003"/>
        <n v="3628.9440000000004"/>
        <n v="3544.032"/>
        <n v="9335.8656"/>
        <n v="4335.732"/>
        <n v="1920.5423999999998"/>
        <n v="7378.992"/>
        <n v="10918.152"/>
        <n v="1408.008"/>
        <n v="1190.856"/>
        <n v="464.3712"/>
        <n v="112.9608"/>
        <n v="65.8416"/>
        <n v="171.7728"/>
        <n v="640.32"/>
        <n v="168.084"/>
        <n v="405.6288"/>
        <n v="32.016"/>
        <n v="1295.952"/>
        <n v="44.4048"/>
        <n v="3976.0391999999997"/>
        <n v="5521.368"/>
        <n v="4946.472000000001"/>
        <n v="4026.708"/>
        <n v="622.2239999999999"/>
        <n v="44.8224"/>
        <n v="497.988"/>
        <n v="164.60399999999998"/>
        <n v="2436.6960000000004"/>
        <n v="2152.728"/>
        <n v="417.59999999999997"/>
        <n v="336.168"/>
        <n v="56.376"/>
        <n v="4566.108"/>
        <n v="2517.2928"/>
        <n v="19004.9064"/>
      </sharedItems>
    </cacheField>
    <cacheField name="Bs LR/24" numFmtId="0">
      <sharedItems containsString="0" containsBlank="1" containsNumber="1">
        <m/>
        <n v="0.0"/>
        <n v="1253.6352"/>
        <n v="903.1296"/>
        <n v="2525.9231999999997"/>
        <n v="304.152"/>
        <n v="37.584"/>
        <n v="495.1344"/>
        <n v="237.96239999999997"/>
        <n v="449.0592"/>
        <n v="208.8"/>
        <n v="223.2072"/>
        <n v="1717.3104"/>
        <n v="14800.0"/>
        <n v="2184.6048"/>
        <n v="3369.7536"/>
        <n v="2013.5976"/>
        <n v="414.25919999999996"/>
        <n v="975.5831999999999"/>
        <n v="234.20399999999998"/>
        <n v="133.5624"/>
        <n v="50.877599999999994"/>
        <n v="57400.0"/>
        <n v="1166.0"/>
        <n v="3398.7072"/>
        <n v="560.0"/>
        <n v="345.0"/>
        <n v="490.0"/>
        <n v="376.0"/>
        <n v="384.0"/>
        <n v="268.0"/>
        <n v="134.0"/>
        <n v="112.0"/>
        <n v="80.0"/>
        <n v="11453.376"/>
        <n v="1615.416"/>
        <n v="5833.872"/>
        <n v="576.288"/>
        <n v="32084.416800000003"/>
        <n v="6450.528"/>
        <n v="15594.854399999998"/>
        <n v="1004.328"/>
        <n v="208.79999999999998"/>
        <n v="80.04"/>
        <n v="13538.5224"/>
        <n v="1942.8839999999998"/>
        <n v="4984.752"/>
        <n v="6973.92"/>
        <n v="5736.432000000001"/>
        <n v="9072.36"/>
        <n v="9249.5616"/>
        <n v="3200.904"/>
        <n v="1408.008"/>
        <n v="3906.5087999999996"/>
        <n v="112.9608"/>
        <n v="329.20799999999997"/>
        <n v="171.7728"/>
        <n v="112.05600000000001"/>
        <n v="32.016"/>
        <n v="560.28"/>
        <n v="224.11200000000002"/>
        <n v="56.376"/>
        <n v="278.4"/>
        <n v="64.032"/>
      </sharedItems>
    </cacheField>
    <cacheField name="Bs LN/24" numFmtId="0">
      <sharedItems containsString="0" containsBlank="1" containsNumber="1">
        <m/>
        <n v="0.0"/>
        <n v="1253.6352"/>
        <n v="1016.0208"/>
        <n v="3700.7711999999997"/>
        <n v="448.224"/>
        <n v="52.6176"/>
        <n v="990.2688"/>
        <n v="237.96239999999997"/>
        <n v="224.5296"/>
        <n v="104.4"/>
        <n v="74.4024"/>
        <n v="1717.3104"/>
        <n v="11100.0"/>
        <n v="8250.2448"/>
        <n v="8243.2152"/>
        <n v="3687.7560000000003"/>
        <n v="1968.0792"/>
        <n v="552.3456"/>
        <n v="975.5831999999999"/>
        <n v="234.20399999999998"/>
        <n v="133.5624"/>
        <n v="50.877599999999994"/>
        <n v="19520.085600000002"/>
        <n v="1335.6"/>
        <n v="6517.1352"/>
        <n v="5330.1072"/>
        <n v="26302.2576"/>
        <n v="560.0"/>
        <n v="345.0"/>
        <n v="490.0"/>
        <n v="376.0"/>
        <n v="254.0"/>
        <n v="384.0"/>
        <n v="268.0"/>
        <n v="188.0"/>
        <n v="164.8128"/>
        <n v="134.0"/>
        <n v="112.0"/>
        <n v="80.0"/>
        <n v="128.6208"/>
        <n v="17609.3568"/>
        <n v="13119.3216"/>
        <n v="1850.3855999999998"/>
        <n v="6019.4952"/>
        <n v="22936.2624"/>
        <n v="11610.950400000002"/>
        <n v="3898.7135999999996"/>
        <n v="226.2"/>
        <n v="522.0"/>
        <n v="80.04"/>
        <n v="4396.284"/>
        <n v="1942.8839999999998"/>
        <n v="4984.752"/>
        <n v="9298.56"/>
        <n v="5736.432000000001"/>
        <n v="3628.9440000000004"/>
        <n v="3200.904"/>
        <n v="4919.328"/>
        <n v="1408.008"/>
        <n v="928.7424"/>
        <n v="112.9608"/>
        <n v="329.20799999999997"/>
        <n v="171.7728"/>
        <n v="112.05600000000001"/>
        <n v="32.016"/>
        <n v="560.28"/>
        <n v="1435.152"/>
        <n v="336.168"/>
        <n v="56.376"/>
        <n v="278.4"/>
        <n v="96.048"/>
      </sharedItems>
    </cacheField>
    <cacheField name="Bs LAZ/24" numFmtId="0">
      <sharedItems containsString="0" containsBlank="1" containsNumber="1">
        <m/>
        <n v="0.0"/>
        <n v="1253.6352"/>
        <n v="1128.912"/>
        <n v="5345.5584"/>
        <n v="640.3199999999999"/>
        <n v="82.68480000000001"/>
        <n v="495.1344"/>
        <n v="237.96239999999997"/>
        <n v="224.5296"/>
        <n v="104.4"/>
        <n v="74.4024"/>
        <n v="1717.3104"/>
        <n v="14800.0"/>
        <n v="2747.7384"/>
        <n v="3687.7560000000003"/>
        <n v="552.3456"/>
        <n v="975.5831999999999"/>
        <n v="234.20399999999998"/>
        <n v="133.5624"/>
        <n v="175000.0"/>
        <n v="19520.085600000002"/>
        <n v="2204.7999999999997"/>
        <n v="6517.1352"/>
        <n v="560.0"/>
        <n v="345.0"/>
        <n v="490.0"/>
        <n v="376.0"/>
        <n v="508.0"/>
        <n v="576.0"/>
        <n v="268.0"/>
        <n v="564.0"/>
        <n v="164.8128"/>
        <n v="134.0"/>
        <n v="112.0"/>
        <n v="80.0"/>
        <n v="128.6208"/>
        <n v="29069.4144"/>
        <n v="3054.6047999999996"/>
        <n v="34404.393599999996"/>
        <n v="11610.950400000002"/>
        <n v="9746.784"/>
        <n v="244.296"/>
        <n v="522.0"/>
        <n v="80.04"/>
        <n v="4396.284"/>
        <n v="1942.8839999999998"/>
        <n v="4984.752"/>
        <n v="13947.84"/>
        <n v="5736.432000000001"/>
        <n v="3628.9440000000004"/>
        <n v="3200.904"/>
        <n v="1408.008"/>
        <n v="928.7424"/>
        <n v="2537.616"/>
        <n v="112.9608"/>
        <n v="329.20799999999997"/>
        <n v="171.7728"/>
        <n v="112.05600000000001"/>
        <n v="32.016"/>
        <n v="16794.7584"/>
        <n v="177.6192"/>
        <n v="1435.152"/>
        <n v="560.28"/>
        <n v="56.376"/>
        <n v="278.4"/>
        <n v="160.08"/>
      </sharedItems>
    </cacheField>
    <cacheField name="Bs LB/24" numFmtId="0">
      <sharedItems containsString="0" containsBlank="1" containsNumber="1">
        <m/>
        <n v="0.0"/>
        <n v="1253.6352"/>
        <n v="1845.792"/>
        <n v="903.1296"/>
        <n v="1227.1871999999998"/>
        <n v="293.712"/>
        <n v="495.1344"/>
        <n v="1717.3104"/>
        <n v="16629.4584"/>
        <n v="3580.6416000000004"/>
        <n v="8523.215999999999"/>
        <n v="3687.7560000000003"/>
        <n v="1968.0792"/>
        <n v="2887.7039999999997"/>
        <n v="414.25919999999996"/>
        <n v="374.7264"/>
        <n v="352.176"/>
        <n v="1002.8664"/>
        <n v="932.0136"/>
        <n v="100.0848"/>
        <n v="12.3888"/>
        <n v="12672.5592"/>
        <n v="3559.6"/>
        <n v="7424.928"/>
        <n v="483.1632000000001"/>
        <n v="59.9952"/>
        <n v="9282.552"/>
        <n v="448.0"/>
        <n v="276.0"/>
        <n v="196.0"/>
        <n v="376.0"/>
        <n v="254.0"/>
        <n v="96.0"/>
        <n v="268.0"/>
        <n v="188.0"/>
        <n v="164.8128"/>
        <n v="134.0"/>
        <n v="112.0"/>
        <n v="40.0"/>
        <n v="136.9728"/>
        <n v="18591.552"/>
        <n v="15847.919999999998"/>
        <n v="11738.039999999999"/>
        <n v="3010.0608"/>
        <n v="9958.9248"/>
        <n v="397.764"/>
        <n v="21.576"/>
        <n v="3707.3136"/>
        <n v="139.2"/>
        <n v="4396.284"/>
        <n v="1942.8839999999998"/>
        <n v="4984.752"/>
        <n v="23064.396"/>
        <n v="708.8064"/>
        <n v="2674.9368"/>
        <n v="225.9216"/>
        <n v="7952.078399999999"/>
        <n v="171.7728"/>
        <n v="76.8384"/>
        <n v="417.59999999999997"/>
        <n v="112.05600000000001"/>
      </sharedItems>
    </cacheField>
    <cacheField name="Bs LCE/24" numFmtId="0">
      <sharedItems containsString="0" containsBlank="1" containsNumber="1">
        <m/>
        <n v="0.0"/>
        <n v="1567.0439999999999"/>
        <n v="1845.792"/>
        <n v="903.1296"/>
        <n v="1227.1871999999998"/>
        <n v="495.1344"/>
        <n v="1717.3104"/>
        <n v="16629.4584"/>
        <n v="7400.0"/>
        <n v="1790.3208000000002"/>
        <n v="8523.215999999999"/>
        <n v="1968.0792"/>
        <n v="7504.5504"/>
        <n v="69.0432"/>
        <n v="374.7264"/>
        <n v="352.176"/>
        <n v="385.7232"/>
        <n v="1113.1824"/>
        <n v="100.0848"/>
        <n v="283.4808"/>
        <n v="14864.054399999999"/>
        <n v="1779.8"/>
        <n v="4454.9568"/>
        <n v="59.9952"/>
        <n v="9282.552"/>
        <n v="448.0"/>
        <n v="276.0"/>
        <n v="196.0"/>
        <n v="376.0"/>
        <n v="254.0"/>
        <n v="96.0"/>
        <n v="268.0"/>
        <n v="188.0"/>
        <n v="164.8128"/>
        <n v="134.0"/>
        <n v="112.0"/>
        <n v="40.0"/>
        <n v="128.6208"/>
        <n v="2489.7312"/>
        <n v="397.764"/>
        <n v="3707.3136"/>
        <n v="139.2"/>
        <n v="2930.8559999999998"/>
        <n v="1942.8839999999998"/>
        <n v="4984.752"/>
        <n v="2674.9368"/>
        <n v="225.9216"/>
        <n v="3239.88"/>
        <n v="3976.0391999999997"/>
      </sharedItems>
    </cacheField>
    <cacheField name="Bs LCA/24" numFmtId="0">
      <sharedItems containsString="0" containsBlank="1" containsNumber="1">
        <m/>
        <n v="0.0"/>
        <n v="1253.6352"/>
        <n v="922.896"/>
        <n v="451.5648"/>
        <n v="146.856"/>
        <n v="247.5672"/>
        <n v="858.6552"/>
        <n v="276.1728"/>
        <n v="187.3632"/>
        <n v="176.088"/>
        <n v="6.1944"/>
        <n v="2477.3424"/>
        <n v="2847.68"/>
        <n v="1484.9856"/>
        <n v="161.05440000000002"/>
        <n v="134.0"/>
        <n v="136.9728"/>
        <n v="4754.376"/>
        <n v="212.1408"/>
        <n v="1942.8839999999998"/>
        <n v="208.79999999999998"/>
        <n v="67.2336"/>
      </sharedItems>
    </cacheField>
    <cacheField name="Bs LV/24" numFmtId="0">
      <sharedItems containsString="0" containsBlank="1" containsNumber="1">
        <m/>
        <n v="0.0"/>
        <n v="495.1344"/>
        <n v="858.6552"/>
        <n v="69.0432"/>
        <n v="374.7264"/>
        <n v="352.176"/>
        <n v="100.0848"/>
        <n v="12.3888"/>
        <n v="64575.0"/>
        <n v="7424.928"/>
        <n v="11166.972"/>
        <n v="400.0"/>
        <n v="59.9952"/>
        <n v="2688.0"/>
        <n v="1656.0"/>
        <n v="376.0"/>
        <n v="508.0"/>
        <n v="192.0"/>
        <n v="268.0"/>
        <n v="164.8128"/>
        <n v="134.0"/>
        <n v="112.0"/>
        <n v="200.0"/>
        <n v="144.0"/>
        <n v="138.0"/>
        <n v="146.856"/>
        <n v="265.17600000000004"/>
        <n v="42935.544"/>
        <n v="7963.6320000000005"/>
        <n v="22243.8816"/>
        <n v="64.032"/>
        <n v="4396.284"/>
        <n v="4984.752"/>
        <n v="2868.2160000000003"/>
        <n v="725.7888"/>
        <n v="4667.9328"/>
        <n v="6095.0112"/>
        <n v="3109.0319999999997"/>
        <n v="464.3712"/>
        <n v="225.9216"/>
        <n v="160.08"/>
        <n v="101.4072"/>
        <n v="3976.0391999999997"/>
        <n v="417.59999999999997"/>
      </sharedItems>
    </cacheField>
    <cacheField name="Bs. 2024" numFmtId="4">
      <sharedItems containsString="0" containsBlank="1" containsNumber="1">
        <n v="0.0"/>
        <n v="14730.2136"/>
        <n v="6868.6848"/>
        <n v="11997.648"/>
        <n v="7789.4928"/>
        <n v="5215.5455999999995"/>
        <n v="12012.8208"/>
        <n v="1392.696"/>
        <n v="172.8864"/>
        <n v="4819.6608"/>
        <n v="5198.9112000000005"/>
        <n v="1427.7743999999998"/>
        <n v="1347.1776"/>
        <n v="835.2"/>
        <n v="669.6216"/>
        <n v="13848.0"/>
        <n v="2514.3"/>
        <n v="15455.7936"/>
        <n v="33258.9168"/>
        <n v="74000.0"/>
        <n v="34016.0952"/>
        <n v="25569.647999999994"/>
        <n v="8250.2448"/>
        <n v="16486.4304"/>
        <n v="14751.024000000001"/>
        <n v="11808.475199999999"/>
        <n v="10923.024000000001"/>
        <n v="15009.1008"/>
        <n v="6739.5072"/>
        <n v="5992.907999999999"/>
        <n v="5775.407999999999"/>
        <n v="4027.1952"/>
        <n v="3866.4192"/>
        <n v="2926.7495999999996"/>
        <n v="2810.4480000000003"/>
        <n v="1760.8799999999999"/>
        <n v="1168.1664"/>
        <n v="1157.1696000000002"/>
        <n v="1113.1824"/>
        <n v="1002.8664"/>
        <n v="932.0136"/>
        <n v="702.612"/>
        <n v="400.68719999999996"/>
        <n v="300.25440000000003"/>
        <n v="283.4808"/>
        <n v="101.75519999999999"/>
        <n v="99.1104"/>
        <n v="175000.0"/>
        <n v="134275.0"/>
        <n v="89089.044"/>
        <n v="35670.0"/>
        <n v="70480.08"/>
        <n v="39040.171200000004"/>
        <n v="35611.4664"/>
        <n v="20789.7984"/>
        <n v="11166.972"/>
        <n v="9663.264000000001"/>
        <n v="5872.4"/>
        <n v="4582.464"/>
        <n v="400.0"/>
        <n v="179.98559999999998"/>
        <n v="88451.16"/>
        <n v="27847.656"/>
        <n v="13034.2704"/>
        <n v="6797.4144"/>
        <n v="5330.1072"/>
        <n v="26302.2576"/>
        <n v="7056.0"/>
        <n v="4347.0"/>
        <n v="3136.0"/>
        <n v="3008.0"/>
        <n v="2540.0"/>
        <n v="2496.0"/>
        <n v="2412.0"/>
        <n v="2068.0"/>
        <n v="1318.5024"/>
        <n v="1206.0"/>
        <n v="1164.8256000000001"/>
        <n v="1008.0"/>
        <n v="840.0"/>
        <n v="385.8624"/>
        <n v="273.9456"/>
        <n v="144.0"/>
        <n v="138.0"/>
        <n v="211943.6928"/>
        <n v="101426.688"/>
        <n v="89033.364"/>
        <n v="82635.80159999999"/>
        <n v="73715.796"/>
        <n v="48160.9728"/>
        <n v="46589.6832"/>
        <n v="37345.968"/>
        <n v="50172.6912"/>
        <n v="27075.791999999998"/>
        <n v="25613.9136"/>
        <n v="21413.5536"/>
        <n v="18517.08"/>
        <n v="14303.774399999998"/>
        <n v="13151.616000000002"/>
        <n v="16043.148000000001"/>
        <n v="6538.224"/>
        <n v="4013.4144"/>
        <n v="2546.316"/>
        <n v="2540.4"/>
        <n v="1144.2240000000002"/>
        <n v="928.464"/>
        <n v="625.704"/>
        <n v="135.72"/>
        <n v="106346.43000000001"/>
        <n v="23347.5"/>
        <n v="2885.2999999999997"/>
        <n v="257613.264"/>
        <n v="2459.664"/>
        <n v="93656.4048"/>
        <n v="49427.344800000006"/>
        <n v="48969.4464"/>
        <n v="45153.696"/>
        <n v="14599.992000000002"/>
        <n v="42991.920000000006"/>
        <n v="29240.351999999995"/>
        <n v="17450.460000000003"/>
        <n v="15225.696000000002"/>
        <n v="13888.5408"/>
        <n v="4669.881600000001"/>
        <n v="4472.496"/>
        <n v="3965.112"/>
        <n v="3961.7712"/>
        <n v="2108.184"/>
        <n v="1392.0"/>
        <n v="1305.0"/>
        <n v="252.9264"/>
        <n v="74146.272"/>
        <n v="2833.068"/>
        <n v="2456.4624"/>
        <n v="1236.444"/>
        <n v="1227.048"/>
        <n v="417.6"/>
        <n v="128.064"/>
        <n v="61.944"/>
        <n v="13538.5224"/>
        <n v="14077.644"/>
        <n v="24440.1792"/>
        <n v="26963.8752"/>
        <n v="38857.67999999999"/>
        <n v="37385.64"/>
        <n v="35644.8048"/>
        <n v="33939.744"/>
        <n v="32380.4256"/>
        <n v="28682.160000000003"/>
        <n v="27035.632800000003"/>
        <n v="23064.396"/>
        <n v="22327.4016"/>
        <n v="14003.7984"/>
        <n v="13585.2936"/>
        <n v="12803.616"/>
        <n v="12298.320000000002"/>
        <n v="10918.152"/>
        <n v="7321.641600000001"/>
        <n v="6095.0112"/>
        <n v="5349.8736"/>
        <n v="3906.5087999999996"/>
        <n v="3334.3968"/>
        <n v="3109.0319999999997"/>
        <n v="2786.2272"/>
        <n v="2537.616"/>
        <n v="1355.5296"/>
        <n v="1152.228"/>
        <n v="858.8639999999999"/>
        <n v="800.4000000000001"/>
        <n v="672.336"/>
        <n v="507.036"/>
        <n v="192.096"/>
        <n v="33589.5168"/>
        <n v="6350.1648000000005"/>
        <n v="310.8336"/>
        <n v="23856.2352"/>
        <n v="16564.104"/>
        <n v="11541.768000000002"/>
        <n v="7248.0744"/>
        <n v="1493.3375999999998"/>
        <n v="1232.616"/>
        <n v="1195.1712"/>
        <n v="395.0496"/>
        <n v="171.7728"/>
        <n v="76.8384"/>
        <n v="4873.392000000001"/>
        <n v="5023.032"/>
        <n v="2296.7999999999997"/>
        <n v="1860.1296"/>
        <n v="225.504"/>
        <n v="320.16"/>
        <n v="50687.244"/>
        <n v="17978.724"/>
        <n v="10958.659200000002"/>
        <n v="6712.7808"/>
        <n v="19004.9064"/>
        <m/>
      </sharedItems>
    </cacheField>
    <cacheField name="Bs LMO/25" numFmtId="0">
      <sharedItems containsString="0" containsBlank="1" containsNumber="1">
        <m/>
        <n v="0.0"/>
        <n v="1227.1871999999998"/>
        <n v="440.9856"/>
        <n v="721.6128"/>
        <n v="284.2464"/>
        <n v="279.5136"/>
        <n v="38.4192"/>
        <n v="449.0592"/>
        <n v="2227.2"/>
        <n v="1015.0464000000001"/>
        <n v="320.16"/>
        <n v="187.92000000000002"/>
        <n v="44.544"/>
        <n v="47.0496"/>
        <n v="2514.3"/>
        <n v="476.3424"/>
        <n v="52.4784"/>
        <n v="66.25919999999999"/>
        <n v="3687.7560000000003"/>
        <n v="1968.0792"/>
        <n v="2397.1632"/>
        <n v="2887.7039999999997"/>
        <n v="352.176"/>
        <n v="50.0424"/>
        <n v="1745.1504"/>
        <n v="2469.1295999999998"/>
        <n v="97.44"/>
        <n v="11137.392"/>
        <n v="35670.0"/>
        <n v="15048.0"/>
        <n v="50489.5104"/>
        <n v="2291.232"/>
        <n v="19192.4784"/>
        <n v="8372.3232"/>
        <n v="9859.257599999999"/>
        <n v="7426.876799999999"/>
        <n v="2795.4144"/>
        <n v="4509.5232"/>
        <n v="6517.1352"/>
        <n v="4638.9792"/>
        <n v="5763.158399999999"/>
        <n v="5712.768"/>
        <n v="3688.8"/>
        <n v="1030.4976"/>
        <n v="4088.7216000000003"/>
        <n v="2493.4896"/>
        <n v="2424.4464"/>
        <n v="3496.7039999999997"/>
        <n v="2001.7656000000002"/>
        <n v="1440.5808"/>
        <n v="1330.752"/>
        <n v="982.5432"/>
        <n v="1395.6192"/>
        <n v="462.4224"/>
        <n v="1037.6664"/>
        <n v="118.87679999999999"/>
        <n v="14.4768"/>
        <n v="39619.799999999996"/>
        <n v="16958.736"/>
        <n v="11738.039999999999"/>
        <n v="45150.912000000004"/>
        <n v="24897.312"/>
        <n v="6768.947999999999"/>
        <n v="12596.207999999999"/>
        <n v="18104.352000000003"/>
        <n v="2802.096"/>
        <n v="1016.16"/>
        <n v="431.52"/>
        <n v="325.728"/>
        <n v="183598.164"/>
        <n v="72766.79999999999"/>
        <n v="100182.936"/>
        <n v="6636.360000000001"/>
        <n v="2236.248"/>
        <n v="3304.2599999999998"/>
        <n v="3961.7712"/>
        <n v="1052.3519999999999"/>
        <n v="1548.0432"/>
        <n v="1095.3648"/>
        <n v="1772.016"/>
        <n v="2674.9368"/>
        <n v="7620.6432"/>
        <n v="3976.0391999999997"/>
        <n v="2436.6960000000004"/>
        <n v="2152.728"/>
        <n v="112.05600000000001"/>
        <n v="38009.8128"/>
      </sharedItems>
    </cacheField>
    <cacheField name="Bs LPL/25" numFmtId="0">
      <sharedItems containsString="0" containsBlank="1" containsNumber="1">
        <m/>
        <n v="0.0"/>
        <n v="330.7392"/>
        <n v="360.8064"/>
        <n v="284.2464"/>
        <n v="279.5136"/>
        <n v="28.8144"/>
        <n v="1015.0464000000001"/>
        <n v="6924.0"/>
        <n v="2514.3"/>
        <n v="238.1712"/>
        <n v="33.129599999999996"/>
        <n v="11100.0"/>
        <n v="3687.7560000000003"/>
        <n v="3936.1584"/>
        <n v="2184.6048"/>
        <n v="2887.7039999999997"/>
        <n v="385.7232"/>
        <n v="7424.928"/>
        <n v="17835.0"/>
        <n v="14849.856"/>
        <n v="2291.232"/>
        <n v="8372.3232"/>
        <n v="4661.46"/>
        <n v="4929.6287999999995"/>
        <n v="3713.4383999999995"/>
        <n v="1397.7072"/>
        <n v="4509.5232"/>
        <n v="2319.4896"/>
        <n v="2881.5791999999997"/>
        <n v="2856.384"/>
        <n v="3688.8"/>
        <n v="1030.4976"/>
        <n v="2044.3608000000002"/>
        <n v="2493.4896"/>
        <n v="2424.4464"/>
        <n v="667.2552000000001"/>
        <n v="1440.5808"/>
        <n v="1330.752"/>
        <n v="982.5432"/>
        <n v="231.2112"/>
        <n v="118.87679999999999"/>
        <n v="14.4768"/>
        <n v="19968.3792"/>
        <n v="5652.912"/>
        <n v="7042.824"/>
        <n v="15050.304"/>
        <n v="2096.352"/>
        <n v="18104.352000000003"/>
        <n v="934.0319999999999"/>
        <n v="609.696"/>
        <n v="215.76"/>
        <n v="76499.235"/>
        <n v="45479.24999999999"/>
        <n v="57247.392"/>
        <n v="7378.992"/>
        <n v="3981.8160000000003"/>
        <n v="21495.960000000003"/>
        <n v="7612.848000000001"/>
        <n v="263.08799999999997"/>
        <n v="1772.016"/>
        <n v="2674.9368"/>
        <n v="3544.032"/>
        <n v="112.05600000000001"/>
      </sharedItems>
    </cacheField>
    <cacheField name="Bs LAM/25" numFmtId="0">
      <sharedItems containsString="0" containsBlank="1" containsNumber="1">
        <m/>
        <n v="0.0"/>
        <n v="66497.5104"/>
        <n v="440.9856"/>
        <n v="1443.2256"/>
        <n v="284.2464"/>
        <n v="279.5136"/>
        <n v="38.4192"/>
        <n v="11287.728000000001"/>
        <n v="9291.599999999999"/>
        <n v="6337.776"/>
        <n v="1357.2"/>
        <n v="602.04"/>
        <n v="400.2"/>
        <n v="191.39999999999998"/>
        <n v="100.22399999999999"/>
        <n v="40.0896"/>
        <n v="75.168"/>
        <n v="47.0496"/>
        <n v="2514.3"/>
        <n v="476.3424"/>
        <n v="52.4784"/>
        <n v="33.129599999999996"/>
        <n v="7161.283200000001"/>
        <n v="2397.1632"/>
        <n v="1113.1824"/>
        <n v="50.0424"/>
        <n v="1699.6319999999998"/>
        <n v="872.5752"/>
        <n v="97.44"/>
        <n v="7465.435199999999"/>
        <n v="11137.392"/>
        <n v="48044.88"/>
        <n v="57914.4384"/>
        <n v="8372.3232"/>
        <n v="8994.8952"/>
        <n v="9322.92"/>
        <n v="9859.257599999999"/>
        <n v="3713.4383999999995"/>
        <n v="2795.4144"/>
        <n v="4509.5232"/>
        <n v="4638.9792"/>
        <n v="2881.5791999999997"/>
        <n v="2856.384"/>
        <n v="3688.8"/>
        <n v="1030.4976"/>
        <n v="4088.7216000000003"/>
        <n v="2493.4896"/>
        <n v="2424.4464"/>
        <n v="2001.7656000000002"/>
        <n v="1440.5808"/>
        <n v="1330.752"/>
        <n v="982.5432"/>
        <n v="1395.6192"/>
        <n v="118.87679999999999"/>
        <n v="65.8416"/>
        <n v="14.4768"/>
        <n v="15847.919999999998"/>
        <n v="32396.9904"/>
        <n v="14938.387200000001"/>
        <n v="3493.92"/>
        <n v="6298.103999999999"/>
        <n v="22630.440000000002"/>
        <n v="2802.096"/>
        <n v="1524.24"/>
        <n v="86.304"/>
        <n v="61199.388"/>
        <n v="128806.632"/>
        <n v="27056.304000000004"/>
        <n v="1392.0"/>
        <n v="657.7199999999999"/>
        <n v="34610.5488"/>
        <n v="46705.776000000005"/>
        <n v="14077.644"/>
        <n v="4919.328"/>
        <n v="2674.9368"/>
        <n v="3945.2064"/>
        <n v="3976.0391999999997"/>
        <n v="1772.016"/>
        <n v="2436.6960000000004"/>
        <n v="336.168"/>
      </sharedItems>
    </cacheField>
    <cacheField name="Bs LR/25" numFmtId="0">
      <sharedItems containsString="0" containsBlank="1" containsNumber="1">
        <m/>
        <n v="0.0"/>
        <n v="4039.3056"/>
        <n v="220.4928"/>
        <n v="2604.7104"/>
        <n v="1443.2256"/>
        <n v="284.2464"/>
        <n v="419.2704"/>
        <n v="38.4192"/>
        <n v="48.024"/>
        <n v="509.6112"/>
        <n v="388.6464"/>
        <n v="47.0496"/>
        <n v="58053.6384"/>
        <n v="57066.8496"/>
        <n v="714.5136"/>
        <n v="52.4784"/>
        <n v="66.25919999999999"/>
        <n v="89406.0024"/>
        <n v="16629.4584"/>
        <n v="3580.6416000000004"/>
        <n v="3687.7560000000003"/>
        <n v="2013.5976"/>
        <n v="749.4528"/>
        <n v="352.176"/>
        <n v="292.0416"/>
        <n v="1002.8664"/>
        <n v="932.0136"/>
        <n v="24.7776"/>
        <n v="31770.451200000003"/>
        <n v="6946.2192"/>
        <n v="3399.2639999999997"/>
        <n v="3298.6223999999997"/>
        <n v="3114.1824"/>
        <n v="1866.1152"/>
        <n v="3123.0216"/>
        <n v="872.5752"/>
        <n v="2469.1295999999998"/>
        <n v="763.6512"/>
        <n v="1579.4328"/>
        <n v="495.1344"/>
        <n v="512.0472"/>
        <n v="1826.4432000000002"/>
        <n v="390.2472"/>
        <n v="212.7672"/>
        <n v="781.26"/>
        <n v="120.68639999999999"/>
        <n v="112.6824"/>
        <n v="56.2368"/>
        <n v="115.6752"/>
        <n v="163.56"/>
        <n v="48.72"/>
        <n v="165.36960000000002"/>
        <n v="135.9984"/>
        <n v="59.7168"/>
        <n v="13.6416"/>
        <n v="5790.9983999999995"/>
        <n v="3712.464"/>
        <n v="20962.128"/>
        <n v="104737.83840000001"/>
        <n v="37124.64"/>
        <n v="8857.992"/>
        <n v="5843.198399999999"/>
        <n v="8372.3232"/>
        <n v="5996.5968"/>
        <n v="9322.92"/>
        <n v="9282.552"/>
        <n v="2060.9952"/>
        <n v="1748.3519999999999"/>
        <n v="4690.4832"/>
        <n v="1083.5328"/>
        <n v="462.4224"/>
        <n v="118.87679999999999"/>
        <n v="131.6832"/>
        <n v="28.9536"/>
        <n v="83661.984"/>
        <n v="31695.839999999997"/>
        <n v="62182.032"/>
        <n v="4979.4624"/>
        <n v="597.168"/>
        <n v="183598.164"/>
        <n v="72766.79999999999"/>
        <n v="32084.416800000003"/>
        <n v="72288.2304"/>
        <n v="12360.96"/>
        <n v="2920.2767999999996"/>
        <n v="153098.5632"/>
        <n v="13538.5224"/>
        <n v="23352.888000000003"/>
        <n v="28155.288"/>
        <n v="24440.1792"/>
        <n v="23064.396"/>
        <n v="16377.228"/>
        <n v="3109.0319999999997"/>
        <n v="3945.2064"/>
        <n v="7952.078399999999"/>
        <n v="839.0976"/>
        <n v="774.3"/>
      </sharedItems>
    </cacheField>
    <cacheField name="Bs LN/25" numFmtId="0">
      <sharedItems containsString="0" containsBlank="1" containsNumber="1">
        <m/>
        <n v="0.0"/>
        <n v="9088.437600000001"/>
        <n v="551.232"/>
        <n v="1623.6288"/>
        <n v="284.2464"/>
        <n v="419.2704"/>
        <n v="43.221599999999995"/>
        <n v="5070.2208"/>
        <n v="3904.56"/>
        <n v="48.024"/>
        <n v="509.6112"/>
        <n v="388.6464"/>
        <n v="238.1712"/>
        <n v="104.9568"/>
        <n v="49.694399999999995"/>
        <n v="18272.2968"/>
        <n v="8951.604000000001"/>
        <n v="1968.0792"/>
        <n v="3369.7536"/>
        <n v="4027.1952"/>
        <n v="936.816"/>
        <n v="704.352"/>
        <n v="292.0416"/>
        <n v="1002.8664"/>
        <n v="932.0136"/>
        <n v="24.7776"/>
        <n v="6946.2192"/>
        <n v="1699.6319999999998"/>
        <n v="3298.6223999999997"/>
        <n v="3114.1824"/>
        <n v="1866.1152"/>
        <n v="3123.0216"/>
        <n v="872.5752"/>
        <n v="2469.1295999999998"/>
        <n v="763.6512"/>
        <n v="495.1344"/>
        <n v="2830.4928"/>
        <n v="512.0472"/>
        <n v="390.2472"/>
        <n v="212.7672"/>
        <n v="120.68639999999999"/>
        <n v="112.6824"/>
        <n v="56.2368"/>
        <n v="57.8376"/>
        <n v="48.72"/>
        <n v="13.6416"/>
        <n v="2895.4991999999997"/>
        <n v="1238.184"/>
        <n v="5197.4496"/>
        <n v="24011.1648"/>
        <n v="74907.0"/>
        <n v="14849.856"/>
        <n v="2415.8160000000003"/>
        <n v="5843.198399999999"/>
        <n v="8372.3232"/>
        <n v="9322.92"/>
        <n v="9282.552"/>
        <n v="2576.2439999999997"/>
        <n v="1748.3519999999999"/>
        <n v="1354.416"/>
        <n v="462.4224"/>
        <n v="3292.2192"/>
        <n v="3222.6191999999996"/>
        <n v="118.87679999999999"/>
        <n v="164.60399999999998"/>
        <n v="28.9536"/>
        <n v="117126.7776"/>
        <n v="31695.839999999997"/>
        <n v="71226.6912"/>
        <n v="35683.641599999995"/>
        <n v="4979.4624"/>
        <n v="105005.24160000001"/>
        <n v="23537.6064"/>
        <n v="684.0287999999999"/>
        <n v="183598.164"/>
        <n v="72766.79999999999"/>
        <n v="228989.568"/>
        <n v="24596.640000000003"/>
        <n v="14452.440000000002"/>
        <n v="113484.7488"/>
        <n v="1392.0"/>
        <n v="657.7199999999999"/>
        <n v="24440.1792"/>
        <n v="23064.396"/>
        <n v="16377.228"/>
        <n v="9766.271999999999"/>
        <n v="3109.0319999999997"/>
        <n v="3945.2064"/>
        <n v="7952.078399999999"/>
        <n v="1678.1952"/>
        <n v="1548.6"/>
      </sharedItems>
    </cacheField>
    <cacheField name="Bs LAZ/25" numFmtId="0">
      <sharedItems containsString="0" containsBlank="1" containsNumber="1">
        <m/>
        <n v="0.0"/>
        <n v="10098.264000000001"/>
        <n v="661.4784"/>
        <n v="1804.032"/>
        <n v="284.2464"/>
        <n v="559.0272"/>
        <n v="48.023999999999994"/>
        <n v="3904.56"/>
        <n v="96.048"/>
        <n v="17912.0472"/>
        <n v="30243.705599999998"/>
        <n v="509.6112"/>
        <n v="388.6464"/>
        <n v="238.1712"/>
        <n v="41.41199999999999"/>
        <n v="89406.0024"/>
        <n v="16629.4584"/>
        <n v="18272.2968"/>
        <n v="8951.604000000001"/>
        <n v="3369.7536"/>
        <n v="4027.1952"/>
        <n v="1124.1792"/>
        <n v="528.264"/>
        <n v="292.0416"/>
        <n v="24.7776"/>
        <n v="18662.544"/>
        <n v="6946.2192"/>
        <n v="1699.6319999999998"/>
        <n v="1866.1152"/>
        <n v="872.5752"/>
        <n v="763.6512"/>
        <n v="2007.4032000000002"/>
        <n v="495.1344"/>
        <n v="212.7672"/>
        <n v="120.68639999999999"/>
        <n v="112.6824"/>
        <n v="112.4736"/>
        <n v="97.44"/>
        <n v="13.6416"/>
        <n v="2895.4991999999997"/>
        <n v="280000.0"/>
        <n v="7424.928"/>
        <n v="39637.4784"/>
        <n v="805.272"/>
        <n v="5843.198399999999"/>
        <n v="8372.3232"/>
        <n v="9528.518399999999"/>
        <n v="4661.46"/>
        <n v="2795.4144"/>
        <n v="3091.4928"/>
        <n v="3496.7039999999997"/>
        <n v="1625.2992"/>
        <n v="462.4224"/>
        <n v="118.87679999999999"/>
        <n v="197.5248"/>
        <n v="28.9536"/>
        <n v="193352.1408"/>
        <n v="47543.759999999995"/>
        <n v="14132.28"/>
        <n v="74184.41279999999"/>
        <n v="4979.4624"/>
        <n v="17492.4288"/>
        <n v="38855.7312"/>
        <n v="1129.1904"/>
        <n v="305996.94"/>
        <n v="90958.49999999999"/>
        <n v="114494.784"/>
        <n v="18447.480000000003"/>
        <n v="14452.440000000002"/>
        <n v="144576.4608"/>
        <n v="1392.0"/>
        <n v="657.7199999999999"/>
        <n v="34795.128"/>
        <n v="18330.1344"/>
        <n v="23064.396"/>
        <n v="16377.228"/>
        <n v="14161.094399999998"/>
        <n v="3109.0319999999997"/>
        <n v="7952.078399999999"/>
        <n v="1678.1952"/>
        <n v="1548.6"/>
      </sharedItems>
    </cacheField>
    <cacheField name="Bs LB/25" numFmtId="0">
      <sharedItems containsString="0" containsBlank="1" containsNumber="1">
        <m/>
        <n v="0.0"/>
        <n v="10508.6256"/>
        <n v="1009.8264"/>
        <n v="440.9856"/>
        <n v="284.2464"/>
        <n v="495.1344"/>
        <n v="752.5152"/>
        <n v="148.66559999999998"/>
        <n v="108.576"/>
        <n v="120.40799999999999"/>
        <n v="32.016"/>
        <n v="244.15679999999998"/>
        <n v="3.2016"/>
        <n v="3.0624"/>
        <n v="9.396"/>
        <n v="46.8408"/>
        <n v="1.1136"/>
        <n v="3.7584000000000004"/>
        <n v="24.6384"/>
        <n v="11566.7544"/>
        <n v="238.1712"/>
        <n v="3580.6416000000004"/>
        <n v="1968.0792"/>
        <n v="374.7264"/>
        <n v="352.176"/>
        <n v="13670.832"/>
        <n v="3712.464"/>
        <n v="12672.5592"/>
        <n v="3559.6"/>
        <n v="4290.0"/>
        <n v="7424.928"/>
        <n v="5996.5968"/>
        <n v="4661.46"/>
        <n v="2795.4144"/>
        <n v="18591.552"/>
        <n v="15847.919999999998"/>
        <n v="11738.039999999999"/>
        <n v="2489.7312"/>
        <n v="18308.1408"/>
        <n v="24471.6384"/>
        <n v="711.1727999999999"/>
        <n v="152998.47"/>
        <n v="14311.848"/>
        <n v="8792.568"/>
        <n v="7952.078399999999"/>
      </sharedItems>
    </cacheField>
    <cacheField name="Bs LCE/25" numFmtId="0">
      <sharedItems containsString="0" containsBlank="1" containsNumber="1">
        <m/>
        <n v="0.0"/>
        <n v="10508.6256"/>
        <n v="1009.8264"/>
        <n v="440.9856"/>
        <n v="148.8048"/>
        <n v="19874.28"/>
        <n v="752.5152"/>
        <n v="3344.9759999999997"/>
        <n v="108.576"/>
        <n v="120.40799999999999"/>
        <n v="32.016"/>
        <n v="530.352"/>
        <n v="244.15679999999998"/>
        <n v="3.2016"/>
        <n v="3.0624"/>
        <n v="192.096"/>
        <n v="46.8408"/>
        <n v="1.1136"/>
        <n v="3.7584000000000004"/>
        <n v="24.6384"/>
        <n v="5.568"/>
        <n v="17912.0472"/>
        <n v="11566.7544"/>
        <n v="5028.6"/>
        <n v="238.1712"/>
        <n v="36544.5936"/>
        <n v="3687.7560000000003"/>
        <n v="1968.0792"/>
        <n v="12.3888"/>
        <n v="19461.7608"/>
        <n v="20506.248"/>
        <n v="14930.870399999998"/>
        <n v="3712.464"/>
        <n v="14864.054399999999"/>
        <n v="5148.0"/>
        <n v="212.0"/>
        <n v="8994.8952"/>
        <n v="4661.46"/>
        <n v="2795.4144"/>
        <n v="21662.304"/>
        <n v="28954.992"/>
        <n v="5861.7119999999995"/>
        <n v="7434.9504"/>
        <n v="3976.0391999999997"/>
      </sharedItems>
    </cacheField>
    <cacheField name="Bs LCA/25" numFmtId="0">
      <sharedItems containsString="0" containsBlank="1" containsNumber="1">
        <m/>
        <n v="0.0"/>
        <n v="1009.8264"/>
        <n v="1227.1871999999998"/>
        <n v="220.4928"/>
        <n v="247.5672"/>
        <n v="8523.215999999999"/>
        <n v="187.3632"/>
        <n v="176.088"/>
        <n v="2477.3424"/>
        <n v="2847.68"/>
        <n v="858.0"/>
        <n v="1484.9856"/>
        <n v="1397.7072"/>
        <n v="4754.376"/>
        <n v="2489.7312"/>
        <n v="3633.6768"/>
        <n v="4856.9664"/>
        <n v="10.788"/>
        <n v="141.1488"/>
      </sharedItems>
    </cacheField>
    <cacheField name="Bs LV/25" numFmtId="0">
      <sharedItems containsString="0" containsBlank="1" containsNumber="1">
        <m/>
        <n v="0.0"/>
        <n v="66497.5104"/>
        <n v="10508.6256"/>
        <n v="1009.8264"/>
        <n v="2820.6792"/>
        <n v="6868.6848"/>
        <n v="790.2384"/>
        <n v="1533.984"/>
        <n v="440.9856"/>
        <n v="360.8064"/>
        <n v="284.2464"/>
        <n v="32.016"/>
        <n v="18.792"/>
        <n v="208.8"/>
        <n v="148.8048"/>
        <n v="752.5152"/>
        <n v="4.4544"/>
        <n v="3.7584000000000004"/>
        <n v="3580.6416000000004"/>
        <n v="8523.215999999999"/>
        <n v="8250.2448"/>
        <n v="2747.7384"/>
        <n v="3687.7560000000003"/>
        <n v="2184.6048"/>
        <n v="7504.5504"/>
        <n v="292.0416"/>
        <n v="6946.2192"/>
        <n v="1866.1152"/>
        <n v="495.1344"/>
        <n v="212.7672"/>
        <n v="13670.832"/>
        <n v="22396.305599999996"/>
        <n v="5996.5968"/>
        <n v="4661.46"/>
        <n v="9282.552"/>
        <n v="2795.4144"/>
        <n v="282.924"/>
        <n v="895.752"/>
        <n v="42935.544"/>
        <n v="7378.992"/>
        <n v="7963.6320000000005"/>
        <n v="14330.640000000001"/>
        <n v="5075.232"/>
        <n v="33365.8224"/>
        <n v="54154.0896"/>
        <n v="16998.9648"/>
        <n v="5459.076"/>
        <n v="2674.9368"/>
        <n v="1220.7839999999999"/>
        <n v="160.08"/>
        <n v="101.4072"/>
        <n v="3945.2064"/>
        <n v="7434.9504"/>
        <n v="3976.0391999999997"/>
        <n v="324.8928"/>
        <n v="56.376"/>
      </sharedItems>
    </cacheField>
    <cacheField name="Bs. 2025" numFmtId="4">
      <sharedItems containsString="0" containsBlank="1" containsNumber="1">
        <n v="0.0"/>
        <n v="132995.0208"/>
        <n v="31525.8768"/>
        <n v="27265.3128"/>
        <n v="2820.6792"/>
        <n v="6868.6848"/>
        <n v="790.2384"/>
        <n v="3988.3583999999996"/>
        <n v="4189.3632"/>
        <n v="2604.7104"/>
        <n v="7757.3376"/>
        <n v="2273.9712"/>
        <n v="2236.1088"/>
        <n v="235.31759999999997"/>
        <n v="32.016"/>
        <n v="18.792"/>
        <n v="742.7016000000001"/>
        <n v="449.0592"/>
        <n v="208.8"/>
        <n v="297.6096"/>
        <n v="19874.28"/>
        <n v="13545.2736"/>
        <n v="12785.2416"/>
        <n v="11407.9968"/>
        <n v="7809.12"/>
        <n v="2227.2"/>
        <n v="1574.3519999999999"/>
        <n v="2030.0928000000001"/>
        <n v="842.8559999999999"/>
        <n v="784.392"/>
        <n v="530.352"/>
        <n v="488.31359999999995"/>
        <n v="198.4992"/>
        <n v="197.5248"/>
        <n v="197.31600000000003"/>
        <n v="192.096"/>
        <n v="104.6784"/>
        <n v="93.6816"/>
        <n v="86.8608"/>
        <n v="86.4432"/>
        <n v="49.2768"/>
        <n v="7.516800000000001"/>
        <n v="5.568"/>
        <n v="2.2272"/>
        <n v="35824.0944"/>
        <n v="30243.705599999998"/>
        <n v="23133.5088"/>
        <n v="1528.8336"/>
        <n v="1165.9392"/>
        <n v="141.1488"/>
        <n v="6924.0"/>
        <n v="2514.3"/>
        <n v="12571.5"/>
        <n v="58053.6384"/>
        <n v="57066.8496"/>
        <n v="2858.0544"/>
        <n v="262.392"/>
        <n v="289.88399999999996"/>
        <n v="89406.0024"/>
        <n v="33258.9168"/>
        <n v="11100.0"/>
        <n v="73089.1872"/>
        <n v="35806.416000000005"/>
        <n v="17046.431999999997"/>
        <n v="8250.2448"/>
        <n v="2747.7384"/>
        <n v="18438.780000000002"/>
        <n v="11808.475199999999"/>
        <n v="4369.2096"/>
        <n v="7504.5504"/>
        <n v="6739.5072"/>
        <n v="4794.3264"/>
        <n v="5775.407999999999"/>
        <n v="10067.988000000001"/>
        <n v="3372.5376"/>
        <n v="2465.232"/>
        <n v="1168.1664"/>
        <n v="385.7232"/>
        <n v="1113.1824"/>
        <n v="2005.7328"/>
        <n v="1864.0272"/>
        <n v="100.0848"/>
        <n v="86.7216"/>
        <n v="31770.451200000003"/>
        <n v="18662.544"/>
        <n v="27784.8768"/>
        <n v="19461.7608"/>
        <n v="8498.16"/>
        <n v="6597.2447999999995"/>
        <n v="6228.3648"/>
        <n v="7464.4608"/>
        <n v="6246.0432"/>
        <n v="5235.4511999999995"/>
        <n v="7407.388799999999"/>
        <n v="2290.9536"/>
        <n v="2007.4032000000002"/>
        <n v="1579.4328"/>
        <n v="1980.5376"/>
        <n v="2830.4928"/>
        <n v="1024.0944"/>
        <n v="1826.4432000000002"/>
        <n v="780.4944"/>
        <n v="851.0688"/>
        <n v="781.26"/>
        <n v="362.0592"/>
        <n v="338.0472"/>
        <n v="224.9472"/>
        <n v="173.5128"/>
        <n v="163.56"/>
        <n v="389.76"/>
        <n v="165.36960000000002"/>
        <n v="135.9984"/>
        <n v="59.7168"/>
        <n v="56.2368"/>
        <n v="40.924800000000005"/>
        <n v="11581.996799999999"/>
        <n v="1238.184"/>
        <n v="47847.912000000004"/>
        <n v="44792.61119999999"/>
        <n v="280000.0"/>
        <n v="53459.4816"/>
        <n v="114624.7272"/>
        <n v="128412.0"/>
        <n v="6407.28"/>
        <n v="152782.7184"/>
        <n v="25344.0"/>
        <n v="184138.2144"/>
        <n v="12079.080000000002"/>
        <n v="212.0"/>
        <n v="4582.464"/>
        <n v="19192.4784"/>
        <n v="17529.595199999996"/>
        <n v="50233.93920000001"/>
        <n v="9528.518399999999"/>
        <n v="35979.5808"/>
        <n v="51276.06"/>
        <n v="27847.656"/>
        <n v="24648.143999999997"/>
        <n v="14853.753599999998"/>
        <n v="19567.9008"/>
        <n v="13528.569599999999"/>
        <n v="6517.1352"/>
        <n v="11597.448"/>
        <n v="11526.316799999999"/>
        <n v="11425.536"/>
        <n v="11066.400000000001"/>
        <n v="10820.2248"/>
        <n v="10221.804"/>
        <n v="7480.4688"/>
        <n v="7273.339199999999"/>
        <n v="10490.112"/>
        <n v="4690.4832"/>
        <n v="4670.786400000001"/>
        <n v="4321.7424"/>
        <n v="4063.2479999999996"/>
        <n v="3992.256"/>
        <n v="2947.6295999999998"/>
        <n v="2791.2384"/>
        <n v="2080.9008"/>
        <n v="3292.2192"/>
        <n v="3222.6191999999996"/>
        <n v="1037.6664"/>
        <n v="713.2607999999999"/>
        <n v="559.6536"/>
        <n v="130.2912"/>
        <n v="412732.4544"/>
        <n v="206973.8352"/>
        <n v="170152.6512"/>
        <n v="172783.94879999998"/>
        <n v="60201.216"/>
        <n v="59753.548800000004"/>
        <n v="49194.393599999996"/>
        <n v="6768.947999999999"/>
        <n v="17492.4288"/>
        <n v="18894.311999999998"/>
        <n v="163844.3856"/>
        <n v="127215.1584"/>
        <n v="282.924"/>
        <n v="3150.096"/>
        <n v="744.372"/>
        <n v="4484.1888"/>
        <n v="1147488.525"/>
        <n v="354738.14999999997"/>
        <n v="686968.704"/>
        <n v="84858.40800000001"/>
        <n v="60989.296800000004"/>
        <n v="330349.44"/>
        <n v="18581.808"/>
        <n v="35826.6"/>
        <n v="12688.08"/>
        <n v="2236.248"/>
        <n v="3304.2599999999998"/>
        <n v="3961.7712"/>
        <n v="16536.96"/>
        <n v="6208.876799999999"/>
        <n v="34610.5488"/>
        <n v="187893.6912"/>
        <n v="33365.8224"/>
        <n v="1548.0432"/>
        <n v="1095.3648"/>
        <n v="67692.612"/>
        <n v="70058.664"/>
        <n v="42232.932"/>
        <n v="67210.49279999999"/>
        <n v="31653.2448"/>
        <n v="69193.188"/>
        <n v="3544.032"/>
        <n v="4919.328"/>
        <n v="54590.76"/>
        <n v="10699.7472"/>
        <n v="25148.1504"/>
        <n v="9327.096"/>
        <n v="160.08"/>
        <n v="101.4072"/>
        <n v="15780.8256"/>
        <n v="14869.9008"/>
        <n v="7620.6432"/>
        <n v="47712.4704"/>
        <n v="7088.064"/>
        <n v="5198.2848"/>
        <n v="2152.728"/>
        <n v="560.28"/>
        <n v="56.376"/>
        <n v="4195.488"/>
        <n v="3871.5"/>
        <n v="38009.8128"/>
        <m/>
      </sharedItems>
    </cacheField>
    <cacheField name="Bs LMO/26" numFmtId="0">
      <sharedItems containsString="0" containsBlank="1" containsNumber="1">
        <m/>
        <n v="0.0"/>
        <n v="440.9856"/>
        <n v="284.2464"/>
        <n v="495.1344"/>
        <n v="6.1248"/>
        <n v="238.1712"/>
        <n v="7504.5504"/>
        <n v="749.4528"/>
        <n v="1113.1824"/>
        <n v="1002.8664"/>
        <n v="932.0136"/>
        <n v="1699.6319999999998"/>
        <n v="1826.4432000000002"/>
        <n v="781.26"/>
        <n v="14930.870399999998"/>
        <n v="21357.6"/>
        <n v="15048.0"/>
        <n v="2291.232"/>
        <n v="1083.5328"/>
        <n v="13.919999999999998"/>
        <n v="31695.839999999997"/>
        <n v="28264.56"/>
        <n v="23476.079999999998"/>
        <n v="42123.312000000005"/>
        <n v="45150.912000000004"/>
        <n v="30831.408"/>
        <n v="37345.968"/>
        <n v="16351.5456"/>
        <n v="13578.264000000001"/>
        <n v="530.3520000000001"/>
        <n v="20922.3168"/>
        <n v="1180.416"/>
        <n v="1016.16"/>
        <n v="258.912"/>
        <n v="183598.164"/>
        <n v="27056.304000000004"/>
        <n v="38227.104"/>
        <n v="23123.904000000002"/>
        <n v="66847.1808"/>
        <n v="6980.184"/>
        <n v="6038.496"/>
        <n v="5837.352000000001"/>
        <n v="2236.248"/>
        <n v="3304.2599999999998"/>
        <n v="3961.7712"/>
        <n v="1044.0"/>
        <n v="4396.284"/>
        <n v="5828.651999999999"/>
        <n v="2492.376"/>
        <n v="3719.424"/>
        <n v="2868.2160000000003"/>
        <n v="3628.9440000000004"/>
        <n v="640.1808"/>
        <n v="7378.992"/>
        <n v="1408.008"/>
        <n v="2674.9368"/>
        <n v="3906.5087999999996"/>
        <n v="1190.856"/>
        <n v="65.8416"/>
        <n v="171.7728"/>
        <n v="112.05600000000001"/>
        <n v="647.976"/>
        <n v="5521.368"/>
        <n v="622.2239999999999"/>
        <n v="44.8224"/>
        <n v="497.988"/>
        <n v="164.60399999999998"/>
        <n v="16895.748"/>
        <n v="5992.907999999999"/>
      </sharedItems>
    </cacheField>
    <cacheField name="Bs LPL/26" numFmtId="0">
      <sharedItems containsString="0" containsBlank="1" containsNumber="1">
        <m/>
        <n v="0.0"/>
        <n v="1227.1871999999998"/>
        <n v="330.7392"/>
        <n v="495.1344"/>
        <n v="1670.4"/>
        <n v="320.16"/>
        <n v="153.11999999999998"/>
        <n v="187.92000000000002"/>
        <n v="33.408"/>
        <n v="75.168"/>
        <n v="141.1488"/>
        <n v="50.0424"/>
        <n v="913.2216000000001"/>
        <n v="97.44"/>
        <n v="7465.435199999999"/>
        <n v="5339.4"/>
        <n v="9240.0"/>
        <n v="2291.232"/>
        <n v="5996.5968"/>
        <n v="812.6496"/>
        <n v="13.919999999999998"/>
        <n v="19017.504"/>
        <n v="14132.28"/>
        <n v="10564.235999999999"/>
        <n v="10530.828000000001"/>
        <n v="15050.304"/>
        <n v="14938.387200000001"/>
        <n v="13578.264000000001"/>
        <n v="265.17600000000004"/>
        <n v="472.1664"/>
        <n v="609.696"/>
        <n v="215.76"/>
        <n v="76499.235"/>
        <n v="4086.1464000000005"/>
        <n v="348.0"/>
        <n v="2930.8559999999998"/>
        <n v="5828.651999999999"/>
        <n v="2492.376"/>
        <n v="929.856"/>
        <n v="2868.2160000000003"/>
        <n v="2721.708"/>
        <n v="3689.496"/>
        <n v="281.6016"/>
        <n v="3906.5087999999996"/>
        <n v="952.6848"/>
        <n v="32.9208"/>
        <n v="171.7728"/>
        <n v="56.028000000000006"/>
        <n v="388.78560000000004"/>
        <n v="5521.368"/>
        <n v="248.88959999999997"/>
        <n v="22.4112"/>
        <n v="199.1952"/>
        <n v="65.8416"/>
        <n v="56.376"/>
      </sharedItems>
    </cacheField>
    <cacheField name="Bs LAM/26" numFmtId="0">
      <sharedItems containsString="0" containsBlank="1" containsNumber="1">
        <m/>
        <n v="0.0"/>
        <n v="66497.5104"/>
        <n v="440.9856"/>
        <n v="284.2464"/>
        <n v="495.1344"/>
        <n v="6337.776"/>
        <n v="6.1248"/>
        <n v="1002.8664"/>
        <n v="932.0136"/>
        <n v="100.0848"/>
        <n v="1826.4432000000002"/>
        <n v="781.26"/>
        <n v="2895.4991999999997"/>
        <n v="17798.0"/>
        <n v="48044.88"/>
        <n v="19192.4784"/>
        <n v="22436.255999999998"/>
        <n v="3398.7072"/>
        <n v="1354.416"/>
        <n v="462.4224"/>
        <n v="13.919999999999998"/>
        <n v="28526.255999999998"/>
        <n v="14132.28"/>
        <n v="10564.235999999999"/>
        <n v="21061.656000000003"/>
        <n v="45150.912000000004"/>
        <n v="685.1424"/>
        <n v="4979.4624"/>
        <n v="530.3520000000001"/>
        <n v="2802.096"/>
        <n v="2360.832"/>
        <n v="1524.24"/>
        <n v="172.608"/>
        <n v="61199.388"/>
        <n v="27056.304000000004"/>
        <n v="19113.552"/>
        <n v="32646.2976"/>
        <n v="5805.475200000001"/>
        <n v="6980.184"/>
        <n v="6038.496"/>
        <n v="4669.881600000001"/>
        <n v="2236.248"/>
        <n v="3304.2599999999998"/>
        <n v="2641.1808"/>
        <n v="1392.0"/>
        <n v="5861.7119999999995"/>
        <n v="9714.419999999998"/>
        <n v="2492.376"/>
        <n v="1859.712"/>
        <n v="2868.2160000000003"/>
        <n v="3628.9440000000004"/>
        <n v="1920.5423999999998"/>
        <n v="7378.992"/>
        <n v="10918.152"/>
        <n v="1408.008"/>
        <n v="2674.9368"/>
        <n v="1190.856"/>
        <n v="65.8416"/>
        <n v="171.7728"/>
        <n v="168.084"/>
        <n v="647.976"/>
        <n v="5521.368"/>
        <n v="622.2239999999999"/>
        <n v="44.8224"/>
        <n v="497.988"/>
        <n v="164.60399999999998"/>
        <n v="56.376"/>
      </sharedItems>
    </cacheField>
    <cacheField name="Bs LR/26" numFmtId="0">
      <sharedItems containsString="0" containsBlank="1" containsNumber="1">
        <m/>
        <n v="0.0"/>
        <n v="4039.3056"/>
        <n v="903.1296"/>
        <n v="220.4928"/>
        <n v="2604.7104"/>
        <n v="284.2464"/>
        <n v="419.2704"/>
        <n v="38.4192"/>
        <n v="304.152"/>
        <n v="495.1344"/>
        <n v="237.96239999999997"/>
        <n v="449.0592"/>
        <n v="208.8"/>
        <n v="223.2072"/>
        <n v="10406.591999999999"/>
        <n v="3904.56"/>
        <n v="3040.1279999999997"/>
        <n v="180.612"/>
        <n v="448.224"/>
        <n v="214.368"/>
        <n v="55.67999999999999"/>
        <n v="155.904"/>
        <n v="35824.0944"/>
        <n v="8.6304"/>
        <n v="4.5935999999999995"/>
        <n v="3.3407999999999998"/>
        <n v="3580.6416000000004"/>
        <n v="8250.2448"/>
        <n v="2184.6048"/>
        <n v="975.5831999999999"/>
        <n v="292.0416"/>
        <n v="1002.8664"/>
        <n v="932.0136"/>
        <n v="234.20399999999998"/>
        <n v="133.5624"/>
        <n v="3399.2639999999997"/>
        <n v="3298.6223999999997"/>
        <n v="3114.1824"/>
        <n v="1866.1152"/>
        <n v="872.5752"/>
        <n v="2469.1295999999998"/>
        <n v="763.6512"/>
        <n v="1579.4328"/>
        <n v="512.0472"/>
        <n v="390.2472"/>
        <n v="212.7672"/>
        <n v="120.68639999999999"/>
        <n v="112.6824"/>
        <n v="56.2368"/>
        <n v="115.6752"/>
        <n v="163.56"/>
        <n v="48.72"/>
        <n v="59.7168"/>
        <n v="7465.435199999999"/>
        <n v="104737.83840000001"/>
        <n v="1650.0"/>
        <n v="1280.4312"/>
        <n v="2795.4144"/>
        <n v="11.136"/>
        <n v="9052.176000000001"/>
        <n v="22936.2624"/>
        <n v="1004.328"/>
        <n v="2920.2767999999996"/>
        <n v="1942.8839999999998"/>
        <n v="4984.752"/>
        <n v="6973.92"/>
        <n v="5736.432000000001"/>
        <n v="9072.36"/>
        <n v="23064.396"/>
        <n v="3200.904"/>
        <n v="1408.008"/>
        <n v="3109.0319999999997"/>
        <n v="329.20799999999997"/>
        <n v="171.7728"/>
        <n v="112.05600000000001"/>
        <n v="32.016"/>
        <n v="5732.256"/>
        <n v="56.376"/>
        <n v="278.4"/>
        <n v="64.032"/>
      </sharedItems>
    </cacheField>
    <cacheField name="Bs LN/26" numFmtId="0">
      <sharedItems containsString="0" containsBlank="1" containsNumber="1">
        <m/>
        <n v="0.0"/>
        <n v="9088.437600000001"/>
        <n v="1016.0208"/>
        <n v="551.232"/>
        <n v="284.2464"/>
        <n v="419.2704"/>
        <n v="43.221599999999995"/>
        <n v="448.224"/>
        <n v="990.2688"/>
        <n v="237.96239999999997"/>
        <n v="224.5296"/>
        <n v="104.4"/>
        <n v="74.4024"/>
        <n v="3762.576"/>
        <n v="8176.607999999999"/>
        <n v="5070.2208"/>
        <n v="135.72"/>
        <n v="180.612"/>
        <n v="48.024"/>
        <n v="168.432"/>
        <n v="55.67999999999999"/>
        <n v="122.496"/>
        <n v="71648.1888"/>
        <n v="8.6304"/>
        <n v="4.5935999999999995"/>
        <n v="3.3407999999999998"/>
        <n v="8951.604000000001"/>
        <n v="8250.2448"/>
        <n v="8243.2152"/>
        <n v="975.5831999999999"/>
        <n v="292.0416"/>
        <n v="1002.8664"/>
        <n v="932.0136"/>
        <n v="234.20399999999998"/>
        <n v="133.5624"/>
        <n v="1699.6319999999998"/>
        <n v="3298.6223999999997"/>
        <n v="3114.1824"/>
        <n v="1866.1152"/>
        <n v="872.5752"/>
        <n v="2469.1295999999998"/>
        <n v="763.6512"/>
        <n v="495.1344"/>
        <n v="512.0472"/>
        <n v="390.2472"/>
        <n v="212.7672"/>
        <n v="120.68639999999999"/>
        <n v="112.6824"/>
        <n v="56.2368"/>
        <n v="57.8376"/>
        <n v="7465.435199999999"/>
        <n v="4620.0"/>
        <n v="2560.8624"/>
        <n v="5996.5968"/>
        <n v="2795.4144"/>
        <n v="13.919999999999998"/>
        <n v="14452.440000000002"/>
        <n v="226.2"/>
        <n v="1392.0"/>
        <n v="657.7199999999999"/>
        <n v="8792.568"/>
        <n v="1942.8839999999998"/>
        <n v="4984.752"/>
        <n v="9298.56"/>
        <n v="5736.432000000001"/>
        <n v="3628.9440000000004"/>
        <n v="23064.396"/>
        <n v="3200.904"/>
        <n v="4919.328"/>
        <n v="1408.008"/>
        <n v="3109.0319999999997"/>
        <n v="928.7424"/>
        <n v="329.20799999999997"/>
        <n v="171.7728"/>
        <n v="112.05600000000001"/>
        <n v="32.016"/>
        <n v="5732.256"/>
        <n v="1435.152"/>
        <n v="56.376"/>
        <n v="278.4"/>
        <n v="96.048"/>
      </sharedItems>
    </cacheField>
    <cacheField name="Bs LAZ/26" numFmtId="0">
      <sharedItems containsString="0" containsBlank="1" containsNumber="1">
        <m/>
        <n v="0.0"/>
        <n v="10098.264000000001"/>
        <n v="1128.912"/>
        <n v="661.4784"/>
        <n v="284.2464"/>
        <n v="559.0272"/>
        <n v="48.023999999999994"/>
        <n v="640.3199999999999"/>
        <n v="495.1344"/>
        <n v="237.96239999999997"/>
        <n v="224.5296"/>
        <n v="104.4"/>
        <n v="74.4024"/>
        <n v="9291.599999999999"/>
        <n v="135.72"/>
        <n v="240.81599999999997"/>
        <n v="48.024"/>
        <n v="191.39999999999998"/>
        <n v="55.67999999999999"/>
        <n v="139.2"/>
        <n v="17912.0472"/>
        <n v="8.6304"/>
        <n v="4.5935999999999995"/>
        <n v="3.3407999999999998"/>
        <n v="8951.604000000001"/>
        <n v="2747.7384"/>
        <n v="975.5831999999999"/>
        <n v="292.0416"/>
        <n v="234.20399999999998"/>
        <n v="133.5624"/>
        <n v="1699.6319999999998"/>
        <n v="1866.1152"/>
        <n v="872.5752"/>
        <n v="763.6512"/>
        <n v="2007.4032000000002"/>
        <n v="212.7672"/>
        <n v="120.68639999999999"/>
        <n v="112.6824"/>
        <n v="112.4736"/>
        <n v="97.44"/>
        <n v="7465.435199999999"/>
        <n v="280000.0"/>
        <n v="3300.0"/>
        <n v="3841.2936"/>
        <n v="22436.255999999998"/>
        <n v="5996.5968"/>
        <n v="2795.4144"/>
        <n v="16.704"/>
        <n v="2872.1832"/>
        <n v="22630.440000000002"/>
        <n v="14452.440000000002"/>
        <n v="244.296"/>
        <n v="1392.0"/>
        <n v="657.7199999999999"/>
        <n v="8792.568"/>
        <n v="1942.8839999999998"/>
        <n v="4984.752"/>
        <n v="13947.84"/>
        <n v="5736.432000000001"/>
        <n v="3628.9440000000004"/>
        <n v="23064.396"/>
        <n v="3200.904"/>
        <n v="1408.008"/>
        <n v="3109.0319999999997"/>
        <n v="928.7424"/>
        <n v="329.20799999999997"/>
        <n v="171.7728"/>
        <n v="112.05600000000001"/>
        <n v="32.016"/>
        <n v="1435.152"/>
        <n v="56.376"/>
        <n v="278.4"/>
        <n v="160.08"/>
      </sharedItems>
    </cacheField>
    <cacheField name="Bs LB/26" numFmtId="0">
      <sharedItems containsString="0" containsBlank="1" containsNumber="1">
        <m/>
        <n v="0.0"/>
        <n v="10508.6256"/>
        <n v="903.1296"/>
        <n v="108.576"/>
        <n v="120.40799999999999"/>
        <n v="32.016"/>
        <n v="244.15679999999998"/>
        <n v="3.0624"/>
        <n v="1.1136"/>
        <n v="24.6384"/>
        <n v="3.7584000000000004"/>
        <n v="16.2864"/>
        <n v="100.0848"/>
        <n v="12.3888"/>
        <n v="14930.870399999998"/>
        <n v="12672.5592"/>
        <n v="417.59999999999997"/>
      </sharedItems>
    </cacheField>
    <cacheField name="Bs LCE/26" numFmtId="0">
      <sharedItems containsString="0" containsBlank="1" containsNumber="1">
        <m/>
        <n v="0.0"/>
        <n v="10508.6256"/>
        <n v="903.1296"/>
        <n v="495.1344"/>
        <n v="9604.800000000001"/>
        <n v="19874.28"/>
        <n v="108.576"/>
        <n v="120.40799999999999"/>
        <n v="27.839999999999996"/>
        <n v="16.2864"/>
        <n v="3580.6416000000004"/>
        <n v="7504.5504"/>
        <n v="374.7264"/>
        <n v="352.176"/>
        <n v="100.0848"/>
        <n v="14864.054399999999"/>
        <n v="1779.8"/>
        <n v="4454.9568"/>
        <n v="101670.56640000001"/>
        <n v="841.4639999999999"/>
      </sharedItems>
    </cacheField>
    <cacheField name="Bs LCA/26" numFmtId="0">
      <sharedItems containsString="0" containsBlank="1" containsNumber="1">
        <m/>
        <n v="0.0"/>
        <n v="451.5648"/>
        <n v="46.8408"/>
        <n v="11566.7544"/>
        <n v="16.2864"/>
        <n v="6.1944"/>
        <n v="7465.435199999999"/>
        <n v="2477.3424"/>
        <n v="208.79999999999998"/>
      </sharedItems>
    </cacheField>
    <cacheField name="Bs LV/26" numFmtId="0">
      <sharedItems containsString="0" containsBlank="1" containsNumber="1">
        <m/>
        <n v="0.0"/>
        <n v="495.1344"/>
        <n v="148.66559999999998"/>
        <n v="135.72"/>
        <n v="40.02"/>
        <n v="3.0624"/>
        <n v="46.8408"/>
        <n v="1.1136"/>
        <n v="24.6384"/>
        <n v="3.7584000000000004"/>
        <n v="17912.0472"/>
        <n v="11566.7544"/>
        <n v="254.8056"/>
        <n v="194.3232"/>
        <n v="858.6552"/>
        <n v="476.3424"/>
        <n v="3580.6416000000004"/>
        <n v="374.7264"/>
        <n v="352.176"/>
        <n v="100.0848"/>
        <n v="12.3888"/>
        <n v="5478.0"/>
        <n v="7424.928"/>
        <n v="3841.2936"/>
        <n v="4186.1616"/>
        <n v="4661.46"/>
        <n v="2665.0536"/>
        <n v="46637.56800000001"/>
        <n v="263.08799999999997"/>
        <n v="11676.444000000001"/>
        <n v="6110.0448"/>
        <n v="417.59999999999997"/>
      </sharedItems>
    </cacheField>
    <cacheField name="Bs. 2026" numFmtId="4">
      <sharedItems containsString="0" containsBlank="1" containsNumber="1">
        <n v="0.0"/>
        <n v="66497.5104"/>
        <n v="21017.2512"/>
        <n v="23226.0072"/>
        <n v="5305.8864"/>
        <n v="1227.1871999999998"/>
        <n v="2645.9136"/>
        <n v="2604.7104"/>
        <n v="1421.232"/>
        <n v="1397.568"/>
        <n v="129.66479999999999"/>
        <n v="1392.696"/>
        <n v="4456.2096"/>
        <n v="713.8871999999999"/>
        <n v="898.1184"/>
        <n v="417.6"/>
        <n v="372.012"/>
        <n v="9604.800000000001"/>
        <n v="19874.28"/>
        <n v="3762.576"/>
        <n v="28023.465599999996"/>
        <n v="11407.9968"/>
        <n v="3904.56"/>
        <n v="1670.4"/>
        <n v="3664.44"/>
        <n v="842.8559999999999"/>
        <n v="936.468"/>
        <n v="244.15679999999998"/>
        <n v="733.4448"/>
        <n v="187.92000000000002"/>
        <n v="167.04"/>
        <n v="93.6816"/>
        <n v="453.23519999999996"/>
        <n v="75.168"/>
        <n v="49.2768"/>
        <n v="7.516800000000001"/>
        <n v="27.839999999999996"/>
        <n v="2.2272"/>
        <n v="143296.3776"/>
        <n v="23133.5088"/>
        <n v="254.8056"/>
        <n v="194.3232"/>
        <n v="141.1488"/>
        <n v="48.8592"/>
        <n v="25.891199999999998"/>
        <n v="16.8432"/>
        <n v="13.7808"/>
        <n v="10.0224"/>
        <n v="858.6552"/>
        <n v="714.5136"/>
        <n v="28645.132800000003"/>
        <n v="16500.4896"/>
        <n v="10990.9536"/>
        <n v="2184.6048"/>
        <n v="15009.1008"/>
        <n v="2926.7495999999996"/>
        <n v="1498.9056"/>
        <n v="704.352"/>
        <n v="876.1248"/>
        <n v="1113.1824"/>
        <n v="4011.4656"/>
        <n v="3728.0544"/>
        <n v="702.612"/>
        <n v="400.68719999999996"/>
        <n v="450.3816"/>
        <n v="30.972"/>
        <n v="8498.16"/>
        <n v="6597.2447999999995"/>
        <n v="6228.3648"/>
        <n v="5598.3456"/>
        <n v="2617.7255999999998"/>
        <n v="4938.2591999999995"/>
        <n v="2290.9536"/>
        <n v="2007.4032000000002"/>
        <n v="1579.4328"/>
        <n v="1485.4032000000002"/>
        <n v="1024.0944"/>
        <n v="4566.108"/>
        <n v="780.4944"/>
        <n v="638.3016"/>
        <n v="1562.52"/>
        <n v="362.0592"/>
        <n v="338.0472"/>
        <n v="224.9472"/>
        <n v="173.5128"/>
        <n v="163.56"/>
        <n v="243.6"/>
        <n v="59.7168"/>
        <n v="56.2368"/>
        <n v="2895.4991999999997"/>
        <n v="67188.91679999999"/>
        <n v="280000.0"/>
        <n v="30013.956"/>
        <n v="46274.799999999996"/>
        <n v="152782.7184"/>
        <n v="39336.0"/>
        <n v="11879.8848"/>
        <n v="4582.464"/>
        <n v="11523.880799999999"/>
        <n v="19192.4784"/>
        <n v="44872.511999999995"/>
        <n v="4186.1616"/>
        <n v="17989.7904"/>
        <n v="4661.46"/>
        <n v="8386.2432"/>
        <n v="3398.7072"/>
        <n v="2665.0536"/>
        <n v="3250.5984"/>
        <n v="462.4224"/>
        <n v="83.52"/>
        <n v="2872.1832"/>
        <n v="101670.56640000001"/>
        <n v="79239.59999999999"/>
        <n v="56529.12"/>
        <n v="44604.551999999996"/>
        <n v="73715.796"/>
        <n v="105352.12800000001"/>
        <n v="31516.550399999996"/>
        <n v="57263.8176"/>
        <n v="16351.5456"/>
        <n v="58839.14400000001"/>
        <n v="1325.88"/>
        <n v="23724.4128"/>
        <n v="4013.4144"/>
        <n v="3150.096"/>
        <n v="647.28"/>
        <n v="841.4639999999999"/>
        <n v="321296.787"/>
        <n v="54112.60800000001"/>
        <n v="80276.9184"/>
        <n v="52028.78400000001"/>
        <n v="146131.04640000002"/>
        <n v="5805.475200000001"/>
        <n v="13960.368"/>
        <n v="12076.992"/>
        <n v="14593.380000000001"/>
        <n v="4472.496"/>
        <n v="6608.5199999999995"/>
        <n v="6602.952"/>
        <n v="1474.824"/>
        <n v="5568.0"/>
        <n v="4498.8048"/>
        <n v="11676.444000000001"/>
        <n v="6110.0448"/>
        <n v="30773.988"/>
        <n v="27200.375999999997"/>
        <n v="22431.384000000002"/>
        <n v="36729.312"/>
        <n v="25813.944000000003"/>
        <n v="26309.844"/>
        <n v="69193.188"/>
        <n v="12163.4352"/>
        <n v="23366.808"/>
        <n v="10918.152"/>
        <n v="7321.641600000001"/>
        <n v="5349.8736"/>
        <n v="7813.017599999999"/>
        <n v="3334.3968"/>
        <n v="9327.096"/>
        <n v="1857.4848"/>
        <n v="1152.228"/>
        <n v="1030.6368"/>
        <n v="672.336"/>
        <n v="96.048"/>
        <n v="11464.512"/>
        <n v="1684.7376000000002"/>
        <n v="16564.104"/>
        <n v="1493.3375999999998"/>
        <n v="112.05600000000001"/>
        <n v="1195.1712"/>
        <n v="395.0496"/>
        <n v="2870.304"/>
        <n v="1044.0"/>
        <n v="281.88"/>
        <n v="835.2"/>
        <n v="320.16"/>
        <n v="16895.748"/>
        <n v="5992.907999999999"/>
        <m/>
      </sharedItems>
    </cacheField>
    <cacheField name="Bs. Total" numFmtId="4">
      <sharedItems containsString="0" containsBlank="1" containsNumber="1">
        <n v="0.0"/>
        <n v="199492.5312"/>
        <n v="52543.128"/>
        <n v="50491.32"/>
        <n v="17550.892799999998"/>
        <n v="13737.3696"/>
        <n v="11997.648"/>
        <n v="13885.6176"/>
        <n v="10431.091199999999"/>
        <n v="6835.2768"/>
        <n v="5209.4208"/>
        <n v="7757.3376"/>
        <n v="3695.2032"/>
        <n v="3633.6768"/>
        <n v="364.9824"/>
        <n v="12012.8208"/>
        <n v="2817.408"/>
        <n v="191.6784"/>
        <n v="4819.6608"/>
        <n v="10397.822400000001"/>
        <n v="2141.6616"/>
        <n v="2694.3552"/>
        <n v="1461.6000000000001"/>
        <n v="1339.2432"/>
        <n v="9604.800000000001"/>
        <n v="39748.56"/>
        <n v="17307.8496"/>
        <n v="40808.7072"/>
        <n v="22815.9936"/>
        <n v="11713.68"/>
        <n v="3897.6"/>
        <n v="5238.7919999999995"/>
        <n v="2030.0928000000001"/>
        <n v="1685.7119999999998"/>
        <n v="1720.86"/>
        <n v="530.352"/>
        <n v="732.4703999999999"/>
        <n v="198.4992"/>
        <n v="930.9695999999999"/>
        <n v="385.23600000000005"/>
        <n v="192.096"/>
        <n v="271.7184"/>
        <n v="187.3632"/>
        <n v="540.096"/>
        <n v="161.61120000000003"/>
        <n v="98.5536"/>
        <n v="15.033600000000002"/>
        <n v="33.408"/>
        <n v="4.4544"/>
        <n v="179120.472"/>
        <n v="30243.705599999998"/>
        <n v="46267.0176"/>
        <n v="1783.6392"/>
        <n v="1360.2624"/>
        <n v="282.2976"/>
        <n v="48.8592"/>
        <n v="25.891199999999998"/>
        <n v="16.8432"/>
        <n v="13.7808"/>
        <n v="10.0224"/>
        <n v="20772.0"/>
        <n v="5028.6"/>
        <n v="12571.5"/>
        <n v="58053.6384"/>
        <n v="57066.8496"/>
        <n v="16314.4488"/>
        <n v="3572.568"/>
        <n v="262.392"/>
        <n v="289.88399999999996"/>
        <n v="89406.0024"/>
        <n v="66517.8336"/>
        <n v="85100.0"/>
        <n v="73089.1872"/>
        <n v="98467.64400000001"/>
        <n v="42616.079999999994"/>
        <n v="33000.9792"/>
        <n v="30225.1224"/>
        <n v="33189.804000000004"/>
        <n v="23616.950399999998"/>
        <n v="17476.8384"/>
        <n v="37522.752"/>
        <n v="13479.0144"/>
        <n v="10787.2344"/>
        <n v="11550.815999999999"/>
        <n v="14095.1832"/>
        <n v="3866.4192"/>
        <n v="5853.499199999999"/>
        <n v="7681.8912"/>
        <n v="4930.464"/>
        <n v="3212.4576"/>
        <n v="1542.8928"/>
        <n v="3339.5472"/>
        <n v="7020.0648"/>
        <n v="6524.0952"/>
        <n v="1405.224"/>
        <n v="801.3743999999999"/>
        <n v="850.7208"/>
        <n v="283.4808"/>
        <n v="101.75519999999999"/>
        <n v="216.804"/>
        <n v="31770.451200000003"/>
        <n v="18662.544"/>
        <n v="27784.8768"/>
        <n v="19461.7608"/>
        <n v="16996.32"/>
        <n v="13194.489599999999"/>
        <n v="12456.7296"/>
        <n v="13062.8064"/>
        <n v="6246.0432"/>
        <n v="7853.1768"/>
        <n v="12345.648"/>
        <n v="4581.9072"/>
        <n v="4014.8064000000004"/>
        <n v="3158.8656"/>
        <n v="3465.9408000000003"/>
        <n v="2830.4928"/>
        <n v="2048.1888"/>
        <n v="6392.551200000001"/>
        <n v="1560.9888"/>
        <n v="1489.3704"/>
        <n v="2343.7799999999997"/>
        <n v="724.1184"/>
        <n v="676.0944"/>
        <n v="449.8944"/>
        <n v="347.0256"/>
        <n v="327.12"/>
        <n v="633.36"/>
        <n v="165.36960000000002"/>
        <n v="135.9984"/>
        <n v="119.4336"/>
        <n v="112.4736"/>
        <n v="40.924800000000005"/>
        <n v="14477.496"/>
        <n v="1238.184"/>
        <n v="47847.912000000004"/>
        <n v="111981.52799999999"/>
        <n v="735000.0"/>
        <n v="134275.0"/>
        <n v="53459.4816"/>
        <n v="233727.7272"/>
        <n v="164082.0"/>
        <n v="123162.15999999999"/>
        <n v="305565.4368"/>
        <n v="39040.171200000004"/>
        <n v="35611.4664"/>
        <n v="64680.0"/>
        <n v="216807.8976"/>
        <n v="11166.972"/>
        <n v="21742.344"/>
        <n v="6084.4"/>
        <n v="13747.392"/>
        <n v="400.0"/>
        <n v="179.98559999999998"/>
        <n v="11523.880799999999"/>
        <n v="38384.9568"/>
        <n v="44872.511999999995"/>
        <n v="17529.595199999996"/>
        <n v="88451.16"/>
        <n v="54420.10080000001"/>
        <n v="9528.518399999999"/>
        <n v="53969.3712"/>
        <n v="55937.520000000004"/>
        <n v="55695.312"/>
        <n v="24648.143999999997"/>
        <n v="14853.753599999998"/>
        <n v="27954.144"/>
        <n v="13528.569599999999"/>
        <n v="19551.4056"/>
        <n v="11597.448"/>
        <n v="11526.316799999999"/>
        <n v="11425.536"/>
        <n v="11066.400000000001"/>
        <n v="10820.2248"/>
        <n v="10221.804"/>
        <n v="7480.4688"/>
        <n v="7273.339199999999"/>
        <n v="10490.112"/>
        <n v="10196.121599999999"/>
        <n v="7995.160800000001"/>
        <n v="4690.4832"/>
        <n v="4670.786400000001"/>
        <n v="4321.7424"/>
        <n v="7313.846399999999"/>
        <n v="3992.256"/>
        <n v="2947.6295999999998"/>
        <n v="2791.2384"/>
        <n v="2543.3232"/>
        <n v="3292.2192"/>
        <n v="3222.6191999999996"/>
        <n v="1037.6664"/>
        <n v="713.2607999999999"/>
        <n v="559.6536"/>
        <n v="130.2912"/>
        <n v="83.52"/>
        <n v="2872.1832"/>
        <n v="26302.2576"/>
        <n v="7056.0"/>
        <n v="4347.0"/>
        <n v="3136.0"/>
        <n v="3008.0"/>
        <n v="2540.0"/>
        <n v="2496.0"/>
        <n v="2412.0"/>
        <n v="2068.0"/>
        <n v="1318.5024"/>
        <n v="1206.0"/>
        <n v="1164.8256000000001"/>
        <n v="1008.0"/>
        <n v="840.0"/>
        <n v="385.8624"/>
        <n v="273.9456"/>
        <n v="144.0"/>
        <n v="138.0"/>
        <n v="624676.1472"/>
        <n v="101670.56640000001"/>
        <n v="387640.1232"/>
        <n v="315715.1352"/>
        <n v="300024.3024"/>
        <n v="147431.592"/>
        <n v="213714.3168"/>
        <n v="78106.23359999999"/>
        <n v="154363.33440000002"/>
        <n v="115718.6304"/>
        <n v="33844.74"/>
        <n v="43106.3424"/>
        <n v="40307.8656"/>
        <n v="222683.5296"/>
        <n v="18517.08"/>
        <n v="14303.774399999998"/>
        <n v="13151.616000000002"/>
        <n v="17369.028000000002"/>
        <n v="157477.7952"/>
        <n v="8026.8288"/>
        <n v="2829.24"/>
        <n v="8840.592"/>
        <n v="1144.2240000000002"/>
        <n v="928.464"/>
        <n v="2017.356"/>
        <n v="5461.3728"/>
        <n v="1468785.312"/>
        <n v="106346.43000000001"/>
        <n v="23347.5"/>
        <n v="2885.2999999999997"/>
        <n v="354738.14999999997"/>
        <n v="944581.968"/>
        <n v="141430.68000000002"/>
        <n v="173933.32319999998"/>
        <n v="162445.42560000002"/>
        <n v="525449.9328000001"/>
        <n v="50959.171200000004"/>
        <n v="33181.8"/>
        <n v="78818.52"/>
        <n v="29240.351999999995"/>
        <n v="31410.828"/>
        <n v="27913.776"/>
        <n v="25965.5328"/>
        <n v="19263.2616"/>
        <n v="11181.240000000002"/>
        <n v="13877.892"/>
        <n v="14526.4944"/>
        <n v="3583.008"/>
        <n v="23496.96"/>
        <n v="1305.0"/>
        <n v="252.9264"/>
        <n v="10707.6816"/>
        <n v="34610.5488"/>
        <n v="187893.6912"/>
        <n v="107512.0944"/>
        <n v="2833.068"/>
        <n v="2456.4624"/>
        <n v="1236.444"/>
        <n v="1227.048"/>
        <n v="417.6"/>
        <n v="128.064"/>
        <n v="61.944"/>
        <n v="1548.0432"/>
        <n v="1095.3648"/>
        <n v="81231.1344"/>
        <n v="81735.10800000001"/>
        <n v="56310.576"/>
        <n v="97760.7168"/>
        <n v="89391.108"/>
        <n v="66058.056"/>
        <n v="59817.024000000005"/>
        <n v="35644.8048"/>
        <n v="70669.056"/>
        <n v="32380.4256"/>
        <n v="54496.10400000001"/>
        <n v="53345.476800000004"/>
        <n v="161450.772"/>
        <n v="25871.4336"/>
        <n v="14003.7984"/>
        <n v="13585.2936"/>
        <n v="24967.051199999998"/>
        <n v="40584.456000000006"/>
        <n v="76427.064"/>
        <n v="14643.283200000002"/>
        <n v="6095.0112"/>
        <n v="21399.4944"/>
        <n v="36867.676799999994"/>
        <n v="6668.7936"/>
        <n v="21763.224"/>
        <n v="4643.7119999999995"/>
        <n v="2537.616"/>
        <n v="1355.5296"/>
        <n v="2304.456"/>
        <n v="1889.5007999999998"/>
        <n v="960.48"/>
        <n v="1344.672"/>
        <n v="608.4432"/>
        <n v="288.144"/>
        <n v="15780.8256"/>
        <n v="11464.512"/>
        <n v="33589.5168"/>
        <n v="14869.9008"/>
        <n v="8034.9024"/>
        <n v="310.8336"/>
        <n v="7620.6432"/>
        <n v="71568.7056"/>
        <n v="33128.208"/>
        <n v="11541.768000000002"/>
        <n v="7248.0744"/>
        <n v="2986.6751999999997"/>
        <n v="2390.3424"/>
        <n v="7088.064"/>
        <n v="790.0992"/>
        <n v="171.7728"/>
        <n v="76.8384"/>
        <n v="10071.676800000001"/>
        <n v="10046.064"/>
        <n v="3340.7999999999997"/>
        <n v="2420.4096"/>
        <n v="563.76"/>
        <n v="1670.4"/>
        <n v="640.32"/>
        <n v="67582.992"/>
        <n v="23971.631999999998"/>
        <n v="10958.659200000002"/>
        <n v="10908.268800000002"/>
        <n v="3871.5"/>
        <n v="57014.719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3:BC114" sheet="Rep Ovh Bal"/>
  </cacheSource>
  <cacheFields>
    <cacheField name="Tipo de trabajo" numFmtId="0">
      <sharedItems containsBlank="1">
        <s v="OVH balancines TRM"/>
        <s v="OVH Bombas de reductores principales"/>
        <s v="OVH Frenos de Servicio"/>
        <m/>
      </sharedItems>
    </cacheField>
    <cacheField name="Tipo de Bien" numFmtId="0">
      <sharedItems containsBlank="1">
        <s v="Repuesto Mecánico"/>
        <s v="Repuesto Eléctrico"/>
        <m/>
      </sharedItems>
    </cacheField>
    <cacheField name="TDB/LOCAL" numFmtId="0">
      <sharedItems containsBlank="1">
        <s v="TDB"/>
        <m/>
      </sharedItems>
    </cacheField>
    <cacheField name="Partida" numFmtId="49">
      <sharedItems containsBlank="1">
        <s v="39800"/>
        <s v="39700"/>
        <m/>
      </sharedItems>
    </cacheField>
    <cacheField name="ID TDB o ID Almacén" numFmtId="49">
      <sharedItems containsBlank="1">
        <s v="2-01-00844"/>
        <s v="2-01-00340"/>
        <s v="2-01-00124"/>
        <s v="2-01-00125"/>
        <s v="2-01-00487"/>
        <s v="2-01-00128"/>
        <s v="2-01-00488"/>
        <s v="2-01-00035"/>
        <s v="2-01-00036"/>
        <s v="2-01-00489"/>
        <s v="2-01-00129"/>
        <s v="2-01-00835"/>
        <s v="2-02-00105"/>
        <s v="2-01-00130"/>
        <s v="2-01-00131"/>
        <s v="2-01-00406"/>
        <s v="2-01-00289"/>
        <s v="2-01-00299"/>
        <s v="2-01-00490"/>
        <s v="2-01-00491"/>
        <s v="2-01-00940"/>
        <s v="2-01-00257"/>
        <s v="2-01-00408"/>
        <s v="2-01-00438"/>
        <s v="2-01-00262"/>
        <s v="2-01-00014"/>
        <m/>
        <s v="2-01-00858"/>
        <s v="2-01-00439"/>
        <s v="2-01-00860"/>
        <s v="2-01-00869"/>
        <s v="2-02-00335"/>
        <s v="2-02-00334"/>
        <s v="2-02-00333"/>
        <s v="2-02-00337"/>
        <s v="2-02-00332"/>
        <s v="2-01-00493"/>
        <s v="2-01-00871"/>
        <s v="2-01-00011"/>
        <s v="2-01-00012"/>
        <s v="2-01-00042"/>
        <s v="2-01-00976"/>
        <s v="2-01-00495"/>
        <s v="2-01-00261"/>
        <s v="2-01-00295"/>
        <s v="2-01-00077"/>
        <s v="2-01-00084"/>
        <s v="2-01-00141"/>
        <s v="2-01-00509"/>
        <s v="2-01-00263"/>
        <s v="2-01-00013"/>
        <s v="2-01-00506"/>
        <s v="2-01-00543"/>
        <s v="2-01-00510"/>
        <s v="2-01-00147"/>
        <s v="2-01-00264"/>
        <s v="2-01-00050"/>
        <s v="2-01-00570"/>
        <s v="2-01-00589"/>
        <s v="2-01-00294"/>
        <s v="2-01-00600"/>
        <s v="2-01-00044"/>
        <s v="2-01-00045"/>
        <s v="2-01-00511"/>
        <s v="1-01-00378"/>
        <s v="2-01-00840"/>
        <s v="1-01-00159"/>
        <s v="2-01-00512"/>
        <s v="2-01-00574"/>
        <s v="2-01-00148"/>
        <s v="2-01-00941"/>
        <s v="2-01-00514"/>
        <s v="2-01-00515"/>
        <s v="2-01-00516"/>
        <s v="2-01-00520"/>
        <s v="2-01-00523"/>
        <s v="2-01-00501"/>
        <s v="2-01-00499"/>
        <s v="2-01-00498"/>
        <s v="2-01-00674"/>
        <s v="2-01-00497"/>
        <s v="2-01-00571"/>
        <s v="2-01-00843"/>
        <s v="2-01-00977"/>
        <s v="2-01-00846"/>
        <s v="2-01-00848"/>
        <s v="2-01-00850"/>
        <s v="2-01-00851"/>
        <s v="2-01-00992"/>
        <s v="2-01-00945"/>
        <s v="2-01-00852"/>
        <s v="2-01-00854"/>
        <s v="2-01-00946"/>
        <s v="2-01-01265"/>
        <s v="2-01-00880"/>
        <s v="2-01-01014"/>
      </sharedItems>
    </cacheField>
    <cacheField name="ID Cotizado" numFmtId="49">
      <sharedItems containsBlank="1">
        <s v="10000080"/>
        <s v="10000082"/>
        <s v="10000084"/>
        <s v="10000085"/>
        <s v="10000338"/>
        <s v="10000343"/>
        <s v="10000381"/>
        <s v="10000400"/>
        <s v="10000409"/>
        <s v="10004958"/>
        <s v="10004961"/>
        <s v="10006287"/>
        <s v="10006291"/>
        <s v="10007419"/>
        <s v="10046154"/>
        <s v="10075741"/>
        <s v="10083913"/>
        <s v="10083926"/>
        <s v="10083934"/>
        <s v="10083935"/>
        <s v="10087005"/>
        <s v="10096799"/>
        <s v="10096801"/>
        <s v="10167525"/>
        <s v="10183056"/>
        <s v="10186109"/>
        <s v="10245633"/>
        <s v="10252061"/>
        <s v="10262938"/>
        <s v="10288696"/>
        <s v="10293344"/>
        <s v="10295381"/>
        <s v="10302024"/>
        <s v="10302026"/>
        <s v="10302028"/>
        <s v="10302030"/>
        <s v="10302032"/>
        <s v="10389587"/>
        <s v="10420185"/>
        <s v="10431740"/>
        <s v="10434107"/>
        <s v="10456209"/>
        <s v="10456214"/>
        <s v="10482959"/>
        <s v="10487980"/>
        <s v="10488001"/>
        <s v="10494137"/>
        <s v="10501989"/>
        <s v="10501992"/>
        <s v="10510857"/>
        <s v="10531093"/>
        <s v="10535780"/>
        <s v="10538144"/>
        <s v="10539289"/>
        <s v="10566988"/>
        <s v="10688217"/>
        <s v="10693755"/>
        <s v="10693756"/>
        <s v="10752990"/>
        <s v="10796747"/>
        <s v="10834216"/>
        <s v="10834428"/>
        <s v="10870308"/>
        <s v="10870719"/>
        <s v="10871370"/>
        <s v="10871377"/>
        <s v="10871605"/>
        <s v="10872696"/>
        <s v="10873673"/>
        <s v="10946774"/>
        <s v="11136880"/>
        <s v="11136923"/>
        <s v="11136925"/>
        <s v="11136966"/>
        <s v="11137005"/>
        <s v="11137015"/>
        <s v="11163460"/>
        <s v="11185338"/>
        <s v="11185341"/>
        <s v="11185351"/>
        <s v="11316799"/>
        <s v="11424367"/>
        <s v="11424994"/>
        <s v="11430217"/>
        <s v="11430340"/>
        <s v="11430347"/>
        <s v="11430348"/>
        <s v="11430350"/>
        <s v="11430351"/>
        <s v="11446176"/>
        <s v="11452546"/>
        <s v="11544852"/>
        <s v="11544869"/>
        <s v="11544933"/>
        <s v="11544947"/>
        <s v="11544948"/>
        <s v="11544995"/>
        <s v="11544996"/>
        <s v="11545032"/>
        <s v="11545033"/>
        <s v="11545040"/>
        <s v="11545051"/>
        <s v="11545052"/>
        <s v="11545062"/>
        <s v="11805532"/>
        <s v="11404324"/>
        <s v="11539659"/>
        <s v="10514554"/>
        <s v="10514556"/>
        <m/>
      </sharedItems>
    </cacheField>
    <cacheField name="Descripción del Bien" numFmtId="165">
      <sharedItems containsBlank="1">
        <s v=" TUERCA HEXAGONAL DIN 985-8 M12, GALVANIZADA (C.ELEM.DE FIJ.)"/>
        <s v=" TUERCA HEX. DIN 985-8 M16 ELECTROGALVAN. (C.ELEM.DE FIJAC.)"/>
        <s v=" TUERCA HEXAG. DIN 985-8 M24 GALVANIZADA (CON ELEM. DE FIJ.)"/>
        <s v=" TUERCA HEXAG. DIN 985-8 M30 GALVANIZADO (C.ELEM.DE FIJACION)"/>
        <s v=" ANILLO RETEN.  DIN 471  85X3,0 FOSFAT."/>
        <s v=" ANILLO RETEN. DIN 471 100X3    FOSFAT."/>
        <s v=" CIRCLIP INTER.  DIN 472  52X2  FOSFAT."/>
        <s v=" CIRCLIP INTER. DIN 472  80X2,5 FOSFAT."/>
        <s v=" CIRCLIP INTER.  DIN 472 110X4  FOSFAT."/>
        <s v=" TORNILLO TENSILOCK CL. 90 M10X20 T.CON DIENTES DE PARADA RLZ"/>
        <s v=" TORNILLO TENSILOCK CL. 100 M12X30 T. DIENTES DE PARADA RLZ"/>
        <s v=" RES.C. A=1,00/DIA.7,0/LSC=20,0 EE=  7,5; RES.DE COMPR.DIN2095"/>
        <s v=" CONECTOR HEMBRA DIA.7  L=38    P.INTERRUPTOR HORQUILLA"/>
        <s v=" TORNILLO TENSILOCK CL. 100 M16X40 T.DIENTES DE PARADA RLZ"/>
        <s v=" ARANDELA SEGUR.  NORDLOCK NL16 RECUB.DE LAMINILLAS DE CINC"/>
        <s v=" ARANDELA DIST. DIÁ.51,5/14 E=12,5 P.POLEA C-C, ENSAYO FINAL"/>
        <s v=" CASQUILLO PM 3030 DS  TIPO: KW SIN AGUJ.DE ENGRASE    GLACIER"/>
        <s v=" CASQUILLO PM 6040 DS   TIPO KW SIN AGUJ.DE ENGRASE    GLACIER"/>
        <s v=" CASQUILLO PM 90100 DS  TIPO KW SIN AGUJ.DE ENGRASE    GLACIER"/>
        <s v=" CASQUILLO PM 100115 DS TIPO KW SIN AGUJ.DE ENGRASE    GLACIER"/>
        <s v=" TORNILLO  DIN7984- 8.8 M12X 30 DE CABEZA CILÍNDRICA, GALV."/>
        <s v=" ANILLO ELÁSTICO  393,5X 6,3    CON RECUBRIMIENTO DELTA-TONE"/>
        <s v=" ANILLO MUELLE 194,8X 5,0       CON RECUBRIMIENTO DELTA-TONE"/>
        <s v=" CASQUILLO DISTANC. 34/25 L= 45 CAQUILLO DISTANCIADOR"/>
        <s v=" CASQUILLO PM 5540 DS  TIPO: KW SIN AGUJ.DE ENGRASE    GLACIER"/>
        <s v=" CUERPO DE POLEA 501 400X130    "/>
        <s v=" TORNILLO TENSILOCK CL.90 M16X25 T.CON DIENTE, REV.LAM.DE ZINC"/>
        <s v=" TUERCA AUTOFIJ.  INLOC - 8 M24 C.ELEM.DE FIJAC. ~DIN934 GALV."/>
        <s v=" ARANDELA SEGUR.  NORDLOCK NL12 RECUB.DE LAMINILLAS DE CINC"/>
        <s v=" BULÓN DIA.24,9 LN 148 M20      PARA POLEA TIPO C/401(&gt;1970)"/>
        <s v=" PERNO DIA.29,9  L 225 M24      PARA POLEA TIPO 501"/>
        <s v=" RACOR DE ENGRASE A 12X1,0  DIN71412 CÓNICO RECTO"/>
        <s v=" CABLE DE CONEX.RPD 4M KDKS AMARILLO CON ENCHUFE INYECTADO Y"/>
        <s v=" CABLE DE CONEX.RPD 6M KDKS AMARILLO CON ENCHUFE INYECTADO Y"/>
        <s v=" CABLE CONECTOR RPD 8M KDKS AMARILLO CON CONECTOR INTEGRADO +"/>
        <s v=" CABLE DE CONEX.RPD 10M KDKS AMARILLO CON ENCHUFE INYECTADO Y"/>
        <s v=" CABLE CONEX. RPD 12,0M LDKS AMARILLO C. ENCHUFE INYECTADO Y"/>
        <s v=" CASQUILLO PM 4040 DS  TIPO: KW SIN AGUJ.DE ENGRASE    GLACIER"/>
        <s v=" ROD.RA.BOLAS  DIN 625/1- 6205-2RS-C3 LT VT210 (TTF 90% +/-5%)"/>
        <s v=" GUARN.DE GOMA  501 485X100/R40 "/>
        <s v=" GUARN.DE GOMA  420 422X 93/R34 "/>
        <s v=" PERNO DIA.24,9 LN 192 M20      PARA POLEA TIPO 420C"/>
        <s v=" BULÓN DIA.40,0 LN 347 M24      P.2CP EN BAST.DE 4P. TIPO-420C"/>
        <s v=" BULÓN DIA.50,0 LN 388 M30      P.BÁSC.DE 2 EN BAST.DE 4P.501C"/>
        <s v=" CASQUILLO PM 7580 DS   TIPO KW SIN AGUJ.DE ENGRASE    GLACIER"/>
        <s v=" CASQUILLO PM 9080 DS  TIPO: KW SIN AGUJERO DE ENGRASE GLACIER"/>
        <s v=" CASQUILLO PM 8580 DS   TIPO KW SIN AGUJ.DE ENGRASE    GLACIER"/>
        <s v=" RRB DIN 625/1- 6310-2RS1-C3GLE VT210 (90% +/-5%)ROD.RAN.BOLAS"/>
        <s v=" RRB DIN 625/1- 6307-2RS1-C3GLE VT210 (90% +/-5%)ROD.RAN.BOLAS"/>
        <s v=" TORNILLO TENSILOCK CL.90 M16X35 T.CON DIENTE, RV.LAM.DE ZINC"/>
        <s v=" BULÓN DIA. 20,0 LN 193 M16 P.BÁSCULA POLEA SENS.EN BRAZO OSC."/>
        <s v=" TORNILLO DIN7984-8.8 M12X20, TORN.CIL., GALVAN."/>
        <s v=" ARAND.DIST. DIÁ.120/86 E=1,5 ARANDELA DISTANCIADOR"/>
        <s v=" GUARN. GOMA C 258X69/R30/CONCAV.P.POL.SENSOR (RPD EN CP SUJ.)"/>
        <s v=" ARAND.DIST. DIA.110/75,5 E=1,5 ARANDELA DISTANCIADORA"/>
        <s v=" ARAND.DIST. DIA.80/56,0 E= 1,0 ARANDELA DISTANCIADORA"/>
        <s v=" ARAND.DIST.DIA.90 / 60,5 E=1,0 ARANDELA DISTANCIADORA"/>
        <s v=" ARAND.DIST.DIA.90 / 60,5 E=4,0 ARANDELA DISTANCIADORA"/>
        <s v=" NIPLE ENGRASE M10X1 H1 RES.RESF. NIPLE CÓNICO DE ENGRASE 0°"/>
        <s v=" TUERCA AUTOFIJ.  INLOC - 8 M20 C.ELEM.DE FIJAC. ~DIN934 GALV."/>
        <s v=" ANILLO DIST. DIÁ.68/50 E=23,5 P. POLEA 501 GALV.+AMARILLO"/>
        <s v=" ANILLO DIST. DIÁ.57/35 E=18,5 P. POLEA 420C GALV.+AMARILLO"/>
        <s v=" POLEA        501C CL100 DIA525 C.LAMINILLAS EMP.,RRB ESP.,PAC"/>
        <s v=" POLEA       420C LW 93 DIA.455 C.LAMINILLAS EMP.,RRB ESP.,PAC"/>
        <s v=" ARANDELA OBTURAD.-Z010F 50X 80 DISEÑO ESPEC. DE LA SUPERFICIE"/>
        <s v=" LAMINILLA EMPAQUE.Z212F 60X110 SUPERFICIE DE EJECUC.ESPECIAL"/>
        <s v=" ARANDELA ISO 7089 M24 300HV, FLZNNC-720H-L, REV.LAM.ZINC S.C."/>
        <s v=" ARANDELA DIN 7349-17 300HV, FLZNNC-720H-L, REV.DE ZINC LAM."/>
        <s v=" ARANDELA ISO 7089 M20 300HV, FLZNNC-720H-L, REV.L.ZINC SIN CH"/>
        <s v=" BALANCÍN DE 2 POL. TIPO C AC.60 DP=572 P. POLEA SENSOR 420C"/>
        <s v=" TUERCA HEXAG. ISO 4032-8 M16 GIC"/>
        <s v=" TUERCA HEXAG. ISO 4032-8 M24 GIC"/>
        <s v=" TUERCA HEXAG. ISO 4032-8 M27 GIC"/>
        <s v=" TORNILLO DIN931-8.8U M16X65, GIC, TORN.HEX., GIC (ISO 4014)"/>
        <s v=" TORNILLO DIN933-8.8U M12X45 GIC, TORN.HEX., GIC (ISO 4017)"/>
        <s v=" TORNILLO ISO 4017-8.8 M16X45 GIC TORN. HEXAG."/>
        <s v=" CONECTADOR ENCHUF. 2,5-6,0MM2 PV-C3M-S 2,5-6 (-)"/>
        <s v=" TORNILLO ISO 4014-8.8U M27X500 ESP. FVZ TORN.HEX. GALV.INM.CA"/>
        <s v=" TORNILLO ISO 4014-8.8U M27X580 ESP. FVZ TORN.HEX. GALV.INM.CA"/>
        <s v=" TORNILLO ISO 4017-8.8U M16X75 GIC TORN. HEXAG."/>
        <s v=" TORNILLO ISO 4014-8.8U M24X470 FVZ TORN.HEX. GALV.INM.CALIEN."/>
        <s v=" ARANDELA ISO 7089 M27 300HV, FLZNNC-720H-L, REV.L.ZN SIN BIS."/>
        <s v=" ARANDELA DIN 7349-31 300HSFG, FLZNNC-720H-L, R.L.ZN SIN BISEL"/>
        <s v=" BULÓN DIÁ 40H8 L=222, COJINETE P. BRAZO GIR. 4P/2PG CP 420C"/>
        <s v=" TUBO DIST. DIÁ=30/20.2 L=126, P. BÁSCULA P. SENS. EN BRAZO GI"/>
        <s v=" TUBO DISTANCIADOR DIÁ.60/50,2 L=245"/>
        <s v=" TUBO DIST. DIÁ 35/25 L=140, TUBO DIST. P. POLEA 420C"/>
        <s v=" TUBO DISTANCIADOR DIÁ.55/40,2 L=220"/>
        <s v=" CASQUILLO DIST. DIÁ50/30 L=160"/>
        <s v=" SOPORTE DE EJE P. DIÁ 55 Y DIÁ 75 AJUSTABLE PROT.CONTRA TORS."/>
        <s v=" SOPORTE DE EJE P. DIÁ.75       PROT. CONTRA PÉRDIDA"/>
        <s v=" BULÓN DIÁ 60H8 NL=761 M30 P. CP 2P EN ARMAZÓN 6P 501C"/>
        <s v=" EJE DIÁ85H8 LN=798 M16 AGP P. BAL. 4 POL. EN CONOSLA 501C"/>
        <s v=" BULÓN DIÁ 85H8 NL=684 M16 ROS P. CP 4P EN ARM. 6/8P 501C"/>
        <s v=" BULÓN DIÁ 85H8 LN=478 P. APOYO CP 6 Y 8 TIPO 501C"/>
        <s v=" EJE DIÁ85H8 LN=457 P. APOYO 6 U 8 POL. 501C"/>
        <s v=" EJE DIÁ55H8 LN 653 M24 P. C. DE 2 POL. EN ARM. 6 POL. 420C"/>
        <s v=" BULÓN DIÁ 100H8 LN 691 P. APOYO 10 Y 12 P. TIPO 501C"/>
        <s v=" EJE DIÁ75H8 LN 585 M16 AGP P. C. 4 POL. EN ARM 6/8 ARM. 420C"/>
        <s v=" BULÓN DIÁ 75H8 LN 407 P. APOYO 6 Y 8 POL. TIPO 420C"/>
        <s v=" EJE DIÁ90H8 LN 581 P. APOYO 10-16 POL. 420C"/>
        <s v=" BULÓN DIÁ 55H8 LN 334 P. BRAZO GIRATORIO EN 4P/4S CP 420C"/>
        <s v=" EJE DIÁ.90H8 LN=541, P. APOYO P. CP 4P/4S TIPO 420C"/>
        <s v=" BULÓN DIÁ 90H8 LN 441    420C SOPORTE 4P/4S EN ARMAZÓN 8P/8S"/>
        <s v=" AMORTIGUADOR TURING 316 975 Nº PEDIDO: 81 4901 003 608"/>
        <s v=" JUEGO DE MANTENIMIENTO P. BOMBA KRAL  K55-118   KRAL"/>
        <s v=" SET DE MANTENIMIENTO P. BOMBA KRAL K 5-20"/>
        <s v=" ÉMBOLO COMPLETO DIÁ.70/63"/>
        <s v=" PISTON COMPLETO DIA.75 / 63    "/>
        <m/>
      </sharedItems>
    </cacheField>
    <cacheField name="Unid." numFmtId="0">
      <sharedItems containsBlank="1">
        <s v="Pza"/>
        <m/>
      </sharedItems>
    </cacheField>
    <cacheField name="Q LMO/año" numFmtId="0">
      <sharedItems containsString="0" containsBlank="1" containsNumber="1" containsInteger="1">
        <n v="0.0"/>
        <m/>
      </sharedItems>
    </cacheField>
    <cacheField name="Q LPL/año" numFmtId="0">
      <sharedItems containsString="0" containsBlank="1" containsNumber="1" containsInteger="1">
        <n v="0.0"/>
        <m/>
      </sharedItems>
    </cacheField>
    <cacheField name="Q LAM/año" numFmtId="0">
      <sharedItems containsString="0" containsBlank="1" containsNumber="1" containsInteger="1">
        <n v="0.0"/>
        <m/>
      </sharedItems>
    </cacheField>
    <cacheField name="Q LR/año" numFmtId="0">
      <sharedItems containsString="0" containsBlank="1" containsNumber="1" containsInteger="1">
        <n v="0.0"/>
        <m/>
      </sharedItems>
    </cacheField>
    <cacheField name="Q LN/año" numFmtId="0">
      <sharedItems containsString="0" containsBlank="1" containsNumber="1" containsInteger="1">
        <n v="0.0"/>
        <m/>
      </sharedItems>
    </cacheField>
    <cacheField name="Q LAZ/año" numFmtId="0">
      <sharedItems containsString="0" containsBlank="1" containsNumber="1" containsInteger="1">
        <n v="0.0"/>
        <m/>
      </sharedItems>
    </cacheField>
    <cacheField name="Q LB/año" numFmtId="0">
      <sharedItems containsString="0" containsBlank="1" containsNumber="1" containsInteger="1">
        <n v="0.0"/>
        <m/>
      </sharedItems>
    </cacheField>
    <cacheField name="Q LCE/año" numFmtId="0">
      <sharedItems containsString="0" containsBlank="1" containsNumber="1" containsInteger="1">
        <n v="0.0"/>
        <m/>
      </sharedItems>
    </cacheField>
    <cacheField name="Q LCA/año" numFmtId="0">
      <sharedItems containsString="0" containsBlank="1" containsNumber="1" containsInteger="1">
        <n v="0.0"/>
        <m/>
      </sharedItems>
    </cacheField>
    <cacheField name="Q LV/año" numFmtId="0">
      <sharedItems containsString="0" containsBlank="1" containsNumber="1" containsInteger="1">
        <n v="0.0"/>
        <m/>
      </sharedItems>
    </cacheField>
    <cacheField name="Q TRM/año" numFmtId="0">
      <sharedItems containsString="0" containsBlank="1" containsNumber="1" containsInteger="1">
        <n v="48.0"/>
        <n v="118.0"/>
        <n v="254.0"/>
        <n v="140.0"/>
        <n v="30.0"/>
        <n v="608.0"/>
        <n v="132.0"/>
        <n v="100.0"/>
        <n v="400.0"/>
        <n v="904.0"/>
        <n v="472.0"/>
        <n v="152.0"/>
        <n v="480.0"/>
        <n v="76.0"/>
        <n v="96.0"/>
        <n v="40.0"/>
        <n v="20.0"/>
        <n v="120.0"/>
        <n v="1016.0"/>
        <n v="4.0"/>
        <n v="0.0"/>
        <n v="280.0"/>
        <n v="304.0"/>
        <n v="240.0"/>
        <n v="50.0"/>
        <n v="2.0"/>
        <n v="508.0"/>
        <n v="216.0"/>
        <n v="308.0"/>
        <n v="256.0"/>
        <n v="284.0"/>
        <n v="384.0"/>
        <n v="150.0"/>
        <n v="80.0"/>
        <n v="5.0"/>
        <n v="6.0"/>
        <n v="42.0"/>
        <n v="588.0"/>
        <n v="328.0"/>
        <n v="300.0"/>
        <n v="360.0"/>
        <n v="228.0"/>
        <n v="86.0"/>
        <n v="112.0"/>
        <n v="28.0"/>
        <n v="8.0"/>
        <n v="24.0"/>
        <n v="14.0"/>
        <n v="32.0"/>
        <n v="108.0"/>
        <n v="70.0"/>
        <n v="38.0"/>
        <m/>
      </sharedItems>
    </cacheField>
    <cacheField name="Q 2024" numFmtId="4">
      <sharedItems containsString="0" containsBlank="1" containsNumber="1" containsInteger="1">
        <n v="48.0"/>
        <n v="118.0"/>
        <n v="254.0"/>
        <n v="140.0"/>
        <n v="30.0"/>
        <n v="608.0"/>
        <n v="132.0"/>
        <n v="100.0"/>
        <n v="400.0"/>
        <n v="904.0"/>
        <n v="472.0"/>
        <n v="152.0"/>
        <n v="480.0"/>
        <n v="76.0"/>
        <n v="96.0"/>
        <n v="40.0"/>
        <n v="20.0"/>
        <n v="120.0"/>
        <n v="1016.0"/>
        <n v="4.0"/>
        <n v="0.0"/>
        <n v="280.0"/>
        <n v="304.0"/>
        <n v="240.0"/>
        <n v="50.0"/>
        <n v="2.0"/>
        <n v="508.0"/>
        <n v="216.0"/>
        <n v="308.0"/>
        <n v="256.0"/>
        <n v="284.0"/>
        <n v="384.0"/>
        <n v="150.0"/>
        <n v="80.0"/>
        <n v="5.0"/>
        <n v="6.0"/>
        <n v="42.0"/>
        <n v="588.0"/>
        <n v="328.0"/>
        <n v="300.0"/>
        <n v="360.0"/>
        <n v="228.0"/>
        <n v="86.0"/>
        <n v="112.0"/>
        <n v="28.0"/>
        <n v="8.0"/>
        <n v="24.0"/>
        <n v="14.0"/>
        <n v="32.0"/>
        <n v="108.0"/>
        <n v="70.0"/>
        <n v="38.0"/>
        <n v="1.0"/>
        <m/>
      </sharedItems>
    </cacheField>
    <cacheField name="Q LMO/año2" numFmtId="0">
      <sharedItems containsString="0" containsBlank="1" containsNumber="1" containsInteger="1">
        <n v="0.0"/>
        <m/>
      </sharedItems>
    </cacheField>
    <cacheField name="Q LPL/año3" numFmtId="0">
      <sharedItems containsString="0" containsBlank="1" containsNumber="1" containsInteger="1">
        <n v="0.0"/>
        <m/>
      </sharedItems>
    </cacheField>
    <cacheField name="Q LAM/año4" numFmtId="0">
      <sharedItems containsString="0" containsBlank="1" containsNumber="1" containsInteger="1">
        <n v="0.0"/>
        <m/>
      </sharedItems>
    </cacheField>
    <cacheField name="Q LR/año5" numFmtId="0">
      <sharedItems containsString="0" containsBlank="1" containsNumber="1" containsInteger="1">
        <n v="0.0"/>
        <m/>
      </sharedItems>
    </cacheField>
    <cacheField name="Q LN/año6" numFmtId="0">
      <sharedItems containsString="0" containsBlank="1" containsNumber="1" containsInteger="1">
        <n v="0.0"/>
        <m/>
      </sharedItems>
    </cacheField>
    <cacheField name="Q LAZ/año7" numFmtId="0">
      <sharedItems containsString="0" containsBlank="1" containsNumber="1" containsInteger="1">
        <n v="0.0"/>
        <m/>
      </sharedItems>
    </cacheField>
    <cacheField name="Q LB/año8" numFmtId="0">
      <sharedItems containsString="0" containsBlank="1" containsNumber="1" containsInteger="1">
        <n v="0.0"/>
        <m/>
      </sharedItems>
    </cacheField>
    <cacheField name="Q LCE/año9" numFmtId="0">
      <sharedItems containsString="0" containsBlank="1" containsNumber="1" containsInteger="1">
        <n v="0.0"/>
        <m/>
      </sharedItems>
    </cacheField>
    <cacheField name="Q LCA/año10" numFmtId="0">
      <sharedItems containsString="0" containsBlank="1" containsNumber="1" containsInteger="1">
        <n v="0.0"/>
        <m/>
      </sharedItems>
    </cacheField>
    <cacheField name="Q LV/año11" numFmtId="0">
      <sharedItems containsString="0" containsBlank="1" containsNumber="1" containsInteger="1">
        <n v="0.0"/>
        <m/>
      </sharedItems>
    </cacheField>
    <cacheField name="Q TRM/año12" numFmtId="0">
      <sharedItems containsString="0" containsBlank="1" containsNumber="1" containsInteger="1">
        <n v="68.0"/>
        <n v="12.0"/>
        <n v="60.0"/>
        <n v="260.0"/>
        <n v="0.0"/>
        <n v="96.0"/>
        <n v="144.0"/>
        <n v="1064.0"/>
        <n v="404.0"/>
        <n v="24.0"/>
        <n v="616.0"/>
        <n v="82.0"/>
        <n v="94.0"/>
        <n v="48.0"/>
        <n v="168.0"/>
        <n v="460.0"/>
        <n v="192.0"/>
        <n v="36.0"/>
        <n v="32.0"/>
        <n v="324.0"/>
        <n v="88.0"/>
        <n v="120.0"/>
        <n v="288.0"/>
        <n v="768.0"/>
        <n v="272.0"/>
        <n v="462.0"/>
        <n v="10.0"/>
        <n v="236.0"/>
        <n v="58.0"/>
        <n v="18.0"/>
        <n v="42.0"/>
        <n v="40.0"/>
        <n v="6.0"/>
        <n v="4.0"/>
        <n v="5.0"/>
        <n v="2.0"/>
        <m/>
      </sharedItems>
    </cacheField>
    <cacheField name="Q 2025" numFmtId="4">
      <sharedItems containsString="0" containsBlank="1" containsNumber="1" containsInteger="1">
        <n v="68.0"/>
        <n v="12.0"/>
        <n v="60.0"/>
        <n v="260.0"/>
        <n v="0.0"/>
        <n v="96.0"/>
        <n v="144.0"/>
        <n v="1064.0"/>
        <n v="404.0"/>
        <n v="24.0"/>
        <n v="616.0"/>
        <n v="82.0"/>
        <n v="94.0"/>
        <n v="48.0"/>
        <n v="168.0"/>
        <n v="460.0"/>
        <n v="192.0"/>
        <n v="36.0"/>
        <n v="32.0"/>
        <n v="324.0"/>
        <n v="88.0"/>
        <n v="120.0"/>
        <n v="288.0"/>
        <n v="768.0"/>
        <n v="272.0"/>
        <n v="462.0"/>
        <n v="10.0"/>
        <n v="236.0"/>
        <n v="58.0"/>
        <n v="18.0"/>
        <n v="42.0"/>
        <n v="40.0"/>
        <n v="6.0"/>
        <n v="50.0"/>
        <n v="2.0"/>
        <m/>
      </sharedItems>
    </cacheField>
    <cacheField name="Q LMO/año3" numFmtId="0">
      <sharedItems containsString="0" containsBlank="1" containsNumber="1" containsInteger="1">
        <n v="0.0"/>
        <m/>
      </sharedItems>
    </cacheField>
    <cacheField name="Q LPL/año4" numFmtId="0">
      <sharedItems containsString="0" containsBlank="1" containsNumber="1" containsInteger="1">
        <n v="0.0"/>
        <m/>
      </sharedItems>
    </cacheField>
    <cacheField name="Q LAM/año5" numFmtId="0">
      <sharedItems containsString="0" containsBlank="1" containsNumber="1" containsInteger="1">
        <n v="0.0"/>
        <m/>
      </sharedItems>
    </cacheField>
    <cacheField name="Q LR/año6" numFmtId="0">
      <sharedItems containsString="0" containsBlank="1" containsNumber="1" containsInteger="1">
        <n v="0.0"/>
        <m/>
      </sharedItems>
    </cacheField>
    <cacheField name="Q LN/año7" numFmtId="0">
      <sharedItems containsString="0" containsBlank="1" containsNumber="1" containsInteger="1">
        <n v="0.0"/>
        <m/>
      </sharedItems>
    </cacheField>
    <cacheField name="Q LAZ/año8" numFmtId="0">
      <sharedItems containsString="0" containsBlank="1" containsNumber="1" containsInteger="1">
        <n v="0.0"/>
        <m/>
      </sharedItems>
    </cacheField>
    <cacheField name="Q LB/año9" numFmtId="0">
      <sharedItems containsString="0" containsBlank="1" containsNumber="1" containsInteger="1">
        <n v="0.0"/>
        <m/>
      </sharedItems>
    </cacheField>
    <cacheField name="Q LCE/año10" numFmtId="0">
      <sharedItems containsString="0" containsBlank="1" containsNumber="1" containsInteger="1">
        <n v="0.0"/>
        <m/>
      </sharedItems>
    </cacheField>
    <cacheField name="Q LCA/año11" numFmtId="0">
      <sharedItems containsString="0" containsBlank="1" containsNumber="1" containsInteger="1">
        <n v="0.0"/>
        <m/>
      </sharedItems>
    </cacheField>
    <cacheField name="Q LV/año12" numFmtId="0">
      <sharedItems containsString="0" containsBlank="1" containsNumber="1" containsInteger="1">
        <n v="0.0"/>
        <m/>
      </sharedItems>
    </cacheField>
    <cacheField name="Q TRM/año13" numFmtId="0">
      <sharedItems containsString="0" containsBlank="1" containsNumber="1" containsInteger="1">
        <n v="136.0"/>
        <n v="40.0"/>
        <n v="166.0"/>
        <n v="240.0"/>
        <n v="0.0"/>
        <n v="320.0"/>
        <n v="140.0"/>
        <n v="1064.0"/>
        <n v="496.0"/>
        <n v="80.0"/>
        <n v="552.0"/>
        <n v="48.0"/>
        <n v="82.0"/>
        <n v="64.0"/>
        <n v="616.0"/>
        <n v="128.0"/>
        <n v="160.0"/>
        <n v="480.0"/>
        <n v="316.0"/>
        <n v="180.0"/>
        <n v="16.0"/>
        <n v="324.0"/>
        <n v="500.0"/>
        <n v="632.0"/>
        <n v="280.0"/>
        <n v="332.0"/>
        <n v="112.0"/>
        <n v="864.0"/>
        <n v="348.0"/>
        <n v="172.0"/>
        <n v="396.0"/>
        <n v="84.0"/>
        <n v="72.0"/>
        <n v="96.0"/>
        <n v="224.0"/>
        <n v="42.0"/>
        <n v="6.0"/>
        <n v="46.0"/>
        <n v="26.0"/>
        <n v="32.0"/>
        <n v="18.0"/>
        <n v="54.0"/>
        <n v="38.0"/>
        <n v="4.0"/>
        <n v="12.0"/>
        <n v="5.0"/>
        <n v="2.0"/>
        <m/>
      </sharedItems>
    </cacheField>
    <cacheField name="Q 2026" numFmtId="4">
      <sharedItems containsString="0" containsBlank="1" containsNumber="1" containsInteger="1">
        <n v="136.0"/>
        <n v="40.0"/>
        <n v="166.0"/>
        <n v="240.0"/>
        <n v="0.0"/>
        <n v="320.0"/>
        <n v="140.0"/>
        <n v="1064.0"/>
        <n v="496.0"/>
        <n v="80.0"/>
        <n v="552.0"/>
        <n v="48.0"/>
        <n v="82.0"/>
        <n v="64.0"/>
        <n v="616.0"/>
        <n v="128.0"/>
        <n v="160.0"/>
        <n v="480.0"/>
        <n v="316.0"/>
        <n v="180.0"/>
        <n v="16.0"/>
        <n v="324.0"/>
        <n v="500.0"/>
        <n v="632.0"/>
        <n v="280.0"/>
        <n v="332.0"/>
        <n v="112.0"/>
        <n v="864.0"/>
        <n v="348.0"/>
        <n v="172.0"/>
        <n v="396.0"/>
        <n v="84.0"/>
        <n v="72.0"/>
        <n v="96.0"/>
        <n v="224.0"/>
        <n v="42.0"/>
        <n v="6.0"/>
        <n v="46.0"/>
        <n v="26.0"/>
        <n v="32.0"/>
        <n v="18.0"/>
        <n v="54.0"/>
        <n v="38.0"/>
        <n v="4.0"/>
        <n v="12.0"/>
        <n v="50.0"/>
        <n v="2.0"/>
        <m/>
      </sharedItems>
    </cacheField>
    <cacheField name="Q Total" numFmtId="4">
      <sharedItems containsString="0" containsBlank="1" containsNumber="1" containsInteger="1">
        <n v="252.0"/>
        <n v="170.0"/>
        <n v="480.0"/>
        <n v="640.0"/>
        <n v="30.0"/>
        <n v="1024.0"/>
        <n v="416.0"/>
        <n v="100.0"/>
        <n v="400.0"/>
        <n v="3032.0"/>
        <n v="1372.0"/>
        <n v="256.0"/>
        <n v="1648.0"/>
        <n v="206.0"/>
        <n v="272.0"/>
        <n v="152.0"/>
        <n v="20.0"/>
        <n v="120.0"/>
        <n v="1800.0"/>
        <n v="4.0"/>
        <n v="224.0"/>
        <n v="1448.0"/>
        <n v="512.0"/>
        <n v="1180.0"/>
        <n v="50.0"/>
        <n v="2.0"/>
        <n v="920.0"/>
        <n v="404.0"/>
        <n v="492.0"/>
        <n v="504.0"/>
        <n v="88.0"/>
        <n v="904.0"/>
        <n v="1044.0"/>
        <n v="1840.0"/>
        <n v="752.0"/>
        <n v="150.0"/>
        <n v="80.0"/>
        <n v="960.0"/>
        <n v="5.0"/>
        <n v="6.0"/>
        <n v="96.0"/>
        <n v="42.0"/>
        <n v="520.0"/>
        <n v="2220.0"/>
        <n v="948.0"/>
        <n v="532.0"/>
        <n v="300.0"/>
        <n v="1218.0"/>
        <n v="264.0"/>
        <n v="324.0"/>
        <n v="112.0"/>
        <n v="572.0"/>
        <n v="142.0"/>
        <n v="128.0"/>
        <n v="32.0"/>
        <n v="162.0"/>
        <n v="92.0"/>
        <n v="64.0"/>
        <n v="86.0"/>
        <n v="174.0"/>
        <n v="114.0"/>
        <n v="54.0"/>
        <n v="56.0"/>
        <n v="10.0"/>
        <n v="12.0"/>
        <n v="1.0"/>
        <n v="0.0"/>
        <m/>
        <n v="39460.0"/>
      </sharedItems>
    </cacheField>
    <cacheField name="P.U. $us." numFmtId="2">
      <sharedItems containsString="0" containsBlank="1" containsNumber="1">
        <n v="0.39"/>
        <n v="0.89"/>
        <n v="3.46"/>
        <n v="7.54"/>
        <n v="2.96"/>
        <n v="4.04"/>
        <n v="0.69"/>
        <n v="1.61"/>
        <n v="4.73"/>
        <n v="1.69"/>
        <n v="2.46"/>
        <n v="0.27"/>
        <n v="6.27"/>
        <n v="1.96"/>
        <n v="9.81"/>
        <n v="8.11"/>
        <n v="17.54"/>
        <n v="153.06"/>
        <n v="87.22"/>
        <n v="1.23"/>
        <n v="11.04"/>
        <n v="7.31"/>
        <n v="9.15"/>
        <n v="16.65"/>
        <n v="784.35"/>
        <n v="4.69"/>
        <n v="3.08"/>
        <n v="25.5"/>
        <n v="47.38"/>
        <n v="2.38"/>
        <n v="100.87"/>
        <n v="111.25"/>
        <n v="120.56"/>
        <n v="131.21"/>
        <n v="141.79"/>
        <n v="15.04"/>
        <n v="9.31"/>
        <n v="401.33"/>
        <n v="317.23"/>
        <n v="38.57"/>
        <n v="156.21"/>
        <n v="225.16"/>
        <n v="53.07"/>
        <n v="72.41"/>
        <n v="54.3"/>
        <n v="62.07"/>
        <n v="28.61"/>
        <n v="3.42"/>
        <n v="58.61"/>
        <n v="0.65"/>
        <n v="3.19"/>
        <n v="124.41"/>
        <n v="2.58"/>
        <n v="2.69"/>
        <n v="4.31"/>
        <n v="2.11"/>
        <n v="2.42"/>
        <n v="17.88"/>
        <n v="14.31"/>
        <n v="2251.0"/>
        <n v="1700.84"/>
        <n v="23.0"/>
        <n v="26.07"/>
        <n v="1.31"/>
        <n v="1.89"/>
        <n v="547.19"/>
        <n v="5.61"/>
        <n v="7.69"/>
        <n v="3.0"/>
        <n v="1.54"/>
        <n v="2.19"/>
        <n v="8.84"/>
        <n v="60.15"/>
        <n v="91.03"/>
        <n v="26.11"/>
        <n v="132.02"/>
        <n v="70.99"/>
        <n v="107.64"/>
        <n v="50.92"/>
        <n v="115.48"/>
        <n v="79.33"/>
        <n v="22.8"/>
        <n v="24.27"/>
        <n v="663.33"/>
        <n v="1116.96"/>
        <n v="985.59"/>
        <n v="763.82"/>
        <n v="728.67"/>
        <n v="549.81"/>
        <n v="1470.72"/>
        <n v="718.44"/>
        <n v="605.49"/>
        <n v="922.87"/>
        <n v="267.89"/>
        <n v="881.38"/>
        <n v="762.51"/>
        <n v="325.03"/>
        <n v="1713.84"/>
        <n v="1200.64"/>
        <n v="1401.81"/>
        <n v="1426.88"/>
        <m/>
      </sharedItems>
    </cacheField>
    <cacheField name="P.U. Bs" numFmtId="4">
      <sharedItems containsString="0" containsBlank="1" containsNumber="1">
        <n v="2.7144"/>
        <n v="6.1944"/>
        <n v="24.081599999999998"/>
        <n v="52.4784"/>
        <n v="20.6016"/>
        <n v="28.1184"/>
        <n v="4.8024"/>
        <n v="11.2056"/>
        <n v="32.9208"/>
        <n v="11.7624"/>
        <n v="17.1216"/>
        <n v="1.8792000000000002"/>
        <n v="43.639199999999995"/>
        <n v="13.6416"/>
        <n v="68.2776"/>
        <n v="56.4456"/>
        <n v="122.07839999999999"/>
        <n v="1065.2976"/>
        <n v="607.0512"/>
        <n v="8.5608"/>
        <n v="76.8384"/>
        <n v="50.877599999999994"/>
        <n v="63.684000000000005"/>
        <n v="115.88399999999999"/>
        <n v="5459.076"/>
        <n v="32.6424"/>
        <n v="21.4368"/>
        <n v="177.48"/>
        <n v="329.76480000000004"/>
        <n v="16.564799999999998"/>
        <n v="702.0552"/>
        <n v="774.3"/>
        <n v="839.0976"/>
        <n v="913.2216000000001"/>
        <n v="986.8584"/>
        <n v="104.6784"/>
        <n v="64.7976"/>
        <n v="2793.2567999999997"/>
        <n v="2207.9208000000003"/>
        <n v="268.4472"/>
        <n v="1087.2216"/>
        <n v="1567.1136"/>
        <n v="369.3672"/>
        <n v="503.9736"/>
        <n v="377.928"/>
        <n v="432.0072"/>
        <n v="199.1256"/>
        <n v="23.8032"/>
        <n v="407.9256"/>
        <n v="4.524"/>
        <n v="22.2024"/>
        <n v="865.8936"/>
        <n v="17.9568"/>
        <n v="18.7224"/>
        <n v="29.9976"/>
        <n v="14.685599999999999"/>
        <n v="16.8432"/>
        <n v="124.44479999999999"/>
        <n v="99.5976"/>
        <n v="15666.96"/>
        <n v="11837.846399999999"/>
        <n v="160.08"/>
        <n v="181.4472"/>
        <n v="9.1176"/>
        <n v="13.154399999999999"/>
        <n v="3808.4424000000004"/>
        <n v="39.0456"/>
        <n v="53.522400000000005"/>
        <n v="20.88"/>
        <n v="10.7184"/>
        <n v="15.2424"/>
        <n v="61.526399999999995"/>
        <n v="418.644"/>
        <n v="633.5688"/>
        <n v="181.7256"/>
        <n v="918.8592000000001"/>
        <n v="494.0904"/>
        <n v="749.1744"/>
        <n v="354.4032"/>
        <n v="803.7408"/>
        <n v="552.1368"/>
        <n v="158.68800000000002"/>
        <n v="168.9192"/>
        <n v="4616.776800000001"/>
        <n v="7774.0416000000005"/>
        <n v="6859.7064"/>
        <n v="5316.1872"/>
        <n v="5071.5432"/>
        <n v="3826.6775999999995"/>
        <n v="10236.2112"/>
        <n v="5000.3424"/>
        <n v="4214.2104"/>
        <n v="6423.1752"/>
        <n v="1864.5143999999998"/>
        <n v="6134.4048"/>
        <n v="5307.0696"/>
        <n v="2262.2088"/>
        <n v="11928.3264"/>
        <n v="8356.4544"/>
        <n v="9756.5976"/>
        <n v="9931.0848"/>
        <m/>
      </sharedItems>
    </cacheField>
    <cacheField name="Bs. 2024" numFmtId="4">
      <sharedItems containsString="0" containsBlank="1" containsNumber="1">
        <n v="130.2912"/>
        <n v="730.9392"/>
        <n v="6116.7264"/>
        <n v="7346.976"/>
        <n v="618.048"/>
        <n v="843.552"/>
        <n v="144.07199999999997"/>
        <n v="336.168"/>
        <n v="987.624"/>
        <n v="7151.539199999999"/>
        <n v="2260.0512"/>
        <n v="187.92000000000002"/>
        <n v="4482.24"/>
        <n v="39449.8368"/>
        <n v="6438.8352"/>
        <n v="2048.3280000000004"/>
        <n v="8579.7312"/>
        <n v="58597.632"/>
        <n v="80962.61760000001"/>
        <n v="58276.9152"/>
        <n v="342.432"/>
        <n v="1536.7679999999998"/>
        <n v="1526.3279999999997"/>
        <n v="7642.080000000001"/>
        <n v="117738.14399999999"/>
        <n v="21836.304"/>
        <n v="0.0"/>
        <n v="6002.304"/>
        <n v="4147.0464"/>
        <n v="26976.96"/>
        <n v="79143.55200000001"/>
        <n v="828.2399999999999"/>
        <n v="1404.1104"/>
        <n v="1548.6"/>
        <n v="1678.1952"/>
        <n v="1826.4432000000002"/>
        <n v="1973.7168"/>
        <n v="31822.2336"/>
        <n v="19698.470400000002"/>
        <n v="782111.9039999999"/>
        <n v="1121623.7664"/>
        <n v="136371.1776"/>
        <n v="234839.86560000002"/>
        <n v="188053.63199999998"/>
        <n v="113765.09760000001"/>
        <n v="20158.944"/>
        <n v="96749.568"/>
        <n v="122690.0448"/>
        <n v="202311.6096"/>
        <n v="9140.4288"/>
        <n v="48135.220799999996"/>
        <n v="1375.296"/>
        <n v="3330.36"/>
        <n v="131615.8272"/>
        <n v="1648.1280000000002"/>
        <n v="1436.544"/>
        <n v="2808.36"/>
        <n v="1499.8799999999999"/>
        <n v="1468.56"/>
        <n v="8556.3456"/>
        <n v="3733.3439999999996"/>
        <n v="2987.928"/>
        <n v="78334.79999999999"/>
        <n v="71027.0784"/>
        <n v="4802.400000000001"/>
        <n v="18144.72"/>
        <n v="552.4848"/>
        <n v="135.72"/>
        <n v="22850.654400000003"/>
        <n v="273.52799999999996"/>
        <n v="4685.472"/>
        <n v="31471.171200000004"/>
        <n v="6848.639999999999"/>
        <n v="514.4832"/>
        <n v="3658.176"/>
        <n v="18457.92"/>
        <n v="150711.84"/>
        <n v="30411.3024"/>
        <n v="1091.328"/>
        <n v="8722.8288"/>
        <n v="2681.8271999999997"/>
        <n v="4375.473599999999"/>
        <n v="139666.59840000002"/>
        <n v="58302.667199999996"/>
        <n v="83907.5328"/>
        <n v="10632.096000000001"/>
        <n v="173608.0128"/>
        <n v="22085.472"/>
        <n v="12695.04"/>
        <n v="13513.536"/>
        <n v="129269.75040000002"/>
        <n v="62192.332800000004"/>
        <n v="329265.9072"/>
        <n v="127588.4928"/>
        <n v="71001.6048"/>
        <n v="122453.68319999998"/>
        <n v="204724.224"/>
        <n v="540036.9792000001"/>
        <n v="294994.728"/>
        <n v="244080.65759999998"/>
        <n v="113110.43999999999"/>
        <n v="11928.3264"/>
        <n v="19513.1952"/>
        <n v="19862.1696"/>
        <m/>
        <n v="7113959.097600001"/>
      </sharedItems>
    </cacheField>
    <cacheField name="Bs. 2025" numFmtId="4">
      <sharedItems containsString="0" containsBlank="1" containsNumber="1">
        <n v="184.5792"/>
        <n v="74.33279999999999"/>
        <n v="1444.896"/>
        <n v="13644.384"/>
        <n v="0.0"/>
        <n v="1129.1904"/>
        <n v="2465.5104"/>
        <n v="46432.108799999995"/>
        <n v="5511.2064"/>
        <n v="1354.6943999999999"/>
        <n v="75200.2944"/>
        <n v="87354.40320000002"/>
        <n v="57062.8128"/>
        <n v="410.9184"/>
        <n v="19468.512"/>
        <n v="3133.6704"/>
        <n v="13205.068800000001"/>
        <n v="654.7968000000001"/>
        <n v="4259.5199999999995"/>
        <n v="151691.80800000002"/>
        <n v="5024.5632"/>
        <n v="3110.2848000000004"/>
        <n v="1720646.1888"/>
        <n v="211960.39680000005"/>
        <n v="25770.9312"/>
        <n v="52186.63680000001"/>
        <n v="300885.8112"/>
        <n v="13297.219200000001"/>
        <n v="16127.1552"/>
        <n v="122448.672"/>
        <n v="112321.872"/>
        <n v="38232.1152"/>
        <n v="2094.6816"/>
        <n v="4895.1071999999995"/>
        <n v="217.152"/>
        <n v="20781.4464"/>
        <n v="2021.184"/>
        <n v="437.6448"/>
        <n v="11245.1328"/>
        <n v="41105.2032"/>
        <n v="5679.36"/>
        <n v="728.8512000000001"/>
        <n v="1829.088"/>
        <n v="193413.528"/>
        <n v="76028.256"/>
        <n v="26168.486399999998"/>
        <n v="508.77599999999995"/>
        <n v="22052.620800000004"/>
        <n v="5929.0848"/>
        <n v="176805.1584"/>
        <n v="38579.5584"/>
        <n v="33128.208"/>
        <n v="267773.0544"/>
        <n v="139932.7488"/>
        <n v="466460.0352"/>
        <n v="223279.8624"/>
        <n v="91287.7776"/>
        <n v="409448.448"/>
        <n v="60004.1088"/>
        <n v="25285.2624"/>
        <n v="44748.34559999999"/>
        <n v="36806.4288"/>
        <n v="113110.43999999999"/>
        <n v="19513.1952"/>
        <n v="19862.1696"/>
        <m/>
        <n v="5687854.958399997"/>
      </sharedItems>
    </cacheField>
    <cacheField name="Bs. 2026" numFmtId="4">
      <sharedItems containsString="0" containsBlank="1" containsNumber="1">
        <n v="369.1584"/>
        <n v="247.776"/>
        <n v="3997.5455999999995"/>
        <n v="12594.816"/>
        <n v="0.0"/>
        <n v="3763.968"/>
        <n v="2397.0240000000003"/>
        <n v="46432.108799999995"/>
        <n v="6766.2336000000005"/>
        <n v="4515.648"/>
        <n v="67387.27679999999"/>
        <n v="51134.28480000001"/>
        <n v="49778.1984"/>
        <n v="547.8912"/>
        <n v="71384.544"/>
        <n v="4178.2272"/>
        <n v="11833.1136"/>
        <n v="2182.656"/>
        <n v="14198.4"/>
        <n v="158287.10400000002"/>
        <n v="16748.543999999998"/>
        <n v="10367.616"/>
        <n v="1541877.7535999997"/>
        <n v="697702.9728000001"/>
        <n v="84829.3152"/>
        <n v="152211.024"/>
        <n v="282080.448"/>
        <n v="59098.75200000001"/>
        <n v="8063.5776"/>
        <n v="122448.672"/>
        <n v="216003.6"/>
        <n v="125847.3792"/>
        <n v="6664.896"/>
        <n v="16317.024"/>
        <n v="723.84"/>
        <n v="69271.488"/>
        <n v="5591.9424"/>
        <n v="437.6448"/>
        <n v="4373.1072"/>
        <n v="46243.3536"/>
        <n v="7266.24"/>
        <n v="1457.7024000000001"/>
        <n v="2621.6928"/>
        <n v="165783.024"/>
        <n v="53219.779200000004"/>
        <n v="13084.243199999999"/>
        <n v="1129.1904"/>
        <n v="814.0415999999999"/>
        <n v="73508.736"/>
        <n v="19763.615999999998"/>
        <n v="167815.0656"/>
        <n v="112523.712"/>
        <n v="23189.7456"/>
        <n v="193904.62560000003"/>
        <n v="46644.2496"/>
        <n v="315546.4944"/>
        <n v="138220.8672"/>
        <n v="162289.3824"/>
        <n v="68880.19679999999"/>
        <n v="266141.4912"/>
        <n v="270018.48960000003"/>
        <n v="160139.9952"/>
        <n v="102770.8032"/>
        <n v="59664.46079999999"/>
        <n v="24537.6192"/>
        <n v="63684.8352"/>
        <n v="113110.43999999999"/>
        <n v="19513.1952"/>
        <n v="19862.1696"/>
        <m/>
        <n v="6646005.0287999995"/>
      </sharedItems>
    </cacheField>
    <cacheField name="Bs. Total" numFmtId="4">
      <sharedItems containsString="0" containsBlank="1" containsNumber="1">
        <n v="684.0288"/>
        <n v="1053.048"/>
        <n v="11559.167999999998"/>
        <n v="33586.176"/>
        <n v="618.048"/>
        <n v="843.552"/>
        <n v="144.07199999999997"/>
        <n v="336.168"/>
        <n v="987.624"/>
        <n v="12044.6976"/>
        <n v="7122.5856"/>
        <n v="187.92000000000002"/>
        <n v="4482.24"/>
        <n v="132314.0544"/>
        <n v="18716.2752"/>
        <n v="2048.3280000000004"/>
        <n v="14450.0736"/>
        <n v="201185.2032"/>
        <n v="219451.30560000002"/>
        <n v="165117.9264"/>
        <n v="1301.2416"/>
        <n v="1536.7679999999998"/>
        <n v="1526.3279999999997"/>
        <n v="7642.080000000001"/>
        <n v="208591.19999999998"/>
        <n v="21836.304"/>
        <n v="7311.8976"/>
        <n v="31040.4864"/>
        <n v="6984.4992"/>
        <n v="45434.88"/>
        <n v="389122.46400000004"/>
        <n v="828.2399999999999"/>
        <n v="1404.1104"/>
        <n v="1548.6"/>
        <n v="1678.1952"/>
        <n v="1826.4432000000002"/>
        <n v="1973.7168"/>
        <n v="53595.34079999999"/>
        <n v="33176.3712"/>
        <n v="4044635.846399999"/>
        <n v="2031287.1360000002"/>
        <n v="246971.424"/>
        <n v="439237.5264"/>
        <n v="771019.8912"/>
        <n v="186161.0688"/>
        <n v="44349.676799999994"/>
        <n v="341646.912"/>
        <n v="451015.5168"/>
        <n v="366391.104"/>
        <n v="17900.0064"/>
        <n v="69347.352"/>
        <n v="2316.288"/>
        <n v="3330.36"/>
        <n v="221668.76160000003"/>
        <n v="1648.1280000000002"/>
        <n v="1436.544"/>
        <n v="2808.36"/>
        <n v="1499.8799999999999"/>
        <n v="1468.56"/>
        <n v="16169.472"/>
        <n v="3733.3439999999996"/>
        <n v="2987.928"/>
        <n v="78334.79999999999"/>
        <n v="71027.0784"/>
        <n v="4802.400000000001"/>
        <n v="18144.72"/>
        <n v="875.2896"/>
        <n v="552.4848"/>
        <n v="135.72"/>
        <n v="22850.654400000003"/>
        <n v="273.52799999999996"/>
        <n v="20303.712"/>
        <n v="118819.728"/>
        <n v="19794.239999999998"/>
        <n v="2701.0368000000003"/>
        <n v="8108.9568"/>
        <n v="18457.92"/>
        <n v="509908.392"/>
        <n v="159659.3376"/>
        <n v="1091.328"/>
        <n v="47975.558399999994"/>
        <n v="3811.0175999999997"/>
        <n v="5698.291199999999"/>
        <n v="235227.95520000003"/>
        <n v="83995.36799999999"/>
        <n v="428527.7568"/>
        <n v="10632.096000000001"/>
        <n v="324711.2832"/>
        <n v="78403.4256"/>
        <n v="12695.04"/>
        <n v="13513.536"/>
        <n v="590947.4304000001"/>
        <n v="248769.33120000002"/>
        <n v="1111272.4368"/>
        <n v="489089.22239999997"/>
        <n v="324578.7648"/>
        <n v="191333.87999999998"/>
        <n v="880314.1632000001"/>
        <n v="870059.5776000002"/>
        <n v="480419.9856"/>
        <n v="346851.4608"/>
        <n v="104412.80639999999"/>
        <n v="61344.048"/>
        <n v="63684.8352"/>
        <n v="339331.31999999995"/>
        <n v="11928.3264"/>
        <n v="0.0"/>
        <n v="58539.58559999999"/>
        <n v="59586.5088"/>
        <m/>
        <n v="1.944781908480001E7"/>
      </sharedItems>
    </cacheField>
    <cacheField name="Observaciones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3:T34" sheet="Pinzas Plateada"/>
  </cacheSource>
  <cacheFields>
    <cacheField name="Ubicación" numFmtId="0">
      <sharedItems>
        <s v="Vehiculo"/>
      </sharedItems>
    </cacheField>
    <cacheField name="Tipo de trabajo" numFmtId="0">
      <sharedItems>
        <s v="OVH Suspensiones 100%"/>
        <s v="OVH Suspensiones"/>
        <s v="Cambio de mordazas"/>
      </sharedItems>
    </cacheField>
    <cacheField name="Tipo de Bien" numFmtId="0">
      <sharedItems>
        <s v="Repuesto Mecánico"/>
      </sharedItems>
    </cacheField>
    <cacheField name="TDB/LOCAL" numFmtId="0">
      <sharedItems>
        <s v="TDB"/>
      </sharedItems>
    </cacheField>
    <cacheField name="Partida">
      <sharedItems containsMixedTypes="1" containsNumber="1" containsInteger="1">
        <n v="39800.0"/>
        <s v="39800"/>
      </sharedItems>
    </cacheField>
    <cacheField name="ID TDB o ID Almacén" numFmtId="0">
      <sharedItems containsString="0" containsBlank="1">
        <m/>
      </sharedItems>
    </cacheField>
    <cacheField name="ID Cotizado" numFmtId="49">
      <sharedItems>
        <s v="10000077"/>
        <s v="10000078"/>
        <s v="10000079"/>
        <s v="10000082"/>
        <s v="10000123"/>
        <s v="10000449"/>
        <s v="10000452"/>
        <s v="10001272"/>
        <s v="10001273"/>
        <s v="10001861"/>
        <s v="10182756"/>
        <s v="10247398"/>
        <s v="10340528"/>
        <s v="10392341"/>
        <s v="10490472"/>
        <s v="10542461"/>
        <s v="10551491"/>
        <s v="10568945"/>
        <s v="10569124"/>
        <s v="10752834"/>
        <s v="10752839"/>
        <s v="10791020"/>
        <s v="10860982"/>
        <s v="10872356"/>
        <s v="11870272"/>
        <s v="11870273"/>
        <s v="11424317"/>
        <s v="11515806"/>
        <s v="11-080297"/>
        <s v="10487943"/>
        <s v="10487922"/>
      </sharedItems>
    </cacheField>
    <cacheField name="Descripción del Bien" numFmtId="0">
      <sharedItems>
        <s v="TUERCA HEXAGONAL DIN 985-8 M6 GALVANIZADA (CON PIEZA DE APRIETE)"/>
        <s v="TUERCA AUTIFIJANTES DIN 985-8M8"/>
        <s v="TUERCA HEXAGONAL DIN 985-8 M10 ELECTROGALVANIZADO (CON ELEMENTO DE FIJACION)"/>
        <s v="TUERCA HEXAGONAL M16"/>
        <s v="TUERCA HEXAGONAL DIN439B-04 M20"/>
        <s v="CHAVETA 4MM X 25MM"/>
        <s v="CHAVETA 4 X 36MM"/>
        <s v="TORNILLO ISO 4762- 8.8 M 8X 35 CILINDRICO"/>
        <s v="TORNILLO ISO 4762 8.8 M 8X40 CILINDRICO, GALVANIZADO"/>
        <s v="TORNILLO ISO 4017-8.8 M8X25"/>
        <s v="CASQUILLO CON BORDE GGB2215 DU"/>
        <s v="ARANDELA SEGURIDAD NORDLOCK NL8 RECUBRIMIENTO DE LAMINILLAS DE CINC"/>
        <s v="TOPE DE GOMA DIAMETRO 90MM/35MM"/>
        <s v="ARANDELA DE CENTRAR DIAMETRO 104,5MM"/>
        <s v="ARANDELA DE FIJACION DIAMETRO 80, M20 PARA SUSPENSIÓN CABINA OMEGAIII (O SU EQUIVALENTE)"/>
        <s v="TOPE DE GOMA DIAMETRO 90/36 A=24 CENTRO RESORTE ESPIRAL 8MGD-GCS"/>
        <s v="CASQUILLO CON BORDE GGB2222DU-S, GLACIER (22X25X32X21,5)"/>
        <s v="BULON DIAMETRO 22H7 LONGITUD 297.5MM M16"/>
        <s v="ARANDELA UN737 17MM X 40MM"/>
        <s v="ANILLO EN O, DIA I. 22,0MM X 3,5MM"/>
        <s v="TUERCA HEXAGONAL DIN 985-8 M14X1.5 GVZ ELECTROGALVANIZADO"/>
        <s v="ARANDELA ELASTICA DIN 137B"/>
        <s v="CASQUILLO GOMA/METAL DIA.40/ 25 L= 30, 85"/>
        <s v="ARANDELA DIN 7349-8,4 300HV, FLZNNC-720H-L"/>
        <s v="RESORTE DE COMPR.D=10,00/DIÁ=71,00/LO=85,7 NT= 4,10; DIN 2095"/>
        <s v="RESORTE DE COMPR. D=10,50/DIÁ=72,00/LO=91,0 NT=4,4, DIN 2095"/>
        <s v="ARANDELA ISO 7089 M8 300HV LAMINILLA SIN CHAFLAN GALVANIZADO"/>
        <s v="ARANDELA DE SEGURIDAD DIAMETRO 50/23 L=7 PARA DISPOSITIVO DE SUSPENSION 8MGD"/>
        <s v="KIT SUSPENCIÓN CABINA CWA (O SU EQUIVALENTE): "/>
        <s v="MANDÍBULA MÓVIL A108-C  DIA.50 MECAN.CANAL DEL CABLE Ø44-56MM"/>
        <s v="MANDÍBULA FIJA   A108-C DIA.50 MECAN.CANAL DEL CABLE Ø44-56MM"/>
      </sharedItems>
    </cacheField>
    <cacheField name="Unid." numFmtId="0">
      <sharedItems>
        <s v="Pza"/>
      </sharedItems>
    </cacheField>
    <cacheField name="Para una cabina" numFmtId="0">
      <sharedItems containsSemiMixedTypes="0" containsString="0" containsNumber="1" containsInteger="1">
        <n v="8.0"/>
        <n v="5.0"/>
        <n v="2.0"/>
        <n v="4.0"/>
        <n v="1.0"/>
        <n v="16.0"/>
      </sharedItems>
    </cacheField>
    <cacheField name="Q 2024" numFmtId="0">
      <sharedItems containsString="0" containsBlank="1">
        <m/>
      </sharedItems>
    </cacheField>
    <cacheField name="Q 2025" numFmtId="0">
      <sharedItems containsString="0" containsBlank="1">
        <m/>
      </sharedItems>
    </cacheField>
    <cacheField name="Q 2026" numFmtId="0">
      <sharedItems containsSemiMixedTypes="0" containsString="0" containsNumber="1" containsInteger="1">
        <n v="528.0"/>
        <n v="330.0"/>
        <n v="132.0"/>
        <n v="264.0"/>
        <n v="66.0"/>
        <n v="1056.0"/>
        <n v="71.0"/>
      </sharedItems>
    </cacheField>
    <cacheField name="Q Total" numFmtId="0">
      <sharedItems containsString="0" containsBlank="1" containsNumber="1" containsInteger="1">
        <m/>
        <n v="71.0"/>
      </sharedItems>
    </cacheField>
    <cacheField name="Precio U Dolares" numFmtId="0">
      <sharedItems containsString="0" containsBlank="1" containsNumber="1">
        <n v="0.08"/>
        <n v="0.23"/>
        <n v="0.89"/>
        <n v="0.11"/>
        <m/>
        <n v="0.39"/>
        <n v="0.27"/>
        <n v="13.23"/>
        <n v="0.81"/>
        <n v="35.53"/>
        <n v="4.0"/>
        <n v="50.42"/>
        <n v="8.54"/>
        <n v="81.41"/>
        <n v="2.04"/>
        <n v="0.5"/>
        <n v="0.46"/>
        <n v="26.23"/>
        <n v="37.07"/>
        <n v="2937.98"/>
        <n v="2507.54"/>
        <n v="4601.21"/>
      </sharedItems>
    </cacheField>
    <cacheField name="Precio U. Bs" numFmtId="4">
      <sharedItems containsSemiMixedTypes="0" containsString="0" containsNumber="1">
        <n v="0.5568"/>
        <n v="1.6008"/>
        <n v="6.1944"/>
        <n v="0.7656"/>
        <n v="0.0"/>
        <n v="2.7144"/>
        <n v="1.8792000000000002"/>
        <n v="92.0808"/>
        <n v="5.6376"/>
        <n v="247.2888"/>
        <n v="27.84"/>
        <n v="350.9232"/>
        <n v="59.438399999999994"/>
        <n v="566.6136"/>
        <n v="14.1984"/>
        <n v="3.48"/>
        <n v="3.2016"/>
        <n v="182.5608"/>
        <n v="258.0072"/>
        <n v="20448.3408"/>
        <n v="17452.4784"/>
        <n v="32024.4216"/>
      </sharedItems>
    </cacheField>
    <cacheField name="Precio Total" numFmtId="165">
      <sharedItems containsSemiMixedTypes="0" containsString="0" containsNumber="1">
        <n v="0.0"/>
        <n v="1239125.9664"/>
        <n v="2273733.9336"/>
      </sharedItems>
    </cacheField>
    <cacheField name="Observaciones" numFmtId="0">
      <sharedItems containsBlank="1">
        <m/>
        <s v=" 4 x 10-022567, barra de suspensión para OMIV&#10; 4 x 90-022333, PASADOR 4x40&#10; 4 x 50-022145, tornillo de cabeza hexagonal M10x12&#10; 4 x 90-022541, Tapa de sellado, negro&#10; 4 x 10-022848, goma de contrapresión para OMIV"/>
        <s v="Linea Plateada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3:DV381" sheet="No Recurrentes 24-26"/>
  </cacheSource>
  <cacheFields>
    <cacheField name="Ubicación" numFmtId="0">
      <sharedItems containsBlank="1">
        <s v="Estación"/>
        <s v="Torre"/>
        <s v="Vehiculo"/>
        <s v="Generador_Auxiliar"/>
        <s v="Torres"/>
        <m/>
      </sharedItems>
    </cacheField>
    <cacheField name="Tipo de trabajo" numFmtId="0">
      <sharedItems containsBlank="1">
        <s v="Apoyos de par transportador de vehiculos "/>
        <s v="Cambio de amortiguadores"/>
        <s v="Cambio de baterías "/>
        <s v="Dinamo y polea impulsos"/>
        <s v="Estructura"/>
        <s v="Herramienta Cable"/>
        <s v="Lubricacion"/>
        <s v="Mantenimiento Cadenas Transportadoras"/>
        <s v="Mantenimiento de Embragues"/>
        <s v="Mantenimiento Grupos Electrógenos"/>
        <s v="Manto. Agujas"/>
        <s v="Manto. Eléctrico"/>
        <s v="Manto. Forros de frenos"/>
        <s v="Manto. gral. Cabina"/>
        <s v="Manto. Hidraulico"/>
        <s v="Manto. Motores y reductores"/>
        <s v="Manto. Pinza"/>
        <s v="Repuestos Electricos Reposicion Torres"/>
        <s v="Manto. Transmisión Tren de Ruedas"/>
        <s v="OVH Suspension Cabina"/>
        <s v="Poleas de estacion"/>
        <s v="Reacondicionamiento de Poleas Palpadoras"/>
        <s v="Reacondionamiento y cambio de Poleas de torre"/>
        <s v="Sistema de Horquilla"/>
        <s v="Sistema RPD"/>
        <s v="Trompeta"/>
        <m/>
      </sharedItems>
    </cacheField>
    <cacheField name="Tipo de Bien" numFmtId="0">
      <sharedItems containsBlank="1">
        <s v="Lubricante"/>
        <s v="Repuesto Mecánico"/>
        <s v="Repuesto Eléctrico"/>
        <s v="Herramienta"/>
        <s v="Manto. Eléctrico"/>
        <s v="Repuesto Hidráulico"/>
        <s v="Insumo mecánico"/>
        <s v="Repuesto Electrico "/>
        <m/>
      </sharedItems>
    </cacheField>
    <cacheField name="TDB/LOCAL" numFmtId="0">
      <sharedItems containsBlank="1">
        <s v="TDB"/>
        <s v="LOCAL"/>
        <m/>
      </sharedItems>
    </cacheField>
    <cacheField name="Partida" numFmtId="49">
      <sharedItems containsBlank="1">
        <s v="34110"/>
        <s v="39800"/>
        <s v="39700"/>
        <s v="34800"/>
        <s v="34200"/>
        <s v="34300"/>
        <m/>
      </sharedItems>
    </cacheField>
    <cacheField name="ID TDB o ID Almacén" numFmtId="0">
      <sharedItems containsBlank="1">
        <m/>
        <s v="2-01-01265"/>
        <s v="2-02-00107"/>
        <s v="2-01-00567"/>
        <s v="2-01-00636"/>
        <s v="2-02-00050"/>
        <s v="2-02-00599"/>
        <s v="2-01-00289"/>
        <s v="2-01-00086"/>
        <s v="2-01-00085"/>
        <s v="2-01-00037"/>
        <s v="2-01-01049"/>
        <s v="2-01-00416"/>
        <s v="2-01-00264"/>
        <s v="2-01-00849"/>
        <s v="2-01-00835"/>
        <s v="1-05-00042"/>
        <s v="2-01-00650"/>
        <s v="1-01-00300"/>
        <s v="2-01-00103"/>
        <s v="2-01-00104"/>
        <s v="2-01-00217"/>
        <s v="2-01-00102"/>
        <s v="2-01-00844"/>
        <s v="2-01-00185"/>
        <s v="2-01-00024"/>
        <s v="2-01-00008"/>
        <s v="2-01-00100"/>
        <s v="2-01-00183"/>
        <s v="2-01-00178"/>
        <s v="2-01-00744"/>
        <s v="2-01-00855"/>
        <s v="2-01-00184"/>
        <s v="2-01-00060"/>
        <s v="2-01-00847"/>
        <s v="2-01-00741"/>
        <s v="2-01-00569"/>
        <s v="3-03-00001"/>
        <s v="2-01-00740"/>
        <s v="2-01-00934"/>
        <s v="2-02-00122"/>
        <s v="2-02-00674"/>
        <s v="2-01-00857"/>
        <s v="2-01-00243"/>
        <s v="2-02-00136"/>
        <s v="2-02-00666"/>
        <s v="2-02-00694"/>
        <s v="2-01-00691"/>
        <s v="2-01-00122"/>
        <s v="2-02-00180"/>
        <s v="2-06-00018"/>
        <s v="2-06-00029"/>
        <s v="2-02-00672"/>
        <s v="2-02-00152"/>
        <s v="2-06-00028"/>
        <s v="2-02-00616"/>
        <s v="2-02-00640"/>
        <s v="2-02-00633"/>
        <s v="2-06-00026"/>
        <s v="2-02-00385"/>
        <s v="2-02-00603"/>
        <s v="2-02-00036"/>
        <s v="2-02-00106"/>
        <s v="2-02-00006"/>
        <s v="2-02-00007"/>
        <s v="2-02-00028"/>
        <s v="2-02-00149"/>
        <s v="2-02-00161"/>
        <s v="2-02-00150"/>
        <s v="2-02-00388"/>
        <s v="2-02-00003"/>
        <s v="2-02-00379"/>
        <s v="2-02-00177"/>
        <s v="2-02-00380"/>
        <s v="2-02-00001"/>
        <s v="2-02-00030"/>
        <s v="2-02-00023"/>
        <s v="2-06-00039"/>
        <s v="2-02-00024"/>
        <s v="2-02-00372"/>
        <s v="2-02-00169"/>
        <s v="2-02-00025"/>
        <s v="2-02-00026"/>
        <s v="2-02-00193"/>
        <s v="2-02-00040"/>
        <s v="2-01-00211"/>
        <s v="2-02-00190"/>
        <s v="2-02-00100"/>
        <s v="2-02-00099"/>
        <s v="2-04-00009"/>
        <s v="2-01-00553"/>
        <s v="2-01-00222"/>
        <s v="2-01-00425"/>
        <s v="2-02-00653"/>
        <s v="2-01-00634"/>
        <s v="2-01-00225"/>
        <s v="2-02-00598"/>
        <s v="2-01-00486"/>
        <s v="2-01-00115"/>
        <s v="2-01-00654"/>
        <s v="2-01-00866"/>
        <s v="2-01-00645"/>
        <s v="TDB00098"/>
        <s v="2-01-00116"/>
        <s v="2-01-00287"/>
        <s v="2-02-00384"/>
        <s v="2-01-00878"/>
        <s v="TDB00089"/>
        <s v="TDB00096"/>
        <s v="2-04-00118"/>
        <s v="2-04-00003"/>
        <s v="2-01-00568"/>
        <s v="2-01-00234"/>
        <s v="2-04-00017"/>
        <s v="2-01-00577"/>
        <s v="2-01-00576"/>
        <s v="2-01-00432"/>
        <s v="2-04-00090"/>
        <s v="2-01-00578"/>
        <s v="2-01-00345"/>
        <s v="2-04-00053"/>
        <s v="2-01-00172"/>
        <s v="2-01-00240"/>
        <s v="2-04-00006"/>
        <s v="2-04-00066"/>
        <s v="2-04-00065"/>
        <s v="2-01-00402"/>
        <s v="2-01-00405"/>
        <s v="2-01-00424"/>
        <s v="2-01-00401"/>
        <s v="2-01-00404"/>
        <s v="2-01-00400"/>
        <s v="2-01-00935"/>
        <s v="3-01-00022"/>
        <s v="2-01-01138"/>
        <s v="2-01-00563"/>
        <s v="2-01-00562"/>
        <s v="2-01-00812"/>
        <s v="2-01-01140"/>
        <s v="2-01-00958"/>
        <s v="2-01-01144"/>
        <s v="2-01-00828"/>
        <s v="2-01-00988"/>
        <s v="2-01-00827"/>
        <s v="6-01-00211"/>
        <s v="2-01-00686"/>
        <s v="2-01-00297"/>
        <s v="2-01-00075"/>
        <s v="2-01-00096"/>
        <s v="2-01-00052"/>
        <s v="2-01-00123"/>
        <s v="2-02-00279"/>
        <s v="2-01-00420"/>
        <s v="2-01-00018"/>
        <s v="2-01-00118"/>
        <s v="2-01-00029"/>
        <s v="2-01-00419"/>
        <s v="2-01-00876"/>
        <s v="2-01-00353"/>
        <s v="2-01-00363"/>
        <s v="2-01-00021"/>
        <s v="2-01-00284"/>
        <s v="2-01-00192"/>
        <s v="2-01-00282"/>
        <s v="2-01-00023"/>
        <s v="2-01-00286"/>
        <s v="2-01-00351"/>
        <s v="2-01-00349"/>
        <s v="2-01-00348"/>
        <s v="Nuevo"/>
        <s v="2-01-00019"/>
        <s v="2-01-00874"/>
        <s v="2-01-00442"/>
        <s v="2-01-00002"/>
        <s v="2-01-00038"/>
        <s v="2-01-00003"/>
        <s v="2-01-00595"/>
        <s v="2-01-00101"/>
        <s v="2-01-00232"/>
        <s v="1-01-00763"/>
        <s v="2-01-00233"/>
        <s v="2-01-00004"/>
        <s v="2-01-00001"/>
        <s v="2-01-00009"/>
        <s v="2-01-00275"/>
        <s v="2-01-00701"/>
        <s v="2-01-00840"/>
        <s v="2-01-00298"/>
        <s v="2-01-00179"/>
        <s v="2-01-00399"/>
        <s v="1-01-00034"/>
        <s v="1-08-00038"/>
        <s v="2-01-00198"/>
        <s v="2-01-00336"/>
        <s v="2-01-00201"/>
        <s v="2-01-00335"/>
        <s v="2-01-00333"/>
        <s v="2-01-00738"/>
        <s v="2-01-00922"/>
        <s v="2-01-00270"/>
        <s v="2-01-01002"/>
        <s v="2-01-00371"/>
        <s v="2-01-00056"/>
        <s v="2-01-00277"/>
        <s v="1-01-00678"/>
        <s v="2-01-00045"/>
        <s v="2-01-00985"/>
        <s v="2-01-00674"/>
        <s v="2-01-01053"/>
        <s v="2-01-00666"/>
        <s v="2-01-00014"/>
        <s v="2-01-00254"/>
        <s v="2-01-00875"/>
        <s v="2-01-01048"/>
        <s v="2-01-00575"/>
        <s v="2-01-00237"/>
        <s v="2-01-00036"/>
        <s v="2-01-00253"/>
        <s v="2-01-00057"/>
        <s v="2-01-00035"/>
        <s v="2-01-00058"/>
        <s v="2-01-00238"/>
        <s v="2-01-00326"/>
        <s v="2-01-00142"/>
        <s v="2-01-00041"/>
        <s v="2-01-01050"/>
        <s v="2-01-00871"/>
        <s v="2-01-00521"/>
        <s v="2-01-00325"/>
        <s v="2-01-00571"/>
        <s v="2-01-00043"/>
        <s v="2-01-00042"/>
        <s v="&#10;2-01-00570"/>
        <s v="2-01-00657"/>
        <s v="2-01-00430"/>
        <s v="2-01-00428"/>
        <s v="2-01-00265"/>
        <s v="2-02-00606"/>
        <s v="2-02-00105"/>
        <s v="2-01-00181"/>
        <s v="2-01-00182"/>
        <s v="2-01-00099"/>
        <s v="2-02-00044"/>
        <s v="2-02-00337"/>
        <s v="2-02-00333"/>
        <s v="2-02-00151"/>
        <s v="2-02-00334"/>
        <s v="2-01-00226"/>
      </sharedItems>
    </cacheField>
    <cacheField name="ID Cotizado">
      <sharedItems containsBlank="1" containsMixedTypes="1" containsNumber="1" containsInteger="1">
        <n v="1.2157993E7"/>
        <n v="1.1805532E7"/>
        <m/>
        <s v="10011103"/>
        <s v="10363851"/>
        <s v="10317357"/>
        <s v="10607522"/>
        <s v="10031327"/>
        <s v="10876923"/>
        <s v="10083913"/>
        <s v="10134472"/>
        <s v="10420184"/>
        <s v="10012363"/>
        <s v="10986283"/>
        <s v="10030309"/>
        <s v="10075740"/>
        <s v="10312021"/>
        <s v="10752990"/>
        <s v="10004462"/>
        <s v="10006287"/>
        <s v="10108623"/>
        <s v="10863213"/>
        <s v="11825539"/>
        <s v="10863210"/>
        <s v="10863212"/>
        <s v="10895074"/>
        <s v="10999021"/>
        <s v="10942167"/>
        <s v="10589800"/>
        <s v="10014917"/>
        <s v="10022092"/>
        <s v="10591867"/>
        <s v="10286649"/>
        <s v="10000080"/>
        <s v="11459709"/>
        <s v="10014372"/>
        <s v="10000079"/>
        <s v="10510139"/>
        <s v="10405979"/>
        <s v="10871603"/>
        <s v="10001135"/>
        <s v="10396893"/>
        <s v="10872356"/>
        <s v="10022477"/>
        <s v="10182666"/>
        <s v="10000077"/>
        <s v="11424318"/>
        <s v="10001205"/>
        <s v="10001861"/>
        <s v="10000029"/>
        <s v="10000078"/>
        <n v="1.0001201E7"/>
        <n v="1.0541941E7"/>
        <s v="11311021"/>
        <s v="11319201"/>
        <s v="11319448"/>
        <s v="10004713"/>
        <s v="10874437"/>
        <s v="11423011"/>
        <s v="10001273"/>
        <s v="11318364"/>
        <s v="11440603"/>
        <s v="10001177"/>
        <s v="10001175"/>
        <n v="1.0966162E7"/>
        <n v="1.1651921E7"/>
        <s v="10781147"/>
        <s v="10781148"/>
        <s v="10239621"/>
        <s v="10004076"/>
        <s v="11308584"/>
        <s v="10291787"/>
        <s v="10773993"/>
        <s v="11648751"/>
        <s v="11518384"/>
        <s v="11416872"/>
        <s v="10320444"/>
        <s v="10763651"/>
        <s v="11154982"/>
        <s v="12020753"/>
        <s v="11822382"/>
        <s v="10370624"/>
        <s v="10299843"/>
        <s v="10040024"/>
        <s v="11131578"/>
        <s v="10355572"/>
        <s v="10059696"/>
        <s v="10449062"/>
        <s v="10755957"/>
        <s v="10191058"/>
        <s v="10894070"/>
        <s v="10479904"/>
        <s v="10059482"/>
        <s v="11867392"/>
        <s v="10763604"/>
        <s v="11174868"/>
        <s v="11174869"/>
        <s v="10756000"/>
        <s v="10755946"/>
        <s v="10169784"/>
        <s v="10269267"/>
        <s v="10257510"/>
        <s v="10169788"/>
        <s v="11142261"/>
        <s v="11518383"/>
        <s v="11525688"/>
        <n v="1.2046649E7"/>
        <s v="10593193"/>
        <s v="10763595"/>
        <s v="11867163"/>
        <s v="11536054"/>
        <s v="11100172"/>
        <s v="10848411"/>
        <s v="10755953"/>
        <s v="11536046"/>
        <s v="10763588"/>
        <s v="11131929"/>
        <s v="11435529"/>
        <s v="10755956"/>
        <s v="10753716"/>
        <s v="10755941"/>
        <s v="10059382"/>
        <s v="10755943"/>
        <s v="10755939"/>
        <n v="1.1176987E7"/>
        <s v="10821130"/>
        <s v="10755944"/>
        <s v="10755945"/>
        <s v="10124176"/>
        <s v="10414546"/>
        <s v="11174925"/>
        <n v="1.0274814E7"/>
        <s v="10026293"/>
        <s v="11320520"/>
        <s v="11884484"/>
        <s v="10123834"/>
        <s v="10124175"/>
        <s v="10109100"/>
        <s v="11439227"/>
        <s v="11246907"/>
        <s v="10020270"/>
        <s v="10450482"/>
        <n v="0.0"/>
        <s v="11673191"/>
        <s v="11101309"/>
        <n v="1.076544E7"/>
        <s v="90-041648"/>
        <s v="11876051"/>
        <s v="11808104"/>
        <s v="11157571"/>
        <s v="11001896"/>
        <s v="11129582"/>
        <s v="10752724"/>
        <s v="11412554"/>
        <s v="90-083786"/>
        <n v="1.0631452E7"/>
        <s v="11101307"/>
        <n v="1.110585E7"/>
        <n v="1.1536859E7"/>
        <s v="11672779"/>
        <s v="90-083788"/>
        <s v="90-083828"/>
        <s v="110049475"/>
        <s v="11-000505"/>
        <s v="90-035037"/>
        <n v="1.1416549E7"/>
        <s v="10690825"/>
        <s v="11139369"/>
        <s v="11412221"/>
        <s v="10311398"/>
        <s v="10397941"/>
        <s v="11160476"/>
        <s v="11247815"/>
        <s v="11247961"/>
        <s v="10261450"/>
        <s v="11668572"/>
        <s v="11780604"/>
        <s v="11430646"/>
        <s v="11405441"/>
        <s v="11247814"/>
        <s v="11247090"/>
        <s v="11402505"/>
        <s v="10661660"/>
        <s v="11668565"/>
        <s v="11247093"/>
        <s v="10494432"/>
        <s v="10149444"/>
        <s v="11797138"/>
        <s v="10302502"/>
        <s v="10966111"/>
        <s v="11430674"/>
        <s v="10007252"/>
        <s v="10966166"/>
        <s v="10691338"/>
        <s v="10966162"/>
        <s v="10034666"/>
        <s v="10302503"/>
        <s v="11314853"/>
        <s v="10688026"/>
        <s v="11324514"/>
        <s v="10004575"/>
        <s v="10032632"/>
        <s v="10001167"/>
        <n v="1.1138884E7"/>
        <n v="1.1424859E7"/>
        <s v="10536915"/>
        <n v="1.1879327E7"/>
        <s v="12047873"/>
        <s v="11420014"/>
        <s v="11420025"/>
        <s v="11420022"/>
        <s v="11420011"/>
        <s v="10441667"/>
        <s v="11355248"/>
        <s v="10591180"/>
        <s v="10488429"/>
        <s v="10274719"/>
        <s v="11531396"/>
        <s v="10488425"/>
        <s v="10709660"/>
        <s v="12006672"/>
        <s v="10274054"/>
        <s v="10628260"/>
        <s v="10625658"/>
        <s v="10488427"/>
        <s v="12023240"/>
        <s v="10274056"/>
        <s v="10274057"/>
        <s v="10274052"/>
        <s v="10083923"/>
        <s v="10687475"/>
        <s v="10488431"/>
        <s v="11304628"/>
        <s v="10292406"/>
        <s v="10001860"/>
        <s v="11125072"/>
        <n v="1.0488571E7"/>
        <n v="1.1982756E7"/>
        <n v="1.0488086E7"/>
        <s v="10506622"/>
        <s v="10686566"/>
        <s v="10275085"/>
        <s v="10309716"/>
        <s v="10082482"/>
        <s v="10217238"/>
        <s v="10004079"/>
        <s v="10745857"/>
        <s v="12008364"/>
        <s v="10360353"/>
        <s v="10745855"/>
        <s v="10388513"/>
        <s v="10241558"/>
        <s v="10319011"/>
        <s v="10388509"/>
        <s v="10567647"/>
        <s v="10873673"/>
        <s v="10653936"/>
        <s v="10000398"/>
        <s v="10000083"/>
        <n v="1.0413477E7"/>
        <s v="10689732"/>
        <s v="11211339"/>
        <s v="10894128"/>
        <s v="10568945"/>
        <s v="10542461"/>
        <s v="10340528"/>
        <s v="11288340"/>
        <s v="10392341"/>
        <s v="10000123"/>
        <s v="11870273"/>
        <s v="11870272"/>
        <s v="11107822"/>
        <s v="10681429"/>
        <s v="11107830"/>
        <s v="10918361"/>
        <s v="10168055"/>
        <s v="10505294"/>
        <s v="10941743"/>
        <s v="11200291"/>
        <s v="11040059"/>
        <s v="11200310"/>
        <s v="11359147"/>
        <s v="10871377"/>
        <s v="10358198"/>
        <s v="11430348"/>
        <s v="11340463"/>
        <s v="11430463"/>
        <s v="10186109"/>
        <s v="10518986"/>
        <s v="10748290"/>
        <s v="10919457"/>
        <s v="10083926"/>
        <s v="10303440"/>
        <s v="11040092"/>
        <s v="10003997"/>
        <s v="10000409"/>
        <s v="10149393"/>
        <s v="10294771"/>
        <s v="10000400"/>
        <s v="10294788"/>
        <s v="10220577"/>
        <s v="10186108"/>
        <n v="1.0616666E7"/>
        <n v="1.0435852E7"/>
        <n v="1.0000571E7"/>
        <s v="10539609"/>
        <s v="11094109"/>
        <n v="1.0946774E7"/>
        <s v="10420185"/>
        <s v="11424677"/>
        <s v="10946773"/>
        <s v="10465474"/>
        <s v="11430351"/>
        <s v="10293344"/>
        <s v="10456209"/>
        <s v="10834216"/>
        <s v="10834428"/>
        <s v="10096799"/>
        <s v="10530985"/>
        <s v="11163458"/>
        <s v="11163457"/>
        <s v="11456353"/>
        <s v="10006291"/>
        <s v="10006292"/>
        <s v="10166095"/>
        <s v="10001088"/>
        <s v="10873363"/>
        <s v="10302030"/>
        <s v="10302028"/>
        <n v="1.131792E7"/>
        <s v="10302026"/>
        <s v="11135996"/>
      </sharedItems>
    </cacheField>
    <cacheField name="Descripción del Bien" numFmtId="0">
      <sharedItems containsBlank="1">
        <s v="Aceite lubricantes ISO220 (GETRIEBEOEL  ALPHASYN EP 220   FASS ZU A 208,0LTR     CASTROL)"/>
        <s v="AMORTIGUADOR TOURING EM835002 (AMORTIGUADOR TURING 316 975 Nº PEDIDO: 81 4901 003 608)"/>
        <s v="BATERIA PARA SISTEMA LOOP 21 EN CABINAS 12V 55 Ah (22,3x10x27,3) (DISP.DE COMUNICACIÓN P. CABINA SEG. OFERTA 1603 HOLZKNECHT)"/>
        <s v="DÍNAMO TACOM.REO444 R1B 0,06EG JT-IP56 CON MAX.10000RPM-0,18A"/>
        <s v="POLEA +COJIN. P.POL.CONT.DIA29 PARA POLEA CONTADORA"/>
        <s v="ARO DE GOMA  290X44 SIN RANURA PARA POLEA"/>
        <s v="BULÓN DIA.30 H8 - L= 120       PARA POLEA CONTADORA"/>
        <s v="ESCOBILLA STAND. 31-41-EG 600V P. DÍNAMO TACOM. REO 444 R"/>
        <s v="ESCOBILLA DE CARBÓN 5/4/8.5 P. TACOM. HUEBNER Nº ID 10875889"/>
        <s v="CASQUILLO PM 3030 DS  TIPO: KW SIN AGUJ.DE ENGRASE    GLACIER"/>
        <s v="RODAM.R.B. DIN 625/1- 6008-2RS RODAMIENTO RANURADO DE BOLAS"/>
        <s v="ROD.RB DIN625/1-6204-2RS1-C3LT VT210  TTF90% +/-5% RODAM.RAN."/>
        <s v="ARO DE GOMA  254X44 SIN RANURA "/>
        <s v="RESORTE DE COMPRESIÓN D=7,50/DIÁ=47,5/AG=94,0 IF=4,95 DIN2095"/>
        <s v="BULÓN DIA.19,9 LN 127 M16      PARA POLEA DE PRESIÓN TIPO 0/A"/>
        <s v="ARANDELA DIST. DM 46,6/20 S=10 P.POLEA TIPO OE/A"/>
        <s v="TUERCA AUTOBLOC. BILOC - 8 M16 GALVAN.           WOLTERS GMBH"/>
        <s v="NIPLE ENGRASE M10X1 H1 RES.RESF. NIPLE CÓNICO DE ENGRASE 0°"/>
        <s v="NIPLE ENGRASE B  M10X1 DIN71412 RACOR CÓNICO ENGRASE 45 GRAD"/>
        <s v="RES.C. A=1,00/DIA.7,0/LSC=20,0 EE=  7,5; RES.DE COMPR.DIN2095"/>
        <s v="LEVANTACABLE P.CON.POL.DEFL.F. P.POLEAS D.APOYO EN AMBOS LAD."/>
        <s v="CEPILLO P. LUBRCAR PERMA 40X30 G1/4I, A101397"/>
        <s v="MANGUERA PTFE      6,00 / 8,00 COLOR: NATURAL"/>
        <s v="VÁLVULA DE RETENCIÓN DE ACEITE PERMA         A 104862"/>
        <s v="EMPALME DE MANGUERA PERMA G1/4A                     A104822"/>
        <s v="REDUCTOR PERMA M6                                    A 104837"/>
        <s v="RODILLO DE PLÁSTICO DIÁ. 80/ 17   B= 50"/>
        <s v="ACHSE   DM 14.8 LG  80                                    GVZ"/>
        <s v="POLEA DIÁ.47/12,0  B=20,0 PARA CADENA TRANSPORTADORA 4&quot;"/>
        <s v="POLEA DIA. 30/ 6,2  A= 20,0    PARA CADENA TRANSPORTADORA"/>
        <s v="RODAM.R.BOL.DIN625/1- 6016-2RS RODAMIENTO RANURADO DE BOLAS"/>
        <s v="DI-BU    DM  20,0/ 12.5 L=  16 "/>
        <s v="EMPUJADOR P.CAD.TRANSP.148X203 S=13,5 TRANSF.CORTA, C. CASQU."/>
        <s v="TUERCA HEXAGONAL DIN 985-8 M12, GALVANIZADA (C.ELEM.DE FIJ.)"/>
        <s v="ESLABÓN P. CADENA TRANSP. 2&quot;X17,02 DISTANCIA 8X2&quot;"/>
        <s v="RESORTE TORS.2,00X19,0/15,0X10 DIN 2088"/>
        <s v="TUERCA HEXAG. DIN 985-8 M10 ELECTROGALV. (C.ELEM.DE FIJAC.)"/>
        <s v="TORNILLO ISO 4014-8.8 M8X130 GALV. TORN. HEXAG."/>
        <s v="UÑA - CADENA P.TRANSP. 165X155 S=19   D=10,0"/>
        <s v="ARANDELA ISO 7089 M12 300AR FLZNNC-720H-L LAM.CINC SIN BISEL"/>
        <s v="TORNILLO DIN 931-8.8 M6X35, TORN.HEX., GALVAN. (ISO 4014)"/>
        <s v="RESORTE T.2,20X18,0/14,0X 10   DIN 2088"/>
        <s v="ARANDELA DIN 7349-8,4 300HV, FLZNNC-720H-L, REV.ZINC LAM. S.B"/>
        <s v="ARANDELA AJ. DIN988 12X 18X1,0 BRILLANTE, ACEITADO"/>
        <s v="SOPORTE DE POLEA P. CADENA TRANSP."/>
        <s v="TUERCA HEXAG. DIN 985- 8 M 6 GALVAN. (CON PIEZA DE APRIETE)"/>
        <s v="ARANDELA ISO 7089 M10 300HV GALV.P.INM.CAL. SIN BISEL"/>
        <s v="TORNILLO ISO 4014-8.8 M10X90 GALVAN. TORN. HEXAG."/>
        <s v="TORNILLO ISO 4017-8.8 M8X25, TORN. HEXAG., GALVANIZADO"/>
        <s v="TUERCA HEX. ISO 4032-8 M8 GALVANIZADA"/>
        <s v="TUERCA HEXAG. DIN 985- 8 M 8  GALVANIZ. (CON PIEZA DE APRIETE"/>
        <s v="TORNILLO ISO 8.8 M10X75"/>
        <s v="SPRAY PARA CADENA TRANSPORTADORA 2&quot;/4&quot; 0.4L PARA PARKING, CADENA RENOLD"/>
        <s v="AUSSENKOERPER 522.26     ART.NR. 676433           MOENNINGHOF"/>
        <s v="MAGNETTEIL 522.26-SO                             MOENNINGHOFF"/>
        <s v="LAMELLENPAKET  TYP 521/522.26                    MOENNINGHOFF"/>
        <s v="ANILLO &quot;V&quot; V 250 L             "/>
        <s v="V-RING  V 220 L"/>
        <s v="TORNILLO ISO 4762-8.8 M16X35 FLZNNC-480H-L;CIL. REB.LAM.ZN"/>
        <s v="TORNILLO ISO 4762 8.8 M 8X40    CILINDRICO, GALVAN."/>
        <s v="VERSCHLUSST.   GPN 900  A13,5  KAPSTO"/>
        <s v="SHR ISO 4762- 8.8 M 4X 10  GVZ  ZYL-SHR, GALV.VERZINKT"/>
        <s v="SHR ISO 4762- 8.8 M 5X 12  GVZ  ZYL-SHR, GALV.VERZINKT"/>
        <s v="TORNILLO ISO 4762- 8.8 M 5X 10 DE CABEZA CILINDRICA, GALVAN."/>
        <s v="MANGUERA AP AN10-2SC L=1400MM     DKOL-12/DKOL-12"/>
        <s v="AcOPLAM.DE FRENO A353/B293 500NM-08"/>
        <s v="BATERIA 950 CCA 850A 90AH"/>
        <s v="PRECALENTADOR VOLTAGE ON VOLTAJE 230/240 VATAJE 1500VATTIOS"/>
        <s v="PRECALENTADOR DE 1000 W 240 V MOD LR 1843 (MOTOR TERMICO)"/>
        <s v="RIEL DE ENLACE RECTO PASO SOLD. SD PIEZA SOLDADA"/>
        <s v="CARRIL DE CONEXIÓN RECTO CONEX. SOLD. IE PZA SOLDADA"/>
        <s v="JUNTA CARD.A RÓT. TS ATL/BSA 25 R.EXT.=M12X1,75"/>
        <s v="RODAM.RAN. DIN 625/1- 6305-2RS RODAMIENTO RANURADO DE BOLAS"/>
        <s v="TORNILLO ISO 4017-8.8U M16X80 GIC TORN. HEXAG."/>
        <s v="TORNILLO ISO 4017- 8.8U M12X 50 HEXAG. GALVAN.INM.CALIENTE"/>
        <s v="UNID.DE PR.CENTR.DM MOD.FS CPU PROGRAMADA"/>
        <s v="CONTACTOR  AF305-30-22-13      1SFL587002R1322        ABB"/>
        <s v="BATERIA A GEL DE 12 VOLTIOS - 100 AMPERIOS"/>
        <s v="ACOPLAD.FIBROÓPT. SBR-FX15000/RMD V2.0 Nº 12-20-540-81 ESCLA."/>
        <s v="VENTILADOR TIPO: SPR-MEC21543, P. DISP. NX DE VACON"/>
        <s v="CIRC.IMP.BLSCHAS2 PROT.C.RAYOS DOTADO                  LUETZE"/>
        <s v="FUENTE ALIMENT. CONMUT. PULS QS20.481 100-240VAC-48VDC/10A"/>
        <s v="ARRANCAD. INVERS. ELR H5-SC-24VDC/ 500AC-9 N.°2900538 PHOENIX"/>
        <s v="CARGADOR BLUE SMART 24/12     A PRUEBA DE AGUA VICTRON ENERGY"/>
        <s v="PROT. CONTRA SOBRETENS. ALIMENT. PHOENIX CONTACT Nº 2907920"/>
        <s v="INTERR. PROXIM. F1 GS (ROJO) PULSOR  M18 9914-1735 ANALÓGICO"/>
        <s v="POTENCIÓMETRO PAP4 INCL. FILTRO N.° 305158 P. RS232/RPD PILZ"/>
        <s v="CONTADOR HORAS DE SERVICIO R5 97 10-50V DC 96X96MM BAUSER"/>
        <s v="ELEMENTO BASE P. ENCHUFE PROTECT. PHOENIX CONTACT N.°:2839376"/>
        <s v="INTERRUPT.PROXIM.KD5018    IFM KAPAZITIV           M.LED-GELB"/>
        <s v="INTERRUPT.LLAVE 22-353.111D  EAO 2 CONT.DE CIERRE 24X36 NEGRO"/>
        <s v="BATTERIE CR2450    3,0V 560MAH LITHIUM"/>
        <s v="FUSIBLE AUTOM. CA/CC 5SY6 320-7  TRIPOL./20A/CURVA C  SIEMENS"/>
        <s v="BATERIA DE LITIO    3,6V 2,6AH TAMAÑO: AA"/>
        <s v="BATERÍA CR2477N     3,0V 950MAH LITIO"/>
        <s v="RELÉ DE SEGURIDAD SR2M 2 CAMBIADOR   V23047-A1024-A501"/>
        <s v="CONMUTADOR     M10H EU3 +OV    PROTEG.CONTR CONT.ACCID. TELUX"/>
        <s v="OPTOACOPLADOR LCIS-SR-DC-2L-5000140-PI  LUETZE 764050.0140"/>
        <s v="CONTACTOR KG3-18A10.24  24V/CC (1 CIERRE) BENEDIKT&amp;JAEGER"/>
        <s v="INTERR.PROT.MOTOR  0,25- 0,40A MS132-0.4-HKF1-11 1CI+1AP ABB"/>
        <s v="INTERR.PROT.MOTOR  0,40- 0,63A MS132-0.63-HKF1-11 1CI+1AP ABB"/>
        <s v="BLOQUE DE CONTACTO AUXILIAR 5ST3 010  1T +1R   SIEMENS"/>
        <s v="FUSIBLE AUTOMÁT. CA/CC 5SY6 120-7 UNIPOL./20A/CURVA C SIEMENS"/>
        <s v="ENCHUFE POTEN.GDM 3009 3-AFIL. DIN 43650-A/ISO4400"/>
        <s v="MICRORELÉ    MY4ZIN1 24VCC     CONTACTO INVERSOR DE 14 POLOS"/>
        <s v="PORTAFUSIB. RSS 214   14POLAR  ART. N°:180050            TELE"/>
        <s v="EMPAQUETADURA PERFIL GDM 3-16  731 531-002 PARA GDM 3009"/>
        <s v="INTERR. ETHERNET MANEJADO L210-F2G LYNX PROGRAMADO"/>
        <s v="ACOPLADOR FIBROÓPT. SBR-FX15000/RMD V2.0 Nº:12-20-540-80 MAES"/>
        <s v="INTERR. ETHERNET 1XGOL          MONOMODO/4RJ45     WESTERMO"/>
        <s v="INTERRUPTOR DE POTENCIA (LEISTUNGSSCHALTER TMAX XT5H 630 3P KOMPL. F.AF300         ABB)"/>
        <s v="CARGADOR SKYLLA-TG 24/50  AJUSTADO   VICTRON ENERGY"/>
        <s v="CONTACTOR K3-50A00.230      CA                BENEDIKT&amp;JAEGER"/>
        <s v="MOTORSCHUTZSCHALT. 30,0- 42,0A MS165-42                   ABB"/>
        <s v="FI-SCHALTER 5SV3 646-8     63A AUSLOESESTROM 0,3A     SIEMENS"/>
        <s v="INTERRUPT.CORR.FI 5SU1 354-6KK06 6A CORR.LIBER. 0,03A SIEMENS"/>
        <s v="BLITZDUCTOR  Nº ART. 920324     MÓDULO DE PROT. BXT ML4 BE 24"/>
        <s v="FUSIBLE AUTOMÁT. CA/CC 5SY6 302-7 TRIPOL./2A/CURVA C  SIEMENS"/>
        <s v="INTERR. CORR. DEF. 5SV3 344-6LA01 40A CORR.ACT. 0,03A SIEMENS"/>
        <s v="CONTACTOR K3-24A00.230      CC                BENEDIKT&amp;JAEGER"/>
        <s v="PROTECC.SOBREVOLTAJE ALIM.CORRIENTE PHOENIX CONTACT NO.2839.."/>
        <s v="RELE DE TIEMPO K3ZM20P-D    2-240V AC/DC        TELE HAASE"/>
        <s v="FUSIBLE AUTOMÁT. CA/CC 5SY6 316-7 TRIPOL./16A/CURVA C SIEMENS"/>
        <s v="VORRATSANZEIGE 0-1/4-4/4   24V P/N 0015ECT"/>
        <s v="FUSIBLE AUTOMÁT. CA/CC 5SY6 104-7  UNIPOL/4A/CURVA C  SIEMENS"/>
        <s v="INTERRUPT.PROXIM.IFRM 12P1701/ S14L INDUCTIVO DIA.12  PNP NO"/>
        <s v="FUSIBLE AUTOM. CA/CC 5SY6 106-7  UNIPOL./6A/CURVA C  SIEMENS"/>
        <s v="FUSIBLE AUTOM. CA/CC 5SY6 101-7       1P/1A/CURVA C  SIEMENS"/>
        <s v="MODULO DE INTERFACE, RJ45 IF, GOGATECH GMBH"/>
        <s v="CONTACTOR KG3-07D04.24  CC (4 APERTURA)     BENEDIKT&amp;JAEGER"/>
        <s v="FUSIBLE AUTOM. CA/CC 5SY6 110-7  UNIPOL./10A/CURVA C  SIEMENS"/>
        <s v="FUSIBLE AUTOM. CA/CC 5SY6 116-7  UNIPOL./16A/CURVA C  SIEMENS"/>
        <s v="BLOQUE DE CONTACTO 1OE B3T01 (INSTAL.FRONTAL) BENEDIKT&amp;JAEGER"/>
        <s v="MICRORELÉ    RT425024          TENSION BOBINA: 24V/DC SCHRACK"/>
        <s v="INTERR. AUXIL. P. MS4XX   1NO/1NC HK4-11                  ABB"/>
        <s v="cabezal de final de carrera"/>
        <s v="CONTACTO AUXILIAR 1S   HN 10       BENEDIKT&amp;JAEGER"/>
        <s v="COMPONENTE RC 110-230V RC-K3N 230 (CA/CC) BENEDIKT&amp;JAEGER"/>
        <s v="LÁMPARA LED ROJA 24V CA/CC P. CASQUILLO BA 9S N.°18602350"/>
        <s v="PORTALÁMPARA     B3F   FRONTAL       BENEDIKT&amp;JAEGER"/>
        <s v="BLOQUE DE CONTACTO 1S  B3T10 INSTAL.FRONTAL BENEDIKT&amp;JAEGER"/>
        <s v="PIEZA DE ACOPLAM. P. BOTÓN B3M      BENEDIKT&amp;JAEGER"/>
        <s v="CONV.MANOMÉTR. TIPO 8254.65.2317.32.0000.  0000.19.44.83 TRAF"/>
        <s v="INVALID: CLAVIJA BFA CON CABLE 3 POLOS N°: 7000-18021-6361000   MURR"/>
        <s v="ZAPATA FRENO 260X120/10 COMPL. FRENO DE EMERG. 50KN"/>
        <s v="ZAPATA DE FRENO     190X120X27 "/>
        <s v="SOPORTE DE PLATAFORMA PARA LA CABINA, PERFIL"/>
        <s v="BATERÍA LIBRE DE MANTENIMIENTO&#10;12V - 9Ah, 2-02-00653"/>
        <s v="BULÓN DE BLOQUEO P. ASIENTOS Nº ART.: 10-000477 CWA"/>
        <s v="RODAMIENTO C.SOP:ABRIDADO BK1 20/23/30X20+1,5 NO.ART.: 806568"/>
        <s v="PASADOR P. PEDESTAL INOX 58,7X40X400MM ART.: 11-067649"/>
        <s v="ROLDANA PARA APERTURA A/C MODELO E DIÁMETRO 65 A 30"/>
        <s v="CERRADURA DE PESTILLO, OMIV&#10;PARA CUBIERTAS LATERALES Y SUPERIORES"/>
        <s v="TUERARM LI+RE OMIV ET-SET KPL. ARTNR.:11-096246    BEST. AUS:"/>
        <s v="MANDO A DIST. CWA DERECHA-EXER. Nº ART. 11-080638"/>
        <s v="RODAMIENTO CONICO (MM) HR30203J-NSK 9585 MEDIDAS: 17.00X40.00X13.30 MM"/>
        <s v="CONVERSOR DE TENSION CC10-F-350NB Inout: 10-52 VDC, Output: 3V"/>
        <s v="INVALID: RESORTE DE BRAZOS 1 OMIII/OMIV/CO VE=5 STK ANR.:409533"/>
        <s v="BRAZO DE PUERTA LADO IZQUIERDO, OMIV"/>
        <s v="TORNILLO HEXAG. M10X50 GALV. Nº ART. 809559 C. REV. TUFLOK"/>
        <s v="TOPE GUIA PARA INSERTO DE CABINA 22.2MM X 17.7MM"/>
        <s v="BULÓN P. CILINDRO AMORT. MGD Y CLD"/>
        <s v="Terminales enchufables plano hembra # 8 con aislamiento"/>
        <s v="TORNILLO DE FIJACION M6, NO.10.100.365 C.COLLAR DE PL.+ANILLO"/>
        <s v="PLACA ELECTRONICA CONTROL DE PANEL SOLAR 90-083786"/>
        <s v="CASQUILLO GOM./MET. DIÁ.145/70 L=135 FMAX=85KN     GMT"/>
        <s v="CAB.ARTICUL.DE.ROT.10/M8 INOX. N° ART. 806598"/>
        <s v="CABLE DE ACCIONAMIENTO CWA COMPLETO L=3,0M/M8, NO.ID:801217"/>
        <s v="PARLANTES P. CABINA CWA N° 0710024-03 (intercomunicador)"/>
        <s v="VENTANA LADO TORRE OMIV-8 LWI Nº ART. 110048874GRAU133"/>
        <s v="PLACA DE RECTIFICADOR 90-083788"/>
        <s v="CABLE COAXIAL CONEXION ANTENA DE RADIO 90-083828"/>
        <s v="SOPORTE DE BATERIAS FASE 1"/>
        <s v="CRISTAL FRONTAL KF OMIV-10 LWI Nº ART.: 110049475GRAU133"/>
        <s v="HORQUILLA DE PUERTA DERECHA + PUERTA IZQUIERDA, OMIV&#10;147X103X48MM"/>
        <s v="CRISTAL DE RECAMBIO PARA VENTANA AVATIBLE"/>
        <s v="ABRAZADERA DEL CABLE MEFLEX"/>
        <s v="LED PARA CABINA OMEGA IV-10LWI"/>
        <s v="SISTEMA MANOMÉTR.0-600KN/0-10V F61541560077          WIKA"/>
        <s v="CARTUCHO DE REPUESTO P.DESHUMECTADOR BDE400X2W0.0, HYDAC"/>
        <s v="ELEMEN.FILTRANTE PI 3115 PS 10 MAHLE FILTRO BAJA TEN"/>
        <s v="FILTRO        0240 D 005 ON                             HYDAC"/>
        <s v="CIL.HIDR.CGS10N38X CURSO CORTO CARGA NOM.(PRES.):10T  TECNOS."/>
        <s v="VALV.DIST.2/2 SK 7936 L-RK-X-24-T 2/2 V.DISTR.DE ASIENTO HAWE"/>
        <s v="MANGUERA AP AN25-2SC L=2400MM     DKOL-28/CEL-28"/>
        <s v="MANGUERA AP AN35-2SC L=900MM      DKOL-28/DKOL90-28"/>
        <s v="FILTRO        0030 D 005 ON                             HYDAC"/>
        <s v="MANGUERA AP AN25-2SC L=1700MM CEL-28/DKOL90-28"/>
        <s v="VÁLVULA DISTR. 3/2 AS32061B-G24-  HRKS792Z328  WANDFLUH"/>
        <s v="MANGUERA AP AN10-2SC L=9500MM     DKOL-12/CEL-12"/>
        <s v="MANGUERA AP AN10-2SC L=11500MM    DKOL-12/CEL-12"/>
        <s v="MANGUERA AP AN12-2SC L=2400MM     CES-16/DKOS90-16"/>
        <s v="MANGUERA AP AN25-1SC L=1550MM  CEL-28/DKOL90-28"/>
        <s v="ARRASTRADOR 28X12X10 P. ACOPLAM. FELXIBLE INCL.P.DE GOMA 90SH"/>
        <s v="MANGUERA AP AN10-2SC L=8000MM     DKOL-12/CEL-12"/>
        <s v="MANGUERA AP AN12-2SC L=1800MM     CES-16/DKOS45-16"/>
        <s v="MANGUERA AP AN12-2SC L=1650MM     CES-16/DKOS45-16"/>
        <s v="RESORTE A GAS 750N CARR.=200MM TIPO ESPECIAL, ACEITE UNIVIS"/>
        <s v="KEILRIEMENSCH. DM160 4RI  DM57 4 RIEMEN - TYPE 5V/15J"/>
        <s v="VÁLVULA DIR. 2/2 VEI-16-08A-NC VÁLVULA DE ASIENTO HABERKORN"/>
        <s v="FILTRO   SAUER BR 90 - CORTO   ELEM.FILTR. P.BOMBA DE EMB.AX."/>
        <s v="MANGUERA AP AN10-2SC L=800MM     DKOL-12/DKOL-12"/>
        <s v="MANGUERA AP AN10-2SC L=1100MM     DKOL-12/CEL-12"/>
        <s v="ELEM.FILTR.  SFE 15S 125 W 1.0 P.FILTRO DE SUCCIÓN HYDAC"/>
        <s v="MANGUERA AP AN10-2SC L=800MM      DKOL-12/CEL-12"/>
        <s v="MANGUERA AP AN10-2SC L=2200MM     DKOL-12/DKOL-12"/>
        <s v="JUEGO DE EMPAQUETADURAS P. MIRILLA DE ACEITE FSA, FLUTEC"/>
        <s v="FILTER DANFOSS 90R / H1P130-165 - LANG/FILTERELEMENT AK-PUMPE"/>
        <s v="FILTRO DANFOSS P. H1P060-100 - CORTO/ELEM.FILTR. P. BOMBA E.A"/>
        <s v="HD-SCHLAUCH NW10-2SC L= 2500MM   DKOL-12/DKOL-12"/>
        <s v="CORONA DENTADA PARA ACOPLE DE PLÁSTICO 19/24 DIA. RED"/>
        <s v="ANILLO EN O   DI 129,2 X 5,7   "/>
        <s v="ANILLO EN O DIÁ.I. 45X3,0"/>
        <s v="TORNILLO ISO 4762-8.8 M4X12 GALV. TORN.DE CABEZA CILINDR."/>
        <s v="FILTRO DESHUMECTADOR BDE400 G2W1.0/-RV0.003, HYDAC"/>
        <s v="Aceite hidraulico Dopp Syny 70  210L"/>
        <s v="BOMBA RUEDAS D. SNP1/1,7DCO01F BOMBA RUEDAS DENTADAS    SAUER"/>
        <s v="MANÓMETRO PRES. 0-250 BAR TN 63"/>
        <s v="MAGUERA HIDRAULICA FRENO DE EMERGENCIA"/>
        <s v="FREMDLUEFTERMOTOR  HEFIE3 FOL 100LA/4  3,0KW 400V 50HZ  EMOD"/>
        <s v="RODAMIENTO 6305 ZZ (MOTOR APOYO PAR)"/>
        <s v="RODAMIENTO 6205 ZZ (MOTOR APOYO PAR)"/>
        <s v="RODAMIENTO 6001 - 2Z (VENTILADOR VARIADORES VACOM)"/>
        <s v="RODAMIENTO 6206-2Z (PARA MOTOR VENTILADOR DEL MOTOR PRINCIPAL)"/>
        <s v="RODAMIENTO 6207-Z (MOTOR DE VENTILADOR CENTRIFUGO)"/>
        <s v="RODAMIENTO 624-2Z (04x13x05) (VELETA Y ANEMOMETRO)"/>
        <s v="RODAMIENTO 6204-ZZ (MOTOR REFRIGERACION DE ACEITE REDUCTOR)"/>
        <s v="RODAMIENTO 6206-Z (MOTOR DE VENTILADOR CENTRIFUGO)"/>
        <s v="TORNILLO ISO 4017-10.9U M16X35 TORN. HEXAG. GIC"/>
        <s v="RODAMIENTO 6204 – 2Z (MOTOR CENTRAL DE FRENOS)                      "/>
        <s v="TORNILLO ISO 4017-10.9U M20X50 FVZ TORN.HEX. GALV.INM.CAL."/>
        <s v="RODAMIENTO 6203 – 2Z (MOTOR CENTRAL DE FRENOS)                      "/>
        <s v="RETEN 25X37X6 (REDUCTOR APOYO PAR)"/>
        <s v="TORNILLO ISO 4017-10.9U M18X40 GIC TORN. HEXAG."/>
        <s v="TORNILLO ISO 4017-10.9U M14X 35 GIC CABEZA HEXAGONAL"/>
        <s v="6204-ZZ RODAMIENTO MOTORES TERMOMECANICA"/>
        <s v="6205-ZZ RODAMIENTO MOTORES TERMOMECANICA"/>
        <s v="MOTOR ELECTRICO INOTECH TIS-370GS (CICLON)"/>
        <s v="FORRO FRICCION SINT. DT, AGA   P.PINZA DESEMBR.DT,AGA    2003"/>
        <s v="LENGÜETA P. PINZA A108-C TIPO 2/510/IBAF Ø48-51MM"/>
        <s v="RRB DIN 625/1- 6207-2RS1-C3 LT VT210 (TTF 90% +/-5%)ROD.R.B."/>
        <s v="EJE DE RESORTE          A108-C DIA.28  LN 91"/>
        <s v="CASQUILLO PM 7560 DS   TIPO KW SIN AGUJ.DE ENGRASE    GLACIER"/>
        <s v="GUÍA RESORTES A108-C L=431"/>
        <s v="CABEZAL RESORTE A108-C  50X290 "/>
        <s v="PERNO DEL EJE P. POLEA  A108-C DIA.35 LN 115,5"/>
        <s v="DF  D=22,00/DM=120,0/LO=389,0 IF= 8,60; DRUCKFEDER DIN 2095"/>
        <s v="CASQUILLO PM 3240 DS  TIPO: KW AGA, SIN AGUJ.DE ENGR. GLACIER"/>
        <s v="PLATILLO DE RESORTE SUP., A108-C, RECUB.DE LAMINILLAS DE CINC"/>
        <s v="ANILL.SINUS.85,8X75,8X1,10/8,0 N° ART.: SR 050.43-36"/>
        <s v="EJE DE CAB.A108-C DIA.32 L 354 "/>
        <s v="LENGÜETA  A108-C TIPO 2     CABLE Ø48-51 MM"/>
        <s v="CASQUILLO NTPM 2830 DS DE=32MM AGA (CON BOQUI.ENGRASE)GLACIER"/>
        <s v="CASQUILLO PM 2260 DS  TIPO: KW SIN AGUJERO DE ENGRASE GLACIER"/>
        <s v="CIRCLIP INTER. DIN 472  72X3,0 GALVAN."/>
        <s v="CASQUILLO PM 5040 DS  TIPO: KW SIN AGUJ.DE ENGRASE    GLACIER"/>
        <s v="TORNILLO DE AJUSTE      A108-C "/>
        <s v="ANILLO DE CIERRE        A108-C DIA95,0/ 75,0  S=26,0  EL.GALV"/>
        <s v="NIPLE DE ENGRASE A 6X1,0 ~DIN71412 NIPLE CÓNICO (CIL.) RECTA"/>
        <s v="TUERCA ALMEN. DIN979-04 M30X2  VERZINKT, NIEDRIGE BAUART"/>
        <s v="TORNILLO ISO 4017-8.8 M8X20, TORN. HEXAG., GALVAN."/>
        <s v="TUERCA HEX.ISO4035- 8 M18       GALVANIZADA         (DIN439B)"/>
        <s v="TUERCA HEXAGONAL M18   A 108-C"/>
        <s v="POLEA DE RODADURA DIÁ.180MM, A-108C ENSAYO FINAL"/>
        <s v="Supresor de picos DEHNshield DSH TN 255"/>
        <s v="Interruptor diferencial ABB FH202, 25A, 30mA"/>
        <s v="Termomagnético C-20, 6KA"/>
        <s v="POLEA GUÍA DIA.158 MM    AGA-C "/>
        <s v="POLEA DE CORREA TRAPEZ.DIÁ.160 ALUM.DIÁ.72 PERFIL CORR.T.XPC"/>
        <s v="RODAM.RAN.D.BOLAS DIN625/1-6308-2RS1-C3GLE VT210 (90% +/-5%)"/>
        <s v="CORREA TRAP.CC/HCC LREF=6150MM DOBLE"/>
        <s v="TORN.HALFEN 72/48  8.8 M20X 60 TORNIL.HALFEN C. TUERCA,   GIC"/>
        <s v="CORREA TRAP.XPC     LA=1900 MM DIN 7753-1"/>
        <s v="CORREA TRAP. XPC LW=2000 MM DIN 7753-1"/>
        <s v="RODAM.RAN.DIN 625/1- 6306-2RS1 RODAM.RANUR.DE BOLAS (TTF-60%)"/>
        <s v="RODAM.RAN.D.BOLAS DIN625/1-6312-2RS1-C3GLE VT210 (90% +/-5%)"/>
        <s v="RUEDA COMPLETA &quot;DOPPELMAYR-G&quot; PRESION 3,5 - 5,0 BARES"/>
        <s v="CORREA TRAPEZOIDAL XPC LA=1850 MM DIN 7753-1"/>
        <s v="RODAM.RAN.D.BOLAS DIN625/1- 6309-2RS1-C3GLE VT210 (90% +/-5%)"/>
        <s v="CORREA TRAPEZOIDAL XPC LW=1960 MM DIN 7753-1"/>
        <s v="CORREA TRAP.XPB     LW=1500 MM DIN 7753-1"/>
        <s v="CORREA TRAP.XPB     LW=1545 MM DIN 7753-1"/>
        <s v="CORREA TRAPEZOIDAL XPC LA=2140 MM DIN 7753-1"/>
        <s v="CORREA TRAPEZ. XPC  LA=2080 MM DIN 7753-1"/>
        <s v="ARANDELA ISO 7089 M20 300HV, FLZNNC-720H-L, REV.L.ZINC SIN CH"/>
        <s v="TORN.P.RUEDA 8.8 M12X 20  ESP. HEXAGONAL, DIN 933 + ARANDELA"/>
        <s v="CIRCLIP INTER. DIN 472  72X2,5, FOSFAT., SEEGER"/>
        <s v="TUERCA HEXAG. DIN 985-8 M20 ELECTROGALV. (C. ELEM.DE FIJAC.)"/>
        <s v="TENSOR DE CORREA O°"/>
        <s v="HERRAM.DE SUJEC. P.CORREAS UNIG GALVANIZADA, COMPUESTA DE:"/>
        <s v="POLEA CORR.TRAPEZ. DIÁ.318/328 DIÁ.59 PERFIL CORR. XPC ALUM."/>
        <s v="CILINDRO DE FRENO, COMPLETO    CARRERA=300, D=1080"/>
        <s v="BULÓN DIA.22H7  LN 297,5  M16  ARMAZ.4PTS.  8P. CWA OMEGA III"/>
        <s v="TOPE DE GOMA    DIA.90/36 A=24 CENTR.RESORTE ESPIRAL 8MGD-GCS"/>
        <s v="TOPE DE GOMA    DIA.90/35 A=24 CENTRAJE RESORTE ESPIRAL"/>
        <s v="CABLE P. PUENTEO COMPLETO ARMAZÓN DE 4 PUNTOS DG"/>
        <s v="ARANDELA D.CENTRAR DIA.104,5MM P.SUSPENSIÓN DE CABINA  6/8MGD"/>
        <s v="TUERCA HEX.ISO4035-04 M20      GALVAN.              (DIN439B)"/>
        <s v="RESORTE DE COMPR. D=10,50/DIÁ=72,00/LO=91,0 IF= 2,71; RAL5003"/>
        <s v="RESORTE DE COMPR.D=10,00/DIÁ=71,00/LO=85,7 IF= 2,42; RAL7016"/>
        <s v="POLEA DE CORREA TRAPEZ. DIÁ.340 PERF. DE CORREA HCC ALUM"/>
        <s v="TENSOR DE CORREA, ACCIONAM.POR RUEDA DE FRICCIÓN UNI"/>
        <s v="POLEA DE CORREA TRAP. DIÁ.328/318 DIÁ.80 PERFIL CORREA XPC AL"/>
        <s v="TUBO DIST. DIÁ60/50.2 L=337 UNIG BALANCÍN POL. FRICC. NIT"/>
        <s v="CASQUILLO DIST. DIÁ50/30 L=140"/>
        <s v="EJE P.ACC.RUE.DE FRICC.L=335,1 UNIG"/>
        <s v="ANILLO DIA. 80,0/ 60,0 L= 20,5   UNIG"/>
        <s v="POLEA H 500 CL.100 DIÁ.505 C.ARO LAT. ACERO SIN NIPLE ENGRASE"/>
        <s v="ANILLO DIST. DIÁ.68/50 E=13,5 P. POLEA 501"/>
        <s v="POLEA V 500 CL.100 DIÁ.505 C.ARO LAT. ACERO SIN NIPLE ENGRASE"/>
        <s v="CHAPA E=20 L=150 B=100, UNIG, GALVAN."/>
        <s v="LAMINILLA EMPAQUE.Z212F 60X110 SUPERFICIE DE EJECUC.ESPECIAL"/>
        <s v="CUBO DE POLEA DE FRICCIÓN MGD P. CORREA DOBLE"/>
        <s v="TUBO DIST. DIÁ 35/25 L=140, TUBO DIST. P. POLEA 420C"/>
        <s v="SOPORTE DE EJE, CORTO"/>
        <s v="CASQU.DIST. DIÁ42/25 L=125 CASQUILLO DIST. P. POLEA 403"/>
        <s v="CUERPO DE POLEA 501 400X130    "/>
        <s v="ARAND.DIST. DIA.79,5/35 S=12,1 ARANDELA DIST.P.POLEA TIPO 403"/>
        <s v="SOPORTE DE EJE DIA63 H7 ESPEC. UNIG              ELECTROGALV."/>
        <s v="EJE P. ACC. POR FRICC. L=323,0 UNIG P. BALANCÍN POL.FR. BLK"/>
        <s v="CASQUILLO PM 6040 DS   TIPO KW SIN AGUJ.DE ENGRASE    GLACIER"/>
        <s v="ARO LATER. DIA435/330,5 S=16 R 6,9+-0,1"/>
        <s v="CUBO DIÁ.52/DIÁ.110 L=49 POLEAS HORIZONTALES"/>
        <s v="RARB DIN 711/1-51104           RODAMIENTO AXIAL RÍG. DE BOLAS"/>
        <s v="CIRCLIP INTER.  DIN 472 110X4  FOSFAT."/>
        <s v="ANILLO ELÁSTICO  323,8X 6,0    CON RECUBRIMIENTO DELTA-TONE"/>
        <s v="CHAPA  E= 4  L= 150 A=100      UNIG              ELECTROGALV."/>
        <s v="CIRCLIP INTER. DIN 472  80X2,5 FOSFAT."/>
        <s v="CHAPA CURVA   E=3 L=145 A=64   UNIG                     GALV."/>
        <s v="ARANDELA AJ. DIN 988 50X62X0,5 DESNUDO, ACEITADO"/>
        <s v="LLANTA DE POLEA 403 330X120    "/>
        <s v="RRB DIN 625/1- 6208-2RS-C3GLE VT210 (90%+5%)RODAM.RANU.BOLAS"/>
        <s v="ARO LATER. DIA 505/400,5 S=18"/>
        <s v="MANGUITO SUJ. ISO 8752 8X40 GEOMET 321A (DIN 1481)"/>
        <s v="POLEA SENSOR  C   CL 64 DIA265 CON CONCAVID.DIA.250 /ALUMINIO"/>
        <s v="BÁSCULA DE 2 P. TIPO C-L AC.60 DP572 P. P.SENSOR TIPO 420C-L"/>
        <s v="BALANCIN DE 2 POL. TIPO C AC.6"/>
        <s v="ROD.RA.BOLAS  DIN 625/1- 6205-2RS-C3 LT VT210 (TTF 90% +/-5%)"/>
        <s v="ARANDELA ISO 7092 M24 300HV, FLZNNC-720H-L, REV.LAM.ZN S. BI."/>
        <s v="BALANCÍN 2 POL. TIPO C AC.60 DEP=560 P. POLEA SENSOR 420C"/>
        <s v="CUERPO DE POLEA  420C 330X120  "/>
        <s v="CASQUILLO DIST. DIÁ50/30 L=160"/>
        <s v="PERNO DIA.29,9  L 225 M24      PARA POLEA TIPO 501"/>
        <s v="PERNO DIA.24,9 LN 192 M20      PARA POLEA TIPO 420C"/>
        <s v="ANILLO DIST. DIÁ.68/50 E=23,5 P. POLEA 501 GALV.+AMARILLO"/>
        <s v="ANILLO DIST. DIÁ.57/35 E=18,5 P. POLEA 420C GALV.+AMARILLO"/>
        <s v="ANILLO ELÁSTICO  393,5X 6,3    CON RECUBRIMIENTO DELTA-TONE"/>
        <s v="INTERRUPT.DE HORQUILLA DE SEG. RACOR ATORN.P.2 CABLES DIA.5-6"/>
        <s v="STECKVERBINDER EINBAU  2,5MM2  PV-FT-CF-C-2,5-130-BU"/>
        <s v="STECKVERBINDER EINBAU  2,5MM2  PV-FT-CM-C-2,5-130-RD"/>
        <s v="HORQUILLA DE SEGUR. DIÁ4,5 L=122 CARGA ESTÁT. DE ROT. 60-100N"/>
        <s v="CONECTOR HEMBRA DIA.7  L=38    P.INTERRUPTOR HORQUILLA"/>
        <s v="TORNILLO DE FIJACION M10X25    P. INTERRUPTOR DE HORQUILLA"/>
        <s v="RACOR ATORN.P.CAB.HSK-K  PG 16 NEGRO, N° DE PED.1.597.1605.01"/>
        <s v="TORNILLO ISO1207  MS  M 3,5X12 CABEZA CIL.CON RANURA (DIN84)"/>
        <s v="ENCHUFE PROTECT. SOBREVOLTAJE PHOENIX CONTACT N.°2838322"/>
        <s v="CABLE DE CONEX.RPD 10M KDKS AMARILLO CON ENCHUFE INYECTADO Y"/>
        <s v="CABLE CONECTOR RPD 8M KDKS AMARILLO CON CONECTOR INTEGRADO +"/>
        <s v="INTERRUPTOR RPD PARA CONTROL POSICION DEL CABLE GS 5001"/>
        <s v="CABLE DE CONEX.RPD 6M KDKS AMARILLO CON ENCHUFE INYECTADO Y"/>
        <s v="AMORTIGUADOR WM-Z7-200-K4G4-C FUERZA COMPR./TRACT.2-50KN WEF."/>
        <m/>
      </sharedItems>
    </cacheField>
    <cacheField name="Unid." numFmtId="0">
      <sharedItems containsBlank="1">
        <s v="Turril"/>
        <s v="Pza"/>
        <s v="L- Turril"/>
        <m/>
      </sharedItems>
    </cacheField>
    <cacheField name="LMO" numFmtId="0">
      <sharedItems containsString="0" containsBlank="1" containsNumber="1" containsInteger="1">
        <n v="2024.0"/>
        <m/>
        <n v="2025.0"/>
        <n v="2028.0"/>
      </sharedItems>
    </cacheField>
    <cacheField name=" LPL" numFmtId="0">
      <sharedItems containsString="0" containsBlank="1" containsNumber="1" containsInteger="1">
        <n v="2024.0"/>
        <m/>
        <n v="2025.0"/>
        <n v="2028.0"/>
        <n v="2029.0"/>
      </sharedItems>
    </cacheField>
    <cacheField name="LAM" numFmtId="0">
      <sharedItems containsString="0" containsBlank="1" containsNumber="1" containsInteger="1">
        <n v="2024.0"/>
        <m/>
        <n v="2025.0"/>
        <n v="2026.0"/>
        <n v="2031.0"/>
      </sharedItems>
    </cacheField>
    <cacheField name=" LR" numFmtId="0">
      <sharedItems containsString="0" containsBlank="1" containsNumber="1" containsInteger="1">
        <n v="2026.0"/>
        <n v="2024.0"/>
        <m/>
        <n v="2025.0"/>
        <n v="2031.0"/>
      </sharedItems>
    </cacheField>
    <cacheField name="LN" numFmtId="0">
      <sharedItems containsString="0" containsBlank="1" containsNumber="1" containsInteger="1">
        <n v="2025.0"/>
        <n v="2024.0"/>
        <m/>
        <n v="2026.0"/>
        <n v="2032.0"/>
      </sharedItems>
    </cacheField>
    <cacheField name="LAZ" numFmtId="0">
      <sharedItems containsString="0" containsBlank="1" containsNumber="1" containsInteger="1">
        <n v="2026.0"/>
        <n v="2024.0"/>
        <m/>
        <n v="2025.0"/>
        <n v="2032.0"/>
      </sharedItems>
    </cacheField>
    <cacheField name="LB" numFmtId="0">
      <sharedItems containsString="0" containsBlank="1" containsNumber="1" containsInteger="1">
        <n v="2024.0"/>
        <m/>
        <n v="2033.0"/>
        <n v="2025.0"/>
        <n v="2026.0"/>
      </sharedItems>
    </cacheField>
    <cacheField name="LCE" numFmtId="0">
      <sharedItems containsString="0" containsBlank="1" containsNumber="1" containsInteger="1">
        <n v="2024.0"/>
        <m/>
        <n v="2025.0"/>
        <n v="2033.0"/>
        <n v="2026.0"/>
      </sharedItems>
    </cacheField>
    <cacheField name=" LCA">
      <sharedItems containsBlank="1" containsMixedTypes="1" containsNumber="1" containsInteger="1">
        <n v="2024.0"/>
        <m/>
        <s v="2024 "/>
        <n v="2028.0"/>
        <n v="2029.0"/>
        <n v="2025.0"/>
        <n v="2026.0"/>
      </sharedItems>
    </cacheField>
    <cacheField name="LV" numFmtId="0">
      <sharedItems containsString="0" containsBlank="1" containsNumber="1" containsInteger="1">
        <n v="2024.0"/>
        <m/>
        <n v="2025.0"/>
        <n v="2031.0"/>
      </sharedItems>
    </cacheField>
    <cacheField name="Lineas Base" numFmtId="0">
      <sharedItems containsString="0" containsBlank="1">
        <m/>
      </sharedItems>
    </cacheField>
    <cacheField name="f LMO/año" numFmtId="0">
      <sharedItems containsString="0" containsBlank="1" containsNumber="1" containsInteger="1">
        <n v="4.0"/>
        <n v="5.0"/>
        <m/>
        <n v="3.0"/>
        <n v="1.0"/>
        <n v="2.0"/>
        <n v="6.0"/>
        <n v="8.0"/>
        <n v="7.0"/>
        <n v="12.0"/>
        <n v="10.0"/>
      </sharedItems>
    </cacheField>
    <cacheField name="f LPL/año" numFmtId="0">
      <sharedItems containsString="0" containsBlank="1" containsNumber="1" containsInteger="1">
        <n v="4.0"/>
        <m/>
        <n v="5.0"/>
        <n v="3.0"/>
        <n v="1.0"/>
        <n v="2.0"/>
        <n v="7.0"/>
        <n v="6.0"/>
        <n v="8.0"/>
        <n v="0.0"/>
        <n v="12.0"/>
        <n v="10.0"/>
      </sharedItems>
    </cacheField>
    <cacheField name="f LAM/año" numFmtId="0">
      <sharedItems containsString="0" containsBlank="1" containsNumber="1" containsInteger="1">
        <n v="4.0"/>
        <n v="5.0"/>
        <m/>
        <n v="2.0"/>
        <n v="3.0"/>
        <n v="1.0"/>
        <n v="6.0"/>
        <n v="8.0"/>
        <n v="7.0"/>
        <n v="10.0"/>
        <n v="12.0"/>
      </sharedItems>
    </cacheField>
    <cacheField name="f LR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N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AZ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B/año" numFmtId="0">
      <sharedItems containsString="0" containsBlank="1" containsNumber="1" containsInteger="1">
        <n v="4.0"/>
        <m/>
        <n v="5.0"/>
        <n v="2.0"/>
        <n v="1.0"/>
        <n v="3.0"/>
        <n v="8.0"/>
        <n v="6.0"/>
        <n v="7.0"/>
      </sharedItems>
    </cacheField>
    <cacheField name="f LCE/año" numFmtId="0">
      <sharedItems containsString="0" containsBlank="1" containsNumber="1" containsInteger="1">
        <n v="4.0"/>
        <m/>
        <n v="5.0"/>
        <n v="2.0"/>
        <n v="1.0"/>
        <n v="3.0"/>
        <n v="8.0"/>
        <n v="6.0"/>
        <n v="7.0"/>
      </sharedItems>
    </cacheField>
    <cacheField name="f LCA/año" numFmtId="0">
      <sharedItems containsString="0" containsBlank="1" containsNumber="1" containsInteger="1">
        <n v="4.0"/>
        <m/>
        <n v="5.0"/>
        <n v="1.0"/>
        <n v="2.0"/>
        <n v="3.0"/>
        <n v="8.0"/>
        <n v="7.0"/>
      </sharedItems>
    </cacheField>
    <cacheField name="f LV/año" numFmtId="0">
      <sharedItems containsString="0" containsBlank="1" containsNumber="1" containsInteger="1">
        <n v="4.0"/>
        <m/>
        <n v="1.0"/>
        <n v="2.0"/>
        <n v="3.0"/>
        <n v="5.0"/>
        <n v="10.0"/>
        <n v="8.0"/>
        <n v="6.0"/>
        <n v="7.0"/>
      </sharedItems>
    </cacheField>
    <cacheField name="Pr Frecuencia" numFmtId="0">
      <sharedItems containsString="0" containsBlank="1">
        <m/>
      </sharedItems>
    </cacheField>
    <cacheField name="LMO2" numFmtId="0">
      <sharedItems containsString="0" containsBlank="1">
        <m/>
      </sharedItems>
    </cacheField>
    <cacheField name=" LPL3" numFmtId="0">
      <sharedItems containsString="0" containsBlank="1">
        <m/>
      </sharedItems>
    </cacheField>
    <cacheField name="LAM4" numFmtId="0">
      <sharedItems containsString="0" containsBlank="1">
        <m/>
      </sharedItems>
    </cacheField>
    <cacheField name=" LR5" numFmtId="0">
      <sharedItems containsString="0" containsBlank="1">
        <m/>
      </sharedItems>
    </cacheField>
    <cacheField name="LN6" numFmtId="0">
      <sharedItems containsString="0" containsBlank="1">
        <m/>
      </sharedItems>
    </cacheField>
    <cacheField name="LAZ7" numFmtId="0">
      <sharedItems containsString="0" containsBlank="1">
        <m/>
      </sharedItems>
    </cacheField>
    <cacheField name="LB8" numFmtId="0">
      <sharedItems containsString="0" containsBlank="1">
        <m/>
      </sharedItems>
    </cacheField>
    <cacheField name="LCE9" numFmtId="0">
      <sharedItems containsString="0" containsBlank="1">
        <m/>
      </sharedItems>
    </cacheField>
    <cacheField name=" LCA10" numFmtId="0">
      <sharedItems containsString="0" containsBlank="1">
        <m/>
      </sharedItems>
    </cacheField>
    <cacheField name="LV11" numFmtId="0">
      <sharedItems containsString="0" containsBlank="1">
        <m/>
      </sharedItems>
    </cacheField>
    <cacheField name="f LMO/año2" numFmtId="0">
      <sharedItems containsString="0" containsBlank="1" containsNumber="1" containsInteger="1">
        <n v="-2024.0"/>
        <n v="0.0"/>
        <n v="-2025.0"/>
        <n v="-2028.0"/>
        <m/>
      </sharedItems>
    </cacheField>
    <cacheField name="f LPL/año3" numFmtId="0">
      <sharedItems containsString="0" containsBlank="1" containsNumber="1" containsInteger="1">
        <n v="-2024.0"/>
        <n v="0.0"/>
        <n v="-2025.0"/>
        <n v="-2028.0"/>
        <n v="-2029.0"/>
        <m/>
      </sharedItems>
    </cacheField>
    <cacheField name="f LAM/año4">
      <sharedItems containsBlank="1" containsMixedTypes="1" containsNumber="1" containsInteger="1">
        <n v="-2024.0"/>
        <n v="0.0"/>
        <n v="-2025.0"/>
        <s v="#REF!"/>
        <n v="-2026.0"/>
        <n v="-2031.0"/>
        <m/>
      </sharedItems>
    </cacheField>
    <cacheField name="f LR/año5">
      <sharedItems containsBlank="1" containsMixedTypes="1" containsNumber="1" containsInteger="1">
        <n v="-2026.0"/>
        <n v="-2024.0"/>
        <n v="0.0"/>
        <n v="-2025.0"/>
        <s v="#REF!"/>
        <n v="-2031.0"/>
        <m/>
      </sharedItems>
    </cacheField>
    <cacheField name="f LN/año6" numFmtId="0">
      <sharedItems containsString="0" containsBlank="1" containsNumber="1" containsInteger="1">
        <n v="-2025.0"/>
        <n v="-2024.0"/>
        <n v="0.0"/>
        <n v="-2026.0"/>
        <n v="-2032.0"/>
        <m/>
      </sharedItems>
    </cacheField>
    <cacheField name="f LAZ/año7" numFmtId="0">
      <sharedItems containsString="0" containsBlank="1" containsNumber="1" containsInteger="1">
        <n v="-2026.0"/>
        <n v="-2024.0"/>
        <n v="0.0"/>
        <n v="-2025.0"/>
        <n v="-2032.0"/>
        <m/>
      </sharedItems>
    </cacheField>
    <cacheField name="f LB/año8" numFmtId="0">
      <sharedItems containsString="0" containsBlank="1" containsNumber="1" containsInteger="1">
        <n v="-2024.0"/>
        <n v="0.0"/>
        <n v="-2033.0"/>
        <n v="-2025.0"/>
        <n v="-2026.0"/>
        <m/>
      </sharedItems>
    </cacheField>
    <cacheField name="f LCE/año9" numFmtId="0">
      <sharedItems containsString="0" containsBlank="1" containsNumber="1" containsInteger="1">
        <n v="-2024.0"/>
        <n v="0.0"/>
        <n v="-2025.0"/>
        <n v="-2033.0"/>
        <n v="-2026.0"/>
        <m/>
      </sharedItems>
    </cacheField>
    <cacheField name="f LCA/año10">
      <sharedItems containsBlank="1" containsMixedTypes="1" containsNumber="1" containsInteger="1">
        <n v="-2024.0"/>
        <n v="0.0"/>
        <s v="#VALUE!"/>
        <n v="-2028.0"/>
        <n v="-2029.0"/>
        <n v="-2025.0"/>
        <n v="-2026.0"/>
        <m/>
      </sharedItems>
    </cacheField>
    <cacheField name="f LV/año11" numFmtId="0">
      <sharedItems containsString="0" containsBlank="1" containsNumber="1" containsInteger="1">
        <n v="-2024.0"/>
        <n v="0.0"/>
        <n v="-2025.0"/>
        <n v="-2031.0"/>
        <m/>
      </sharedItems>
    </cacheField>
    <cacheField name="MATRIZ " numFmtId="0">
      <sharedItems containsString="0" containsBlank="1">
        <m/>
      </sharedItems>
    </cacheField>
    <cacheField name="Q/f LMO" numFmtId="0">
      <sharedItems containsString="0" containsBlank="1" containsNumber="1" containsInteger="1">
        <m/>
        <n v="0.0"/>
        <n v="8.0"/>
        <n v="4.0"/>
        <n v="16.0"/>
        <n v="2.0"/>
        <n v="1.0"/>
        <n v="170.0"/>
        <n v="60.0"/>
        <n v="10.0"/>
        <n v="50.0"/>
        <n v="6.0"/>
        <n v="83.0"/>
        <n v="210.0"/>
        <n v="100.0"/>
        <n v="20.0"/>
        <n v="90.0"/>
        <n v="200.0"/>
        <n v="45.0"/>
        <n v="5.0"/>
        <n v="80.0"/>
        <n v="120.0"/>
        <n v="30.0"/>
        <n v="7.0"/>
        <n v="3.0"/>
        <n v="15.0"/>
      </sharedItems>
    </cacheField>
    <cacheField name="Q/f LPL" numFmtId="0">
      <sharedItems containsString="0" containsBlank="1" containsNumber="1" containsInteger="1">
        <m/>
        <n v="0.0"/>
        <n v="6.0"/>
        <n v="4.0"/>
        <n v="12.0"/>
        <n v="8.0"/>
        <n v="2.0"/>
        <n v="1.0"/>
        <n v="3.0"/>
        <n v="100.0"/>
        <n v="15.0"/>
        <n v="20.0"/>
        <n v="40.0"/>
        <n v="60.0"/>
        <n v="5.0"/>
        <n v="120.0"/>
        <n v="30.0"/>
        <n v="50.0"/>
        <n v="10.0"/>
        <n v="9.0"/>
        <n v="42.0"/>
        <n v="51.0"/>
      </sharedItems>
    </cacheField>
    <cacheField name="Q/f LAM" numFmtId="0">
      <sharedItems containsString="0" containsBlank="1" containsNumber="1" containsInteger="1">
        <m/>
        <n v="0.0"/>
        <n v="8.0"/>
        <n v="16.0"/>
        <n v="10.0"/>
        <n v="1.0"/>
        <n v="2.0"/>
        <n v="4.0"/>
        <n v="5.0"/>
        <n v="60.0"/>
        <n v="350.0"/>
        <n v="100.0"/>
        <n v="40.0"/>
        <n v="20.0"/>
        <n v="6.0"/>
        <n v="12.0"/>
        <n v="85.0"/>
        <n v="200.0"/>
        <n v="192.0"/>
        <n v="15.0"/>
        <n v="50.0"/>
        <n v="80.0"/>
        <n v="300.0"/>
        <n v="110.0"/>
        <n v="70.0"/>
        <n v="84.0"/>
        <n v="9.0"/>
        <n v="30.0"/>
        <n v="3.0"/>
      </sharedItems>
    </cacheField>
    <cacheField name="Q/f LR" numFmtId="0">
      <sharedItems containsString="0" containsBlank="1" containsNumber="1" containsInteger="1">
        <m/>
        <n v="0.0"/>
        <n v="4.0"/>
        <n v="16.0"/>
        <n v="172.0"/>
        <n v="38.0"/>
        <n v="20.0"/>
        <n v="2.0"/>
        <n v="1.0"/>
        <n v="3.0"/>
        <n v="8.0"/>
        <n v="6.0"/>
        <n v="280.0"/>
        <n v="110.0"/>
        <n v="5.0"/>
        <n v="10.0"/>
        <n v="220.0"/>
        <n v="360.0"/>
        <n v="111.0"/>
        <n v="222.0"/>
        <n v="50.0"/>
        <n v="15.0"/>
        <n v="32.0"/>
      </sharedItems>
    </cacheField>
    <cacheField name="Q/f LN" numFmtId="0">
      <sharedItems containsString="0" containsBlank="1" containsNumber="1" containsInteger="1">
        <m/>
        <n v="0.0"/>
        <n v="4.0"/>
        <n v="18.0"/>
        <n v="252.0"/>
        <n v="56.0"/>
        <n v="28.0"/>
        <n v="1.0"/>
        <n v="2.0"/>
        <n v="6.0"/>
        <n v="3.0"/>
        <n v="8.0"/>
        <n v="126.0"/>
        <n v="5.0"/>
        <n v="10.0"/>
        <n v="227.0"/>
        <n v="9.0"/>
        <n v="12.0"/>
        <n v="50.0"/>
        <n v="15.0"/>
        <n v="20.0"/>
        <n v="30.0"/>
      </sharedItems>
    </cacheField>
    <cacheField name="Q/f LAZ" numFmtId="0">
      <sharedItems containsString="0" containsBlank="1" containsNumber="1" containsInteger="1">
        <m/>
        <n v="0.0"/>
        <n v="4.0"/>
        <n v="20.0"/>
        <n v="364.0"/>
        <n v="80.0"/>
        <n v="44.0"/>
        <n v="2.0"/>
        <n v="1.0"/>
        <n v="8.0"/>
        <n v="50.0"/>
        <n v="208.0"/>
        <n v="5.0"/>
        <n v="10.0"/>
        <n v="12.0"/>
        <n v="6.0"/>
        <n v="416.0"/>
        <n v="13.0"/>
        <n v="9.0"/>
        <n v="18.0"/>
        <n v="54.0"/>
        <n v="15.0"/>
        <n v="30.0"/>
      </sharedItems>
    </cacheField>
    <cacheField name="Q/f LB" numFmtId="0">
      <sharedItems containsString="0" containsBlank="1" containsNumber="1" containsInteger="1">
        <m/>
        <n v="0.0"/>
        <n v="4.0"/>
        <n v="2.0"/>
        <n v="16.0"/>
        <n v="8.0"/>
        <n v="20.0"/>
        <n v="1.0"/>
        <n v="6.0"/>
        <n v="133.0"/>
        <n v="10.0"/>
        <n v="100.0"/>
        <n v="50.0"/>
        <n v="15.0"/>
        <n v="11.0"/>
        <n v="12.0"/>
        <n v="5.0"/>
      </sharedItems>
    </cacheField>
    <cacheField name="Q/f LCE" numFmtId="0">
      <sharedItems containsString="0" containsBlank="1" containsNumber="1" containsInteger="1">
        <m/>
        <n v="0.0"/>
        <n v="5.0"/>
        <n v="2.0"/>
        <n v="16.0"/>
        <n v="8.0"/>
        <n v="1.0"/>
        <n v="4.0"/>
        <n v="156.0"/>
        <n v="6.0"/>
        <n v="15.0"/>
        <n v="10.0"/>
        <n v="50.0"/>
      </sharedItems>
    </cacheField>
    <cacheField name="Q/f LCA" numFmtId="0">
      <sharedItems containsString="0" containsBlank="1" containsNumber="1" containsInteger="1">
        <m/>
        <n v="0.0"/>
        <n v="4.0"/>
        <n v="1.0"/>
        <n v="8.0"/>
        <n v="10.0"/>
        <n v="26.0"/>
        <n v="2.0"/>
        <n v="30.0"/>
        <n v="3.0"/>
        <n v="5.0"/>
        <n v="6.0"/>
      </sharedItems>
    </cacheField>
    <cacheField name="Q/f LV" numFmtId="0">
      <sharedItems containsString="0" containsBlank="1" containsNumber="1" containsInteger="1">
        <m/>
        <n v="0.0"/>
        <n v="2.0"/>
        <n v="1.0"/>
        <n v="315.0"/>
        <n v="10.0"/>
        <n v="200.0"/>
        <n v="24.0"/>
        <n v="4.0"/>
        <n v="8.0"/>
        <n v="9.0"/>
        <n v="30.0"/>
        <n v="60.0"/>
        <n v="6.0"/>
        <n v="20.0"/>
        <n v="15.0"/>
      </sharedItems>
    </cacheField>
    <cacheField name="Q 2024" numFmtId="4">
      <sharedItems containsString="0" containsBlank="1" containsNumber="1" containsInteger="1">
        <n v="0.0"/>
        <n v="47.0"/>
        <n v="16.0"/>
        <n v="13.0"/>
        <n v="138.0"/>
        <n v="34.0"/>
        <n v="818.0"/>
        <n v="174.0"/>
        <n v="92.0"/>
        <n v="1.0"/>
        <n v="21.0"/>
        <n v="6.0"/>
        <n v="8.0"/>
        <n v="9.0"/>
        <n v="12.0"/>
        <n v="18.0"/>
        <n v="2.0"/>
        <n v="40.0"/>
        <n v="19.0"/>
        <n v="3.0"/>
        <n v="4.0"/>
        <n v="5.0"/>
        <n v="56.0"/>
        <n v="15.0"/>
        <n v="10.0"/>
        <n v="50.0"/>
        <n v="655.0"/>
        <n v="935.0"/>
        <n v="60.0"/>
        <n v="198.0"/>
        <n v="28.0"/>
        <n v="120.0"/>
        <n v="554.0"/>
        <n v="20.0"/>
        <n v="200.0"/>
        <n v="63.0"/>
        <n v="64.0"/>
        <n v="32.0"/>
        <n v="52.0"/>
        <n v="36.0"/>
        <n v="22.0"/>
        <n v="42.0"/>
        <n v="24.0"/>
        <n v="228.0"/>
        <n v="640.0"/>
        <n v="315.0"/>
        <n v="352.0"/>
        <n v="35.0"/>
        <n v="136.0"/>
        <n v="718.0"/>
        <n v="246.0"/>
        <n v="170.0"/>
        <n v="974.0"/>
        <n v="160.0"/>
        <n v="605.0"/>
        <n v="70.0"/>
        <n v="17.0"/>
        <n v="500.0"/>
        <n v="580.0"/>
        <n v="290.0"/>
        <n v="55.0"/>
        <n v="61.0"/>
        <n v="180.0"/>
        <n v="49.0"/>
        <n v="171.0"/>
        <n v="126.0"/>
        <n v="110.0"/>
        <n v="25.0"/>
        <n v="23.0"/>
        <n v="466.0"/>
        <n v="125.0"/>
        <n v="158.0"/>
        <n v="7.0"/>
        <n v="30.0"/>
        <n v="73.0"/>
        <n v="149.0"/>
        <n v="98.0"/>
        <n v="14.0"/>
        <n v="27.0"/>
        <n v="166.0"/>
        <n v="100.0"/>
        <m/>
      </sharedItems>
    </cacheField>
    <cacheField name="Q/f LMO2" numFmtId="0">
      <sharedItems containsString="0" containsBlank="1" containsNumber="1" containsInteger="1">
        <m/>
        <n v="8.0"/>
        <n v="4.0"/>
        <n v="2.0"/>
        <n v="20.0"/>
        <n v="200.0"/>
        <n v="0.0"/>
        <n v="80.0"/>
        <n v="1.0"/>
        <n v="15.0"/>
        <n v="60.0"/>
        <n v="228.0"/>
        <n v="68.0"/>
        <n v="10.0"/>
        <n v="3.0"/>
        <n v="250.0"/>
        <n v="50.0"/>
        <n v="5.0"/>
        <n v="40.0"/>
        <n v="30.0"/>
        <n v="120.0"/>
        <n v="70.0"/>
        <n v="6.0"/>
      </sharedItems>
    </cacheField>
    <cacheField name="Q/f LPL3" numFmtId="0">
      <sharedItems containsString="0" containsBlank="1" containsNumber="1" containsInteger="1">
        <m/>
        <n v="6.0"/>
        <n v="2.0"/>
        <n v="4.0"/>
        <n v="8.0"/>
        <n v="1.0"/>
        <n v="10.0"/>
        <n v="30.0"/>
        <n v="20.0"/>
        <n v="126.0"/>
        <n v="5.0"/>
        <n v="40.0"/>
        <n v="120.0"/>
        <n v="100.0"/>
        <n v="25.0"/>
      </sharedItems>
    </cacheField>
    <cacheField name="Q/f LAM4" numFmtId="0">
      <sharedItems containsString="0" containsBlank="1" containsNumber="1" containsInteger="1">
        <m/>
        <n v="4.0"/>
        <n v="8.0"/>
        <n v="2.0"/>
        <n v="60.0"/>
        <n v="250.0"/>
        <n v="10.0"/>
        <n v="500.0"/>
        <n v="50.0"/>
        <n v="180.0"/>
        <n v="72.0"/>
        <n v="40.0"/>
        <n v="1.0"/>
        <n v="0.0"/>
        <n v="15.0"/>
        <n v="100.0"/>
        <n v="78.0"/>
        <n v="3.0"/>
        <n v="138.0"/>
        <n v="6.0"/>
        <n v="30.0"/>
        <n v="300.0"/>
        <n v="20.0"/>
        <n v="90.0"/>
        <n v="110.0"/>
        <n v="200.0"/>
        <n v="5.0"/>
      </sharedItems>
    </cacheField>
    <cacheField name="Q/f LR5" numFmtId="0">
      <sharedItems containsString="0" containsBlank="1" containsNumber="1" containsInteger="1">
        <m/>
        <n v="0.0"/>
        <n v="4.0"/>
        <n v="8.0"/>
        <n v="2.0"/>
        <n v="6.0"/>
        <n v="30.0"/>
        <n v="1.0"/>
        <n v="5.0"/>
        <n v="220.0"/>
        <n v="218.0"/>
        <n v="50.0"/>
        <n v="110.0"/>
        <n v="90.0"/>
        <n v="200.0"/>
        <n v="60.0"/>
        <n v="40.0"/>
        <n v="111.0"/>
        <n v="186.0"/>
        <n v="1776.0"/>
        <n v="222.0"/>
        <n v="22.0"/>
        <n v="16.0"/>
        <n v="3.0"/>
      </sharedItems>
    </cacheField>
    <cacheField name="Q/f LN6" numFmtId="0">
      <sharedItems containsString="0" containsBlank="1" containsNumber="1" containsInteger="1">
        <m/>
        <n v="0.0"/>
        <n v="9.0"/>
        <n v="10.0"/>
        <n v="2.0"/>
        <n v="6.0"/>
        <n v="8.0"/>
        <n v="100.0"/>
        <n v="30.0"/>
        <n v="4.0"/>
        <n v="1.0"/>
        <n v="5.0"/>
        <n v="7.0"/>
        <n v="252.0"/>
        <n v="126.0"/>
        <n v="20.0"/>
        <n v="200.0"/>
        <n v="152.0"/>
        <n v="232.0"/>
        <n v="60.0"/>
        <n v="40.0"/>
        <n v="160.0"/>
        <n v="50.0"/>
        <n v="292.0"/>
        <n v="16.0"/>
        <n v="3.0"/>
        <n v="80.0"/>
      </sharedItems>
    </cacheField>
    <cacheField name="Q/f LAZ7" numFmtId="0">
      <sharedItems containsString="0" containsBlank="1" containsNumber="1" containsInteger="1">
        <m/>
        <n v="0.0"/>
        <n v="10.0"/>
        <n v="12.0"/>
        <n v="2.0"/>
        <n v="8.0"/>
        <n v="100.0"/>
        <n v="60.0"/>
        <n v="1.0"/>
        <n v="5.0"/>
        <n v="6.0"/>
        <n v="3.0"/>
        <n v="4.0"/>
        <n v="80.0"/>
        <n v="416.0"/>
        <n v="208.0"/>
        <n v="300.0"/>
        <n v="50.0"/>
        <n v="316.0"/>
        <n v="168.0"/>
        <n v="75.0"/>
        <n v="372.0"/>
        <n v="200.0"/>
        <n v="116.0"/>
      </sharedItems>
    </cacheField>
    <cacheField name="Q/f LB8" numFmtId="0">
      <sharedItems containsString="0" containsBlank="1" containsNumber="1" containsInteger="1">
        <m/>
        <n v="2.0"/>
        <n v="1.0"/>
        <n v="8.0"/>
        <n v="4.0"/>
        <n v="40.0"/>
        <n v="10.0"/>
        <n v="20.0"/>
        <n v="5.0"/>
        <n v="133.0"/>
        <n v="65.0"/>
        <n v="100.0"/>
        <n v="50.0"/>
        <n v="262.0"/>
        <n v="30.0"/>
      </sharedItems>
    </cacheField>
    <cacheField name="Q/f LCE9" numFmtId="0">
      <sharedItems containsString="0" containsBlank="1" containsNumber="1" containsInteger="1">
        <m/>
        <n v="2.0"/>
        <n v="1.0"/>
        <n v="8.0"/>
        <n v="50.0"/>
        <n v="4.0"/>
        <n v="90.0"/>
        <n v="40.0"/>
        <n v="10.0"/>
        <n v="20.0"/>
        <n v="60.0"/>
        <n v="6.0"/>
        <n v="5.0"/>
        <n v="156.0"/>
        <n v="78.0"/>
        <n v="3.0"/>
        <n v="310.0"/>
      </sharedItems>
    </cacheField>
    <cacheField name="Q/f LCA10" numFmtId="0">
      <sharedItems containsString="0" containsBlank="1" containsNumber="1" containsInteger="1">
        <m/>
        <n v="1.0"/>
        <n v="8.0"/>
        <n v="4.0"/>
        <n v="26.0"/>
        <n v="13.0"/>
        <n v="2.0"/>
        <n v="30.0"/>
        <n v="52.0"/>
        <n v="5.0"/>
      </sharedItems>
    </cacheField>
    <cacheField name="Q/f LV11" numFmtId="0">
      <sharedItems containsString="0" containsBlank="1" containsNumber="1" containsInteger="1">
        <m/>
        <n v="0.0"/>
        <n v="4.0"/>
        <n v="2.0"/>
        <n v="1.0"/>
        <n v="9.0"/>
        <n v="16.0"/>
        <n v="14.0"/>
        <n v="10.0"/>
        <n v="8.0"/>
        <n v="6.0"/>
        <n v="330.0"/>
        <n v="30.0"/>
        <n v="60.0"/>
        <n v="20.0"/>
        <n v="58.0"/>
      </sharedItems>
    </cacheField>
    <cacheField name="Q 2025" numFmtId="4">
      <sharedItems containsString="0" containsBlank="1" containsNumber="1" containsInteger="1">
        <n v="0.0"/>
        <n v="8.0"/>
        <n v="6.0"/>
        <n v="27.0"/>
        <n v="9.0"/>
        <n v="16.0"/>
        <n v="14.0"/>
        <n v="26.0"/>
        <n v="76.0"/>
        <n v="4.0"/>
        <n v="43.0"/>
        <n v="32.0"/>
        <n v="49.0"/>
        <n v="10.0"/>
        <n v="3.0"/>
        <n v="2.0"/>
        <n v="50.0"/>
        <n v="72.0"/>
        <n v="344.0"/>
        <n v="18.0"/>
        <n v="200.0"/>
        <n v="20.0"/>
        <n v="580.0"/>
        <n v="70.0"/>
        <n v="490.0"/>
        <n v="60.0"/>
        <n v="124.0"/>
        <n v="258.0"/>
        <n v="21.0"/>
        <n v="188.0"/>
        <n v="156.0"/>
        <n v="46.0"/>
        <n v="1.0"/>
        <n v="5.0"/>
        <n v="24.0"/>
        <n v="35.0"/>
        <n v="12.0"/>
        <n v="80.0"/>
        <n v="1203.0"/>
        <n v="216.0"/>
        <n v="318.0"/>
        <n v="384.0"/>
        <n v="248.0"/>
        <n v="150.0"/>
        <n v="11.0"/>
        <n v="28.0"/>
        <n v="7.0"/>
        <n v="15.0"/>
        <n v="17.0"/>
        <n v="444.0"/>
        <n v="1306.0"/>
        <n v="602.0"/>
        <n v="736.0"/>
        <n v="704.0"/>
        <n v="168.0"/>
        <n v="30.0"/>
        <n v="362.0"/>
        <n v="1362.0"/>
        <n v="620.0"/>
        <n v="345.0"/>
        <n v="1652.0"/>
        <n v="375.0"/>
        <m/>
        <n v="195.0"/>
        <n v="480.0"/>
        <n v="211.0"/>
        <n v="850.0"/>
        <n v="140.0"/>
        <n v="2376.0"/>
        <n v="472.0"/>
        <n v="44.0"/>
        <n v="108.0"/>
        <n v="206.0"/>
      </sharedItems>
    </cacheField>
    <cacheField name="Q/f LMO22" numFmtId="4">
      <sharedItems containsString="0" containsBlank="1" containsNumber="1" containsInteger="1">
        <n v="0.0"/>
        <n v="8.0"/>
        <n v="2.0"/>
        <m/>
        <n v="1.0"/>
        <n v="4.0"/>
        <n v="60.0"/>
        <n v="228.0"/>
        <n v="10.0"/>
        <n v="25.0"/>
        <n v="200.0"/>
        <n v="100.0"/>
        <n v="20.0"/>
        <n v="15.0"/>
        <n v="90.0"/>
        <n v="234.0"/>
        <n v="30.0"/>
        <n v="224.0"/>
        <n v="5.0"/>
        <n v="120.0"/>
        <n v="110.0"/>
        <n v="80.0"/>
        <n v="172.0"/>
        <n v="6.0"/>
        <n v="150.0"/>
        <n v="3.0"/>
        <n v="32.0"/>
      </sharedItems>
    </cacheField>
    <cacheField name="Q/f LPL33" numFmtId="4">
      <sharedItems containsString="0" containsBlank="1" containsNumber="1" containsInteger="1">
        <n v="0.0"/>
        <n v="8.0"/>
        <n v="6.0"/>
        <m/>
        <n v="2.0"/>
        <n v="15.0"/>
        <n v="200.0"/>
        <n v="20.0"/>
        <n v="60.0"/>
        <n v="40.0"/>
        <n v="1.0"/>
        <n v="140.0"/>
        <n v="10.0"/>
        <n v="3.0"/>
        <n v="25.0"/>
        <n v="120.0"/>
        <n v="50.0"/>
        <n v="45.0"/>
        <n v="5.0"/>
        <n v="30.0"/>
        <n v="100.0"/>
        <n v="7.0"/>
        <n v="32.0"/>
      </sharedItems>
    </cacheField>
    <cacheField name="Q/f LAM44" numFmtId="4">
      <sharedItems containsString="0" containsBlank="1" containsNumber="1" containsInteger="1">
        <n v="0.0"/>
        <n v="4.0"/>
        <n v="8.0"/>
        <n v="2.0"/>
        <n v="10.0"/>
        <m/>
        <n v="1.0"/>
        <n v="50.0"/>
        <n v="100.0"/>
        <n v="5.0"/>
        <n v="25.0"/>
        <n v="180.0"/>
        <n v="45.0"/>
        <n v="15.0"/>
        <n v="20.0"/>
        <n v="30.0"/>
        <n v="300.0"/>
        <n v="80.0"/>
        <n v="110.0"/>
        <n v="84.0"/>
        <n v="9.0"/>
        <n v="200.0"/>
        <n v="6.0"/>
      </sharedItems>
    </cacheField>
    <cacheField name="Q/f LR55" numFmtId="0">
      <sharedItems containsString="0" containsBlank="1" containsNumber="1" containsInteger="1">
        <m/>
        <n v="0.0"/>
        <n v="4.0"/>
        <n v="16.0"/>
        <n v="2.0"/>
        <n v="6.0"/>
        <n v="8.0"/>
        <n v="38.0"/>
        <n v="1.0"/>
        <n v="3.0"/>
        <n v="280.0"/>
        <n v="100.0"/>
        <n v="1120.0"/>
        <n v="15.0"/>
        <n v="218.0"/>
        <n v="25.0"/>
        <n v="20.0"/>
        <n v="12.0"/>
        <n v="222.0"/>
        <n v="50.0"/>
        <n v="10.0"/>
      </sharedItems>
    </cacheField>
    <cacheField name="Q/f LN66" numFmtId="4">
      <sharedItems containsString="0" containsBlank="1" containsNumber="1" containsInteger="1">
        <n v="0.0"/>
        <n v="9.0"/>
        <n v="18.0"/>
        <n v="10.0"/>
        <n v="2.0"/>
        <n v="6.0"/>
        <n v="56.0"/>
        <n v="4.0"/>
        <n v="1.0"/>
        <n v="20.0"/>
        <n v="220.0"/>
        <n v="8.0"/>
        <n v="50.0"/>
        <n v="15.0"/>
        <n v="30.0"/>
        <m/>
        <n v="100.0"/>
        <n v="5.0"/>
        <n v="3.0"/>
        <n v="70.0"/>
        <n v="25.0"/>
        <n v="200.0"/>
      </sharedItems>
    </cacheField>
    <cacheField name="Q/f LAZ77" numFmtId="0">
      <sharedItems containsString="0" containsBlank="1" containsNumber="1" containsInteger="1">
        <m/>
        <n v="0.0"/>
        <n v="10.0"/>
        <n v="20.0"/>
        <n v="12.0"/>
        <n v="2.0"/>
        <n v="8.0"/>
        <n v="80.0"/>
        <n v="1.0"/>
        <n v="250.0"/>
        <n v="50.0"/>
        <n v="30.0"/>
        <n v="100.0"/>
        <n v="4.0"/>
        <n v="6.0"/>
        <n v="5.0"/>
        <n v="3.0"/>
        <n v="54.0"/>
        <n v="200.0"/>
      </sharedItems>
    </cacheField>
    <cacheField name="Q/f LB88" numFmtId="4">
      <sharedItems containsString="0" containsBlank="1" containsNumber="1" containsInteger="1">
        <n v="0.0"/>
        <n v="2.0"/>
        <n v="16.0"/>
        <m/>
        <n v="40.0"/>
        <n v="10.0"/>
        <n v="20.0"/>
        <n v="4.0"/>
        <n v="6.0"/>
        <n v="133.0"/>
      </sharedItems>
    </cacheField>
    <cacheField name="Q/f LCE99" numFmtId="0">
      <sharedItems containsString="0" containsBlank="1" containsNumber="1" containsInteger="1">
        <m/>
        <n v="0.0"/>
        <n v="2.0"/>
        <n v="16.0"/>
        <n v="60.0"/>
        <n v="50.0"/>
        <n v="40.0"/>
        <n v="10.0"/>
        <n v="6.0"/>
        <n v="1.0"/>
        <n v="156.0"/>
        <n v="5.0"/>
        <n v="310.0"/>
      </sharedItems>
    </cacheField>
    <cacheField name="Q/f LCA1010" numFmtId="4">
      <sharedItems containsString="0" containsBlank="1" containsNumber="1" containsInteger="1">
        <n v="0.0"/>
        <n v="8.0"/>
        <m/>
        <n v="1.0"/>
        <n v="6.0"/>
        <n v="2.0"/>
        <n v="26.0"/>
        <n v="5.0"/>
      </sharedItems>
    </cacheField>
    <cacheField name="Q/f LV1111" numFmtId="0">
      <sharedItems containsString="0" containsBlank="1" containsNumber="1" containsInteger="1">
        <m/>
        <n v="0.0"/>
        <n v="2.0"/>
        <n v="4.0"/>
        <n v="50.0"/>
        <n v="25.0"/>
        <n v="1.0"/>
        <n v="83.0"/>
        <n v="10.0"/>
        <n v="3.0"/>
        <n v="120.0"/>
        <n v="20.0"/>
      </sharedItems>
    </cacheField>
    <cacheField name="Q 2026" numFmtId="4">
      <sharedItems containsString="0" containsBlank="1" containsNumber="1" containsInteger="1">
        <n v="0.0"/>
        <n v="4.0"/>
        <n v="23.0"/>
        <n v="94.0"/>
        <n v="8.0"/>
        <n v="48.0"/>
        <n v="10.0"/>
        <n v="20.0"/>
        <n v="27.0"/>
        <n v="174.0"/>
        <n v="18.0"/>
        <n v="3.0"/>
        <n v="5.0"/>
        <n v="60.0"/>
        <n v="50.0"/>
        <n v="754.0"/>
        <n v="100.0"/>
        <n v="15.0"/>
        <n v="1350.0"/>
        <n v="70.0"/>
        <n v="585.0"/>
        <n v="2.0"/>
        <n v="958.0"/>
        <n v="300.0"/>
        <n v="814.0"/>
        <n v="40.0"/>
        <n v="1.0"/>
        <n v="6.0"/>
        <n v="12.0"/>
        <n v="22.0"/>
        <n v="16.0"/>
        <n v="9.0"/>
        <n v="80.0"/>
        <n v="315.0"/>
        <n v="130.0"/>
        <n v="318.0"/>
        <n v="596.0"/>
        <n v="150.0"/>
        <n v="156.0"/>
        <n v="500.0"/>
        <n v="200.0"/>
        <n v="190.0"/>
        <n v="35.0"/>
        <n v="92.0"/>
        <n v="234.0"/>
        <n v="254.0"/>
        <n v="17.0"/>
        <n v="620.0"/>
        <n v="310.0"/>
        <n v="105.0"/>
        <m/>
        <n v="220.0"/>
        <n v="42.0"/>
        <n v="180.0"/>
        <n v="376.0"/>
        <n v="25.0"/>
        <n v="326.0"/>
        <n v="800.0"/>
        <n v="342.0"/>
        <n v="14.0"/>
        <n v="79.0"/>
        <n v="145.0"/>
        <n v="38.0"/>
        <n v="95.0"/>
        <n v="52.0"/>
        <n v="64.0"/>
        <n v="28.0"/>
        <n v="30.0"/>
        <n v="26.0"/>
      </sharedItems>
    </cacheField>
    <cacheField name="Q Total" numFmtId="4">
      <sharedItems containsString="0" containsBlank="1" containsNumber="1" containsInteger="1">
        <n v="0.0"/>
        <n v="12.0"/>
        <n v="10.0"/>
        <n v="50.0"/>
        <n v="56.0"/>
        <n v="32.0"/>
        <n v="13.0"/>
        <n v="246.0"/>
        <n v="68.0"/>
        <n v="124.0"/>
        <n v="8.0"/>
        <n v="43.0"/>
        <n v="26.0"/>
        <n v="52.0"/>
        <n v="76.0"/>
        <n v="818.0"/>
        <n v="352.0"/>
        <n v="102.0"/>
        <n v="1.0"/>
        <n v="42.0"/>
        <n v="9.0"/>
        <n v="14.0"/>
        <n v="18.0"/>
        <n v="60.0"/>
        <n v="100.0"/>
        <n v="92.0"/>
        <n v="1098.0"/>
        <n v="36.0"/>
        <n v="300.0"/>
        <n v="35.0"/>
        <n v="1930.0"/>
        <n v="16.0"/>
        <n v="140.0"/>
        <n v="1075.0"/>
        <n v="6.0"/>
        <n v="1216.0"/>
        <n v="41.0"/>
        <n v="488.0"/>
        <n v="4.0"/>
        <n v="970.0"/>
        <n v="86.0"/>
        <n v="7.0"/>
        <n v="22.0"/>
        <n v="2.0"/>
        <n v="5.0"/>
        <n v="19.0"/>
        <n v="30.0"/>
        <n v="46.0"/>
        <n v="55.0"/>
        <n v="11.0"/>
        <n v="28.0"/>
        <n v="3.0"/>
        <n v="17.0"/>
        <n v="210.0"/>
        <n v="655.0"/>
        <n v="72.0"/>
        <n v="2453.0"/>
        <n v="276.0"/>
        <n v="346.0"/>
        <n v="636.0"/>
        <n v="980.0"/>
        <n v="292.0"/>
        <n v="270.0"/>
        <n v="574.0"/>
        <n v="200.0"/>
        <n v="40.0"/>
        <n v="21.0"/>
        <n v="27.0"/>
        <n v="24.0"/>
        <n v="150.0"/>
        <n v="63.0"/>
        <n v="64.0"/>
        <n v="20.0"/>
        <n v="672.0"/>
        <n v="156.0"/>
        <n v="2446.0"/>
        <n v="1117.0"/>
        <n v="1278.0"/>
        <n v="70.0"/>
        <n v="71.0"/>
        <n v="228.0"/>
        <n v="62.0"/>
        <n v="1656.0"/>
        <n v="25.0"/>
        <n v="414.0"/>
        <n v="492.0"/>
        <n v="170.0"/>
        <n v="974.0"/>
        <n v="160.0"/>
        <n v="1686.0"/>
        <n v="34.0"/>
        <n v="1740.0"/>
        <n v="15.0"/>
        <n v="580.0"/>
        <n v="935.0"/>
        <n v="2012.0"/>
        <n v="480.0"/>
        <n v="47.0"/>
        <n v="61.0"/>
        <n v="195.0"/>
        <n v="660.0"/>
        <n v="575.0"/>
        <n v="91.0"/>
        <n v="562.0"/>
        <n v="1352.0"/>
        <n v="79.0"/>
        <n v="250.0"/>
        <n v="110.0"/>
        <n v="45.0"/>
        <n v="33.0"/>
        <n v="792.0"/>
        <n v="3376.0"/>
        <n v="125.0"/>
        <n v="158.0"/>
        <n v="814.0"/>
        <n v="29.0"/>
        <n v="305.0"/>
        <n v="48.0"/>
        <n v="152.0"/>
        <n v="38.0"/>
        <n v="294.0"/>
        <n v="73.0"/>
        <n v="78.0"/>
        <n v="165.0"/>
        <n v="104.0"/>
        <n v="302.0"/>
        <n v="120.0"/>
        <n v="90.0"/>
        <n v="80.0"/>
        <n v="216.0"/>
        <m/>
      </sharedItems>
    </cacheField>
    <cacheField name="P.U. $us." numFmtId="4">
      <sharedItems containsString="0" containsBlank="1" containsNumber="1">
        <n v="9446.55"/>
        <n v="325.03"/>
        <m/>
        <n v="2388.56"/>
        <n v="754.93"/>
        <n v="145.09"/>
        <n v="45.03"/>
        <n v="61.68"/>
        <n v="132.6"/>
        <n v="8.11"/>
        <n v="22.04"/>
        <n v="7.92"/>
        <n v="93.56"/>
        <n v="25.92"/>
        <n v="20.42"/>
        <n v="10.04"/>
        <n v="0.69"/>
        <n v="2.11"/>
        <n v="1.15"/>
        <n v="0.27"/>
        <n v="692.48"/>
        <n v="35.57"/>
        <n v="34.19"/>
        <n v="32.26"/>
        <n v="15.0"/>
        <n v="10.69"/>
        <n v="23.0"/>
        <n v="57.11"/>
        <n v="27.03"/>
        <n v="5.34"/>
        <n v="91.06"/>
        <n v="5.61"/>
        <n v="16.0"/>
        <n v="0.39"/>
        <n v="18.23"/>
        <n v="1.73"/>
        <n v="0.23"/>
        <n v="1.27"/>
        <n v="17.54"/>
        <n v="0.11"/>
        <n v="1.35"/>
        <n v="0.46"/>
        <n v="0.08"/>
        <n v="6.73"/>
        <n v="1.77"/>
        <n v="115.29"/>
        <n v="2573.57"/>
        <n v="4345.36"/>
        <n v="1661.89"/>
        <n v="36.61"/>
        <n v="27.92"/>
        <n v="3.38"/>
        <n v="0.31"/>
        <n v="100.26"/>
        <n v="8341.04"/>
        <n v="8199.26"/>
        <n v="123.37"/>
        <n v="17.11"/>
        <n v="3.77"/>
        <n v="1.19"/>
        <n v="12845.69"/>
        <n v="2389.29"/>
        <n v="2625.33"/>
        <n v="257.23"/>
        <n v="1224.6"/>
        <n v="1185.38"/>
        <n v="394.79"/>
        <n v="529.85"/>
        <n v="282.77"/>
        <n v="313.88"/>
        <n v="1078.24"/>
        <n v="484.16"/>
        <n v="172.21"/>
        <n v="414.9"/>
        <n v="289.31"/>
        <n v="9.92"/>
        <n v="140.17"/>
        <n v="26.92"/>
        <n v="25.3"/>
        <n v="41.96"/>
        <n v="55.42"/>
        <n v="159.94"/>
        <n v="144.09"/>
        <n v="133.91"/>
        <n v="33.65"/>
        <n v="19.19"/>
        <n v="7.19"/>
        <n v="40.73"/>
        <n v="7.31"/>
        <n v="0.89"/>
        <n v="4564.72"/>
        <n v="2681.4"/>
        <n v="998.02"/>
        <n v="2796.23"/>
        <n v="244.2"/>
        <n v="473.94"/>
        <n v="447.44"/>
        <n v="268.12"/>
        <n v="448.71"/>
        <n v="125.37"/>
        <n v="354.76"/>
        <n v="109.72"/>
        <n v="288.42"/>
        <n v="226.93"/>
        <n v="71.14"/>
        <n v="406.68"/>
        <n v="73.57"/>
        <n v="131.21"/>
        <n v="56.07"/>
        <n v="30.57"/>
        <n v="112.25"/>
        <n v="17.34"/>
        <n v="16.19"/>
        <n v="8.08"/>
        <n v="8.31"/>
        <n v="23.5"/>
        <n v="7.0"/>
        <n v="11.88"/>
        <n v="9.77"/>
        <n v="8.58"/>
        <n v="1.96"/>
        <n v="416.02"/>
        <n v="88.95"/>
        <n v="491.05"/>
        <n v="536.31"/>
        <n v="106.68"/>
        <n v="13.69"/>
        <n v="69.03"/>
        <n v="2804.61"/>
        <n v="1705.53"/>
        <n v="1604.45"/>
        <n v="11.57"/>
        <n v="32.92"/>
        <n v="4.31"/>
        <n v="1212.66"/>
        <n v="183.97"/>
        <n v="2757.54"/>
        <n v="3223.6"/>
        <n v="839.54"/>
        <n v="12708.5"/>
        <n v="601.46"/>
        <n v="342.26"/>
        <n v="430.79"/>
        <n v="669.75"/>
        <n v="1333.7"/>
        <n v="354.14"/>
        <n v="266.77"/>
        <n v="100.41"/>
        <n v="323.96"/>
        <n v="936.37"/>
        <n v="333.26"/>
        <n v="414.02"/>
        <n v="205.2"/>
        <n v="265.0"/>
        <n v="74.03"/>
        <n v="293.73"/>
        <n v="179.13"/>
        <n v="174.17"/>
        <n v="125.6"/>
        <n v="488.32"/>
        <n v="382.91"/>
        <n v="168.48"/>
        <n v="95.87"/>
        <n v="103.49"/>
        <n v="38.92"/>
        <n v="95.6"/>
        <n v="141.17"/>
        <n v="16.61"/>
        <n v="236.51"/>
        <n v="231.51"/>
        <n v="149.09"/>
        <n v="4.27"/>
        <n v="4.73"/>
        <n v="1.04"/>
        <n v="412.67"/>
        <n v="3779.06"/>
        <n v="2.96"/>
        <n v="5.23"/>
        <n v="2.31"/>
        <n v="2.46"/>
        <n v="133.56"/>
        <n v="93.64"/>
        <n v="22.77"/>
        <n v="40.61"/>
        <n v="33.73"/>
        <n v="302.61"/>
        <n v="432.48"/>
        <n v="49.22"/>
        <n v="357.72"/>
        <n v="194.51"/>
        <n v="14.96"/>
        <n v="90.49"/>
        <n v="65.03"/>
        <n v="15.65"/>
        <n v="11.81"/>
        <n v="3.81"/>
        <n v="13.42"/>
        <n v="33.92"/>
        <n v="40.65"/>
        <n v="0.73"/>
        <n v="10.96"/>
        <n v="11.11"/>
        <n v="439.02"/>
        <n v="261.0"/>
        <n v="205.63"/>
        <n v="35.34"/>
        <n v="274.62"/>
        <n v="41.53"/>
        <n v="55.84"/>
        <n v="92.68"/>
        <n v="19.07"/>
        <n v="102.95"/>
        <n v="280.08"/>
        <n v="100.29"/>
        <n v="36.46"/>
        <n v="86.76"/>
        <n v="83.87"/>
        <n v="64.26"/>
        <n v="94.95"/>
        <n v="94.87"/>
        <n v="0.65"/>
        <n v="1.0"/>
        <n v="1.5"/>
        <n v="1.89"/>
        <n v="4972.78"/>
        <n v="999.86"/>
        <n v="532.66"/>
        <n v="81.41"/>
        <n v="50.42"/>
        <n v="35.53"/>
        <n v="35.26"/>
        <n v="4.0"/>
        <n v="37.07"/>
        <n v="26.23"/>
        <n v="1945.19"/>
        <n v="1677.65"/>
        <n v="2022.65"/>
        <n v="219.47"/>
        <n v="42.11"/>
        <n v="279.15"/>
        <n v="179.05"/>
        <n v="2560.69"/>
        <n v="66.8"/>
        <n v="2326.18"/>
        <n v="206.05"/>
        <n v="26.07"/>
        <n v="3313.85"/>
        <n v="50.92"/>
        <n v="335.34"/>
        <n v="45.99"/>
        <n v="784.35"/>
        <n v="20.23"/>
        <n v="437.86"/>
        <n v="384.33"/>
        <n v="223.35"/>
        <n v="66.72"/>
        <n v="16.23"/>
        <n v="12.34"/>
        <n v="1.61"/>
        <n v="14.57"/>
        <n v="566.84"/>
        <n v="603.26"/>
        <n v="1068.24"/>
        <n v="547.19"/>
        <n v="9.31"/>
        <n v="3.19"/>
        <n v="547.46"/>
        <n v="571.27"/>
        <n v="79.33"/>
        <n v="47.38"/>
        <n v="38.57"/>
        <n v="17.88"/>
        <n v="14.31"/>
        <n v="11.04"/>
        <n v="23.34"/>
        <n v="10.31"/>
        <n v="6.0"/>
        <n v="0.81"/>
        <n v="485.51"/>
        <n v="120.56"/>
        <n v="1233.52"/>
        <n v="111.25"/>
        <n v="2730.59"/>
      </sharedItems>
    </cacheField>
    <cacheField name="P.U. Bs" numFmtId="4">
      <sharedItems containsString="0" containsBlank="1" containsNumber="1">
        <n v="65842.45349999999"/>
        <n v="2265.4590999999996"/>
        <n v="0.0"/>
        <n v="16624.3776"/>
        <n v="5254.3128"/>
        <n v="1009.8264"/>
        <n v="313.4088"/>
        <n v="429.2928"/>
        <n v="922.896"/>
        <n v="56.4456"/>
        <n v="153.39839999999998"/>
        <n v="55.1232"/>
        <n v="651.1776"/>
        <n v="180.4032"/>
        <n v="142.1232"/>
        <n v="69.8784"/>
        <n v="4.8024"/>
        <n v="14.685599999999999"/>
        <n v="8.004"/>
        <n v="1.8792000000000002"/>
        <n v="4819.6608"/>
        <n v="247.5672"/>
        <n v="237.96239999999997"/>
        <n v="224.5296"/>
        <n v="104.4"/>
        <n v="74.4024"/>
        <n v="160.08"/>
        <n v="397.4856"/>
        <n v="188.1288"/>
        <n v="37.166399999999996"/>
        <n v="633.7776"/>
        <n v="39.0456"/>
        <n v="111.36"/>
        <n v="2.7144"/>
        <n v="126.88080000000001"/>
        <n v="12.040799999999999"/>
        <n v="1.6008"/>
        <n v="8.8392"/>
        <n v="122.07839999999999"/>
        <n v="0.7656"/>
        <n v="9.396"/>
        <n v="3.2016"/>
        <n v="0.5568"/>
        <n v="46.8408"/>
        <n v="12.3192"/>
        <n v="12.6157"/>
        <n v="803.5713000000001"/>
        <n v="17912.0472"/>
        <n v="30243.705599999998"/>
        <n v="11566.7544"/>
        <n v="254.8056"/>
        <n v="194.3232"/>
        <n v="23.5248"/>
        <n v="2.1576"/>
        <n v="698.8122"/>
        <n v="111327.4886"/>
        <n v="1154.0"/>
        <n v="2514.3"/>
        <n v="58053.6384"/>
        <n v="57066.8496"/>
        <n v="858.6552"/>
        <n v="119.0856"/>
        <n v="26.2392"/>
        <n v="8.282399999999999"/>
        <n v="89406.0024"/>
        <n v="16629.4584"/>
        <n v="1850.0"/>
        <n v="18272.2968"/>
        <n v="1790.3208000000002"/>
        <n v="8523.215999999999"/>
        <n v="8250.2448"/>
        <n v="2747.7384"/>
        <n v="3687.7560000000003"/>
        <n v="1968.0792"/>
        <n v="2184.6048"/>
        <n v="7504.5504"/>
        <n v="3369.7536"/>
        <n v="1198.5816"/>
        <n v="2887.7039999999997"/>
        <n v="2013.5976"/>
        <n v="69.0432"/>
        <n v="975.5831999999999"/>
        <n v="187.3632"/>
        <n v="176.088"/>
        <n v="292.0416"/>
        <n v="385.7232"/>
        <n v="1113.1824"/>
        <n v="1002.8664"/>
        <n v="932.0136"/>
        <n v="234.20399999999998"/>
        <n v="133.5624"/>
        <n v="50.0424"/>
        <n v="283.4808"/>
        <n v="50.877599999999994"/>
        <n v="6.1944"/>
        <n v="31770.451200000003"/>
        <n v="18662.544"/>
        <n v="6946.2192"/>
        <n v="26783.8978"/>
        <n v="19461.7608"/>
        <n v="1699.6319999999998"/>
        <n v="3298.6223999999997"/>
        <n v="3114.1824"/>
        <n v="1866.1152"/>
        <n v="3123.0216"/>
        <n v="872.5752"/>
        <n v="2469.1295999999998"/>
        <n v="763.6512"/>
        <n v="2007.4032000000002"/>
        <n v="1579.4328"/>
        <n v="495.1344"/>
        <n v="2830.4928"/>
        <n v="512.0472"/>
        <n v="913.2216000000001"/>
        <n v="390.2472"/>
        <n v="212.7672"/>
        <n v="850.4793999999999"/>
        <n v="781.26"/>
        <n v="120.68639999999999"/>
        <n v="112.6824"/>
        <n v="56.2368"/>
        <n v="57.8376"/>
        <n v="163.56"/>
        <n v="318.66839999999996"/>
        <n v="48.72"/>
        <n v="82.68480000000001"/>
        <n v="67.9992"/>
        <n v="59.7168"/>
        <n v="13.6416"/>
        <n v="2895.4991999999997"/>
        <n v="619.092"/>
        <n v="3417.708"/>
        <n v="3732.7175999999995"/>
        <n v="3500.0"/>
        <n v="205.0"/>
        <n v="742.4928"/>
        <n v="95.2824"/>
        <n v="594.5"/>
        <n v="355.96"/>
        <n v="480.4488"/>
        <n v="19520.085600000002"/>
        <n v="11870.4888"/>
        <n v="66.0"/>
        <n v="21325.7605"/>
        <n v="11166.972"/>
        <n v="80.52720000000001"/>
        <n v="10.6"/>
        <n v="229.1232"/>
        <n v="2.0"/>
        <n v="29.9976"/>
        <n v="8452.2402"/>
        <n v="5615.729"/>
        <n v="1280.4312"/>
        <n v="8470.0834"/>
        <n v="9574.689"/>
        <n v="19192.4784"/>
        <n v="19505.2662"/>
        <n v="4161.09"/>
        <n v="22436.255999999998"/>
        <n v="5843.198399999999"/>
        <n v="7958.1368999999995"/>
        <n v="1162.2475"/>
        <n v="88451.16"/>
        <n v="4186.1616"/>
        <n v="2382.1295999999998"/>
        <n v="2998.2984"/>
        <n v="4661.46"/>
        <n v="9282.552"/>
        <n v="2464.8143999999998"/>
        <n v="1856.7191999999998"/>
        <n v="698.8536"/>
        <n v="2254.7616"/>
        <n v="6517.1352"/>
        <n v="2319.4896"/>
        <n v="2881.5791999999997"/>
        <n v="1428.192"/>
        <n v="1844.4"/>
        <n v="515.2488"/>
        <n v="2044.3608000000002"/>
        <n v="1246.7448"/>
        <n v="1212.2232"/>
        <n v="874.1759999999999"/>
        <n v="3398.7072"/>
        <n v="2665.0536"/>
        <n v="1172.6208"/>
        <n v="667.2552000000001"/>
        <n v="720.2904"/>
        <n v="270.8832"/>
        <n v="665.376"/>
        <n v="982.5432"/>
        <n v="697.8096"/>
        <n v="115.6056"/>
        <n v="1646.1096"/>
        <n v="1611.3095999999998"/>
        <n v="1037.6664"/>
        <n v="29.719199999999997"/>
        <n v="32.9208"/>
        <n v="7.2384"/>
        <n v="7062.5616"/>
        <n v="30693.510199999997"/>
        <n v="2872.1832"/>
        <n v="422.45169999999996"/>
        <n v="26302.2576"/>
        <n v="112.0"/>
        <n v="69.0"/>
        <n v="49.0"/>
        <n v="94.0"/>
        <n v="127.0"/>
        <n v="48.0"/>
        <n v="67.0"/>
        <n v="20.6016"/>
        <n v="36.400800000000004"/>
        <n v="56.0"/>
        <n v="20.0"/>
        <n v="16.0776"/>
        <n v="17.1216"/>
        <n v="72.0"/>
        <n v="929.5776"/>
        <n v="651.7344"/>
        <n v="158.4792"/>
        <n v="282.6456"/>
        <n v="234.7608"/>
        <n v="2106.1656000000003"/>
        <n v="3010.0608"/>
        <n v="342.5712"/>
        <n v="2489.7312"/>
        <n v="1353.7895999999998"/>
        <n v="104.1216"/>
        <n v="629.8104"/>
        <n v="452.60880000000003"/>
        <n v="108.924"/>
        <n v="82.19760000000001"/>
        <n v="26.5176"/>
        <n v="93.4032"/>
        <n v="236.0832"/>
        <n v="282.924"/>
        <n v="5.0808"/>
        <n v="76.28160000000001"/>
        <n v="77.43669999999999"/>
        <n v="3059.9694"/>
        <n v="2262.69"/>
        <n v="424.5"/>
        <n v="47.3"/>
        <n v="1819.1699999999998"/>
        <n v="1431.1848"/>
        <n v="245.96640000000002"/>
        <n v="1911.3552"/>
        <n v="289.0488"/>
        <n v="388.6464"/>
        <n v="645.0528"/>
        <n v="132.7272"/>
        <n v="716.532"/>
        <n v="1949.3567999999998"/>
        <n v="698.0184"/>
        <n v="253.76160000000002"/>
        <n v="603.8496"/>
        <n v="583.7352000000001"/>
        <n v="447.24960000000004"/>
        <n v="660.852"/>
        <n v="660.2952"/>
        <n v="4.524"/>
        <n v="6.96"/>
        <n v="10.44"/>
        <n v="13.154399999999999"/>
        <n v="8665.7313"/>
        <n v="34610.5488"/>
        <n v="6959.0256"/>
        <n v="3707.3136"/>
        <n v="566.6136"/>
        <n v="350.9232"/>
        <n v="247.2888"/>
        <n v="245.40959999999998"/>
        <n v="27.84"/>
        <n v="258.0072"/>
        <n v="182.5608"/>
        <n v="13538.5224"/>
        <n v="11676.444000000001"/>
        <n v="14077.644"/>
        <n v="1527.5112"/>
        <n v="293.0856"/>
        <n v="1942.8839999999998"/>
        <n v="1246.188"/>
        <n v="17822.4024"/>
        <n v="464.928"/>
        <n v="16190.2128"/>
        <n v="1434.1080000000002"/>
        <n v="181.4472"/>
        <n v="23064.396"/>
        <n v="354.4032"/>
        <n v="2333.9664"/>
        <n v="320.0904"/>
        <n v="5459.076"/>
        <n v="140.8008"/>
        <n v="3047.5056"/>
        <n v="2674.9368"/>
        <n v="1554.5159999999998"/>
        <n v="464.3712"/>
        <n v="112.9608"/>
        <n v="85.8864"/>
        <n v="11.2056"/>
        <n v="101.4072"/>
        <n v="3945.2064"/>
        <n v="219.55499999999998"/>
        <n v="2010.0086"/>
        <n v="2.1607"/>
        <n v="4198.6896"/>
        <n v="7434.9504"/>
        <n v="3813.9143000000004"/>
        <n v="64.7976"/>
        <n v="22.2024"/>
        <n v="3810.3216"/>
        <n v="3976.0391999999997"/>
        <n v="552.1368"/>
        <n v="329.76480000000004"/>
        <n v="268.4472"/>
        <n v="124.44479999999999"/>
        <n v="99.5976"/>
        <n v="76.8384"/>
        <n v="162.4464"/>
        <n v="71.7576"/>
        <n v="41.76"/>
        <n v="5.6376"/>
        <n v="3379.1495999999997"/>
        <n v="839.0976"/>
        <n v="8597.634399999999"/>
        <n v="774.3"/>
        <n v="19004.9064"/>
        <m/>
      </sharedItems>
    </cacheField>
    <cacheField name="Bs LMO/24" numFmtId="0">
      <sharedItems containsString="0" containsBlank="1" containsNumber="1">
        <m/>
        <n v="0.0"/>
        <n v="2507.2704"/>
        <n v="3691.584"/>
        <n v="903.1296"/>
        <n v="495.1344"/>
        <n v="237.96239999999997"/>
        <n v="208.8"/>
        <n v="148.8048"/>
        <n v="9232.0"/>
        <n v="2514.3"/>
        <n v="1717.3104"/>
        <n v="14800.0"/>
        <n v="14322.566400000002"/>
        <n v="2747.7384"/>
        <n v="1968.0792"/>
        <n v="2184.6048"/>
        <n v="2397.1632"/>
        <n v="552.3456"/>
        <n v="584.0832"/>
        <n v="385.7232"/>
        <n v="24.7776"/>
        <n v="16198.008"/>
        <n v="35670.0"/>
        <n v="21357.6"/>
        <n v="23740.9776"/>
        <n v="805.272"/>
        <n v="530.0"/>
        <n v="88451.16"/>
        <n v="9282.552"/>
        <n v="672.0"/>
        <n v="414.0"/>
        <n v="392.0"/>
        <n v="376.0"/>
        <n v="254.0"/>
        <n v="288.0"/>
        <n v="268.0"/>
        <n v="188.0"/>
        <n v="164.8128"/>
        <n v="134.0"/>
        <n v="582.4128000000001"/>
        <n v="112.0"/>
        <n v="120.0"/>
        <n v="77154.9408"/>
        <n v="33280.632"/>
        <n v="28264.56"/>
        <n v="11738.039999999999"/>
        <n v="42123.312000000005"/>
        <n v="30831.408"/>
        <n v="12596.207999999999"/>
        <n v="5446.200000000001"/>
        <n v="2937.12"/>
        <n v="4109.88"/>
        <n v="1193.2920000000001"/>
        <n v="1180.416"/>
        <n v="1131.696"/>
        <n v="1016.16"/>
        <n v="762.8160000000001"/>
        <n v="128.064"/>
        <n v="258.912"/>
        <n v="71559.24"/>
        <n v="6450.528"/>
        <n v="21495.960000000003"/>
        <n v="6980.184"/>
        <n v="7612.848000000001"/>
        <n v="6038.496"/>
        <n v="361.92"/>
        <n v="20.88"/>
        <n v="6.4032"/>
        <n v="14829.2544"/>
        <n v="2833.068"/>
        <n v="2456.4624"/>
        <n v="1236.444"/>
        <n v="1227.048"/>
        <n v="139.2"/>
        <n v="61.944"/>
        <n v="12220.0896"/>
        <n v="2051.5992"/>
        <n v="5828.651999999999"/>
        <n v="2492.376"/>
        <n v="929.856"/>
        <n v="2868.2160000000003"/>
        <n v="3628.9440000000004"/>
        <n v="640.1808"/>
        <n v="1408.008"/>
        <n v="1190.856"/>
        <n v="112.9608"/>
        <n v="65.8416"/>
        <n v="171.7728"/>
        <n v="112.05600000000001"/>
        <n v="32.016"/>
        <n v="16794.7584"/>
        <n v="1295.952"/>
        <n v="44.4048"/>
        <n v="3976.0391999999997"/>
        <n v="5521.368"/>
        <n v="4946.472000000001"/>
        <n v="2147.5776"/>
        <n v="622.2239999999999"/>
        <n v="44.8224"/>
        <n v="497.988"/>
        <n v="164.60399999999998"/>
        <n v="2436.6960000000004"/>
        <n v="417.59999999999997"/>
        <n v="16895.748"/>
        <n v="5992.907999999999"/>
        <n v="3652.8864000000003"/>
        <n v="2517.2928"/>
      </sharedItems>
    </cacheField>
    <cacheField name="Bs LPL/24" numFmtId="0">
      <sharedItems containsString="0" containsBlank="1" containsNumber="1">
        <m/>
        <n v="0.0"/>
        <n v="1880.4528"/>
        <n v="3691.584"/>
        <n v="677.3471999999999"/>
        <n v="1227.1871999999998"/>
        <n v="495.1344"/>
        <n v="237.96239999999997"/>
        <n v="1717.3104"/>
        <n v="11100.0"/>
        <n v="7161.283200000001"/>
        <n v="3936.1584"/>
        <n v="2184.6048"/>
        <n v="1198.5816"/>
        <n v="414.25919999999996"/>
        <n v="562.0896"/>
        <n v="176.088"/>
        <n v="18.583199999999998"/>
        <n v="9528.24"/>
        <n v="5339.4"/>
        <n v="161.05440000000002"/>
        <n v="212.0"/>
        <n v="448.0"/>
        <n v="276.0"/>
        <n v="294.0"/>
        <n v="376.0"/>
        <n v="254.0"/>
        <n v="192.0"/>
        <n v="134.0"/>
        <n v="188.0"/>
        <n v="164.8128"/>
        <n v="112.0"/>
        <n v="80.0"/>
        <n v="37183.104"/>
        <n v="15847.919999999998"/>
        <n v="4239.684"/>
        <n v="14085.648"/>
        <n v="10530.828000000001"/>
        <n v="2055.4272"/>
        <n v="6768.947999999999"/>
        <n v="2519.2416"/>
        <n v="4356.96"/>
        <n v="1762.272"/>
        <n v="2465.9280000000003"/>
        <n v="397.764"/>
        <n v="1868.0639999999999"/>
        <n v="472.1664"/>
        <n v="96.048"/>
        <n v="107.88"/>
        <n v="135.72"/>
        <n v="42935.544"/>
        <n v="2459.664"/>
        <n v="17202.196799999998"/>
        <n v="2890.4880000000003"/>
        <n v="16323.1488"/>
        <n v="3225.264"/>
        <n v="3490.092"/>
        <n v="1811.5488"/>
        <n v="2236.248"/>
        <n v="660.852"/>
        <n v="1320.5904"/>
        <n v="45.24"/>
        <n v="10.44"/>
        <n v="7414.6272"/>
        <n v="1465.4279999999999"/>
        <n v="5828.651999999999"/>
        <n v="2492.376"/>
        <n v="35644.8048"/>
        <n v="929.856"/>
        <n v="32380.4256"/>
        <n v="2868.2160000000003"/>
        <n v="2721.708"/>
        <n v="18074.5632"/>
        <n v="640.1808"/>
        <n v="281.6016"/>
        <n v="952.6848"/>
        <n v="112.9608"/>
        <n v="32.9208"/>
        <n v="56.028000000000006"/>
        <n v="32.016"/>
        <n v="518.3808"/>
        <n v="44.4048"/>
        <n v="5521.368"/>
        <n v="1648.824"/>
        <n v="1073.7888"/>
        <n v="248.88959999999997"/>
        <n v="22.4112"/>
        <n v="199.1952"/>
        <n v="65.8416"/>
        <n v="417.59999999999997"/>
        <n v="112.05600000000001"/>
        <n v="33791.496"/>
        <n v="11985.815999999999"/>
        <n v="2739.6648000000005"/>
        <n v="1678.1952"/>
      </sharedItems>
    </cacheField>
    <cacheField name="Bs LAM/24" numFmtId="0">
      <sharedItems containsString="0" containsBlank="1" containsNumber="1">
        <m/>
        <n v="0.0"/>
        <n v="2507.2704"/>
        <n v="6868.6848"/>
        <n v="903.1296"/>
        <n v="1533.984"/>
        <n v="4819.6608"/>
        <n v="495.1344"/>
        <n v="237.96239999999997"/>
        <n v="449.0592"/>
        <n v="208.8"/>
        <n v="148.8048"/>
        <n v="4616.0"/>
        <n v="1717.3104"/>
        <n v="7161.283200000001"/>
        <n v="8523.215999999999"/>
        <n v="2747.7384"/>
        <n v="3687.7560000000003"/>
        <n v="4369.2096"/>
        <n v="7504.5504"/>
        <n v="3369.7536"/>
        <n v="2397.1632"/>
        <n v="2887.7039999999997"/>
        <n v="2013.5976"/>
        <n v="552.3456"/>
        <n v="936.816"/>
        <n v="352.176"/>
        <n v="584.0832"/>
        <n v="385.7232"/>
        <n v="24.7776"/>
        <n v="12300.0"/>
        <n v="33348.84"/>
        <n v="35596.0"/>
        <n v="11870.4888"/>
        <n v="8052.720000000001"/>
        <n v="424.0"/>
        <n v="4582.464"/>
        <n v="3398.7072"/>
        <n v="672.0"/>
        <n v="414.0"/>
        <n v="588.0"/>
        <n v="254.0"/>
        <n v="288.0"/>
        <n v="268.0"/>
        <n v="188.0"/>
        <n v="164.8128"/>
        <n v="134.0"/>
        <n v="582.4128000000001"/>
        <n v="112.0"/>
        <n v="120.0"/>
        <n v="79014.09599999999"/>
        <n v="31695.839999999997"/>
        <n v="56529.12"/>
        <n v="45074.073599999996"/>
        <n v="21061.656000000003"/>
        <n v="45150.912000000004"/>
        <n v="13702.847999999998"/>
        <n v="24897.312"/>
        <n v="3493.92"/>
        <n v="20306.843999999997"/>
        <n v="1041.216"/>
        <n v="6298.103999999999"/>
        <n v="8713.92"/>
        <n v="2937.12"/>
        <n v="6575.808000000001"/>
        <n v="1325.88"/>
        <n v="4670.16"/>
        <n v="2360.832"/>
        <n v="1414.62"/>
        <n v="1524.24"/>
        <n v="381.4080000000001"/>
        <n v="128.064"/>
        <n v="237.33599999999998"/>
        <n v="100182.936"/>
        <n v="19113.552"/>
        <n v="14452.440000000002"/>
        <n v="32646.2976"/>
        <n v="5805.475200000001"/>
        <n v="6636.360000000001"/>
        <n v="21495.960000000003"/>
        <n v="6980.184"/>
        <n v="7612.848000000001"/>
        <n v="6038.496"/>
        <n v="4669.881600000001"/>
        <n v="2236.248"/>
        <n v="3304.2599999999998"/>
        <n v="2641.1808"/>
        <n v="226.2"/>
        <n v="1392.0"/>
        <n v="20.88"/>
        <n v="6.4032"/>
        <n v="22243.8816"/>
        <n v="64.032"/>
        <n v="14077.644"/>
        <n v="12220.0896"/>
        <n v="2930.8559999999998"/>
        <n v="15543.071999999998"/>
        <n v="2492.376"/>
        <n v="1859.712"/>
        <n v="2868.2160000000003"/>
        <n v="3628.9440000000004"/>
        <n v="3544.032"/>
        <n v="9335.8656"/>
        <n v="4335.732"/>
        <n v="1920.5423999999998"/>
        <n v="7378.992"/>
        <n v="10918.152"/>
        <n v="1408.008"/>
        <n v="1190.856"/>
        <n v="464.3712"/>
        <n v="112.9608"/>
        <n v="65.8416"/>
        <n v="171.7728"/>
        <n v="640.32"/>
        <n v="168.084"/>
        <n v="405.6288"/>
        <n v="32.016"/>
        <n v="1295.952"/>
        <n v="44.4048"/>
        <n v="3976.0391999999997"/>
        <n v="5521.368"/>
        <n v="4946.472000000001"/>
        <n v="4026.708"/>
        <n v="622.2239999999999"/>
        <n v="44.8224"/>
        <n v="497.988"/>
        <n v="164.60399999999998"/>
        <n v="2436.6960000000004"/>
        <n v="2152.728"/>
        <n v="417.59999999999997"/>
        <n v="336.168"/>
        <n v="56.376"/>
        <n v="4566.108"/>
        <n v="2517.2928"/>
        <n v="19004.9064"/>
      </sharedItems>
    </cacheField>
    <cacheField name="Bs LR/24" numFmtId="0">
      <sharedItems containsString="0" containsBlank="1" containsNumber="1">
        <m/>
        <n v="0.0"/>
        <n v="1253.6352"/>
        <n v="903.1296"/>
        <n v="2525.9231999999997"/>
        <n v="304.152"/>
        <n v="37.584"/>
        <n v="495.1344"/>
        <n v="237.96239999999997"/>
        <n v="449.0592"/>
        <n v="208.8"/>
        <n v="223.2072"/>
        <n v="1717.3104"/>
        <n v="14800.0"/>
        <n v="2184.6048"/>
        <n v="3369.7536"/>
        <n v="2013.5976"/>
        <n v="414.25919999999996"/>
        <n v="975.5831999999999"/>
        <n v="234.20399999999998"/>
        <n v="133.5624"/>
        <n v="50.877599999999994"/>
        <n v="57400.0"/>
        <n v="1166.0"/>
        <n v="3398.7072"/>
        <n v="560.0"/>
        <n v="345.0"/>
        <n v="490.0"/>
        <n v="376.0"/>
        <n v="384.0"/>
        <n v="268.0"/>
        <n v="134.0"/>
        <n v="112.0"/>
        <n v="80.0"/>
        <n v="11453.376"/>
        <n v="1615.416"/>
        <n v="5833.872"/>
        <n v="576.288"/>
        <n v="32084.416800000003"/>
        <n v="6450.528"/>
        <n v="15594.854399999998"/>
        <n v="1004.328"/>
        <n v="208.79999999999998"/>
        <n v="80.04"/>
        <n v="13538.5224"/>
        <n v="1942.8839999999998"/>
        <n v="4984.752"/>
        <n v="6973.92"/>
        <n v="5736.432000000001"/>
        <n v="9072.36"/>
        <n v="9249.5616"/>
        <n v="3200.904"/>
        <n v="1408.008"/>
        <n v="3906.5087999999996"/>
        <n v="112.9608"/>
        <n v="329.20799999999997"/>
        <n v="171.7728"/>
        <n v="112.05600000000001"/>
        <n v="32.016"/>
        <n v="560.28"/>
        <n v="224.11200000000002"/>
        <n v="56.376"/>
        <n v="278.4"/>
        <n v="64.032"/>
      </sharedItems>
    </cacheField>
    <cacheField name="Bs LN/24" numFmtId="0">
      <sharedItems containsString="0" containsBlank="1" containsNumber="1">
        <m/>
        <n v="0.0"/>
        <n v="1253.6352"/>
        <n v="1016.0208"/>
        <n v="3700.7711999999997"/>
        <n v="448.224"/>
        <n v="52.6176"/>
        <n v="990.2688"/>
        <n v="237.96239999999997"/>
        <n v="224.5296"/>
        <n v="104.4"/>
        <n v="74.4024"/>
        <n v="1717.3104"/>
        <n v="11100.0"/>
        <n v="8250.2448"/>
        <n v="8243.2152"/>
        <n v="3687.7560000000003"/>
        <n v="1968.0792"/>
        <n v="552.3456"/>
        <n v="975.5831999999999"/>
        <n v="234.20399999999998"/>
        <n v="133.5624"/>
        <n v="50.877599999999994"/>
        <n v="19520.085600000002"/>
        <n v="1335.6"/>
        <n v="6517.1352"/>
        <n v="5330.1072"/>
        <n v="26302.2576"/>
        <n v="560.0"/>
        <n v="345.0"/>
        <n v="490.0"/>
        <n v="376.0"/>
        <n v="254.0"/>
        <n v="384.0"/>
        <n v="268.0"/>
        <n v="188.0"/>
        <n v="164.8128"/>
        <n v="134.0"/>
        <n v="112.0"/>
        <n v="80.0"/>
        <n v="128.6208"/>
        <n v="17609.3568"/>
        <n v="13119.3216"/>
        <n v="1850.3855999999998"/>
        <n v="6019.4952"/>
        <n v="22936.2624"/>
        <n v="11610.950400000002"/>
        <n v="3898.7135999999996"/>
        <n v="226.2"/>
        <n v="522.0"/>
        <n v="80.04"/>
        <n v="4396.284"/>
        <n v="1942.8839999999998"/>
        <n v="4984.752"/>
        <n v="9298.56"/>
        <n v="5736.432000000001"/>
        <n v="3628.9440000000004"/>
        <n v="3200.904"/>
        <n v="4919.328"/>
        <n v="1408.008"/>
        <n v="928.7424"/>
        <n v="112.9608"/>
        <n v="329.20799999999997"/>
        <n v="171.7728"/>
        <n v="112.05600000000001"/>
        <n v="32.016"/>
        <n v="560.28"/>
        <n v="1435.152"/>
        <n v="336.168"/>
        <n v="56.376"/>
        <n v="278.4"/>
        <n v="96.048"/>
      </sharedItems>
    </cacheField>
    <cacheField name="Bs LAZ/24" numFmtId="0">
      <sharedItems containsString="0" containsBlank="1" containsNumber="1">
        <m/>
        <n v="0.0"/>
        <n v="1253.6352"/>
        <n v="1128.912"/>
        <n v="5345.5584"/>
        <n v="640.3199999999999"/>
        <n v="82.68480000000001"/>
        <n v="495.1344"/>
        <n v="237.96239999999997"/>
        <n v="224.5296"/>
        <n v="104.4"/>
        <n v="74.4024"/>
        <n v="1717.3104"/>
        <n v="14800.0"/>
        <n v="2747.7384"/>
        <n v="3687.7560000000003"/>
        <n v="552.3456"/>
        <n v="975.5831999999999"/>
        <n v="234.20399999999998"/>
        <n v="133.5624"/>
        <n v="175000.0"/>
        <n v="19520.085600000002"/>
        <n v="2204.7999999999997"/>
        <n v="6517.1352"/>
        <n v="560.0"/>
        <n v="345.0"/>
        <n v="490.0"/>
        <n v="376.0"/>
        <n v="508.0"/>
        <n v="576.0"/>
        <n v="268.0"/>
        <n v="564.0"/>
        <n v="164.8128"/>
        <n v="134.0"/>
        <n v="112.0"/>
        <n v="80.0"/>
        <n v="128.6208"/>
        <n v="29069.4144"/>
        <n v="3054.6047999999996"/>
        <n v="34404.393599999996"/>
        <n v="11610.950400000002"/>
        <n v="9746.784"/>
        <n v="244.296"/>
        <n v="522.0"/>
        <n v="80.04"/>
        <n v="4396.284"/>
        <n v="1942.8839999999998"/>
        <n v="4984.752"/>
        <n v="13947.84"/>
        <n v="5736.432000000001"/>
        <n v="3628.9440000000004"/>
        <n v="3200.904"/>
        <n v="1408.008"/>
        <n v="928.7424"/>
        <n v="2537.616"/>
        <n v="112.9608"/>
        <n v="329.20799999999997"/>
        <n v="171.7728"/>
        <n v="112.05600000000001"/>
        <n v="32.016"/>
        <n v="16794.7584"/>
        <n v="177.6192"/>
        <n v="1435.152"/>
        <n v="560.28"/>
        <n v="56.376"/>
        <n v="278.4"/>
        <n v="160.08"/>
      </sharedItems>
    </cacheField>
    <cacheField name="Bs LB/24" numFmtId="0">
      <sharedItems containsString="0" containsBlank="1" containsNumber="1">
        <m/>
        <n v="0.0"/>
        <n v="1253.6352"/>
        <n v="1845.792"/>
        <n v="903.1296"/>
        <n v="1227.1871999999998"/>
        <n v="293.712"/>
        <n v="495.1344"/>
        <n v="1717.3104"/>
        <n v="16629.4584"/>
        <n v="3580.6416000000004"/>
        <n v="8523.215999999999"/>
        <n v="3687.7560000000003"/>
        <n v="1968.0792"/>
        <n v="2887.7039999999997"/>
        <n v="414.25919999999996"/>
        <n v="374.7264"/>
        <n v="352.176"/>
        <n v="1002.8664"/>
        <n v="932.0136"/>
        <n v="100.0848"/>
        <n v="12.3888"/>
        <n v="12672.5592"/>
        <n v="3559.6"/>
        <n v="7424.928"/>
        <n v="483.1632000000001"/>
        <n v="59.9952"/>
        <n v="9282.552"/>
        <n v="448.0"/>
        <n v="276.0"/>
        <n v="196.0"/>
        <n v="376.0"/>
        <n v="254.0"/>
        <n v="96.0"/>
        <n v="268.0"/>
        <n v="188.0"/>
        <n v="164.8128"/>
        <n v="134.0"/>
        <n v="112.0"/>
        <n v="40.0"/>
        <n v="136.9728"/>
        <n v="18591.552"/>
        <n v="15847.919999999998"/>
        <n v="11738.039999999999"/>
        <n v="3010.0608"/>
        <n v="9958.9248"/>
        <n v="397.764"/>
        <n v="21.576"/>
        <n v="3707.3136"/>
        <n v="139.2"/>
        <n v="4396.284"/>
        <n v="1942.8839999999998"/>
        <n v="4984.752"/>
        <n v="23064.396"/>
        <n v="708.8064"/>
        <n v="2674.9368"/>
        <n v="225.9216"/>
        <n v="7952.078399999999"/>
        <n v="171.7728"/>
        <n v="76.8384"/>
        <n v="417.59999999999997"/>
        <n v="112.05600000000001"/>
      </sharedItems>
    </cacheField>
    <cacheField name="Bs LCE/24" numFmtId="0">
      <sharedItems containsString="0" containsBlank="1" containsNumber="1">
        <m/>
        <n v="0.0"/>
        <n v="1567.0439999999999"/>
        <n v="1845.792"/>
        <n v="903.1296"/>
        <n v="1227.1871999999998"/>
        <n v="495.1344"/>
        <n v="1717.3104"/>
        <n v="16629.4584"/>
        <n v="7400.0"/>
        <n v="1790.3208000000002"/>
        <n v="8523.215999999999"/>
        <n v="1968.0792"/>
        <n v="7504.5504"/>
        <n v="69.0432"/>
        <n v="374.7264"/>
        <n v="352.176"/>
        <n v="385.7232"/>
        <n v="1113.1824"/>
        <n v="100.0848"/>
        <n v="283.4808"/>
        <n v="14864.054399999999"/>
        <n v="1779.8"/>
        <n v="4454.9568"/>
        <n v="59.9952"/>
        <n v="9282.552"/>
        <n v="448.0"/>
        <n v="276.0"/>
        <n v="196.0"/>
        <n v="376.0"/>
        <n v="254.0"/>
        <n v="96.0"/>
        <n v="268.0"/>
        <n v="188.0"/>
        <n v="164.8128"/>
        <n v="134.0"/>
        <n v="112.0"/>
        <n v="40.0"/>
        <n v="128.6208"/>
        <n v="2489.7312"/>
        <n v="397.764"/>
        <n v="3707.3136"/>
        <n v="139.2"/>
        <n v="2930.8559999999998"/>
        <n v="1942.8839999999998"/>
        <n v="4984.752"/>
        <n v="2674.9368"/>
        <n v="225.9216"/>
        <n v="3239.88"/>
        <n v="3976.0391999999997"/>
      </sharedItems>
    </cacheField>
    <cacheField name="Bs LCA/24" numFmtId="0">
      <sharedItems containsString="0" containsBlank="1" containsNumber="1">
        <m/>
        <n v="0.0"/>
        <n v="1253.6352"/>
        <n v="922.896"/>
        <n v="451.5648"/>
        <n v="146.856"/>
        <n v="247.5672"/>
        <n v="858.6552"/>
        <n v="276.1728"/>
        <n v="187.3632"/>
        <n v="176.088"/>
        <n v="6.1944"/>
        <n v="2477.3424"/>
        <n v="2847.68"/>
        <n v="1484.9856"/>
        <n v="161.05440000000002"/>
        <n v="134.0"/>
        <n v="136.9728"/>
        <n v="4754.376"/>
        <n v="212.1408"/>
        <n v="1942.8839999999998"/>
        <n v="208.79999999999998"/>
        <n v="67.2336"/>
      </sharedItems>
    </cacheField>
    <cacheField name="Bs LV/24" numFmtId="0">
      <sharedItems containsString="0" containsBlank="1" containsNumber="1">
        <m/>
        <n v="0.0"/>
        <n v="495.1344"/>
        <n v="858.6552"/>
        <n v="69.0432"/>
        <n v="374.7264"/>
        <n v="352.176"/>
        <n v="100.0848"/>
        <n v="12.3888"/>
        <n v="64575.0"/>
        <n v="7424.928"/>
        <n v="11166.972"/>
        <n v="400.0"/>
        <n v="59.9952"/>
        <n v="2688.0"/>
        <n v="1656.0"/>
        <n v="376.0"/>
        <n v="508.0"/>
        <n v="192.0"/>
        <n v="268.0"/>
        <n v="164.8128"/>
        <n v="134.0"/>
        <n v="112.0"/>
        <n v="200.0"/>
        <n v="144.0"/>
        <n v="138.0"/>
        <n v="146.856"/>
        <n v="265.17600000000004"/>
        <n v="42935.544"/>
        <n v="7963.6320000000005"/>
        <n v="22243.8816"/>
        <n v="64.032"/>
        <n v="4396.284"/>
        <n v="4984.752"/>
        <n v="2868.2160000000003"/>
        <n v="725.7888"/>
        <n v="4667.9328"/>
        <n v="6095.0112"/>
        <n v="3109.0319999999997"/>
        <n v="464.3712"/>
        <n v="225.9216"/>
        <n v="160.08"/>
        <n v="101.4072"/>
        <n v="3976.0391999999997"/>
        <n v="417.59999999999997"/>
      </sharedItems>
    </cacheField>
    <cacheField name="Bs. 2024" numFmtId="4">
      <sharedItems containsString="0" containsBlank="1" containsNumber="1">
        <n v="0.0"/>
        <n v="14730.2136"/>
        <n v="6868.6848"/>
        <n v="11997.648"/>
        <n v="7789.4928"/>
        <n v="5215.5455999999995"/>
        <n v="12012.8208"/>
        <n v="1392.696"/>
        <n v="172.8864"/>
        <n v="4819.6608"/>
        <n v="5198.9112000000005"/>
        <n v="1427.7743999999998"/>
        <n v="1347.1776"/>
        <n v="835.2"/>
        <n v="669.6216"/>
        <n v="13848.0"/>
        <n v="2514.3"/>
        <n v="15455.7936"/>
        <n v="33258.9168"/>
        <n v="74000.0"/>
        <n v="34016.0952"/>
        <n v="25569.647999999994"/>
        <n v="8250.2448"/>
        <n v="16486.4304"/>
        <n v="14751.024000000001"/>
        <n v="11808.475199999999"/>
        <n v="10923.024000000001"/>
        <n v="15009.1008"/>
        <n v="6739.5072"/>
        <n v="5992.907999999999"/>
        <n v="5775.407999999999"/>
        <n v="4027.1952"/>
        <n v="3866.4192"/>
        <n v="2926.7495999999996"/>
        <n v="2810.4480000000003"/>
        <n v="1760.8799999999999"/>
        <n v="1168.1664"/>
        <n v="1157.1696000000002"/>
        <n v="1113.1824"/>
        <n v="1002.8664"/>
        <n v="932.0136"/>
        <n v="702.612"/>
        <n v="400.68719999999996"/>
        <n v="300.25440000000003"/>
        <n v="283.4808"/>
        <n v="101.75519999999999"/>
        <n v="99.1104"/>
        <n v="175000.0"/>
        <n v="134275.0"/>
        <n v="89089.044"/>
        <n v="35670.0"/>
        <n v="70480.08"/>
        <n v="39040.171200000004"/>
        <n v="35611.4664"/>
        <n v="20789.7984"/>
        <n v="11166.972"/>
        <n v="9663.264000000001"/>
        <n v="5872.4"/>
        <n v="4582.464"/>
        <n v="400.0"/>
        <n v="179.98559999999998"/>
        <n v="88451.16"/>
        <n v="27847.656"/>
        <n v="13034.2704"/>
        <n v="6797.4144"/>
        <n v="5330.1072"/>
        <n v="26302.2576"/>
        <n v="7056.0"/>
        <n v="4347.0"/>
        <n v="3136.0"/>
        <n v="3008.0"/>
        <n v="2540.0"/>
        <n v="2496.0"/>
        <n v="2412.0"/>
        <n v="2068.0"/>
        <n v="1318.5024"/>
        <n v="1206.0"/>
        <n v="1164.8256000000001"/>
        <n v="1008.0"/>
        <n v="840.0"/>
        <n v="385.8624"/>
        <n v="273.9456"/>
        <n v="144.0"/>
        <n v="138.0"/>
        <n v="211943.6928"/>
        <n v="101426.688"/>
        <n v="89033.364"/>
        <n v="82635.80159999999"/>
        <n v="73715.796"/>
        <n v="48160.9728"/>
        <n v="46589.6832"/>
        <n v="37345.968"/>
        <n v="50172.6912"/>
        <n v="27075.791999999998"/>
        <n v="25613.9136"/>
        <n v="21413.5536"/>
        <n v="18517.08"/>
        <n v="14303.774399999998"/>
        <n v="13151.616000000002"/>
        <n v="16043.148000000001"/>
        <n v="6538.224"/>
        <n v="4013.4144"/>
        <n v="2546.316"/>
        <n v="2540.4"/>
        <n v="1144.2240000000002"/>
        <n v="928.464"/>
        <n v="625.704"/>
        <n v="135.72"/>
        <n v="106346.43000000001"/>
        <n v="23347.5"/>
        <n v="2885.2999999999997"/>
        <n v="257613.264"/>
        <n v="2459.664"/>
        <n v="93656.4048"/>
        <n v="49427.344800000006"/>
        <n v="48969.4464"/>
        <n v="45153.696"/>
        <n v="14599.992000000002"/>
        <n v="42991.920000000006"/>
        <n v="29240.351999999995"/>
        <n v="17450.460000000003"/>
        <n v="15225.696000000002"/>
        <n v="13888.5408"/>
        <n v="4669.881600000001"/>
        <n v="4472.496"/>
        <n v="3965.112"/>
        <n v="3961.7712"/>
        <n v="2108.184"/>
        <n v="1392.0"/>
        <n v="1305.0"/>
        <n v="252.9264"/>
        <n v="74146.272"/>
        <n v="2833.068"/>
        <n v="2456.4624"/>
        <n v="1236.444"/>
        <n v="1227.048"/>
        <n v="417.6"/>
        <n v="128.064"/>
        <n v="61.944"/>
        <n v="13538.5224"/>
        <n v="14077.644"/>
        <n v="24440.1792"/>
        <n v="26963.8752"/>
        <n v="38857.67999999999"/>
        <n v="37385.64"/>
        <n v="35644.8048"/>
        <n v="33939.744"/>
        <n v="32380.4256"/>
        <n v="28682.160000000003"/>
        <n v="27035.632800000003"/>
        <n v="23064.396"/>
        <n v="22327.4016"/>
        <n v="14003.7984"/>
        <n v="13585.2936"/>
        <n v="12803.616"/>
        <n v="12298.320000000002"/>
        <n v="10918.152"/>
        <n v="7321.641600000001"/>
        <n v="6095.0112"/>
        <n v="5349.8736"/>
        <n v="3906.5087999999996"/>
        <n v="3334.3968"/>
        <n v="3109.0319999999997"/>
        <n v="2786.2272"/>
        <n v="2537.616"/>
        <n v="1355.5296"/>
        <n v="1152.228"/>
        <n v="858.8639999999999"/>
        <n v="800.4000000000001"/>
        <n v="672.336"/>
        <n v="507.036"/>
        <n v="192.096"/>
        <n v="33589.5168"/>
        <n v="6350.1648000000005"/>
        <n v="310.8336"/>
        <n v="23856.2352"/>
        <n v="16564.104"/>
        <n v="11541.768000000002"/>
        <n v="7248.0744"/>
        <n v="1493.3375999999998"/>
        <n v="1232.616"/>
        <n v="1195.1712"/>
        <n v="395.0496"/>
        <n v="171.7728"/>
        <n v="76.8384"/>
        <n v="4873.392000000001"/>
        <n v="5023.032"/>
        <n v="2296.7999999999997"/>
        <n v="1860.1296"/>
        <n v="225.504"/>
        <n v="320.16"/>
        <n v="50687.244"/>
        <n v="17978.724"/>
        <n v="10958.659200000002"/>
        <n v="6712.7808"/>
        <n v="19004.9064"/>
        <m/>
      </sharedItems>
    </cacheField>
    <cacheField name="Bs LMO/25" numFmtId="0">
      <sharedItems containsString="0" containsBlank="1" containsNumber="1">
        <m/>
        <n v="0.0"/>
        <n v="1227.1871999999998"/>
        <n v="440.9856"/>
        <n v="721.6128"/>
        <n v="284.2464"/>
        <n v="279.5136"/>
        <n v="38.4192"/>
        <n v="449.0592"/>
        <n v="2227.2"/>
        <n v="1015.0464000000001"/>
        <n v="320.16"/>
        <n v="187.92000000000002"/>
        <n v="44.544"/>
        <n v="47.0496"/>
        <n v="2514.3"/>
        <n v="476.3424"/>
        <n v="52.4784"/>
        <n v="66.25919999999999"/>
        <n v="3687.7560000000003"/>
        <n v="1968.0792"/>
        <n v="2397.1632"/>
        <n v="2887.7039999999997"/>
        <n v="352.176"/>
        <n v="50.0424"/>
        <n v="1745.1504"/>
        <n v="2469.1295999999998"/>
        <n v="97.44"/>
        <n v="11137.392"/>
        <n v="35670.0"/>
        <n v="15048.0"/>
        <n v="50489.5104"/>
        <n v="2291.232"/>
        <n v="19192.4784"/>
        <n v="8372.3232"/>
        <n v="9859.257599999999"/>
        <n v="7426.876799999999"/>
        <n v="2795.4144"/>
        <n v="4509.5232"/>
        <n v="6517.1352"/>
        <n v="4638.9792"/>
        <n v="5763.158399999999"/>
        <n v="5712.768"/>
        <n v="3688.8"/>
        <n v="1030.4976"/>
        <n v="4088.7216000000003"/>
        <n v="2493.4896"/>
        <n v="2424.4464"/>
        <n v="3496.7039999999997"/>
        <n v="2001.7656000000002"/>
        <n v="1440.5808"/>
        <n v="1330.752"/>
        <n v="982.5432"/>
        <n v="1395.6192"/>
        <n v="462.4224"/>
        <n v="1037.6664"/>
        <n v="118.87679999999999"/>
        <n v="14.4768"/>
        <n v="39619.799999999996"/>
        <n v="16958.736"/>
        <n v="11738.039999999999"/>
        <n v="45150.912000000004"/>
        <n v="24897.312"/>
        <n v="6768.947999999999"/>
        <n v="12596.207999999999"/>
        <n v="18104.352000000003"/>
        <n v="2802.096"/>
        <n v="1016.16"/>
        <n v="431.52"/>
        <n v="325.728"/>
        <n v="183598.164"/>
        <n v="72766.79999999999"/>
        <n v="100182.936"/>
        <n v="6636.360000000001"/>
        <n v="2236.248"/>
        <n v="3304.2599999999998"/>
        <n v="3961.7712"/>
        <n v="1052.3519999999999"/>
        <n v="1548.0432"/>
        <n v="1095.3648"/>
        <n v="1772.016"/>
        <n v="2674.9368"/>
        <n v="7620.6432"/>
        <n v="3976.0391999999997"/>
        <n v="2436.6960000000004"/>
        <n v="2152.728"/>
        <n v="112.05600000000001"/>
        <n v="38009.8128"/>
      </sharedItems>
    </cacheField>
    <cacheField name="Bs LPL/25" numFmtId="0">
      <sharedItems containsString="0" containsBlank="1" containsNumber="1">
        <m/>
        <n v="0.0"/>
        <n v="330.7392"/>
        <n v="360.8064"/>
        <n v="284.2464"/>
        <n v="279.5136"/>
        <n v="28.8144"/>
        <n v="1015.0464000000001"/>
        <n v="6924.0"/>
        <n v="2514.3"/>
        <n v="238.1712"/>
        <n v="33.129599999999996"/>
        <n v="11100.0"/>
        <n v="3687.7560000000003"/>
        <n v="3936.1584"/>
        <n v="2184.6048"/>
        <n v="2887.7039999999997"/>
        <n v="385.7232"/>
        <n v="7424.928"/>
        <n v="17835.0"/>
        <n v="14849.856"/>
        <n v="2291.232"/>
        <n v="8372.3232"/>
        <n v="4661.46"/>
        <n v="4929.6287999999995"/>
        <n v="3713.4383999999995"/>
        <n v="1397.7072"/>
        <n v="4509.5232"/>
        <n v="2319.4896"/>
        <n v="2881.5791999999997"/>
        <n v="2856.384"/>
        <n v="3688.8"/>
        <n v="1030.4976"/>
        <n v="2044.3608000000002"/>
        <n v="2493.4896"/>
        <n v="2424.4464"/>
        <n v="667.2552000000001"/>
        <n v="1440.5808"/>
        <n v="1330.752"/>
        <n v="982.5432"/>
        <n v="231.2112"/>
        <n v="118.87679999999999"/>
        <n v="14.4768"/>
        <n v="19968.3792"/>
        <n v="5652.912"/>
        <n v="7042.824"/>
        <n v="15050.304"/>
        <n v="2096.352"/>
        <n v="18104.352000000003"/>
        <n v="934.0319999999999"/>
        <n v="609.696"/>
        <n v="215.76"/>
        <n v="76499.235"/>
        <n v="45479.24999999999"/>
        <n v="57247.392"/>
        <n v="7378.992"/>
        <n v="3981.8160000000003"/>
        <n v="21495.960000000003"/>
        <n v="7612.848000000001"/>
        <n v="263.08799999999997"/>
        <n v="1772.016"/>
        <n v="2674.9368"/>
        <n v="3544.032"/>
        <n v="112.05600000000001"/>
      </sharedItems>
    </cacheField>
    <cacheField name="Bs LAM/25" numFmtId="0">
      <sharedItems containsString="0" containsBlank="1" containsNumber="1">
        <m/>
        <n v="0.0"/>
        <n v="66497.5104"/>
        <n v="440.9856"/>
        <n v="1443.2256"/>
        <n v="284.2464"/>
        <n v="279.5136"/>
        <n v="38.4192"/>
        <n v="11287.728000000001"/>
        <n v="9291.599999999999"/>
        <n v="6337.776"/>
        <n v="1357.2"/>
        <n v="602.04"/>
        <n v="400.2"/>
        <n v="191.39999999999998"/>
        <n v="100.22399999999999"/>
        <n v="40.0896"/>
        <n v="75.168"/>
        <n v="47.0496"/>
        <n v="2514.3"/>
        <n v="476.3424"/>
        <n v="52.4784"/>
        <n v="33.129599999999996"/>
        <n v="7161.283200000001"/>
        <n v="2397.1632"/>
        <n v="1113.1824"/>
        <n v="50.0424"/>
        <n v="1699.6319999999998"/>
        <n v="872.5752"/>
        <n v="97.44"/>
        <n v="7465.435199999999"/>
        <n v="11137.392"/>
        <n v="48044.88"/>
        <n v="57914.4384"/>
        <n v="8372.3232"/>
        <n v="8994.8952"/>
        <n v="9322.92"/>
        <n v="9859.257599999999"/>
        <n v="3713.4383999999995"/>
        <n v="2795.4144"/>
        <n v="4509.5232"/>
        <n v="4638.9792"/>
        <n v="2881.5791999999997"/>
        <n v="2856.384"/>
        <n v="3688.8"/>
        <n v="1030.4976"/>
        <n v="4088.7216000000003"/>
        <n v="2493.4896"/>
        <n v="2424.4464"/>
        <n v="2001.7656000000002"/>
        <n v="1440.5808"/>
        <n v="1330.752"/>
        <n v="982.5432"/>
        <n v="1395.6192"/>
        <n v="118.87679999999999"/>
        <n v="65.8416"/>
        <n v="14.4768"/>
        <n v="15847.919999999998"/>
        <n v="32396.9904"/>
        <n v="14938.387200000001"/>
        <n v="3493.92"/>
        <n v="6298.103999999999"/>
        <n v="22630.440000000002"/>
        <n v="2802.096"/>
        <n v="1524.24"/>
        <n v="86.304"/>
        <n v="61199.388"/>
        <n v="128806.632"/>
        <n v="27056.304000000004"/>
        <n v="1392.0"/>
        <n v="657.7199999999999"/>
        <n v="34610.5488"/>
        <n v="46705.776000000005"/>
        <n v="14077.644"/>
        <n v="4919.328"/>
        <n v="2674.9368"/>
        <n v="3945.2064"/>
        <n v="3976.0391999999997"/>
        <n v="1772.016"/>
        <n v="2436.6960000000004"/>
        <n v="336.168"/>
      </sharedItems>
    </cacheField>
    <cacheField name="Bs LR/25" numFmtId="0">
      <sharedItems containsString="0" containsBlank="1" containsNumber="1">
        <m/>
        <n v="0.0"/>
        <n v="4039.3056"/>
        <n v="220.4928"/>
        <n v="2604.7104"/>
        <n v="1443.2256"/>
        <n v="284.2464"/>
        <n v="419.2704"/>
        <n v="38.4192"/>
        <n v="48.024"/>
        <n v="509.6112"/>
        <n v="388.6464"/>
        <n v="47.0496"/>
        <n v="58053.6384"/>
        <n v="57066.8496"/>
        <n v="714.5136"/>
        <n v="52.4784"/>
        <n v="66.25919999999999"/>
        <n v="89406.0024"/>
        <n v="16629.4584"/>
        <n v="3580.6416000000004"/>
        <n v="3687.7560000000003"/>
        <n v="2013.5976"/>
        <n v="749.4528"/>
        <n v="352.176"/>
        <n v="292.0416"/>
        <n v="1002.8664"/>
        <n v="932.0136"/>
        <n v="24.7776"/>
        <n v="31770.451200000003"/>
        <n v="6946.2192"/>
        <n v="3399.2639999999997"/>
        <n v="3298.6223999999997"/>
        <n v="3114.1824"/>
        <n v="1866.1152"/>
        <n v="3123.0216"/>
        <n v="872.5752"/>
        <n v="2469.1295999999998"/>
        <n v="763.6512"/>
        <n v="1579.4328"/>
        <n v="495.1344"/>
        <n v="512.0472"/>
        <n v="1826.4432000000002"/>
        <n v="390.2472"/>
        <n v="212.7672"/>
        <n v="781.26"/>
        <n v="120.68639999999999"/>
        <n v="112.6824"/>
        <n v="56.2368"/>
        <n v="115.6752"/>
        <n v="163.56"/>
        <n v="48.72"/>
        <n v="165.36960000000002"/>
        <n v="135.9984"/>
        <n v="59.7168"/>
        <n v="13.6416"/>
        <n v="5790.9983999999995"/>
        <n v="3712.464"/>
        <n v="20962.128"/>
        <n v="104737.83840000001"/>
        <n v="37124.64"/>
        <n v="8857.992"/>
        <n v="5843.198399999999"/>
        <n v="8372.3232"/>
        <n v="5996.5968"/>
        <n v="9322.92"/>
        <n v="9282.552"/>
        <n v="2060.9952"/>
        <n v="1748.3519999999999"/>
        <n v="4690.4832"/>
        <n v="1083.5328"/>
        <n v="462.4224"/>
        <n v="118.87679999999999"/>
        <n v="131.6832"/>
        <n v="28.9536"/>
        <n v="83661.984"/>
        <n v="31695.839999999997"/>
        <n v="62182.032"/>
        <n v="4979.4624"/>
        <n v="597.168"/>
        <n v="183598.164"/>
        <n v="72766.79999999999"/>
        <n v="32084.416800000003"/>
        <n v="72288.2304"/>
        <n v="12360.96"/>
        <n v="2920.2767999999996"/>
        <n v="153098.5632"/>
        <n v="13538.5224"/>
        <n v="23352.888000000003"/>
        <n v="28155.288"/>
        <n v="24440.1792"/>
        <n v="23064.396"/>
        <n v="16377.228"/>
        <n v="3109.0319999999997"/>
        <n v="3945.2064"/>
        <n v="7952.078399999999"/>
        <n v="839.0976"/>
        <n v="774.3"/>
      </sharedItems>
    </cacheField>
    <cacheField name="Bs LN/25" numFmtId="0">
      <sharedItems containsString="0" containsBlank="1" containsNumber="1">
        <m/>
        <n v="0.0"/>
        <n v="9088.437600000001"/>
        <n v="551.232"/>
        <n v="1623.6288"/>
        <n v="284.2464"/>
        <n v="419.2704"/>
        <n v="43.221599999999995"/>
        <n v="5070.2208"/>
        <n v="3904.56"/>
        <n v="48.024"/>
        <n v="509.6112"/>
        <n v="388.6464"/>
        <n v="238.1712"/>
        <n v="104.9568"/>
        <n v="49.694399999999995"/>
        <n v="18272.2968"/>
        <n v="8951.604000000001"/>
        <n v="1968.0792"/>
        <n v="3369.7536"/>
        <n v="4027.1952"/>
        <n v="936.816"/>
        <n v="704.352"/>
        <n v="292.0416"/>
        <n v="1002.8664"/>
        <n v="932.0136"/>
        <n v="24.7776"/>
        <n v="6946.2192"/>
        <n v="1699.6319999999998"/>
        <n v="3298.6223999999997"/>
        <n v="3114.1824"/>
        <n v="1866.1152"/>
        <n v="3123.0216"/>
        <n v="872.5752"/>
        <n v="2469.1295999999998"/>
        <n v="763.6512"/>
        <n v="495.1344"/>
        <n v="2830.4928"/>
        <n v="512.0472"/>
        <n v="390.2472"/>
        <n v="212.7672"/>
        <n v="120.68639999999999"/>
        <n v="112.6824"/>
        <n v="56.2368"/>
        <n v="57.8376"/>
        <n v="48.72"/>
        <n v="13.6416"/>
        <n v="2895.4991999999997"/>
        <n v="1238.184"/>
        <n v="5197.4496"/>
        <n v="24011.1648"/>
        <n v="74907.0"/>
        <n v="14849.856"/>
        <n v="2415.8160000000003"/>
        <n v="5843.198399999999"/>
        <n v="8372.3232"/>
        <n v="9322.92"/>
        <n v="9282.552"/>
        <n v="2576.2439999999997"/>
        <n v="1748.3519999999999"/>
        <n v="1354.416"/>
        <n v="462.4224"/>
        <n v="3292.2192"/>
        <n v="3222.6191999999996"/>
        <n v="118.87679999999999"/>
        <n v="164.60399999999998"/>
        <n v="28.9536"/>
        <n v="117126.7776"/>
        <n v="31695.839999999997"/>
        <n v="71226.6912"/>
        <n v="35683.641599999995"/>
        <n v="4979.4624"/>
        <n v="105005.24160000001"/>
        <n v="23537.6064"/>
        <n v="684.0287999999999"/>
        <n v="183598.164"/>
        <n v="72766.79999999999"/>
        <n v="228989.568"/>
        <n v="24596.640000000003"/>
        <n v="14452.440000000002"/>
        <n v="113484.7488"/>
        <n v="1392.0"/>
        <n v="657.7199999999999"/>
        <n v="24440.1792"/>
        <n v="23064.396"/>
        <n v="16377.228"/>
        <n v="9766.271999999999"/>
        <n v="3109.0319999999997"/>
        <n v="3945.2064"/>
        <n v="7952.078399999999"/>
        <n v="1678.1952"/>
        <n v="1548.6"/>
      </sharedItems>
    </cacheField>
    <cacheField name="Bs LAZ/25" numFmtId="0">
      <sharedItems containsString="0" containsBlank="1" containsNumber="1">
        <m/>
        <n v="0.0"/>
        <n v="10098.264000000001"/>
        <n v="661.4784"/>
        <n v="1804.032"/>
        <n v="284.2464"/>
        <n v="559.0272"/>
        <n v="48.023999999999994"/>
        <n v="3904.56"/>
        <n v="96.048"/>
        <n v="17912.0472"/>
        <n v="30243.705599999998"/>
        <n v="509.6112"/>
        <n v="388.6464"/>
        <n v="238.1712"/>
        <n v="41.41199999999999"/>
        <n v="89406.0024"/>
        <n v="16629.4584"/>
        <n v="18272.2968"/>
        <n v="8951.604000000001"/>
        <n v="3369.7536"/>
        <n v="4027.1952"/>
        <n v="1124.1792"/>
        <n v="528.264"/>
        <n v="292.0416"/>
        <n v="24.7776"/>
        <n v="18662.544"/>
        <n v="6946.2192"/>
        <n v="1699.6319999999998"/>
        <n v="1866.1152"/>
        <n v="872.5752"/>
        <n v="763.6512"/>
        <n v="2007.4032000000002"/>
        <n v="495.1344"/>
        <n v="212.7672"/>
        <n v="120.68639999999999"/>
        <n v="112.6824"/>
        <n v="112.4736"/>
        <n v="97.44"/>
        <n v="13.6416"/>
        <n v="2895.4991999999997"/>
        <n v="280000.0"/>
        <n v="7424.928"/>
        <n v="39637.4784"/>
        <n v="805.272"/>
        <n v="5843.198399999999"/>
        <n v="8372.3232"/>
        <n v="9528.518399999999"/>
        <n v="4661.46"/>
        <n v="2795.4144"/>
        <n v="3091.4928"/>
        <n v="3496.7039999999997"/>
        <n v="1625.2992"/>
        <n v="462.4224"/>
        <n v="118.87679999999999"/>
        <n v="197.5248"/>
        <n v="28.9536"/>
        <n v="193352.1408"/>
        <n v="47543.759999999995"/>
        <n v="14132.28"/>
        <n v="74184.41279999999"/>
        <n v="4979.4624"/>
        <n v="17492.4288"/>
        <n v="38855.7312"/>
        <n v="1129.1904"/>
        <n v="305996.94"/>
        <n v="90958.49999999999"/>
        <n v="114494.784"/>
        <n v="18447.480000000003"/>
        <n v="14452.440000000002"/>
        <n v="144576.4608"/>
        <n v="1392.0"/>
        <n v="657.7199999999999"/>
        <n v="34795.128"/>
        <n v="18330.1344"/>
        <n v="23064.396"/>
        <n v="16377.228"/>
        <n v="14161.094399999998"/>
        <n v="3109.0319999999997"/>
        <n v="7952.078399999999"/>
        <n v="1678.1952"/>
        <n v="1548.6"/>
      </sharedItems>
    </cacheField>
    <cacheField name="Bs LB/25" numFmtId="0">
      <sharedItems containsString="0" containsBlank="1" containsNumber="1">
        <m/>
        <n v="0.0"/>
        <n v="10508.6256"/>
        <n v="1009.8264"/>
        <n v="440.9856"/>
        <n v="284.2464"/>
        <n v="495.1344"/>
        <n v="752.5152"/>
        <n v="148.66559999999998"/>
        <n v="108.576"/>
        <n v="120.40799999999999"/>
        <n v="32.016"/>
        <n v="244.15679999999998"/>
        <n v="3.2016"/>
        <n v="3.0624"/>
        <n v="9.396"/>
        <n v="46.8408"/>
        <n v="1.1136"/>
        <n v="3.7584000000000004"/>
        <n v="24.6384"/>
        <n v="11566.7544"/>
        <n v="238.1712"/>
        <n v="3580.6416000000004"/>
        <n v="1968.0792"/>
        <n v="374.7264"/>
        <n v="352.176"/>
        <n v="13670.832"/>
        <n v="3712.464"/>
        <n v="12672.5592"/>
        <n v="3559.6"/>
        <n v="4290.0"/>
        <n v="7424.928"/>
        <n v="5996.5968"/>
        <n v="4661.46"/>
        <n v="2795.4144"/>
        <n v="18591.552"/>
        <n v="15847.919999999998"/>
        <n v="11738.039999999999"/>
        <n v="2489.7312"/>
        <n v="18308.1408"/>
        <n v="24471.6384"/>
        <n v="711.1727999999999"/>
        <n v="152998.47"/>
        <n v="14311.848"/>
        <n v="8792.568"/>
        <n v="7952.078399999999"/>
      </sharedItems>
    </cacheField>
    <cacheField name="Bs LCE/25" numFmtId="0">
      <sharedItems containsString="0" containsBlank="1" containsNumber="1">
        <m/>
        <n v="0.0"/>
        <n v="10508.6256"/>
        <n v="1009.8264"/>
        <n v="440.9856"/>
        <n v="148.8048"/>
        <n v="19874.28"/>
        <n v="752.5152"/>
        <n v="3344.9759999999997"/>
        <n v="108.576"/>
        <n v="120.40799999999999"/>
        <n v="32.016"/>
        <n v="530.352"/>
        <n v="244.15679999999998"/>
        <n v="3.2016"/>
        <n v="3.0624"/>
        <n v="192.096"/>
        <n v="46.8408"/>
        <n v="1.1136"/>
        <n v="3.7584000000000004"/>
        <n v="24.6384"/>
        <n v="5.568"/>
        <n v="17912.0472"/>
        <n v="11566.7544"/>
        <n v="5028.6"/>
        <n v="238.1712"/>
        <n v="36544.5936"/>
        <n v="3687.7560000000003"/>
        <n v="1968.0792"/>
        <n v="12.3888"/>
        <n v="19461.7608"/>
        <n v="20506.248"/>
        <n v="14930.870399999998"/>
        <n v="3712.464"/>
        <n v="14864.054399999999"/>
        <n v="5148.0"/>
        <n v="212.0"/>
        <n v="8994.8952"/>
        <n v="4661.46"/>
        <n v="2795.4144"/>
        <n v="21662.304"/>
        <n v="28954.992"/>
        <n v="5861.7119999999995"/>
        <n v="7434.9504"/>
        <n v="3976.0391999999997"/>
      </sharedItems>
    </cacheField>
    <cacheField name="Bs LCA/25" numFmtId="0">
      <sharedItems containsString="0" containsBlank="1" containsNumber="1">
        <m/>
        <n v="0.0"/>
        <n v="1009.8264"/>
        <n v="1227.1871999999998"/>
        <n v="220.4928"/>
        <n v="247.5672"/>
        <n v="8523.215999999999"/>
        <n v="187.3632"/>
        <n v="176.088"/>
        <n v="2477.3424"/>
        <n v="2847.68"/>
        <n v="858.0"/>
        <n v="1484.9856"/>
        <n v="1397.7072"/>
        <n v="4754.376"/>
        <n v="2489.7312"/>
        <n v="3633.6768"/>
        <n v="4856.9664"/>
        <n v="10.788"/>
        <n v="141.1488"/>
      </sharedItems>
    </cacheField>
    <cacheField name="Bs LV/25" numFmtId="0">
      <sharedItems containsString="0" containsBlank="1" containsNumber="1">
        <m/>
        <n v="0.0"/>
        <n v="66497.5104"/>
        <n v="10508.6256"/>
        <n v="1009.8264"/>
        <n v="2820.6792"/>
        <n v="6868.6848"/>
        <n v="790.2384"/>
        <n v="1533.984"/>
        <n v="440.9856"/>
        <n v="360.8064"/>
        <n v="284.2464"/>
        <n v="32.016"/>
        <n v="18.792"/>
        <n v="208.8"/>
        <n v="148.8048"/>
        <n v="752.5152"/>
        <n v="4.4544"/>
        <n v="3.7584000000000004"/>
        <n v="3580.6416000000004"/>
        <n v="8523.215999999999"/>
        <n v="8250.2448"/>
        <n v="2747.7384"/>
        <n v="3687.7560000000003"/>
        <n v="2184.6048"/>
        <n v="7504.5504"/>
        <n v="292.0416"/>
        <n v="6946.2192"/>
        <n v="1866.1152"/>
        <n v="495.1344"/>
        <n v="212.7672"/>
        <n v="13670.832"/>
        <n v="22396.305599999996"/>
        <n v="5996.5968"/>
        <n v="4661.46"/>
        <n v="9282.552"/>
        <n v="2795.4144"/>
        <n v="282.924"/>
        <n v="895.752"/>
        <n v="42935.544"/>
        <n v="7378.992"/>
        <n v="7963.6320000000005"/>
        <n v="14330.640000000001"/>
        <n v="5075.232"/>
        <n v="33365.8224"/>
        <n v="54154.0896"/>
        <n v="16998.9648"/>
        <n v="5459.076"/>
        <n v="2674.9368"/>
        <n v="1220.7839999999999"/>
        <n v="160.08"/>
        <n v="101.4072"/>
        <n v="3945.2064"/>
        <n v="7434.9504"/>
        <n v="3976.0391999999997"/>
        <n v="324.8928"/>
        <n v="56.376"/>
      </sharedItems>
    </cacheField>
    <cacheField name="Bs. 2025" numFmtId="4">
      <sharedItems containsString="0" containsBlank="1" containsNumber="1">
        <n v="0.0"/>
        <n v="132995.0208"/>
        <n v="31525.8768"/>
        <n v="27265.3128"/>
        <n v="2820.6792"/>
        <n v="6868.6848"/>
        <n v="790.2384"/>
        <n v="3988.3583999999996"/>
        <n v="4189.3632"/>
        <n v="2604.7104"/>
        <n v="7757.3376"/>
        <n v="2273.9712"/>
        <n v="2236.1088"/>
        <n v="235.31759999999997"/>
        <n v="32.016"/>
        <n v="18.792"/>
        <n v="742.7016000000001"/>
        <n v="449.0592"/>
        <n v="208.8"/>
        <n v="297.6096"/>
        <n v="19874.28"/>
        <n v="13545.2736"/>
        <n v="12785.2416"/>
        <n v="11407.9968"/>
        <n v="7809.12"/>
        <n v="2227.2"/>
        <n v="1574.3519999999999"/>
        <n v="2030.0928000000001"/>
        <n v="842.8559999999999"/>
        <n v="784.392"/>
        <n v="530.352"/>
        <n v="488.31359999999995"/>
        <n v="198.4992"/>
        <n v="197.5248"/>
        <n v="197.31600000000003"/>
        <n v="192.096"/>
        <n v="104.6784"/>
        <n v="93.6816"/>
        <n v="86.8608"/>
        <n v="86.4432"/>
        <n v="49.2768"/>
        <n v="7.516800000000001"/>
        <n v="5.568"/>
        <n v="2.2272"/>
        <n v="35824.0944"/>
        <n v="30243.705599999998"/>
        <n v="23133.5088"/>
        <n v="1528.8336"/>
        <n v="1165.9392"/>
        <n v="141.1488"/>
        <n v="6924.0"/>
        <n v="2514.3"/>
        <n v="12571.5"/>
        <n v="58053.6384"/>
        <n v="57066.8496"/>
        <n v="2858.0544"/>
        <n v="262.392"/>
        <n v="289.88399999999996"/>
        <n v="89406.0024"/>
        <n v="33258.9168"/>
        <n v="11100.0"/>
        <n v="73089.1872"/>
        <n v="35806.416000000005"/>
        <n v="17046.431999999997"/>
        <n v="8250.2448"/>
        <n v="2747.7384"/>
        <n v="18438.780000000002"/>
        <n v="11808.475199999999"/>
        <n v="4369.2096"/>
        <n v="7504.5504"/>
        <n v="6739.5072"/>
        <n v="4794.3264"/>
        <n v="5775.407999999999"/>
        <n v="10067.988000000001"/>
        <n v="3372.5376"/>
        <n v="2465.232"/>
        <n v="1168.1664"/>
        <n v="385.7232"/>
        <n v="1113.1824"/>
        <n v="2005.7328"/>
        <n v="1864.0272"/>
        <n v="100.0848"/>
        <n v="86.7216"/>
        <n v="31770.451200000003"/>
        <n v="18662.544"/>
        <n v="27784.8768"/>
        <n v="19461.7608"/>
        <n v="8498.16"/>
        <n v="6597.2447999999995"/>
        <n v="6228.3648"/>
        <n v="7464.4608"/>
        <n v="6246.0432"/>
        <n v="5235.4511999999995"/>
        <n v="7407.388799999999"/>
        <n v="2290.9536"/>
        <n v="2007.4032000000002"/>
        <n v="1579.4328"/>
        <n v="1980.5376"/>
        <n v="2830.4928"/>
        <n v="1024.0944"/>
        <n v="1826.4432000000002"/>
        <n v="780.4944"/>
        <n v="851.0688"/>
        <n v="781.26"/>
        <n v="362.0592"/>
        <n v="338.0472"/>
        <n v="224.9472"/>
        <n v="173.5128"/>
        <n v="163.56"/>
        <n v="389.76"/>
        <n v="165.36960000000002"/>
        <n v="135.9984"/>
        <n v="59.7168"/>
        <n v="56.2368"/>
        <n v="40.924800000000005"/>
        <n v="11581.996799999999"/>
        <n v="1238.184"/>
        <n v="47847.912000000004"/>
        <n v="44792.61119999999"/>
        <n v="280000.0"/>
        <n v="53459.4816"/>
        <n v="114624.7272"/>
        <n v="128412.0"/>
        <n v="6407.28"/>
        <n v="152782.7184"/>
        <n v="25344.0"/>
        <n v="184138.2144"/>
        <n v="12079.080000000002"/>
        <n v="212.0"/>
        <n v="4582.464"/>
        <n v="19192.4784"/>
        <n v="17529.595199999996"/>
        <n v="50233.93920000001"/>
        <n v="9528.518399999999"/>
        <n v="35979.5808"/>
        <n v="51276.06"/>
        <n v="27847.656"/>
        <n v="24648.143999999997"/>
        <n v="14853.753599999998"/>
        <n v="19567.9008"/>
        <n v="13528.569599999999"/>
        <n v="6517.1352"/>
        <n v="11597.448"/>
        <n v="11526.316799999999"/>
        <n v="11425.536"/>
        <n v="11066.400000000001"/>
        <n v="10820.2248"/>
        <n v="10221.804"/>
        <n v="7480.4688"/>
        <n v="7273.339199999999"/>
        <n v="10490.112"/>
        <n v="4690.4832"/>
        <n v="4670.786400000001"/>
        <n v="4321.7424"/>
        <n v="4063.2479999999996"/>
        <n v="3992.256"/>
        <n v="2947.6295999999998"/>
        <n v="2791.2384"/>
        <n v="2080.9008"/>
        <n v="3292.2192"/>
        <n v="3222.6191999999996"/>
        <n v="1037.6664"/>
        <n v="713.2607999999999"/>
        <n v="559.6536"/>
        <n v="130.2912"/>
        <n v="412732.4544"/>
        <n v="206973.8352"/>
        <n v="170152.6512"/>
        <n v="172783.94879999998"/>
        <n v="60201.216"/>
        <n v="59753.548800000004"/>
        <n v="49194.393599999996"/>
        <n v="6768.947999999999"/>
        <n v="17492.4288"/>
        <n v="18894.311999999998"/>
        <n v="163844.3856"/>
        <n v="127215.1584"/>
        <n v="282.924"/>
        <n v="3150.096"/>
        <n v="744.372"/>
        <n v="4484.1888"/>
        <n v="1147488.525"/>
        <n v="354738.14999999997"/>
        <n v="686968.704"/>
        <n v="84858.40800000001"/>
        <n v="60989.296800000004"/>
        <n v="330349.44"/>
        <n v="18581.808"/>
        <n v="35826.6"/>
        <n v="12688.08"/>
        <n v="2236.248"/>
        <n v="3304.2599999999998"/>
        <n v="3961.7712"/>
        <n v="16536.96"/>
        <n v="6208.876799999999"/>
        <n v="34610.5488"/>
        <n v="187893.6912"/>
        <n v="33365.8224"/>
        <n v="1548.0432"/>
        <n v="1095.3648"/>
        <n v="67692.612"/>
        <n v="70058.664"/>
        <n v="42232.932"/>
        <n v="67210.49279999999"/>
        <n v="31653.2448"/>
        <n v="69193.188"/>
        <n v="3544.032"/>
        <n v="4919.328"/>
        <n v="54590.76"/>
        <n v="10699.7472"/>
        <n v="25148.1504"/>
        <n v="9327.096"/>
        <n v="160.08"/>
        <n v="101.4072"/>
        <n v="15780.8256"/>
        <n v="14869.9008"/>
        <n v="7620.6432"/>
        <n v="47712.4704"/>
        <n v="7088.064"/>
        <n v="5198.2848"/>
        <n v="2152.728"/>
        <n v="560.28"/>
        <n v="56.376"/>
        <n v="4195.488"/>
        <n v="3871.5"/>
        <n v="38009.8128"/>
        <m/>
      </sharedItems>
    </cacheField>
    <cacheField name="Bs LMO/26" numFmtId="0">
      <sharedItems containsString="0" containsBlank="1" containsNumber="1">
        <m/>
        <n v="0.0"/>
        <n v="440.9856"/>
        <n v="284.2464"/>
        <n v="495.1344"/>
        <n v="6.1248"/>
        <n v="238.1712"/>
        <n v="7504.5504"/>
        <n v="749.4528"/>
        <n v="1113.1824"/>
        <n v="1002.8664"/>
        <n v="932.0136"/>
        <n v="1699.6319999999998"/>
        <n v="1826.4432000000002"/>
        <n v="781.26"/>
        <n v="14930.870399999998"/>
        <n v="21357.6"/>
        <n v="15048.0"/>
        <n v="2291.232"/>
        <n v="1083.5328"/>
        <n v="13.919999999999998"/>
        <n v="31695.839999999997"/>
        <n v="28264.56"/>
        <n v="23476.079999999998"/>
        <n v="42123.312000000005"/>
        <n v="45150.912000000004"/>
        <n v="30831.408"/>
        <n v="37345.968"/>
        <n v="16351.5456"/>
        <n v="13578.264000000001"/>
        <n v="530.3520000000001"/>
        <n v="20922.3168"/>
        <n v="1180.416"/>
        <n v="1016.16"/>
        <n v="258.912"/>
        <n v="183598.164"/>
        <n v="27056.304000000004"/>
        <n v="38227.104"/>
        <n v="23123.904000000002"/>
        <n v="66847.1808"/>
        <n v="6980.184"/>
        <n v="6038.496"/>
        <n v="5837.352000000001"/>
        <n v="2236.248"/>
        <n v="3304.2599999999998"/>
        <n v="3961.7712"/>
        <n v="1044.0"/>
        <n v="4396.284"/>
        <n v="5828.651999999999"/>
        <n v="2492.376"/>
        <n v="3719.424"/>
        <n v="2868.2160000000003"/>
        <n v="3628.9440000000004"/>
        <n v="640.1808"/>
        <n v="7378.992"/>
        <n v="1408.008"/>
        <n v="2674.9368"/>
        <n v="3906.5087999999996"/>
        <n v="1190.856"/>
        <n v="65.8416"/>
        <n v="171.7728"/>
        <n v="112.05600000000001"/>
        <n v="647.976"/>
        <n v="5521.368"/>
        <n v="622.2239999999999"/>
        <n v="44.8224"/>
        <n v="497.988"/>
        <n v="164.60399999999998"/>
        <n v="16895.748"/>
        <n v="5992.907999999999"/>
      </sharedItems>
    </cacheField>
    <cacheField name="Bs LPL/26" numFmtId="0">
      <sharedItems containsString="0" containsBlank="1" containsNumber="1">
        <m/>
        <n v="0.0"/>
        <n v="1227.1871999999998"/>
        <n v="330.7392"/>
        <n v="495.1344"/>
        <n v="1670.4"/>
        <n v="320.16"/>
        <n v="153.11999999999998"/>
        <n v="187.92000000000002"/>
        <n v="33.408"/>
        <n v="75.168"/>
        <n v="141.1488"/>
        <n v="50.0424"/>
        <n v="913.2216000000001"/>
        <n v="97.44"/>
        <n v="7465.435199999999"/>
        <n v="5339.4"/>
        <n v="9240.0"/>
        <n v="2291.232"/>
        <n v="5996.5968"/>
        <n v="812.6496"/>
        <n v="13.919999999999998"/>
        <n v="19017.504"/>
        <n v="14132.28"/>
        <n v="10564.235999999999"/>
        <n v="10530.828000000001"/>
        <n v="15050.304"/>
        <n v="14938.387200000001"/>
        <n v="13578.264000000001"/>
        <n v="265.17600000000004"/>
        <n v="472.1664"/>
        <n v="609.696"/>
        <n v="215.76"/>
        <n v="76499.235"/>
        <n v="4086.1464000000005"/>
        <n v="348.0"/>
        <n v="2930.8559999999998"/>
        <n v="5828.651999999999"/>
        <n v="2492.376"/>
        <n v="929.856"/>
        <n v="2868.2160000000003"/>
        <n v="2721.708"/>
        <n v="3689.496"/>
        <n v="281.6016"/>
        <n v="3906.5087999999996"/>
        <n v="952.6848"/>
        <n v="32.9208"/>
        <n v="171.7728"/>
        <n v="56.028000000000006"/>
        <n v="388.78560000000004"/>
        <n v="5521.368"/>
        <n v="248.88959999999997"/>
        <n v="22.4112"/>
        <n v="199.1952"/>
        <n v="65.8416"/>
        <n v="56.376"/>
      </sharedItems>
    </cacheField>
    <cacheField name="Bs LAM/26" numFmtId="0">
      <sharedItems containsString="0" containsBlank="1" containsNumber="1">
        <m/>
        <n v="0.0"/>
        <n v="66497.5104"/>
        <n v="440.9856"/>
        <n v="284.2464"/>
        <n v="495.1344"/>
        <n v="6337.776"/>
        <n v="6.1248"/>
        <n v="1002.8664"/>
        <n v="932.0136"/>
        <n v="100.0848"/>
        <n v="1826.4432000000002"/>
        <n v="781.26"/>
        <n v="2895.4991999999997"/>
        <n v="17798.0"/>
        <n v="48044.88"/>
        <n v="19192.4784"/>
        <n v="22436.255999999998"/>
        <n v="3398.7072"/>
        <n v="1354.416"/>
        <n v="462.4224"/>
        <n v="13.919999999999998"/>
        <n v="28526.255999999998"/>
        <n v="14132.28"/>
        <n v="10564.235999999999"/>
        <n v="21061.656000000003"/>
        <n v="45150.912000000004"/>
        <n v="685.1424"/>
        <n v="4979.4624"/>
        <n v="530.3520000000001"/>
        <n v="2802.096"/>
        <n v="2360.832"/>
        <n v="1524.24"/>
        <n v="172.608"/>
        <n v="61199.388"/>
        <n v="27056.304000000004"/>
        <n v="19113.552"/>
        <n v="32646.2976"/>
        <n v="5805.475200000001"/>
        <n v="6980.184"/>
        <n v="6038.496"/>
        <n v="4669.881600000001"/>
        <n v="2236.248"/>
        <n v="3304.2599999999998"/>
        <n v="2641.1808"/>
        <n v="1392.0"/>
        <n v="5861.7119999999995"/>
        <n v="9714.419999999998"/>
        <n v="2492.376"/>
        <n v="1859.712"/>
        <n v="2868.2160000000003"/>
        <n v="3628.9440000000004"/>
        <n v="1920.5423999999998"/>
        <n v="7378.992"/>
        <n v="10918.152"/>
        <n v="1408.008"/>
        <n v="2674.9368"/>
        <n v="1190.856"/>
        <n v="65.8416"/>
        <n v="171.7728"/>
        <n v="168.084"/>
        <n v="647.976"/>
        <n v="5521.368"/>
        <n v="622.2239999999999"/>
        <n v="44.8224"/>
        <n v="497.988"/>
        <n v="164.60399999999998"/>
        <n v="56.376"/>
      </sharedItems>
    </cacheField>
    <cacheField name="Bs LR/26" numFmtId="0">
      <sharedItems containsString="0" containsBlank="1" containsNumber="1">
        <m/>
        <n v="0.0"/>
        <n v="4039.3056"/>
        <n v="903.1296"/>
        <n v="220.4928"/>
        <n v="2604.7104"/>
        <n v="284.2464"/>
        <n v="419.2704"/>
        <n v="38.4192"/>
        <n v="304.152"/>
        <n v="495.1344"/>
        <n v="237.96239999999997"/>
        <n v="449.0592"/>
        <n v="208.8"/>
        <n v="223.2072"/>
        <n v="10406.591999999999"/>
        <n v="3904.56"/>
        <n v="3040.1279999999997"/>
        <n v="180.612"/>
        <n v="448.224"/>
        <n v="214.368"/>
        <n v="55.67999999999999"/>
        <n v="155.904"/>
        <n v="35824.0944"/>
        <n v="8.6304"/>
        <n v="4.5935999999999995"/>
        <n v="3.3407999999999998"/>
        <n v="3580.6416000000004"/>
        <n v="8250.2448"/>
        <n v="2184.6048"/>
        <n v="975.5831999999999"/>
        <n v="292.0416"/>
        <n v="1002.8664"/>
        <n v="932.0136"/>
        <n v="234.20399999999998"/>
        <n v="133.5624"/>
        <n v="3399.2639999999997"/>
        <n v="3298.6223999999997"/>
        <n v="3114.1824"/>
        <n v="1866.1152"/>
        <n v="872.5752"/>
        <n v="2469.1295999999998"/>
        <n v="763.6512"/>
        <n v="1579.4328"/>
        <n v="512.0472"/>
        <n v="390.2472"/>
        <n v="212.7672"/>
        <n v="120.68639999999999"/>
        <n v="112.6824"/>
        <n v="56.2368"/>
        <n v="115.6752"/>
        <n v="163.56"/>
        <n v="48.72"/>
        <n v="59.7168"/>
        <n v="7465.435199999999"/>
        <n v="104737.83840000001"/>
        <n v="1650.0"/>
        <n v="1280.4312"/>
        <n v="2795.4144"/>
        <n v="11.136"/>
        <n v="9052.176000000001"/>
        <n v="22936.2624"/>
        <n v="1004.328"/>
        <n v="2920.2767999999996"/>
        <n v="1942.8839999999998"/>
        <n v="4984.752"/>
        <n v="6973.92"/>
        <n v="5736.432000000001"/>
        <n v="9072.36"/>
        <n v="23064.396"/>
        <n v="3200.904"/>
        <n v="1408.008"/>
        <n v="3109.0319999999997"/>
        <n v="329.20799999999997"/>
        <n v="171.7728"/>
        <n v="112.05600000000001"/>
        <n v="32.016"/>
        <n v="5732.256"/>
        <n v="56.376"/>
        <n v="278.4"/>
        <n v="64.032"/>
      </sharedItems>
    </cacheField>
    <cacheField name="Bs LN/26" numFmtId="0">
      <sharedItems containsString="0" containsBlank="1" containsNumber="1">
        <m/>
        <n v="0.0"/>
        <n v="9088.437600000001"/>
        <n v="1016.0208"/>
        <n v="551.232"/>
        <n v="284.2464"/>
        <n v="419.2704"/>
        <n v="43.221599999999995"/>
        <n v="448.224"/>
        <n v="990.2688"/>
        <n v="237.96239999999997"/>
        <n v="224.5296"/>
        <n v="104.4"/>
        <n v="74.4024"/>
        <n v="3762.576"/>
        <n v="8176.607999999999"/>
        <n v="5070.2208"/>
        <n v="135.72"/>
        <n v="180.612"/>
        <n v="48.024"/>
        <n v="168.432"/>
        <n v="55.67999999999999"/>
        <n v="122.496"/>
        <n v="71648.1888"/>
        <n v="8.6304"/>
        <n v="4.5935999999999995"/>
        <n v="3.3407999999999998"/>
        <n v="8951.604000000001"/>
        <n v="8250.2448"/>
        <n v="8243.2152"/>
        <n v="975.5831999999999"/>
        <n v="292.0416"/>
        <n v="1002.8664"/>
        <n v="932.0136"/>
        <n v="234.20399999999998"/>
        <n v="133.5624"/>
        <n v="1699.6319999999998"/>
        <n v="3298.6223999999997"/>
        <n v="3114.1824"/>
        <n v="1866.1152"/>
        <n v="872.5752"/>
        <n v="2469.1295999999998"/>
        <n v="763.6512"/>
        <n v="495.1344"/>
        <n v="512.0472"/>
        <n v="390.2472"/>
        <n v="212.7672"/>
        <n v="120.68639999999999"/>
        <n v="112.6824"/>
        <n v="56.2368"/>
        <n v="57.8376"/>
        <n v="7465.435199999999"/>
        <n v="4620.0"/>
        <n v="2560.8624"/>
        <n v="5996.5968"/>
        <n v="2795.4144"/>
        <n v="13.919999999999998"/>
        <n v="14452.440000000002"/>
        <n v="226.2"/>
        <n v="1392.0"/>
        <n v="657.7199999999999"/>
        <n v="8792.568"/>
        <n v="1942.8839999999998"/>
        <n v="4984.752"/>
        <n v="9298.56"/>
        <n v="5736.432000000001"/>
        <n v="3628.9440000000004"/>
        <n v="23064.396"/>
        <n v="3200.904"/>
        <n v="4919.328"/>
        <n v="1408.008"/>
        <n v="3109.0319999999997"/>
        <n v="928.7424"/>
        <n v="329.20799999999997"/>
        <n v="171.7728"/>
        <n v="112.05600000000001"/>
        <n v="32.016"/>
        <n v="5732.256"/>
        <n v="1435.152"/>
        <n v="56.376"/>
        <n v="278.4"/>
        <n v="96.048"/>
      </sharedItems>
    </cacheField>
    <cacheField name="Bs LAZ/26" numFmtId="0">
      <sharedItems containsString="0" containsBlank="1" containsNumber="1">
        <m/>
        <n v="0.0"/>
        <n v="10098.264000000001"/>
        <n v="1128.912"/>
        <n v="661.4784"/>
        <n v="284.2464"/>
        <n v="559.0272"/>
        <n v="48.023999999999994"/>
        <n v="640.3199999999999"/>
        <n v="495.1344"/>
        <n v="237.96239999999997"/>
        <n v="224.5296"/>
        <n v="104.4"/>
        <n v="74.4024"/>
        <n v="9291.599999999999"/>
        <n v="135.72"/>
        <n v="240.81599999999997"/>
        <n v="48.024"/>
        <n v="191.39999999999998"/>
        <n v="55.67999999999999"/>
        <n v="139.2"/>
        <n v="17912.0472"/>
        <n v="8.6304"/>
        <n v="4.5935999999999995"/>
        <n v="3.3407999999999998"/>
        <n v="8951.604000000001"/>
        <n v="2747.7384"/>
        <n v="975.5831999999999"/>
        <n v="292.0416"/>
        <n v="234.20399999999998"/>
        <n v="133.5624"/>
        <n v="1699.6319999999998"/>
        <n v="1866.1152"/>
        <n v="872.5752"/>
        <n v="763.6512"/>
        <n v="2007.4032000000002"/>
        <n v="212.7672"/>
        <n v="120.68639999999999"/>
        <n v="112.6824"/>
        <n v="112.4736"/>
        <n v="97.44"/>
        <n v="7465.435199999999"/>
        <n v="280000.0"/>
        <n v="3300.0"/>
        <n v="3841.2936"/>
        <n v="22436.255999999998"/>
        <n v="5996.5968"/>
        <n v="2795.4144"/>
        <n v="16.704"/>
        <n v="2872.1832"/>
        <n v="22630.440000000002"/>
        <n v="14452.440000000002"/>
        <n v="244.296"/>
        <n v="1392.0"/>
        <n v="657.7199999999999"/>
        <n v="8792.568"/>
        <n v="1942.8839999999998"/>
        <n v="4984.752"/>
        <n v="13947.84"/>
        <n v="5736.432000000001"/>
        <n v="3628.9440000000004"/>
        <n v="23064.396"/>
        <n v="3200.904"/>
        <n v="1408.008"/>
        <n v="3109.0319999999997"/>
        <n v="928.7424"/>
        <n v="329.20799999999997"/>
        <n v="171.7728"/>
        <n v="112.05600000000001"/>
        <n v="32.016"/>
        <n v="1435.152"/>
        <n v="56.376"/>
        <n v="278.4"/>
        <n v="160.08"/>
      </sharedItems>
    </cacheField>
    <cacheField name="Bs LB/26" numFmtId="0">
      <sharedItems containsString="0" containsBlank="1" containsNumber="1">
        <m/>
        <n v="0.0"/>
        <n v="10508.6256"/>
        <n v="903.1296"/>
        <n v="108.576"/>
        <n v="120.40799999999999"/>
        <n v="32.016"/>
        <n v="244.15679999999998"/>
        <n v="3.0624"/>
        <n v="1.1136"/>
        <n v="24.6384"/>
        <n v="3.7584000000000004"/>
        <n v="16.2864"/>
        <n v="100.0848"/>
        <n v="12.3888"/>
        <n v="14930.870399999998"/>
        <n v="12672.5592"/>
        <n v="417.59999999999997"/>
      </sharedItems>
    </cacheField>
    <cacheField name="Bs LCE/26" numFmtId="0">
      <sharedItems containsString="0" containsBlank="1" containsNumber="1">
        <m/>
        <n v="0.0"/>
        <n v="10508.6256"/>
        <n v="903.1296"/>
        <n v="495.1344"/>
        <n v="9604.800000000001"/>
        <n v="19874.28"/>
        <n v="108.576"/>
        <n v="120.40799999999999"/>
        <n v="27.839999999999996"/>
        <n v="16.2864"/>
        <n v="3580.6416000000004"/>
        <n v="7504.5504"/>
        <n v="374.7264"/>
        <n v="352.176"/>
        <n v="100.0848"/>
        <n v="14864.054399999999"/>
        <n v="1779.8"/>
        <n v="4454.9568"/>
        <n v="101670.56640000001"/>
        <n v="841.4639999999999"/>
      </sharedItems>
    </cacheField>
    <cacheField name="Bs LCA/26" numFmtId="0">
      <sharedItems containsString="0" containsBlank="1" containsNumber="1">
        <m/>
        <n v="0.0"/>
        <n v="451.5648"/>
        <n v="46.8408"/>
        <n v="11566.7544"/>
        <n v="16.2864"/>
        <n v="6.1944"/>
        <n v="7465.435199999999"/>
        <n v="2477.3424"/>
        <n v="208.79999999999998"/>
      </sharedItems>
    </cacheField>
    <cacheField name="Bs LV/26" numFmtId="0">
      <sharedItems containsString="0" containsBlank="1" containsNumber="1">
        <m/>
        <n v="0.0"/>
        <n v="495.1344"/>
        <n v="148.66559999999998"/>
        <n v="135.72"/>
        <n v="40.02"/>
        <n v="3.0624"/>
        <n v="46.8408"/>
        <n v="1.1136"/>
        <n v="24.6384"/>
        <n v="3.7584000000000004"/>
        <n v="17912.0472"/>
        <n v="11566.7544"/>
        <n v="254.8056"/>
        <n v="194.3232"/>
        <n v="858.6552"/>
        <n v="476.3424"/>
        <n v="3580.6416000000004"/>
        <n v="374.7264"/>
        <n v="352.176"/>
        <n v="100.0848"/>
        <n v="12.3888"/>
        <n v="5478.0"/>
        <n v="7424.928"/>
        <n v="3841.2936"/>
        <n v="4186.1616"/>
        <n v="4661.46"/>
        <n v="2665.0536"/>
        <n v="46637.56800000001"/>
        <n v="263.08799999999997"/>
        <n v="11676.444000000001"/>
        <n v="6110.0448"/>
        <n v="417.59999999999997"/>
      </sharedItems>
    </cacheField>
    <cacheField name="Bs. 2026" numFmtId="4">
      <sharedItems containsString="0" containsBlank="1" containsNumber="1">
        <n v="0.0"/>
        <n v="66497.5104"/>
        <n v="21017.2512"/>
        <n v="23226.0072"/>
        <n v="5305.8864"/>
        <n v="1227.1871999999998"/>
        <n v="2645.9136"/>
        <n v="2604.7104"/>
        <n v="1421.232"/>
        <n v="1397.568"/>
        <n v="129.66479999999999"/>
        <n v="1392.696"/>
        <n v="4456.2096"/>
        <n v="713.8871999999999"/>
        <n v="898.1184"/>
        <n v="417.6"/>
        <n v="372.012"/>
        <n v="9604.800000000001"/>
        <n v="19874.28"/>
        <n v="3762.576"/>
        <n v="28023.465599999996"/>
        <n v="11407.9968"/>
        <n v="3904.56"/>
        <n v="1670.4"/>
        <n v="3664.44"/>
        <n v="842.8559999999999"/>
        <n v="936.468"/>
        <n v="244.15679999999998"/>
        <n v="733.4448"/>
        <n v="187.92000000000002"/>
        <n v="167.04"/>
        <n v="93.6816"/>
        <n v="453.23519999999996"/>
        <n v="75.168"/>
        <n v="49.2768"/>
        <n v="7.516800000000001"/>
        <n v="27.839999999999996"/>
        <n v="2.2272"/>
        <n v="143296.3776"/>
        <n v="23133.5088"/>
        <n v="254.8056"/>
        <n v="194.3232"/>
        <n v="141.1488"/>
        <n v="48.8592"/>
        <n v="25.891199999999998"/>
        <n v="16.8432"/>
        <n v="13.7808"/>
        <n v="10.0224"/>
        <n v="858.6552"/>
        <n v="714.5136"/>
        <n v="28645.132800000003"/>
        <n v="16500.4896"/>
        <n v="10990.9536"/>
        <n v="2184.6048"/>
        <n v="15009.1008"/>
        <n v="2926.7495999999996"/>
        <n v="1498.9056"/>
        <n v="704.352"/>
        <n v="876.1248"/>
        <n v="1113.1824"/>
        <n v="4011.4656"/>
        <n v="3728.0544"/>
        <n v="702.612"/>
        <n v="400.68719999999996"/>
        <n v="450.3816"/>
        <n v="30.972"/>
        <n v="8498.16"/>
        <n v="6597.2447999999995"/>
        <n v="6228.3648"/>
        <n v="5598.3456"/>
        <n v="2617.7255999999998"/>
        <n v="4938.2591999999995"/>
        <n v="2290.9536"/>
        <n v="2007.4032000000002"/>
        <n v="1579.4328"/>
        <n v="1485.4032000000002"/>
        <n v="1024.0944"/>
        <n v="4566.108"/>
        <n v="780.4944"/>
        <n v="638.3016"/>
        <n v="1562.52"/>
        <n v="362.0592"/>
        <n v="338.0472"/>
        <n v="224.9472"/>
        <n v="173.5128"/>
        <n v="163.56"/>
        <n v="243.6"/>
        <n v="59.7168"/>
        <n v="56.2368"/>
        <n v="2895.4991999999997"/>
        <n v="67188.91679999999"/>
        <n v="280000.0"/>
        <n v="30013.956"/>
        <n v="46274.799999999996"/>
        <n v="152782.7184"/>
        <n v="39336.0"/>
        <n v="11879.8848"/>
        <n v="4582.464"/>
        <n v="11523.880799999999"/>
        <n v="19192.4784"/>
        <n v="44872.511999999995"/>
        <n v="4186.1616"/>
        <n v="17989.7904"/>
        <n v="4661.46"/>
        <n v="8386.2432"/>
        <n v="3398.7072"/>
        <n v="2665.0536"/>
        <n v="3250.5984"/>
        <n v="462.4224"/>
        <n v="83.52"/>
        <n v="2872.1832"/>
        <n v="101670.56640000001"/>
        <n v="79239.59999999999"/>
        <n v="56529.12"/>
        <n v="44604.551999999996"/>
        <n v="73715.796"/>
        <n v="105352.12800000001"/>
        <n v="31516.550399999996"/>
        <n v="57263.8176"/>
        <n v="16351.5456"/>
        <n v="58839.14400000001"/>
        <n v="1325.88"/>
        <n v="23724.4128"/>
        <n v="4013.4144"/>
        <n v="3150.096"/>
        <n v="647.28"/>
        <n v="841.4639999999999"/>
        <n v="321296.787"/>
        <n v="54112.60800000001"/>
        <n v="80276.9184"/>
        <n v="52028.78400000001"/>
        <n v="146131.04640000002"/>
        <n v="5805.475200000001"/>
        <n v="13960.368"/>
        <n v="12076.992"/>
        <n v="14593.380000000001"/>
        <n v="4472.496"/>
        <n v="6608.5199999999995"/>
        <n v="6602.952"/>
        <n v="1474.824"/>
        <n v="5568.0"/>
        <n v="4498.8048"/>
        <n v="11676.444000000001"/>
        <n v="6110.0448"/>
        <n v="30773.988"/>
        <n v="27200.375999999997"/>
        <n v="22431.384000000002"/>
        <n v="36729.312"/>
        <n v="25813.944000000003"/>
        <n v="26309.844"/>
        <n v="69193.188"/>
        <n v="12163.4352"/>
        <n v="23366.808"/>
        <n v="10918.152"/>
        <n v="7321.641600000001"/>
        <n v="5349.8736"/>
        <n v="7813.017599999999"/>
        <n v="3334.3968"/>
        <n v="9327.096"/>
        <n v="1857.4848"/>
        <n v="1152.228"/>
        <n v="1030.6368"/>
        <n v="672.336"/>
        <n v="96.048"/>
        <n v="11464.512"/>
        <n v="1684.7376000000002"/>
        <n v="16564.104"/>
        <n v="1493.3375999999998"/>
        <n v="112.05600000000001"/>
        <n v="1195.1712"/>
        <n v="395.0496"/>
        <n v="2870.304"/>
        <n v="1044.0"/>
        <n v="281.88"/>
        <n v="835.2"/>
        <n v="320.16"/>
        <n v="16895.748"/>
        <n v="5992.907999999999"/>
        <m/>
      </sharedItems>
    </cacheField>
    <cacheField name="Bs. Total" numFmtId="4">
      <sharedItems containsString="0" containsBlank="1" containsNumber="1">
        <n v="0.0"/>
        <n v="199492.5312"/>
        <n v="52543.128"/>
        <n v="50491.32"/>
        <n v="17550.892799999998"/>
        <n v="13737.3696"/>
        <n v="11997.648"/>
        <n v="13885.6176"/>
        <n v="10431.091199999999"/>
        <n v="6835.2768"/>
        <n v="5209.4208"/>
        <n v="7757.3376"/>
        <n v="3695.2032"/>
        <n v="3633.6768"/>
        <n v="364.9824"/>
        <n v="12012.8208"/>
        <n v="2817.408"/>
        <n v="191.6784"/>
        <n v="4819.6608"/>
        <n v="10397.822400000001"/>
        <n v="2141.6616"/>
        <n v="2694.3552"/>
        <n v="1461.6000000000001"/>
        <n v="1339.2432"/>
        <n v="9604.800000000001"/>
        <n v="39748.56"/>
        <n v="17307.8496"/>
        <n v="40808.7072"/>
        <n v="22815.9936"/>
        <n v="11713.68"/>
        <n v="3897.6"/>
        <n v="5238.7919999999995"/>
        <n v="2030.0928000000001"/>
        <n v="1685.7119999999998"/>
        <n v="1720.86"/>
        <n v="530.352"/>
        <n v="732.4703999999999"/>
        <n v="198.4992"/>
        <n v="930.9695999999999"/>
        <n v="385.23600000000005"/>
        <n v="192.096"/>
        <n v="271.7184"/>
        <n v="187.3632"/>
        <n v="540.096"/>
        <n v="161.61120000000003"/>
        <n v="98.5536"/>
        <n v="15.033600000000002"/>
        <n v="33.408"/>
        <n v="4.4544"/>
        <n v="179120.472"/>
        <n v="30243.705599999998"/>
        <n v="46267.0176"/>
        <n v="1783.6392"/>
        <n v="1360.2624"/>
        <n v="282.2976"/>
        <n v="48.8592"/>
        <n v="25.891199999999998"/>
        <n v="16.8432"/>
        <n v="13.7808"/>
        <n v="10.0224"/>
        <n v="20772.0"/>
        <n v="5028.6"/>
        <n v="12571.5"/>
        <n v="58053.6384"/>
        <n v="57066.8496"/>
        <n v="16314.4488"/>
        <n v="3572.568"/>
        <n v="262.392"/>
        <n v="289.88399999999996"/>
        <n v="89406.0024"/>
        <n v="66517.8336"/>
        <n v="85100.0"/>
        <n v="73089.1872"/>
        <n v="98467.64400000001"/>
        <n v="42616.079999999994"/>
        <n v="33000.9792"/>
        <n v="30225.1224"/>
        <n v="33189.804000000004"/>
        <n v="23616.950399999998"/>
        <n v="17476.8384"/>
        <n v="37522.752"/>
        <n v="13479.0144"/>
        <n v="10787.2344"/>
        <n v="11550.815999999999"/>
        <n v="14095.1832"/>
        <n v="3866.4192"/>
        <n v="5853.499199999999"/>
        <n v="7681.8912"/>
        <n v="4930.464"/>
        <n v="3212.4576"/>
        <n v="1542.8928"/>
        <n v="3339.5472"/>
        <n v="7020.0648"/>
        <n v="6524.0952"/>
        <n v="1405.224"/>
        <n v="801.3743999999999"/>
        <n v="850.7208"/>
        <n v="283.4808"/>
        <n v="101.75519999999999"/>
        <n v="216.804"/>
        <n v="31770.451200000003"/>
        <n v="18662.544"/>
        <n v="27784.8768"/>
        <n v="19461.7608"/>
        <n v="16996.32"/>
        <n v="13194.489599999999"/>
        <n v="12456.7296"/>
        <n v="13062.8064"/>
        <n v="6246.0432"/>
        <n v="7853.1768"/>
        <n v="12345.648"/>
        <n v="4581.9072"/>
        <n v="4014.8064000000004"/>
        <n v="3158.8656"/>
        <n v="3465.9408000000003"/>
        <n v="2830.4928"/>
        <n v="2048.1888"/>
        <n v="6392.551200000001"/>
        <n v="1560.9888"/>
        <n v="1489.3704"/>
        <n v="2343.7799999999997"/>
        <n v="724.1184"/>
        <n v="676.0944"/>
        <n v="449.8944"/>
        <n v="347.0256"/>
        <n v="327.12"/>
        <n v="633.36"/>
        <n v="165.36960000000002"/>
        <n v="135.9984"/>
        <n v="119.4336"/>
        <n v="112.4736"/>
        <n v="40.924800000000005"/>
        <n v="14477.496"/>
        <n v="1238.184"/>
        <n v="47847.912000000004"/>
        <n v="111981.52799999999"/>
        <n v="735000.0"/>
        <n v="134275.0"/>
        <n v="53459.4816"/>
        <n v="233727.7272"/>
        <n v="164082.0"/>
        <n v="123162.15999999999"/>
        <n v="305565.4368"/>
        <n v="39040.171200000004"/>
        <n v="35611.4664"/>
        <n v="64680.0"/>
        <n v="216807.8976"/>
        <n v="11166.972"/>
        <n v="21742.344"/>
        <n v="6084.4"/>
        <n v="13747.392"/>
        <n v="400.0"/>
        <n v="179.98559999999998"/>
        <n v="11523.880799999999"/>
        <n v="38384.9568"/>
        <n v="44872.511999999995"/>
        <n v="17529.595199999996"/>
        <n v="88451.16"/>
        <n v="54420.10080000001"/>
        <n v="9528.518399999999"/>
        <n v="53969.3712"/>
        <n v="55937.520000000004"/>
        <n v="55695.312"/>
        <n v="24648.143999999997"/>
        <n v="14853.753599999998"/>
        <n v="27954.144"/>
        <n v="13528.569599999999"/>
        <n v="19551.4056"/>
        <n v="11597.448"/>
        <n v="11526.316799999999"/>
        <n v="11425.536"/>
        <n v="11066.400000000001"/>
        <n v="10820.2248"/>
        <n v="10221.804"/>
        <n v="7480.4688"/>
        <n v="7273.339199999999"/>
        <n v="10490.112"/>
        <n v="10196.121599999999"/>
        <n v="7995.160800000001"/>
        <n v="4690.4832"/>
        <n v="4670.786400000001"/>
        <n v="4321.7424"/>
        <n v="7313.846399999999"/>
        <n v="3992.256"/>
        <n v="2947.6295999999998"/>
        <n v="2791.2384"/>
        <n v="2543.3232"/>
        <n v="3292.2192"/>
        <n v="3222.6191999999996"/>
        <n v="1037.6664"/>
        <n v="713.2607999999999"/>
        <n v="559.6536"/>
        <n v="130.2912"/>
        <n v="83.52"/>
        <n v="2872.1832"/>
        <n v="26302.2576"/>
        <n v="7056.0"/>
        <n v="4347.0"/>
        <n v="3136.0"/>
        <n v="3008.0"/>
        <n v="2540.0"/>
        <n v="2496.0"/>
        <n v="2412.0"/>
        <n v="2068.0"/>
        <n v="1318.5024"/>
        <n v="1206.0"/>
        <n v="1164.8256000000001"/>
        <n v="1008.0"/>
        <n v="840.0"/>
        <n v="385.8624"/>
        <n v="273.9456"/>
        <n v="144.0"/>
        <n v="138.0"/>
        <n v="624676.1472"/>
        <n v="101670.56640000001"/>
        <n v="387640.1232"/>
        <n v="315715.1352"/>
        <n v="300024.3024"/>
        <n v="147431.592"/>
        <n v="213714.3168"/>
        <n v="78106.23359999999"/>
        <n v="154363.33440000002"/>
        <n v="115718.6304"/>
        <n v="33844.74"/>
        <n v="43106.3424"/>
        <n v="40307.8656"/>
        <n v="222683.5296"/>
        <n v="18517.08"/>
        <n v="14303.774399999998"/>
        <n v="13151.616000000002"/>
        <n v="17369.028000000002"/>
        <n v="157477.7952"/>
        <n v="8026.8288"/>
        <n v="2829.24"/>
        <n v="8840.592"/>
        <n v="1144.2240000000002"/>
        <n v="928.464"/>
        <n v="2017.356"/>
        <n v="5461.3728"/>
        <n v="1468785.312"/>
        <n v="106346.43000000001"/>
        <n v="23347.5"/>
        <n v="2885.2999999999997"/>
        <n v="354738.14999999997"/>
        <n v="944581.968"/>
        <n v="141430.68000000002"/>
        <n v="173933.32319999998"/>
        <n v="162445.42560000002"/>
        <n v="525449.9328000001"/>
        <n v="50959.171200000004"/>
        <n v="33181.8"/>
        <n v="78818.52"/>
        <n v="29240.351999999995"/>
        <n v="31410.828"/>
        <n v="27913.776"/>
        <n v="25965.5328"/>
        <n v="19263.2616"/>
        <n v="11181.240000000002"/>
        <n v="13877.892"/>
        <n v="14526.4944"/>
        <n v="3583.008"/>
        <n v="23496.96"/>
        <n v="1305.0"/>
        <n v="252.9264"/>
        <n v="10707.6816"/>
        <n v="34610.5488"/>
        <n v="187893.6912"/>
        <n v="107512.0944"/>
        <n v="2833.068"/>
        <n v="2456.4624"/>
        <n v="1236.444"/>
        <n v="1227.048"/>
        <n v="417.6"/>
        <n v="128.064"/>
        <n v="61.944"/>
        <n v="1548.0432"/>
        <n v="1095.3648"/>
        <n v="81231.1344"/>
        <n v="81735.10800000001"/>
        <n v="56310.576"/>
        <n v="97760.7168"/>
        <n v="89391.108"/>
        <n v="66058.056"/>
        <n v="59817.024000000005"/>
        <n v="35644.8048"/>
        <n v="70669.056"/>
        <n v="32380.4256"/>
        <n v="54496.10400000001"/>
        <n v="53345.476800000004"/>
        <n v="161450.772"/>
        <n v="25871.4336"/>
        <n v="14003.7984"/>
        <n v="13585.2936"/>
        <n v="24967.051199999998"/>
        <n v="40584.456000000006"/>
        <n v="76427.064"/>
        <n v="14643.283200000002"/>
        <n v="6095.0112"/>
        <n v="21399.4944"/>
        <n v="36867.676799999994"/>
        <n v="6668.7936"/>
        <n v="21763.224"/>
        <n v="4643.7119999999995"/>
        <n v="2537.616"/>
        <n v="1355.5296"/>
        <n v="2304.456"/>
        <n v="1889.5007999999998"/>
        <n v="960.48"/>
        <n v="1344.672"/>
        <n v="608.4432"/>
        <n v="288.144"/>
        <n v="15780.8256"/>
        <n v="11464.512"/>
        <n v="33589.5168"/>
        <n v="14869.9008"/>
        <n v="8034.9024"/>
        <n v="310.8336"/>
        <n v="7620.6432"/>
        <n v="71568.7056"/>
        <n v="33128.208"/>
        <n v="11541.768000000002"/>
        <n v="7248.0744"/>
        <n v="2986.6751999999997"/>
        <n v="2390.3424"/>
        <n v="7088.064"/>
        <n v="790.0992"/>
        <n v="171.7728"/>
        <n v="76.8384"/>
        <n v="10071.676800000001"/>
        <n v="10046.064"/>
        <n v="3340.7999999999997"/>
        <n v="2420.4096"/>
        <n v="563.76"/>
        <n v="1670.4"/>
        <n v="640.32"/>
        <n v="67582.992"/>
        <n v="23971.631999999998"/>
        <n v="10958.659200000002"/>
        <n v="10908.268800000002"/>
        <n v="3871.5"/>
        <n v="57014.7192"/>
        <m/>
      </sharedItems>
    </cacheField>
    <cacheField name="Observaciones" numFmtId="0">
      <sharedItems containsBlank="1">
        <m/>
        <s v=" Se requiere con compatibilidad para Linea Azul"/>
        <s v=" Se cambia a compra local, Se maneja el mismo precio estimado"/>
        <s v="  Se requiere cotizar repuesto con servicio de cambio, El Item incluye el servicio por $us2936,42"/>
        <s v=" Precio Estimado"/>
        <s v=" Se coloca precio tentativo"/>
        <s v=" Precio tentativo"/>
        <s v=" Precio tentativo, igual a 6206 zz"/>
        <s v=" Precio Referencial"/>
      </sharedItems>
    </cacheField>
    <cacheField name="Comentarios" numFmtId="0">
      <sharedItems containsBlank="1">
        <m/>
        <s v=" Insumo Quimico, se quita de este listado, se añaden cantidades a Lubricantes, no se considera en listado de repuestos"/>
        <s v="  Verificar item, Según última observación se requiere solamente el plato exterior. Verificar que sea el plato exterior y no asi todo el embrague. Se requiere aclaracion"/>
        <s v=" INCLUYE EL: 52226-08028 DISCO DE FRICCION DENTADO EXTERIOR"/>
        <s v=" No cotizo. Cotiza con ID: 11318364"/>
        <s v=" Observaciones en la descripcion: SHR ISO 4762- 8.8 M 4X 10  GVZ  ZYL-SHR, GALV.VERZINKT"/>
        <s v=" Se elimino en coordinaciòn don Diego Ramos, no corresponde a embrague"/>
        <s v=" Precio referencial."/>
        <s v=" Precio Referencial, Consultar precio"/>
        <s v=" Precio refencial"/>
        <s v=" iD ANTERIOR 11112181, se une con 11518384"/>
        <s v=" No coincide las cantidades, Verificar con cat Repuesto eléctrico, se une con 11822382"/>
        <s v=" No esta en la cotizacion, se encuentra en 2 categorias diferentes"/>
        <s v=" La Cantidad no coincide"/>
        <s v=" El ID correspondia a otro item, se corrigio ID"/>
        <s v=" Es necesario version 1 para línea azul. Consultar que el que nos envìen sea compatible con al versión 1, en todas las estaciones de linea azul. "/>
        <s v=" Se tuvo un incremento del 74%"/>
        <s v=" Descripcion indicaba FILTRO DE RAVO"/>
        <s v=" Descripción indicaba -5556 (TARJETA)"/>
        <s v=" UNIDAD - RC"/>
        <s v=" LAMPARA DE DIODO LUMINISCENTES"/>
        <s v=" Se divide en 3 años las bases de las pisaderas"/>
        <s v=" Precio referencial, segun cotizacion"/>
        <s v=" Mover, del 2024 al 2025 al 2026"/>
        <s v=" Efectivamente es el casquillo indicado"/>
        <s v=" Consultar Reducción de cantidad (MO, PL, NA), se sugiere realizar el cambio con la cotización de Indumar, cada inserto cuesta Bs.594,50"/>
        <s v=" Investigar compra local. Investigacion"/>
        <s v="Id anterior: 10865976"/>
        <s v=" Preio referencial"/>
        <s v=" Se requiere compra local, se quita"/>
        <s v=" Analizar fabricacion"/>
        <s v=" No cotizo: Cotiza con ID: 11129582"/>
        <s v=" Precio referencial"/>
        <s v=" No existe cotizacion"/>
        <s v=" Se redistribuira de lina verda a toda la RIM"/>
        <s v=" Soporte de Baterias, no tiene codigo en la cotizacion"/>
        <s v=" No cotizo. Cotiza con ID: 11416549. verificar caracteristicas"/>
        <s v=" No se encuentra en cotizacion"/>
        <s v=" Se requiere cotizar repuesto con servicio de cambio"/>
        <s v=" Se aclaró el item elemento filtrante"/>
        <s v=" Se une de item Valvula de seguridad"/>
        <s v=" Se tiene un incremento del  precio de referencia del 106% "/>
        <s v=" Se tiene un incremento del  precio de referencia del 102% "/>
        <s v=" No se encuentran en la cotizacion"/>
        <s v=" Diferenctes cotizaciones"/>
        <s v=" Precio referencial de un Reten 25x40x7  ID 6-01-00211"/>
        <s v=" Diferentes cotizaciones"/>
        <s v=" Precio referencial de un Rodamiento 6205-2Z ID 2-01-00562"/>
        <s v=" Cotizacion local. Consultar con Juan Salazar"/>
        <s v=" Se quita de 20204, se analizara para el 2026"/>
        <s v=" Se tenia duplicado"/>
        <s v=" Recorrer años"/>
        <s v=" Se tenian Ids duplicados"/>
        <s v=" Se tenian duplicados"/>
        <s v=" Se eilmina, se trabajara con basculas de Edwin y Erick"/>
        <s v=" Añadido para linea Morada. No se cotizo en anterior cotización."/>
        <s v=" Precio Estimado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3:BC114" sheet="Rep Ovh Bal"/>
  </cacheSource>
  <cacheFields>
    <cacheField name="Ubicación" numFmtId="0">
      <sharedItems containsBlank="1">
        <s v="Torres"/>
        <s v="Estaciones"/>
        <m/>
        <s v="Total"/>
      </sharedItems>
    </cacheField>
    <cacheField name="Tipo de trabajo" numFmtId="0">
      <sharedItems containsBlank="1">
        <s v="OVH balancines TRM"/>
        <s v="OVH Bombas de reductores principales"/>
        <s v="OVH Frenos de Servicio"/>
        <m/>
      </sharedItems>
    </cacheField>
    <cacheField name="Tipo de Bien" numFmtId="0">
      <sharedItems containsBlank="1">
        <s v="Repuesto Mecánico"/>
        <s v="Repuesto Eléctrico"/>
        <m/>
      </sharedItems>
    </cacheField>
    <cacheField name="TDB/LOCAL" numFmtId="0">
      <sharedItems containsBlank="1">
        <s v="TDB"/>
        <m/>
      </sharedItems>
    </cacheField>
    <cacheField name="Partida" numFmtId="49">
      <sharedItems containsBlank="1">
        <s v="39800"/>
        <s v="39700"/>
        <m/>
      </sharedItems>
    </cacheField>
    <cacheField name="ID TDB o ID Almacén" numFmtId="49">
      <sharedItems containsBlank="1">
        <s v="2-01-00844"/>
        <s v="2-01-00340"/>
        <s v="2-01-00124"/>
        <s v="2-01-00125"/>
        <s v="2-01-00487"/>
        <s v="2-01-00128"/>
        <s v="2-01-00488"/>
        <s v="2-01-00035"/>
        <s v="2-01-00036"/>
        <s v="2-01-00489"/>
        <s v="2-01-00129"/>
        <s v="2-01-00835"/>
        <s v="2-02-00105"/>
        <s v="2-01-00130"/>
        <s v="2-01-00131"/>
        <s v="2-01-00406"/>
        <s v="2-01-00289"/>
        <s v="2-01-00299"/>
        <s v="2-01-00490"/>
        <s v="2-01-00491"/>
        <s v="2-01-00940"/>
        <s v="2-01-00257"/>
        <s v="2-01-00408"/>
        <s v="2-01-00438"/>
        <s v="2-01-00262"/>
        <s v="2-01-00014"/>
        <m/>
        <s v="2-01-00858"/>
        <s v="2-01-00439"/>
        <s v="2-01-00860"/>
        <s v="2-01-00869"/>
        <s v="2-02-00335"/>
        <s v="2-02-00334"/>
        <s v="2-02-00333"/>
        <s v="2-02-00337"/>
        <s v="2-02-00332"/>
        <s v="2-01-00493"/>
        <s v="2-01-00871"/>
        <s v="2-01-00011"/>
        <s v="2-01-00012"/>
        <s v="2-01-00042"/>
        <s v="2-01-00976"/>
        <s v="2-01-00495"/>
        <s v="2-01-00261"/>
        <s v="2-01-00295"/>
        <s v="2-01-00077"/>
        <s v="2-01-00084"/>
        <s v="2-01-00141"/>
        <s v="2-01-00509"/>
        <s v="2-01-00263"/>
        <s v="2-01-00013"/>
        <s v="2-01-00506"/>
        <s v="2-01-00543"/>
        <s v="2-01-00510"/>
        <s v="2-01-00147"/>
        <s v="2-01-00264"/>
        <s v="2-01-00050"/>
        <s v="2-01-00570"/>
        <s v="2-01-00589"/>
        <s v="2-01-00294"/>
        <s v="2-01-00600"/>
        <s v="2-01-00044"/>
        <s v="2-01-00045"/>
        <s v="2-01-00511"/>
        <s v="1-01-00378"/>
        <s v="2-01-00840"/>
        <s v="1-01-00159"/>
        <s v="2-01-00512"/>
        <s v="2-01-00574"/>
        <s v="2-01-00148"/>
        <s v="2-01-00941"/>
        <s v="2-01-00514"/>
        <s v="2-01-00515"/>
        <s v="2-01-00516"/>
        <s v="2-01-00520"/>
        <s v="2-01-00523"/>
        <s v="2-01-00501"/>
        <s v="2-01-00499"/>
        <s v="2-01-00498"/>
        <s v="2-01-00674"/>
        <s v="2-01-00497"/>
        <s v="2-01-00571"/>
        <s v="2-01-00843"/>
        <s v="2-01-00977"/>
        <s v="2-01-00846"/>
        <s v="2-01-00848"/>
        <s v="2-01-00850"/>
        <s v="2-01-00851"/>
        <s v="2-01-00992"/>
        <s v="2-01-00945"/>
        <s v="2-01-00852"/>
        <s v="2-01-00854"/>
        <s v="2-01-00946"/>
        <s v="2-01-01265"/>
        <s v="2-01-00880"/>
        <s v="2-01-01014"/>
      </sharedItems>
    </cacheField>
    <cacheField name="ID Cotizado" numFmtId="49">
      <sharedItems containsBlank="1">
        <s v="10000080"/>
        <s v="10000082"/>
        <s v="10000084"/>
        <s v="10000085"/>
        <s v="10000338"/>
        <s v="10000343"/>
        <s v="10000381"/>
        <s v="10000400"/>
        <s v="10000409"/>
        <s v="10004958"/>
        <s v="10004961"/>
        <s v="10006287"/>
        <s v="10006291"/>
        <s v="10007419"/>
        <s v="10046154"/>
        <s v="10075741"/>
        <s v="10083913"/>
        <s v="10083926"/>
        <s v="10083934"/>
        <s v="10083935"/>
        <s v="10087005"/>
        <s v="10096799"/>
        <s v="10096801"/>
        <s v="10167525"/>
        <s v="10183056"/>
        <s v="10186109"/>
        <s v="10245633"/>
        <s v="10252061"/>
        <s v="10262938"/>
        <s v="10288696"/>
        <s v="10293344"/>
        <s v="10295381"/>
        <s v="10302024"/>
        <s v="10302026"/>
        <s v="10302028"/>
        <s v="10302030"/>
        <s v="10302032"/>
        <s v="10389587"/>
        <s v="10420185"/>
        <s v="10431740"/>
        <s v="10434107"/>
        <s v="10456209"/>
        <s v="10456214"/>
        <s v="10482959"/>
        <s v="10487980"/>
        <s v="10488001"/>
        <s v="10494137"/>
        <s v="10501989"/>
        <s v="10501992"/>
        <s v="10510857"/>
        <s v="10531093"/>
        <s v="10535780"/>
        <s v="10538144"/>
        <s v="10539289"/>
        <s v="10566988"/>
        <s v="10688217"/>
        <s v="10693755"/>
        <s v="10693756"/>
        <s v="10752990"/>
        <s v="10796747"/>
        <s v="10834216"/>
        <s v="10834428"/>
        <s v="10870308"/>
        <s v="10870719"/>
        <s v="10871370"/>
        <s v="10871377"/>
        <s v="10871605"/>
        <s v="10872696"/>
        <s v="10873673"/>
        <s v="10946774"/>
        <s v="11136880"/>
        <s v="11136923"/>
        <s v="11136925"/>
        <s v="11136966"/>
        <s v="11137005"/>
        <s v="11137015"/>
        <s v="11163460"/>
        <s v="11185338"/>
        <s v="11185341"/>
        <s v="11185351"/>
        <s v="11316799"/>
        <s v="11424367"/>
        <s v="11424994"/>
        <s v="11430217"/>
        <s v="11430340"/>
        <s v="11430347"/>
        <s v="11430348"/>
        <s v="11430350"/>
        <s v="11430351"/>
        <s v="11446176"/>
        <s v="11452546"/>
        <s v="11544852"/>
        <s v="11544869"/>
        <s v="11544933"/>
        <s v="11544947"/>
        <s v="11544948"/>
        <s v="11544995"/>
        <s v="11544996"/>
        <s v="11545032"/>
        <s v="11545033"/>
        <s v="11545040"/>
        <s v="11545051"/>
        <s v="11545052"/>
        <s v="11545062"/>
        <s v="11805532"/>
        <s v="11404324"/>
        <s v="11539659"/>
        <s v="10514554"/>
        <s v="10514556"/>
        <m/>
      </sharedItems>
    </cacheField>
    <cacheField name="Descripción del Bien" numFmtId="165">
      <sharedItems containsBlank="1">
        <s v=" TUERCA HEXAGONAL DIN 985-8 M12, GALVANIZADA (C.ELEM.DE FIJ.)"/>
        <s v=" TUERCA HEX. DIN 985-8 M16 ELECTROGALVAN. (C.ELEM.DE FIJAC.)"/>
        <s v=" TUERCA HEXAG. DIN 985-8 M24 GALVANIZADA (CON ELEM. DE FIJ.)"/>
        <s v=" TUERCA HEXAG. DIN 985-8 M30 GALVANIZADO (C.ELEM.DE FIJACION)"/>
        <s v=" ANILLO RETEN.  DIN 471  85X3,0 FOSFAT."/>
        <s v=" ANILLO RETEN. DIN 471 100X3    FOSFAT."/>
        <s v=" CIRCLIP INTER.  DIN 472  52X2  FOSFAT."/>
        <s v=" CIRCLIP INTER. DIN 472  80X2,5 FOSFAT."/>
        <s v=" CIRCLIP INTER.  DIN 472 110X4  FOSFAT."/>
        <s v=" TORNILLO TENSILOCK CL. 90 M10X20 T.CON DIENTES DE PARADA RLZ"/>
        <s v=" TORNILLO TENSILOCK CL. 100 M12X30 T. DIENTES DE PARADA RLZ"/>
        <s v=" RES.C. A=1,00/DIA.7,0/LSC=20,0 EE=  7,5; RES.DE COMPR.DIN2095"/>
        <s v=" CONECTOR HEMBRA DIA.7  L=38    P.INTERRUPTOR HORQUILLA"/>
        <s v=" TORNILLO TENSILOCK CL. 100 M16X40 T.DIENTES DE PARADA RLZ"/>
        <s v=" ARANDELA SEGUR.  NORDLOCK NL16 RECUB.DE LAMINILLAS DE CINC"/>
        <s v=" ARANDELA DIST. DIÁ.51,5/14 E=12,5 P.POLEA C-C, ENSAYO FINAL"/>
        <s v=" CASQUILLO PM 3030 DS  TIPO: KW SIN AGUJ.DE ENGRASE    GLACIER"/>
        <s v=" CASQUILLO PM 6040 DS   TIPO KW SIN AGUJ.DE ENGRASE    GLACIER"/>
        <s v=" CASQUILLO PM 90100 DS  TIPO KW SIN AGUJ.DE ENGRASE    GLACIER"/>
        <s v=" CASQUILLO PM 100115 DS TIPO KW SIN AGUJ.DE ENGRASE    GLACIER"/>
        <s v=" TORNILLO  DIN7984- 8.8 M12X 30 DE CABEZA CILÍNDRICA, GALV."/>
        <s v=" ANILLO ELÁSTICO  393,5X 6,3    CON RECUBRIMIENTO DELTA-TONE"/>
        <s v=" ANILLO MUELLE 194,8X 5,0       CON RECUBRIMIENTO DELTA-TONE"/>
        <s v=" CASQUILLO DISTANC. 34/25 L= 45 CAQUILLO DISTANCIADOR"/>
        <s v=" CASQUILLO PM 5540 DS  TIPO: KW SIN AGUJ.DE ENGRASE    GLACIER"/>
        <s v=" CUERPO DE POLEA 501 400X130    "/>
        <s v=" TORNILLO TENSILOCK CL.90 M16X25 T.CON DIENTE, REV.LAM.DE ZINC"/>
        <s v=" TUERCA AUTOFIJ.  INLOC - 8 M24 C.ELEM.DE FIJAC. ~DIN934 GALV."/>
        <s v=" ARANDELA SEGUR.  NORDLOCK NL12 RECUB.DE LAMINILLAS DE CINC"/>
        <s v=" BULÓN DIA.24,9 LN 148 M20      PARA POLEA TIPO C/401(&gt;1970)"/>
        <s v=" PERNO DIA.29,9  L 225 M24      PARA POLEA TIPO 501"/>
        <s v=" RACOR DE ENGRASE A 12X1,0  DIN71412 CÓNICO RECTO"/>
        <s v=" CABLE DE CONEX.RPD 4M KDKS AMARILLO CON ENCHUFE INYECTADO Y"/>
        <s v=" CABLE DE CONEX.RPD 6M KDKS AMARILLO CON ENCHUFE INYECTADO Y"/>
        <s v=" CABLE CONECTOR RPD 8M KDKS AMARILLO CON CONECTOR INTEGRADO +"/>
        <s v=" CABLE DE CONEX.RPD 10M KDKS AMARILLO CON ENCHUFE INYECTADO Y"/>
        <s v=" CABLE CONEX. RPD 12,0M LDKS AMARILLO C. ENCHUFE INYECTADO Y"/>
        <s v=" CASQUILLO PM 4040 DS  TIPO: KW SIN AGUJ.DE ENGRASE    GLACIER"/>
        <s v=" ROD.RA.BOLAS  DIN 625/1- 6205-2RS-C3 LT VT210 (TTF 90% +/-5%)"/>
        <s v=" GUARN.DE GOMA  501 485X100/R40 "/>
        <s v=" GUARN.DE GOMA  420 422X 93/R34 "/>
        <s v=" PERNO DIA.24,9 LN 192 M20      PARA POLEA TIPO 420C"/>
        <s v=" BULÓN DIA.40,0 LN 347 M24      P.2CP EN BAST.DE 4P. TIPO-420C"/>
        <s v=" BULÓN DIA.50,0 LN 388 M30      P.BÁSC.DE 2 EN BAST.DE 4P.501C"/>
        <s v=" CASQUILLO PM 7580 DS   TIPO KW SIN AGUJ.DE ENGRASE    GLACIER"/>
        <s v=" CASQUILLO PM 9080 DS  TIPO: KW SIN AGUJERO DE ENGRASE GLACIER"/>
        <s v=" CASQUILLO PM 8580 DS   TIPO KW SIN AGUJ.DE ENGRASE    GLACIER"/>
        <s v=" RRB DIN 625/1- 6310-2RS1-C3GLE VT210 (90% +/-5%)ROD.RAN.BOLAS"/>
        <s v=" RRB DIN 625/1- 6307-2RS1-C3GLE VT210 (90% +/-5%)ROD.RAN.BOLAS"/>
        <s v=" TORNILLO TENSILOCK CL.90 M16X35 T.CON DIENTE, RV.LAM.DE ZINC"/>
        <s v=" BULÓN DIA. 20,0 LN 193 M16 P.BÁSCULA POLEA SENS.EN BRAZO OSC."/>
        <s v=" TORNILLO DIN7984-8.8 M12X20, TORN.CIL., GALVAN."/>
        <s v=" ARAND.DIST. DIÁ.120/86 E=1,5 ARANDELA DISTANCIADOR"/>
        <s v=" GUARN. GOMA C 258X69/R30/CONCAV.P.POL.SENSOR (RPD EN CP SUJ.)"/>
        <s v=" ARAND.DIST. DIA.110/75,5 E=1,5 ARANDELA DISTANCIADORA"/>
        <s v=" ARAND.DIST. DIA.80/56,0 E= 1,0 ARANDELA DISTANCIADORA"/>
        <s v=" ARAND.DIST.DIA.90 / 60,5 E=1,0 ARANDELA DISTANCIADORA"/>
        <s v=" ARAND.DIST.DIA.90 / 60,5 E=4,0 ARANDELA DISTANCIADORA"/>
        <s v=" NIPLE ENGRASE M10X1 H1 RES.RESF. NIPLE CÓNICO DE ENGRASE 0°"/>
        <s v=" TUERCA AUTOFIJ.  INLOC - 8 M20 C.ELEM.DE FIJAC. ~DIN934 GALV."/>
        <s v=" ANILLO DIST. DIÁ.68/50 E=23,5 P. POLEA 501 GALV.+AMARILLO"/>
        <s v=" ANILLO DIST. DIÁ.57/35 E=18,5 P. POLEA 420C GALV.+AMARILLO"/>
        <s v=" POLEA        501C CL100 DIA525 C.LAMINILLAS EMP.,RRB ESP.,PAC"/>
        <s v=" POLEA       420C LW 93 DIA.455 C.LAMINILLAS EMP.,RRB ESP.,PAC"/>
        <s v=" ARANDELA OBTURAD.-Z010F 50X 80 DISEÑO ESPEC. DE LA SUPERFICIE"/>
        <s v=" LAMINILLA EMPAQUE.Z212F 60X110 SUPERFICIE DE EJECUC.ESPECIAL"/>
        <s v=" ARANDELA ISO 7089 M24 300HV, FLZNNC-720H-L, REV.LAM.ZINC S.C."/>
        <s v=" ARANDELA DIN 7349-17 300HV, FLZNNC-720H-L, REV.DE ZINC LAM."/>
        <s v=" ARANDELA ISO 7089 M20 300HV, FLZNNC-720H-L, REV.L.ZINC SIN CH"/>
        <s v=" BALANCÍN DE 2 POL. TIPO C AC.60 DP=572 P. POLEA SENSOR 420C"/>
        <s v=" TUERCA HEXAG. ISO 4032-8 M16 GIC"/>
        <s v=" TUERCA HEXAG. ISO 4032-8 M24 GIC"/>
        <s v=" TUERCA HEXAG. ISO 4032-8 M27 GIC"/>
        <s v=" TORNILLO DIN931-8.8U M16X65, GIC, TORN.HEX., GIC (ISO 4014)"/>
        <s v=" TORNILLO DIN933-8.8U M12X45 GIC, TORN.HEX., GIC (ISO 4017)"/>
        <s v=" TORNILLO ISO 4017-8.8 M16X45 GIC TORN. HEXAG."/>
        <s v=" CONECTADOR ENCHUF. 2,5-6,0MM2 PV-C3M-S 2,5-6 (-)"/>
        <s v=" TORNILLO ISO 4014-8.8U M27X500 ESP. FVZ TORN.HEX. GALV.INM.CA"/>
        <s v=" TORNILLO ISO 4014-8.8U M27X580 ESP. FVZ TORN.HEX. GALV.INM.CA"/>
        <s v=" TORNILLO ISO 4017-8.8U M16X75 GIC TORN. HEXAG."/>
        <s v=" TORNILLO ISO 4014-8.8U M24X470 FVZ TORN.HEX. GALV.INM.CALIEN."/>
        <s v=" ARANDELA ISO 7089 M27 300HV, FLZNNC-720H-L, REV.L.ZN SIN BIS."/>
        <s v=" ARANDELA DIN 7349-31 300HSFG, FLZNNC-720H-L, R.L.ZN SIN BISEL"/>
        <s v=" BULÓN DIÁ 40H8 L=222, COJINETE P. BRAZO GIR. 4P/2PG CP 420C"/>
        <s v=" TUBO DIST. DIÁ=30/20.2 L=126, P. BÁSCULA P. SENS. EN BRAZO GI"/>
        <s v=" TUBO DISTANCIADOR DIÁ.60/50,2 L=245"/>
        <s v=" TUBO DIST. DIÁ 35/25 L=140, TUBO DIST. P. POLEA 420C"/>
        <s v=" TUBO DISTANCIADOR DIÁ.55/40,2 L=220"/>
        <s v=" CASQUILLO DIST. DIÁ50/30 L=160"/>
        <s v=" SOPORTE DE EJE P. DIÁ 55 Y DIÁ 75 AJUSTABLE PROT.CONTRA TORS."/>
        <s v=" SOPORTE DE EJE P. DIÁ.75       PROT. CONTRA PÉRDIDA"/>
        <s v=" BULÓN DIÁ 60H8 NL=761 M30 P. CP 2P EN ARMAZÓN 6P 501C"/>
        <s v=" EJE DIÁ85H8 LN=798 M16 AGP P. BAL. 4 POL. EN CONOSLA 501C"/>
        <s v=" BULÓN DIÁ 85H8 NL=684 M16 ROS P. CP 4P EN ARM. 6/8P 501C"/>
        <s v=" BULÓN DIÁ 85H8 LN=478 P. APOYO CP 6 Y 8 TIPO 501C"/>
        <s v=" EJE DIÁ85H8 LN=457 P. APOYO 6 U 8 POL. 501C"/>
        <s v=" EJE DIÁ55H8 LN 653 M24 P. C. DE 2 POL. EN ARM. 6 POL. 420C"/>
        <s v=" BULÓN DIÁ 100H8 LN 691 P. APOYO 10 Y 12 P. TIPO 501C"/>
        <s v=" EJE DIÁ75H8 LN 585 M16 AGP P. C. 4 POL. EN ARM 6/8 ARM. 420C"/>
        <s v=" BULÓN DIÁ 75H8 LN 407 P. APOYO 6 Y 8 POL. TIPO 420C"/>
        <s v=" EJE DIÁ90H8 LN 581 P. APOYO 10-16 POL. 420C"/>
        <s v=" BULÓN DIÁ 55H8 LN 334 P. BRAZO GIRATORIO EN 4P/4S CP 420C"/>
        <s v=" EJE DIÁ.90H8 LN=541, P. APOYO P. CP 4P/4S TIPO 420C"/>
        <s v=" BULÓN DIÁ 90H8 LN 441    420C SOPORTE 4P/4S EN ARMAZÓN 8P/8S"/>
        <s v=" AMORTIGUADOR TURING 316 975 Nº PEDIDO: 81 4901 003 608"/>
        <s v=" JUEGO DE MANTENIMIENTO P. BOMBA KRAL  K55-118   KRAL"/>
        <s v=" SET DE MANTENIMIENTO P. BOMBA KRAL K 5-20"/>
        <s v=" ÉMBOLO COMPLETO DIÁ.70/63"/>
        <s v=" PISTON COMPLETO DIA.75 / 63    "/>
        <m/>
      </sharedItems>
    </cacheField>
    <cacheField name="Unid." numFmtId="0">
      <sharedItems containsBlank="1">
        <s v="Pza"/>
        <m/>
      </sharedItems>
    </cacheField>
    <cacheField name="Q LMO/año" numFmtId="0">
      <sharedItems containsString="0" containsBlank="1" containsNumber="1" containsInteger="1">
        <n v="0.0"/>
        <m/>
      </sharedItems>
    </cacheField>
    <cacheField name="Q LPL/año" numFmtId="0">
      <sharedItems containsString="0" containsBlank="1" containsNumber="1" containsInteger="1">
        <n v="0.0"/>
        <m/>
      </sharedItems>
    </cacheField>
    <cacheField name="Q LAM/año" numFmtId="0">
      <sharedItems containsString="0" containsBlank="1" containsNumber="1" containsInteger="1">
        <n v="0.0"/>
        <m/>
      </sharedItems>
    </cacheField>
    <cacheField name="Q LR/año" numFmtId="0">
      <sharedItems containsString="0" containsBlank="1" containsNumber="1" containsInteger="1">
        <n v="0.0"/>
        <m/>
      </sharedItems>
    </cacheField>
    <cacheField name="Q LN/año" numFmtId="0">
      <sharedItems containsString="0" containsBlank="1" containsNumber="1" containsInteger="1">
        <n v="0.0"/>
        <m/>
      </sharedItems>
    </cacheField>
    <cacheField name="Q LAZ/año" numFmtId="0">
      <sharedItems containsString="0" containsBlank="1" containsNumber="1" containsInteger="1">
        <n v="0.0"/>
        <m/>
      </sharedItems>
    </cacheField>
    <cacheField name="Q LB/año" numFmtId="0">
      <sharedItems containsString="0" containsBlank="1" containsNumber="1" containsInteger="1">
        <n v="0.0"/>
        <m/>
      </sharedItems>
    </cacheField>
    <cacheField name="Q LCE/año" numFmtId="0">
      <sharedItems containsString="0" containsBlank="1" containsNumber="1" containsInteger="1">
        <n v="0.0"/>
        <m/>
      </sharedItems>
    </cacheField>
    <cacheField name="Q LCA/año" numFmtId="0">
      <sharedItems containsString="0" containsBlank="1" containsNumber="1" containsInteger="1">
        <n v="0.0"/>
        <m/>
      </sharedItems>
    </cacheField>
    <cacheField name="Q LV/año" numFmtId="0">
      <sharedItems containsString="0" containsBlank="1" containsNumber="1" containsInteger="1">
        <n v="0.0"/>
        <m/>
      </sharedItems>
    </cacheField>
    <cacheField name="Q TRM/año" numFmtId="0">
      <sharedItems containsString="0" containsBlank="1" containsNumber="1" containsInteger="1">
        <n v="48.0"/>
        <n v="118.0"/>
        <n v="254.0"/>
        <n v="140.0"/>
        <n v="30.0"/>
        <n v="608.0"/>
        <n v="132.0"/>
        <n v="100.0"/>
        <n v="400.0"/>
        <n v="904.0"/>
        <n v="472.0"/>
        <n v="152.0"/>
        <n v="480.0"/>
        <n v="76.0"/>
        <n v="96.0"/>
        <n v="40.0"/>
        <n v="20.0"/>
        <n v="120.0"/>
        <n v="1016.0"/>
        <n v="4.0"/>
        <n v="0.0"/>
        <n v="280.0"/>
        <n v="304.0"/>
        <n v="240.0"/>
        <n v="50.0"/>
        <n v="2.0"/>
        <n v="508.0"/>
        <n v="216.0"/>
        <n v="308.0"/>
        <n v="256.0"/>
        <n v="284.0"/>
        <n v="384.0"/>
        <n v="150.0"/>
        <n v="80.0"/>
        <n v="5.0"/>
        <n v="6.0"/>
        <n v="42.0"/>
        <n v="588.0"/>
        <n v="328.0"/>
        <n v="300.0"/>
        <n v="360.0"/>
        <n v="228.0"/>
        <n v="86.0"/>
        <n v="112.0"/>
        <n v="28.0"/>
        <n v="8.0"/>
        <n v="24.0"/>
        <n v="14.0"/>
        <n v="32.0"/>
        <n v="108.0"/>
        <n v="70.0"/>
        <n v="38.0"/>
        <m/>
      </sharedItems>
    </cacheField>
    <cacheField name="Q 2024" numFmtId="4">
      <sharedItems containsString="0" containsBlank="1" containsNumber="1" containsInteger="1">
        <n v="48.0"/>
        <n v="118.0"/>
        <n v="254.0"/>
        <n v="140.0"/>
        <n v="30.0"/>
        <n v="608.0"/>
        <n v="132.0"/>
        <n v="100.0"/>
        <n v="400.0"/>
        <n v="904.0"/>
        <n v="472.0"/>
        <n v="152.0"/>
        <n v="480.0"/>
        <n v="76.0"/>
        <n v="96.0"/>
        <n v="40.0"/>
        <n v="20.0"/>
        <n v="120.0"/>
        <n v="1016.0"/>
        <n v="4.0"/>
        <n v="0.0"/>
        <n v="280.0"/>
        <n v="304.0"/>
        <n v="240.0"/>
        <n v="50.0"/>
        <n v="2.0"/>
        <n v="508.0"/>
        <n v="216.0"/>
        <n v="308.0"/>
        <n v="256.0"/>
        <n v="284.0"/>
        <n v="384.0"/>
        <n v="150.0"/>
        <n v="80.0"/>
        <n v="5.0"/>
        <n v="6.0"/>
        <n v="42.0"/>
        <n v="588.0"/>
        <n v="328.0"/>
        <n v="300.0"/>
        <n v="360.0"/>
        <n v="228.0"/>
        <n v="86.0"/>
        <n v="112.0"/>
        <n v="28.0"/>
        <n v="8.0"/>
        <n v="24.0"/>
        <n v="14.0"/>
        <n v="32.0"/>
        <n v="108.0"/>
        <n v="70.0"/>
        <n v="38.0"/>
        <n v="1.0"/>
        <m/>
      </sharedItems>
    </cacheField>
    <cacheField name="Q LMO/año2" numFmtId="0">
      <sharedItems containsString="0" containsBlank="1" containsNumber="1" containsInteger="1">
        <n v="0.0"/>
        <m/>
      </sharedItems>
    </cacheField>
    <cacheField name="Q LPL/año3" numFmtId="0">
      <sharedItems containsString="0" containsBlank="1" containsNumber="1" containsInteger="1">
        <n v="0.0"/>
        <m/>
      </sharedItems>
    </cacheField>
    <cacheField name="Q LAM/año4" numFmtId="0">
      <sharedItems containsString="0" containsBlank="1" containsNumber="1" containsInteger="1">
        <n v="0.0"/>
        <m/>
      </sharedItems>
    </cacheField>
    <cacheField name="Q LR/año5" numFmtId="0">
      <sharedItems containsString="0" containsBlank="1" containsNumber="1" containsInteger="1">
        <n v="0.0"/>
        <m/>
      </sharedItems>
    </cacheField>
    <cacheField name="Q LN/año6" numFmtId="0">
      <sharedItems containsString="0" containsBlank="1" containsNumber="1" containsInteger="1">
        <n v="0.0"/>
        <m/>
      </sharedItems>
    </cacheField>
    <cacheField name="Q LAZ/año7" numFmtId="0">
      <sharedItems containsString="0" containsBlank="1" containsNumber="1" containsInteger="1">
        <n v="0.0"/>
        <m/>
      </sharedItems>
    </cacheField>
    <cacheField name="Q LB/año8" numFmtId="0">
      <sharedItems containsString="0" containsBlank="1" containsNumber="1" containsInteger="1">
        <n v="0.0"/>
        <m/>
      </sharedItems>
    </cacheField>
    <cacheField name="Q LCE/año9" numFmtId="0">
      <sharedItems containsString="0" containsBlank="1" containsNumber="1" containsInteger="1">
        <n v="0.0"/>
        <m/>
      </sharedItems>
    </cacheField>
    <cacheField name="Q LCA/año10" numFmtId="0">
      <sharedItems containsString="0" containsBlank="1" containsNumber="1" containsInteger="1">
        <n v="0.0"/>
        <m/>
      </sharedItems>
    </cacheField>
    <cacheField name="Q LV/año11" numFmtId="0">
      <sharedItems containsString="0" containsBlank="1" containsNumber="1" containsInteger="1">
        <n v="0.0"/>
        <m/>
      </sharedItems>
    </cacheField>
    <cacheField name="Q TRM/año12" numFmtId="0">
      <sharedItems containsString="0" containsBlank="1" containsNumber="1" containsInteger="1">
        <n v="68.0"/>
        <n v="12.0"/>
        <n v="60.0"/>
        <n v="260.0"/>
        <n v="0.0"/>
        <n v="96.0"/>
        <n v="144.0"/>
        <n v="1064.0"/>
        <n v="404.0"/>
        <n v="24.0"/>
        <n v="616.0"/>
        <n v="82.0"/>
        <n v="94.0"/>
        <n v="48.0"/>
        <n v="168.0"/>
        <n v="460.0"/>
        <n v="192.0"/>
        <n v="36.0"/>
        <n v="32.0"/>
        <n v="324.0"/>
        <n v="88.0"/>
        <n v="120.0"/>
        <n v="288.0"/>
        <n v="768.0"/>
        <n v="272.0"/>
        <n v="462.0"/>
        <n v="10.0"/>
        <n v="236.0"/>
        <n v="58.0"/>
        <n v="18.0"/>
        <n v="42.0"/>
        <n v="40.0"/>
        <n v="6.0"/>
        <n v="4.0"/>
        <n v="5.0"/>
        <n v="2.0"/>
        <m/>
      </sharedItems>
    </cacheField>
    <cacheField name="Q 2025" numFmtId="4">
      <sharedItems containsString="0" containsBlank="1" containsNumber="1" containsInteger="1">
        <n v="68.0"/>
        <n v="12.0"/>
        <n v="60.0"/>
        <n v="260.0"/>
        <n v="0.0"/>
        <n v="96.0"/>
        <n v="144.0"/>
        <n v="1064.0"/>
        <n v="404.0"/>
        <n v="24.0"/>
        <n v="616.0"/>
        <n v="82.0"/>
        <n v="94.0"/>
        <n v="48.0"/>
        <n v="168.0"/>
        <n v="460.0"/>
        <n v="192.0"/>
        <n v="36.0"/>
        <n v="32.0"/>
        <n v="324.0"/>
        <n v="88.0"/>
        <n v="120.0"/>
        <n v="288.0"/>
        <n v="768.0"/>
        <n v="272.0"/>
        <n v="462.0"/>
        <n v="10.0"/>
        <n v="236.0"/>
        <n v="58.0"/>
        <n v="18.0"/>
        <n v="42.0"/>
        <n v="40.0"/>
        <n v="6.0"/>
        <n v="50.0"/>
        <n v="2.0"/>
        <m/>
      </sharedItems>
    </cacheField>
    <cacheField name="Q LMO/año3" numFmtId="0">
      <sharedItems containsString="0" containsBlank="1" containsNumber="1" containsInteger="1">
        <n v="0.0"/>
        <m/>
      </sharedItems>
    </cacheField>
    <cacheField name="Q LPL/año4" numFmtId="0">
      <sharedItems containsString="0" containsBlank="1" containsNumber="1" containsInteger="1">
        <n v="0.0"/>
        <m/>
      </sharedItems>
    </cacheField>
    <cacheField name="Q LAM/año5" numFmtId="0">
      <sharedItems containsString="0" containsBlank="1" containsNumber="1" containsInteger="1">
        <n v="0.0"/>
        <m/>
      </sharedItems>
    </cacheField>
    <cacheField name="Q LR/año6" numFmtId="0">
      <sharedItems containsString="0" containsBlank="1" containsNumber="1" containsInteger="1">
        <n v="0.0"/>
        <m/>
      </sharedItems>
    </cacheField>
    <cacheField name="Q LN/año7" numFmtId="0">
      <sharedItems containsString="0" containsBlank="1" containsNumber="1" containsInteger="1">
        <n v="0.0"/>
        <m/>
      </sharedItems>
    </cacheField>
    <cacheField name="Q LAZ/año8" numFmtId="0">
      <sharedItems containsString="0" containsBlank="1" containsNumber="1" containsInteger="1">
        <n v="0.0"/>
        <m/>
      </sharedItems>
    </cacheField>
    <cacheField name="Q LB/año9" numFmtId="0">
      <sharedItems containsString="0" containsBlank="1" containsNumber="1" containsInteger="1">
        <n v="0.0"/>
        <m/>
      </sharedItems>
    </cacheField>
    <cacheField name="Q LCE/año10" numFmtId="0">
      <sharedItems containsString="0" containsBlank="1" containsNumber="1" containsInteger="1">
        <n v="0.0"/>
        <m/>
      </sharedItems>
    </cacheField>
    <cacheField name="Q LCA/año11" numFmtId="0">
      <sharedItems containsString="0" containsBlank="1" containsNumber="1" containsInteger="1">
        <n v="0.0"/>
        <m/>
      </sharedItems>
    </cacheField>
    <cacheField name="Q LV/año12" numFmtId="0">
      <sharedItems containsString="0" containsBlank="1" containsNumber="1" containsInteger="1">
        <n v="0.0"/>
        <m/>
      </sharedItems>
    </cacheField>
    <cacheField name="Q TRM/año13" numFmtId="0">
      <sharedItems containsString="0" containsBlank="1" containsNumber="1" containsInteger="1">
        <n v="136.0"/>
        <n v="40.0"/>
        <n v="166.0"/>
        <n v="240.0"/>
        <n v="0.0"/>
        <n v="320.0"/>
        <n v="140.0"/>
        <n v="1064.0"/>
        <n v="496.0"/>
        <n v="80.0"/>
        <n v="552.0"/>
        <n v="48.0"/>
        <n v="82.0"/>
        <n v="64.0"/>
        <n v="616.0"/>
        <n v="128.0"/>
        <n v="160.0"/>
        <n v="480.0"/>
        <n v="316.0"/>
        <n v="180.0"/>
        <n v="16.0"/>
        <n v="324.0"/>
        <n v="500.0"/>
        <n v="632.0"/>
        <n v="280.0"/>
        <n v="332.0"/>
        <n v="112.0"/>
        <n v="864.0"/>
        <n v="348.0"/>
        <n v="172.0"/>
        <n v="396.0"/>
        <n v="84.0"/>
        <n v="72.0"/>
        <n v="96.0"/>
        <n v="224.0"/>
        <n v="42.0"/>
        <n v="6.0"/>
        <n v="46.0"/>
        <n v="26.0"/>
        <n v="32.0"/>
        <n v="18.0"/>
        <n v="54.0"/>
        <n v="38.0"/>
        <n v="4.0"/>
        <n v="12.0"/>
        <n v="5.0"/>
        <n v="2.0"/>
        <m/>
      </sharedItems>
    </cacheField>
    <cacheField name="Q 2026" numFmtId="4">
      <sharedItems containsString="0" containsBlank="1" containsNumber="1" containsInteger="1">
        <n v="136.0"/>
        <n v="40.0"/>
        <n v="166.0"/>
        <n v="240.0"/>
        <n v="0.0"/>
        <n v="320.0"/>
        <n v="140.0"/>
        <n v="1064.0"/>
        <n v="496.0"/>
        <n v="80.0"/>
        <n v="552.0"/>
        <n v="48.0"/>
        <n v="82.0"/>
        <n v="64.0"/>
        <n v="616.0"/>
        <n v="128.0"/>
        <n v="160.0"/>
        <n v="480.0"/>
        <n v="316.0"/>
        <n v="180.0"/>
        <n v="16.0"/>
        <n v="324.0"/>
        <n v="500.0"/>
        <n v="632.0"/>
        <n v="280.0"/>
        <n v="332.0"/>
        <n v="112.0"/>
        <n v="864.0"/>
        <n v="348.0"/>
        <n v="172.0"/>
        <n v="396.0"/>
        <n v="84.0"/>
        <n v="72.0"/>
        <n v="96.0"/>
        <n v="224.0"/>
        <n v="42.0"/>
        <n v="6.0"/>
        <n v="46.0"/>
        <n v="26.0"/>
        <n v="32.0"/>
        <n v="18.0"/>
        <n v="54.0"/>
        <n v="38.0"/>
        <n v="4.0"/>
        <n v="12.0"/>
        <n v="50.0"/>
        <n v="2.0"/>
        <m/>
      </sharedItems>
    </cacheField>
    <cacheField name="Q Total" numFmtId="4">
      <sharedItems containsString="0" containsBlank="1" containsNumber="1" containsInteger="1">
        <n v="252.0"/>
        <n v="170.0"/>
        <n v="480.0"/>
        <n v="640.0"/>
        <n v="30.0"/>
        <n v="1024.0"/>
        <n v="416.0"/>
        <n v="100.0"/>
        <n v="400.0"/>
        <n v="3032.0"/>
        <n v="1372.0"/>
        <n v="256.0"/>
        <n v="1648.0"/>
        <n v="206.0"/>
        <n v="272.0"/>
        <n v="152.0"/>
        <n v="20.0"/>
        <n v="120.0"/>
        <n v="1800.0"/>
        <n v="4.0"/>
        <n v="224.0"/>
        <n v="1448.0"/>
        <n v="512.0"/>
        <n v="1180.0"/>
        <n v="50.0"/>
        <n v="2.0"/>
        <n v="920.0"/>
        <n v="404.0"/>
        <n v="492.0"/>
        <n v="504.0"/>
        <n v="88.0"/>
        <n v="904.0"/>
        <n v="1044.0"/>
        <n v="1840.0"/>
        <n v="752.0"/>
        <n v="150.0"/>
        <n v="80.0"/>
        <n v="960.0"/>
        <n v="5.0"/>
        <n v="6.0"/>
        <n v="96.0"/>
        <n v="42.0"/>
        <n v="520.0"/>
        <n v="2220.0"/>
        <n v="948.0"/>
        <n v="532.0"/>
        <n v="300.0"/>
        <n v="1218.0"/>
        <n v="264.0"/>
        <n v="324.0"/>
        <n v="112.0"/>
        <n v="572.0"/>
        <n v="142.0"/>
        <n v="128.0"/>
        <n v="32.0"/>
        <n v="162.0"/>
        <n v="92.0"/>
        <n v="64.0"/>
        <n v="86.0"/>
        <n v="174.0"/>
        <n v="114.0"/>
        <n v="54.0"/>
        <n v="56.0"/>
        <n v="10.0"/>
        <n v="12.0"/>
        <n v="1.0"/>
        <n v="0.0"/>
        <m/>
        <n v="39460.0"/>
      </sharedItems>
    </cacheField>
    <cacheField name="P.U. $us." numFmtId="2">
      <sharedItems containsString="0" containsBlank="1" containsNumber="1">
        <n v="0.39"/>
        <n v="0.89"/>
        <n v="3.46"/>
        <n v="7.54"/>
        <n v="2.96"/>
        <n v="4.04"/>
        <n v="0.69"/>
        <n v="1.61"/>
        <n v="4.73"/>
        <n v="1.69"/>
        <n v="2.46"/>
        <n v="0.27"/>
        <n v="6.27"/>
        <n v="1.96"/>
        <n v="9.81"/>
        <n v="8.11"/>
        <n v="17.54"/>
        <n v="153.06"/>
        <n v="87.22"/>
        <n v="1.23"/>
        <n v="11.04"/>
        <n v="7.31"/>
        <n v="9.15"/>
        <n v="16.65"/>
        <n v="784.35"/>
        <n v="4.69"/>
        <n v="3.08"/>
        <n v="25.5"/>
        <n v="47.38"/>
        <n v="2.38"/>
        <n v="100.87"/>
        <n v="111.25"/>
        <n v="120.56"/>
        <n v="131.21"/>
        <n v="141.79"/>
        <n v="15.04"/>
        <n v="9.31"/>
        <n v="401.33"/>
        <n v="317.23"/>
        <n v="38.57"/>
        <n v="156.21"/>
        <n v="225.16"/>
        <n v="53.07"/>
        <n v="72.41"/>
        <n v="54.3"/>
        <n v="62.07"/>
        <n v="28.61"/>
        <n v="3.42"/>
        <n v="58.61"/>
        <n v="0.65"/>
        <n v="3.19"/>
        <n v="124.41"/>
        <n v="2.58"/>
        <n v="2.69"/>
        <n v="4.31"/>
        <n v="2.11"/>
        <n v="2.42"/>
        <n v="17.88"/>
        <n v="14.31"/>
        <n v="2251.0"/>
        <n v="1700.84"/>
        <n v="23.0"/>
        <n v="26.07"/>
        <n v="1.31"/>
        <n v="1.89"/>
        <n v="547.19"/>
        <n v="5.61"/>
        <n v="7.69"/>
        <n v="3.0"/>
        <n v="1.54"/>
        <n v="2.19"/>
        <n v="8.84"/>
        <n v="60.15"/>
        <n v="91.03"/>
        <n v="26.11"/>
        <n v="132.02"/>
        <n v="70.99"/>
        <n v="107.64"/>
        <n v="50.92"/>
        <n v="115.48"/>
        <n v="79.33"/>
        <n v="22.8"/>
        <n v="24.27"/>
        <n v="663.33"/>
        <n v="1116.96"/>
        <n v="985.59"/>
        <n v="763.82"/>
        <n v="728.67"/>
        <n v="549.81"/>
        <n v="1470.72"/>
        <n v="718.44"/>
        <n v="605.49"/>
        <n v="922.87"/>
        <n v="267.89"/>
        <n v="881.38"/>
        <n v="762.51"/>
        <n v="325.03"/>
        <n v="1713.84"/>
        <n v="1200.64"/>
        <n v="1401.81"/>
        <n v="1426.88"/>
        <m/>
      </sharedItems>
    </cacheField>
    <cacheField name="P.U. Bs" numFmtId="4">
      <sharedItems containsString="0" containsBlank="1" containsNumber="1">
        <n v="2.7144"/>
        <n v="6.1944"/>
        <n v="24.081599999999998"/>
        <n v="52.4784"/>
        <n v="20.6016"/>
        <n v="28.1184"/>
        <n v="4.8024"/>
        <n v="11.2056"/>
        <n v="32.9208"/>
        <n v="11.7624"/>
        <n v="17.1216"/>
        <n v="1.8792000000000002"/>
        <n v="43.639199999999995"/>
        <n v="13.6416"/>
        <n v="68.2776"/>
        <n v="56.4456"/>
        <n v="122.07839999999999"/>
        <n v="1065.2976"/>
        <n v="607.0512"/>
        <n v="8.5608"/>
        <n v="76.8384"/>
        <n v="50.877599999999994"/>
        <n v="63.684000000000005"/>
        <n v="115.88399999999999"/>
        <n v="5459.076"/>
        <n v="32.6424"/>
        <n v="21.4368"/>
        <n v="177.48"/>
        <n v="329.76480000000004"/>
        <n v="16.564799999999998"/>
        <n v="702.0552"/>
        <n v="774.3"/>
        <n v="839.0976"/>
        <n v="913.2216000000001"/>
        <n v="986.8584"/>
        <n v="104.6784"/>
        <n v="64.7976"/>
        <n v="2793.2567999999997"/>
        <n v="2207.9208000000003"/>
        <n v="268.4472"/>
        <n v="1087.2216"/>
        <n v="1567.1136"/>
        <n v="369.3672"/>
        <n v="503.9736"/>
        <n v="377.928"/>
        <n v="432.0072"/>
        <n v="199.1256"/>
        <n v="23.8032"/>
        <n v="407.9256"/>
        <n v="4.524"/>
        <n v="22.2024"/>
        <n v="865.8936"/>
        <n v="17.9568"/>
        <n v="18.7224"/>
        <n v="29.9976"/>
        <n v="14.685599999999999"/>
        <n v="16.8432"/>
        <n v="124.44479999999999"/>
        <n v="99.5976"/>
        <n v="15666.96"/>
        <n v="11837.846399999999"/>
        <n v="160.08"/>
        <n v="181.4472"/>
        <n v="9.1176"/>
        <n v="13.154399999999999"/>
        <n v="3808.4424000000004"/>
        <n v="39.0456"/>
        <n v="53.522400000000005"/>
        <n v="20.88"/>
        <n v="10.7184"/>
        <n v="15.2424"/>
        <n v="61.526399999999995"/>
        <n v="418.644"/>
        <n v="633.5688"/>
        <n v="181.7256"/>
        <n v="918.8592000000001"/>
        <n v="494.0904"/>
        <n v="749.1744"/>
        <n v="354.4032"/>
        <n v="803.7408"/>
        <n v="552.1368"/>
        <n v="158.68800000000002"/>
        <n v="168.9192"/>
        <n v="4616.776800000001"/>
        <n v="7774.0416000000005"/>
        <n v="6859.7064"/>
        <n v="5316.1872"/>
        <n v="5071.5432"/>
        <n v="3826.6775999999995"/>
        <n v="10236.2112"/>
        <n v="5000.3424"/>
        <n v="4214.2104"/>
        <n v="6423.1752"/>
        <n v="1864.5143999999998"/>
        <n v="6134.4048"/>
        <n v="5307.0696"/>
        <n v="2262.2088"/>
        <n v="11928.3264"/>
        <n v="8356.4544"/>
        <n v="9756.5976"/>
        <n v="9931.0848"/>
        <m/>
      </sharedItems>
    </cacheField>
    <cacheField name="Bs. 2024" numFmtId="4">
      <sharedItems containsString="0" containsBlank="1" containsNumber="1">
        <n v="130.2912"/>
        <n v="730.9392"/>
        <n v="6116.7264"/>
        <n v="7346.976"/>
        <n v="618.048"/>
        <n v="843.552"/>
        <n v="144.07199999999997"/>
        <n v="336.168"/>
        <n v="987.624"/>
        <n v="7151.539199999999"/>
        <n v="2260.0512"/>
        <n v="187.92000000000002"/>
        <n v="4482.24"/>
        <n v="39449.8368"/>
        <n v="6438.8352"/>
        <n v="2048.3280000000004"/>
        <n v="8579.7312"/>
        <n v="58597.632"/>
        <n v="80962.61760000001"/>
        <n v="58276.9152"/>
        <n v="342.432"/>
        <n v="1536.7679999999998"/>
        <n v="1526.3279999999997"/>
        <n v="7642.080000000001"/>
        <n v="117738.14399999999"/>
        <n v="21836.304"/>
        <n v="0.0"/>
        <n v="6002.304"/>
        <n v="4147.0464"/>
        <n v="26976.96"/>
        <n v="79143.55200000001"/>
        <n v="828.2399999999999"/>
        <n v="1404.1104"/>
        <n v="1548.6"/>
        <n v="1678.1952"/>
        <n v="1826.4432000000002"/>
        <n v="1973.7168"/>
        <n v="31822.2336"/>
        <n v="19698.470400000002"/>
        <n v="782111.9039999999"/>
        <n v="1121623.7664"/>
        <n v="136371.1776"/>
        <n v="234839.86560000002"/>
        <n v="188053.63199999998"/>
        <n v="113765.09760000001"/>
        <n v="20158.944"/>
        <n v="96749.568"/>
        <n v="122690.0448"/>
        <n v="202311.6096"/>
        <n v="9140.4288"/>
        <n v="48135.220799999996"/>
        <n v="1375.296"/>
        <n v="3330.36"/>
        <n v="131615.8272"/>
        <n v="1648.1280000000002"/>
        <n v="1436.544"/>
        <n v="2808.36"/>
        <n v="1499.8799999999999"/>
        <n v="1468.56"/>
        <n v="8556.3456"/>
        <n v="3733.3439999999996"/>
        <n v="2987.928"/>
        <n v="78334.79999999999"/>
        <n v="71027.0784"/>
        <n v="4802.400000000001"/>
        <n v="18144.72"/>
        <n v="552.4848"/>
        <n v="135.72"/>
        <n v="22850.654400000003"/>
        <n v="273.52799999999996"/>
        <n v="4685.472"/>
        <n v="31471.171200000004"/>
        <n v="6848.639999999999"/>
        <n v="514.4832"/>
        <n v="3658.176"/>
        <n v="18457.92"/>
        <n v="150711.84"/>
        <n v="30411.3024"/>
        <n v="1091.328"/>
        <n v="8722.8288"/>
        <n v="2681.8271999999997"/>
        <n v="4375.473599999999"/>
        <n v="139666.59840000002"/>
        <n v="58302.667199999996"/>
        <n v="83907.5328"/>
        <n v="10632.096000000001"/>
        <n v="173608.0128"/>
        <n v="22085.472"/>
        <n v="12695.04"/>
        <n v="13513.536"/>
        <n v="129269.75040000002"/>
        <n v="62192.332800000004"/>
        <n v="329265.9072"/>
        <n v="127588.4928"/>
        <n v="71001.6048"/>
        <n v="122453.68319999998"/>
        <n v="204724.224"/>
        <n v="540036.9792000001"/>
        <n v="294994.728"/>
        <n v="244080.65759999998"/>
        <n v="113110.43999999999"/>
        <n v="11928.3264"/>
        <n v="19513.1952"/>
        <n v="19862.1696"/>
        <m/>
        <n v="7113959.097600001"/>
      </sharedItems>
    </cacheField>
    <cacheField name="Bs. 2025" numFmtId="4">
      <sharedItems containsString="0" containsBlank="1" containsNumber="1">
        <n v="184.5792"/>
        <n v="74.33279999999999"/>
        <n v="1444.896"/>
        <n v="13644.384"/>
        <n v="0.0"/>
        <n v="1129.1904"/>
        <n v="2465.5104"/>
        <n v="46432.108799999995"/>
        <n v="5511.2064"/>
        <n v="1354.6943999999999"/>
        <n v="75200.2944"/>
        <n v="87354.40320000002"/>
        <n v="57062.8128"/>
        <n v="410.9184"/>
        <n v="19468.512"/>
        <n v="3133.6704"/>
        <n v="13205.068800000001"/>
        <n v="654.7968000000001"/>
        <n v="4259.5199999999995"/>
        <n v="151691.80800000002"/>
        <n v="5024.5632"/>
        <n v="3110.2848000000004"/>
        <n v="1720646.1888"/>
        <n v="211960.39680000005"/>
        <n v="25770.9312"/>
        <n v="52186.63680000001"/>
        <n v="300885.8112"/>
        <n v="13297.219200000001"/>
        <n v="16127.1552"/>
        <n v="122448.672"/>
        <n v="112321.872"/>
        <n v="38232.1152"/>
        <n v="2094.6816"/>
        <n v="4895.1071999999995"/>
        <n v="217.152"/>
        <n v="20781.4464"/>
        <n v="2021.184"/>
        <n v="437.6448"/>
        <n v="11245.1328"/>
        <n v="41105.2032"/>
        <n v="5679.36"/>
        <n v="728.8512000000001"/>
        <n v="1829.088"/>
        <n v="193413.528"/>
        <n v="76028.256"/>
        <n v="26168.486399999998"/>
        <n v="508.77599999999995"/>
        <n v="22052.620800000004"/>
        <n v="5929.0848"/>
        <n v="176805.1584"/>
        <n v="38579.5584"/>
        <n v="33128.208"/>
        <n v="267773.0544"/>
        <n v="139932.7488"/>
        <n v="466460.0352"/>
        <n v="223279.8624"/>
        <n v="91287.7776"/>
        <n v="409448.448"/>
        <n v="60004.1088"/>
        <n v="25285.2624"/>
        <n v="44748.34559999999"/>
        <n v="36806.4288"/>
        <n v="113110.43999999999"/>
        <n v="19513.1952"/>
        <n v="19862.1696"/>
        <m/>
        <n v="5687854.958399997"/>
      </sharedItems>
    </cacheField>
    <cacheField name="Bs. 2026" numFmtId="4">
      <sharedItems containsString="0" containsBlank="1" containsNumber="1">
        <n v="369.1584"/>
        <n v="247.776"/>
        <n v="3997.5455999999995"/>
        <n v="12594.816"/>
        <n v="0.0"/>
        <n v="3763.968"/>
        <n v="2397.0240000000003"/>
        <n v="46432.108799999995"/>
        <n v="6766.2336000000005"/>
        <n v="4515.648"/>
        <n v="67387.27679999999"/>
        <n v="51134.28480000001"/>
        <n v="49778.1984"/>
        <n v="547.8912"/>
        <n v="71384.544"/>
        <n v="4178.2272"/>
        <n v="11833.1136"/>
        <n v="2182.656"/>
        <n v="14198.4"/>
        <n v="158287.10400000002"/>
        <n v="16748.543999999998"/>
        <n v="10367.616"/>
        <n v="1541877.7535999997"/>
        <n v="697702.9728000001"/>
        <n v="84829.3152"/>
        <n v="152211.024"/>
        <n v="282080.448"/>
        <n v="59098.75200000001"/>
        <n v="8063.5776"/>
        <n v="122448.672"/>
        <n v="216003.6"/>
        <n v="125847.3792"/>
        <n v="6664.896"/>
        <n v="16317.024"/>
        <n v="723.84"/>
        <n v="69271.488"/>
        <n v="5591.9424"/>
        <n v="437.6448"/>
        <n v="4373.1072"/>
        <n v="46243.3536"/>
        <n v="7266.24"/>
        <n v="1457.7024000000001"/>
        <n v="2621.6928"/>
        <n v="165783.024"/>
        <n v="53219.779200000004"/>
        <n v="13084.243199999999"/>
        <n v="1129.1904"/>
        <n v="814.0415999999999"/>
        <n v="73508.736"/>
        <n v="19763.615999999998"/>
        <n v="167815.0656"/>
        <n v="112523.712"/>
        <n v="23189.7456"/>
        <n v="193904.62560000003"/>
        <n v="46644.2496"/>
        <n v="315546.4944"/>
        <n v="138220.8672"/>
        <n v="162289.3824"/>
        <n v="68880.19679999999"/>
        <n v="266141.4912"/>
        <n v="270018.48960000003"/>
        <n v="160139.9952"/>
        <n v="102770.8032"/>
        <n v="59664.46079999999"/>
        <n v="24537.6192"/>
        <n v="63684.8352"/>
        <n v="113110.43999999999"/>
        <n v="19513.1952"/>
        <n v="19862.1696"/>
        <m/>
        <n v="6646005.0287999995"/>
      </sharedItems>
    </cacheField>
    <cacheField name="Bs. Total" numFmtId="4">
      <sharedItems containsString="0" containsBlank="1" containsNumber="1">
        <n v="684.0288"/>
        <n v="1053.048"/>
        <n v="11559.167999999998"/>
        <n v="33586.176"/>
        <n v="618.048"/>
        <n v="843.552"/>
        <n v="144.07199999999997"/>
        <n v="336.168"/>
        <n v="987.624"/>
        <n v="12044.6976"/>
        <n v="7122.5856"/>
        <n v="187.92000000000002"/>
        <n v="4482.24"/>
        <n v="132314.0544"/>
        <n v="18716.2752"/>
        <n v="2048.3280000000004"/>
        <n v="14450.0736"/>
        <n v="201185.2032"/>
        <n v="219451.30560000002"/>
        <n v="165117.9264"/>
        <n v="1301.2416"/>
        <n v="1536.7679999999998"/>
        <n v="1526.3279999999997"/>
        <n v="7642.080000000001"/>
        <n v="208591.19999999998"/>
        <n v="21836.304"/>
        <n v="7311.8976"/>
        <n v="31040.4864"/>
        <n v="6984.4992"/>
        <n v="45434.88"/>
        <n v="389122.46400000004"/>
        <n v="828.2399999999999"/>
        <n v="1404.1104"/>
        <n v="1548.6"/>
        <n v="1678.1952"/>
        <n v="1826.4432000000002"/>
        <n v="1973.7168"/>
        <n v="53595.34079999999"/>
        <n v="33176.3712"/>
        <n v="4044635.846399999"/>
        <n v="2031287.1360000002"/>
        <n v="246971.424"/>
        <n v="439237.5264"/>
        <n v="771019.8912"/>
        <n v="186161.0688"/>
        <n v="44349.676799999994"/>
        <n v="341646.912"/>
        <n v="451015.5168"/>
        <n v="366391.104"/>
        <n v="17900.0064"/>
        <n v="69347.352"/>
        <n v="2316.288"/>
        <n v="3330.36"/>
        <n v="221668.76160000003"/>
        <n v="1648.1280000000002"/>
        <n v="1436.544"/>
        <n v="2808.36"/>
        <n v="1499.8799999999999"/>
        <n v="1468.56"/>
        <n v="16169.472"/>
        <n v="3733.3439999999996"/>
        <n v="2987.928"/>
        <n v="78334.79999999999"/>
        <n v="71027.0784"/>
        <n v="4802.400000000001"/>
        <n v="18144.72"/>
        <n v="875.2896"/>
        <n v="552.4848"/>
        <n v="135.72"/>
        <n v="22850.654400000003"/>
        <n v="273.52799999999996"/>
        <n v="20303.712"/>
        <n v="118819.728"/>
        <n v="19794.239999999998"/>
        <n v="2701.0368000000003"/>
        <n v="8108.9568"/>
        <n v="18457.92"/>
        <n v="509908.392"/>
        <n v="159659.3376"/>
        <n v="1091.328"/>
        <n v="47975.558399999994"/>
        <n v="3811.0175999999997"/>
        <n v="5698.291199999999"/>
        <n v="235227.95520000003"/>
        <n v="83995.36799999999"/>
        <n v="428527.7568"/>
        <n v="10632.096000000001"/>
        <n v="324711.2832"/>
        <n v="78403.4256"/>
        <n v="12695.04"/>
        <n v="13513.536"/>
        <n v="590947.4304000001"/>
        <n v="248769.33120000002"/>
        <n v="1111272.4368"/>
        <n v="489089.22239999997"/>
        <n v="324578.7648"/>
        <n v="191333.87999999998"/>
        <n v="880314.1632000001"/>
        <n v="870059.5776000002"/>
        <n v="480419.9856"/>
        <n v="346851.4608"/>
        <n v="104412.80639999999"/>
        <n v="61344.048"/>
        <n v="63684.8352"/>
        <n v="339331.31999999995"/>
        <n v="11928.3264"/>
        <n v="0.0"/>
        <n v="58539.58559999999"/>
        <n v="59586.5088"/>
        <m/>
        <n v="1.944781908480001E7"/>
      </sharedItems>
    </cacheField>
    <cacheField name="Observaciones" numFmtId="0">
      <sharedItems containsString="0" containsBlank="1"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3:DV297" sheet="No Recurrentes 24-26"/>
  </cacheSource>
  <cacheFields>
    <cacheField name="Ubicación" numFmtId="0">
      <sharedItems>
        <s v="Estación"/>
        <s v="Torre"/>
        <s v="Vehiculo"/>
        <s v="Generador_Auxiliar"/>
        <s v="Torres"/>
      </sharedItems>
    </cacheField>
    <cacheField name="Tipo de trabajo" numFmtId="0">
      <sharedItems>
        <s v="Apoyos de par transportador de vehiculos "/>
        <s v="Cambio de amortiguadores"/>
        <s v="Cambio de baterías "/>
        <s v="Dinamo y polea impulsos"/>
        <s v="Estructura"/>
        <s v="Herramienta Cable"/>
        <s v="Lubricacion"/>
        <s v="Mantenimiento Cadenas Transportadoras"/>
        <s v="Mantenimiento de Embragues"/>
        <s v="Mantenimiento Grupos Electrógenos"/>
        <s v="Manto. Agujas"/>
        <s v="Manto. Eléctrico"/>
        <s v="Manto. Forros de frenos"/>
        <s v="Manto. gral. Cabina"/>
        <s v="Manto. Hidraulico"/>
        <s v="Manto. Motores y reductores"/>
        <s v="Manto. Pinza"/>
        <s v="Repuestos Electricos Reposicion Torres"/>
        <s v="Manto. Transmisión Tren de Ruedas"/>
      </sharedItems>
    </cacheField>
    <cacheField name="Tipo de Bien" numFmtId="0">
      <sharedItems>
        <s v="Lubricante"/>
        <s v="Repuesto Mecánico"/>
        <s v="Repuesto Eléctrico"/>
        <s v="Herramienta"/>
        <s v="Manto. Eléctrico"/>
        <s v="Repuesto Hidráulico"/>
        <s v="Insumo mecánico"/>
        <s v="Repuesto Electrico "/>
      </sharedItems>
    </cacheField>
    <cacheField name="TDB/LOCAL" numFmtId="0">
      <sharedItems>
        <s v="TDB"/>
        <s v="LOCAL"/>
      </sharedItems>
    </cacheField>
    <cacheField name="Partida" numFmtId="49">
      <sharedItems>
        <s v="34110"/>
        <s v="39800"/>
        <s v="39700"/>
        <s v="34800"/>
        <s v="34200"/>
      </sharedItems>
    </cacheField>
    <cacheField name="ID TDB o ID Almacén" numFmtId="0">
      <sharedItems containsBlank="1">
        <m/>
        <s v="2-01-01265"/>
        <s v="2-02-00107"/>
        <s v="2-01-00567"/>
        <s v="2-01-00636"/>
        <s v="2-02-00050"/>
        <s v="2-02-00599"/>
        <s v="2-01-00289"/>
        <s v="2-01-00086"/>
        <s v="2-01-00085"/>
        <s v="2-01-00037"/>
        <s v="2-01-01049"/>
        <s v="2-01-00416"/>
        <s v="2-01-00264"/>
        <s v="2-01-00849"/>
        <s v="2-01-00835"/>
        <s v="1-05-00042"/>
        <s v="2-01-00650"/>
        <s v="1-01-00300"/>
        <s v="2-01-00103"/>
        <s v="2-01-00104"/>
        <s v="2-01-00217"/>
        <s v="2-01-00102"/>
        <s v="2-01-00844"/>
        <s v="2-01-00185"/>
        <s v="2-01-00024"/>
        <s v="2-01-00008"/>
        <s v="2-01-00100"/>
        <s v="2-01-00183"/>
        <s v="2-01-00178"/>
        <s v="2-01-00744"/>
        <s v="2-01-00855"/>
        <s v="2-01-00184"/>
        <s v="2-01-00060"/>
        <s v="2-01-00847"/>
        <s v="2-01-00741"/>
        <s v="2-01-00569"/>
        <s v="3-03-00001"/>
        <s v="2-01-00740"/>
        <s v="2-01-00934"/>
        <s v="2-02-00122"/>
        <s v="2-02-00674"/>
        <s v="2-01-00857"/>
        <s v="2-01-00243"/>
        <s v="2-02-00136"/>
        <s v="2-02-00666"/>
        <s v="2-02-00694"/>
        <s v="2-01-00691"/>
        <s v="2-01-00122"/>
        <s v="2-02-00180"/>
        <s v="2-06-00018"/>
        <s v="2-06-00029"/>
        <s v="2-02-00672"/>
        <s v="2-02-00152"/>
        <s v="2-06-00028"/>
        <s v="2-02-00616"/>
        <s v="2-02-00640"/>
        <s v="2-02-00633"/>
        <s v="2-06-00026"/>
        <s v="2-02-00385"/>
        <s v="2-02-00603"/>
        <s v="2-02-00036"/>
        <s v="2-02-00106"/>
        <s v="2-02-00006"/>
        <s v="2-02-00007"/>
        <s v="2-02-00028"/>
        <s v="2-02-00149"/>
        <s v="2-02-00161"/>
        <s v="2-02-00150"/>
        <s v="2-02-00388"/>
        <s v="2-02-00003"/>
        <s v="2-02-00379"/>
        <s v="2-02-00177"/>
        <s v="2-02-00380"/>
        <s v="2-02-00001"/>
        <s v="2-02-00030"/>
        <s v="2-02-00023"/>
        <s v="2-06-00039"/>
        <s v="2-02-00024"/>
        <s v="2-02-00372"/>
        <s v="2-02-00169"/>
        <s v="2-02-00025"/>
        <s v="2-02-00026"/>
        <s v="2-02-00193"/>
        <s v="2-02-00040"/>
        <s v="2-01-00211"/>
        <s v="2-02-00190"/>
        <s v="2-02-00100"/>
        <s v="2-02-00099"/>
        <s v="2-04-00009"/>
        <s v="2-01-00553"/>
        <s v="2-01-00222"/>
        <s v="2-01-00425"/>
        <s v="2-02-00653"/>
        <s v="2-01-00634"/>
        <s v="2-01-00225"/>
        <s v="2-02-00598"/>
        <s v="2-01-00486"/>
        <s v="2-01-00115"/>
        <s v="2-01-00654"/>
        <s v="2-01-00866"/>
        <s v="2-01-00645"/>
        <s v="TDB00098"/>
        <s v="2-01-00116"/>
        <s v="2-01-00287"/>
        <s v="2-02-00384"/>
        <s v="2-01-00878"/>
        <s v="TDB00089"/>
        <s v="TDB00096"/>
        <s v="2-04-00118"/>
        <s v="2-04-00003"/>
        <s v="2-01-00568"/>
        <s v="2-01-00234"/>
        <s v="2-04-00017"/>
        <s v="2-01-00577"/>
        <s v="2-01-00576"/>
        <s v="2-01-00432"/>
        <s v="2-04-00090"/>
        <s v="2-01-00578"/>
        <s v="2-01-00345"/>
        <s v="2-04-00053"/>
        <s v="2-01-00172"/>
        <s v="2-01-00240"/>
        <s v="2-04-00006"/>
        <s v="2-04-00066"/>
        <s v="2-04-00065"/>
        <s v="2-01-00402"/>
        <s v="2-01-00405"/>
        <s v="2-01-00424"/>
        <s v="2-01-00401"/>
        <s v="2-01-00404"/>
        <s v="2-01-00400"/>
        <s v="2-01-00935"/>
        <s v="3-01-00022"/>
        <s v="2-01-01138"/>
        <s v="2-01-00563"/>
        <s v="2-01-00562"/>
        <s v="2-01-00812"/>
        <s v="2-01-01140"/>
        <s v="2-01-00958"/>
        <s v="2-01-01144"/>
        <s v="2-01-00828"/>
        <s v="2-01-00988"/>
        <s v="2-01-00827"/>
        <s v="6-01-00211"/>
        <s v="2-01-00686"/>
        <s v="2-01-00297"/>
        <s v="2-01-00075"/>
        <s v="2-01-00096"/>
        <s v="2-01-00052"/>
        <s v="2-01-00123"/>
        <s v="2-02-00279"/>
        <s v="2-01-00420"/>
        <s v="2-01-00018"/>
        <s v="2-01-00118"/>
        <s v="2-01-00029"/>
        <s v="2-01-00419"/>
        <s v="2-01-00876"/>
        <s v="2-01-00353"/>
        <s v="2-01-00363"/>
        <s v="2-01-00021"/>
        <s v="2-01-00284"/>
        <s v="2-01-00192"/>
        <s v="2-01-00282"/>
        <s v="2-01-00023"/>
        <s v="2-01-00286"/>
        <s v="2-01-00351"/>
        <s v="2-01-00349"/>
        <s v="2-01-00348"/>
        <s v="Nuevo"/>
        <s v="2-01-00019"/>
        <s v="2-01-00874"/>
        <s v="2-01-00442"/>
        <s v="2-01-00002"/>
        <s v="2-01-00038"/>
        <s v="2-01-00003"/>
        <s v="2-01-00595"/>
        <s v="2-01-00101"/>
        <s v="2-01-00232"/>
        <s v="1-01-00763"/>
        <s v="2-01-00233"/>
        <s v="2-01-00004"/>
        <s v="2-01-00001"/>
        <s v="2-01-00009"/>
        <s v="2-01-00275"/>
        <s v="2-01-00701"/>
        <s v="2-01-00840"/>
        <s v="2-01-00298"/>
        <s v="2-01-00179"/>
        <s v="2-01-00399"/>
        <s v="1-01-00034"/>
        <s v="1-08-00038"/>
      </sharedItems>
    </cacheField>
    <cacheField name="ID Cotizado">
      <sharedItems containsBlank="1" containsMixedTypes="1" containsNumber="1" containsInteger="1">
        <n v="1.2157993E7"/>
        <n v="1.1805532E7"/>
        <m/>
        <s v="10011103"/>
        <s v="10363851"/>
        <s v="10317357"/>
        <s v="10607522"/>
        <s v="10031327"/>
        <s v="10876923"/>
        <s v="10083913"/>
        <s v="10134472"/>
        <s v="10420184"/>
        <s v="10012363"/>
        <s v="10986283"/>
        <s v="10030309"/>
        <s v="10075740"/>
        <s v="10312021"/>
        <s v="10752990"/>
        <s v="10004462"/>
        <s v="10006287"/>
        <s v="10108623"/>
        <s v="10863213"/>
        <s v="11825539"/>
        <s v="10863210"/>
        <s v="10863212"/>
        <s v="10895074"/>
        <s v="10999021"/>
        <s v="10942167"/>
        <s v="10589800"/>
        <s v="10014917"/>
        <s v="10022092"/>
        <s v="10591867"/>
        <s v="10286649"/>
        <s v="10000080"/>
        <s v="11459709"/>
        <s v="10014372"/>
        <s v="10000079"/>
        <s v="10510139"/>
        <s v="10405979"/>
        <s v="10871603"/>
        <s v="10001135"/>
        <s v="10396893"/>
        <s v="10872356"/>
        <s v="10022477"/>
        <s v="10182666"/>
        <s v="10000077"/>
        <s v="11424318"/>
        <s v="10001205"/>
        <s v="10001861"/>
        <s v="10000029"/>
        <s v="10000078"/>
        <n v="1.0001201E7"/>
        <n v="1.0541941E7"/>
        <s v="11311021"/>
        <s v="11319201"/>
        <s v="11319448"/>
        <s v="10004713"/>
        <s v="10874437"/>
        <s v="11423011"/>
        <s v="10001273"/>
        <s v="11318364"/>
        <s v="11440603"/>
        <s v="10001177"/>
        <s v="10001175"/>
        <n v="1.0966162E7"/>
        <n v="1.1651921E7"/>
        <s v="10781147"/>
        <s v="10781148"/>
        <s v="10239621"/>
        <s v="10004076"/>
        <s v="11308584"/>
        <s v="10291787"/>
        <s v="10773993"/>
        <s v="11648751"/>
        <s v="11518384"/>
        <s v="11416872"/>
        <s v="10320444"/>
        <s v="10763651"/>
        <s v="11154982"/>
        <s v="12020753"/>
        <s v="11822382"/>
        <s v="10370624"/>
        <s v="10299843"/>
        <s v="10040024"/>
        <s v="11131578"/>
        <s v="10355572"/>
        <s v="10059696"/>
        <s v="10449062"/>
        <s v="10755957"/>
        <s v="10191058"/>
        <s v="10894070"/>
        <s v="10479904"/>
        <s v="10059482"/>
        <s v="11867392"/>
        <s v="10763604"/>
        <s v="11174868"/>
        <s v="11174869"/>
        <s v="10756000"/>
        <s v="10755946"/>
        <s v="10169784"/>
        <s v="10269267"/>
        <s v="10257510"/>
        <s v="10169788"/>
        <s v="11142261"/>
        <s v="11518383"/>
        <s v="11525688"/>
        <n v="1.2046649E7"/>
        <s v="10593193"/>
        <s v="10763595"/>
        <s v="11867163"/>
        <s v="11536054"/>
        <s v="11100172"/>
        <s v="10848411"/>
        <s v="10755953"/>
        <s v="11536046"/>
        <s v="10763588"/>
        <s v="11131929"/>
        <s v="11435529"/>
        <s v="10755956"/>
        <s v="10753716"/>
        <s v="10755941"/>
        <s v="10059382"/>
        <s v="10755943"/>
        <s v="10755939"/>
        <n v="1.1176987E7"/>
        <s v="10821130"/>
        <s v="10755944"/>
        <s v="10755945"/>
        <s v="10124176"/>
        <s v="10414546"/>
        <s v="11174925"/>
        <n v="1.0274814E7"/>
        <s v="10026293"/>
        <s v="11320520"/>
        <s v="11884484"/>
        <s v="10123834"/>
        <s v="10124175"/>
        <s v="10109100"/>
        <s v="11439227"/>
        <s v="11246907"/>
        <s v="10020270"/>
        <s v="10450482"/>
        <n v="0.0"/>
        <s v="11673191"/>
        <s v="11101309"/>
        <n v="1.076544E7"/>
        <s v="90-041648"/>
        <s v="11876051"/>
        <s v="11808104"/>
        <s v="11157571"/>
        <s v="11001896"/>
        <s v="11129582"/>
        <s v="10752724"/>
        <s v="11412554"/>
        <s v="90-083786"/>
        <n v="1.0631452E7"/>
        <s v="11101307"/>
        <n v="1.110585E7"/>
        <n v="1.1536859E7"/>
        <s v="11672779"/>
        <s v="90-083788"/>
        <s v="90-083828"/>
        <s v="110049475"/>
        <s v="11-000505"/>
        <s v="90-035037"/>
        <n v="1.1416549E7"/>
        <s v="10690825"/>
        <s v="11139369"/>
        <s v="11412221"/>
        <s v="10311398"/>
        <s v="10397941"/>
        <s v="11160476"/>
        <s v="11247815"/>
        <s v="11247961"/>
        <s v="10261450"/>
        <s v="11668572"/>
        <s v="11780604"/>
        <s v="11430646"/>
        <s v="11405441"/>
        <s v="11247814"/>
        <s v="11247090"/>
        <s v="11402505"/>
        <s v="10661660"/>
        <s v="11668565"/>
        <s v="11247093"/>
        <s v="10494432"/>
        <s v="10149444"/>
        <s v="11797138"/>
        <s v="10302502"/>
        <s v="10966111"/>
        <s v="11430674"/>
        <s v="10007252"/>
        <s v="10966166"/>
        <s v="10691338"/>
        <s v="10966162"/>
        <s v="10034666"/>
        <s v="10302503"/>
        <s v="11314853"/>
        <s v="10688026"/>
        <s v="11324514"/>
        <s v="10004575"/>
        <s v="10032632"/>
        <s v="10001167"/>
        <n v="1.1138884E7"/>
        <n v="1.1424859E7"/>
        <s v="10536915"/>
        <n v="1.1879327E7"/>
        <s v="12047873"/>
        <s v="11420014"/>
        <s v="11420025"/>
        <s v="11420022"/>
        <s v="11420011"/>
        <s v="10441667"/>
        <s v="11355248"/>
        <s v="10591180"/>
        <s v="10488429"/>
        <s v="10274719"/>
        <s v="11531396"/>
        <s v="10488425"/>
        <s v="10709660"/>
        <s v="12006672"/>
        <s v="10274054"/>
        <s v="10628260"/>
        <s v="10625658"/>
        <s v="10488427"/>
        <s v="12023240"/>
        <s v="10274056"/>
        <s v="10274057"/>
        <s v="10274052"/>
        <s v="10083923"/>
        <s v="10687475"/>
        <s v="10488431"/>
        <s v="11304628"/>
        <s v="10292406"/>
        <s v="10001860"/>
        <s v="11125072"/>
        <n v="1.0488571E7"/>
        <n v="1.1982756E7"/>
        <n v="1.0488086E7"/>
        <s v="10506622"/>
        <s v="10686566"/>
        <s v="10275085"/>
        <s v="10309716"/>
        <s v="10082482"/>
        <s v="10217238"/>
        <s v="10004079"/>
        <s v="10745857"/>
        <s v="12008364"/>
        <s v="10360353"/>
        <s v="10745855"/>
        <s v="10388513"/>
        <s v="10241558"/>
        <s v="10319011"/>
        <s v="10388509"/>
        <s v="10567647"/>
        <s v="10873673"/>
        <s v="10653936"/>
        <s v="10000398"/>
        <s v="10000083"/>
        <n v="1.0413477E7"/>
        <s v="10689732"/>
      </sharedItems>
    </cacheField>
    <cacheField name="Descripción del Bien" numFmtId="0">
      <sharedItems>
        <s v="Aceite lubricantes ISO220 (GETRIEBEOEL  ALPHASYN EP 220   FASS ZU A 208,0LTR     CASTROL)"/>
        <s v="AMORTIGUADOR TOURING EM835002 (AMORTIGUADOR TURING 316 975 Nº PEDIDO: 81 4901 003 608)"/>
        <s v="BATERIA PARA SISTEMA LOOP 21 EN CABINAS 12V 55 Ah (22,3x10x27,3) (DISP.DE COMUNICACIÓN P. CABINA SEG. OFERTA 1603 HOLZKNECHT)"/>
        <s v="DÍNAMO TACOM.REO444 R1B 0,06EG JT-IP56 CON MAX.10000RPM-0,18A"/>
        <s v="POLEA +COJIN. P.POL.CONT.DIA29 PARA POLEA CONTADORA"/>
        <s v="ARO DE GOMA  290X44 SIN RANURA PARA POLEA"/>
        <s v="BULÓN DIA.30 H8 - L= 120       PARA POLEA CONTADORA"/>
        <s v="ESCOBILLA STAND. 31-41-EG 600V P. DÍNAMO TACOM. REO 444 R"/>
        <s v="ESCOBILLA DE CARBÓN 5/4/8.5 P. TACOM. HUEBNER Nº ID 10875889"/>
        <s v="CASQUILLO PM 3030 DS  TIPO: KW SIN AGUJ.DE ENGRASE    GLACIER"/>
        <s v="RODAM.R.B. DIN 625/1- 6008-2RS RODAMIENTO RANURADO DE BOLAS"/>
        <s v="ROD.RB DIN625/1-6204-2RS1-C3LT VT210  TTF90% +/-5% RODAM.RAN."/>
        <s v="ARO DE GOMA  254X44 SIN RANURA "/>
        <s v="RESORTE DE COMPRESIÓN D=7,50/DIÁ=47,5/AG=94,0 IF=4,95 DIN2095"/>
        <s v="BULÓN DIA.19,9 LN 127 M16      PARA POLEA DE PRESIÓN TIPO 0/A"/>
        <s v="ARANDELA DIST. DM 46,6/20 S=10 P.POLEA TIPO OE/A"/>
        <s v="TUERCA AUTOBLOC. BILOC - 8 M16 GALVAN.           WOLTERS GMBH"/>
        <s v="NIPLE ENGRASE M10X1 H1 RES.RESF. NIPLE CÓNICO DE ENGRASE 0°"/>
        <s v="NIPLE ENGRASE B  M10X1 DIN71412 RACOR CÓNICO ENGRASE 45 GRAD"/>
        <s v="RES.C. A=1,00/DIA.7,0/LSC=20,0 EE=  7,5; RES.DE COMPR.DIN2095"/>
        <s v="LEVANTACABLE P.CON.POL.DEFL.F. P.POLEAS D.APOYO EN AMBOS LAD."/>
        <s v="CEPILLO P. LUBRCAR PERMA 40X30 G1/4I, A101397"/>
        <s v="MANGUERA PTFE      6,00 / 8,00 COLOR: NATURAL"/>
        <s v="VÁLVULA DE RETENCIÓN DE ACEITE PERMA         A 104862"/>
        <s v="EMPALME DE MANGUERA PERMA G1/4A                     A104822"/>
        <s v="REDUCTOR PERMA M6                                    A 104837"/>
        <s v="RODILLO DE PLÁSTICO DIÁ. 80/ 17   B= 50"/>
        <s v="ACHSE   DM 14.8 LG  80                                    GVZ"/>
        <s v="POLEA DIÁ.47/12,0  B=20,0 PARA CADENA TRANSPORTADORA 4&quot;"/>
        <s v="POLEA DIA. 30/ 6,2  A= 20,0    PARA CADENA TRANSPORTADORA"/>
        <s v="RODAM.R.BOL.DIN625/1- 6016-2RS RODAMIENTO RANURADO DE BOLAS"/>
        <s v="DI-BU    DM  20,0/ 12.5 L=  16 "/>
        <s v="EMPUJADOR P.CAD.TRANSP.148X203 S=13,5 TRANSF.CORTA, C. CASQU."/>
        <s v="TUERCA HEXAGONAL DIN 985-8 M12, GALVANIZADA (C.ELEM.DE FIJ.)"/>
        <s v="ESLABÓN P. CADENA TRANSP. 2&quot;X17,02 DISTANCIA 8X2&quot;"/>
        <s v="RESORTE TORS.2,00X19,0/15,0X10 DIN 2088"/>
        <s v="TUERCA HEXAG. DIN 985-8 M10 ELECTROGALV. (C.ELEM.DE FIJAC.)"/>
        <s v="TORNILLO ISO 4014-8.8 M8X130 GALV. TORN. HEXAG."/>
        <s v="UÑA - CADENA P.TRANSP. 165X155 S=19   D=10,0"/>
        <s v="ARANDELA ISO 7089 M12 300AR FLZNNC-720H-L LAM.CINC SIN BISEL"/>
        <s v="TORNILLO DIN 931-8.8 M6X35, TORN.HEX., GALVAN. (ISO 4014)"/>
        <s v="RESORTE T.2,20X18,0/14,0X 10   DIN 2088"/>
        <s v="ARANDELA DIN 7349-8,4 300HV, FLZNNC-720H-L, REV.ZINC LAM. S.B"/>
        <s v="ARANDELA AJ. DIN988 12X 18X1,0 BRILLANTE, ACEITADO"/>
        <s v="SOPORTE DE POLEA P. CADENA TRANSP."/>
        <s v="TUERCA HEXAG. DIN 985- 8 M 6 GALVAN. (CON PIEZA DE APRIETE)"/>
        <s v="ARANDELA ISO 7089 M10 300HV GALV.P.INM.CAL. SIN BISEL"/>
        <s v="TORNILLO ISO 4014-8.8 M10X90 GALVAN. TORN. HEXAG."/>
        <s v="TORNILLO ISO 4017-8.8 M8X25, TORN. HEXAG., GALVANIZADO"/>
        <s v="TUERCA HEX. ISO 4032-8 M8 GALVANIZADA"/>
        <s v="TUERCA HEXAG. DIN 985- 8 M 8  GALVANIZ. (CON PIEZA DE APRIETE"/>
        <s v="TORNILLO ISO 8.8 M10X75"/>
        <s v="SPRAY PARA CADENA TRANSPORTADORA 2&quot;/4&quot; 0.4L PARA PARKING, CADENA RENOLD"/>
        <s v="AUSSENKOERPER 522.26     ART.NR. 676433           MOENNINGHOF"/>
        <s v="MAGNETTEIL 522.26-SO                             MOENNINGHOFF"/>
        <s v="LAMELLENPAKET  TYP 521/522.26                    MOENNINGHOFF"/>
        <s v="ANILLO &quot;V&quot; V 250 L             "/>
        <s v="V-RING  V 220 L"/>
        <s v="TORNILLO ISO 4762-8.8 M16X35 FLZNNC-480H-L;CIL. REB.LAM.ZN"/>
        <s v="TORNILLO ISO 4762 8.8 M 8X40    CILINDRICO, GALVAN."/>
        <s v="VERSCHLUSST.   GPN 900  A13,5  KAPSTO"/>
        <s v="SHR ISO 4762- 8.8 M 4X 10  GVZ  ZYL-SHR, GALV.VERZINKT"/>
        <s v="SHR ISO 4762- 8.8 M 5X 12  GVZ  ZYL-SHR, GALV.VERZINKT"/>
        <s v="TORNILLO ISO 4762- 8.8 M 5X 10 DE CABEZA CILINDRICA, GALVAN."/>
        <s v="MANGUERA AP AN10-2SC L=1400MM     DKOL-12/DKOL-12"/>
        <s v="AcOPLAM.DE FRENO A353/B293 500NM-08"/>
        <s v="BATERIA 950 CCA 850A 90AH"/>
        <s v="PRECALENTADOR VOLTAGE ON VOLTAJE 230/240 VATAJE 1500VATTIOS"/>
        <s v="PRECALENTADOR DE 1000 W 240 V MOD LR 1843 (MOTOR TERMICO)"/>
        <s v="RIEL DE ENLACE RECTO PASO SOLD. SD PIEZA SOLDADA"/>
        <s v="CARRIL DE CONEXIÓN RECTO CONEX. SOLD. IE PZA SOLDADA"/>
        <s v="JUNTA CARD.A RÓT. TS ATL/BSA 25 R.EXT.=M12X1,75"/>
        <s v="RODAM.RAN. DIN 625/1- 6305-2RS RODAMIENTO RANURADO DE BOLAS"/>
        <s v="TORNILLO ISO 4017-8.8U M16X80 GIC TORN. HEXAG."/>
        <s v="TORNILLO ISO 4017- 8.8U M12X 50 HEXAG. GALVAN.INM.CALIENTE"/>
        <s v="UNID.DE PR.CENTR.DM MOD.FS CPU PROGRAMADA"/>
        <s v="CONTACTOR  AF305-30-22-13      1SFL587002R1322        ABB"/>
        <s v="BATERIA A GEL DE 12 VOLTIOS - 100 AMPERIOS"/>
        <s v="ACOPLAD.FIBROÓPT. SBR-FX15000/RMD V2.0 Nº 12-20-540-81 ESCLA."/>
        <s v="VENTILADOR TIPO: SPR-MEC21543, P. DISP. NX DE VACON"/>
        <s v="CIRC.IMP.BLSCHAS2 PROT.C.RAYOS DOTADO                  LUETZE"/>
        <s v="FUENTE ALIMENT. CONMUT. PULS QS20.481 100-240VAC-48VDC/10A"/>
        <s v="ARRANCAD. INVERS. ELR H5-SC-24VDC/ 500AC-9 N.°2900538 PHOENIX"/>
        <s v="CARGADOR BLUE SMART 24/12     A PRUEBA DE AGUA VICTRON ENERGY"/>
        <s v="PROT. CONTRA SOBRETENS. ALIMENT. PHOENIX CONTACT Nº 2907920"/>
        <s v="INTERR. PROXIM. F1 GS (ROJO) PULSOR  M18 9914-1735 ANALÓGICO"/>
        <s v="POTENCIÓMETRO PAP4 INCL. FILTRO N.° 305158 P. RS232/RPD PILZ"/>
        <s v="CONTADOR HORAS DE SERVICIO R5 97 10-50V DC 96X96MM BAUSER"/>
        <s v="ELEMENTO BASE P. ENCHUFE PROTECT. PHOENIX CONTACT N.°:2839376"/>
        <s v="INTERRUPT.PROXIM.KD5018    IFM KAPAZITIV           M.LED-GELB"/>
        <s v="INTERRUPT.LLAVE 22-353.111D  EAO 2 CONT.DE CIERRE 24X36 NEGRO"/>
        <s v="BATTERIE CR2450    3,0V 560MAH LITHIUM"/>
        <s v="FUSIBLE AUTOM. CA/CC 5SY6 320-7  TRIPOL./20A/CURVA C  SIEMENS"/>
        <s v="BATERIA DE LITIO    3,6V 2,6AH TAMAÑO: AA"/>
        <s v="BATERÍA CR2477N     3,0V 950MAH LITIO"/>
        <s v="RELÉ DE SEGURIDAD SR2M 2 CAMBIADOR   V23047-A1024-A501"/>
        <s v="CONMUTADOR     M10H EU3 +OV    PROTEG.CONTR CONT.ACCID. TELUX"/>
        <s v="OPTOACOPLADOR LCIS-SR-DC-2L-5000140-PI  LUETZE 764050.0140"/>
        <s v="CONTACTOR KG3-18A10.24  24V/CC (1 CIERRE) BENEDIKT&amp;JAEGER"/>
        <s v="INTERR.PROT.MOTOR  0,25- 0,40A MS132-0.4-HKF1-11 1CI+1AP ABB"/>
        <s v="INTERR.PROT.MOTOR  0,40- 0,63A MS132-0.63-HKF1-11 1CI+1AP ABB"/>
        <s v="BLOQUE DE CONTACTO AUXILIAR 5ST3 010  1T +1R   SIEMENS"/>
        <s v="FUSIBLE AUTOMÁT. CA/CC 5SY6 120-7 UNIPOL./20A/CURVA C SIEMENS"/>
        <s v="ENCHUFE POTEN.GDM 3009 3-AFIL. DIN 43650-A/ISO4400"/>
        <s v="MICRORELÉ    MY4ZIN1 24VCC     CONTACTO INVERSOR DE 14 POLOS"/>
        <s v="PORTAFUSIB. RSS 214   14POLAR  ART. N°:180050            TELE"/>
        <s v="EMPAQUETADURA PERFIL GDM 3-16  731 531-002 PARA GDM 3009"/>
        <s v="INTERR. ETHERNET MANEJADO L210-F2G LYNX PROGRAMADO"/>
        <s v="ACOPLADOR FIBROÓPT. SBR-FX15000/RMD V2.0 Nº:12-20-540-80 MAES"/>
        <s v="INTERR. ETHERNET 1XGOL          MONOMODO/4RJ45     WESTERMO"/>
        <s v="INTERRUPTOR DE POTENCIA (LEISTUNGSSCHALTER TMAX XT5H 630 3P KOMPL. F.AF300         ABB)"/>
        <s v="CARGADOR SKYLLA-TG 24/50  AJUSTADO   VICTRON ENERGY"/>
        <s v="CONTACTOR K3-50A00.230      CA                BENEDIKT&amp;JAEGER"/>
        <s v="MOTORSCHUTZSCHALT. 30,0- 42,0A MS165-42                   ABB"/>
        <s v="FI-SCHALTER 5SV3 646-8     63A AUSLOESESTROM 0,3A     SIEMENS"/>
        <s v="INTERRUPT.CORR.FI 5SU1 354-6KK06 6A CORR.LIBER. 0,03A SIEMENS"/>
        <s v="BLITZDUCTOR  Nº ART. 920324     MÓDULO DE PROT. BXT ML4 BE 24"/>
        <s v="FUSIBLE AUTOMÁT. CA/CC 5SY6 302-7 TRIPOL./2A/CURVA C  SIEMENS"/>
        <s v="INTERR. CORR. DEF. 5SV3 344-6LA01 40A CORR.ACT. 0,03A SIEMENS"/>
        <s v="CONTACTOR K3-24A00.230      CC                BENEDIKT&amp;JAEGER"/>
        <s v="PROTECC.SOBREVOLTAJE ALIM.CORRIENTE PHOENIX CONTACT NO.2839.."/>
        <s v="RELE DE TIEMPO K3ZM20P-D    2-240V AC/DC        TELE HAASE"/>
        <s v="FUSIBLE AUTOMÁT. CA/CC 5SY6 316-7 TRIPOL./16A/CURVA C SIEMENS"/>
        <s v="VORRATSANZEIGE 0-1/4-4/4   24V P/N 0015ECT"/>
        <s v="FUSIBLE AUTOMÁT. CA/CC 5SY6 104-7  UNIPOL/4A/CURVA C  SIEMENS"/>
        <s v="INTERRUPT.PROXIM.IFRM 12P1701/ S14L INDUCTIVO DIA.12  PNP NO"/>
        <s v="FUSIBLE AUTOM. CA/CC 5SY6 106-7  UNIPOL./6A/CURVA C  SIEMENS"/>
        <s v="FUSIBLE AUTOM. CA/CC 5SY6 101-7       1P/1A/CURVA C  SIEMENS"/>
        <s v="MODULO DE INTERFACE, RJ45 IF, GOGATECH GMBH"/>
        <s v="CONTACTOR KG3-07D04.24  CC (4 APERTURA)     BENEDIKT&amp;JAEGER"/>
        <s v="FUSIBLE AUTOM. CA/CC 5SY6 110-7  UNIPOL./10A/CURVA C  SIEMENS"/>
        <s v="FUSIBLE AUTOM. CA/CC 5SY6 116-7  UNIPOL./16A/CURVA C  SIEMENS"/>
        <s v="BLOQUE DE CONTACTO 1OE B3T01 (INSTAL.FRONTAL) BENEDIKT&amp;JAEGER"/>
        <s v="MICRORELÉ    RT425024          TENSION BOBINA: 24V/DC SCHRACK"/>
        <s v="INTERR. AUXIL. P. MS4XX   1NO/1NC HK4-11                  ABB"/>
        <s v="cabezal de final de carrera"/>
        <s v="CONTACTO AUXILIAR 1S   HN 10       BENEDIKT&amp;JAEGER"/>
        <s v="COMPONENTE RC 110-230V RC-K3N 230 (CA/CC) BENEDIKT&amp;JAEGER"/>
        <s v="LÁMPARA LED ROJA 24V CA/CC P. CASQUILLO BA 9S N.°18602350"/>
        <s v="PORTALÁMPARA     B3F   FRONTAL       BENEDIKT&amp;JAEGER"/>
        <s v="BLOQUE DE CONTACTO 1S  B3T10 INSTAL.FRONTAL BENEDIKT&amp;JAEGER"/>
        <s v="PIEZA DE ACOPLAM. P. BOTÓN B3M      BENEDIKT&amp;JAEGER"/>
        <s v="CONV.MANOMÉTR. TIPO 8254.65.2317.32.0000.  0000.19.44.83 TRAF"/>
        <s v="INVALID: CLAVIJA BFA CON CABLE 3 POLOS N°: 7000-18021-6361000   MURR"/>
        <s v="ZAPATA FRENO 260X120/10 COMPL. FRENO DE EMERG. 50KN"/>
        <s v="ZAPATA DE FRENO     190X120X27 "/>
        <s v="SOPORTE DE PLATAFORMA PARA LA CABINA, PERFIL"/>
        <s v="BATERÍA LIBRE DE MANTENIMIENTO&#10;12V - 9Ah, 2-02-00653"/>
        <s v="BULÓN DE BLOQUEO P. ASIENTOS Nº ART.: 10-000477 CWA"/>
        <s v="RODAMIENTO C.SOP:ABRIDADO BK1 20/23/30X20+1,5 NO.ART.: 806568"/>
        <s v="PASADOR P. PEDESTAL INOX 58,7X40X400MM ART.: 11-067649"/>
        <s v="ROLDANA PARA APERTURA A/C MODELO E DIÁMETRO 65 A 30"/>
        <s v="CERRADURA DE PESTILLO, OMIV&#10;PARA CUBIERTAS LATERALES Y SUPERIORES"/>
        <s v="TUERARM LI+RE OMIV ET-SET KPL. ARTNR.:11-096246    BEST. AUS:"/>
        <s v="MANDO A DIST. CWA DERECHA-EXER. Nº ART. 11-080638"/>
        <s v="RODAMIENTO CONICO (MM) HR30203J-NSK 9585 MEDIDAS: 17.00X40.00X13.30 MM"/>
        <s v="CONVERSOR DE TENSION CC10-F-350NB Inout: 10-52 VDC, Output: 3V"/>
        <s v="INVALID: RESORTE DE BRAZOS 1 OMIII/OMIV/CO VE=5 STK ANR.:409533"/>
        <s v="BRAZO DE PUERTA LADO IZQUIERDO, OMIV"/>
        <s v="TORNILLO HEXAG. M10X50 GALV. Nº ART. 809559 C. REV. TUFLOK"/>
        <s v="TOPE GUIA PARA INSERTO DE CABINA 22.2MM X 17.7MM"/>
        <s v="BULÓN P. CILINDRO AMORT. MGD Y CLD"/>
        <s v="Terminales enchufables plano hembra # 8 con aislamiento"/>
        <s v="TORNILLO DE FIJACION M6, NO.10.100.365 C.COLLAR DE PL.+ANILLO"/>
        <s v="PLACA ELECTRONICA CONTROL DE PANEL SOLAR 90-083786"/>
        <s v="CASQUILLO GOM./MET. DIÁ.145/70 L=135 FMAX=85KN     GMT"/>
        <s v="CAB.ARTICUL.DE.ROT.10/M8 INOX. N° ART. 806598"/>
        <s v="CABLE DE ACCIONAMIENTO CWA COMPLETO L=3,0M/M8, NO.ID:801217"/>
        <s v="PARLANTES P. CABINA CWA N° 0710024-03 (intercomunicador)"/>
        <s v="VENTANA LADO TORRE OMIV-8 LWI Nº ART. 110048874GRAU133"/>
        <s v="PLACA DE RECTIFICADOR 90-083788"/>
        <s v="CABLE COAXIAL CONEXION ANTENA DE RADIO 90-083828"/>
        <s v="SOPORTE DE BATERIAS FASE 1"/>
        <s v="CRISTAL FRONTAL KF OMIV-10 LWI Nº ART.: 110049475GRAU133"/>
        <s v="HORQUILLA DE PUERTA DERECHA + PUERTA IZQUIERDA, OMIV&#10;147X103X48MM"/>
        <s v="CRISTAL DE RECAMBIO PARA VENTANA AVATIBLE"/>
        <s v="ABRAZADERA DEL CABLE MEFLEX"/>
        <s v="LED PARA CABINA OMEGA IV-10LWI"/>
        <s v="SISTEMA MANOMÉTR.0-600KN/0-10V F61541560077          WIKA"/>
        <s v="CARTUCHO DE REPUESTO P.DESHUMECTADOR BDE400X2W0.0, HYDAC"/>
        <s v="ELEMEN.FILTRANTE PI 3115 PS 10 MAHLE FILTRO BAJA TEN"/>
        <s v="FILTRO        0240 D 005 ON                             HYDAC"/>
        <s v="CIL.HIDR.CGS10N38X CURSO CORTO CARGA NOM.(PRES.):10T  TECNOS."/>
        <s v="VALV.DIST.2/2 SK 7936 L-RK-X-24-T 2/2 V.DISTR.DE ASIENTO HAWE"/>
        <s v="MANGUERA AP AN25-2SC L=2400MM     DKOL-28/CEL-28"/>
        <s v="MANGUERA AP AN35-2SC L=900MM      DKOL-28/DKOL90-28"/>
        <s v="FILTRO        0030 D 005 ON                             HYDAC"/>
        <s v="MANGUERA AP AN25-2SC L=1700MM CEL-28/DKOL90-28"/>
        <s v="VÁLVULA DISTR. 3/2 AS32061B-G24-  HRKS792Z328  WANDFLUH"/>
        <s v="MANGUERA AP AN10-2SC L=9500MM     DKOL-12/CEL-12"/>
        <s v="MANGUERA AP AN10-2SC L=11500MM    DKOL-12/CEL-12"/>
        <s v="MANGUERA AP AN12-2SC L=2400MM     CES-16/DKOS90-16"/>
        <s v="MANGUERA AP AN25-1SC L=1550MM  CEL-28/DKOL90-28"/>
        <s v="ARRASTRADOR 28X12X10 P. ACOPLAM. FELXIBLE INCL.P.DE GOMA 90SH"/>
        <s v="MANGUERA AP AN10-2SC L=8000MM     DKOL-12/CEL-12"/>
        <s v="MANGUERA AP AN12-2SC L=1800MM     CES-16/DKOS45-16"/>
        <s v="MANGUERA AP AN12-2SC L=1650MM     CES-16/DKOS45-16"/>
        <s v="RESORTE A GAS 750N CARR.=200MM TIPO ESPECIAL, ACEITE UNIVIS"/>
        <s v="KEILRIEMENSCH. DM160 4RI  DM57 4 RIEMEN - TYPE 5V/15J"/>
        <s v="VÁLVULA DIR. 2/2 VEI-16-08A-NC VÁLVULA DE ASIENTO HABERKORN"/>
        <s v="FILTRO   SAUER BR 90 - CORTO   ELEM.FILTR. P.BOMBA DE EMB.AX."/>
        <s v="MANGUERA AP AN10-2SC L=800MM     DKOL-12/DKOL-12"/>
        <s v="MANGUERA AP AN10-2SC L=1100MM     DKOL-12/CEL-12"/>
        <s v="ELEM.FILTR.  SFE 15S 125 W 1.0 P.FILTRO DE SUCCIÓN HYDAC"/>
        <s v="MANGUERA AP AN10-2SC L=800MM      DKOL-12/CEL-12"/>
        <s v="MANGUERA AP AN10-2SC L=2200MM     DKOL-12/DKOL-12"/>
        <s v="JUEGO DE EMPAQUETADURAS P. MIRILLA DE ACEITE FSA, FLUTEC"/>
        <s v="FILTER DANFOSS 90R / H1P130-165 - LANG/FILTERELEMENT AK-PUMPE"/>
        <s v="FILTRO DANFOSS P. H1P060-100 - CORTO/ELEM.FILTR. P. BOMBA E.A"/>
        <s v="HD-SCHLAUCH NW10-2SC L= 2500MM   DKOL-12/DKOL-12"/>
        <s v="CORONA DENTADA PARA ACOPLE DE PLÁSTICO 19/24 DIA. RED"/>
        <s v="ANILLO EN O   DI 129,2 X 5,7   "/>
        <s v="ANILLO EN O DIÁ.I. 45X3,0"/>
        <s v="TORNILLO ISO 4762-8.8 M4X12 GALV. TORN.DE CABEZA CILINDR."/>
        <s v="FILTRO DESHUMECTADOR BDE400 G2W1.0/-RV0.003, HYDAC"/>
        <s v="Aceite hidraulico Dopp Syny 70  210L"/>
        <s v="BOMBA RUEDAS D. SNP1/1,7DCO01F BOMBA RUEDAS DENTADAS    SAUER"/>
        <s v="MANÓMETRO PRES. 0-250 BAR TN 63"/>
        <s v="MAGUERA HIDRAULICA FRENO DE EMERGENCIA"/>
        <s v="FREMDLUEFTERMOTOR  HEFIE3 FOL 100LA/4  3,0KW 400V 50HZ  EMOD"/>
        <s v="RODAMIENTO 6305 ZZ (MOTOR APOYO PAR)"/>
        <s v="RODAMIENTO 6205 ZZ (MOTOR APOYO PAR)"/>
        <s v="RODAMIENTO 6001 - 2Z (VENTILADOR VARIADORES VACOM)"/>
        <s v="RODAMIENTO 6206-2Z (PARA MOTOR VENTILADOR DEL MOTOR PRINCIPAL)"/>
        <s v="RODAMIENTO 6207-Z (MOTOR DE VENTILADOR CENTRIFUGO)"/>
        <s v="RODAMIENTO 624-2Z (04x13x05) (VELETA Y ANEMOMETRO)"/>
        <s v="RODAMIENTO 6204-ZZ (MOTOR REFRIGERACION DE ACEITE REDUCTOR)"/>
        <s v="RODAMIENTO 6206-Z (MOTOR DE VENTILADOR CENTRIFUGO)"/>
        <s v="TORNILLO ISO 4017-10.9U M16X35 TORN. HEXAG. GIC"/>
        <s v="RODAMIENTO 6204 – 2Z (MOTOR CENTRAL DE FRENOS)                      "/>
        <s v="TORNILLO ISO 4017-10.9U M20X50 FVZ TORN.HEX. GALV.INM.CAL."/>
        <s v="RODAMIENTO 6203 – 2Z (MOTOR CENTRAL DE FRENOS)                      "/>
        <s v="RETEN 25X37X6 (REDUCTOR APOYO PAR)"/>
        <s v="TORNILLO ISO 4017-10.9U M18X40 GIC TORN. HEXAG."/>
        <s v="TORNILLO ISO 4017-10.9U M14X 35 GIC CABEZA HEXAGONAL"/>
        <s v="6204-ZZ RODAMIENTO MOTORES TERMOMECANICA"/>
        <s v="6205-ZZ RODAMIENTO MOTORES TERMOMECANICA"/>
        <s v="MOTOR ELECTRICO INOTECH TIS-370GS (CICLON)"/>
        <s v="FORRO FRICCION SINT. DT, AGA   P.PINZA DESEMBR.DT,AGA    2003"/>
        <s v="LENGÜETA P. PINZA A108-C TIPO 2/510/IBAF Ø48-51MM"/>
        <s v="RRB DIN 625/1- 6207-2RS1-C3 LT VT210 (TTF 90% +/-5%)ROD.R.B."/>
        <s v="EJE DE RESORTE          A108-C DIA.28  LN 91"/>
        <s v="CASQUILLO PM 7560 DS   TIPO KW SIN AGUJ.DE ENGRASE    GLACIER"/>
        <s v="GUÍA RESORTES A108-C L=431"/>
        <s v="CABEZAL RESORTE A108-C  50X290 "/>
        <s v="PERNO DEL EJE P. POLEA  A108-C DIA.35 LN 115,5"/>
        <s v="DF  D=22,00/DM=120,0/LO=389,0 IF= 8,60; DRUCKFEDER DIN 2095"/>
        <s v="CASQUILLO PM 3240 DS  TIPO: KW AGA, SIN AGUJ.DE ENGR. GLACIER"/>
        <s v="PLATILLO DE RESORTE SUP., A108-C, RECUB.DE LAMINILLAS DE CINC"/>
        <s v="ANILL.SINUS.85,8X75,8X1,10/8,0 N° ART.: SR 050.43-36"/>
        <s v="EJE DE CAB.A108-C DIA.32 L 354 "/>
        <s v="LENGÜETA  A108-C TIPO 2     CABLE Ø48-51 MM"/>
        <s v="CASQUILLO NTPM 2830 DS DE=32MM AGA (CON BOQUI.ENGRASE)GLACIER"/>
        <s v="CASQUILLO PM 2260 DS  TIPO: KW SIN AGUJERO DE ENGRASE GLACIER"/>
        <s v="CIRCLIP INTER. DIN 472  72X3,0 GALVAN."/>
        <s v="CASQUILLO PM 5040 DS  TIPO: KW SIN AGUJ.DE ENGRASE    GLACIER"/>
        <s v="TORNILLO DE AJUSTE      A108-C "/>
        <s v="ANILLO DE CIERRE        A108-C DIA95,0/ 75,0  S=26,0  EL.GALV"/>
        <s v="NIPLE DE ENGRASE A 6X1,0 ~DIN71412 NIPLE CÓNICO (CIL.) RECTA"/>
        <s v="TUERCA ALMEN. DIN979-04 M30X2  VERZINKT, NIEDRIGE BAUART"/>
        <s v="TORNILLO ISO 4017-8.8 M8X20, TORN. HEXAG., GALVAN."/>
        <s v="TUERCA HEX.ISO4035- 8 M18       GALVANIZADA         (DIN439B)"/>
        <s v="TUERCA HEXAGONAL M18   A 108-C"/>
        <s v="POLEA DE RODADURA DIÁ.180MM, A-108C ENSAYO FINAL"/>
        <s v="Supresor de picos DEHNshield DSH TN 255"/>
        <s v="Interruptor diferencial ABB FH202, 25A, 30mA"/>
        <s v="Termomagnético C-20, 6KA"/>
        <s v="POLEA GUÍA DIA.158 MM    AGA-C "/>
        <s v="POLEA DE CORREA TRAPEZ.DIÁ.160 ALUM.DIÁ.72 PERFIL CORR.T.XPC"/>
        <s v="RODAM.RAN.D.BOLAS DIN625/1-6308-2RS1-C3GLE VT210 (90% +/-5%)"/>
        <s v="CORREA TRAP.CC/HCC LREF=6150MM DOBLE"/>
        <s v="TORN.HALFEN 72/48  8.8 M20X 60 TORNIL.HALFEN C. TUERCA,   GIC"/>
        <s v="CORREA TRAP.XPC     LA=1900 MM DIN 7753-1"/>
        <s v="CORREA TRAP. XPC LW=2000 MM DIN 7753-1"/>
        <s v="RODAM.RAN.DIN 625/1- 6306-2RS1 RODAM.RANUR.DE BOLAS (TTF-60%)"/>
        <s v="RODAM.RAN.D.BOLAS DIN625/1-6312-2RS1-C3GLE VT210 (90% +/-5%)"/>
        <s v="RUEDA COMPLETA &quot;DOPPELMAYR-G&quot; PRESION 3,5 - 5,0 BARES"/>
        <s v="CORREA TRAPEZOIDAL XPC LA=1850 MM DIN 7753-1"/>
        <s v="RODAM.RAN.D.BOLAS DIN625/1- 6309-2RS1-C3GLE VT210 (90% +/-5%)"/>
        <s v="CORREA TRAPEZOIDAL XPC LW=1960 MM DIN 7753-1"/>
        <s v="CORREA TRAP.XPB     LW=1500 MM DIN 7753-1"/>
        <s v="CORREA TRAP.XPB     LW=1545 MM DIN 7753-1"/>
        <s v="CORREA TRAPEZOIDAL XPC LA=2140 MM DIN 7753-1"/>
        <s v="CORREA TRAPEZ. XPC  LA=2080 MM DIN 7753-1"/>
        <s v="ARANDELA ISO 7089 M20 300HV, FLZNNC-720H-L, REV.L.ZINC SIN CH"/>
        <s v="TORN.P.RUEDA 8.8 M12X 20  ESP. HEXAGONAL, DIN 933 + ARANDELA"/>
        <s v="CIRCLIP INTER. DIN 472  72X2,5, FOSFAT., SEEGER"/>
        <s v="TUERCA HEXAG. DIN 985-8 M20 ELECTROGALV. (C. ELEM.DE FIJAC.)"/>
        <s v="TENSOR DE CORREA O°"/>
        <s v="HERRAM.DE SUJEC. P.CORREAS UNIG GALVANIZADA, COMPUESTA DE:"/>
      </sharedItems>
    </cacheField>
    <cacheField name="Unid." numFmtId="0">
      <sharedItems>
        <s v="Turril"/>
        <s v="Pza"/>
        <s v="L- Turril"/>
      </sharedItems>
    </cacheField>
    <cacheField name="LMO" numFmtId="0">
      <sharedItems containsString="0" containsBlank="1" containsNumber="1" containsInteger="1">
        <n v="2024.0"/>
        <m/>
        <n v="2025.0"/>
        <n v="2028.0"/>
      </sharedItems>
    </cacheField>
    <cacheField name=" LPL" numFmtId="0">
      <sharedItems containsString="0" containsBlank="1" containsNumber="1" containsInteger="1">
        <n v="2024.0"/>
        <m/>
        <n v="2025.0"/>
        <n v="2028.0"/>
        <n v="2029.0"/>
      </sharedItems>
    </cacheField>
    <cacheField name="LAM" numFmtId="0">
      <sharedItems containsString="0" containsBlank="1" containsNumber="1" containsInteger="1">
        <n v="2024.0"/>
        <m/>
        <n v="2025.0"/>
        <n v="2026.0"/>
        <n v="2031.0"/>
      </sharedItems>
    </cacheField>
    <cacheField name=" LR" numFmtId="0">
      <sharedItems containsString="0" containsBlank="1" containsNumber="1" containsInteger="1">
        <n v="2026.0"/>
        <n v="2024.0"/>
        <m/>
        <n v="2025.0"/>
        <n v="2031.0"/>
      </sharedItems>
    </cacheField>
    <cacheField name="LN" numFmtId="0">
      <sharedItems containsString="0" containsBlank="1" containsNumber="1" containsInteger="1">
        <n v="2025.0"/>
        <n v="2024.0"/>
        <m/>
        <n v="2026.0"/>
        <n v="2032.0"/>
      </sharedItems>
    </cacheField>
    <cacheField name="LAZ" numFmtId="0">
      <sharedItems containsString="0" containsBlank="1" containsNumber="1" containsInteger="1">
        <n v="2026.0"/>
        <n v="2024.0"/>
        <m/>
        <n v="2025.0"/>
        <n v="2032.0"/>
      </sharedItems>
    </cacheField>
    <cacheField name="LB" numFmtId="0">
      <sharedItems containsString="0" containsBlank="1" containsNumber="1" containsInteger="1">
        <n v="2024.0"/>
        <m/>
        <n v="2033.0"/>
        <n v="2025.0"/>
        <n v="2026.0"/>
      </sharedItems>
    </cacheField>
    <cacheField name="LCE" numFmtId="0">
      <sharedItems containsString="0" containsBlank="1" containsNumber="1" containsInteger="1">
        <n v="2024.0"/>
        <m/>
        <n v="2025.0"/>
        <n v="2033.0"/>
        <n v="2026.0"/>
      </sharedItems>
    </cacheField>
    <cacheField name=" LCA">
      <sharedItems containsBlank="1" containsMixedTypes="1" containsNumber="1" containsInteger="1">
        <n v="2024.0"/>
        <m/>
        <s v="2024 "/>
        <n v="2028.0"/>
        <n v="2029.0"/>
        <n v="2025.0"/>
        <n v="2026.0"/>
      </sharedItems>
    </cacheField>
    <cacheField name="LV" numFmtId="0">
      <sharedItems containsString="0" containsBlank="1" containsNumber="1" containsInteger="1">
        <n v="2024.0"/>
        <m/>
        <n v="2025.0"/>
        <n v="2031.0"/>
      </sharedItems>
    </cacheField>
    <cacheField name="Lineas Base" numFmtId="0">
      <sharedItems containsString="0" containsBlank="1">
        <m/>
      </sharedItems>
    </cacheField>
    <cacheField name="f LMO/año" numFmtId="0">
      <sharedItems containsString="0" containsBlank="1" containsNumber="1" containsInteger="1">
        <n v="4.0"/>
        <n v="5.0"/>
        <m/>
        <n v="3.0"/>
        <n v="1.0"/>
        <n v="2.0"/>
        <n v="6.0"/>
        <n v="8.0"/>
        <n v="7.0"/>
      </sharedItems>
    </cacheField>
    <cacheField name="f LPL/año" numFmtId="0">
      <sharedItems containsString="0" containsBlank="1" containsNumber="1" containsInteger="1">
        <n v="4.0"/>
        <m/>
        <n v="5.0"/>
        <n v="3.0"/>
        <n v="1.0"/>
        <n v="2.0"/>
        <n v="7.0"/>
        <n v="6.0"/>
        <n v="8.0"/>
        <n v="0.0"/>
      </sharedItems>
    </cacheField>
    <cacheField name="f LAM/año" numFmtId="0">
      <sharedItems containsString="0" containsBlank="1" containsNumber="1" containsInteger="1">
        <n v="4.0"/>
        <n v="5.0"/>
        <m/>
        <n v="2.0"/>
        <n v="3.0"/>
        <n v="1.0"/>
        <n v="6.0"/>
        <n v="8.0"/>
        <n v="7.0"/>
        <n v="10.0"/>
      </sharedItems>
    </cacheField>
    <cacheField name="f LR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N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AZ/año" numFmtId="0">
      <sharedItems containsString="0" containsBlank="1" containsNumber="1" containsInteger="1">
        <n v="4.0"/>
        <n v="5.0"/>
        <m/>
        <n v="2.0"/>
        <n v="7.0"/>
        <n v="3.0"/>
        <n v="10.0"/>
        <n v="8.0"/>
      </sharedItems>
    </cacheField>
    <cacheField name="f LB/año" numFmtId="0">
      <sharedItems containsString="0" containsBlank="1" containsNumber="1" containsInteger="1">
        <n v="4.0"/>
        <m/>
        <n v="5.0"/>
        <n v="2.0"/>
        <n v="1.0"/>
        <n v="3.0"/>
        <n v="8.0"/>
        <n v="6.0"/>
        <n v="7.0"/>
      </sharedItems>
    </cacheField>
    <cacheField name="f LCE/año" numFmtId="0">
      <sharedItems containsString="0" containsBlank="1" containsNumber="1" containsInteger="1">
        <n v="4.0"/>
        <m/>
        <n v="5.0"/>
        <n v="2.0"/>
        <n v="1.0"/>
        <n v="3.0"/>
        <n v="8.0"/>
        <n v="6.0"/>
        <n v="7.0"/>
      </sharedItems>
    </cacheField>
    <cacheField name="f LCA/año" numFmtId="0">
      <sharedItems containsString="0" containsBlank="1" containsNumber="1" containsInteger="1">
        <n v="4.0"/>
        <m/>
        <n v="5.0"/>
        <n v="1.0"/>
        <n v="2.0"/>
        <n v="3.0"/>
        <n v="8.0"/>
        <n v="7.0"/>
      </sharedItems>
    </cacheField>
    <cacheField name="f LV/año" numFmtId="0">
      <sharedItems containsString="0" containsBlank="1" containsNumber="1" containsInteger="1">
        <n v="4.0"/>
        <m/>
        <n v="1.0"/>
        <n v="2.0"/>
        <n v="3.0"/>
        <n v="5.0"/>
        <n v="10.0"/>
        <n v="8.0"/>
        <n v="6.0"/>
        <n v="7.0"/>
      </sharedItems>
    </cacheField>
    <cacheField name="Pr Frecuencia" numFmtId="0">
      <sharedItems containsString="0" containsBlank="1">
        <m/>
      </sharedItems>
    </cacheField>
    <cacheField name="LMO2" numFmtId="0">
      <sharedItems containsString="0" containsBlank="1">
        <m/>
      </sharedItems>
    </cacheField>
    <cacheField name=" LPL3" numFmtId="0">
      <sharedItems containsString="0" containsBlank="1">
        <m/>
      </sharedItems>
    </cacheField>
    <cacheField name="LAM4" numFmtId="0">
      <sharedItems containsString="0" containsBlank="1">
        <m/>
      </sharedItems>
    </cacheField>
    <cacheField name=" LR5" numFmtId="0">
      <sharedItems containsString="0" containsBlank="1">
        <m/>
      </sharedItems>
    </cacheField>
    <cacheField name="LN6" numFmtId="0">
      <sharedItems containsString="0" containsBlank="1">
        <m/>
      </sharedItems>
    </cacheField>
    <cacheField name="LAZ7" numFmtId="0">
      <sharedItems containsString="0" containsBlank="1">
        <m/>
      </sharedItems>
    </cacheField>
    <cacheField name="LB8" numFmtId="0">
      <sharedItems containsString="0" containsBlank="1">
        <m/>
      </sharedItems>
    </cacheField>
    <cacheField name="LCE9" numFmtId="0">
      <sharedItems containsString="0" containsBlank="1">
        <m/>
      </sharedItems>
    </cacheField>
    <cacheField name=" LCA10" numFmtId="0">
      <sharedItems containsString="0" containsBlank="1">
        <m/>
      </sharedItems>
    </cacheField>
    <cacheField name="LV11" numFmtId="0">
      <sharedItems containsString="0" containsBlank="1">
        <m/>
      </sharedItems>
    </cacheField>
    <cacheField name="f LMO/año2" numFmtId="0">
      <sharedItems containsString="0" containsBlank="1" containsNumber="1" containsInteger="1">
        <n v="-2024.0"/>
        <n v="0.0"/>
        <n v="-2025.0"/>
        <n v="-2028.0"/>
        <m/>
      </sharedItems>
    </cacheField>
    <cacheField name="f LPL/año3" numFmtId="0">
      <sharedItems containsString="0" containsBlank="1" containsNumber="1" containsInteger="1">
        <n v="-2024.0"/>
        <n v="0.0"/>
        <n v="-2025.0"/>
        <n v="-2028.0"/>
        <n v="-2029.0"/>
        <m/>
      </sharedItems>
    </cacheField>
    <cacheField name="f LAM/año4">
      <sharedItems containsBlank="1" containsMixedTypes="1" containsNumber="1" containsInteger="1">
        <n v="-2024.0"/>
        <n v="0.0"/>
        <n v="-2025.0"/>
        <s v="#REF!"/>
        <n v="-2026.0"/>
        <n v="-2031.0"/>
        <m/>
      </sharedItems>
    </cacheField>
    <cacheField name="f LR/año5">
      <sharedItems containsBlank="1" containsMixedTypes="1" containsNumber="1" containsInteger="1">
        <n v="-2026.0"/>
        <n v="-2024.0"/>
        <n v="0.0"/>
        <n v="-2025.0"/>
        <s v="#REF!"/>
        <n v="-2031.0"/>
        <m/>
      </sharedItems>
    </cacheField>
    <cacheField name="f LN/año6" numFmtId="0">
      <sharedItems containsString="0" containsBlank="1" containsNumber="1" containsInteger="1">
        <n v="-2025.0"/>
        <n v="-2024.0"/>
        <n v="0.0"/>
        <n v="-2026.0"/>
        <n v="-2032.0"/>
        <m/>
      </sharedItems>
    </cacheField>
    <cacheField name="f LAZ/año7" numFmtId="0">
      <sharedItems containsString="0" containsBlank="1" containsNumber="1" containsInteger="1">
        <n v="-2026.0"/>
        <n v="-2024.0"/>
        <n v="0.0"/>
        <n v="-2025.0"/>
        <n v="-2032.0"/>
        <m/>
      </sharedItems>
    </cacheField>
    <cacheField name="f LB/año8" numFmtId="0">
      <sharedItems containsString="0" containsBlank="1" containsNumber="1" containsInteger="1">
        <n v="-2024.0"/>
        <n v="0.0"/>
        <n v="-2033.0"/>
        <n v="-2025.0"/>
        <n v="-2026.0"/>
        <m/>
      </sharedItems>
    </cacheField>
    <cacheField name="f LCE/año9" numFmtId="0">
      <sharedItems containsString="0" containsBlank="1" containsNumber="1" containsInteger="1">
        <n v="-2024.0"/>
        <n v="0.0"/>
        <n v="-2025.0"/>
        <n v="-2033.0"/>
        <n v="-2026.0"/>
        <m/>
      </sharedItems>
    </cacheField>
    <cacheField name="f LCA/año10">
      <sharedItems containsBlank="1" containsMixedTypes="1" containsNumber="1" containsInteger="1">
        <n v="-2024.0"/>
        <n v="0.0"/>
        <s v="#VALUE!"/>
        <n v="-2028.0"/>
        <n v="-2029.0"/>
        <n v="-2025.0"/>
        <n v="-2026.0"/>
        <m/>
      </sharedItems>
    </cacheField>
    <cacheField name="f LV/año11" numFmtId="0">
      <sharedItems containsString="0" containsBlank="1" containsNumber="1" containsInteger="1">
        <n v="-2024.0"/>
        <n v="0.0"/>
        <n v="-2025.0"/>
        <n v="-2031.0"/>
        <m/>
      </sharedItems>
    </cacheField>
    <cacheField name="MATRIZ " numFmtId="0">
      <sharedItems containsString="0" containsBlank="1">
        <m/>
      </sharedItems>
    </cacheField>
    <cacheField name="Q/f LMO" numFmtId="0">
      <sharedItems containsString="0" containsBlank="1" containsNumber="1" containsInteger="1">
        <m/>
        <n v="0.0"/>
        <n v="8.0"/>
        <n v="4.0"/>
        <n v="16.0"/>
        <n v="2.0"/>
        <n v="1.0"/>
        <n v="170.0"/>
        <n v="60.0"/>
        <n v="10.0"/>
        <n v="50.0"/>
        <n v="6.0"/>
        <n v="83.0"/>
        <n v="210.0"/>
        <n v="100.0"/>
        <n v="20.0"/>
        <n v="90.0"/>
        <n v="200.0"/>
        <n v="45.0"/>
        <n v="5.0"/>
        <n v="80.0"/>
        <n v="120.0"/>
        <n v="30.0"/>
      </sharedItems>
    </cacheField>
    <cacheField name="Q/f LPL" numFmtId="0">
      <sharedItems containsString="0" containsBlank="1" containsNumber="1" containsInteger="1">
        <m/>
        <n v="0.0"/>
        <n v="6.0"/>
        <n v="4.0"/>
        <n v="12.0"/>
        <n v="8.0"/>
        <n v="2.0"/>
        <n v="1.0"/>
        <n v="3.0"/>
        <n v="100.0"/>
        <n v="15.0"/>
        <n v="20.0"/>
        <n v="40.0"/>
        <n v="60.0"/>
        <n v="5.0"/>
        <n v="120.0"/>
        <n v="30.0"/>
        <n v="50.0"/>
        <n v="10.0"/>
        <n v="9.0"/>
        <n v="42.0"/>
      </sharedItems>
    </cacheField>
    <cacheField name="Q/f LAM" numFmtId="0">
      <sharedItems containsString="0" containsBlank="1" containsNumber="1" containsInteger="1">
        <m/>
        <n v="0.0"/>
        <n v="8.0"/>
        <n v="16.0"/>
        <n v="10.0"/>
        <n v="1.0"/>
        <n v="2.0"/>
        <n v="4.0"/>
        <n v="5.0"/>
        <n v="60.0"/>
        <n v="350.0"/>
        <n v="100.0"/>
        <n v="40.0"/>
        <n v="20.0"/>
        <n v="6.0"/>
        <n v="12.0"/>
        <n v="85.0"/>
        <n v="200.0"/>
        <n v="192.0"/>
        <n v="15.0"/>
        <n v="50.0"/>
        <n v="80.0"/>
        <n v="300.0"/>
        <n v="110.0"/>
        <n v="70.0"/>
        <n v="84.0"/>
        <n v="9.0"/>
        <n v="30.0"/>
      </sharedItems>
    </cacheField>
    <cacheField name="Q/f LR" numFmtId="0">
      <sharedItems containsString="0" containsBlank="1" containsNumber="1" containsInteger="1">
        <m/>
        <n v="0.0"/>
        <n v="4.0"/>
        <n v="16.0"/>
        <n v="172.0"/>
        <n v="38.0"/>
        <n v="20.0"/>
        <n v="2.0"/>
        <n v="1.0"/>
        <n v="3.0"/>
        <n v="8.0"/>
        <n v="6.0"/>
        <n v="280.0"/>
        <n v="110.0"/>
        <n v="5.0"/>
        <n v="10.0"/>
        <n v="220.0"/>
        <n v="360.0"/>
        <n v="111.0"/>
        <n v="222.0"/>
        <n v="50.0"/>
      </sharedItems>
    </cacheField>
    <cacheField name="Q/f LN" numFmtId="0">
      <sharedItems containsString="0" containsBlank="1" containsNumber="1" containsInteger="1">
        <m/>
        <n v="0.0"/>
        <n v="4.0"/>
        <n v="18.0"/>
        <n v="252.0"/>
        <n v="56.0"/>
        <n v="28.0"/>
        <n v="1.0"/>
        <n v="2.0"/>
        <n v="6.0"/>
        <n v="3.0"/>
        <n v="8.0"/>
        <n v="126.0"/>
        <n v="5.0"/>
        <n v="10.0"/>
        <n v="227.0"/>
        <n v="9.0"/>
        <n v="12.0"/>
        <n v="50.0"/>
      </sharedItems>
    </cacheField>
    <cacheField name="Q/f LAZ" numFmtId="0">
      <sharedItems containsString="0" containsBlank="1" containsNumber="1" containsInteger="1">
        <m/>
        <n v="0.0"/>
        <n v="4.0"/>
        <n v="20.0"/>
        <n v="364.0"/>
        <n v="80.0"/>
        <n v="44.0"/>
        <n v="2.0"/>
        <n v="1.0"/>
        <n v="8.0"/>
        <n v="50.0"/>
        <n v="208.0"/>
        <n v="5.0"/>
        <n v="10.0"/>
        <n v="12.0"/>
        <n v="6.0"/>
        <n v="416.0"/>
        <n v="13.0"/>
        <n v="9.0"/>
        <n v="18.0"/>
        <n v="54.0"/>
      </sharedItems>
    </cacheField>
    <cacheField name="Q/f LB" numFmtId="0">
      <sharedItems containsString="0" containsBlank="1" containsNumber="1" containsInteger="1">
        <m/>
        <n v="0.0"/>
        <n v="4.0"/>
        <n v="2.0"/>
        <n v="16.0"/>
        <n v="8.0"/>
        <n v="20.0"/>
        <n v="1.0"/>
        <n v="6.0"/>
        <n v="133.0"/>
        <n v="10.0"/>
        <n v="100.0"/>
        <n v="50.0"/>
        <n v="15.0"/>
        <n v="11.0"/>
        <n v="12.0"/>
      </sharedItems>
    </cacheField>
    <cacheField name="Q/f LCE" numFmtId="0">
      <sharedItems containsString="0" containsBlank="1" containsNumber="1" containsInteger="1">
        <m/>
        <n v="0.0"/>
        <n v="5.0"/>
        <n v="2.0"/>
        <n v="16.0"/>
        <n v="8.0"/>
        <n v="1.0"/>
        <n v="4.0"/>
        <n v="156.0"/>
        <n v="6.0"/>
        <n v="15.0"/>
      </sharedItems>
    </cacheField>
    <cacheField name="Q/f LCA" numFmtId="0">
      <sharedItems containsString="0" containsBlank="1" containsNumber="1" containsInteger="1">
        <m/>
        <n v="0.0"/>
        <n v="4.0"/>
        <n v="1.0"/>
        <n v="8.0"/>
        <n v="10.0"/>
        <n v="26.0"/>
        <n v="2.0"/>
        <n v="30.0"/>
        <n v="3.0"/>
      </sharedItems>
    </cacheField>
    <cacheField name="Q/f LV" numFmtId="0">
      <sharedItems containsString="0" containsBlank="1" containsNumber="1" containsInteger="1">
        <m/>
        <n v="0.0"/>
        <n v="2.0"/>
        <n v="1.0"/>
        <n v="315.0"/>
        <n v="10.0"/>
        <n v="200.0"/>
        <n v="24.0"/>
        <n v="4.0"/>
        <n v="8.0"/>
        <n v="9.0"/>
        <n v="30.0"/>
        <n v="60.0"/>
      </sharedItems>
    </cacheField>
    <cacheField name="Q 2024" numFmtId="4">
      <sharedItems containsSemiMixedTypes="0" containsString="0" containsNumber="1" containsInteger="1">
        <n v="0.0"/>
        <n v="47.0"/>
        <n v="16.0"/>
        <n v="13.0"/>
        <n v="138.0"/>
        <n v="34.0"/>
        <n v="818.0"/>
        <n v="174.0"/>
        <n v="92.0"/>
        <n v="1.0"/>
        <n v="21.0"/>
        <n v="6.0"/>
        <n v="8.0"/>
        <n v="9.0"/>
        <n v="12.0"/>
        <n v="18.0"/>
        <n v="2.0"/>
        <n v="40.0"/>
        <n v="19.0"/>
        <n v="3.0"/>
        <n v="4.0"/>
        <n v="5.0"/>
        <n v="56.0"/>
        <n v="15.0"/>
        <n v="10.0"/>
        <n v="50.0"/>
        <n v="655.0"/>
        <n v="935.0"/>
        <n v="60.0"/>
        <n v="198.0"/>
        <n v="28.0"/>
        <n v="120.0"/>
        <n v="554.0"/>
        <n v="20.0"/>
        <n v="200.0"/>
        <n v="63.0"/>
        <n v="64.0"/>
        <n v="32.0"/>
        <n v="52.0"/>
        <n v="36.0"/>
        <n v="22.0"/>
        <n v="42.0"/>
        <n v="24.0"/>
        <n v="228.0"/>
        <n v="640.0"/>
        <n v="315.0"/>
        <n v="352.0"/>
        <n v="35.0"/>
        <n v="136.0"/>
        <n v="718.0"/>
        <n v="246.0"/>
        <n v="170.0"/>
        <n v="974.0"/>
        <n v="160.0"/>
        <n v="605.0"/>
        <n v="70.0"/>
        <n v="17.0"/>
        <n v="500.0"/>
        <n v="580.0"/>
        <n v="290.0"/>
        <n v="55.0"/>
        <n v="61.0"/>
        <n v="180.0"/>
        <n v="49.0"/>
        <n v="171.0"/>
        <n v="126.0"/>
        <n v="110.0"/>
        <n v="25.0"/>
        <n v="23.0"/>
        <n v="466.0"/>
        <n v="125.0"/>
        <n v="158.0"/>
      </sharedItems>
    </cacheField>
    <cacheField name="Q/f LMO2" numFmtId="0">
      <sharedItems containsString="0" containsBlank="1" containsNumber="1" containsInteger="1">
        <m/>
        <n v="8.0"/>
        <n v="4.0"/>
        <n v="2.0"/>
        <n v="20.0"/>
        <n v="200.0"/>
        <n v="0.0"/>
        <n v="80.0"/>
        <n v="1.0"/>
        <n v="15.0"/>
        <n v="60.0"/>
        <n v="228.0"/>
        <n v="68.0"/>
        <n v="10.0"/>
        <n v="3.0"/>
        <n v="250.0"/>
        <n v="50.0"/>
        <n v="5.0"/>
        <n v="40.0"/>
        <n v="30.0"/>
        <n v="120.0"/>
        <n v="70.0"/>
        <n v="6.0"/>
      </sharedItems>
    </cacheField>
    <cacheField name="Q/f LPL3" numFmtId="0">
      <sharedItems containsString="0" containsBlank="1" containsNumber="1" containsInteger="1">
        <m/>
        <n v="6.0"/>
        <n v="2.0"/>
        <n v="4.0"/>
        <n v="8.0"/>
        <n v="1.0"/>
        <n v="10.0"/>
        <n v="30.0"/>
        <n v="20.0"/>
        <n v="126.0"/>
        <n v="5.0"/>
        <n v="40.0"/>
        <n v="120.0"/>
        <n v="100.0"/>
        <n v="25.0"/>
      </sharedItems>
    </cacheField>
    <cacheField name="Q/f LAM4" numFmtId="0">
      <sharedItems containsString="0" containsBlank="1" containsNumber="1" containsInteger="1">
        <m/>
        <n v="4.0"/>
        <n v="8.0"/>
        <n v="2.0"/>
        <n v="60.0"/>
        <n v="250.0"/>
        <n v="10.0"/>
        <n v="500.0"/>
        <n v="50.0"/>
        <n v="180.0"/>
        <n v="72.0"/>
        <n v="40.0"/>
        <n v="1.0"/>
        <n v="0.0"/>
        <n v="15.0"/>
        <n v="100.0"/>
        <n v="78.0"/>
        <n v="3.0"/>
        <n v="138.0"/>
        <n v="6.0"/>
        <n v="30.0"/>
        <n v="300.0"/>
        <n v="20.0"/>
        <n v="90.0"/>
        <n v="110.0"/>
        <n v="200.0"/>
      </sharedItems>
    </cacheField>
    <cacheField name="Q/f LR5" numFmtId="0">
      <sharedItems containsString="0" containsBlank="1" containsNumber="1" containsInteger="1">
        <m/>
        <n v="0.0"/>
        <n v="4.0"/>
        <n v="8.0"/>
        <n v="2.0"/>
        <n v="6.0"/>
        <n v="30.0"/>
        <n v="1.0"/>
        <n v="5.0"/>
        <n v="220.0"/>
        <n v="218.0"/>
        <n v="50.0"/>
        <n v="110.0"/>
        <n v="90.0"/>
        <n v="200.0"/>
        <n v="60.0"/>
        <n v="40.0"/>
        <n v="111.0"/>
        <n v="186.0"/>
        <n v="1776.0"/>
        <n v="222.0"/>
      </sharedItems>
    </cacheField>
    <cacheField name="Q/f LN6" numFmtId="0">
      <sharedItems containsString="0" containsBlank="1" containsNumber="1" containsInteger="1">
        <m/>
        <n v="0.0"/>
        <n v="9.0"/>
        <n v="10.0"/>
        <n v="2.0"/>
        <n v="6.0"/>
        <n v="8.0"/>
        <n v="100.0"/>
        <n v="30.0"/>
        <n v="4.0"/>
        <n v="1.0"/>
        <n v="5.0"/>
        <n v="7.0"/>
        <n v="252.0"/>
        <n v="126.0"/>
        <n v="20.0"/>
        <n v="200.0"/>
        <n v="152.0"/>
        <n v="232.0"/>
        <n v="60.0"/>
        <n v="40.0"/>
        <n v="160.0"/>
        <n v="50.0"/>
        <n v="292.0"/>
      </sharedItems>
    </cacheField>
    <cacheField name="Q/f LAZ7" numFmtId="0">
      <sharedItems containsString="0" containsBlank="1" containsNumber="1" containsInteger="1">
        <m/>
        <n v="0.0"/>
        <n v="10.0"/>
        <n v="12.0"/>
        <n v="2.0"/>
        <n v="8.0"/>
        <n v="100.0"/>
        <n v="60.0"/>
        <n v="1.0"/>
        <n v="5.0"/>
        <n v="6.0"/>
        <n v="3.0"/>
        <n v="4.0"/>
        <n v="80.0"/>
        <n v="416.0"/>
        <n v="208.0"/>
        <n v="300.0"/>
        <n v="50.0"/>
        <n v="316.0"/>
        <n v="168.0"/>
        <n v="75.0"/>
        <n v="372.0"/>
        <n v="200.0"/>
      </sharedItems>
    </cacheField>
    <cacheField name="Q/f LB8" numFmtId="0">
      <sharedItems containsString="0" containsBlank="1" containsNumber="1" containsInteger="1">
        <m/>
        <n v="2.0"/>
        <n v="1.0"/>
        <n v="8.0"/>
        <n v="4.0"/>
        <n v="40.0"/>
        <n v="10.0"/>
        <n v="20.0"/>
        <n v="5.0"/>
        <n v="133.0"/>
        <n v="65.0"/>
        <n v="100.0"/>
        <n v="50.0"/>
        <n v="262.0"/>
      </sharedItems>
    </cacheField>
    <cacheField name="Q/f LCE9" numFmtId="0">
      <sharedItems containsString="0" containsBlank="1" containsNumber="1" containsInteger="1">
        <m/>
        <n v="2.0"/>
        <n v="1.0"/>
        <n v="8.0"/>
        <n v="50.0"/>
        <n v="4.0"/>
        <n v="90.0"/>
        <n v="40.0"/>
        <n v="10.0"/>
        <n v="20.0"/>
        <n v="60.0"/>
        <n v="6.0"/>
        <n v="5.0"/>
        <n v="156.0"/>
        <n v="78.0"/>
        <n v="3.0"/>
        <n v="310.0"/>
      </sharedItems>
    </cacheField>
    <cacheField name="Q/f LCA10" numFmtId="0">
      <sharedItems containsString="0" containsBlank="1" containsNumber="1" containsInteger="1">
        <m/>
        <n v="1.0"/>
        <n v="8.0"/>
        <n v="4.0"/>
        <n v="26.0"/>
        <n v="13.0"/>
        <n v="2.0"/>
        <n v="30.0"/>
        <n v="52.0"/>
        <n v="5.0"/>
      </sharedItems>
    </cacheField>
    <cacheField name="Q/f LV11" numFmtId="0">
      <sharedItems containsString="0" containsBlank="1" containsNumber="1" containsInteger="1">
        <m/>
        <n v="0.0"/>
        <n v="4.0"/>
        <n v="2.0"/>
        <n v="1.0"/>
        <n v="9.0"/>
        <n v="16.0"/>
        <n v="14.0"/>
        <n v="10.0"/>
        <n v="8.0"/>
        <n v="6.0"/>
        <n v="330.0"/>
        <n v="30.0"/>
        <n v="60.0"/>
        <n v="20.0"/>
      </sharedItems>
    </cacheField>
    <cacheField name="Q 2025" numFmtId="4">
      <sharedItems containsString="0" containsBlank="1" containsNumber="1" containsInteger="1">
        <n v="0.0"/>
        <n v="8.0"/>
        <n v="6.0"/>
        <n v="27.0"/>
        <n v="9.0"/>
        <n v="16.0"/>
        <n v="14.0"/>
        <n v="26.0"/>
        <n v="76.0"/>
        <n v="4.0"/>
        <n v="43.0"/>
        <n v="32.0"/>
        <n v="49.0"/>
        <n v="10.0"/>
        <n v="3.0"/>
        <n v="2.0"/>
        <n v="50.0"/>
        <n v="72.0"/>
        <n v="344.0"/>
        <n v="18.0"/>
        <n v="200.0"/>
        <n v="20.0"/>
        <n v="580.0"/>
        <n v="70.0"/>
        <n v="490.0"/>
        <n v="60.0"/>
        <n v="124.0"/>
        <n v="258.0"/>
        <n v="21.0"/>
        <n v="188.0"/>
        <n v="156.0"/>
        <n v="46.0"/>
        <n v="1.0"/>
        <n v="5.0"/>
        <n v="24.0"/>
        <n v="35.0"/>
        <n v="12.0"/>
        <n v="80.0"/>
        <n v="1203.0"/>
        <n v="216.0"/>
        <n v="318.0"/>
        <n v="384.0"/>
        <n v="248.0"/>
        <n v="150.0"/>
        <n v="11.0"/>
        <n v="28.0"/>
        <n v="7.0"/>
        <n v="15.0"/>
        <n v="17.0"/>
        <n v="444.0"/>
        <n v="1306.0"/>
        <n v="602.0"/>
        <n v="736.0"/>
        <n v="704.0"/>
        <n v="168.0"/>
        <n v="30.0"/>
        <n v="362.0"/>
        <n v="1362.0"/>
        <n v="620.0"/>
        <n v="345.0"/>
        <n v="1652.0"/>
        <n v="375.0"/>
        <m/>
        <n v="195.0"/>
        <n v="480.0"/>
        <n v="211.0"/>
        <n v="850.0"/>
        <n v="140.0"/>
        <n v="2376.0"/>
        <n v="472.0"/>
      </sharedItems>
    </cacheField>
    <cacheField name="Q/f LMO22" numFmtId="4">
      <sharedItems containsString="0" containsBlank="1" containsNumber="1" containsInteger="1">
        <n v="0.0"/>
        <n v="8.0"/>
        <n v="2.0"/>
        <m/>
        <n v="1.0"/>
        <n v="4.0"/>
        <n v="60.0"/>
        <n v="228.0"/>
        <n v="10.0"/>
        <n v="25.0"/>
        <n v="200.0"/>
        <n v="100.0"/>
        <n v="20.0"/>
        <n v="15.0"/>
        <n v="90.0"/>
        <n v="234.0"/>
        <n v="30.0"/>
        <n v="224.0"/>
        <n v="5.0"/>
        <n v="120.0"/>
        <n v="110.0"/>
        <n v="80.0"/>
        <n v="172.0"/>
        <n v="6.0"/>
        <n v="150.0"/>
      </sharedItems>
    </cacheField>
    <cacheField name="Q/f LPL33" numFmtId="4">
      <sharedItems containsString="0" containsBlank="1" containsNumber="1" containsInteger="1">
        <n v="0.0"/>
        <n v="8.0"/>
        <n v="6.0"/>
        <m/>
        <n v="2.0"/>
        <n v="15.0"/>
        <n v="200.0"/>
        <n v="20.0"/>
        <n v="60.0"/>
        <n v="40.0"/>
        <n v="1.0"/>
        <n v="140.0"/>
        <n v="10.0"/>
        <n v="3.0"/>
        <n v="25.0"/>
        <n v="120.0"/>
        <n v="50.0"/>
        <n v="45.0"/>
        <n v="5.0"/>
        <n v="30.0"/>
        <n v="100.0"/>
        <n v="7.0"/>
      </sharedItems>
    </cacheField>
    <cacheField name="Q/f LAM44" numFmtId="4">
      <sharedItems containsString="0" containsBlank="1" containsNumber="1" containsInteger="1">
        <n v="0.0"/>
        <n v="4.0"/>
        <n v="8.0"/>
        <n v="2.0"/>
        <n v="10.0"/>
        <m/>
        <n v="1.0"/>
        <n v="50.0"/>
        <n v="100.0"/>
        <n v="5.0"/>
        <n v="25.0"/>
        <n v="180.0"/>
        <n v="45.0"/>
        <n v="15.0"/>
        <n v="20.0"/>
        <n v="30.0"/>
        <n v="300.0"/>
        <n v="80.0"/>
        <n v="110.0"/>
        <n v="84.0"/>
        <n v="9.0"/>
        <n v="200.0"/>
      </sharedItems>
    </cacheField>
    <cacheField name="Q/f LR55" numFmtId="0">
      <sharedItems containsString="0" containsBlank="1" containsNumber="1" containsInteger="1">
        <m/>
        <n v="0.0"/>
        <n v="4.0"/>
        <n v="16.0"/>
        <n v="2.0"/>
        <n v="6.0"/>
        <n v="8.0"/>
        <n v="38.0"/>
        <n v="1.0"/>
        <n v="3.0"/>
        <n v="280.0"/>
        <n v="100.0"/>
        <n v="1120.0"/>
        <n v="15.0"/>
        <n v="218.0"/>
        <n v="25.0"/>
        <n v="20.0"/>
        <n v="12.0"/>
        <n v="222.0"/>
      </sharedItems>
    </cacheField>
    <cacheField name="Q/f LN66" numFmtId="4">
      <sharedItems containsString="0" containsBlank="1" containsNumber="1" containsInteger="1">
        <n v="0.0"/>
        <n v="9.0"/>
        <n v="18.0"/>
        <n v="10.0"/>
        <n v="2.0"/>
        <n v="6.0"/>
        <n v="56.0"/>
        <n v="4.0"/>
        <n v="1.0"/>
        <n v="20.0"/>
        <n v="220.0"/>
        <n v="8.0"/>
        <n v="50.0"/>
        <n v="15.0"/>
        <n v="30.0"/>
        <m/>
        <n v="100.0"/>
        <n v="5.0"/>
        <n v="3.0"/>
        <n v="70.0"/>
        <n v="25.0"/>
        <n v="200.0"/>
      </sharedItems>
    </cacheField>
    <cacheField name="Q/f LAZ77" numFmtId="0">
      <sharedItems containsString="0" containsBlank="1" containsNumber="1" containsInteger="1">
        <m/>
        <n v="0.0"/>
        <n v="10.0"/>
        <n v="20.0"/>
        <n v="12.0"/>
        <n v="2.0"/>
        <n v="8.0"/>
        <n v="80.0"/>
        <n v="1.0"/>
        <n v="250.0"/>
        <n v="50.0"/>
        <n v="30.0"/>
        <n v="100.0"/>
        <n v="4.0"/>
        <n v="6.0"/>
        <n v="5.0"/>
        <n v="3.0"/>
        <n v="54.0"/>
        <n v="200.0"/>
      </sharedItems>
    </cacheField>
    <cacheField name="Q/f LB88" numFmtId="4">
      <sharedItems containsString="0" containsBlank="1" containsNumber="1" containsInteger="1">
        <n v="0.0"/>
        <n v="2.0"/>
        <n v="16.0"/>
        <m/>
        <n v="40.0"/>
        <n v="10.0"/>
        <n v="20.0"/>
        <n v="4.0"/>
        <n v="6.0"/>
        <n v="133.0"/>
      </sharedItems>
    </cacheField>
    <cacheField name="Q/f LCE99" numFmtId="0">
      <sharedItems containsString="0" containsBlank="1" containsNumber="1" containsInteger="1">
        <m/>
        <n v="0.0"/>
        <n v="2.0"/>
        <n v="16.0"/>
        <n v="60.0"/>
        <n v="50.0"/>
        <n v="40.0"/>
        <n v="10.0"/>
        <n v="6.0"/>
        <n v="1.0"/>
        <n v="156.0"/>
        <n v="5.0"/>
        <n v="310.0"/>
      </sharedItems>
    </cacheField>
    <cacheField name="Q/f LCA1010" numFmtId="4">
      <sharedItems containsString="0" containsBlank="1" containsNumber="1" containsInteger="1">
        <n v="0.0"/>
        <n v="8.0"/>
        <m/>
        <n v="1.0"/>
        <n v="6.0"/>
        <n v="2.0"/>
        <n v="26.0"/>
      </sharedItems>
    </cacheField>
    <cacheField name="Q/f LV1111" numFmtId="0">
      <sharedItems containsString="0" containsBlank="1" containsNumber="1" containsInteger="1">
        <m/>
        <n v="0.0"/>
        <n v="2.0"/>
        <n v="4.0"/>
        <n v="50.0"/>
        <n v="25.0"/>
        <n v="1.0"/>
        <n v="83.0"/>
        <n v="10.0"/>
        <n v="3.0"/>
        <n v="120.0"/>
        <n v="20.0"/>
      </sharedItems>
    </cacheField>
    <cacheField name="Q 2026" numFmtId="4">
      <sharedItems containsString="0" containsBlank="1" containsNumber="1" containsInteger="1">
        <n v="0.0"/>
        <n v="4.0"/>
        <n v="23.0"/>
        <n v="94.0"/>
        <n v="8.0"/>
        <n v="48.0"/>
        <n v="10.0"/>
        <n v="20.0"/>
        <n v="27.0"/>
        <n v="174.0"/>
        <n v="18.0"/>
        <n v="3.0"/>
        <n v="5.0"/>
        <n v="60.0"/>
        <n v="50.0"/>
        <n v="754.0"/>
        <n v="100.0"/>
        <n v="15.0"/>
        <n v="1350.0"/>
        <n v="70.0"/>
        <n v="585.0"/>
        <n v="2.0"/>
        <n v="958.0"/>
        <n v="300.0"/>
        <n v="814.0"/>
        <n v="40.0"/>
        <n v="1.0"/>
        <n v="6.0"/>
        <n v="12.0"/>
        <n v="22.0"/>
        <n v="16.0"/>
        <n v="9.0"/>
        <n v="80.0"/>
        <n v="315.0"/>
        <n v="130.0"/>
        <n v="318.0"/>
        <n v="596.0"/>
        <n v="150.0"/>
        <n v="156.0"/>
        <n v="500.0"/>
        <n v="200.0"/>
        <n v="190.0"/>
        <n v="35.0"/>
        <n v="92.0"/>
        <n v="234.0"/>
        <n v="254.0"/>
        <n v="17.0"/>
        <n v="620.0"/>
        <n v="310.0"/>
        <n v="105.0"/>
        <m/>
        <n v="220.0"/>
        <n v="42.0"/>
        <n v="180.0"/>
        <n v="376.0"/>
        <n v="25.0"/>
        <n v="326.0"/>
        <n v="800.0"/>
        <n v="342.0"/>
      </sharedItems>
    </cacheField>
    <cacheField name="Q Total" numFmtId="4">
      <sharedItems containsSemiMixedTypes="0" containsString="0" containsNumber="1" containsInteger="1">
        <n v="0.0"/>
        <n v="12.0"/>
        <n v="10.0"/>
        <n v="50.0"/>
        <n v="56.0"/>
        <n v="32.0"/>
        <n v="13.0"/>
        <n v="246.0"/>
        <n v="68.0"/>
        <n v="124.0"/>
        <n v="8.0"/>
        <n v="43.0"/>
        <n v="26.0"/>
        <n v="52.0"/>
        <n v="76.0"/>
        <n v="818.0"/>
        <n v="352.0"/>
        <n v="102.0"/>
        <n v="1.0"/>
        <n v="42.0"/>
        <n v="9.0"/>
        <n v="14.0"/>
        <n v="18.0"/>
        <n v="60.0"/>
        <n v="100.0"/>
        <n v="92.0"/>
        <n v="1098.0"/>
        <n v="36.0"/>
        <n v="300.0"/>
        <n v="35.0"/>
        <n v="1930.0"/>
        <n v="16.0"/>
        <n v="140.0"/>
        <n v="1075.0"/>
        <n v="6.0"/>
        <n v="1216.0"/>
        <n v="41.0"/>
        <n v="488.0"/>
        <n v="4.0"/>
        <n v="970.0"/>
        <n v="86.0"/>
        <n v="7.0"/>
        <n v="22.0"/>
        <n v="2.0"/>
        <n v="5.0"/>
        <n v="19.0"/>
        <n v="30.0"/>
        <n v="46.0"/>
        <n v="55.0"/>
        <n v="11.0"/>
        <n v="28.0"/>
        <n v="3.0"/>
        <n v="17.0"/>
        <n v="210.0"/>
        <n v="655.0"/>
        <n v="72.0"/>
        <n v="2453.0"/>
        <n v="276.0"/>
        <n v="346.0"/>
        <n v="636.0"/>
        <n v="980.0"/>
        <n v="292.0"/>
        <n v="270.0"/>
        <n v="574.0"/>
        <n v="200.0"/>
        <n v="40.0"/>
        <n v="21.0"/>
        <n v="27.0"/>
        <n v="24.0"/>
        <n v="150.0"/>
        <n v="63.0"/>
        <n v="64.0"/>
        <n v="20.0"/>
        <n v="672.0"/>
        <n v="156.0"/>
        <n v="2446.0"/>
        <n v="1117.0"/>
        <n v="1278.0"/>
        <n v="70.0"/>
        <n v="71.0"/>
        <n v="228.0"/>
        <n v="62.0"/>
        <n v="1656.0"/>
        <n v="25.0"/>
        <n v="414.0"/>
        <n v="492.0"/>
        <n v="170.0"/>
        <n v="974.0"/>
        <n v="160.0"/>
        <n v="1686.0"/>
        <n v="34.0"/>
        <n v="1740.0"/>
        <n v="15.0"/>
        <n v="580.0"/>
        <n v="935.0"/>
        <n v="2012.0"/>
        <n v="480.0"/>
        <n v="47.0"/>
        <n v="61.0"/>
        <n v="195.0"/>
        <n v="660.0"/>
        <n v="575.0"/>
        <n v="91.0"/>
        <n v="562.0"/>
        <n v="1352.0"/>
        <n v="79.0"/>
        <n v="250.0"/>
        <n v="110.0"/>
        <n v="45.0"/>
        <n v="33.0"/>
        <n v="792.0"/>
        <n v="3376.0"/>
        <n v="125.0"/>
        <n v="158.0"/>
        <n v="814.0"/>
      </sharedItems>
    </cacheField>
    <cacheField name="P.U. $us." numFmtId="4">
      <sharedItems containsString="0" containsBlank="1" containsNumber="1">
        <n v="9446.55"/>
        <n v="325.03"/>
        <m/>
        <n v="2388.56"/>
        <n v="754.93"/>
        <n v="145.09"/>
        <n v="45.03"/>
        <n v="61.68"/>
        <n v="132.6"/>
        <n v="8.11"/>
        <n v="22.04"/>
        <n v="7.92"/>
        <n v="93.56"/>
        <n v="25.92"/>
        <n v="20.42"/>
        <n v="10.04"/>
        <n v="0.69"/>
        <n v="2.11"/>
        <n v="1.15"/>
        <n v="0.27"/>
        <n v="692.48"/>
        <n v="35.57"/>
        <n v="34.19"/>
        <n v="32.26"/>
        <n v="15.0"/>
        <n v="10.69"/>
        <n v="23.0"/>
        <n v="57.11"/>
        <n v="27.03"/>
        <n v="5.34"/>
        <n v="91.06"/>
        <n v="5.61"/>
        <n v="16.0"/>
        <n v="0.39"/>
        <n v="18.23"/>
        <n v="1.73"/>
        <n v="0.23"/>
        <n v="1.27"/>
        <n v="17.54"/>
        <n v="0.11"/>
        <n v="1.35"/>
        <n v="0.46"/>
        <n v="0.08"/>
        <n v="6.73"/>
        <n v="1.77"/>
        <n v="115.29"/>
        <n v="2573.57"/>
        <n v="4345.36"/>
        <n v="1661.89"/>
        <n v="36.61"/>
        <n v="27.92"/>
        <n v="3.38"/>
        <n v="0.31"/>
        <n v="100.26"/>
        <n v="8341.04"/>
        <n v="8199.26"/>
        <n v="123.37"/>
        <n v="17.11"/>
        <n v="3.77"/>
        <n v="1.19"/>
        <n v="12845.69"/>
        <n v="2389.29"/>
        <n v="2625.33"/>
        <n v="257.23"/>
        <n v="1224.6"/>
        <n v="1185.38"/>
        <n v="394.79"/>
        <n v="529.85"/>
        <n v="282.77"/>
        <n v="313.88"/>
        <n v="1078.24"/>
        <n v="484.16"/>
        <n v="172.21"/>
        <n v="414.9"/>
        <n v="289.31"/>
        <n v="9.92"/>
        <n v="140.17"/>
        <n v="26.92"/>
        <n v="25.3"/>
        <n v="41.96"/>
        <n v="55.42"/>
        <n v="159.94"/>
        <n v="144.09"/>
        <n v="133.91"/>
        <n v="33.65"/>
        <n v="19.19"/>
        <n v="7.19"/>
        <n v="40.73"/>
        <n v="7.31"/>
        <n v="0.89"/>
        <n v="4564.72"/>
        <n v="2681.4"/>
        <n v="998.02"/>
        <n v="2796.23"/>
        <n v="244.2"/>
        <n v="473.94"/>
        <n v="447.44"/>
        <n v="268.12"/>
        <n v="448.71"/>
        <n v="125.37"/>
        <n v="354.76"/>
        <n v="109.72"/>
        <n v="288.42"/>
        <n v="226.93"/>
        <n v="71.14"/>
        <n v="406.68"/>
        <n v="73.57"/>
        <n v="131.21"/>
        <n v="56.07"/>
        <n v="30.57"/>
        <n v="112.25"/>
        <n v="17.34"/>
        <n v="16.19"/>
        <n v="8.08"/>
        <n v="8.31"/>
        <n v="23.5"/>
        <n v="7.0"/>
        <n v="11.88"/>
        <n v="9.77"/>
        <n v="8.58"/>
        <n v="1.96"/>
        <n v="416.02"/>
        <n v="88.95"/>
        <n v="491.05"/>
        <n v="536.31"/>
        <n v="106.68"/>
        <n v="13.69"/>
        <n v="69.03"/>
        <n v="2804.61"/>
        <n v="1705.53"/>
        <n v="1604.45"/>
        <n v="11.57"/>
        <n v="32.92"/>
        <n v="4.31"/>
        <n v="1212.66"/>
        <n v="183.97"/>
        <n v="2757.54"/>
        <n v="3223.6"/>
        <n v="839.54"/>
        <n v="12708.5"/>
        <n v="601.46"/>
        <n v="342.26"/>
        <n v="430.79"/>
        <n v="669.75"/>
        <n v="1333.7"/>
        <n v="354.14"/>
        <n v="266.77"/>
        <n v="100.41"/>
        <n v="323.96"/>
        <n v="936.37"/>
        <n v="333.26"/>
        <n v="414.02"/>
        <n v="205.2"/>
        <n v="265.0"/>
        <n v="74.03"/>
        <n v="293.73"/>
        <n v="179.13"/>
        <n v="174.17"/>
        <n v="125.6"/>
        <n v="488.32"/>
        <n v="382.91"/>
        <n v="168.48"/>
        <n v="95.87"/>
        <n v="103.49"/>
        <n v="38.92"/>
        <n v="95.6"/>
        <n v="141.17"/>
        <n v="16.61"/>
        <n v="236.51"/>
        <n v="231.51"/>
        <n v="149.09"/>
        <n v="4.27"/>
        <n v="4.73"/>
        <n v="1.04"/>
        <n v="412.67"/>
        <n v="3779.06"/>
        <n v="2.96"/>
        <n v="5.23"/>
        <n v="2.31"/>
        <n v="2.46"/>
        <n v="133.56"/>
        <n v="93.64"/>
        <n v="22.77"/>
        <n v="40.61"/>
        <n v="33.73"/>
        <n v="302.61"/>
        <n v="432.48"/>
        <n v="49.22"/>
        <n v="357.72"/>
        <n v="194.51"/>
        <n v="14.96"/>
        <n v="90.49"/>
        <n v="65.03"/>
        <n v="15.65"/>
        <n v="11.81"/>
        <n v="3.81"/>
        <n v="13.42"/>
        <n v="33.92"/>
        <n v="40.65"/>
        <n v="0.73"/>
        <n v="10.96"/>
        <n v="11.11"/>
        <n v="439.02"/>
        <n v="261.0"/>
        <n v="205.63"/>
        <n v="35.34"/>
        <n v="274.62"/>
        <n v="41.53"/>
        <n v="55.84"/>
        <n v="92.68"/>
        <n v="19.07"/>
        <n v="102.95"/>
        <n v="280.08"/>
        <n v="100.29"/>
        <n v="36.46"/>
        <n v="86.76"/>
        <n v="83.87"/>
        <n v="64.26"/>
        <n v="94.95"/>
        <n v="94.87"/>
        <n v="0.65"/>
        <n v="1.0"/>
        <n v="1.5"/>
        <n v="1.89"/>
        <n v="4972.78"/>
      </sharedItems>
    </cacheField>
    <cacheField name="P.U. Bs" numFmtId="4">
      <sharedItems containsSemiMixedTypes="0" containsString="0" containsNumber="1">
        <n v="65842.45349999999"/>
        <n v="2265.4590999999996"/>
        <n v="0.0"/>
        <n v="16624.3776"/>
        <n v="5254.3128"/>
        <n v="1009.8264"/>
        <n v="313.4088"/>
        <n v="429.2928"/>
        <n v="922.896"/>
        <n v="56.4456"/>
        <n v="153.39839999999998"/>
        <n v="55.1232"/>
        <n v="651.1776"/>
        <n v="180.4032"/>
        <n v="142.1232"/>
        <n v="69.8784"/>
        <n v="4.8024"/>
        <n v="14.685599999999999"/>
        <n v="8.004"/>
        <n v="1.8792000000000002"/>
        <n v="4819.6608"/>
        <n v="247.5672"/>
        <n v="237.96239999999997"/>
        <n v="224.5296"/>
        <n v="104.4"/>
        <n v="74.4024"/>
        <n v="160.08"/>
        <n v="397.4856"/>
        <n v="188.1288"/>
        <n v="37.166399999999996"/>
        <n v="633.7776"/>
        <n v="39.0456"/>
        <n v="111.36"/>
        <n v="2.7144"/>
        <n v="126.88080000000001"/>
        <n v="12.040799999999999"/>
        <n v="1.6008"/>
        <n v="8.8392"/>
        <n v="122.07839999999999"/>
        <n v="0.7656"/>
        <n v="9.396"/>
        <n v="3.2016"/>
        <n v="0.5568"/>
        <n v="46.8408"/>
        <n v="12.3192"/>
        <n v="12.6157"/>
        <n v="803.5713000000001"/>
        <n v="17912.0472"/>
        <n v="30243.705599999998"/>
        <n v="11566.7544"/>
        <n v="254.8056"/>
        <n v="194.3232"/>
        <n v="23.5248"/>
        <n v="2.1576"/>
        <n v="698.8122"/>
        <n v="111327.4886"/>
        <n v="1154.0"/>
        <n v="2514.3"/>
        <n v="58053.6384"/>
        <n v="57066.8496"/>
        <n v="858.6552"/>
        <n v="119.0856"/>
        <n v="26.2392"/>
        <n v="8.282399999999999"/>
        <n v="89406.0024"/>
        <n v="16629.4584"/>
        <n v="1850.0"/>
        <n v="18272.2968"/>
        <n v="1790.3208000000002"/>
        <n v="8523.215999999999"/>
        <n v="8250.2448"/>
        <n v="2747.7384"/>
        <n v="3687.7560000000003"/>
        <n v="1968.0792"/>
        <n v="2184.6048"/>
        <n v="7504.5504"/>
        <n v="3369.7536"/>
        <n v="1198.5816"/>
        <n v="2887.7039999999997"/>
        <n v="2013.5976"/>
        <n v="69.0432"/>
        <n v="975.5831999999999"/>
        <n v="187.3632"/>
        <n v="176.088"/>
        <n v="292.0416"/>
        <n v="385.7232"/>
        <n v="1113.1824"/>
        <n v="1002.8664"/>
        <n v="932.0136"/>
        <n v="234.20399999999998"/>
        <n v="133.5624"/>
        <n v="50.0424"/>
        <n v="283.4808"/>
        <n v="50.877599999999994"/>
        <n v="6.1944"/>
        <n v="31770.451200000003"/>
        <n v="18662.544"/>
        <n v="6946.2192"/>
        <n v="26783.8978"/>
        <n v="19461.7608"/>
        <n v="1699.6319999999998"/>
        <n v="3298.6223999999997"/>
        <n v="3114.1824"/>
        <n v="1866.1152"/>
        <n v="3123.0216"/>
        <n v="872.5752"/>
        <n v="2469.1295999999998"/>
        <n v="763.6512"/>
        <n v="2007.4032000000002"/>
        <n v="1579.4328"/>
        <n v="495.1344"/>
        <n v="2830.4928"/>
        <n v="512.0472"/>
        <n v="913.2216000000001"/>
        <n v="390.2472"/>
        <n v="212.7672"/>
        <n v="850.4793999999999"/>
        <n v="781.26"/>
        <n v="120.68639999999999"/>
        <n v="112.6824"/>
        <n v="56.2368"/>
        <n v="57.8376"/>
        <n v="163.56"/>
        <n v="318.66839999999996"/>
        <n v="48.72"/>
        <n v="82.68480000000001"/>
        <n v="67.9992"/>
        <n v="59.7168"/>
        <n v="13.6416"/>
        <n v="2895.4991999999997"/>
        <n v="619.092"/>
        <n v="3417.708"/>
        <n v="3732.7175999999995"/>
        <n v="3500.0"/>
        <n v="205.0"/>
        <n v="742.4928"/>
        <n v="95.2824"/>
        <n v="594.5"/>
        <n v="355.96"/>
        <n v="480.4488"/>
        <n v="19520.085600000002"/>
        <n v="11870.4888"/>
        <n v="66.0"/>
        <n v="21325.7605"/>
        <n v="11166.972"/>
        <n v="80.52720000000001"/>
        <n v="10.6"/>
        <n v="229.1232"/>
        <n v="2.0"/>
        <n v="29.9976"/>
        <n v="8452.2402"/>
        <n v="5615.729"/>
        <n v="1280.4312"/>
        <n v="8470.0834"/>
        <n v="9574.689"/>
        <n v="19192.4784"/>
        <n v="19505.2662"/>
        <n v="4161.09"/>
        <n v="22436.255999999998"/>
        <n v="5843.198399999999"/>
        <n v="7958.1368999999995"/>
        <n v="1162.2475"/>
        <n v="88451.16"/>
        <n v="4186.1616"/>
        <n v="2382.1295999999998"/>
        <n v="2998.2984"/>
        <n v="4661.46"/>
        <n v="9282.552"/>
        <n v="2464.8143999999998"/>
        <n v="1856.7191999999998"/>
        <n v="698.8536"/>
        <n v="2254.7616"/>
        <n v="6517.1352"/>
        <n v="2319.4896"/>
        <n v="2881.5791999999997"/>
        <n v="1428.192"/>
        <n v="1844.4"/>
        <n v="515.2488"/>
        <n v="2044.3608000000002"/>
        <n v="1246.7448"/>
        <n v="1212.2232"/>
        <n v="874.1759999999999"/>
        <n v="3398.7072"/>
        <n v="2665.0536"/>
        <n v="1172.6208"/>
        <n v="667.2552000000001"/>
        <n v="720.2904"/>
        <n v="270.8832"/>
        <n v="665.376"/>
        <n v="982.5432"/>
        <n v="697.8096"/>
        <n v="115.6056"/>
        <n v="1646.1096"/>
        <n v="1611.3095999999998"/>
        <n v="1037.6664"/>
        <n v="29.719199999999997"/>
        <n v="32.9208"/>
        <n v="7.2384"/>
        <n v="7062.5616"/>
        <n v="30693.510199999997"/>
        <n v="2872.1832"/>
        <n v="422.45169999999996"/>
        <n v="26302.2576"/>
        <n v="112.0"/>
        <n v="69.0"/>
        <n v="49.0"/>
        <n v="94.0"/>
        <n v="127.0"/>
        <n v="48.0"/>
        <n v="67.0"/>
        <n v="20.6016"/>
        <n v="36.400800000000004"/>
        <n v="56.0"/>
        <n v="20.0"/>
        <n v="16.0776"/>
        <n v="17.1216"/>
        <n v="72.0"/>
        <n v="929.5776"/>
        <n v="651.7344"/>
        <n v="158.4792"/>
        <n v="282.6456"/>
        <n v="234.7608"/>
        <n v="2106.1656000000003"/>
        <n v="3010.0608"/>
        <n v="342.5712"/>
        <n v="2489.7312"/>
        <n v="1353.7895999999998"/>
        <n v="104.1216"/>
        <n v="629.8104"/>
        <n v="452.60880000000003"/>
        <n v="108.924"/>
        <n v="82.19760000000001"/>
        <n v="26.5176"/>
        <n v="93.4032"/>
        <n v="236.0832"/>
        <n v="282.924"/>
        <n v="5.0808"/>
        <n v="76.28160000000001"/>
        <n v="77.43669999999999"/>
        <n v="3059.9694"/>
        <n v="2262.69"/>
        <n v="424.5"/>
        <n v="47.3"/>
        <n v="1819.1699999999998"/>
        <n v="1431.1848"/>
        <n v="245.96640000000002"/>
        <n v="1911.3552"/>
        <n v="289.0488"/>
        <n v="388.6464"/>
        <n v="645.0528"/>
        <n v="132.7272"/>
        <n v="716.532"/>
        <n v="1949.3567999999998"/>
        <n v="698.0184"/>
        <n v="253.76160000000002"/>
        <n v="603.8496"/>
        <n v="583.7352000000001"/>
        <n v="447.24960000000004"/>
        <n v="660.852"/>
        <n v="660.2952"/>
        <n v="4.524"/>
        <n v="6.96"/>
        <n v="10.44"/>
        <n v="13.154399999999999"/>
        <n v="8665.7313"/>
        <n v="34610.5488"/>
      </sharedItems>
    </cacheField>
    <cacheField name="Bs LMO/24" numFmtId="0">
      <sharedItems containsString="0" containsBlank="1" containsNumber="1">
        <m/>
        <n v="0.0"/>
        <n v="2507.2704"/>
        <n v="3691.584"/>
        <n v="903.1296"/>
        <n v="495.1344"/>
        <n v="237.96239999999997"/>
        <n v="208.8"/>
        <n v="148.8048"/>
        <n v="9232.0"/>
        <n v="2514.3"/>
        <n v="1717.3104"/>
        <n v="14800.0"/>
        <n v="14322.566400000002"/>
        <n v="2747.7384"/>
        <n v="1968.0792"/>
        <n v="2184.6048"/>
        <n v="2397.1632"/>
        <n v="552.3456"/>
        <n v="584.0832"/>
        <n v="385.7232"/>
        <n v="24.7776"/>
        <n v="16198.008"/>
        <n v="35670.0"/>
        <n v="21357.6"/>
        <n v="23740.9776"/>
        <n v="805.272"/>
        <n v="530.0"/>
        <n v="88451.16"/>
        <n v="9282.552"/>
        <n v="672.0"/>
        <n v="414.0"/>
        <n v="392.0"/>
        <n v="376.0"/>
        <n v="254.0"/>
        <n v="288.0"/>
        <n v="268.0"/>
        <n v="188.0"/>
        <n v="164.8128"/>
        <n v="134.0"/>
        <n v="582.4128000000001"/>
        <n v="112.0"/>
        <n v="120.0"/>
        <n v="77154.9408"/>
        <n v="33280.632"/>
        <n v="28264.56"/>
        <n v="11738.039999999999"/>
        <n v="42123.312000000005"/>
        <n v="30831.408"/>
        <n v="12596.207999999999"/>
        <n v="5446.200000000001"/>
        <n v="2937.12"/>
        <n v="4109.88"/>
        <n v="1193.2920000000001"/>
        <n v="1180.416"/>
        <n v="1131.696"/>
        <n v="1016.16"/>
        <n v="762.8160000000001"/>
        <n v="128.064"/>
        <n v="258.912"/>
        <n v="71559.24"/>
        <n v="6450.528"/>
        <n v="21495.960000000003"/>
        <n v="6980.184"/>
        <n v="7612.848000000001"/>
        <n v="6038.496"/>
        <n v="361.92"/>
        <n v="20.88"/>
        <n v="6.4032"/>
      </sharedItems>
    </cacheField>
    <cacheField name="Bs LPL/24" numFmtId="0">
      <sharedItems containsString="0" containsBlank="1" containsNumber="1">
        <m/>
        <n v="0.0"/>
        <n v="1880.4528"/>
        <n v="3691.584"/>
        <n v="677.3471999999999"/>
        <n v="1227.1871999999998"/>
        <n v="495.1344"/>
        <n v="237.96239999999997"/>
        <n v="1717.3104"/>
        <n v="11100.0"/>
        <n v="7161.283200000001"/>
        <n v="3936.1584"/>
        <n v="2184.6048"/>
        <n v="1198.5816"/>
        <n v="414.25919999999996"/>
        <n v="562.0896"/>
        <n v="176.088"/>
        <n v="18.583199999999998"/>
        <n v="9528.24"/>
        <n v="5339.4"/>
        <n v="161.05440000000002"/>
        <n v="212.0"/>
        <n v="448.0"/>
        <n v="276.0"/>
        <n v="294.0"/>
        <n v="376.0"/>
        <n v="254.0"/>
        <n v="192.0"/>
        <n v="134.0"/>
        <n v="188.0"/>
        <n v="164.8128"/>
        <n v="112.0"/>
        <n v="80.0"/>
        <n v="37183.104"/>
        <n v="15847.919999999998"/>
        <n v="4239.684"/>
        <n v="14085.648"/>
        <n v="10530.828000000001"/>
        <n v="2055.4272"/>
        <n v="6768.947999999999"/>
        <n v="2519.2416"/>
        <n v="4356.96"/>
        <n v="1762.272"/>
        <n v="2465.9280000000003"/>
        <n v="397.764"/>
        <n v="1868.0639999999999"/>
        <n v="472.1664"/>
        <n v="96.048"/>
        <n v="107.88"/>
        <n v="135.72"/>
        <n v="42935.544"/>
        <n v="2459.664"/>
        <n v="17202.196799999998"/>
        <n v="2890.4880000000003"/>
        <n v="16323.1488"/>
        <n v="3225.264"/>
        <n v="3490.092"/>
        <n v="1811.5488"/>
        <n v="2236.248"/>
        <n v="660.852"/>
        <n v="1320.5904"/>
        <n v="45.24"/>
        <n v="10.44"/>
      </sharedItems>
    </cacheField>
    <cacheField name="Bs LAM/24" numFmtId="0">
      <sharedItems containsString="0" containsBlank="1" containsNumber="1">
        <m/>
        <n v="0.0"/>
        <n v="2507.2704"/>
        <n v="6868.6848"/>
        <n v="903.1296"/>
        <n v="1533.984"/>
        <n v="4819.6608"/>
        <n v="495.1344"/>
        <n v="237.96239999999997"/>
        <n v="449.0592"/>
        <n v="208.8"/>
        <n v="148.8048"/>
        <n v="4616.0"/>
        <n v="1717.3104"/>
        <n v="7161.283200000001"/>
        <n v="8523.215999999999"/>
        <n v="2747.7384"/>
        <n v="3687.7560000000003"/>
        <n v="4369.2096"/>
        <n v="7504.5504"/>
        <n v="3369.7536"/>
        <n v="2397.1632"/>
        <n v="2887.7039999999997"/>
        <n v="2013.5976"/>
        <n v="552.3456"/>
        <n v="936.816"/>
        <n v="352.176"/>
        <n v="584.0832"/>
        <n v="385.7232"/>
        <n v="24.7776"/>
        <n v="12300.0"/>
        <n v="33348.84"/>
        <n v="35596.0"/>
        <n v="11870.4888"/>
        <n v="8052.720000000001"/>
        <n v="424.0"/>
        <n v="4582.464"/>
        <n v="3398.7072"/>
        <n v="672.0"/>
        <n v="414.0"/>
        <n v="588.0"/>
        <n v="254.0"/>
        <n v="288.0"/>
        <n v="268.0"/>
        <n v="188.0"/>
        <n v="164.8128"/>
        <n v="134.0"/>
        <n v="582.4128000000001"/>
        <n v="112.0"/>
        <n v="120.0"/>
        <n v="79014.09599999999"/>
        <n v="31695.839999999997"/>
        <n v="56529.12"/>
        <n v="45074.073599999996"/>
        <n v="21061.656000000003"/>
        <n v="45150.912000000004"/>
        <n v="13702.847999999998"/>
        <n v="24897.312"/>
        <n v="3493.92"/>
        <n v="20306.843999999997"/>
        <n v="1041.216"/>
        <n v="6298.103999999999"/>
        <n v="8713.92"/>
        <n v="2937.12"/>
        <n v="6575.808000000001"/>
        <n v="1325.88"/>
        <n v="4670.16"/>
        <n v="2360.832"/>
        <n v="1414.62"/>
        <n v="1524.24"/>
        <n v="381.4080000000001"/>
        <n v="128.064"/>
        <n v="237.33599999999998"/>
        <n v="100182.936"/>
        <n v="19113.552"/>
        <n v="14452.440000000002"/>
        <n v="32646.2976"/>
        <n v="5805.475200000001"/>
        <n v="6636.360000000001"/>
        <n v="21495.960000000003"/>
        <n v="6980.184"/>
        <n v="7612.848000000001"/>
        <n v="6038.496"/>
        <n v="4669.881600000001"/>
        <n v="2236.248"/>
        <n v="3304.2599999999998"/>
        <n v="2641.1808"/>
        <n v="226.2"/>
        <n v="1392.0"/>
        <n v="20.88"/>
        <n v="6.4032"/>
      </sharedItems>
    </cacheField>
    <cacheField name="Bs LR/24" numFmtId="0">
      <sharedItems containsString="0" containsBlank="1" containsNumber="1">
        <m/>
        <n v="0.0"/>
        <n v="1253.6352"/>
        <n v="903.1296"/>
        <n v="2525.9231999999997"/>
        <n v="304.152"/>
        <n v="37.584"/>
        <n v="495.1344"/>
        <n v="237.96239999999997"/>
        <n v="449.0592"/>
        <n v="208.8"/>
        <n v="223.2072"/>
        <n v="1717.3104"/>
        <n v="14800.0"/>
        <n v="2184.6048"/>
        <n v="3369.7536"/>
        <n v="2013.5976"/>
        <n v="414.25919999999996"/>
        <n v="975.5831999999999"/>
        <n v="234.20399999999998"/>
        <n v="133.5624"/>
        <n v="50.877599999999994"/>
        <n v="57400.0"/>
        <n v="1166.0"/>
        <n v="3398.7072"/>
        <n v="560.0"/>
        <n v="345.0"/>
        <n v="490.0"/>
        <n v="376.0"/>
        <n v="384.0"/>
        <n v="268.0"/>
        <n v="134.0"/>
        <n v="112.0"/>
        <n v="80.0"/>
        <n v="11453.376"/>
        <n v="1615.416"/>
        <n v="5833.872"/>
        <n v="576.288"/>
        <n v="32084.416800000003"/>
        <n v="6450.528"/>
        <n v="15594.854399999998"/>
        <n v="1004.328"/>
        <n v="208.79999999999998"/>
        <n v="80.04"/>
      </sharedItems>
    </cacheField>
    <cacheField name="Bs LN/24" numFmtId="0">
      <sharedItems containsString="0" containsBlank="1" containsNumber="1">
        <m/>
        <n v="0.0"/>
        <n v="1253.6352"/>
        <n v="1016.0208"/>
        <n v="3700.7711999999997"/>
        <n v="448.224"/>
        <n v="52.6176"/>
        <n v="990.2688"/>
        <n v="237.96239999999997"/>
        <n v="224.5296"/>
        <n v="104.4"/>
        <n v="74.4024"/>
        <n v="1717.3104"/>
        <n v="11100.0"/>
        <n v="8250.2448"/>
        <n v="8243.2152"/>
        <n v="3687.7560000000003"/>
        <n v="1968.0792"/>
        <n v="552.3456"/>
        <n v="975.5831999999999"/>
        <n v="234.20399999999998"/>
        <n v="133.5624"/>
        <n v="50.877599999999994"/>
        <n v="19520.085600000002"/>
        <n v="1335.6"/>
        <n v="6517.1352"/>
        <n v="5330.1072"/>
        <n v="26302.2576"/>
        <n v="560.0"/>
        <n v="345.0"/>
        <n v="490.0"/>
        <n v="376.0"/>
        <n v="254.0"/>
        <n v="384.0"/>
        <n v="268.0"/>
        <n v="188.0"/>
        <n v="164.8128"/>
        <n v="134.0"/>
        <n v="112.0"/>
        <n v="80.0"/>
        <n v="128.6208"/>
        <n v="17609.3568"/>
        <n v="13119.3216"/>
        <n v="1850.3855999999998"/>
        <n v="6019.4952"/>
        <n v="22936.2624"/>
        <n v="11610.950400000002"/>
        <n v="3898.7135999999996"/>
        <n v="226.2"/>
        <n v="522.0"/>
        <n v="80.04"/>
      </sharedItems>
    </cacheField>
    <cacheField name="Bs LAZ/24" numFmtId="0">
      <sharedItems containsString="0" containsBlank="1" containsNumber="1">
        <m/>
        <n v="0.0"/>
        <n v="1253.6352"/>
        <n v="1128.912"/>
        <n v="5345.5584"/>
        <n v="640.3199999999999"/>
        <n v="82.68480000000001"/>
        <n v="495.1344"/>
        <n v="237.96239999999997"/>
        <n v="224.5296"/>
        <n v="104.4"/>
        <n v="74.4024"/>
        <n v="1717.3104"/>
        <n v="14800.0"/>
        <n v="2747.7384"/>
        <n v="3687.7560000000003"/>
        <n v="552.3456"/>
        <n v="975.5831999999999"/>
        <n v="234.20399999999998"/>
        <n v="133.5624"/>
        <n v="175000.0"/>
        <n v="19520.085600000002"/>
        <n v="2204.7999999999997"/>
        <n v="6517.1352"/>
        <n v="560.0"/>
        <n v="345.0"/>
        <n v="490.0"/>
        <n v="376.0"/>
        <n v="508.0"/>
        <n v="576.0"/>
        <n v="268.0"/>
        <n v="564.0"/>
        <n v="164.8128"/>
        <n v="134.0"/>
        <n v="112.0"/>
        <n v="80.0"/>
        <n v="128.6208"/>
        <n v="29069.4144"/>
        <n v="3054.6047999999996"/>
        <n v="34404.393599999996"/>
        <n v="11610.950400000002"/>
        <n v="9746.784"/>
        <n v="244.296"/>
        <n v="522.0"/>
        <n v="80.04"/>
      </sharedItems>
    </cacheField>
    <cacheField name="Bs LB/24" numFmtId="0">
      <sharedItems containsString="0" containsBlank="1" containsNumber="1">
        <m/>
        <n v="0.0"/>
        <n v="1253.6352"/>
        <n v="1845.792"/>
        <n v="903.1296"/>
        <n v="1227.1871999999998"/>
        <n v="293.712"/>
        <n v="495.1344"/>
        <n v="1717.3104"/>
        <n v="16629.4584"/>
        <n v="3580.6416000000004"/>
        <n v="8523.215999999999"/>
        <n v="3687.7560000000003"/>
        <n v="1968.0792"/>
        <n v="2887.7039999999997"/>
        <n v="414.25919999999996"/>
        <n v="374.7264"/>
        <n v="352.176"/>
        <n v="1002.8664"/>
        <n v="932.0136"/>
        <n v="100.0848"/>
        <n v="12.3888"/>
        <n v="12672.5592"/>
        <n v="3559.6"/>
        <n v="7424.928"/>
        <n v="483.1632000000001"/>
        <n v="59.9952"/>
        <n v="9282.552"/>
        <n v="448.0"/>
        <n v="276.0"/>
        <n v="196.0"/>
        <n v="376.0"/>
        <n v="254.0"/>
        <n v="96.0"/>
        <n v="268.0"/>
        <n v="188.0"/>
        <n v="164.8128"/>
        <n v="134.0"/>
        <n v="112.0"/>
        <n v="40.0"/>
        <n v="136.9728"/>
        <n v="18591.552"/>
        <n v="15847.919999999998"/>
        <n v="11738.039999999999"/>
        <n v="3010.0608"/>
        <n v="9958.9248"/>
        <n v="397.764"/>
        <n v="21.576"/>
      </sharedItems>
    </cacheField>
    <cacheField name="Bs LCE/24" numFmtId="0">
      <sharedItems containsString="0" containsBlank="1" containsNumber="1">
        <m/>
        <n v="0.0"/>
        <n v="1567.0439999999999"/>
        <n v="1845.792"/>
        <n v="903.1296"/>
        <n v="1227.1871999999998"/>
        <n v="495.1344"/>
        <n v="1717.3104"/>
        <n v="16629.4584"/>
        <n v="7400.0"/>
        <n v="1790.3208000000002"/>
        <n v="8523.215999999999"/>
        <n v="1968.0792"/>
        <n v="7504.5504"/>
        <n v="69.0432"/>
        <n v="374.7264"/>
        <n v="352.176"/>
        <n v="385.7232"/>
        <n v="1113.1824"/>
        <n v="100.0848"/>
        <n v="283.4808"/>
        <n v="14864.054399999999"/>
        <n v="1779.8"/>
        <n v="4454.9568"/>
        <n v="59.9952"/>
        <n v="9282.552"/>
        <n v="448.0"/>
        <n v="276.0"/>
        <n v="196.0"/>
        <n v="376.0"/>
        <n v="254.0"/>
        <n v="96.0"/>
        <n v="268.0"/>
        <n v="188.0"/>
        <n v="164.8128"/>
        <n v="134.0"/>
        <n v="112.0"/>
        <n v="40.0"/>
        <n v="128.6208"/>
        <n v="2489.7312"/>
        <n v="397.764"/>
      </sharedItems>
    </cacheField>
    <cacheField name="Bs LCA/24" numFmtId="0">
      <sharedItems containsString="0" containsBlank="1" containsNumber="1">
        <m/>
        <n v="0.0"/>
        <n v="1253.6352"/>
        <n v="922.896"/>
        <n v="451.5648"/>
        <n v="146.856"/>
        <n v="247.5672"/>
        <n v="858.6552"/>
        <n v="276.1728"/>
        <n v="187.3632"/>
        <n v="176.088"/>
        <n v="6.1944"/>
        <n v="2477.3424"/>
        <n v="2847.68"/>
        <n v="1484.9856"/>
        <n v="161.05440000000002"/>
        <n v="134.0"/>
        <n v="136.9728"/>
        <n v="4754.376"/>
        <n v="212.1408"/>
      </sharedItems>
    </cacheField>
    <cacheField name="Bs LV/24" numFmtId="0">
      <sharedItems containsString="0" containsBlank="1" containsNumber="1">
        <m/>
        <n v="0.0"/>
        <n v="495.1344"/>
        <n v="858.6552"/>
        <n v="69.0432"/>
        <n v="374.7264"/>
        <n v="352.176"/>
        <n v="100.0848"/>
        <n v="12.3888"/>
        <n v="64575.0"/>
        <n v="7424.928"/>
        <n v="11166.972"/>
        <n v="400.0"/>
        <n v="59.9952"/>
        <n v="2688.0"/>
        <n v="1656.0"/>
        <n v="376.0"/>
        <n v="508.0"/>
        <n v="192.0"/>
        <n v="268.0"/>
        <n v="164.8128"/>
        <n v="134.0"/>
        <n v="112.0"/>
        <n v="200.0"/>
        <n v="144.0"/>
        <n v="138.0"/>
        <n v="146.856"/>
        <n v="265.17600000000004"/>
        <n v="42935.544"/>
        <n v="7963.6320000000005"/>
      </sharedItems>
    </cacheField>
    <cacheField name="Bs. 2024" numFmtId="4">
      <sharedItems containsSemiMixedTypes="0" containsString="0" containsNumber="1">
        <n v="0.0"/>
        <n v="14730.2136"/>
        <n v="6868.6848"/>
        <n v="11997.648"/>
        <n v="7789.4928"/>
        <n v="5215.5455999999995"/>
        <n v="12012.8208"/>
        <n v="1392.696"/>
        <n v="172.8864"/>
        <n v="4819.6608"/>
        <n v="5198.9112000000005"/>
        <n v="1427.7743999999998"/>
        <n v="1347.1776"/>
        <n v="835.2"/>
        <n v="669.6216"/>
        <n v="13848.0"/>
        <n v="2514.3"/>
        <n v="15455.7936"/>
        <n v="33258.9168"/>
        <n v="74000.0"/>
        <n v="34016.0952"/>
        <n v="25569.647999999994"/>
        <n v="8250.2448"/>
        <n v="16486.4304"/>
        <n v="14751.024000000001"/>
        <n v="11808.475199999999"/>
        <n v="10923.024000000001"/>
        <n v="15009.1008"/>
        <n v="6739.5072"/>
        <n v="5992.907999999999"/>
        <n v="5775.407999999999"/>
        <n v="4027.1952"/>
        <n v="3866.4192"/>
        <n v="2926.7495999999996"/>
        <n v="2810.4480000000003"/>
        <n v="1760.8799999999999"/>
        <n v="1168.1664"/>
        <n v="1157.1696000000002"/>
        <n v="1113.1824"/>
        <n v="1002.8664"/>
        <n v="932.0136"/>
        <n v="702.612"/>
        <n v="400.68719999999996"/>
        <n v="300.25440000000003"/>
        <n v="283.4808"/>
        <n v="101.75519999999999"/>
        <n v="99.1104"/>
        <n v="175000.0"/>
        <n v="134275.0"/>
        <n v="89089.044"/>
        <n v="35670.0"/>
        <n v="70480.08"/>
        <n v="39040.171200000004"/>
        <n v="35611.4664"/>
        <n v="20789.7984"/>
        <n v="11166.972"/>
        <n v="9663.264000000001"/>
        <n v="5872.4"/>
        <n v="4582.464"/>
        <n v="400.0"/>
        <n v="179.98559999999998"/>
        <n v="88451.16"/>
        <n v="27847.656"/>
        <n v="13034.2704"/>
        <n v="6797.4144"/>
        <n v="5330.1072"/>
        <n v="26302.2576"/>
        <n v="7056.0"/>
        <n v="4347.0"/>
        <n v="3136.0"/>
        <n v="3008.0"/>
        <n v="2540.0"/>
        <n v="2496.0"/>
        <n v="2412.0"/>
        <n v="2068.0"/>
        <n v="1318.5024"/>
        <n v="1206.0"/>
        <n v="1164.8256000000001"/>
        <n v="1008.0"/>
        <n v="840.0"/>
        <n v="385.8624"/>
        <n v="273.9456"/>
        <n v="144.0"/>
        <n v="138.0"/>
        <n v="211943.6928"/>
        <n v="101426.688"/>
        <n v="89033.364"/>
        <n v="82635.80159999999"/>
        <n v="73715.796"/>
        <n v="48160.9728"/>
        <n v="46589.6832"/>
        <n v="37345.968"/>
        <n v="50172.6912"/>
        <n v="27075.791999999998"/>
        <n v="25613.9136"/>
        <n v="21413.5536"/>
        <n v="18517.08"/>
        <n v="14303.774399999998"/>
        <n v="13151.616000000002"/>
        <n v="16043.148000000001"/>
        <n v="6538.224"/>
        <n v="4013.4144"/>
        <n v="2546.316"/>
        <n v="2540.4"/>
        <n v="1144.2240000000002"/>
        <n v="928.464"/>
        <n v="625.704"/>
        <n v="135.72"/>
        <n v="106346.43000000001"/>
        <n v="23347.5"/>
        <n v="2885.2999999999997"/>
        <n v="257613.264"/>
        <n v="2459.664"/>
        <n v="93656.4048"/>
        <n v="49427.344800000006"/>
        <n v="48969.4464"/>
        <n v="45153.696"/>
        <n v="14599.992000000002"/>
        <n v="42991.920000000006"/>
        <n v="29240.351999999995"/>
        <n v="17450.460000000003"/>
        <n v="15225.696000000002"/>
        <n v="13888.5408"/>
        <n v="4669.881600000001"/>
        <n v="4472.496"/>
        <n v="3965.112"/>
        <n v="3961.7712"/>
        <n v="2108.184"/>
        <n v="1392.0"/>
        <n v="1305.0"/>
        <n v="252.9264"/>
      </sharedItems>
    </cacheField>
    <cacheField name="Bs LMO/25" numFmtId="0">
      <sharedItems containsString="0" containsBlank="1" containsNumber="1">
        <m/>
        <n v="0.0"/>
        <n v="1227.1871999999998"/>
        <n v="440.9856"/>
        <n v="721.6128"/>
        <n v="284.2464"/>
        <n v="279.5136"/>
        <n v="38.4192"/>
        <n v="449.0592"/>
        <n v="2227.2"/>
        <n v="1015.0464000000001"/>
        <n v="320.16"/>
        <n v="187.92000000000002"/>
        <n v="44.544"/>
        <n v="47.0496"/>
        <n v="2514.3"/>
        <n v="476.3424"/>
        <n v="52.4784"/>
        <n v="66.25919999999999"/>
        <n v="3687.7560000000003"/>
        <n v="1968.0792"/>
        <n v="2397.1632"/>
        <n v="2887.7039999999997"/>
        <n v="352.176"/>
        <n v="50.0424"/>
        <n v="1745.1504"/>
        <n v="2469.1295999999998"/>
        <n v="97.44"/>
        <n v="11137.392"/>
        <n v="35670.0"/>
        <n v="15048.0"/>
        <n v="50489.5104"/>
        <n v="2291.232"/>
        <n v="19192.4784"/>
        <n v="8372.3232"/>
        <n v="9859.257599999999"/>
        <n v="7426.876799999999"/>
        <n v="2795.4144"/>
        <n v="4509.5232"/>
        <n v="6517.1352"/>
        <n v="4638.9792"/>
        <n v="5763.158399999999"/>
        <n v="5712.768"/>
        <n v="3688.8"/>
        <n v="1030.4976"/>
        <n v="4088.7216000000003"/>
        <n v="2493.4896"/>
        <n v="2424.4464"/>
        <n v="3496.7039999999997"/>
        <n v="2001.7656000000002"/>
        <n v="1440.5808"/>
        <n v="1330.752"/>
        <n v="982.5432"/>
        <n v="1395.6192"/>
        <n v="462.4224"/>
        <n v="1037.6664"/>
        <n v="118.87679999999999"/>
        <n v="14.4768"/>
        <n v="39619.799999999996"/>
        <n v="16958.736"/>
        <n v="11738.039999999999"/>
        <n v="45150.912000000004"/>
        <n v="24897.312"/>
        <n v="6768.947999999999"/>
        <n v="12596.207999999999"/>
        <n v="18104.352000000003"/>
        <n v="2802.096"/>
        <n v="1016.16"/>
        <n v="431.52"/>
        <n v="325.728"/>
        <n v="183598.164"/>
        <n v="72766.79999999999"/>
        <n v="100182.936"/>
        <n v="6636.360000000001"/>
        <n v="2236.248"/>
        <n v="3304.2599999999998"/>
        <n v="3961.7712"/>
        <n v="1052.3519999999999"/>
      </sharedItems>
    </cacheField>
    <cacheField name="Bs LPL/25" numFmtId="0">
      <sharedItems containsString="0" containsBlank="1" containsNumber="1">
        <m/>
        <n v="0.0"/>
        <n v="330.7392"/>
        <n v="360.8064"/>
        <n v="284.2464"/>
        <n v="279.5136"/>
        <n v="28.8144"/>
        <n v="1015.0464000000001"/>
        <n v="6924.0"/>
        <n v="2514.3"/>
        <n v="238.1712"/>
        <n v="33.129599999999996"/>
        <n v="11100.0"/>
        <n v="3687.7560000000003"/>
        <n v="3936.1584"/>
        <n v="2184.6048"/>
        <n v="2887.7039999999997"/>
        <n v="385.7232"/>
        <n v="7424.928"/>
        <n v="17835.0"/>
        <n v="14849.856"/>
        <n v="2291.232"/>
        <n v="8372.3232"/>
        <n v="4661.46"/>
        <n v="4929.6287999999995"/>
        <n v="3713.4383999999995"/>
        <n v="1397.7072"/>
        <n v="4509.5232"/>
        <n v="2319.4896"/>
        <n v="2881.5791999999997"/>
        <n v="2856.384"/>
        <n v="3688.8"/>
        <n v="1030.4976"/>
        <n v="2044.3608000000002"/>
        <n v="2493.4896"/>
        <n v="2424.4464"/>
        <n v="667.2552000000001"/>
        <n v="1440.5808"/>
        <n v="1330.752"/>
        <n v="982.5432"/>
        <n v="231.2112"/>
        <n v="118.87679999999999"/>
        <n v="14.4768"/>
        <n v="19968.3792"/>
        <n v="5652.912"/>
        <n v="7042.824"/>
        <n v="15050.304"/>
        <n v="2096.352"/>
        <n v="18104.352000000003"/>
        <n v="934.0319999999999"/>
        <n v="609.696"/>
        <n v="215.76"/>
        <n v="76499.235"/>
        <n v="45479.24999999999"/>
        <n v="57247.392"/>
        <n v="7378.992"/>
        <n v="3981.8160000000003"/>
        <n v="21495.960000000003"/>
        <n v="7612.848000000001"/>
        <n v="263.08799999999997"/>
      </sharedItems>
    </cacheField>
    <cacheField name="Bs LAM/25" numFmtId="0">
      <sharedItems containsString="0" containsBlank="1" containsNumber="1">
        <m/>
        <n v="0.0"/>
        <n v="66497.5104"/>
        <n v="440.9856"/>
        <n v="1443.2256"/>
        <n v="284.2464"/>
        <n v="279.5136"/>
        <n v="38.4192"/>
        <n v="11287.728000000001"/>
        <n v="9291.599999999999"/>
        <n v="6337.776"/>
        <n v="1357.2"/>
        <n v="602.04"/>
        <n v="400.2"/>
        <n v="191.39999999999998"/>
        <n v="100.22399999999999"/>
        <n v="40.0896"/>
        <n v="75.168"/>
        <n v="47.0496"/>
        <n v="2514.3"/>
        <n v="476.3424"/>
        <n v="52.4784"/>
        <n v="33.129599999999996"/>
        <n v="7161.283200000001"/>
        <n v="2397.1632"/>
        <n v="1113.1824"/>
        <n v="50.0424"/>
        <n v="1699.6319999999998"/>
        <n v="872.5752"/>
        <n v="97.44"/>
        <n v="7465.435199999999"/>
        <n v="11137.392"/>
        <n v="48044.88"/>
        <n v="57914.4384"/>
        <n v="8372.3232"/>
        <n v="8994.8952"/>
        <n v="9322.92"/>
        <n v="9859.257599999999"/>
        <n v="3713.4383999999995"/>
        <n v="2795.4144"/>
        <n v="4509.5232"/>
        <n v="4638.9792"/>
        <n v="2881.5791999999997"/>
        <n v="2856.384"/>
        <n v="3688.8"/>
        <n v="1030.4976"/>
        <n v="4088.7216000000003"/>
        <n v="2493.4896"/>
        <n v="2424.4464"/>
        <n v="2001.7656000000002"/>
        <n v="1440.5808"/>
        <n v="1330.752"/>
        <n v="982.5432"/>
        <n v="1395.6192"/>
        <n v="118.87679999999999"/>
        <n v="65.8416"/>
        <n v="14.4768"/>
        <n v="15847.919999999998"/>
        <n v="32396.9904"/>
        <n v="14938.387200000001"/>
        <n v="3493.92"/>
        <n v="6298.103999999999"/>
        <n v="22630.440000000002"/>
        <n v="2802.096"/>
        <n v="1524.24"/>
        <n v="86.304"/>
        <n v="61199.388"/>
        <n v="128806.632"/>
        <n v="27056.304000000004"/>
        <n v="1392.0"/>
        <n v="657.7199999999999"/>
        <n v="34610.5488"/>
      </sharedItems>
    </cacheField>
    <cacheField name="Bs LR/25" numFmtId="0">
      <sharedItems containsString="0" containsBlank="1" containsNumber="1">
        <m/>
        <n v="0.0"/>
        <n v="4039.3056"/>
        <n v="220.4928"/>
        <n v="2604.7104"/>
        <n v="1443.2256"/>
        <n v="284.2464"/>
        <n v="419.2704"/>
        <n v="38.4192"/>
        <n v="48.024"/>
        <n v="509.6112"/>
        <n v="388.6464"/>
        <n v="47.0496"/>
        <n v="58053.6384"/>
        <n v="57066.8496"/>
        <n v="714.5136"/>
        <n v="52.4784"/>
        <n v="66.25919999999999"/>
        <n v="89406.0024"/>
        <n v="16629.4584"/>
        <n v="3580.6416000000004"/>
        <n v="3687.7560000000003"/>
        <n v="2013.5976"/>
        <n v="749.4528"/>
        <n v="352.176"/>
        <n v="292.0416"/>
        <n v="1002.8664"/>
        <n v="932.0136"/>
        <n v="24.7776"/>
        <n v="31770.451200000003"/>
        <n v="6946.2192"/>
        <n v="3399.2639999999997"/>
        <n v="3298.6223999999997"/>
        <n v="3114.1824"/>
        <n v="1866.1152"/>
        <n v="3123.0216"/>
        <n v="872.5752"/>
        <n v="2469.1295999999998"/>
        <n v="763.6512"/>
        <n v="1579.4328"/>
        <n v="495.1344"/>
        <n v="512.0472"/>
        <n v="1826.4432000000002"/>
        <n v="390.2472"/>
        <n v="212.7672"/>
        <n v="781.26"/>
        <n v="120.68639999999999"/>
        <n v="112.6824"/>
        <n v="56.2368"/>
        <n v="115.6752"/>
        <n v="163.56"/>
        <n v="48.72"/>
        <n v="165.36960000000002"/>
        <n v="135.9984"/>
        <n v="59.7168"/>
        <n v="13.6416"/>
        <n v="5790.9983999999995"/>
        <n v="3712.464"/>
        <n v="20962.128"/>
        <n v="104737.83840000001"/>
        <n v="37124.64"/>
        <n v="8857.992"/>
        <n v="5843.198399999999"/>
        <n v="8372.3232"/>
        <n v="5996.5968"/>
        <n v="9322.92"/>
        <n v="9282.552"/>
        <n v="2060.9952"/>
        <n v="1748.3519999999999"/>
        <n v="4690.4832"/>
        <n v="1083.5328"/>
        <n v="462.4224"/>
        <n v="118.87679999999999"/>
        <n v="131.6832"/>
        <n v="28.9536"/>
        <n v="83661.984"/>
        <n v="31695.839999999997"/>
        <n v="62182.032"/>
        <n v="4979.4624"/>
        <n v="597.168"/>
        <n v="183598.164"/>
        <n v="72766.79999999999"/>
        <n v="32084.416800000003"/>
        <n v="72288.2304"/>
        <n v="12360.96"/>
        <n v="2920.2767999999996"/>
      </sharedItems>
    </cacheField>
    <cacheField name="Bs LN/25" numFmtId="0">
      <sharedItems containsString="0" containsBlank="1" containsNumber="1">
        <m/>
        <n v="0.0"/>
        <n v="9088.437600000001"/>
        <n v="551.232"/>
        <n v="1623.6288"/>
        <n v="284.2464"/>
        <n v="419.2704"/>
        <n v="43.221599999999995"/>
        <n v="5070.2208"/>
        <n v="3904.56"/>
        <n v="48.024"/>
        <n v="509.6112"/>
        <n v="388.6464"/>
        <n v="238.1712"/>
        <n v="104.9568"/>
        <n v="49.694399999999995"/>
        <n v="18272.2968"/>
        <n v="8951.604000000001"/>
        <n v="1968.0792"/>
        <n v="3369.7536"/>
        <n v="4027.1952"/>
        <n v="936.816"/>
        <n v="704.352"/>
        <n v="292.0416"/>
        <n v="1002.8664"/>
        <n v="932.0136"/>
        <n v="24.7776"/>
        <n v="6946.2192"/>
        <n v="1699.6319999999998"/>
        <n v="3298.6223999999997"/>
        <n v="3114.1824"/>
        <n v="1866.1152"/>
        <n v="3123.0216"/>
        <n v="872.5752"/>
        <n v="2469.1295999999998"/>
        <n v="763.6512"/>
        <n v="495.1344"/>
        <n v="2830.4928"/>
        <n v="512.0472"/>
        <n v="390.2472"/>
        <n v="212.7672"/>
        <n v="120.68639999999999"/>
        <n v="112.6824"/>
        <n v="56.2368"/>
        <n v="57.8376"/>
        <n v="48.72"/>
        <n v="13.6416"/>
        <n v="2895.4991999999997"/>
        <n v="1238.184"/>
        <n v="5197.4496"/>
        <n v="24011.1648"/>
        <n v="74907.0"/>
        <n v="14849.856"/>
        <n v="2415.8160000000003"/>
        <n v="5843.198399999999"/>
        <n v="8372.3232"/>
        <n v="9322.92"/>
        <n v="9282.552"/>
        <n v="2576.2439999999997"/>
        <n v="1748.3519999999999"/>
        <n v="1354.416"/>
        <n v="462.4224"/>
        <n v="3292.2192"/>
        <n v="3222.6191999999996"/>
        <n v="118.87679999999999"/>
        <n v="164.60399999999998"/>
        <n v="28.9536"/>
        <n v="117126.7776"/>
        <n v="31695.839999999997"/>
        <n v="71226.6912"/>
        <n v="35683.641599999995"/>
        <n v="4979.4624"/>
        <n v="105005.24160000001"/>
        <n v="23537.6064"/>
        <n v="684.0287999999999"/>
        <n v="183598.164"/>
        <n v="72766.79999999999"/>
        <n v="228989.568"/>
        <n v="24596.640000000003"/>
        <n v="14452.440000000002"/>
        <n v="113484.7488"/>
        <n v="1392.0"/>
        <n v="657.7199999999999"/>
      </sharedItems>
    </cacheField>
    <cacheField name="Bs LAZ/25" numFmtId="0">
      <sharedItems containsString="0" containsBlank="1" containsNumber="1">
        <m/>
        <n v="0.0"/>
        <n v="10098.264000000001"/>
        <n v="661.4784"/>
        <n v="1804.032"/>
        <n v="284.2464"/>
        <n v="559.0272"/>
        <n v="48.023999999999994"/>
        <n v="3904.56"/>
        <n v="96.048"/>
        <n v="17912.0472"/>
        <n v="30243.705599999998"/>
        <n v="509.6112"/>
        <n v="388.6464"/>
        <n v="238.1712"/>
        <n v="41.41199999999999"/>
        <n v="89406.0024"/>
        <n v="16629.4584"/>
        <n v="18272.2968"/>
        <n v="8951.604000000001"/>
        <n v="3369.7536"/>
        <n v="4027.1952"/>
        <n v="1124.1792"/>
        <n v="528.264"/>
        <n v="292.0416"/>
        <n v="24.7776"/>
        <n v="18662.544"/>
        <n v="6946.2192"/>
        <n v="1699.6319999999998"/>
        <n v="1866.1152"/>
        <n v="872.5752"/>
        <n v="763.6512"/>
        <n v="2007.4032000000002"/>
        <n v="495.1344"/>
        <n v="212.7672"/>
        <n v="120.68639999999999"/>
        <n v="112.6824"/>
        <n v="112.4736"/>
        <n v="97.44"/>
        <n v="13.6416"/>
        <n v="2895.4991999999997"/>
        <n v="280000.0"/>
        <n v="7424.928"/>
        <n v="39637.4784"/>
        <n v="805.272"/>
        <n v="5843.198399999999"/>
        <n v="8372.3232"/>
        <n v="9528.518399999999"/>
        <n v="4661.46"/>
        <n v="2795.4144"/>
        <n v="3091.4928"/>
        <n v="3496.7039999999997"/>
        <n v="1625.2992"/>
        <n v="462.4224"/>
        <n v="118.87679999999999"/>
        <n v="197.5248"/>
        <n v="28.9536"/>
        <n v="193352.1408"/>
        <n v="47543.759999999995"/>
        <n v="14132.28"/>
        <n v="74184.41279999999"/>
        <n v="4979.4624"/>
        <n v="17492.4288"/>
        <n v="38855.7312"/>
        <n v="1129.1904"/>
        <n v="305996.94"/>
        <n v="90958.49999999999"/>
        <n v="114494.784"/>
        <n v="18447.480000000003"/>
        <n v="14452.440000000002"/>
        <n v="144576.4608"/>
        <n v="1392.0"/>
        <n v="657.7199999999999"/>
      </sharedItems>
    </cacheField>
    <cacheField name="Bs LB/25" numFmtId="0">
      <sharedItems containsString="0" containsBlank="1" containsNumber="1">
        <m/>
        <n v="0.0"/>
        <n v="10508.6256"/>
        <n v="1009.8264"/>
        <n v="440.9856"/>
        <n v="284.2464"/>
        <n v="495.1344"/>
        <n v="752.5152"/>
        <n v="148.66559999999998"/>
        <n v="108.576"/>
        <n v="120.40799999999999"/>
        <n v="32.016"/>
        <n v="244.15679999999998"/>
        <n v="3.2016"/>
        <n v="3.0624"/>
        <n v="9.396"/>
        <n v="46.8408"/>
        <n v="1.1136"/>
        <n v="3.7584000000000004"/>
        <n v="24.6384"/>
        <n v="11566.7544"/>
        <n v="238.1712"/>
        <n v="3580.6416000000004"/>
        <n v="1968.0792"/>
        <n v="374.7264"/>
        <n v="352.176"/>
        <n v="13670.832"/>
        <n v="3712.464"/>
        <n v="12672.5592"/>
        <n v="3559.6"/>
        <n v="4290.0"/>
        <n v="7424.928"/>
        <n v="5996.5968"/>
        <n v="4661.46"/>
        <n v="2795.4144"/>
        <n v="18591.552"/>
        <n v="15847.919999999998"/>
        <n v="11738.039999999999"/>
        <n v="2489.7312"/>
        <n v="18308.1408"/>
        <n v="24471.6384"/>
        <n v="711.1727999999999"/>
        <n v="152998.47"/>
        <n v="14311.848"/>
      </sharedItems>
    </cacheField>
    <cacheField name="Bs LCE/25" numFmtId="0">
      <sharedItems containsString="0" containsBlank="1" containsNumber="1">
        <m/>
        <n v="0.0"/>
        <n v="10508.6256"/>
        <n v="1009.8264"/>
        <n v="440.9856"/>
        <n v="148.8048"/>
        <n v="19874.28"/>
        <n v="752.5152"/>
        <n v="3344.9759999999997"/>
        <n v="108.576"/>
        <n v="120.40799999999999"/>
        <n v="32.016"/>
        <n v="530.352"/>
        <n v="244.15679999999998"/>
        <n v="3.2016"/>
        <n v="3.0624"/>
        <n v="192.096"/>
        <n v="46.8408"/>
        <n v="1.1136"/>
        <n v="3.7584000000000004"/>
        <n v="24.6384"/>
        <n v="5.568"/>
        <n v="17912.0472"/>
        <n v="11566.7544"/>
        <n v="5028.6"/>
        <n v="238.1712"/>
        <n v="36544.5936"/>
        <n v="3687.7560000000003"/>
        <n v="1968.0792"/>
        <n v="12.3888"/>
        <n v="19461.7608"/>
        <n v="20506.248"/>
        <n v="14930.870399999998"/>
        <n v="3712.464"/>
        <n v="14864.054399999999"/>
        <n v="5148.0"/>
        <n v="212.0"/>
        <n v="8994.8952"/>
        <n v="4661.46"/>
        <n v="2795.4144"/>
        <n v="21662.304"/>
        <n v="28954.992"/>
      </sharedItems>
    </cacheField>
    <cacheField name="Bs LCA/25" numFmtId="0">
      <sharedItems containsString="0" containsBlank="1" containsNumber="1">
        <m/>
        <n v="0.0"/>
        <n v="1009.8264"/>
        <n v="1227.1871999999998"/>
        <n v="220.4928"/>
        <n v="247.5672"/>
        <n v="8523.215999999999"/>
        <n v="187.3632"/>
        <n v="176.088"/>
        <n v="2477.3424"/>
        <n v="2847.68"/>
        <n v="858.0"/>
        <n v="1484.9856"/>
        <n v="1397.7072"/>
        <n v="4754.376"/>
        <n v="2489.7312"/>
        <n v="3633.6768"/>
        <n v="4856.9664"/>
        <n v="10.788"/>
        <n v="141.1488"/>
      </sharedItems>
    </cacheField>
    <cacheField name="Bs LV/25" numFmtId="0">
      <sharedItems containsString="0" containsBlank="1" containsNumber="1">
        <m/>
        <n v="0.0"/>
        <n v="66497.5104"/>
        <n v="10508.6256"/>
        <n v="1009.8264"/>
        <n v="2820.6792"/>
        <n v="6868.6848"/>
        <n v="790.2384"/>
        <n v="1533.984"/>
        <n v="440.9856"/>
        <n v="360.8064"/>
        <n v="284.2464"/>
        <n v="32.016"/>
        <n v="18.792"/>
        <n v="208.8"/>
        <n v="148.8048"/>
        <n v="752.5152"/>
        <n v="4.4544"/>
        <n v="3.7584000000000004"/>
        <n v="3580.6416000000004"/>
        <n v="8523.215999999999"/>
        <n v="8250.2448"/>
        <n v="2747.7384"/>
        <n v="3687.7560000000003"/>
        <n v="2184.6048"/>
        <n v="7504.5504"/>
        <n v="292.0416"/>
        <n v="6946.2192"/>
        <n v="1866.1152"/>
        <n v="495.1344"/>
        <n v="212.7672"/>
        <n v="13670.832"/>
        <n v="22396.305599999996"/>
        <n v="5996.5968"/>
        <n v="4661.46"/>
        <n v="9282.552"/>
        <n v="2795.4144"/>
        <n v="282.924"/>
        <n v="895.752"/>
        <n v="42935.544"/>
        <n v="7378.992"/>
        <n v="7963.6320000000005"/>
        <n v="14330.640000000001"/>
        <n v="5075.232"/>
      </sharedItems>
    </cacheField>
    <cacheField name="Bs. 2025" numFmtId="4">
      <sharedItems containsSemiMixedTypes="0" containsString="0" containsNumber="1">
        <n v="0.0"/>
        <n v="132995.0208"/>
        <n v="31525.8768"/>
        <n v="27265.3128"/>
        <n v="2820.6792"/>
        <n v="6868.6848"/>
        <n v="790.2384"/>
        <n v="3988.3583999999996"/>
        <n v="4189.3632"/>
        <n v="2604.7104"/>
        <n v="7757.3376"/>
        <n v="2273.9712"/>
        <n v="2236.1088"/>
        <n v="235.31759999999997"/>
        <n v="32.016"/>
        <n v="18.792"/>
        <n v="742.7016000000001"/>
        <n v="449.0592"/>
        <n v="208.8"/>
        <n v="297.6096"/>
        <n v="19874.28"/>
        <n v="13545.2736"/>
        <n v="12785.2416"/>
        <n v="11407.9968"/>
        <n v="7809.12"/>
        <n v="2227.2"/>
        <n v="1574.3519999999999"/>
        <n v="2030.0928000000001"/>
        <n v="842.8559999999999"/>
        <n v="784.392"/>
        <n v="530.352"/>
        <n v="488.31359999999995"/>
        <n v="198.4992"/>
        <n v="197.5248"/>
        <n v="197.31600000000003"/>
        <n v="192.096"/>
        <n v="104.6784"/>
        <n v="93.6816"/>
        <n v="86.8608"/>
        <n v="86.4432"/>
        <n v="49.2768"/>
        <n v="7.516800000000001"/>
        <n v="5.568"/>
        <n v="2.2272"/>
        <n v="35824.0944"/>
        <n v="30243.705599999998"/>
        <n v="23133.5088"/>
        <n v="1528.8336"/>
        <n v="1165.9392"/>
        <n v="141.1488"/>
        <n v="6924.0"/>
        <n v="2514.3"/>
        <n v="12571.5"/>
        <n v="58053.6384"/>
        <n v="57066.8496"/>
        <n v="2858.0544"/>
        <n v="262.392"/>
        <n v="289.88399999999996"/>
        <n v="89406.0024"/>
        <n v="33258.9168"/>
        <n v="11100.0"/>
        <n v="73089.1872"/>
        <n v="35806.416000000005"/>
        <n v="17046.431999999997"/>
        <n v="8250.2448"/>
        <n v="2747.7384"/>
        <n v="18438.780000000002"/>
        <n v="11808.475199999999"/>
        <n v="4369.2096"/>
        <n v="7504.5504"/>
        <n v="6739.5072"/>
        <n v="4794.3264"/>
        <n v="5775.407999999999"/>
        <n v="10067.988000000001"/>
        <n v="3372.5376"/>
        <n v="2465.232"/>
        <n v="1168.1664"/>
        <n v="385.7232"/>
        <n v="1113.1824"/>
        <n v="2005.7328"/>
        <n v="1864.0272"/>
        <n v="100.0848"/>
        <n v="86.7216"/>
        <n v="31770.451200000003"/>
        <n v="18662.544"/>
        <n v="27784.8768"/>
        <n v="19461.7608"/>
        <n v="8498.16"/>
        <n v="6597.2447999999995"/>
        <n v="6228.3648"/>
        <n v="7464.4608"/>
        <n v="6246.0432"/>
        <n v="5235.4511999999995"/>
        <n v="7407.388799999999"/>
        <n v="2290.9536"/>
        <n v="2007.4032000000002"/>
        <n v="1579.4328"/>
        <n v="1980.5376"/>
        <n v="2830.4928"/>
        <n v="1024.0944"/>
        <n v="1826.4432000000002"/>
        <n v="780.4944"/>
        <n v="851.0688"/>
        <n v="781.26"/>
        <n v="362.0592"/>
        <n v="338.0472"/>
        <n v="224.9472"/>
        <n v="173.5128"/>
        <n v="163.56"/>
        <n v="389.76"/>
        <n v="165.36960000000002"/>
        <n v="135.9984"/>
        <n v="59.7168"/>
        <n v="56.2368"/>
        <n v="40.924800000000005"/>
        <n v="11581.996799999999"/>
        <n v="1238.184"/>
        <n v="47847.912000000004"/>
        <n v="44792.61119999999"/>
        <n v="280000.0"/>
        <n v="53459.4816"/>
        <n v="114624.7272"/>
        <n v="128412.0"/>
        <n v="6407.28"/>
        <n v="152782.7184"/>
        <n v="25344.0"/>
        <n v="184138.2144"/>
        <n v="12079.080000000002"/>
        <n v="212.0"/>
        <n v="4582.464"/>
        <n v="19192.4784"/>
        <n v="17529.595199999996"/>
        <n v="50233.93920000001"/>
        <n v="9528.518399999999"/>
        <n v="35979.5808"/>
        <n v="51276.06"/>
        <n v="27847.656"/>
        <n v="24648.143999999997"/>
        <n v="14853.753599999998"/>
        <n v="19567.9008"/>
        <n v="13528.569599999999"/>
        <n v="6517.1352"/>
        <n v="11597.448"/>
        <n v="11526.316799999999"/>
        <n v="11425.536"/>
        <n v="11066.400000000001"/>
        <n v="10820.2248"/>
        <n v="10221.804"/>
        <n v="7480.4688"/>
        <n v="7273.339199999999"/>
        <n v="10490.112"/>
        <n v="4690.4832"/>
        <n v="4670.786400000001"/>
        <n v="4321.7424"/>
        <n v="4063.2479999999996"/>
        <n v="3992.256"/>
        <n v="2947.6295999999998"/>
        <n v="2791.2384"/>
        <n v="2080.9008"/>
        <n v="3292.2192"/>
        <n v="3222.6191999999996"/>
        <n v="1037.6664"/>
        <n v="713.2607999999999"/>
        <n v="559.6536"/>
        <n v="130.2912"/>
        <n v="412732.4544"/>
        <n v="206973.8352"/>
        <n v="170152.6512"/>
        <n v="172783.94879999998"/>
        <n v="60201.216"/>
        <n v="59753.548800000004"/>
        <n v="49194.393599999996"/>
        <n v="6768.947999999999"/>
        <n v="17492.4288"/>
        <n v="18894.311999999998"/>
        <n v="163844.3856"/>
        <n v="127215.1584"/>
        <n v="282.924"/>
        <n v="3150.096"/>
        <n v="744.372"/>
        <n v="4484.1888"/>
        <n v="1147488.525"/>
        <n v="354738.14999999997"/>
        <n v="686968.704"/>
        <n v="84858.40800000001"/>
        <n v="60989.296800000004"/>
        <n v="330349.44"/>
        <n v="18581.808"/>
        <n v="35826.6"/>
        <n v="12688.08"/>
        <n v="2236.248"/>
        <n v="3304.2599999999998"/>
        <n v="3961.7712"/>
        <n v="16536.96"/>
        <n v="6208.876799999999"/>
        <n v="34610.5488"/>
      </sharedItems>
    </cacheField>
    <cacheField name="Bs LMO/26" numFmtId="0">
      <sharedItems containsString="0" containsBlank="1" containsNumber="1">
        <m/>
        <n v="0.0"/>
        <n v="440.9856"/>
        <n v="284.2464"/>
        <n v="495.1344"/>
        <n v="6.1248"/>
        <n v="238.1712"/>
        <n v="7504.5504"/>
        <n v="749.4528"/>
        <n v="1113.1824"/>
        <n v="1002.8664"/>
        <n v="932.0136"/>
        <n v="1699.6319999999998"/>
        <n v="1826.4432000000002"/>
        <n v="781.26"/>
        <n v="14930.870399999998"/>
        <n v="21357.6"/>
        <n v="15048.0"/>
        <n v="2291.232"/>
        <n v="1083.5328"/>
        <n v="13.919999999999998"/>
        <n v="31695.839999999997"/>
        <n v="28264.56"/>
        <n v="23476.079999999998"/>
        <n v="42123.312000000005"/>
        <n v="45150.912000000004"/>
        <n v="30831.408"/>
        <n v="37345.968"/>
        <n v="16351.5456"/>
        <n v="13578.264000000001"/>
        <n v="530.3520000000001"/>
        <n v="20922.3168"/>
        <n v="1180.416"/>
        <n v="1016.16"/>
        <n v="258.912"/>
        <n v="183598.164"/>
        <n v="27056.304000000004"/>
        <n v="38227.104"/>
        <n v="23123.904000000002"/>
        <n v="66847.1808"/>
        <n v="6980.184"/>
        <n v="6038.496"/>
        <n v="5837.352000000001"/>
        <n v="2236.248"/>
        <n v="3304.2599999999998"/>
        <n v="3961.7712"/>
        <n v="1044.0"/>
      </sharedItems>
    </cacheField>
    <cacheField name="Bs LPL/26" numFmtId="0">
      <sharedItems containsString="0" containsBlank="1" containsNumber="1">
        <m/>
        <n v="0.0"/>
        <n v="1227.1871999999998"/>
        <n v="330.7392"/>
        <n v="495.1344"/>
        <n v="1670.4"/>
        <n v="320.16"/>
        <n v="153.11999999999998"/>
        <n v="187.92000000000002"/>
        <n v="33.408"/>
        <n v="75.168"/>
        <n v="141.1488"/>
        <n v="50.0424"/>
        <n v="913.2216000000001"/>
        <n v="97.44"/>
        <n v="7465.435199999999"/>
        <n v="5339.4"/>
        <n v="9240.0"/>
        <n v="2291.232"/>
        <n v="5996.5968"/>
        <n v="812.6496"/>
        <n v="13.919999999999998"/>
        <n v="19017.504"/>
        <n v="14132.28"/>
        <n v="10564.235999999999"/>
        <n v="10530.828000000001"/>
        <n v="15050.304"/>
        <n v="14938.387200000001"/>
        <n v="13578.264000000001"/>
        <n v="265.17600000000004"/>
        <n v="472.1664"/>
        <n v="609.696"/>
        <n v="215.76"/>
        <n v="76499.235"/>
        <n v="4086.1464000000005"/>
        <n v="348.0"/>
      </sharedItems>
    </cacheField>
    <cacheField name="Bs LAM/26" numFmtId="0">
      <sharedItems containsString="0" containsBlank="1" containsNumber="1">
        <m/>
        <n v="0.0"/>
        <n v="66497.5104"/>
        <n v="440.9856"/>
        <n v="284.2464"/>
        <n v="495.1344"/>
        <n v="6337.776"/>
        <n v="6.1248"/>
        <n v="1002.8664"/>
        <n v="932.0136"/>
        <n v="100.0848"/>
        <n v="1826.4432000000002"/>
        <n v="781.26"/>
        <n v="2895.4991999999997"/>
        <n v="17798.0"/>
        <n v="48044.88"/>
        <n v="19192.4784"/>
        <n v="22436.255999999998"/>
        <n v="3398.7072"/>
        <n v="1354.416"/>
        <n v="462.4224"/>
        <n v="13.919999999999998"/>
        <n v="28526.255999999998"/>
        <n v="14132.28"/>
        <n v="10564.235999999999"/>
        <n v="21061.656000000003"/>
        <n v="45150.912000000004"/>
        <n v="685.1424"/>
        <n v="4979.4624"/>
        <n v="530.3520000000001"/>
        <n v="2802.096"/>
        <n v="2360.832"/>
        <n v="1524.24"/>
        <n v="172.608"/>
        <n v="61199.388"/>
        <n v="27056.304000000004"/>
        <n v="19113.552"/>
        <n v="32646.2976"/>
        <n v="5805.475200000001"/>
        <n v="6980.184"/>
        <n v="6038.496"/>
        <n v="4669.881600000001"/>
        <n v="2236.248"/>
        <n v="3304.2599999999998"/>
        <n v="2641.1808"/>
        <n v="1392.0"/>
      </sharedItems>
    </cacheField>
    <cacheField name="Bs LR/26" numFmtId="0">
      <sharedItems containsString="0" containsBlank="1" containsNumber="1">
        <m/>
        <n v="0.0"/>
        <n v="4039.3056"/>
        <n v="903.1296"/>
        <n v="220.4928"/>
        <n v="2604.7104"/>
        <n v="284.2464"/>
        <n v="419.2704"/>
        <n v="38.4192"/>
        <n v="304.152"/>
        <n v="495.1344"/>
        <n v="237.96239999999997"/>
        <n v="449.0592"/>
        <n v="208.8"/>
        <n v="223.2072"/>
        <n v="10406.591999999999"/>
        <n v="3904.56"/>
        <n v="3040.1279999999997"/>
        <n v="180.612"/>
        <n v="448.224"/>
        <n v="214.368"/>
        <n v="55.67999999999999"/>
        <n v="155.904"/>
        <n v="35824.0944"/>
        <n v="8.6304"/>
        <n v="4.5935999999999995"/>
        <n v="3.3407999999999998"/>
        <n v="3580.6416000000004"/>
        <n v="8250.2448"/>
        <n v="2184.6048"/>
        <n v="975.5831999999999"/>
        <n v="292.0416"/>
        <n v="1002.8664"/>
        <n v="932.0136"/>
        <n v="234.20399999999998"/>
        <n v="133.5624"/>
        <n v="3399.2639999999997"/>
        <n v="3298.6223999999997"/>
        <n v="3114.1824"/>
        <n v="1866.1152"/>
        <n v="872.5752"/>
        <n v="2469.1295999999998"/>
        <n v="763.6512"/>
        <n v="1579.4328"/>
        <n v="512.0472"/>
        <n v="390.2472"/>
        <n v="212.7672"/>
        <n v="120.68639999999999"/>
        <n v="112.6824"/>
        <n v="56.2368"/>
        <n v="115.6752"/>
        <n v="163.56"/>
        <n v="48.72"/>
        <n v="59.7168"/>
        <n v="7465.435199999999"/>
        <n v="104737.83840000001"/>
        <n v="1650.0"/>
        <n v="1280.4312"/>
        <n v="2795.4144"/>
        <n v="11.136"/>
        <n v="9052.176000000001"/>
        <n v="22936.2624"/>
        <n v="1004.328"/>
        <n v="2920.2767999999996"/>
      </sharedItems>
    </cacheField>
    <cacheField name="Bs LN/26" numFmtId="0">
      <sharedItems containsString="0" containsBlank="1" containsNumber="1">
        <m/>
        <n v="0.0"/>
        <n v="9088.437600000001"/>
        <n v="1016.0208"/>
        <n v="551.232"/>
        <n v="284.2464"/>
        <n v="419.2704"/>
        <n v="43.221599999999995"/>
        <n v="448.224"/>
        <n v="990.2688"/>
        <n v="237.96239999999997"/>
        <n v="224.5296"/>
        <n v="104.4"/>
        <n v="74.4024"/>
        <n v="3762.576"/>
        <n v="8176.607999999999"/>
        <n v="5070.2208"/>
        <n v="135.72"/>
        <n v="180.612"/>
        <n v="48.024"/>
        <n v="168.432"/>
        <n v="55.67999999999999"/>
        <n v="122.496"/>
        <n v="71648.1888"/>
        <n v="8.6304"/>
        <n v="4.5935999999999995"/>
        <n v="3.3407999999999998"/>
        <n v="8951.604000000001"/>
        <n v="8250.2448"/>
        <n v="8243.2152"/>
        <n v="975.5831999999999"/>
        <n v="292.0416"/>
        <n v="1002.8664"/>
        <n v="932.0136"/>
        <n v="234.20399999999998"/>
        <n v="133.5624"/>
        <n v="1699.6319999999998"/>
        <n v="3298.6223999999997"/>
        <n v="3114.1824"/>
        <n v="1866.1152"/>
        <n v="872.5752"/>
        <n v="2469.1295999999998"/>
        <n v="763.6512"/>
        <n v="495.1344"/>
        <n v="512.0472"/>
        <n v="390.2472"/>
        <n v="212.7672"/>
        <n v="120.68639999999999"/>
        <n v="112.6824"/>
        <n v="56.2368"/>
        <n v="57.8376"/>
        <n v="7465.435199999999"/>
        <n v="4620.0"/>
        <n v="2560.8624"/>
        <n v="5996.5968"/>
        <n v="2795.4144"/>
        <n v="13.919999999999998"/>
        <n v="14452.440000000002"/>
        <n v="226.2"/>
        <n v="1392.0"/>
        <n v="657.7199999999999"/>
      </sharedItems>
    </cacheField>
    <cacheField name="Bs LAZ/26" numFmtId="0">
      <sharedItems containsString="0" containsBlank="1" containsNumber="1">
        <m/>
        <n v="0.0"/>
        <n v="10098.264000000001"/>
        <n v="1128.912"/>
        <n v="661.4784"/>
        <n v="284.2464"/>
        <n v="559.0272"/>
        <n v="48.023999999999994"/>
        <n v="640.3199999999999"/>
        <n v="495.1344"/>
        <n v="237.96239999999997"/>
        <n v="224.5296"/>
        <n v="104.4"/>
        <n v="74.4024"/>
        <n v="9291.599999999999"/>
        <n v="135.72"/>
        <n v="240.81599999999997"/>
        <n v="48.024"/>
        <n v="191.39999999999998"/>
        <n v="55.67999999999999"/>
        <n v="139.2"/>
        <n v="17912.0472"/>
        <n v="8.6304"/>
        <n v="4.5935999999999995"/>
        <n v="3.3407999999999998"/>
        <n v="8951.604000000001"/>
        <n v="2747.7384"/>
        <n v="975.5831999999999"/>
        <n v="292.0416"/>
        <n v="234.20399999999998"/>
        <n v="133.5624"/>
        <n v="1699.6319999999998"/>
        <n v="1866.1152"/>
        <n v="872.5752"/>
        <n v="763.6512"/>
        <n v="2007.4032000000002"/>
        <n v="212.7672"/>
        <n v="120.68639999999999"/>
        <n v="112.6824"/>
        <n v="112.4736"/>
        <n v="97.44"/>
        <n v="7465.435199999999"/>
        <n v="280000.0"/>
        <n v="3300.0"/>
        <n v="3841.2936"/>
        <n v="22436.255999999998"/>
        <n v="5996.5968"/>
        <n v="2795.4144"/>
        <n v="16.704"/>
        <n v="2872.1832"/>
        <n v="22630.440000000002"/>
        <n v="14452.440000000002"/>
        <n v="244.296"/>
        <n v="1392.0"/>
        <n v="657.7199999999999"/>
      </sharedItems>
    </cacheField>
    <cacheField name="Bs LB/26" numFmtId="0">
      <sharedItems containsString="0" containsBlank="1" containsNumber="1">
        <m/>
        <n v="0.0"/>
        <n v="10508.6256"/>
        <n v="903.1296"/>
        <n v="108.576"/>
        <n v="120.40799999999999"/>
        <n v="32.016"/>
        <n v="244.15679999999998"/>
        <n v="3.0624"/>
        <n v="1.1136"/>
        <n v="24.6384"/>
        <n v="3.7584000000000004"/>
        <n v="16.2864"/>
        <n v="100.0848"/>
        <n v="12.3888"/>
        <n v="14930.870399999998"/>
        <n v="12672.5592"/>
      </sharedItems>
    </cacheField>
    <cacheField name="Bs LCE/26" numFmtId="0">
      <sharedItems containsString="0" containsBlank="1" containsNumber="1">
        <m/>
        <n v="0.0"/>
        <n v="10508.6256"/>
        <n v="903.1296"/>
        <n v="495.1344"/>
        <n v="9604.800000000001"/>
        <n v="19874.28"/>
        <n v="108.576"/>
        <n v="120.40799999999999"/>
        <n v="27.839999999999996"/>
        <n v="16.2864"/>
        <n v="3580.6416000000004"/>
        <n v="7504.5504"/>
        <n v="374.7264"/>
        <n v="352.176"/>
        <n v="100.0848"/>
        <n v="14864.054399999999"/>
        <n v="1779.8"/>
        <n v="4454.9568"/>
        <n v="101670.56640000001"/>
        <n v="841.4639999999999"/>
      </sharedItems>
    </cacheField>
    <cacheField name="Bs LCA/26" numFmtId="0">
      <sharedItems containsString="0" containsBlank="1" containsNumber="1">
        <m/>
        <n v="0.0"/>
        <n v="451.5648"/>
        <n v="46.8408"/>
        <n v="11566.7544"/>
        <n v="16.2864"/>
        <n v="6.1944"/>
        <n v="7465.435199999999"/>
        <n v="2477.3424"/>
      </sharedItems>
    </cacheField>
    <cacheField name="Bs LV/26" numFmtId="0">
      <sharedItems containsString="0" containsBlank="1" containsNumber="1">
        <m/>
        <n v="0.0"/>
        <n v="495.1344"/>
        <n v="148.66559999999998"/>
        <n v="135.72"/>
        <n v="40.02"/>
        <n v="3.0624"/>
        <n v="46.8408"/>
        <n v="1.1136"/>
        <n v="24.6384"/>
        <n v="3.7584000000000004"/>
        <n v="17912.0472"/>
        <n v="11566.7544"/>
        <n v="254.8056"/>
        <n v="194.3232"/>
        <n v="858.6552"/>
        <n v="476.3424"/>
        <n v="3580.6416000000004"/>
        <n v="374.7264"/>
        <n v="352.176"/>
        <n v="100.0848"/>
        <n v="12.3888"/>
        <n v="5478.0"/>
        <n v="7424.928"/>
        <n v="3841.2936"/>
        <n v="4186.1616"/>
        <n v="4661.46"/>
        <n v="2665.0536"/>
        <n v="46637.56800000001"/>
        <n v="263.08799999999997"/>
      </sharedItems>
    </cacheField>
    <cacheField name="Bs. 2026" numFmtId="4">
      <sharedItems containsSemiMixedTypes="0" containsString="0" containsNumber="1">
        <n v="0.0"/>
        <n v="66497.5104"/>
        <n v="21017.2512"/>
        <n v="23226.0072"/>
        <n v="5305.8864"/>
        <n v="1227.1871999999998"/>
        <n v="2645.9136"/>
        <n v="2604.7104"/>
        <n v="1421.232"/>
        <n v="1397.568"/>
        <n v="129.66479999999999"/>
        <n v="1392.696"/>
        <n v="4456.2096"/>
        <n v="713.8871999999999"/>
        <n v="898.1184"/>
        <n v="417.6"/>
        <n v="372.012"/>
        <n v="9604.800000000001"/>
        <n v="19874.28"/>
        <n v="3762.576"/>
        <n v="28023.465599999996"/>
        <n v="11407.9968"/>
        <n v="3904.56"/>
        <n v="1670.4"/>
        <n v="3664.44"/>
        <n v="842.8559999999999"/>
        <n v="936.468"/>
        <n v="244.15679999999998"/>
        <n v="733.4448"/>
        <n v="187.92000000000002"/>
        <n v="167.04"/>
        <n v="93.6816"/>
        <n v="453.23519999999996"/>
        <n v="75.168"/>
        <n v="49.2768"/>
        <n v="7.516800000000001"/>
        <n v="27.839999999999996"/>
        <n v="2.2272"/>
        <n v="143296.3776"/>
        <n v="23133.5088"/>
        <n v="254.8056"/>
        <n v="194.3232"/>
        <n v="141.1488"/>
        <n v="48.8592"/>
        <n v="25.891199999999998"/>
        <n v="16.8432"/>
        <n v="13.7808"/>
        <n v="10.0224"/>
        <n v="858.6552"/>
        <n v="714.5136"/>
        <n v="28645.132800000003"/>
        <n v="16500.4896"/>
        <n v="10990.9536"/>
        <n v="2184.6048"/>
        <n v="15009.1008"/>
        <n v="2926.7495999999996"/>
        <n v="1498.9056"/>
        <n v="704.352"/>
        <n v="876.1248"/>
        <n v="1113.1824"/>
        <n v="4011.4656"/>
        <n v="3728.0544"/>
        <n v="702.612"/>
        <n v="400.68719999999996"/>
        <n v="450.3816"/>
        <n v="30.972"/>
        <n v="8498.16"/>
        <n v="6597.2447999999995"/>
        <n v="6228.3648"/>
        <n v="5598.3456"/>
        <n v="2617.7255999999998"/>
        <n v="4938.2591999999995"/>
        <n v="2290.9536"/>
        <n v="2007.4032000000002"/>
        <n v="1579.4328"/>
        <n v="1485.4032000000002"/>
        <n v="1024.0944"/>
        <n v="4566.108"/>
        <n v="780.4944"/>
        <n v="638.3016"/>
        <n v="1562.52"/>
        <n v="362.0592"/>
        <n v="338.0472"/>
        <n v="224.9472"/>
        <n v="173.5128"/>
        <n v="163.56"/>
        <n v="243.6"/>
        <n v="59.7168"/>
        <n v="56.2368"/>
        <n v="2895.4991999999997"/>
        <n v="67188.91679999999"/>
        <n v="280000.0"/>
        <n v="30013.956"/>
        <n v="46274.799999999996"/>
        <n v="152782.7184"/>
        <n v="39336.0"/>
        <n v="11879.8848"/>
        <n v="4582.464"/>
        <n v="11523.880799999999"/>
        <n v="19192.4784"/>
        <n v="44872.511999999995"/>
        <n v="4186.1616"/>
        <n v="17989.7904"/>
        <n v="4661.46"/>
        <n v="8386.2432"/>
        <n v="3398.7072"/>
        <n v="2665.0536"/>
        <n v="3250.5984"/>
        <n v="462.4224"/>
        <n v="83.52"/>
        <n v="2872.1832"/>
        <n v="101670.56640000001"/>
        <n v="79239.59999999999"/>
        <n v="56529.12"/>
        <n v="44604.551999999996"/>
        <n v="73715.796"/>
        <n v="105352.12800000001"/>
        <n v="31516.550399999996"/>
        <n v="57263.8176"/>
        <n v="16351.5456"/>
        <n v="58839.14400000001"/>
        <n v="1325.88"/>
        <n v="23724.4128"/>
        <n v="4013.4144"/>
        <n v="3150.096"/>
        <n v="647.28"/>
        <n v="841.4639999999999"/>
        <n v="321296.787"/>
        <n v="54112.60800000001"/>
        <n v="80276.9184"/>
        <n v="52028.78400000001"/>
        <n v="146131.04640000002"/>
        <n v="5805.475200000001"/>
        <n v="13960.368"/>
        <n v="12076.992"/>
        <n v="14593.380000000001"/>
        <n v="4472.496"/>
        <n v="6608.5199999999995"/>
        <n v="6602.952"/>
        <n v="1474.824"/>
        <n v="5568.0"/>
        <n v="4498.8048"/>
      </sharedItems>
    </cacheField>
    <cacheField name="Bs. Total" numFmtId="4">
      <sharedItems containsSemiMixedTypes="0" containsString="0" containsNumber="1">
        <n v="0.0"/>
        <n v="199492.5312"/>
        <n v="52543.128"/>
        <n v="50491.32"/>
        <n v="17550.892799999998"/>
        <n v="13737.3696"/>
        <n v="11997.648"/>
        <n v="13885.6176"/>
        <n v="10431.091199999999"/>
        <n v="6835.2768"/>
        <n v="5209.4208"/>
        <n v="7757.3376"/>
        <n v="3695.2032"/>
        <n v="3633.6768"/>
        <n v="364.9824"/>
        <n v="12012.8208"/>
        <n v="2817.408"/>
        <n v="191.6784"/>
        <n v="4819.6608"/>
        <n v="10397.822400000001"/>
        <n v="2141.6616"/>
        <n v="2694.3552"/>
        <n v="1461.6000000000001"/>
        <n v="1339.2432"/>
        <n v="9604.800000000001"/>
        <n v="39748.56"/>
        <n v="17307.8496"/>
        <n v="40808.7072"/>
        <n v="22815.9936"/>
        <n v="11713.68"/>
        <n v="3897.6"/>
        <n v="5238.7919999999995"/>
        <n v="2030.0928000000001"/>
        <n v="1685.7119999999998"/>
        <n v="1720.86"/>
        <n v="530.352"/>
        <n v="732.4703999999999"/>
        <n v="198.4992"/>
        <n v="930.9695999999999"/>
        <n v="385.23600000000005"/>
        <n v="192.096"/>
        <n v="271.7184"/>
        <n v="187.3632"/>
        <n v="540.096"/>
        <n v="161.61120000000003"/>
        <n v="98.5536"/>
        <n v="15.033600000000002"/>
        <n v="33.408"/>
        <n v="4.4544"/>
        <n v="179120.472"/>
        <n v="30243.705599999998"/>
        <n v="46267.0176"/>
        <n v="1783.6392"/>
        <n v="1360.2624"/>
        <n v="282.2976"/>
        <n v="48.8592"/>
        <n v="25.891199999999998"/>
        <n v="16.8432"/>
        <n v="13.7808"/>
        <n v="10.0224"/>
        <n v="20772.0"/>
        <n v="5028.6"/>
        <n v="12571.5"/>
        <n v="58053.6384"/>
        <n v="57066.8496"/>
        <n v="16314.4488"/>
        <n v="3572.568"/>
        <n v="262.392"/>
        <n v="289.88399999999996"/>
        <n v="89406.0024"/>
        <n v="66517.8336"/>
        <n v="85100.0"/>
        <n v="73089.1872"/>
        <n v="98467.64400000001"/>
        <n v="42616.079999999994"/>
        <n v="33000.9792"/>
        <n v="30225.1224"/>
        <n v="33189.804000000004"/>
        <n v="23616.950399999998"/>
        <n v="17476.8384"/>
        <n v="37522.752"/>
        <n v="13479.0144"/>
        <n v="10787.2344"/>
        <n v="11550.815999999999"/>
        <n v="14095.1832"/>
        <n v="3866.4192"/>
        <n v="5853.499199999999"/>
        <n v="7681.8912"/>
        <n v="4930.464"/>
        <n v="3212.4576"/>
        <n v="1542.8928"/>
        <n v="3339.5472"/>
        <n v="7020.0648"/>
        <n v="6524.0952"/>
        <n v="1405.224"/>
        <n v="801.3743999999999"/>
        <n v="850.7208"/>
        <n v="283.4808"/>
        <n v="101.75519999999999"/>
        <n v="216.804"/>
        <n v="31770.451200000003"/>
        <n v="18662.544"/>
        <n v="27784.8768"/>
        <n v="19461.7608"/>
        <n v="16996.32"/>
        <n v="13194.489599999999"/>
        <n v="12456.7296"/>
        <n v="13062.8064"/>
        <n v="6246.0432"/>
        <n v="7853.1768"/>
        <n v="12345.648"/>
        <n v="4581.9072"/>
        <n v="4014.8064000000004"/>
        <n v="3158.8656"/>
        <n v="3465.9408000000003"/>
        <n v="2830.4928"/>
        <n v="2048.1888"/>
        <n v="6392.551200000001"/>
        <n v="1560.9888"/>
        <n v="1489.3704"/>
        <n v="2343.7799999999997"/>
        <n v="724.1184"/>
        <n v="676.0944"/>
        <n v="449.8944"/>
        <n v="347.0256"/>
        <n v="327.12"/>
        <n v="633.36"/>
        <n v="165.36960000000002"/>
        <n v="135.9984"/>
        <n v="119.4336"/>
        <n v="112.4736"/>
        <n v="40.924800000000005"/>
        <n v="14477.496"/>
        <n v="1238.184"/>
        <n v="47847.912000000004"/>
        <n v="111981.52799999999"/>
        <n v="735000.0"/>
        <n v="134275.0"/>
        <n v="53459.4816"/>
        <n v="233727.7272"/>
        <n v="164082.0"/>
        <n v="123162.15999999999"/>
        <n v="305565.4368"/>
        <n v="39040.171200000004"/>
        <n v="35611.4664"/>
        <n v="64680.0"/>
        <n v="216807.8976"/>
        <n v="11166.972"/>
        <n v="21742.344"/>
        <n v="6084.4"/>
        <n v="13747.392"/>
        <n v="400.0"/>
        <n v="179.98559999999998"/>
        <n v="11523.880799999999"/>
        <n v="38384.9568"/>
        <n v="44872.511999999995"/>
        <n v="17529.595199999996"/>
        <n v="88451.16"/>
        <n v="54420.10080000001"/>
        <n v="9528.518399999999"/>
        <n v="53969.3712"/>
        <n v="55937.520000000004"/>
        <n v="55695.312"/>
        <n v="24648.143999999997"/>
        <n v="14853.753599999998"/>
        <n v="27954.144"/>
        <n v="13528.569599999999"/>
        <n v="19551.4056"/>
        <n v="11597.448"/>
        <n v="11526.316799999999"/>
        <n v="11425.536"/>
        <n v="11066.400000000001"/>
        <n v="10820.2248"/>
        <n v="10221.804"/>
        <n v="7480.4688"/>
        <n v="7273.339199999999"/>
        <n v="10490.112"/>
        <n v="10196.121599999999"/>
        <n v="7995.160800000001"/>
        <n v="4690.4832"/>
        <n v="4670.786400000001"/>
        <n v="4321.7424"/>
        <n v="7313.846399999999"/>
        <n v="3992.256"/>
        <n v="2947.6295999999998"/>
        <n v="2791.2384"/>
        <n v="2543.3232"/>
        <n v="3292.2192"/>
        <n v="3222.6191999999996"/>
        <n v="1037.6664"/>
        <n v="713.2607999999999"/>
        <n v="559.6536"/>
        <n v="130.2912"/>
        <n v="83.52"/>
        <n v="2872.1832"/>
        <n v="26302.2576"/>
        <n v="7056.0"/>
        <n v="4347.0"/>
        <n v="3136.0"/>
        <n v="3008.0"/>
        <n v="2540.0"/>
        <n v="2496.0"/>
        <n v="2412.0"/>
        <n v="2068.0"/>
        <n v="1318.5024"/>
        <n v="1206.0"/>
        <n v="1164.8256000000001"/>
        <n v="1008.0"/>
        <n v="840.0"/>
        <n v="385.8624"/>
        <n v="273.9456"/>
        <n v="144.0"/>
        <n v="138.0"/>
        <n v="624676.1472"/>
        <n v="101670.56640000001"/>
        <n v="387640.1232"/>
        <n v="315715.1352"/>
        <n v="300024.3024"/>
        <n v="147431.592"/>
        <n v="213714.3168"/>
        <n v="78106.23359999999"/>
        <n v="154363.33440000002"/>
        <n v="115718.6304"/>
        <n v="33844.74"/>
        <n v="43106.3424"/>
        <n v="40307.8656"/>
        <n v="222683.5296"/>
        <n v="18517.08"/>
        <n v="14303.774399999998"/>
        <n v="13151.616000000002"/>
        <n v="17369.028000000002"/>
        <n v="157477.7952"/>
        <n v="8026.8288"/>
        <n v="2829.24"/>
        <n v="8840.592"/>
        <n v="1144.2240000000002"/>
        <n v="928.464"/>
        <n v="2017.356"/>
        <n v="5461.3728"/>
        <n v="1468785.312"/>
        <n v="106346.43000000001"/>
        <n v="23347.5"/>
        <n v="2885.2999999999997"/>
        <n v="354738.14999999997"/>
        <n v="944581.968"/>
        <n v="141430.68000000002"/>
        <n v="173933.32319999998"/>
        <n v="162445.42560000002"/>
        <n v="525449.9328000001"/>
        <n v="50959.171200000004"/>
        <n v="33181.8"/>
        <n v="78818.52"/>
        <n v="29240.351999999995"/>
        <n v="31410.828"/>
        <n v="27913.776"/>
        <n v="25965.5328"/>
        <n v="19263.2616"/>
        <n v="11181.240000000002"/>
        <n v="13877.892"/>
        <n v="14526.4944"/>
        <n v="3583.008"/>
        <n v="23496.96"/>
        <n v="1305.0"/>
        <n v="252.9264"/>
        <n v="10707.6816"/>
        <n v="34610.5488"/>
      </sharedItems>
    </cacheField>
    <cacheField name="Observaciones" numFmtId="0">
      <sharedItems containsBlank="1">
        <m/>
        <s v=" Se requiere con compatibilidad para Linea Azul"/>
        <s v=" Se cambia a compra local, Se maneja el mismo precio estimado"/>
        <s v="  Se requiere cotizar repuesto con servicio de cambio, El Item incluye el servicio por $us2936,42"/>
        <s v=" Precio Estimado"/>
        <s v=" Se coloca precio tentativo"/>
        <s v=" Precio tentativo"/>
        <s v=" Precio tentativo, igual a 6206 zz"/>
        <s v=" Precio Referencial"/>
      </sharedItems>
    </cacheField>
    <cacheField name="Comentarios" numFmtId="0">
      <sharedItems containsBlank="1">
        <m/>
        <s v=" Insumo Quimico, se quita de este listado, se añaden cantidades a Lubricantes, no se considera en listado de repuestos"/>
        <s v="  Verificar item, Según última observación se requiere solamente el plato exterior. Verificar que sea el plato exterior y no asi todo el embrague. Se requiere aclaracion"/>
        <s v=" INCLUYE EL: 52226-08028 DISCO DE FRICCION DENTADO EXTERIOR"/>
        <s v=" No cotizo. Cotiza con ID: 11318364"/>
        <s v=" Observaciones en la descripcion: SHR ISO 4762- 8.8 M 4X 10  GVZ  ZYL-SHR, GALV.VERZINKT"/>
        <s v=" Se elimino en coordinaciòn don Diego Ramos, no corresponde a embrague"/>
        <s v=" Precio referencial."/>
        <s v=" Precio Referencial, Consultar precio"/>
        <s v=" Precio refencial"/>
        <s v=" iD ANTERIOR 11112181, se une con 11518384"/>
        <s v=" No coincide las cantidades, Verificar con cat Repuesto eléctrico, se une con 11822382"/>
        <s v=" No esta en la cotizacion, se encuentra en 2 categorias diferentes"/>
        <s v=" La Cantidad no coincide"/>
        <s v=" El ID correspondia a otro item, se corrigio ID"/>
        <s v=" Es necesario version 1 para línea azul. Consultar que el que nos envìen sea compatible con al versión 1, en todas las estaciones de linea azul. "/>
        <s v=" Se tuvo un incremento del 74%"/>
        <s v=" Descripcion indicaba FILTRO DE RAVO"/>
        <s v=" Descripción indicaba -5556 (TARJETA)"/>
        <s v=" UNIDAD - RC"/>
        <s v=" LAMPARA DE DIODO LUMINISCENTES"/>
        <s v=" Se divide en 3 años las bases de las pisaderas"/>
        <s v=" Precio referencial, segun cotizacion"/>
        <s v=" Mover, del 2024 al 2025 al 2026"/>
        <s v=" Efectivamente es el casquillo indicado"/>
        <s v=" Consultar Reducción de cantidad (MO, PL, NA), se sugiere realizar el cambio con la cotización de Indumar, cada inserto cuesta Bs.594,50"/>
        <s v=" Investigar compra local. Investigacion"/>
        <s v="Id anterior: 10865976"/>
        <s v=" Preio referencial"/>
        <s v=" Se requiere compra local, se quita"/>
        <s v=" Analizar fabricacion"/>
        <s v=" No cotizo: Cotiza con ID: 11129582"/>
        <s v=" Precio referencial"/>
        <s v=" No existe cotizacion"/>
        <s v=" Se redistribuira de lina verda a toda la RIM"/>
        <s v=" Soporte de Baterias, no tiene codigo en la cotizacion"/>
        <s v=" No cotizo. Cotiza con ID: 11416549. verificar caracteristicas"/>
        <s v=" No se encuentra en cotizacion"/>
        <s v=" Se requiere cotizar repuesto con servicio de cambio"/>
        <s v=" Se aclaró el item elemento filtrante"/>
        <s v=" Se une de item Valvula de seguridad"/>
        <s v=" Se tiene un incremento del  precio de referencia del 106% "/>
        <s v=" Se tiene un incremento del  precio de referencia del 102% "/>
        <s v=" No se encuentran en la cotizacion"/>
        <s v=" Diferenctes cotizaciones"/>
        <s v=" Precio referencial de un Reten 25x40x7  ID 6-01-00211"/>
        <s v=" Diferentes cotizaciones"/>
        <s v=" Precio referencial de un Rodamiento 6205-2Z ID 2-01-00562"/>
        <s v=" Cotizacion local. Consultar con Juan Salazar"/>
        <s v=" Se quita de 20204, se analizara para el 2026"/>
        <s v=" Se tenia duplicado"/>
        <s v=" Recorrer año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Resumen" cacheId="0" dataCaption="" compact="0" compactData="0">
  <location ref="C44:F70" firstHeaderRow="0" firstDataRow="2" firstDataCol="0"/>
  <pivotFields>
    <pivotField name="Ubicació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ipo de trabajo" axis="axisRow" compact="0" outline="0" multipleItemSelectionAllowed="1" showAll="0" sortType="ascending">
      <items>
        <item h="1"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h="1" x="17"/>
        <item x="23"/>
        <item x="24"/>
        <item x="25"/>
        <item t="default"/>
      </items>
    </pivotField>
    <pivotField name="Tipo de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DB/LOCAL" compact="0" outline="0" multipleItemSelectionAllowed="1" showAll="0">
      <items>
        <item x="0"/>
        <item x="1"/>
        <item x="2"/>
        <item t="default"/>
      </items>
    </pivotField>
    <pivotField name="Partida" compact="0" numFmtId="49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D TDB o ID Almacé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name="ID Cotiz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Descripción del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name="Unid." compact="0" outline="0" multipleItemSelectionAllowed="1" showAll="0">
      <items>
        <item x="0"/>
        <item x="1"/>
        <item x="2"/>
        <item x="3"/>
        <item t="default"/>
      </items>
    </pivotField>
    <pivotField name="LMO" compact="0" outline="0" multipleItemSelectionAllowed="1" showAll="0">
      <items>
        <item x="0"/>
        <item x="1"/>
        <item x="2"/>
        <item x="3"/>
        <item t="default"/>
      </items>
    </pivotField>
    <pivotField name=" LP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Z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B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C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V" compact="0" outline="0" multipleItemSelectionAllowed="1" showAll="0">
      <items>
        <item x="0"/>
        <item x="1"/>
        <item x="2"/>
        <item x="3"/>
        <item t="default"/>
      </items>
    </pivotField>
    <pivotField name="Lineas Base" compact="0" outline="0" multipleItemSelectionAllowed="1" showAll="0">
      <items>
        <item x="0"/>
        <item t="default"/>
      </items>
    </pivotField>
    <pivotField name="f LMO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PL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f LA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R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N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AZ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B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E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A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 Frecuencia" compact="0" outline="0" multipleItemSelectionAllowed="1" showAll="0">
      <items>
        <item x="0"/>
        <item t="default"/>
      </items>
    </pivotField>
    <pivotField name="LMO2" compact="0" outline="0" multipleItemSelectionAllowed="1" showAll="0">
      <items>
        <item x="0"/>
        <item t="default"/>
      </items>
    </pivotField>
    <pivotField name=" LPL3" compact="0" outline="0" multipleItemSelectionAllowed="1" showAll="0">
      <items>
        <item x="0"/>
        <item t="default"/>
      </items>
    </pivotField>
    <pivotField name="LAM4" compact="0" outline="0" multipleItemSelectionAllowed="1" showAll="0">
      <items>
        <item x="0"/>
        <item t="default"/>
      </items>
    </pivotField>
    <pivotField name=" LR5" compact="0" outline="0" multipleItemSelectionAllowed="1" showAll="0">
      <items>
        <item x="0"/>
        <item t="default"/>
      </items>
    </pivotField>
    <pivotField name="LN6" compact="0" outline="0" multipleItemSelectionAllowed="1" showAll="0">
      <items>
        <item x="0"/>
        <item t="default"/>
      </items>
    </pivotField>
    <pivotField name="LAZ7" compact="0" outline="0" multipleItemSelectionAllowed="1" showAll="0">
      <items>
        <item x="0"/>
        <item t="default"/>
      </items>
    </pivotField>
    <pivotField name="LB8" compact="0" outline="0" multipleItemSelectionAllowed="1" showAll="0">
      <items>
        <item x="0"/>
        <item t="default"/>
      </items>
    </pivotField>
    <pivotField name="LCE9" compact="0" outline="0" multipleItemSelectionAllowed="1" showAll="0">
      <items>
        <item x="0"/>
        <item t="default"/>
      </items>
    </pivotField>
    <pivotField name=" LCA10" compact="0" outline="0" multipleItemSelectionAllowed="1" showAll="0">
      <items>
        <item x="0"/>
        <item t="default"/>
      </items>
    </pivotField>
    <pivotField name="LV11" compact="0" outline="0" multipleItemSelectionAllowed="1" showAll="0">
      <items>
        <item x="0"/>
        <item t="default"/>
      </items>
    </pivotField>
    <pivotField name="f LMO/añ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 LPL/año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M/año4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R/año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N/año6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Z/año7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B/año8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E/año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A/año10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TRIZ " compact="0" outline="0" multipleItemSelectionAllowed="1" showAll="0">
      <items>
        <item x="0"/>
        <item t="default"/>
      </items>
    </pivotField>
    <pivotField name="Q/f LM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Q/f LP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Q/f L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/f L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Q/f LM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P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AM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R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N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AZ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B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CE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A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V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Q/f LMO22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PL33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AM4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R5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N6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7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B88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CE9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1010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/f LV11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P.U. $us.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name="Bs LMO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Bs LPL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Bs LAM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Bs LR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N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Bs LAZ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s LB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Bs LCE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Bs LCA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Bs LV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name="Bs LMO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Bs LPL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AM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R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Bs LN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Bs LAZ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B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Bs LCE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 LCA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s LV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Bs LMO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s LPL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s LAM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Bs LR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N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AZ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Bs LB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s LCE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s LCA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Bs LV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Bs.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</pivotFields>
  <rowFields>
    <field x="1"/>
  </rowFields>
  <colFields>
    <field x="-2"/>
  </colFields>
  <dataFields>
    <dataField name="SUM of Bs. 2024" fld="98" baseField="0"/>
    <dataField name="SUM of Bs. 2025" fld="109" baseField="0"/>
    <dataField name="SUM of Bs. 2026" fld="120" baseField="0"/>
  </dataFields>
</pivotTableDefinition>
</file>

<file path=xl/pivotTables/pivotTable2.xml><?xml version="1.0" encoding="utf-8"?>
<pivotTableDefinition xmlns="http://schemas.openxmlformats.org/spreadsheetml/2006/main" name="Resumen 2" cacheId="0" dataCaption="" compact="0" compactData="0">
  <location ref="C96:F120" firstHeaderRow="0" firstDataRow="2" firstDataCol="0" rowPageCount="1" colPageCount="1"/>
  <pivotFields>
    <pivotField name="Ubicació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ipo de trabajo" axis="axisRow" compact="0" outline="0" multipleItemSelectionAllowed="1" showAll="0" sortType="ascending">
      <items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17"/>
        <item x="23"/>
        <item x="24"/>
        <item x="25"/>
        <item t="default"/>
      </items>
    </pivotField>
    <pivotField name="Tipo de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DB/LOCAL" axis="axisPage" compact="0" outline="0" multipleItemSelectionAllowed="1" showAll="0">
      <items>
        <item x="0"/>
        <item h="1" x="1"/>
        <item h="1" x="2"/>
        <item t="default"/>
      </items>
    </pivotField>
    <pivotField name="Partida" compact="0" numFmtId="49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D TDB o ID Almacé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name="ID Cotiz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Descripción del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name="Unid." compact="0" outline="0" multipleItemSelectionAllowed="1" showAll="0">
      <items>
        <item x="0"/>
        <item x="1"/>
        <item x="2"/>
        <item x="3"/>
        <item t="default"/>
      </items>
    </pivotField>
    <pivotField name="LMO" compact="0" outline="0" multipleItemSelectionAllowed="1" showAll="0">
      <items>
        <item x="0"/>
        <item x="1"/>
        <item x="2"/>
        <item x="3"/>
        <item t="default"/>
      </items>
    </pivotField>
    <pivotField name=" LP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Z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B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C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V" compact="0" outline="0" multipleItemSelectionAllowed="1" showAll="0">
      <items>
        <item x="0"/>
        <item x="1"/>
        <item x="2"/>
        <item x="3"/>
        <item t="default"/>
      </items>
    </pivotField>
    <pivotField name="Lineas Base" compact="0" outline="0" multipleItemSelectionAllowed="1" showAll="0">
      <items>
        <item x="0"/>
        <item t="default"/>
      </items>
    </pivotField>
    <pivotField name="f LMO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PL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f LA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R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N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AZ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B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E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A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 Frecuencia" compact="0" outline="0" multipleItemSelectionAllowed="1" showAll="0">
      <items>
        <item x="0"/>
        <item t="default"/>
      </items>
    </pivotField>
    <pivotField name="LMO2" compact="0" outline="0" multipleItemSelectionAllowed="1" showAll="0">
      <items>
        <item x="0"/>
        <item t="default"/>
      </items>
    </pivotField>
    <pivotField name=" LPL3" compact="0" outline="0" multipleItemSelectionAllowed="1" showAll="0">
      <items>
        <item x="0"/>
        <item t="default"/>
      </items>
    </pivotField>
    <pivotField name="LAM4" compact="0" outline="0" multipleItemSelectionAllowed="1" showAll="0">
      <items>
        <item x="0"/>
        <item t="default"/>
      </items>
    </pivotField>
    <pivotField name=" LR5" compact="0" outline="0" multipleItemSelectionAllowed="1" showAll="0">
      <items>
        <item x="0"/>
        <item t="default"/>
      </items>
    </pivotField>
    <pivotField name="LN6" compact="0" outline="0" multipleItemSelectionAllowed="1" showAll="0">
      <items>
        <item x="0"/>
        <item t="default"/>
      </items>
    </pivotField>
    <pivotField name="LAZ7" compact="0" outline="0" multipleItemSelectionAllowed="1" showAll="0">
      <items>
        <item x="0"/>
        <item t="default"/>
      </items>
    </pivotField>
    <pivotField name="LB8" compact="0" outline="0" multipleItemSelectionAllowed="1" showAll="0">
      <items>
        <item x="0"/>
        <item t="default"/>
      </items>
    </pivotField>
    <pivotField name="LCE9" compact="0" outline="0" multipleItemSelectionAllowed="1" showAll="0">
      <items>
        <item x="0"/>
        <item t="default"/>
      </items>
    </pivotField>
    <pivotField name=" LCA10" compact="0" outline="0" multipleItemSelectionAllowed="1" showAll="0">
      <items>
        <item x="0"/>
        <item t="default"/>
      </items>
    </pivotField>
    <pivotField name="LV11" compact="0" outline="0" multipleItemSelectionAllowed="1" showAll="0">
      <items>
        <item x="0"/>
        <item t="default"/>
      </items>
    </pivotField>
    <pivotField name="f LMO/añ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 LPL/año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M/año4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R/año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N/año6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Z/año7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B/año8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E/año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A/año10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TRIZ " compact="0" outline="0" multipleItemSelectionAllowed="1" showAll="0">
      <items>
        <item x="0"/>
        <item t="default"/>
      </items>
    </pivotField>
    <pivotField name="Q/f LM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Q/f LP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Q/f L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/f L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Q/f LM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P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AM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R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N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AZ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B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CE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A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V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Q/f LMO22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PL33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AM4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R5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N6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7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B88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CE9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1010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/f LV11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P.U. $us.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name="Bs LMO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Bs LPL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Bs LAM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Bs LR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N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Bs LAZ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s LB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Bs LCE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Bs LCA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Bs LV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name="Bs LMO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Bs LPL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AM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R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Bs LN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Bs LAZ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B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Bs LCE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 LCA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s LV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Bs LMO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s LPL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s LAM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Bs LR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N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AZ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Bs LB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s LCE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s LCA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Bs LV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Bs.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</pivotFields>
  <rowFields>
    <field x="1"/>
  </rowFields>
  <colFields>
    <field x="-2"/>
  </colFields>
  <pageFields>
    <pageField fld="3"/>
  </pageFields>
  <dataFields>
    <dataField name="SUM of Bs. 2024" fld="98" baseField="0"/>
    <dataField name="SUM of Bs. 2025" fld="109" baseField="0"/>
    <dataField name="SUM of Bs. 2026" fld="120" baseField="0"/>
  </dataFields>
</pivotTableDefinition>
</file>

<file path=xl/pivotTables/pivotTable3.xml><?xml version="1.0" encoding="utf-8"?>
<pivotTableDefinition xmlns="http://schemas.openxmlformats.org/spreadsheetml/2006/main" name="Resumen 3" cacheId="0" dataCaption="" compact="0" compactData="0">
  <location ref="I96:L104" firstHeaderRow="0" firstDataRow="2" firstDataCol="0" rowPageCount="1" colPageCount="1"/>
  <pivotFields>
    <pivotField name="Ubicació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ipo de trabajo" axis="axisRow" compact="0" outline="0" multipleItemSelectionAllowed="1" showAll="0" sortType="ascending">
      <items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17"/>
        <item x="23"/>
        <item x="24"/>
        <item x="25"/>
        <item t="default"/>
      </items>
    </pivotField>
    <pivotField name="Tipo de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DB/LOCAL" axis="axisPage" compact="0" outline="0" multipleItemSelectionAllowed="1" showAll="0">
      <items>
        <item h="1" x="0"/>
        <item x="1"/>
        <item h="1" x="2"/>
        <item t="default"/>
      </items>
    </pivotField>
    <pivotField name="Partida" compact="0" numFmtId="49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ID TDB o ID Almacé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name="ID Cotiz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Descripción del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name="Unid." compact="0" outline="0" multipleItemSelectionAllowed="1" showAll="0">
      <items>
        <item x="0"/>
        <item x="1"/>
        <item x="2"/>
        <item x="3"/>
        <item t="default"/>
      </items>
    </pivotField>
    <pivotField name="LMO" compact="0" outline="0" multipleItemSelectionAllowed="1" showAll="0">
      <items>
        <item x="0"/>
        <item x="1"/>
        <item x="2"/>
        <item x="3"/>
        <item t="default"/>
      </items>
    </pivotField>
    <pivotField name=" LP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Z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B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C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V" compact="0" outline="0" multipleItemSelectionAllowed="1" showAll="0">
      <items>
        <item x="0"/>
        <item x="1"/>
        <item x="2"/>
        <item x="3"/>
        <item t="default"/>
      </items>
    </pivotField>
    <pivotField name="Lineas Base" compact="0" outline="0" multipleItemSelectionAllowed="1" showAll="0">
      <items>
        <item x="0"/>
        <item t="default"/>
      </items>
    </pivotField>
    <pivotField name="f LMO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PL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f LA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R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N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AZ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B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E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A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 Frecuencia" compact="0" outline="0" multipleItemSelectionAllowed="1" showAll="0">
      <items>
        <item x="0"/>
        <item t="default"/>
      </items>
    </pivotField>
    <pivotField name="LMO2" compact="0" outline="0" multipleItemSelectionAllowed="1" showAll="0">
      <items>
        <item x="0"/>
        <item t="default"/>
      </items>
    </pivotField>
    <pivotField name=" LPL3" compact="0" outline="0" multipleItemSelectionAllowed="1" showAll="0">
      <items>
        <item x="0"/>
        <item t="default"/>
      </items>
    </pivotField>
    <pivotField name="LAM4" compact="0" outline="0" multipleItemSelectionAllowed="1" showAll="0">
      <items>
        <item x="0"/>
        <item t="default"/>
      </items>
    </pivotField>
    <pivotField name=" LR5" compact="0" outline="0" multipleItemSelectionAllowed="1" showAll="0">
      <items>
        <item x="0"/>
        <item t="default"/>
      </items>
    </pivotField>
    <pivotField name="LN6" compact="0" outline="0" multipleItemSelectionAllowed="1" showAll="0">
      <items>
        <item x="0"/>
        <item t="default"/>
      </items>
    </pivotField>
    <pivotField name="LAZ7" compact="0" outline="0" multipleItemSelectionAllowed="1" showAll="0">
      <items>
        <item x="0"/>
        <item t="default"/>
      </items>
    </pivotField>
    <pivotField name="LB8" compact="0" outline="0" multipleItemSelectionAllowed="1" showAll="0">
      <items>
        <item x="0"/>
        <item t="default"/>
      </items>
    </pivotField>
    <pivotField name="LCE9" compact="0" outline="0" multipleItemSelectionAllowed="1" showAll="0">
      <items>
        <item x="0"/>
        <item t="default"/>
      </items>
    </pivotField>
    <pivotField name=" LCA10" compact="0" outline="0" multipleItemSelectionAllowed="1" showAll="0">
      <items>
        <item x="0"/>
        <item t="default"/>
      </items>
    </pivotField>
    <pivotField name="LV11" compact="0" outline="0" multipleItemSelectionAllowed="1" showAll="0">
      <items>
        <item x="0"/>
        <item t="default"/>
      </items>
    </pivotField>
    <pivotField name="f LMO/añ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 LPL/año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M/año4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R/año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N/año6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Z/año7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B/año8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E/año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A/año10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TRIZ " compact="0" outline="0" multipleItemSelectionAllowed="1" showAll="0">
      <items>
        <item x="0"/>
        <item t="default"/>
      </items>
    </pivotField>
    <pivotField name="Q/f LM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Q/f LP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Q/f L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/f L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Q/f LM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P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AM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R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N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AZ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B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CE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A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V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Q/f LMO22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PL33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AM4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R5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N6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7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B88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CE9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1010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/f LV11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P.U. $us.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name="Bs LMO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Bs LPL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Bs LAM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Bs LR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N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Bs LAZ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s LB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Bs LCE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Bs LCA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Bs LV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name="Bs LMO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Bs LPL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AM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R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Bs LN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Bs LAZ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B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Bs LCE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 LCA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s LV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Bs LMO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s LPL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s LAM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Bs LR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N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AZ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Bs LB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s LCE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s LCA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Bs LV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Bs.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</pivotFields>
  <rowFields>
    <field x="1"/>
  </rowFields>
  <colFields>
    <field x="-2"/>
  </colFields>
  <pageFields>
    <pageField fld="3"/>
  </pageFields>
  <dataFields>
    <dataField name="SUM of Bs. 2024" fld="98" baseField="0"/>
    <dataField name="SUM of Bs. 2025" fld="109" baseField="0"/>
    <dataField name="SUM of Bs. 2026" fld="120" baseField="0"/>
  </dataFields>
</pivotTableDefinition>
</file>

<file path=xl/pivotTables/pivotTable4.xml><?xml version="1.0" encoding="utf-8"?>
<pivotTableDefinition xmlns="http://schemas.openxmlformats.org/spreadsheetml/2006/main" name="Resumen 4" cacheId="1" dataCaption="" compact="0" compactData="0">
  <location ref="C145:F149" firstHeaderRow="0" firstDataRow="2" firstDataCol="0" rowPageCount="1" colPageCount="1"/>
  <pivotFields>
    <pivotField name="Tipo de trabajo" axis="axisRow" compact="0" outline="0" multipleItemSelectionAllowed="1" showAll="0" sortType="ascending">
      <items>
        <item h="1" x="3"/>
        <item x="0"/>
        <item x="1"/>
        <item x="2"/>
        <item t="default"/>
      </items>
    </pivotField>
    <pivotField name="Tipo de Bien" compact="0" outline="0" multipleItemSelectionAllowed="1" showAll="0">
      <items>
        <item x="0"/>
        <item x="1"/>
        <item x="2"/>
        <item t="default"/>
      </items>
    </pivotField>
    <pivotField name="TDB/LOCAL" axis="axisPage" compact="0" outline="0" multipleItemSelectionAllowed="1" showAll="0">
      <items>
        <item x="0"/>
        <item h="1" x="1"/>
        <item t="default"/>
      </items>
    </pivotField>
    <pivotField name="Partida" compact="0" numFmtId="49" outline="0" multipleItemSelectionAllowed="1" showAll="0">
      <items>
        <item x="0"/>
        <item x="1"/>
        <item x="2"/>
        <item t="default"/>
      </items>
    </pivotField>
    <pivotField name="ID TDB o ID Almacén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ID Cotizad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name="Descripción del Bie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name="Unid." compact="0" outline="0" multipleItemSelectionAllowed="1" showAll="0">
      <items>
        <item x="0"/>
        <item x="1"/>
        <item t="default"/>
      </items>
    </pivotField>
    <pivotField name="Q LMO/año" compact="0" outline="0" multipleItemSelectionAllowed="1" showAll="0">
      <items>
        <item x="0"/>
        <item x="1"/>
        <item t="default"/>
      </items>
    </pivotField>
    <pivotField name="Q LPL/año" compact="0" outline="0" multipleItemSelectionAllowed="1" showAll="0">
      <items>
        <item x="0"/>
        <item x="1"/>
        <item t="default"/>
      </items>
    </pivotField>
    <pivotField name="Q LAM/año" compact="0" outline="0" multipleItemSelectionAllowed="1" showAll="0">
      <items>
        <item x="0"/>
        <item x="1"/>
        <item t="default"/>
      </items>
    </pivotField>
    <pivotField name="Q LR/año" compact="0" outline="0" multipleItemSelectionAllowed="1" showAll="0">
      <items>
        <item x="0"/>
        <item x="1"/>
        <item t="default"/>
      </items>
    </pivotField>
    <pivotField name="Q LN/año" compact="0" outline="0" multipleItemSelectionAllowed="1" showAll="0">
      <items>
        <item x="0"/>
        <item x="1"/>
        <item t="default"/>
      </items>
    </pivotField>
    <pivotField name="Q LAZ/año" compact="0" outline="0" multipleItemSelectionAllowed="1" showAll="0">
      <items>
        <item x="0"/>
        <item x="1"/>
        <item t="default"/>
      </items>
    </pivotField>
    <pivotField name="Q LB/año" compact="0" outline="0" multipleItemSelectionAllowed="1" showAll="0">
      <items>
        <item x="0"/>
        <item x="1"/>
        <item t="default"/>
      </items>
    </pivotField>
    <pivotField name="Q LCE/año" compact="0" outline="0" multipleItemSelectionAllowed="1" showAll="0">
      <items>
        <item x="0"/>
        <item x="1"/>
        <item t="default"/>
      </items>
    </pivotField>
    <pivotField name="Q LCA/año" compact="0" outline="0" multipleItemSelectionAllowed="1" showAll="0">
      <items>
        <item x="0"/>
        <item x="1"/>
        <item t="default"/>
      </items>
    </pivotField>
    <pivotField name="Q LV/año" compact="0" outline="0" multipleItemSelectionAllowed="1" showAll="0">
      <items>
        <item x="0"/>
        <item x="1"/>
        <item t="default"/>
      </items>
    </pivotField>
    <pivotField name="Q TR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Q LMO/año2" compact="0" outline="0" multipleItemSelectionAllowed="1" showAll="0">
      <items>
        <item x="0"/>
        <item x="1"/>
        <item t="default"/>
      </items>
    </pivotField>
    <pivotField name="Q LPL/año3" compact="0" outline="0" multipleItemSelectionAllowed="1" showAll="0">
      <items>
        <item x="0"/>
        <item x="1"/>
        <item t="default"/>
      </items>
    </pivotField>
    <pivotField name="Q LAM/año4" compact="0" outline="0" multipleItemSelectionAllowed="1" showAll="0">
      <items>
        <item x="0"/>
        <item x="1"/>
        <item t="default"/>
      </items>
    </pivotField>
    <pivotField name="Q LR/año5" compact="0" outline="0" multipleItemSelectionAllowed="1" showAll="0">
      <items>
        <item x="0"/>
        <item x="1"/>
        <item t="default"/>
      </items>
    </pivotField>
    <pivotField name="Q LN/año6" compact="0" outline="0" multipleItemSelectionAllowed="1" showAll="0">
      <items>
        <item x="0"/>
        <item x="1"/>
        <item t="default"/>
      </items>
    </pivotField>
    <pivotField name="Q LAZ/año7" compact="0" outline="0" multipleItemSelectionAllowed="1" showAll="0">
      <items>
        <item x="0"/>
        <item x="1"/>
        <item t="default"/>
      </items>
    </pivotField>
    <pivotField name="Q LB/año8" compact="0" outline="0" multipleItemSelectionAllowed="1" showAll="0">
      <items>
        <item x="0"/>
        <item x="1"/>
        <item t="default"/>
      </items>
    </pivotField>
    <pivotField name="Q LCE/año9" compact="0" outline="0" multipleItemSelectionAllowed="1" showAll="0">
      <items>
        <item x="0"/>
        <item x="1"/>
        <item t="default"/>
      </items>
    </pivotField>
    <pivotField name="Q LCA/año10" compact="0" outline="0" multipleItemSelectionAllowed="1" showAll="0">
      <items>
        <item x="0"/>
        <item x="1"/>
        <item t="default"/>
      </items>
    </pivotField>
    <pivotField name="Q LV/año11" compact="0" outline="0" multipleItemSelectionAllowed="1" showAll="0">
      <items>
        <item x="0"/>
        <item x="1"/>
        <item t="default"/>
      </items>
    </pivotField>
    <pivotField name="Q TRM/año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Q LMO/año3" compact="0" outline="0" multipleItemSelectionAllowed="1" showAll="0">
      <items>
        <item x="0"/>
        <item x="1"/>
        <item t="default"/>
      </items>
    </pivotField>
    <pivotField name="Q LPL/año4" compact="0" outline="0" multipleItemSelectionAllowed="1" showAll="0">
      <items>
        <item x="0"/>
        <item x="1"/>
        <item t="default"/>
      </items>
    </pivotField>
    <pivotField name="Q LAM/año5" compact="0" outline="0" multipleItemSelectionAllowed="1" showAll="0">
      <items>
        <item x="0"/>
        <item x="1"/>
        <item t="default"/>
      </items>
    </pivotField>
    <pivotField name="Q LR/año6" compact="0" outline="0" multipleItemSelectionAllowed="1" showAll="0">
      <items>
        <item x="0"/>
        <item x="1"/>
        <item t="default"/>
      </items>
    </pivotField>
    <pivotField name="Q LN/año7" compact="0" outline="0" multipleItemSelectionAllowed="1" showAll="0">
      <items>
        <item x="0"/>
        <item x="1"/>
        <item t="default"/>
      </items>
    </pivotField>
    <pivotField name="Q LAZ/año8" compact="0" outline="0" multipleItemSelectionAllowed="1" showAll="0">
      <items>
        <item x="0"/>
        <item x="1"/>
        <item t="default"/>
      </items>
    </pivotField>
    <pivotField name="Q LB/año9" compact="0" outline="0" multipleItemSelectionAllowed="1" showAll="0">
      <items>
        <item x="0"/>
        <item x="1"/>
        <item t="default"/>
      </items>
    </pivotField>
    <pivotField name="Q LCE/año10" compact="0" outline="0" multipleItemSelectionAllowed="1" showAll="0">
      <items>
        <item x="0"/>
        <item x="1"/>
        <item t="default"/>
      </items>
    </pivotField>
    <pivotField name="Q LCA/año11" compact="0" outline="0" multipleItemSelectionAllowed="1" showAll="0">
      <items>
        <item x="0"/>
        <item x="1"/>
        <item t="default"/>
      </items>
    </pivotField>
    <pivotField name="Q LV/año12" compact="0" outline="0" multipleItemSelectionAllowed="1" showAll="0">
      <items>
        <item x="0"/>
        <item x="1"/>
        <item t="default"/>
      </items>
    </pivotField>
    <pivotField name="Q TRM/año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.U. $us.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Bs.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Observaciones" compact="0" outline="0" multipleItemSelectionAllowed="1" showAll="0">
      <items>
        <item x="0"/>
        <item t="default"/>
      </items>
    </pivotField>
  </pivotFields>
  <rowFields>
    <field x="0"/>
  </rowFields>
  <colFields>
    <field x="-2"/>
  </colFields>
  <pageFields>
    <pageField fld="2"/>
  </pageFields>
  <dataFields>
    <dataField name="SUM of Bs. 2024" fld="47" baseField="0"/>
    <dataField name="SUM of Bs. 2025" fld="48" baseField="0"/>
    <dataField name="SUM of Bs. 2026" fld="49" baseField="0"/>
  </dataFields>
</pivotTableDefinition>
</file>

<file path=xl/pivotTables/pivotTable5.xml><?xml version="1.0" encoding="utf-8"?>
<pivotTableDefinition xmlns="http://schemas.openxmlformats.org/spreadsheetml/2006/main" name="Resumen 5" cacheId="2" dataCaption="" compact="0" compactData="0">
  <location ref="C152:D155" firstHeaderRow="0" firstDataRow="1" firstDataCol="0" rowPageCount="1" colPageCount="1"/>
  <pivotFields>
    <pivotField name="Ubicación" compact="0" outline="0" multipleItemSelectionAllowed="1" showAll="0">
      <items>
        <item x="0"/>
        <item t="default"/>
      </items>
    </pivotField>
    <pivotField name="Tipo de trabajo" axis="axisPage" compact="0" outline="0" multipleItemSelectionAllowed="1" showAll="0">
      <items>
        <item h="1" x="0"/>
        <item h="1" x="1"/>
        <item x="2"/>
        <item t="default"/>
      </items>
    </pivotField>
    <pivotField name="Tipo de Bien" compact="0" outline="0" multipleItemSelectionAllowed="1" showAll="0">
      <items>
        <item x="0"/>
        <item t="default"/>
      </items>
    </pivotField>
    <pivotField name="TDB/LOCAL" compact="0" outline="0" multipleItemSelectionAllowed="1" showAll="0">
      <items>
        <item x="0"/>
        <item t="default"/>
      </items>
    </pivotField>
    <pivotField name="Partida" compact="0" outline="0" multipleItemSelectionAllowed="1" showAll="0">
      <items>
        <item x="0"/>
        <item x="1"/>
        <item t="default"/>
      </items>
    </pivotField>
    <pivotField name="ID TDB o ID Almacén" compact="0" outline="0" multipleItemSelectionAllowed="1" showAll="0">
      <items>
        <item x="0"/>
        <item t="default"/>
      </items>
    </pivotField>
    <pivotField name="ID Cotizad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escripción del Bien" axis="axisRow" compact="0" outline="0" multipleItemSelectionAllowed="1" showAll="0" sortType="ascending">
      <items>
        <item x="19"/>
        <item x="13"/>
        <item x="14"/>
        <item x="27"/>
        <item x="23"/>
        <item x="21"/>
        <item x="26"/>
        <item x="11"/>
        <item x="18"/>
        <item x="17"/>
        <item x="10"/>
        <item x="16"/>
        <item x="22"/>
        <item x="6"/>
        <item x="5"/>
        <item x="28"/>
        <item x="30"/>
        <item x="29"/>
        <item x="25"/>
        <item x="24"/>
        <item x="15"/>
        <item x="12"/>
        <item x="9"/>
        <item x="8"/>
        <item x="7"/>
        <item x="1"/>
        <item x="2"/>
        <item x="20"/>
        <item x="0"/>
        <item x="4"/>
        <item x="3"/>
        <item t="default"/>
      </items>
    </pivotField>
    <pivotField name="Unid." compact="0" outline="0" multipleItemSelectionAllowed="1" showAll="0">
      <items>
        <item x="0"/>
        <item t="default"/>
      </items>
    </pivotField>
    <pivotField name="Para una cabin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Q 2024" compact="0" outline="0" multipleItemSelectionAllowed="1" showAll="0">
      <items>
        <item x="0"/>
        <item t="default"/>
      </items>
    </pivotField>
    <pivotField name="Q 2025" compact="0" outline="0" multipleItemSelectionAllowed="1" showAll="0">
      <items>
        <item x="0"/>
        <item t="default"/>
      </items>
    </pivotField>
    <pivotField name="Q 2026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Q Total" compact="0" outline="0" multipleItemSelectionAllowed="1" showAll="0">
      <items>
        <item x="0"/>
        <item x="1"/>
        <item t="default"/>
      </items>
    </pivotField>
    <pivotField name="Precio U Dola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Precio 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Precio Total" dataField="1" compact="0" numFmtId="165" outline="0" multipleItemSelectionAllowed="1" showAll="0">
      <items>
        <item x="0"/>
        <item x="1"/>
        <item x="2"/>
        <item t="default"/>
      </items>
    </pivotField>
    <pivotField name="Observaciones" compact="0" outline="0" multipleItemSelectionAllowed="1" showAll="0">
      <items>
        <item x="0"/>
        <item x="1"/>
        <item x="2"/>
        <item t="default"/>
      </items>
    </pivotField>
  </pivotFields>
  <rowFields>
    <field x="7"/>
  </rowFields>
  <pageFields>
    <pageField fld="1"/>
  </pageFields>
  <dataFields>
    <dataField name="SUM of Precio Total" fld="16" baseField="0"/>
  </dataFields>
</pivotTableDefinition>
</file>

<file path=xl/pivotTables/pivotTable6.xml><?xml version="1.0" encoding="utf-8"?>
<pivotTableDefinition xmlns="http://schemas.openxmlformats.org/spreadsheetml/2006/main" name="Resumen Partidas" cacheId="3" dataCaption="" compact="0" compactData="0">
  <location ref="G3:K10" firstHeaderRow="0" firstDataRow="2" firstDataCol="0" rowPageCount="1" colPageCount="1"/>
  <pivotFields>
    <pivotField name="Ubicació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ipo de trabaj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po de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DB/LOCAL" axis="axisPage" compact="0" outline="0" multipleItemSelectionAllowed="1" showAll="0">
      <items>
        <item x="0"/>
        <item h="1" x="1"/>
        <item h="1" x="2"/>
        <item t="default"/>
      </items>
    </pivotField>
    <pivotField name="Partida" axis="axisRow" compact="0" numFmtId="49" outline="0" multipleItemSelectionAllowed="1" showAll="0" sortType="ascending">
      <items>
        <item x="6"/>
        <item x="0"/>
        <item x="4"/>
        <item x="5"/>
        <item x="3"/>
        <item x="2"/>
        <item x="1"/>
        <item t="default"/>
      </items>
    </pivotField>
    <pivotField name="ID TDB o ID Almacé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t="default"/>
      </items>
    </pivotField>
    <pivotField name="ID Cotiz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name="Descripción del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t="default"/>
      </items>
    </pivotField>
    <pivotField name="Unid." compact="0" outline="0" multipleItemSelectionAllowed="1" showAll="0">
      <items>
        <item x="0"/>
        <item x="1"/>
        <item x="2"/>
        <item x="3"/>
        <item t="default"/>
      </items>
    </pivotField>
    <pivotField name="LMO" compact="0" outline="0" multipleItemSelectionAllowed="1" showAll="0">
      <items>
        <item x="0"/>
        <item x="1"/>
        <item x="2"/>
        <item x="3"/>
        <item t="default"/>
      </items>
    </pivotField>
    <pivotField name=" LP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Z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B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C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V" compact="0" outline="0" multipleItemSelectionAllowed="1" showAll="0">
      <items>
        <item x="0"/>
        <item x="1"/>
        <item x="2"/>
        <item x="3"/>
        <item t="default"/>
      </items>
    </pivotField>
    <pivotField name="Lineas Base" compact="0" outline="0" multipleItemSelectionAllowed="1" showAll="0">
      <items>
        <item x="0"/>
        <item t="default"/>
      </items>
    </pivotField>
    <pivotField name="f LMO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PL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f LA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 LR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N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AZ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B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E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A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 Frecuencia" compact="0" outline="0" multipleItemSelectionAllowed="1" showAll="0">
      <items>
        <item x="0"/>
        <item t="default"/>
      </items>
    </pivotField>
    <pivotField name="LMO2" compact="0" outline="0" multipleItemSelectionAllowed="1" showAll="0">
      <items>
        <item x="0"/>
        <item t="default"/>
      </items>
    </pivotField>
    <pivotField name=" LPL3" compact="0" outline="0" multipleItemSelectionAllowed="1" showAll="0">
      <items>
        <item x="0"/>
        <item t="default"/>
      </items>
    </pivotField>
    <pivotField name="LAM4" compact="0" outline="0" multipleItemSelectionAllowed="1" showAll="0">
      <items>
        <item x="0"/>
        <item t="default"/>
      </items>
    </pivotField>
    <pivotField name=" LR5" compact="0" outline="0" multipleItemSelectionAllowed="1" showAll="0">
      <items>
        <item x="0"/>
        <item t="default"/>
      </items>
    </pivotField>
    <pivotField name="LN6" compact="0" outline="0" multipleItemSelectionAllowed="1" showAll="0">
      <items>
        <item x="0"/>
        <item t="default"/>
      </items>
    </pivotField>
    <pivotField name="LAZ7" compact="0" outline="0" multipleItemSelectionAllowed="1" showAll="0">
      <items>
        <item x="0"/>
        <item t="default"/>
      </items>
    </pivotField>
    <pivotField name="LB8" compact="0" outline="0" multipleItemSelectionAllowed="1" showAll="0">
      <items>
        <item x="0"/>
        <item t="default"/>
      </items>
    </pivotField>
    <pivotField name="LCE9" compact="0" outline="0" multipleItemSelectionAllowed="1" showAll="0">
      <items>
        <item x="0"/>
        <item t="default"/>
      </items>
    </pivotField>
    <pivotField name=" LCA10" compact="0" outline="0" multipleItemSelectionAllowed="1" showAll="0">
      <items>
        <item x="0"/>
        <item t="default"/>
      </items>
    </pivotField>
    <pivotField name="LV11" compact="0" outline="0" multipleItemSelectionAllowed="1" showAll="0">
      <items>
        <item x="0"/>
        <item t="default"/>
      </items>
    </pivotField>
    <pivotField name="f LMO/añ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 LPL/año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M/año4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R/año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N/año6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Z/año7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B/año8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E/año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A/año10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TRIZ " compact="0" outline="0" multipleItemSelectionAllowed="1" showAll="0">
      <items>
        <item x="0"/>
        <item t="default"/>
      </items>
    </pivotField>
    <pivotField name="Q/f LM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Q/f LP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Q/f L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/f L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Q/f LM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P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AM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R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N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AZ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B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CE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A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V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Q/f LMO22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Q/f LPL33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AM4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R5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N6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7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B88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CE9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1010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/f LV11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P.U. $us.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  <pivotField name="Bs LMO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ame="Bs LPL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name="Bs LAM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name="Bs LR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N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Bs LAZ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s LB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Bs LCE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Bs LCA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Bs LV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name="Bs LMO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Bs LPL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AM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R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Bs LN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Bs LAZ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B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Bs LCE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 LCA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s LV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Bs LMO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s LPL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s LAM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name="Bs LR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name="Bs LN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Bs LAZ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Bs LB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s LCE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s LCA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Bs LV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name="Bs. Total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name="Observaci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omentario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4"/>
  </rowFields>
  <colFields>
    <field x="-2"/>
  </colFields>
  <pageFields>
    <pageField fld="3"/>
  </pageFields>
  <dataFields>
    <dataField name="SUM of Bs. 2024" fld="98" baseField="0"/>
    <dataField name="SUM of Bs. 2025" fld="109" baseField="0"/>
    <dataField name="SUM of Bs. 2026" fld="120" baseField="0"/>
    <dataField name="SUM of Bs. Total" fld="121" baseField="0"/>
  </dataFields>
</pivotTableDefinition>
</file>

<file path=xl/pivotTables/pivotTable7.xml><?xml version="1.0" encoding="utf-8"?>
<pivotTableDefinition xmlns="http://schemas.openxmlformats.org/spreadsheetml/2006/main" name="Resumen Partidas 2" cacheId="4" dataCaption="" compact="0" compactData="0">
  <location ref="M3:Q6" firstHeaderRow="0" firstDataRow="2" firstDataCol="0" rowPageCount="1" colPageCount="1"/>
  <pivotFields>
    <pivotField name="Ubicación" compact="0" outline="0" multipleItemSelectionAllowed="1" showAll="0">
      <items>
        <item x="0"/>
        <item x="1"/>
        <item x="2"/>
        <item x="3"/>
        <item t="default"/>
      </items>
    </pivotField>
    <pivotField name="Tipo de trabajo" compact="0" outline="0" multipleItemSelectionAllowed="1" showAll="0">
      <items>
        <item x="0"/>
        <item x="1"/>
        <item x="2"/>
        <item x="3"/>
        <item t="default"/>
      </items>
    </pivotField>
    <pivotField name="Tipo de Bien" compact="0" outline="0" multipleItemSelectionAllowed="1" showAll="0">
      <items>
        <item x="0"/>
        <item x="1"/>
        <item x="2"/>
        <item t="default"/>
      </items>
    </pivotField>
    <pivotField name="TDB/LOCAL" axis="axisPage" compact="0" outline="0" multipleItemSelectionAllowed="1" showAll="0">
      <items>
        <item x="0"/>
        <item h="1" x="1"/>
        <item t="default"/>
      </items>
    </pivotField>
    <pivotField name="Partida" axis="axisRow" compact="0" numFmtId="49" outline="0" multipleItemSelectionAllowed="1" showAll="0" sortType="ascending">
      <items>
        <item x="2"/>
        <item x="1"/>
        <item x="0"/>
        <item t="default"/>
      </items>
    </pivotField>
    <pivotField name="ID TDB o ID Almacén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ID Cotizado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name="Descripción del Bie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name="Unid." compact="0" outline="0" multipleItemSelectionAllowed="1" showAll="0">
      <items>
        <item x="0"/>
        <item x="1"/>
        <item t="default"/>
      </items>
    </pivotField>
    <pivotField name="Q LMO/año" compact="0" outline="0" multipleItemSelectionAllowed="1" showAll="0">
      <items>
        <item x="0"/>
        <item x="1"/>
        <item t="default"/>
      </items>
    </pivotField>
    <pivotField name="Q LPL/año" compact="0" outline="0" multipleItemSelectionAllowed="1" showAll="0">
      <items>
        <item x="0"/>
        <item x="1"/>
        <item t="default"/>
      </items>
    </pivotField>
    <pivotField name="Q LAM/año" compact="0" outline="0" multipleItemSelectionAllowed="1" showAll="0">
      <items>
        <item x="0"/>
        <item x="1"/>
        <item t="default"/>
      </items>
    </pivotField>
    <pivotField name="Q LR/año" compact="0" outline="0" multipleItemSelectionAllowed="1" showAll="0">
      <items>
        <item x="0"/>
        <item x="1"/>
        <item t="default"/>
      </items>
    </pivotField>
    <pivotField name="Q LN/año" compact="0" outline="0" multipleItemSelectionAllowed="1" showAll="0">
      <items>
        <item x="0"/>
        <item x="1"/>
        <item t="default"/>
      </items>
    </pivotField>
    <pivotField name="Q LAZ/año" compact="0" outline="0" multipleItemSelectionAllowed="1" showAll="0">
      <items>
        <item x="0"/>
        <item x="1"/>
        <item t="default"/>
      </items>
    </pivotField>
    <pivotField name="Q LB/año" compact="0" outline="0" multipleItemSelectionAllowed="1" showAll="0">
      <items>
        <item x="0"/>
        <item x="1"/>
        <item t="default"/>
      </items>
    </pivotField>
    <pivotField name="Q LCE/año" compact="0" outline="0" multipleItemSelectionAllowed="1" showAll="0">
      <items>
        <item x="0"/>
        <item x="1"/>
        <item t="default"/>
      </items>
    </pivotField>
    <pivotField name="Q LCA/año" compact="0" outline="0" multipleItemSelectionAllowed="1" showAll="0">
      <items>
        <item x="0"/>
        <item x="1"/>
        <item t="default"/>
      </items>
    </pivotField>
    <pivotField name="Q LV/año" compact="0" outline="0" multipleItemSelectionAllowed="1" showAll="0">
      <items>
        <item x="0"/>
        <item x="1"/>
        <item t="default"/>
      </items>
    </pivotField>
    <pivotField name="Q TR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Q LMO/año2" compact="0" outline="0" multipleItemSelectionAllowed="1" showAll="0">
      <items>
        <item x="0"/>
        <item x="1"/>
        <item t="default"/>
      </items>
    </pivotField>
    <pivotField name="Q LPL/año3" compact="0" outline="0" multipleItemSelectionAllowed="1" showAll="0">
      <items>
        <item x="0"/>
        <item x="1"/>
        <item t="default"/>
      </items>
    </pivotField>
    <pivotField name="Q LAM/año4" compact="0" outline="0" multipleItemSelectionAllowed="1" showAll="0">
      <items>
        <item x="0"/>
        <item x="1"/>
        <item t="default"/>
      </items>
    </pivotField>
    <pivotField name="Q LR/año5" compact="0" outline="0" multipleItemSelectionAllowed="1" showAll="0">
      <items>
        <item x="0"/>
        <item x="1"/>
        <item t="default"/>
      </items>
    </pivotField>
    <pivotField name="Q LN/año6" compact="0" outline="0" multipleItemSelectionAllowed="1" showAll="0">
      <items>
        <item x="0"/>
        <item x="1"/>
        <item t="default"/>
      </items>
    </pivotField>
    <pivotField name="Q LAZ/año7" compact="0" outline="0" multipleItemSelectionAllowed="1" showAll="0">
      <items>
        <item x="0"/>
        <item x="1"/>
        <item t="default"/>
      </items>
    </pivotField>
    <pivotField name="Q LB/año8" compact="0" outline="0" multipleItemSelectionAllowed="1" showAll="0">
      <items>
        <item x="0"/>
        <item x="1"/>
        <item t="default"/>
      </items>
    </pivotField>
    <pivotField name="Q LCE/año9" compact="0" outline="0" multipleItemSelectionAllowed="1" showAll="0">
      <items>
        <item x="0"/>
        <item x="1"/>
        <item t="default"/>
      </items>
    </pivotField>
    <pivotField name="Q LCA/año10" compact="0" outline="0" multipleItemSelectionAllowed="1" showAll="0">
      <items>
        <item x="0"/>
        <item x="1"/>
        <item t="default"/>
      </items>
    </pivotField>
    <pivotField name="Q LV/año11" compact="0" outline="0" multipleItemSelectionAllowed="1" showAll="0">
      <items>
        <item x="0"/>
        <item x="1"/>
        <item t="default"/>
      </items>
    </pivotField>
    <pivotField name="Q TRM/año1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Q LMO/año3" compact="0" outline="0" multipleItemSelectionAllowed="1" showAll="0">
      <items>
        <item x="0"/>
        <item x="1"/>
        <item t="default"/>
      </items>
    </pivotField>
    <pivotField name="Q LPL/año4" compact="0" outline="0" multipleItemSelectionAllowed="1" showAll="0">
      <items>
        <item x="0"/>
        <item x="1"/>
        <item t="default"/>
      </items>
    </pivotField>
    <pivotField name="Q LAM/año5" compact="0" outline="0" multipleItemSelectionAllowed="1" showAll="0">
      <items>
        <item x="0"/>
        <item x="1"/>
        <item t="default"/>
      </items>
    </pivotField>
    <pivotField name="Q LR/año6" compact="0" outline="0" multipleItemSelectionAllowed="1" showAll="0">
      <items>
        <item x="0"/>
        <item x="1"/>
        <item t="default"/>
      </items>
    </pivotField>
    <pivotField name="Q LN/año7" compact="0" outline="0" multipleItemSelectionAllowed="1" showAll="0">
      <items>
        <item x="0"/>
        <item x="1"/>
        <item t="default"/>
      </items>
    </pivotField>
    <pivotField name="Q LAZ/año8" compact="0" outline="0" multipleItemSelectionAllowed="1" showAll="0">
      <items>
        <item x="0"/>
        <item x="1"/>
        <item t="default"/>
      </items>
    </pivotField>
    <pivotField name="Q LB/año9" compact="0" outline="0" multipleItemSelectionAllowed="1" showAll="0">
      <items>
        <item x="0"/>
        <item x="1"/>
        <item t="default"/>
      </items>
    </pivotField>
    <pivotField name="Q LCE/año10" compact="0" outline="0" multipleItemSelectionAllowed="1" showAll="0">
      <items>
        <item x="0"/>
        <item x="1"/>
        <item t="default"/>
      </items>
    </pivotField>
    <pivotField name="Q LCA/año11" compact="0" outline="0" multipleItemSelectionAllowed="1" showAll="0">
      <items>
        <item x="0"/>
        <item x="1"/>
        <item t="default"/>
      </items>
    </pivotField>
    <pivotField name="Q LV/año12" compact="0" outline="0" multipleItemSelectionAllowed="1" showAll="0">
      <items>
        <item x="0"/>
        <item x="1"/>
        <item t="default"/>
      </items>
    </pivotField>
    <pivotField name="Q TRM/año1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.U. $us.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Bs. Total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Observaciones" compact="0" outline="0" multipleItemSelectionAllowed="1" showAll="0">
      <items>
        <item x="0"/>
        <item t="default"/>
      </items>
    </pivotField>
  </pivotFields>
  <rowFields>
    <field x="4"/>
  </rowFields>
  <colFields>
    <field x="-2"/>
  </colFields>
  <pageFields>
    <pageField fld="3"/>
  </pageFields>
  <dataFields>
    <dataField name="SUM of Bs. 2024" fld="48" baseField="0"/>
    <dataField name="SUM of Bs. 2025" fld="49" baseField="0"/>
    <dataField name="SUM of Bs. 2026" fld="50" baseField="0"/>
    <dataField name="SUM of Bs. Total" fld="51" baseField="0"/>
  </dataFields>
</pivotTableDefinition>
</file>

<file path=xl/pivotTables/pivotTable8.xml><?xml version="1.0" encoding="utf-8"?>
<pivotTableDefinition xmlns="http://schemas.openxmlformats.org/spreadsheetml/2006/main" name="Resumen Partidas 3" cacheId="5" dataCaption="" compact="0" compactData="0">
  <location ref="G15:J18" firstHeaderRow="0" firstDataRow="2" firstDataCol="0" rowPageCount="1" colPageCount="1"/>
  <pivotFields>
    <pivotField name="Ubicació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ipo de trabaj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ipo de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DB/LOCAL" axis="axisPage" compact="0" outline="0" multipleItemSelectionAllowed="1" showAll="0">
      <items>
        <item h="1" x="0"/>
        <item x="1"/>
        <item t="default"/>
      </items>
    </pivotField>
    <pivotField name="Partida" axis="axisRow" compact="0" numFmtId="49" outline="0" multipleItemSelectionAllowed="1" showAll="0" sortType="ascending">
      <items>
        <item x="0"/>
        <item x="4"/>
        <item x="3"/>
        <item x="2"/>
        <item x="1"/>
        <item t="default"/>
      </items>
    </pivotField>
    <pivotField name="ID TDB o ID Almacé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ID Cotizad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name="Descripción del Bi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t="default"/>
      </items>
    </pivotField>
    <pivotField name="Unid." compact="0" outline="0" multipleItemSelectionAllowed="1" showAll="0">
      <items>
        <item x="0"/>
        <item x="1"/>
        <item x="2"/>
        <item t="default"/>
      </items>
    </pivotField>
    <pivotField name="LMO" compact="0" outline="0" multipleItemSelectionAllowed="1" showAll="0">
      <items>
        <item x="0"/>
        <item x="1"/>
        <item x="2"/>
        <item x="3"/>
        <item t="default"/>
      </items>
    </pivotField>
    <pivotField name=" LP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Z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B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 LC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V" compact="0" outline="0" multipleItemSelectionAllowed="1" showAll="0">
      <items>
        <item x="0"/>
        <item x="1"/>
        <item x="2"/>
        <item x="3"/>
        <item t="default"/>
      </items>
    </pivotField>
    <pivotField name="Lineas Base" compact="0" outline="0" multipleItemSelectionAllowed="1" showAll="0">
      <items>
        <item x="0"/>
        <item t="default"/>
      </items>
    </pivotField>
    <pivotField name="f LMO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PL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 LAM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 LR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N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AZ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B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E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f LCA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 Frecuencia" compact="0" outline="0" multipleItemSelectionAllowed="1" showAll="0">
      <items>
        <item x="0"/>
        <item t="default"/>
      </items>
    </pivotField>
    <pivotField name="LMO2" compact="0" outline="0" multipleItemSelectionAllowed="1" showAll="0">
      <items>
        <item x="0"/>
        <item t="default"/>
      </items>
    </pivotField>
    <pivotField name=" LPL3" compact="0" outline="0" multipleItemSelectionAllowed="1" showAll="0">
      <items>
        <item x="0"/>
        <item t="default"/>
      </items>
    </pivotField>
    <pivotField name="LAM4" compact="0" outline="0" multipleItemSelectionAllowed="1" showAll="0">
      <items>
        <item x="0"/>
        <item t="default"/>
      </items>
    </pivotField>
    <pivotField name=" LR5" compact="0" outline="0" multipleItemSelectionAllowed="1" showAll="0">
      <items>
        <item x="0"/>
        <item t="default"/>
      </items>
    </pivotField>
    <pivotField name="LN6" compact="0" outline="0" multipleItemSelectionAllowed="1" showAll="0">
      <items>
        <item x="0"/>
        <item t="default"/>
      </items>
    </pivotField>
    <pivotField name="LAZ7" compact="0" outline="0" multipleItemSelectionAllowed="1" showAll="0">
      <items>
        <item x="0"/>
        <item t="default"/>
      </items>
    </pivotField>
    <pivotField name="LB8" compact="0" outline="0" multipleItemSelectionAllowed="1" showAll="0">
      <items>
        <item x="0"/>
        <item t="default"/>
      </items>
    </pivotField>
    <pivotField name="LCE9" compact="0" outline="0" multipleItemSelectionAllowed="1" showAll="0">
      <items>
        <item x="0"/>
        <item t="default"/>
      </items>
    </pivotField>
    <pivotField name=" LCA10" compact="0" outline="0" multipleItemSelectionAllowed="1" showAll="0">
      <items>
        <item x="0"/>
        <item t="default"/>
      </items>
    </pivotField>
    <pivotField name="LV11" compact="0" outline="0" multipleItemSelectionAllowed="1" showAll="0">
      <items>
        <item x="0"/>
        <item t="default"/>
      </items>
    </pivotField>
    <pivotField name="f LMO/año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 LPL/año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M/año4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R/año5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 LN/año6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AZ/año7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B/año8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E/año9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 LCA/año10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f LV/año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MATRIZ " compact="0" outline="0" multipleItemSelectionAllowed="1" showAll="0">
      <items>
        <item x="0"/>
        <item t="default"/>
      </items>
    </pivotField>
    <pivotField name="Q/f LM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P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Q/f L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AZ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Q/f L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Q/f LC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 202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Q/f LM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PL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/f LAM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Q/f LR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Q/f LN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Q/f LAZ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Q/f LB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Q/f LCE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/f LCA1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V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Q 2025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Q/f LMO22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Q/f LPL33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M44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R5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N6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Q/f LAZ7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Q/f LB88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Q/f LCE9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Q/f LCA1010" compact="0" numFmtId="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Q/f LV111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Q 2026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Q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P.U. $us.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name="P.U. Bs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name="Bs LMO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Bs LPL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Bs LAM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Bs LR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Bs LN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Bs LAZ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Bs LB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Bs LCE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Bs LCA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s LV/2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Bs. 2024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name="Bs LMO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Bs LPL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Bs LAM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Bs LR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Bs LN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name="Bs LAZ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Bs LB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Bs LCE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Bs LCA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Bs LV/2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Bs. 2025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name="Bs LMO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s LPL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Bs LAM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Bs LR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s LN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Bs LAZ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s LB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Bs LCE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Bs LCA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Bs LV/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Bs. 2026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name="Bs. Total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name="Observacion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omentario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>
    <field x="4"/>
  </rowFields>
  <colFields>
    <field x="-2"/>
  </colFields>
  <pageFields>
    <pageField fld="3"/>
  </pageFields>
  <dataFields>
    <dataField name="SUM of Bs. 2024" fld="98" baseField="0"/>
    <dataField name="SUM of Bs. 2025" fld="109" baseField="0"/>
    <dataField name="SUM of Bs. 2026" fld="12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SXWzkdT8kVSDoW1Ld9kXeavFM_VNKL3PXECM3OCbjuY/edit" TargetMode="External"/><Relationship Id="rId10" Type="http://schemas.openxmlformats.org/officeDocument/2006/relationships/hyperlink" Target="https://docs.google.com/spreadsheets/d/1SXWzkdT8kVSDoW1Ld9kXeavFM_VNKL3PXECM3OCbjuY" TargetMode="External"/><Relationship Id="rId13" Type="http://schemas.openxmlformats.org/officeDocument/2006/relationships/hyperlink" Target="https://docs.google.com/spreadsheets/d/1CQ6svkMpKvbqHGq8eyQcXoP4AdazfgEIDq2UgpEa4EU/edit" TargetMode="External"/><Relationship Id="rId12" Type="http://schemas.openxmlformats.org/officeDocument/2006/relationships/hyperlink" Target="https://docs.google.com/spreadsheets/d/1CQ6svkMpKvbqHGq8eyQcXoP4AdazfgEIDq2UgpEa4EU/edit" TargetMode="External"/><Relationship Id="rId1" Type="http://schemas.openxmlformats.org/officeDocument/2006/relationships/comments" Target="../comments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9" Type="http://schemas.openxmlformats.org/officeDocument/2006/relationships/hyperlink" Target="https://docs.google.com/spreadsheets/d/1PNX_owPqRGx3Mf6LScnR3fM35xhTCEvrrAu4bz3C13g/edit" TargetMode="External"/><Relationship Id="rId15" Type="http://schemas.openxmlformats.org/officeDocument/2006/relationships/hyperlink" Target="https://docs.google.com/spreadsheets/d/1XqUjlRfFypwkUmdmpiH5b0giYK67YSKvx1DXiCTJPj8/edit" TargetMode="External"/><Relationship Id="rId14" Type="http://schemas.openxmlformats.org/officeDocument/2006/relationships/hyperlink" Target="https://docs.google.com/spreadsheets/d/1HG3KquQtp1atN0mYlqRK9pPvt4nLNwgA1p02VOUY9HE/edit" TargetMode="External"/><Relationship Id="rId17" Type="http://schemas.openxmlformats.org/officeDocument/2006/relationships/drawing" Target="../drawings/drawing2.xml"/><Relationship Id="rId16" Type="http://schemas.openxmlformats.org/officeDocument/2006/relationships/hyperlink" Target="https://docs.google.com/spreadsheets/d/1SXWzkdT8kVSDoW1Ld9kXeavFM_VNKL3PXECM3OCbjuY/edit" TargetMode="Externa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18" Type="http://schemas.openxmlformats.org/officeDocument/2006/relationships/vmlDrawing" Target="../drawings/vmlDrawing1.vml"/><Relationship Id="rId7" Type="http://schemas.openxmlformats.org/officeDocument/2006/relationships/hyperlink" Target="https://docs.google.com/spreadsheets/d/15RlOmAt6Npucz22WErVhDVW8Z9EPeNzYeN2-mqE9dHE/edit" TargetMode="External"/><Relationship Id="rId8" Type="http://schemas.openxmlformats.org/officeDocument/2006/relationships/hyperlink" Target="https://docs.google.com/spreadsheets/d/1PNX_owPqRGx3Mf6LScnR3fM35xhTCEvrrAu4bz3C13g/edit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6ZgySNosycViCWfV-is4qvHX-f3aK7qmFWE9J26qK0M/edit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oogle.com/spreadsheets/d/1jujbeFMzGuSpcK9blAXYZ8La9Aa8Y3-3xiyuDl-3tAE/edit" TargetMode="External"/><Relationship Id="rId20" Type="http://schemas.openxmlformats.org/officeDocument/2006/relationships/hyperlink" Target="https://docs.google.com/spreadsheets/d/1jujbeFMzGuSpcK9blAXYZ8La9Aa8Y3-3xiyuDl-3tAE/edit" TargetMode="External"/><Relationship Id="rId42" Type="http://schemas.openxmlformats.org/officeDocument/2006/relationships/hyperlink" Target="https://docs.google.com/spreadsheets/d/1CQ6svkMpKvbqHGq8eyQcXoP4AdazfgEIDq2UgpEa4EU/edit?pli=1" TargetMode="External"/><Relationship Id="rId41" Type="http://schemas.openxmlformats.org/officeDocument/2006/relationships/hyperlink" Target="https://docs.google.com/spreadsheets/d/1CQ6svkMpKvbqHGq8eyQcXoP4AdazfgEIDq2UgpEa4EU/edit?pli=1" TargetMode="External"/><Relationship Id="rId22" Type="http://schemas.openxmlformats.org/officeDocument/2006/relationships/hyperlink" Target="https://docs.google.com/spreadsheets/d/1jujbeFMzGuSpcK9blAXYZ8La9Aa8Y3-3xiyuDl-3tAE/edit" TargetMode="External"/><Relationship Id="rId21" Type="http://schemas.openxmlformats.org/officeDocument/2006/relationships/hyperlink" Target="https://docs.google.com/spreadsheets/d/1jujbeFMzGuSpcK9blAXYZ8La9Aa8Y3-3xiyuDl-3tAE/edit" TargetMode="External"/><Relationship Id="rId43" Type="http://schemas.openxmlformats.org/officeDocument/2006/relationships/drawing" Target="../drawings/drawing4.xml"/><Relationship Id="rId24" Type="http://schemas.openxmlformats.org/officeDocument/2006/relationships/hyperlink" Target="https://docs.google.com/spreadsheets/d/1SXWzkdT8kVSDoW1Ld9kXeavFM_VNKL3PXECM3OCbjuY/edit" TargetMode="External"/><Relationship Id="rId23" Type="http://schemas.openxmlformats.org/officeDocument/2006/relationships/hyperlink" Target="https://docs.google.com/spreadsheets/d/1jujbeFMzGuSpcK9blAXYZ8La9Aa8Y3-3xiyuDl-3tAE/edit" TargetMode="External"/><Relationship Id="rId1" Type="http://schemas.openxmlformats.org/officeDocument/2006/relationships/hyperlink" Target="https://docs.google.com/spreadsheets/d/1jujbeFMzGuSpcK9blAXYZ8La9Aa8Y3-3xiyuDl-3tAE/edit" TargetMode="External"/><Relationship Id="rId2" Type="http://schemas.openxmlformats.org/officeDocument/2006/relationships/hyperlink" Target="https://docs.google.com/spreadsheets/d/1jujbeFMzGuSpcK9blAXYZ8La9Aa8Y3-3xiyuDl-3tAE/edit" TargetMode="External"/><Relationship Id="rId3" Type="http://schemas.openxmlformats.org/officeDocument/2006/relationships/hyperlink" Target="https://docs.google.com/spreadsheets/d/1jujbeFMzGuSpcK9blAXYZ8La9Aa8Y3-3xiyuDl-3tAE/edit" TargetMode="External"/><Relationship Id="rId4" Type="http://schemas.openxmlformats.org/officeDocument/2006/relationships/hyperlink" Target="https://docs.google.com/spreadsheets/d/1jujbeFMzGuSpcK9blAXYZ8La9Aa8Y3-3xiyuDl-3tAE/edit" TargetMode="External"/><Relationship Id="rId9" Type="http://schemas.openxmlformats.org/officeDocument/2006/relationships/hyperlink" Target="https://docs.google.com/spreadsheets/d/1jujbeFMzGuSpcK9blAXYZ8La9Aa8Y3-3xiyuDl-3tAE/edit" TargetMode="External"/><Relationship Id="rId26" Type="http://schemas.openxmlformats.org/officeDocument/2006/relationships/hyperlink" Target="https://docs.google.com/spreadsheets/d/1SXWzkdT8kVSDoW1Ld9kXeavFM_VNKL3PXECM3OCbjuY/edit" TargetMode="External"/><Relationship Id="rId25" Type="http://schemas.openxmlformats.org/officeDocument/2006/relationships/hyperlink" Target="https://docs.google.com/spreadsheets/d/1SXWzkdT8kVSDoW1Ld9kXeavFM_VNKL3PXECM3OCbjuY/edit" TargetMode="External"/><Relationship Id="rId28" Type="http://schemas.openxmlformats.org/officeDocument/2006/relationships/hyperlink" Target="https://docs.google.com/spreadsheets/d/1jujbeFMzGuSpcK9blAXYZ8La9Aa8Y3-3xiyuDl-3tAE/edit" TargetMode="External"/><Relationship Id="rId27" Type="http://schemas.openxmlformats.org/officeDocument/2006/relationships/hyperlink" Target="https://docs.google.com/spreadsheets/d/1SXWzkdT8kVSDoW1Ld9kXeavFM_VNKL3PXECM3OCbjuY/edit" TargetMode="External"/><Relationship Id="rId5" Type="http://schemas.openxmlformats.org/officeDocument/2006/relationships/hyperlink" Target="https://docs.google.com/spreadsheets/d/1jujbeFMzGuSpcK9blAXYZ8La9Aa8Y3-3xiyuDl-3tAE/edit" TargetMode="External"/><Relationship Id="rId6" Type="http://schemas.openxmlformats.org/officeDocument/2006/relationships/hyperlink" Target="https://docs.google.com/spreadsheets/d/1jujbeFMzGuSpcK9blAXYZ8La9Aa8Y3-3xiyuDl-3tAE/edit" TargetMode="External"/><Relationship Id="rId29" Type="http://schemas.openxmlformats.org/officeDocument/2006/relationships/hyperlink" Target="https://docs.google.com/spreadsheets/d/1SXWzkdT8kVSDoW1Ld9kXeavFM_VNKL3PXECM3OCbjuY/edit" TargetMode="External"/><Relationship Id="rId7" Type="http://schemas.openxmlformats.org/officeDocument/2006/relationships/hyperlink" Target="https://docs.google.com/spreadsheets/d/1jujbeFMzGuSpcK9blAXYZ8La9Aa8Y3-3xiyuDl-3tAE/edit" TargetMode="External"/><Relationship Id="rId8" Type="http://schemas.openxmlformats.org/officeDocument/2006/relationships/hyperlink" Target="https://docs.google.com/spreadsheets/d/1SXWzkdT8kVSDoW1Ld9kXeavFM_VNKL3PXECM3OCbjuY/edit" TargetMode="External"/><Relationship Id="rId31" Type="http://schemas.openxmlformats.org/officeDocument/2006/relationships/hyperlink" Target="https://docs.google.com/spreadsheets/d/1jujbeFMzGuSpcK9blAXYZ8La9Aa8Y3-3xiyuDl-3tAE/edit" TargetMode="External"/><Relationship Id="rId30" Type="http://schemas.openxmlformats.org/officeDocument/2006/relationships/hyperlink" Target="https://docs.google.com/spreadsheets/d/1jujbeFMzGuSpcK9blAXYZ8La9Aa8Y3-3xiyuDl-3tAE/edit" TargetMode="External"/><Relationship Id="rId11" Type="http://schemas.openxmlformats.org/officeDocument/2006/relationships/hyperlink" Target="https://docs.google.com/spreadsheets/d/1SXWzkdT8kVSDoW1Ld9kXeavFM_VNKL3PXECM3OCbjuY/edit" TargetMode="External"/><Relationship Id="rId33" Type="http://schemas.openxmlformats.org/officeDocument/2006/relationships/hyperlink" Target="https://docs.google.com/spreadsheets/d/1PNX_owPqRGx3Mf6LScnR3fM35xhTCEvrrAu4bz3C13g/edit" TargetMode="External"/><Relationship Id="rId10" Type="http://schemas.openxmlformats.org/officeDocument/2006/relationships/hyperlink" Target="https://docs.google.com/spreadsheets/d/1SXWzkdT8kVSDoW1Ld9kXeavFM_VNKL3PXECM3OCbjuY/edit" TargetMode="External"/><Relationship Id="rId32" Type="http://schemas.openxmlformats.org/officeDocument/2006/relationships/hyperlink" Target="https://docs.google.com/spreadsheets/d/1jujbeFMzGuSpcK9blAXYZ8La9Aa8Y3-3xiyuDl-3tAE/edit" TargetMode="External"/><Relationship Id="rId13" Type="http://schemas.openxmlformats.org/officeDocument/2006/relationships/hyperlink" Target="https://docs.google.com/spreadsheets/d/1SXWzkdT8kVSDoW1Ld9kXeavFM_VNKL3PXECM3OCbjuY/edit" TargetMode="External"/><Relationship Id="rId35" Type="http://schemas.openxmlformats.org/officeDocument/2006/relationships/hyperlink" Target="https://docs.google.com/spreadsheets/d/1PNX_owPqRGx3Mf6LScnR3fM35xhTCEvrrAu4bz3C13g/edit" TargetMode="External"/><Relationship Id="rId12" Type="http://schemas.openxmlformats.org/officeDocument/2006/relationships/hyperlink" Target="https://docs.google.com/spreadsheets/d/1SXWzkdT8kVSDoW1Ld9kXeavFM_VNKL3PXECM3OCbjuY/edit" TargetMode="External"/><Relationship Id="rId34" Type="http://schemas.openxmlformats.org/officeDocument/2006/relationships/hyperlink" Target="https://docs.google.com/spreadsheets/d/1CQ6svkMpKvbqHGq8eyQcXoP4AdazfgEIDq2UgpEa4EU/edit?pli=1" TargetMode="External"/><Relationship Id="rId15" Type="http://schemas.openxmlformats.org/officeDocument/2006/relationships/hyperlink" Target="https://docs.google.com/spreadsheets/d/1SXWzkdT8kVSDoW1Ld9kXeavFM_VNKL3PXECM3OCbjuY/edit" TargetMode="External"/><Relationship Id="rId37" Type="http://schemas.openxmlformats.org/officeDocument/2006/relationships/hyperlink" Target="https://docs.google.com/spreadsheets/d/1jujbeFMzGuSpcK9blAXYZ8La9Aa8Y3-3xiyuDl-3tAE/edit" TargetMode="External"/><Relationship Id="rId14" Type="http://schemas.openxmlformats.org/officeDocument/2006/relationships/hyperlink" Target="https://docs.google.com/spreadsheets/d/1SXWzkdT8kVSDoW1Ld9kXeavFM_VNKL3PXECM3OCbjuY/edit" TargetMode="External"/><Relationship Id="rId36" Type="http://schemas.openxmlformats.org/officeDocument/2006/relationships/hyperlink" Target="https://docs.google.com/spreadsheets/d/1CQ6svkMpKvbqHGq8eyQcXoP4AdazfgEIDq2UgpEa4EU/edit?pli=1" TargetMode="External"/><Relationship Id="rId17" Type="http://schemas.openxmlformats.org/officeDocument/2006/relationships/hyperlink" Target="https://docs.google.com/spreadsheets/d/1SXWzkdT8kVSDoW1Ld9kXeavFM_VNKL3PXECM3OCbjuY/edit" TargetMode="External"/><Relationship Id="rId39" Type="http://schemas.openxmlformats.org/officeDocument/2006/relationships/hyperlink" Target="https://docs.google.com/spreadsheets/d/1CQ6svkMpKvbqHGq8eyQcXoP4AdazfgEIDq2UgpEa4EU/edit?pli=1" TargetMode="External"/><Relationship Id="rId16" Type="http://schemas.openxmlformats.org/officeDocument/2006/relationships/hyperlink" Target="https://docs.google.com/spreadsheets/d/1SXWzkdT8kVSDoW1Ld9kXeavFM_VNKL3PXECM3OCbjuY/edit" TargetMode="External"/><Relationship Id="rId38" Type="http://schemas.openxmlformats.org/officeDocument/2006/relationships/hyperlink" Target="https://docs.google.com/spreadsheets/d/1jujbeFMzGuSpcK9blAXYZ8La9Aa8Y3-3xiyuDl-3tAE/edit" TargetMode="External"/><Relationship Id="rId19" Type="http://schemas.openxmlformats.org/officeDocument/2006/relationships/hyperlink" Target="https://docs.google.com/spreadsheets/d/1PNX_owPqRGx3Mf6LScnR3fM35xhTCEvrrAu4bz3C13g/edit" TargetMode="External"/><Relationship Id="rId18" Type="http://schemas.openxmlformats.org/officeDocument/2006/relationships/hyperlink" Target="https://docs.google.com/spreadsheets/d/1jujbeFMzGuSpcK9blAXYZ8La9Aa8Y3-3xiyuDl-3tAE/edi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2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3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PNX_owPqRGx3Mf6LScnR3fM35xhTCEvrrAu4bz3C13g/edit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pivotTable" Target="../pivotTables/pivotTable8.xml"/><Relationship Id="rId4" Type="http://schemas.openxmlformats.org/officeDocument/2006/relationships/hyperlink" Target="https://docs.google.com/spreadsheets/d/1PNX_owPqRGx3Mf6LScnR3fM35xhTCEvrrAu4bz3C13g/edit" TargetMode="External"/><Relationship Id="rId5" Type="http://schemas.openxmlformats.org/officeDocument/2006/relationships/hyperlink" Target="https://docs.google.com/spreadsheets/d/1CQ6svkMpKvbqHGq8eyQcXoP4AdazfgEIDq2UgpEa4EU/edit" TargetMode="External"/><Relationship Id="rId6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3" width="9.14"/>
    <col customWidth="1" min="4" max="4" width="13.86"/>
    <col customWidth="1" min="5" max="5" width="31.0"/>
    <col customWidth="1" min="6" max="6" width="79.86"/>
    <col customWidth="1" min="7" max="12" width="9.14"/>
    <col customWidth="1" min="13" max="13" width="12.71"/>
    <col customWidth="1" min="14" max="15" width="9.14"/>
    <col customWidth="1" min="16" max="16" width="24.71"/>
    <col customWidth="1" min="17" max="17" width="9.14"/>
    <col customWidth="1" min="18" max="18" width="11.71"/>
    <col customWidth="1" min="19" max="19" width="14.0"/>
    <col customWidth="1" min="20" max="26" width="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>
        <v>1.043174E7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>
        <v>897.0</v>
      </c>
      <c r="I2" s="1">
        <v>897.0</v>
      </c>
      <c r="J2" s="1">
        <v>897.0</v>
      </c>
      <c r="K2" s="1">
        <v>2691.0</v>
      </c>
      <c r="L2" s="1">
        <v>401.33</v>
      </c>
      <c r="M2" s="1">
        <v>1079979.03</v>
      </c>
      <c r="N2" s="1" t="s">
        <v>21</v>
      </c>
      <c r="O2" s="1" t="s">
        <v>26</v>
      </c>
      <c r="P2" s="1" t="s">
        <v>27</v>
      </c>
      <c r="Q2" s="1" t="str">
        <f t="shared" ref="Q2:Q612" si="1">IFERROR(VLOOKUP(P2,#REF!,1,FALSE),"x")</f>
        <v>x</v>
      </c>
      <c r="R2" s="1" t="str">
        <f t="shared" ref="R2:R612" si="2">IFERROR(VLOOKUP(P2,#REF!,1,FALSE),"x")</f>
        <v>x</v>
      </c>
      <c r="S2" s="1" t="str">
        <f t="shared" ref="S2:S612" si="3">IFERROR(VLOOKUP(P2,#REF!,1,FALSE),"x")</f>
        <v>x</v>
      </c>
      <c r="T2" s="1" t="str">
        <f t="shared" ref="T2:T612" si="4">IF( COUNTIF(Q2:S2,"=x") = 3,"OK","NOK")</f>
        <v>OK</v>
      </c>
    </row>
    <row r="3">
      <c r="A3" s="1" t="s">
        <v>28</v>
      </c>
      <c r="B3" s="1">
        <v>1.043174E7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>
        <v>280.0</v>
      </c>
      <c r="I3" s="1">
        <v>616.0</v>
      </c>
      <c r="J3" s="1">
        <v>552.0</v>
      </c>
      <c r="K3" s="1">
        <v>1448.0</v>
      </c>
      <c r="L3" s="1">
        <v>401.33</v>
      </c>
      <c r="M3" s="1">
        <v>581125.84</v>
      </c>
      <c r="N3" s="1" t="s">
        <v>21</v>
      </c>
      <c r="O3" s="1">
        <v>0.0</v>
      </c>
      <c r="P3" s="1" t="s">
        <v>29</v>
      </c>
      <c r="Q3" s="1" t="str">
        <f t="shared" si="1"/>
        <v>x</v>
      </c>
      <c r="R3" s="1" t="str">
        <f t="shared" si="2"/>
        <v>x</v>
      </c>
      <c r="S3" s="1" t="str">
        <f t="shared" si="3"/>
        <v>x</v>
      </c>
      <c r="T3" s="1" t="str">
        <f t="shared" si="4"/>
        <v>OK</v>
      </c>
    </row>
    <row r="4">
      <c r="A4" s="1" t="s">
        <v>30</v>
      </c>
      <c r="B4" s="1">
        <v>1.0434107E7</v>
      </c>
      <c r="C4" s="1" t="s">
        <v>21</v>
      </c>
      <c r="D4" s="1" t="s">
        <v>22</v>
      </c>
      <c r="E4" s="1" t="s">
        <v>23</v>
      </c>
      <c r="F4" s="1" t="s">
        <v>31</v>
      </c>
      <c r="G4" s="1" t="s">
        <v>25</v>
      </c>
      <c r="H4" s="1">
        <v>268.0</v>
      </c>
      <c r="I4" s="1">
        <v>664.0</v>
      </c>
      <c r="J4" s="1">
        <v>664.0</v>
      </c>
      <c r="K4" s="1">
        <v>1596.0</v>
      </c>
      <c r="L4" s="1">
        <v>317.23</v>
      </c>
      <c r="M4" s="1">
        <v>506299.08</v>
      </c>
      <c r="N4" s="1" t="s">
        <v>21</v>
      </c>
      <c r="O4" s="1" t="s">
        <v>26</v>
      </c>
      <c r="P4" s="1" t="s">
        <v>32</v>
      </c>
      <c r="Q4" s="1" t="str">
        <f t="shared" si="1"/>
        <v>x</v>
      </c>
      <c r="R4" s="1" t="str">
        <f t="shared" si="2"/>
        <v>x</v>
      </c>
      <c r="S4" s="1" t="str">
        <f t="shared" si="3"/>
        <v>x</v>
      </c>
      <c r="T4" s="1" t="str">
        <f t="shared" si="4"/>
        <v>OK</v>
      </c>
    </row>
    <row r="5">
      <c r="A5" s="1" t="s">
        <v>33</v>
      </c>
      <c r="B5" s="1">
        <v>1.043174E7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25</v>
      </c>
      <c r="H5" s="1">
        <v>67.0</v>
      </c>
      <c r="I5" s="1">
        <v>496.0</v>
      </c>
      <c r="J5" s="1">
        <v>496.0</v>
      </c>
      <c r="K5" s="1">
        <v>1059.0</v>
      </c>
      <c r="L5" s="1">
        <v>401.33</v>
      </c>
      <c r="M5" s="1">
        <v>425008.47</v>
      </c>
      <c r="N5" s="1" t="s">
        <v>21</v>
      </c>
      <c r="O5" s="1" t="s">
        <v>26</v>
      </c>
      <c r="P5" s="1" t="s">
        <v>34</v>
      </c>
      <c r="Q5" s="1" t="str">
        <f t="shared" si="1"/>
        <v>x</v>
      </c>
      <c r="R5" s="1" t="str">
        <f t="shared" si="2"/>
        <v>x</v>
      </c>
      <c r="S5" s="1" t="str">
        <f t="shared" si="3"/>
        <v>x</v>
      </c>
      <c r="T5" s="1" t="str">
        <f t="shared" si="4"/>
        <v>OK</v>
      </c>
    </row>
    <row r="6">
      <c r="A6" s="1" t="s">
        <v>35</v>
      </c>
      <c r="B6" s="1">
        <v>1.0501989E7</v>
      </c>
      <c r="C6" s="1" t="s">
        <v>21</v>
      </c>
      <c r="D6" s="1" t="s">
        <v>22</v>
      </c>
      <c r="E6" s="1" t="s">
        <v>36</v>
      </c>
      <c r="F6" s="1" t="s">
        <v>37</v>
      </c>
      <c r="G6" s="1" t="s">
        <v>25</v>
      </c>
      <c r="H6" s="1">
        <v>2690.0</v>
      </c>
      <c r="I6" s="1">
        <v>1894.0</v>
      </c>
      <c r="J6" s="1">
        <v>1894.0</v>
      </c>
      <c r="K6" s="1">
        <v>6478.0</v>
      </c>
      <c r="L6" s="1">
        <v>62.07</v>
      </c>
      <c r="M6" s="1">
        <v>402089.46</v>
      </c>
      <c r="N6" s="1" t="s">
        <v>21</v>
      </c>
      <c r="O6" s="1">
        <v>0.0</v>
      </c>
      <c r="P6" s="1" t="s">
        <v>38</v>
      </c>
      <c r="Q6" s="1" t="str">
        <f t="shared" si="1"/>
        <v>x</v>
      </c>
      <c r="R6" s="1" t="str">
        <f t="shared" si="2"/>
        <v>x</v>
      </c>
      <c r="S6" s="1" t="str">
        <f t="shared" si="3"/>
        <v>x</v>
      </c>
      <c r="T6" s="1" t="str">
        <f t="shared" si="4"/>
        <v>OK</v>
      </c>
    </row>
    <row r="7">
      <c r="A7" s="1" t="s">
        <v>39</v>
      </c>
      <c r="B7" s="1">
        <v>1.2008441E7</v>
      </c>
      <c r="C7" s="1" t="s">
        <v>21</v>
      </c>
      <c r="D7" s="1" t="s">
        <v>22</v>
      </c>
      <c r="E7" s="1" t="s">
        <v>23</v>
      </c>
      <c r="F7" s="1" t="s">
        <v>40</v>
      </c>
      <c r="G7" s="1" t="s">
        <v>25</v>
      </c>
      <c r="H7" s="1">
        <v>195.0</v>
      </c>
      <c r="I7" s="1">
        <v>860.0</v>
      </c>
      <c r="J7" s="1">
        <v>860.0</v>
      </c>
      <c r="K7" s="1">
        <v>1915.0</v>
      </c>
      <c r="L7" s="1">
        <v>191.97</v>
      </c>
      <c r="M7" s="1">
        <v>367622.55</v>
      </c>
      <c r="N7" s="1" t="s">
        <v>21</v>
      </c>
      <c r="O7" s="1">
        <v>0.0</v>
      </c>
      <c r="P7" s="1" t="s">
        <v>41</v>
      </c>
      <c r="Q7" s="1" t="str">
        <f t="shared" si="1"/>
        <v>x</v>
      </c>
      <c r="R7" s="1" t="str">
        <f t="shared" si="2"/>
        <v>x</v>
      </c>
      <c r="S7" s="1" t="str">
        <f t="shared" si="3"/>
        <v>x</v>
      </c>
      <c r="T7" s="1" t="str">
        <f t="shared" si="4"/>
        <v>OK</v>
      </c>
    </row>
    <row r="8">
      <c r="A8" s="1" t="s">
        <v>42</v>
      </c>
      <c r="B8" s="1">
        <v>1.1982756E7</v>
      </c>
      <c r="C8" s="1" t="s">
        <v>21</v>
      </c>
      <c r="D8" s="1" t="s">
        <v>22</v>
      </c>
      <c r="E8" s="1" t="s">
        <v>23</v>
      </c>
      <c r="F8" s="1" t="s">
        <v>43</v>
      </c>
      <c r="G8" s="1" t="s">
        <v>25</v>
      </c>
      <c r="H8" s="1">
        <v>105.0</v>
      </c>
      <c r="I8" s="1">
        <v>405.0</v>
      </c>
      <c r="J8" s="1">
        <v>290.0</v>
      </c>
      <c r="K8" s="1">
        <v>800.0</v>
      </c>
      <c r="L8" s="1">
        <v>439.02</v>
      </c>
      <c r="M8" s="1">
        <v>351216.0</v>
      </c>
      <c r="N8" s="1" t="s">
        <v>21</v>
      </c>
      <c r="O8" s="1" t="s">
        <v>26</v>
      </c>
      <c r="P8" s="1" t="s">
        <v>44</v>
      </c>
      <c r="Q8" s="1" t="str">
        <f t="shared" si="1"/>
        <v>x</v>
      </c>
      <c r="R8" s="1" t="str">
        <f t="shared" si="2"/>
        <v>x</v>
      </c>
      <c r="S8" s="1" t="str">
        <f t="shared" si="3"/>
        <v>x</v>
      </c>
      <c r="T8" s="1" t="str">
        <f t="shared" si="4"/>
        <v>OK</v>
      </c>
    </row>
    <row r="9">
      <c r="A9" s="1" t="s">
        <v>45</v>
      </c>
      <c r="B9" s="1">
        <v>1.0487922E7</v>
      </c>
      <c r="C9" s="1" t="s">
        <v>21</v>
      </c>
      <c r="D9" s="1" t="s">
        <v>22</v>
      </c>
      <c r="E9" s="1" t="s">
        <v>46</v>
      </c>
      <c r="F9" s="1" t="s">
        <v>47</v>
      </c>
      <c r="G9" s="1" t="s">
        <v>25</v>
      </c>
      <c r="H9" s="1">
        <v>0.0</v>
      </c>
      <c r="I9" s="1">
        <v>0.0</v>
      </c>
      <c r="J9" s="1">
        <v>71.0</v>
      </c>
      <c r="K9" s="1">
        <v>71.0</v>
      </c>
      <c r="L9" s="1">
        <v>4601.21</v>
      </c>
      <c r="M9" s="1">
        <v>326685.91</v>
      </c>
      <c r="N9" s="1" t="s">
        <v>21</v>
      </c>
      <c r="O9" s="1">
        <v>0.0</v>
      </c>
      <c r="P9" s="1" t="s">
        <v>48</v>
      </c>
      <c r="Q9" s="1" t="str">
        <f t="shared" si="1"/>
        <v>x</v>
      </c>
      <c r="R9" s="1" t="str">
        <f t="shared" si="2"/>
        <v>x</v>
      </c>
      <c r="S9" s="1" t="str">
        <f t="shared" si="3"/>
        <v>x</v>
      </c>
      <c r="T9" s="1" t="str">
        <f t="shared" si="4"/>
        <v>OK</v>
      </c>
    </row>
    <row r="10">
      <c r="A10" s="1" t="s">
        <v>49</v>
      </c>
      <c r="B10" s="1">
        <v>1.0434107E7</v>
      </c>
      <c r="C10" s="1" t="s">
        <v>21</v>
      </c>
      <c r="D10" s="1" t="s">
        <v>22</v>
      </c>
      <c r="E10" s="1" t="s">
        <v>23</v>
      </c>
      <c r="F10" s="1" t="s">
        <v>31</v>
      </c>
      <c r="G10" s="1" t="s">
        <v>25</v>
      </c>
      <c r="H10" s="1">
        <v>508.0</v>
      </c>
      <c r="I10" s="1">
        <v>96.0</v>
      </c>
      <c r="J10" s="1">
        <v>316.0</v>
      </c>
      <c r="K10" s="1">
        <v>920.0</v>
      </c>
      <c r="L10" s="1">
        <v>317.23</v>
      </c>
      <c r="M10" s="1">
        <v>291851.6</v>
      </c>
      <c r="N10" s="1" t="s">
        <v>21</v>
      </c>
      <c r="O10" s="1">
        <v>0.0</v>
      </c>
      <c r="P10" s="1" t="s">
        <v>50</v>
      </c>
      <c r="Q10" s="1" t="str">
        <f t="shared" si="1"/>
        <v>x</v>
      </c>
      <c r="R10" s="1" t="str">
        <f t="shared" si="2"/>
        <v>x</v>
      </c>
      <c r="S10" s="1" t="str">
        <f t="shared" si="3"/>
        <v>x</v>
      </c>
      <c r="T10" s="1" t="str">
        <f t="shared" si="4"/>
        <v>OK</v>
      </c>
    </row>
    <row r="11">
      <c r="A11" s="1" t="s">
        <v>51</v>
      </c>
      <c r="B11" s="1">
        <v>1.1544933E7</v>
      </c>
      <c r="C11" s="1">
        <v>1.1430183E7</v>
      </c>
      <c r="D11" s="1" t="s">
        <v>22</v>
      </c>
      <c r="E11" s="1" t="s">
        <v>52</v>
      </c>
      <c r="F11" s="1" t="s">
        <v>53</v>
      </c>
      <c r="G11" s="1" t="s">
        <v>25</v>
      </c>
      <c r="H11" s="1">
        <v>48.0</v>
      </c>
      <c r="I11" s="1">
        <v>96.0</v>
      </c>
      <c r="J11" s="1">
        <v>104.0</v>
      </c>
      <c r="K11" s="1">
        <v>248.0</v>
      </c>
      <c r="L11" s="1">
        <v>985.59</v>
      </c>
      <c r="M11" s="1">
        <v>244426.32</v>
      </c>
      <c r="N11" s="1" t="s">
        <v>21</v>
      </c>
      <c r="O11" s="1">
        <v>0.0</v>
      </c>
      <c r="P11" s="1" t="s">
        <v>54</v>
      </c>
      <c r="Q11" s="1" t="str">
        <f t="shared" si="1"/>
        <v>x</v>
      </c>
      <c r="R11" s="1" t="str">
        <f t="shared" si="2"/>
        <v>x</v>
      </c>
      <c r="S11" s="1" t="str">
        <f t="shared" si="3"/>
        <v>x</v>
      </c>
      <c r="T11" s="1" t="str">
        <f t="shared" si="4"/>
        <v>OK</v>
      </c>
    </row>
    <row r="12">
      <c r="A12" s="1" t="s">
        <v>55</v>
      </c>
      <c r="B12" s="1">
        <v>1.0539289E7</v>
      </c>
      <c r="C12" s="1" t="s">
        <v>21</v>
      </c>
      <c r="D12" s="1" t="s">
        <v>22</v>
      </c>
      <c r="E12" s="1" t="s">
        <v>56</v>
      </c>
      <c r="F12" s="1" t="s">
        <v>57</v>
      </c>
      <c r="G12" s="1" t="s">
        <v>25</v>
      </c>
      <c r="H12" s="1">
        <v>572.0</v>
      </c>
      <c r="I12" s="1">
        <v>512.0</v>
      </c>
      <c r="J12" s="1">
        <v>512.0</v>
      </c>
      <c r="K12" s="1">
        <v>1596.0</v>
      </c>
      <c r="L12" s="1">
        <v>124.41</v>
      </c>
      <c r="M12" s="1">
        <v>198558.36</v>
      </c>
      <c r="N12" s="1" t="s">
        <v>21</v>
      </c>
      <c r="O12" s="1" t="s">
        <v>26</v>
      </c>
      <c r="P12" s="1" t="s">
        <v>58</v>
      </c>
      <c r="Q12" s="1" t="str">
        <f t="shared" si="1"/>
        <v>x</v>
      </c>
      <c r="R12" s="1" t="str">
        <f t="shared" si="2"/>
        <v>x</v>
      </c>
      <c r="S12" s="1" t="str">
        <f t="shared" si="3"/>
        <v>x</v>
      </c>
      <c r="T12" s="1" t="str">
        <f t="shared" si="4"/>
        <v>OK</v>
      </c>
    </row>
    <row r="13">
      <c r="A13" s="1" t="s">
        <v>59</v>
      </c>
      <c r="B13" s="1" t="s">
        <v>60</v>
      </c>
      <c r="C13" s="1" t="s">
        <v>21</v>
      </c>
      <c r="D13" s="1" t="s">
        <v>22</v>
      </c>
      <c r="E13" s="1" t="s">
        <v>61</v>
      </c>
      <c r="F13" s="1" t="s">
        <v>62</v>
      </c>
      <c r="G13" s="1" t="s">
        <v>25</v>
      </c>
      <c r="H13" s="1">
        <v>0.0</v>
      </c>
      <c r="I13" s="1">
        <v>0.0</v>
      </c>
      <c r="J13" s="1">
        <v>66.0</v>
      </c>
      <c r="K13" s="1">
        <v>66.0</v>
      </c>
      <c r="L13" s="1">
        <v>2937.98</v>
      </c>
      <c r="M13" s="1">
        <v>193906.68</v>
      </c>
      <c r="N13" s="1" t="s">
        <v>21</v>
      </c>
      <c r="O13" s="1">
        <v>0.0</v>
      </c>
      <c r="P13" s="1" t="s">
        <v>63</v>
      </c>
      <c r="Q13" s="1" t="str">
        <f t="shared" si="1"/>
        <v>x</v>
      </c>
      <c r="R13" s="1" t="str">
        <f t="shared" si="2"/>
        <v>x</v>
      </c>
      <c r="S13" s="1" t="str">
        <f t="shared" si="3"/>
        <v>x</v>
      </c>
      <c r="T13" s="1" t="str">
        <f t="shared" si="4"/>
        <v>OK</v>
      </c>
    </row>
    <row r="14">
      <c r="A14" s="1" t="s">
        <v>64</v>
      </c>
      <c r="B14" s="1">
        <v>1.0501989E7</v>
      </c>
      <c r="C14" s="1" t="s">
        <v>21</v>
      </c>
      <c r="D14" s="1" t="s">
        <v>22</v>
      </c>
      <c r="E14" s="1" t="s">
        <v>36</v>
      </c>
      <c r="F14" s="1" t="s">
        <v>37</v>
      </c>
      <c r="G14" s="1" t="s">
        <v>25</v>
      </c>
      <c r="H14" s="1">
        <v>560.0</v>
      </c>
      <c r="I14" s="1">
        <v>1232.0</v>
      </c>
      <c r="J14" s="1">
        <v>1104.0</v>
      </c>
      <c r="K14" s="1">
        <v>2896.0</v>
      </c>
      <c r="L14" s="1">
        <v>62.07</v>
      </c>
      <c r="M14" s="1">
        <v>179754.72</v>
      </c>
      <c r="N14" s="1" t="s">
        <v>21</v>
      </c>
      <c r="O14" s="1">
        <v>0.0</v>
      </c>
      <c r="P14" s="1" t="s">
        <v>65</v>
      </c>
      <c r="Q14" s="1" t="str">
        <f t="shared" si="1"/>
        <v>x</v>
      </c>
      <c r="R14" s="1" t="str">
        <f t="shared" si="2"/>
        <v>x</v>
      </c>
      <c r="S14" s="1" t="str">
        <f t="shared" si="3"/>
        <v>x</v>
      </c>
      <c r="T14" s="1" t="str">
        <f t="shared" si="4"/>
        <v>OK</v>
      </c>
    </row>
    <row r="15">
      <c r="A15" s="1" t="s">
        <v>66</v>
      </c>
      <c r="B15" s="1">
        <v>1.0487943E7</v>
      </c>
      <c r="C15" s="1" t="s">
        <v>21</v>
      </c>
      <c r="D15" s="1" t="s">
        <v>22</v>
      </c>
      <c r="E15" s="1" t="s">
        <v>52</v>
      </c>
      <c r="F15" s="1" t="s">
        <v>67</v>
      </c>
      <c r="G15" s="1" t="s">
        <v>25</v>
      </c>
      <c r="H15" s="1">
        <v>0.0</v>
      </c>
      <c r="I15" s="1">
        <v>0.0</v>
      </c>
      <c r="J15" s="1">
        <v>71.0</v>
      </c>
      <c r="K15" s="1">
        <v>71.0</v>
      </c>
      <c r="L15" s="1">
        <v>2507.54</v>
      </c>
      <c r="M15" s="1">
        <v>178035.34</v>
      </c>
      <c r="N15" s="1" t="s">
        <v>21</v>
      </c>
      <c r="O15" s="1">
        <v>0.0</v>
      </c>
      <c r="P15" s="1" t="s">
        <v>68</v>
      </c>
      <c r="Q15" s="1" t="str">
        <f t="shared" si="1"/>
        <v>x</v>
      </c>
      <c r="R15" s="1" t="str">
        <f t="shared" si="2"/>
        <v>x</v>
      </c>
      <c r="S15" s="1" t="str">
        <f t="shared" si="3"/>
        <v>x</v>
      </c>
      <c r="T15" s="1" t="str">
        <f t="shared" si="4"/>
        <v>OK</v>
      </c>
    </row>
    <row r="16">
      <c r="A16" s="1" t="s">
        <v>69</v>
      </c>
      <c r="B16" s="1">
        <v>1.1544996E7</v>
      </c>
      <c r="C16" s="1">
        <v>1.143022E7</v>
      </c>
      <c r="D16" s="1" t="s">
        <v>22</v>
      </c>
      <c r="E16" s="1" t="s">
        <v>52</v>
      </c>
      <c r="F16" s="1" t="s">
        <v>70</v>
      </c>
      <c r="G16" s="1" t="s">
        <v>25</v>
      </c>
      <c r="H16" s="1">
        <v>24.0</v>
      </c>
      <c r="I16" s="1">
        <v>64.0</v>
      </c>
      <c r="J16" s="1">
        <v>30.0</v>
      </c>
      <c r="K16" s="1">
        <v>118.0</v>
      </c>
      <c r="L16" s="1">
        <v>1470.72</v>
      </c>
      <c r="M16" s="1">
        <v>173544.96</v>
      </c>
      <c r="N16" s="1" t="s">
        <v>21</v>
      </c>
      <c r="O16" s="1">
        <v>0.0</v>
      </c>
      <c r="P16" s="1" t="s">
        <v>71</v>
      </c>
      <c r="Q16" s="1" t="str">
        <f t="shared" si="1"/>
        <v>x</v>
      </c>
      <c r="R16" s="1" t="str">
        <f t="shared" si="2"/>
        <v>x</v>
      </c>
      <c r="S16" s="1" t="str">
        <f t="shared" si="3"/>
        <v>x</v>
      </c>
      <c r="T16" s="1" t="str">
        <f t="shared" si="4"/>
        <v>OK</v>
      </c>
    </row>
    <row r="17">
      <c r="A17" s="1" t="s">
        <v>72</v>
      </c>
      <c r="B17" s="1">
        <v>1.0506622E7</v>
      </c>
      <c r="C17" s="1" t="s">
        <v>21</v>
      </c>
      <c r="D17" s="1" t="s">
        <v>22</v>
      </c>
      <c r="E17" s="1" t="s">
        <v>23</v>
      </c>
      <c r="F17" s="1" t="s">
        <v>73</v>
      </c>
      <c r="G17" s="1" t="s">
        <v>25</v>
      </c>
      <c r="H17" s="1">
        <v>805.0</v>
      </c>
      <c r="I17" s="1">
        <v>0.0</v>
      </c>
      <c r="J17" s="1">
        <v>0.0</v>
      </c>
      <c r="K17" s="1">
        <v>805.0</v>
      </c>
      <c r="L17" s="1">
        <v>205.63</v>
      </c>
      <c r="M17" s="1">
        <v>165532.15</v>
      </c>
      <c r="N17" s="1" t="s">
        <v>21</v>
      </c>
      <c r="O17" s="1">
        <v>0.0</v>
      </c>
      <c r="P17" s="1" t="s">
        <v>74</v>
      </c>
      <c r="Q17" s="1" t="str">
        <f t="shared" si="1"/>
        <v>x</v>
      </c>
      <c r="R17" s="1" t="str">
        <f t="shared" si="2"/>
        <v>x</v>
      </c>
      <c r="S17" s="1" t="str">
        <f t="shared" si="3"/>
        <v>x</v>
      </c>
      <c r="T17" s="1" t="str">
        <f t="shared" si="4"/>
        <v>OK</v>
      </c>
    </row>
    <row r="18">
      <c r="A18" s="1" t="s">
        <v>75</v>
      </c>
      <c r="B18" s="1">
        <v>1.0461436E7</v>
      </c>
      <c r="C18" s="1" t="s">
        <v>21</v>
      </c>
      <c r="D18" s="1" t="s">
        <v>22</v>
      </c>
      <c r="E18" s="1" t="s">
        <v>23</v>
      </c>
      <c r="F18" s="1" t="s">
        <v>76</v>
      </c>
      <c r="G18" s="1" t="s">
        <v>25</v>
      </c>
      <c r="H18" s="1">
        <v>0.0</v>
      </c>
      <c r="I18" s="1">
        <v>297.0</v>
      </c>
      <c r="J18" s="1">
        <v>297.0</v>
      </c>
      <c r="K18" s="1">
        <v>594.0</v>
      </c>
      <c r="L18" s="1">
        <v>275.0</v>
      </c>
      <c r="M18" s="1">
        <v>163350.0</v>
      </c>
      <c r="N18" s="1" t="s">
        <v>21</v>
      </c>
      <c r="O18" s="1" t="s">
        <v>26</v>
      </c>
      <c r="P18" s="1" t="s">
        <v>77</v>
      </c>
      <c r="Q18" s="1" t="str">
        <f t="shared" si="1"/>
        <v>x</v>
      </c>
      <c r="R18" s="1" t="str">
        <f t="shared" si="2"/>
        <v>x</v>
      </c>
      <c r="S18" s="1" t="str">
        <f t="shared" si="3"/>
        <v>x</v>
      </c>
      <c r="T18" s="1" t="str">
        <f t="shared" si="4"/>
        <v>OK</v>
      </c>
    </row>
    <row r="19">
      <c r="A19" s="1" t="s">
        <v>78</v>
      </c>
      <c r="B19" s="1">
        <v>1.1181921E7</v>
      </c>
      <c r="C19" s="1" t="s">
        <v>21</v>
      </c>
      <c r="D19" s="1" t="s">
        <v>79</v>
      </c>
      <c r="E19" s="1" t="s">
        <v>80</v>
      </c>
      <c r="F19" s="1" t="s">
        <v>81</v>
      </c>
      <c r="G19" s="1" t="s">
        <v>25</v>
      </c>
      <c r="H19" s="1">
        <v>19.0</v>
      </c>
      <c r="I19" s="1">
        <v>19.0</v>
      </c>
      <c r="J19" s="1">
        <v>19.0</v>
      </c>
      <c r="K19" s="1">
        <v>57.0</v>
      </c>
      <c r="L19" s="1">
        <v>2740.39</v>
      </c>
      <c r="M19" s="1">
        <v>156202.23</v>
      </c>
      <c r="N19" s="1" t="s">
        <v>21</v>
      </c>
      <c r="O19" s="1">
        <v>0.0</v>
      </c>
      <c r="P19" s="1" t="s">
        <v>82</v>
      </c>
      <c r="Q19" s="1" t="str">
        <f t="shared" si="1"/>
        <v>x</v>
      </c>
      <c r="R19" s="1" t="str">
        <f t="shared" si="2"/>
        <v>x</v>
      </c>
      <c r="S19" s="1" t="str">
        <f t="shared" si="3"/>
        <v>x</v>
      </c>
      <c r="T19" s="1" t="str">
        <f t="shared" si="4"/>
        <v>OK</v>
      </c>
    </row>
    <row r="20">
      <c r="A20" s="1" t="s">
        <v>83</v>
      </c>
      <c r="B20" s="1">
        <v>1.1650431E7</v>
      </c>
      <c r="C20" s="1" t="s">
        <v>21</v>
      </c>
      <c r="D20" s="1" t="s">
        <v>22</v>
      </c>
      <c r="E20" s="1" t="s">
        <v>23</v>
      </c>
      <c r="F20" s="1" t="s">
        <v>84</v>
      </c>
      <c r="G20" s="1" t="s">
        <v>25</v>
      </c>
      <c r="H20" s="1">
        <v>276.0</v>
      </c>
      <c r="I20" s="1">
        <v>0.0</v>
      </c>
      <c r="J20" s="1">
        <v>0.0</v>
      </c>
      <c r="K20" s="1">
        <v>276.0</v>
      </c>
      <c r="L20" s="1">
        <v>546.19</v>
      </c>
      <c r="M20" s="1">
        <v>150748.44</v>
      </c>
      <c r="N20" s="1" t="s">
        <v>21</v>
      </c>
      <c r="O20" s="1">
        <v>0.0</v>
      </c>
      <c r="P20" s="1" t="s">
        <v>85</v>
      </c>
      <c r="Q20" s="1" t="str">
        <f t="shared" si="1"/>
        <v>x</v>
      </c>
      <c r="R20" s="1" t="str">
        <f t="shared" si="2"/>
        <v>x</v>
      </c>
      <c r="S20" s="1" t="str">
        <f t="shared" si="3"/>
        <v>x</v>
      </c>
      <c r="T20" s="1" t="str">
        <f t="shared" si="4"/>
        <v>OK</v>
      </c>
    </row>
    <row r="21" ht="15.75" customHeight="1">
      <c r="A21" s="1" t="s">
        <v>86</v>
      </c>
      <c r="B21" s="1">
        <v>1.0482959E7</v>
      </c>
      <c r="C21" s="1" t="s">
        <v>21</v>
      </c>
      <c r="D21" s="1" t="s">
        <v>22</v>
      </c>
      <c r="E21" s="1" t="s">
        <v>23</v>
      </c>
      <c r="F21" s="1" t="s">
        <v>87</v>
      </c>
      <c r="G21" s="1" t="s">
        <v>25</v>
      </c>
      <c r="H21" s="1">
        <v>112.0</v>
      </c>
      <c r="I21" s="1">
        <v>236.0</v>
      </c>
      <c r="J21" s="1">
        <v>224.0</v>
      </c>
      <c r="K21" s="1">
        <v>572.0</v>
      </c>
      <c r="L21" s="1">
        <v>225.16</v>
      </c>
      <c r="M21" s="1">
        <v>128791.52</v>
      </c>
      <c r="N21" s="1" t="s">
        <v>21</v>
      </c>
      <c r="O21" s="1">
        <v>0.0</v>
      </c>
      <c r="P21" s="1" t="s">
        <v>88</v>
      </c>
      <c r="Q21" s="1" t="str">
        <f t="shared" si="1"/>
        <v>x</v>
      </c>
      <c r="R21" s="1" t="str">
        <f t="shared" si="2"/>
        <v>x</v>
      </c>
      <c r="S21" s="1" t="str">
        <f t="shared" si="3"/>
        <v>x</v>
      </c>
      <c r="T21" s="1" t="str">
        <f t="shared" si="4"/>
        <v>OK</v>
      </c>
    </row>
    <row r="22" ht="15.75" customHeight="1">
      <c r="A22" s="1" t="s">
        <v>89</v>
      </c>
      <c r="B22" s="1">
        <v>1.1545032E7</v>
      </c>
      <c r="C22" s="1">
        <v>1.1430201E7</v>
      </c>
      <c r="D22" s="1" t="s">
        <v>22</v>
      </c>
      <c r="E22" s="1" t="s">
        <v>23</v>
      </c>
      <c r="F22" s="1" t="s">
        <v>90</v>
      </c>
      <c r="G22" s="1" t="s">
        <v>25</v>
      </c>
      <c r="H22" s="1">
        <v>108.0</v>
      </c>
      <c r="I22" s="1">
        <v>12.0</v>
      </c>
      <c r="J22" s="1">
        <v>54.0</v>
      </c>
      <c r="K22" s="1">
        <v>174.0</v>
      </c>
      <c r="L22" s="1">
        <v>718.44</v>
      </c>
      <c r="M22" s="1">
        <v>125008.56</v>
      </c>
      <c r="N22" s="1" t="s">
        <v>21</v>
      </c>
      <c r="O22" s="1">
        <v>0.0</v>
      </c>
      <c r="P22" s="1" t="s">
        <v>91</v>
      </c>
      <c r="Q22" s="1" t="str">
        <f t="shared" si="1"/>
        <v>x</v>
      </c>
      <c r="R22" s="1" t="str">
        <f t="shared" si="2"/>
        <v>x</v>
      </c>
      <c r="S22" s="1" t="str">
        <f t="shared" si="3"/>
        <v>x</v>
      </c>
      <c r="T22" s="1" t="str">
        <f t="shared" si="4"/>
        <v>OK</v>
      </c>
    </row>
    <row r="23" ht="15.75" customHeight="1">
      <c r="A23" s="1" t="s">
        <v>92</v>
      </c>
      <c r="B23" s="1">
        <v>1.1592082E7</v>
      </c>
      <c r="C23" s="1" t="s">
        <v>21</v>
      </c>
      <c r="D23" s="1" t="s">
        <v>22</v>
      </c>
      <c r="E23" s="1" t="s">
        <v>23</v>
      </c>
      <c r="F23" s="1" t="s">
        <v>93</v>
      </c>
      <c r="G23" s="1" t="s">
        <v>25</v>
      </c>
      <c r="H23" s="1">
        <v>0.0</v>
      </c>
      <c r="I23" s="1">
        <v>145.0</v>
      </c>
      <c r="J23" s="1">
        <v>145.0</v>
      </c>
      <c r="K23" s="1">
        <v>290.0</v>
      </c>
      <c r="L23" s="1">
        <v>409.98</v>
      </c>
      <c r="M23" s="1">
        <v>118894.2</v>
      </c>
      <c r="N23" s="1" t="s">
        <v>21</v>
      </c>
      <c r="O23" s="1" t="s">
        <v>26</v>
      </c>
      <c r="P23" s="1" t="s">
        <v>94</v>
      </c>
      <c r="Q23" s="1" t="str">
        <f t="shared" si="1"/>
        <v>x</v>
      </c>
      <c r="R23" s="1" t="str">
        <f t="shared" si="2"/>
        <v>x</v>
      </c>
      <c r="S23" s="1" t="str">
        <f t="shared" si="3"/>
        <v>x</v>
      </c>
      <c r="T23" s="1" t="str">
        <f t="shared" si="4"/>
        <v>OK</v>
      </c>
    </row>
    <row r="24" ht="15.75" customHeight="1">
      <c r="A24" s="1" t="s">
        <v>95</v>
      </c>
      <c r="B24" s="1">
        <v>1.0488086E7</v>
      </c>
      <c r="C24" s="1" t="s">
        <v>21</v>
      </c>
      <c r="D24" s="1" t="s">
        <v>22</v>
      </c>
      <c r="E24" s="1" t="s">
        <v>23</v>
      </c>
      <c r="F24" s="1" t="s">
        <v>96</v>
      </c>
      <c r="G24" s="1" t="s">
        <v>25</v>
      </c>
      <c r="H24" s="1">
        <v>164.0</v>
      </c>
      <c r="I24" s="1">
        <v>210.0</v>
      </c>
      <c r="J24" s="1">
        <v>80.0</v>
      </c>
      <c r="K24" s="1">
        <v>454.0</v>
      </c>
      <c r="L24" s="1">
        <v>261.0</v>
      </c>
      <c r="M24" s="1">
        <v>118494.0</v>
      </c>
      <c r="N24" s="1" t="s">
        <v>21</v>
      </c>
      <c r="O24" s="1" t="s">
        <v>26</v>
      </c>
      <c r="P24" s="1" t="s">
        <v>97</v>
      </c>
      <c r="Q24" s="1" t="str">
        <f t="shared" si="1"/>
        <v>x</v>
      </c>
      <c r="R24" s="1" t="str">
        <f t="shared" si="2"/>
        <v>x</v>
      </c>
      <c r="S24" s="1" t="str">
        <f t="shared" si="3"/>
        <v>x</v>
      </c>
      <c r="T24" s="1" t="str">
        <f t="shared" si="4"/>
        <v>OK</v>
      </c>
    </row>
    <row r="25" ht="15.75" customHeight="1">
      <c r="A25" s="1" t="s">
        <v>98</v>
      </c>
      <c r="B25" s="1">
        <v>1.0082482E7</v>
      </c>
      <c r="C25" s="1" t="s">
        <v>21</v>
      </c>
      <c r="D25" s="1" t="s">
        <v>22</v>
      </c>
      <c r="E25" s="1" t="s">
        <v>36</v>
      </c>
      <c r="F25" s="1" t="s">
        <v>99</v>
      </c>
      <c r="G25" s="1" t="s">
        <v>25</v>
      </c>
      <c r="H25" s="1">
        <v>1900.0</v>
      </c>
      <c r="I25" s="1">
        <v>0.0</v>
      </c>
      <c r="J25" s="1">
        <v>160.0</v>
      </c>
      <c r="K25" s="1">
        <v>2060.0</v>
      </c>
      <c r="L25" s="1">
        <v>55.84</v>
      </c>
      <c r="M25" s="1">
        <v>115030.4</v>
      </c>
      <c r="N25" s="1" t="s">
        <v>21</v>
      </c>
      <c r="O25" s="1">
        <v>0.0</v>
      </c>
      <c r="P25" s="1" t="s">
        <v>100</v>
      </c>
      <c r="Q25" s="1" t="str">
        <f t="shared" si="1"/>
        <v>x</v>
      </c>
      <c r="R25" s="1" t="str">
        <f t="shared" si="2"/>
        <v>x</v>
      </c>
      <c r="S25" s="1" t="str">
        <f t="shared" si="3"/>
        <v>x</v>
      </c>
      <c r="T25" s="1" t="str">
        <f t="shared" si="4"/>
        <v>OK</v>
      </c>
    </row>
    <row r="26" ht="15.75" customHeight="1">
      <c r="A26" s="1" t="s">
        <v>101</v>
      </c>
      <c r="B26" s="1">
        <v>1.1430351E7</v>
      </c>
      <c r="C26" s="1" t="s">
        <v>21</v>
      </c>
      <c r="D26" s="1" t="s">
        <v>22</v>
      </c>
      <c r="E26" s="1" t="s">
        <v>102</v>
      </c>
      <c r="F26" s="1" t="s">
        <v>103</v>
      </c>
      <c r="G26" s="1" t="s">
        <v>25</v>
      </c>
      <c r="H26" s="1">
        <v>280.0</v>
      </c>
      <c r="I26" s="1">
        <v>616.0</v>
      </c>
      <c r="J26" s="1">
        <v>552.0</v>
      </c>
      <c r="K26" s="1">
        <v>1448.0</v>
      </c>
      <c r="L26" s="1">
        <v>79.33</v>
      </c>
      <c r="M26" s="1">
        <v>114869.84</v>
      </c>
      <c r="N26" s="1" t="s">
        <v>104</v>
      </c>
      <c r="O26" s="1" t="s">
        <v>16</v>
      </c>
      <c r="P26" s="1" t="s">
        <v>105</v>
      </c>
      <c r="Q26" s="1" t="str">
        <f t="shared" si="1"/>
        <v>x</v>
      </c>
      <c r="R26" s="1" t="str">
        <f t="shared" si="2"/>
        <v>x</v>
      </c>
      <c r="S26" s="1" t="str">
        <f t="shared" si="3"/>
        <v>x</v>
      </c>
      <c r="T26" s="1" t="str">
        <f t="shared" si="4"/>
        <v>OK</v>
      </c>
    </row>
    <row r="27" ht="15.75" customHeight="1">
      <c r="A27" s="1" t="s">
        <v>106</v>
      </c>
      <c r="B27" s="1">
        <v>1.0501989E7</v>
      </c>
      <c r="C27" s="1" t="s">
        <v>21</v>
      </c>
      <c r="D27" s="1" t="s">
        <v>22</v>
      </c>
      <c r="E27" s="1" t="s">
        <v>36</v>
      </c>
      <c r="F27" s="1" t="s">
        <v>37</v>
      </c>
      <c r="G27" s="1" t="s">
        <v>25</v>
      </c>
      <c r="H27" s="1">
        <v>0.0</v>
      </c>
      <c r="I27" s="1">
        <v>874.0</v>
      </c>
      <c r="J27" s="1">
        <v>874.0</v>
      </c>
      <c r="K27" s="1">
        <v>1748.0</v>
      </c>
      <c r="L27" s="1">
        <v>62.07</v>
      </c>
      <c r="M27" s="1">
        <v>108498.36</v>
      </c>
      <c r="N27" s="1" t="s">
        <v>21</v>
      </c>
      <c r="O27" s="1">
        <v>0.0</v>
      </c>
      <c r="P27" s="1" t="s">
        <v>107</v>
      </c>
      <c r="Q27" s="1" t="str">
        <f t="shared" si="1"/>
        <v>x</v>
      </c>
      <c r="R27" s="1" t="str">
        <f t="shared" si="2"/>
        <v>x</v>
      </c>
      <c r="S27" s="1" t="str">
        <f t="shared" si="3"/>
        <v>x</v>
      </c>
      <c r="T27" s="1" t="str">
        <f t="shared" si="4"/>
        <v>OK</v>
      </c>
    </row>
    <row r="28" ht="15.75" customHeight="1">
      <c r="A28" s="1" t="s">
        <v>108</v>
      </c>
      <c r="B28" s="1">
        <v>1.1544852E7</v>
      </c>
      <c r="C28" s="1">
        <v>1.143019E7</v>
      </c>
      <c r="D28" s="1" t="s">
        <v>22</v>
      </c>
      <c r="E28" s="1" t="s">
        <v>23</v>
      </c>
      <c r="F28" s="1" t="s">
        <v>109</v>
      </c>
      <c r="G28" s="1" t="s">
        <v>25</v>
      </c>
      <c r="H28" s="1">
        <v>28.0</v>
      </c>
      <c r="I28" s="1">
        <v>72.0</v>
      </c>
      <c r="J28" s="1">
        <v>52.0</v>
      </c>
      <c r="K28" s="1">
        <v>152.0</v>
      </c>
      <c r="L28" s="1">
        <v>663.33</v>
      </c>
      <c r="M28" s="1">
        <v>100826.16</v>
      </c>
      <c r="N28" s="1" t="s">
        <v>21</v>
      </c>
      <c r="O28" s="1">
        <v>0.0</v>
      </c>
      <c r="P28" s="1" t="s">
        <v>110</v>
      </c>
      <c r="Q28" s="1" t="str">
        <f t="shared" si="1"/>
        <v>x</v>
      </c>
      <c r="R28" s="1" t="str">
        <f t="shared" si="2"/>
        <v>x</v>
      </c>
      <c r="S28" s="1" t="str">
        <f t="shared" si="3"/>
        <v>x</v>
      </c>
      <c r="T28" s="1" t="str">
        <f t="shared" si="4"/>
        <v>OK</v>
      </c>
    </row>
    <row r="29" ht="15.75" customHeight="1">
      <c r="A29" s="1" t="s">
        <v>111</v>
      </c>
      <c r="B29" s="1">
        <v>1.1525688E7</v>
      </c>
      <c r="C29" s="1" t="s">
        <v>21</v>
      </c>
      <c r="D29" s="1" t="s">
        <v>22</v>
      </c>
      <c r="E29" s="1" t="s">
        <v>52</v>
      </c>
      <c r="F29" s="1" t="s">
        <v>112</v>
      </c>
      <c r="G29" s="1" t="s">
        <v>25</v>
      </c>
      <c r="H29" s="1">
        <v>65.0</v>
      </c>
      <c r="I29" s="1">
        <v>0.0</v>
      </c>
      <c r="J29" s="1">
        <v>35.0</v>
      </c>
      <c r="K29" s="1">
        <v>100.0</v>
      </c>
      <c r="L29" s="1">
        <v>998.02</v>
      </c>
      <c r="M29" s="1">
        <v>99802.0</v>
      </c>
      <c r="N29" s="1" t="s">
        <v>21</v>
      </c>
      <c r="O29" s="1">
        <v>0.0</v>
      </c>
      <c r="P29" s="1" t="s">
        <v>113</v>
      </c>
      <c r="Q29" s="1" t="str">
        <f t="shared" si="1"/>
        <v>x</v>
      </c>
      <c r="R29" s="1" t="str">
        <f t="shared" si="2"/>
        <v>x</v>
      </c>
      <c r="S29" s="1" t="str">
        <f t="shared" si="3"/>
        <v>x</v>
      </c>
      <c r="T29" s="1" t="str">
        <f t="shared" si="4"/>
        <v>OK</v>
      </c>
    </row>
    <row r="30" ht="15.75" customHeight="1">
      <c r="A30" s="1" t="s">
        <v>114</v>
      </c>
      <c r="B30" s="1">
        <v>1.1544947E7</v>
      </c>
      <c r="C30" s="1">
        <v>1.1430188E7</v>
      </c>
      <c r="D30" s="1" t="s">
        <v>22</v>
      </c>
      <c r="E30" s="1" t="s">
        <v>52</v>
      </c>
      <c r="F30" s="1" t="s">
        <v>115</v>
      </c>
      <c r="G30" s="1" t="s">
        <v>25</v>
      </c>
      <c r="H30" s="1">
        <v>24.0</v>
      </c>
      <c r="I30" s="1">
        <v>62.0</v>
      </c>
      <c r="J30" s="1">
        <v>36.0</v>
      </c>
      <c r="K30" s="1">
        <v>122.0</v>
      </c>
      <c r="L30" s="1">
        <v>763.82</v>
      </c>
      <c r="M30" s="1">
        <v>93186.04</v>
      </c>
      <c r="N30" s="1" t="s">
        <v>21</v>
      </c>
      <c r="O30" s="1">
        <v>0.0</v>
      </c>
      <c r="P30" s="1" t="s">
        <v>116</v>
      </c>
      <c r="Q30" s="1" t="str">
        <f t="shared" si="1"/>
        <v>x</v>
      </c>
      <c r="R30" s="1" t="str">
        <f t="shared" si="2"/>
        <v>x</v>
      </c>
      <c r="S30" s="1" t="str">
        <f t="shared" si="3"/>
        <v>x</v>
      </c>
      <c r="T30" s="1" t="str">
        <f t="shared" si="4"/>
        <v>OK</v>
      </c>
    </row>
    <row r="31" ht="15.75" customHeight="1">
      <c r="A31" s="1" t="s">
        <v>117</v>
      </c>
      <c r="B31" s="1">
        <v>1.0441667E7</v>
      </c>
      <c r="C31" s="1" t="s">
        <v>21</v>
      </c>
      <c r="D31" s="1" t="s">
        <v>22</v>
      </c>
      <c r="E31" s="1" t="s">
        <v>118</v>
      </c>
      <c r="F31" s="1" t="s">
        <v>119</v>
      </c>
      <c r="G31" s="1" t="s">
        <v>25</v>
      </c>
      <c r="H31" s="1">
        <v>298.0</v>
      </c>
      <c r="I31" s="1">
        <v>364.0</v>
      </c>
      <c r="J31" s="1">
        <v>30.0</v>
      </c>
      <c r="K31" s="1">
        <v>692.0</v>
      </c>
      <c r="L31" s="1">
        <v>133.56</v>
      </c>
      <c r="M31" s="1">
        <v>92423.52</v>
      </c>
      <c r="N31" s="1" t="s">
        <v>120</v>
      </c>
      <c r="O31" s="1" t="s">
        <v>26</v>
      </c>
      <c r="P31" s="1" t="s">
        <v>121</v>
      </c>
      <c r="Q31" s="1" t="str">
        <f t="shared" si="1"/>
        <v>x</v>
      </c>
      <c r="R31" s="1" t="str">
        <f t="shared" si="2"/>
        <v>x</v>
      </c>
      <c r="S31" s="1" t="str">
        <f t="shared" si="3"/>
        <v>x</v>
      </c>
      <c r="T31" s="1" t="str">
        <f t="shared" si="4"/>
        <v>OK</v>
      </c>
    </row>
    <row r="32" ht="15.75" customHeight="1">
      <c r="A32" s="1" t="s">
        <v>122</v>
      </c>
      <c r="B32" s="1">
        <v>1.110585E7</v>
      </c>
      <c r="C32" s="1" t="s">
        <v>21</v>
      </c>
      <c r="D32" s="1" t="s">
        <v>22</v>
      </c>
      <c r="E32" s="1" t="s">
        <v>52</v>
      </c>
      <c r="F32" s="1" t="s">
        <v>123</v>
      </c>
      <c r="G32" s="1" t="s">
        <v>25</v>
      </c>
      <c r="H32" s="1">
        <v>47.0</v>
      </c>
      <c r="I32" s="1">
        <v>0.0</v>
      </c>
      <c r="J32" s="1">
        <v>22.0</v>
      </c>
      <c r="K32" s="1">
        <v>69.0</v>
      </c>
      <c r="L32" s="1">
        <v>1215.22</v>
      </c>
      <c r="M32" s="1">
        <v>83850.18</v>
      </c>
      <c r="N32" s="1" t="s">
        <v>21</v>
      </c>
      <c r="O32" s="1">
        <v>0.0</v>
      </c>
      <c r="P32" s="1" t="s">
        <v>124</v>
      </c>
      <c r="Q32" s="1" t="str">
        <f t="shared" si="1"/>
        <v>x</v>
      </c>
      <c r="R32" s="1" t="str">
        <f t="shared" si="2"/>
        <v>x</v>
      </c>
      <c r="S32" s="1" t="str">
        <f t="shared" si="3"/>
        <v>x</v>
      </c>
      <c r="T32" s="1" t="str">
        <f t="shared" si="4"/>
        <v>OK</v>
      </c>
    </row>
    <row r="33" ht="15.75" customHeight="1">
      <c r="A33" s="1" t="s">
        <v>125</v>
      </c>
      <c r="B33" s="1">
        <v>1.131792E7</v>
      </c>
      <c r="C33" s="1" t="s">
        <v>21</v>
      </c>
      <c r="D33" s="1" t="s">
        <v>22</v>
      </c>
      <c r="E33" s="1" t="s">
        <v>52</v>
      </c>
      <c r="F33" s="1" t="s">
        <v>126</v>
      </c>
      <c r="G33" s="1" t="s">
        <v>25</v>
      </c>
      <c r="H33" s="1">
        <v>22.0</v>
      </c>
      <c r="I33" s="1">
        <v>21.0</v>
      </c>
      <c r="J33" s="1">
        <v>21.0</v>
      </c>
      <c r="K33" s="1">
        <v>64.0</v>
      </c>
      <c r="L33" s="1">
        <v>1233.52</v>
      </c>
      <c r="M33" s="1">
        <v>78945.28</v>
      </c>
      <c r="N33" s="1" t="s">
        <v>21</v>
      </c>
      <c r="O33" s="1" t="s">
        <v>26</v>
      </c>
      <c r="P33" s="1" t="s">
        <v>127</v>
      </c>
      <c r="Q33" s="1" t="str">
        <f t="shared" si="1"/>
        <v>x</v>
      </c>
      <c r="R33" s="1" t="str">
        <f t="shared" si="2"/>
        <v>x</v>
      </c>
      <c r="S33" s="1" t="str">
        <f t="shared" si="3"/>
        <v>x</v>
      </c>
      <c r="T33" s="1" t="str">
        <f t="shared" si="4"/>
        <v>OK</v>
      </c>
    </row>
    <row r="34" ht="15.75" customHeight="1">
      <c r="A34" s="1" t="s">
        <v>128</v>
      </c>
      <c r="B34" s="1">
        <v>1.0501992E7</v>
      </c>
      <c r="C34" s="1" t="s">
        <v>21</v>
      </c>
      <c r="D34" s="1" t="s">
        <v>22</v>
      </c>
      <c r="E34" s="1" t="s">
        <v>129</v>
      </c>
      <c r="F34" s="1" t="s">
        <v>130</v>
      </c>
      <c r="G34" s="1" t="s">
        <v>25</v>
      </c>
      <c r="H34" s="1">
        <v>379.0</v>
      </c>
      <c r="I34" s="1">
        <v>1148.0</v>
      </c>
      <c r="J34" s="1">
        <v>1148.0</v>
      </c>
      <c r="K34" s="1">
        <v>2675.0</v>
      </c>
      <c r="L34" s="1">
        <v>28.61</v>
      </c>
      <c r="M34" s="1">
        <v>76531.75</v>
      </c>
      <c r="N34" s="1" t="s">
        <v>21</v>
      </c>
      <c r="O34" s="1">
        <v>0.0</v>
      </c>
      <c r="P34" s="1" t="s">
        <v>131</v>
      </c>
      <c r="Q34" s="1" t="str">
        <f t="shared" si="1"/>
        <v>x</v>
      </c>
      <c r="R34" s="1" t="str">
        <f t="shared" si="2"/>
        <v>x</v>
      </c>
      <c r="S34" s="1" t="str">
        <f t="shared" si="3"/>
        <v>x</v>
      </c>
      <c r="T34" s="1" t="str">
        <f t="shared" si="4"/>
        <v>OK</v>
      </c>
    </row>
    <row r="35" ht="15.75" customHeight="1">
      <c r="A35" s="1" t="s">
        <v>132</v>
      </c>
      <c r="B35" s="1">
        <v>1.0550848E7</v>
      </c>
      <c r="C35" s="1" t="s">
        <v>21</v>
      </c>
      <c r="D35" s="1" t="s">
        <v>79</v>
      </c>
      <c r="E35" s="1" t="s">
        <v>133</v>
      </c>
      <c r="F35" s="1" t="s">
        <v>134</v>
      </c>
      <c r="G35" s="1" t="s">
        <v>25</v>
      </c>
      <c r="H35" s="1">
        <v>322.0</v>
      </c>
      <c r="I35" s="1">
        <v>322.0</v>
      </c>
      <c r="J35" s="1">
        <v>322.0</v>
      </c>
      <c r="K35" s="1">
        <v>966.0</v>
      </c>
      <c r="L35" s="1">
        <v>72.34</v>
      </c>
      <c r="M35" s="1">
        <v>69880.44</v>
      </c>
      <c r="N35" s="1" t="s">
        <v>26</v>
      </c>
      <c r="O35" s="1">
        <v>0.0</v>
      </c>
      <c r="P35" s="1" t="s">
        <v>135</v>
      </c>
      <c r="Q35" s="1" t="str">
        <f t="shared" si="1"/>
        <v>x</v>
      </c>
      <c r="R35" s="1" t="str">
        <f t="shared" si="2"/>
        <v>x</v>
      </c>
      <c r="S35" s="1" t="str">
        <f t="shared" si="3"/>
        <v>x</v>
      </c>
      <c r="T35" s="1" t="str">
        <f t="shared" si="4"/>
        <v>OK</v>
      </c>
    </row>
    <row r="36" ht="15.75" customHeight="1">
      <c r="A36" s="1" t="s">
        <v>136</v>
      </c>
      <c r="B36" s="1">
        <v>1.1545033E7</v>
      </c>
      <c r="C36" s="1">
        <v>1.1430202E7</v>
      </c>
      <c r="D36" s="1" t="s">
        <v>22</v>
      </c>
      <c r="E36" s="1" t="s">
        <v>23</v>
      </c>
      <c r="F36" s="1" t="s">
        <v>137</v>
      </c>
      <c r="G36" s="1" t="s">
        <v>25</v>
      </c>
      <c r="H36" s="1">
        <v>70.0</v>
      </c>
      <c r="I36" s="1">
        <v>6.0</v>
      </c>
      <c r="J36" s="1">
        <v>38.0</v>
      </c>
      <c r="K36" s="1">
        <v>114.0</v>
      </c>
      <c r="L36" s="1">
        <v>605.49</v>
      </c>
      <c r="M36" s="1">
        <v>69025.86</v>
      </c>
      <c r="N36" s="1" t="s">
        <v>21</v>
      </c>
      <c r="O36" s="1">
        <v>0.0</v>
      </c>
      <c r="P36" s="1" t="s">
        <v>138</v>
      </c>
      <c r="Q36" s="1" t="str">
        <f t="shared" si="1"/>
        <v>x</v>
      </c>
      <c r="R36" s="1" t="str">
        <f t="shared" si="2"/>
        <v>x</v>
      </c>
      <c r="S36" s="1" t="str">
        <f t="shared" si="3"/>
        <v>x</v>
      </c>
      <c r="T36" s="1" t="str">
        <f t="shared" si="4"/>
        <v>OK</v>
      </c>
    </row>
    <row r="37" ht="15.75" customHeight="1">
      <c r="A37" s="1" t="s">
        <v>139</v>
      </c>
      <c r="B37" s="1">
        <v>1.0293344E7</v>
      </c>
      <c r="C37" s="1" t="s">
        <v>21</v>
      </c>
      <c r="D37" s="1" t="s">
        <v>22</v>
      </c>
      <c r="E37" s="1" t="s">
        <v>140</v>
      </c>
      <c r="F37" s="1" t="s">
        <v>141</v>
      </c>
      <c r="G37" s="1" t="s">
        <v>25</v>
      </c>
      <c r="H37" s="1">
        <v>280.0</v>
      </c>
      <c r="I37" s="1">
        <v>616.0</v>
      </c>
      <c r="J37" s="1">
        <v>552.0</v>
      </c>
      <c r="K37" s="1">
        <v>1448.0</v>
      </c>
      <c r="L37" s="1">
        <v>47.38</v>
      </c>
      <c r="M37" s="1">
        <v>68606.24</v>
      </c>
      <c r="N37" s="1" t="s">
        <v>21</v>
      </c>
      <c r="O37" s="1">
        <v>0.0</v>
      </c>
      <c r="P37" s="1" t="s">
        <v>142</v>
      </c>
      <c r="Q37" s="1" t="str">
        <f t="shared" si="1"/>
        <v>x</v>
      </c>
      <c r="R37" s="1" t="str">
        <f t="shared" si="2"/>
        <v>x</v>
      </c>
      <c r="S37" s="1" t="str">
        <f t="shared" si="3"/>
        <v>x</v>
      </c>
      <c r="T37" s="1" t="str">
        <f t="shared" si="4"/>
        <v>OK</v>
      </c>
    </row>
    <row r="38" ht="15.75" customHeight="1">
      <c r="A38" s="1" t="s">
        <v>143</v>
      </c>
      <c r="B38" s="1">
        <v>1.059118E7</v>
      </c>
      <c r="C38" s="1" t="s">
        <v>21</v>
      </c>
      <c r="D38" s="1" t="s">
        <v>22</v>
      </c>
      <c r="E38" s="1" t="s">
        <v>129</v>
      </c>
      <c r="F38" s="1" t="s">
        <v>144</v>
      </c>
      <c r="G38" s="1" t="s">
        <v>25</v>
      </c>
      <c r="H38" s="1">
        <v>560.0</v>
      </c>
      <c r="I38" s="1">
        <v>1285.0</v>
      </c>
      <c r="J38" s="1">
        <v>1145.0</v>
      </c>
      <c r="K38" s="1">
        <v>2990.0</v>
      </c>
      <c r="L38" s="1">
        <v>22.77</v>
      </c>
      <c r="M38" s="1">
        <v>68082.3</v>
      </c>
      <c r="N38" s="1" t="s">
        <v>21</v>
      </c>
      <c r="O38" s="1">
        <v>0.0</v>
      </c>
      <c r="P38" s="1" t="s">
        <v>145</v>
      </c>
      <c r="Q38" s="1" t="str">
        <f t="shared" si="1"/>
        <v>x</v>
      </c>
      <c r="R38" s="1" t="str">
        <f t="shared" si="2"/>
        <v>x</v>
      </c>
      <c r="S38" s="1" t="str">
        <f t="shared" si="3"/>
        <v>x</v>
      </c>
      <c r="T38" s="1" t="str">
        <f t="shared" si="4"/>
        <v>OK</v>
      </c>
    </row>
    <row r="39" ht="15.75" customHeight="1">
      <c r="A39" s="1" t="s">
        <v>146</v>
      </c>
      <c r="B39" s="1">
        <v>1.0456214E7</v>
      </c>
      <c r="C39" s="1" t="s">
        <v>21</v>
      </c>
      <c r="D39" s="1" t="s">
        <v>22</v>
      </c>
      <c r="E39" s="1" t="s">
        <v>23</v>
      </c>
      <c r="F39" s="1" t="s">
        <v>147</v>
      </c>
      <c r="G39" s="1" t="s">
        <v>25</v>
      </c>
      <c r="H39" s="1">
        <v>216.0</v>
      </c>
      <c r="I39" s="1">
        <v>48.0</v>
      </c>
      <c r="J39" s="1">
        <v>140.0</v>
      </c>
      <c r="K39" s="1">
        <v>404.0</v>
      </c>
      <c r="L39" s="1">
        <v>156.21</v>
      </c>
      <c r="M39" s="1">
        <v>63108.84</v>
      </c>
      <c r="N39" s="1" t="s">
        <v>21</v>
      </c>
      <c r="O39" s="1">
        <v>0.0</v>
      </c>
      <c r="P39" s="1" t="s">
        <v>148</v>
      </c>
      <c r="Q39" s="1" t="str">
        <f t="shared" si="1"/>
        <v>x</v>
      </c>
      <c r="R39" s="1" t="str">
        <f t="shared" si="2"/>
        <v>x</v>
      </c>
      <c r="S39" s="1" t="str">
        <f t="shared" si="3"/>
        <v>x</v>
      </c>
      <c r="T39" s="1" t="str">
        <f t="shared" si="4"/>
        <v>OK</v>
      </c>
    </row>
    <row r="40" ht="15.75" customHeight="1">
      <c r="A40" s="1" t="s">
        <v>149</v>
      </c>
      <c r="B40" s="1">
        <v>1.1430347E7</v>
      </c>
      <c r="C40" s="1" t="s">
        <v>21</v>
      </c>
      <c r="D40" s="1" t="s">
        <v>22</v>
      </c>
      <c r="E40" s="1" t="s">
        <v>150</v>
      </c>
      <c r="F40" s="1" t="s">
        <v>151</v>
      </c>
      <c r="G40" s="1" t="s">
        <v>25</v>
      </c>
      <c r="H40" s="1">
        <v>112.0</v>
      </c>
      <c r="I40" s="1">
        <v>236.0</v>
      </c>
      <c r="J40" s="1">
        <v>224.0</v>
      </c>
      <c r="K40" s="1">
        <v>572.0</v>
      </c>
      <c r="L40" s="1">
        <v>107.64</v>
      </c>
      <c r="M40" s="1">
        <v>61570.08</v>
      </c>
      <c r="N40" s="1" t="s">
        <v>21</v>
      </c>
      <c r="O40" s="1">
        <v>0.0</v>
      </c>
      <c r="P40" s="1" t="s">
        <v>152</v>
      </c>
      <c r="Q40" s="1" t="str">
        <f t="shared" si="1"/>
        <v>x</v>
      </c>
      <c r="R40" s="1" t="str">
        <f t="shared" si="2"/>
        <v>x</v>
      </c>
      <c r="S40" s="1" t="str">
        <f t="shared" si="3"/>
        <v>x</v>
      </c>
      <c r="T40" s="1" t="str">
        <f t="shared" si="4"/>
        <v>OK</v>
      </c>
    </row>
    <row r="41" ht="15.75" customHeight="1">
      <c r="A41" s="1" t="s">
        <v>153</v>
      </c>
      <c r="B41" s="1">
        <v>1.1185338E7</v>
      </c>
      <c r="C41" s="1" t="s">
        <v>21</v>
      </c>
      <c r="D41" s="1" t="s">
        <v>22</v>
      </c>
      <c r="E41" s="1" t="s">
        <v>36</v>
      </c>
      <c r="F41" s="1" t="s">
        <v>154</v>
      </c>
      <c r="G41" s="1" t="s">
        <v>25</v>
      </c>
      <c r="H41" s="1">
        <v>360.0</v>
      </c>
      <c r="I41" s="1">
        <v>264.0</v>
      </c>
      <c r="J41" s="1">
        <v>396.0</v>
      </c>
      <c r="K41" s="1">
        <v>1020.0</v>
      </c>
      <c r="L41" s="1">
        <v>60.15</v>
      </c>
      <c r="M41" s="1">
        <v>61353.0</v>
      </c>
      <c r="N41" s="1" t="s">
        <v>21</v>
      </c>
      <c r="O41" s="1">
        <v>0.0</v>
      </c>
      <c r="P41" s="1" t="s">
        <v>155</v>
      </c>
      <c r="Q41" s="1" t="str">
        <f t="shared" si="1"/>
        <v>x</v>
      </c>
      <c r="R41" s="1" t="str">
        <f t="shared" si="2"/>
        <v>x</v>
      </c>
      <c r="S41" s="1" t="str">
        <f t="shared" si="3"/>
        <v>x</v>
      </c>
      <c r="T41" s="1" t="str">
        <f t="shared" si="4"/>
        <v>OK</v>
      </c>
    </row>
    <row r="42" ht="15.75" customHeight="1">
      <c r="A42" s="1" t="s">
        <v>156</v>
      </c>
      <c r="B42" s="1">
        <v>1.1544948E7</v>
      </c>
      <c r="C42" s="1">
        <v>1.1430189E7</v>
      </c>
      <c r="D42" s="1" t="s">
        <v>22</v>
      </c>
      <c r="E42" s="1" t="s">
        <v>23</v>
      </c>
      <c r="F42" s="1" t="s">
        <v>157</v>
      </c>
      <c r="G42" s="1" t="s">
        <v>25</v>
      </c>
      <c r="H42" s="1">
        <v>14.0</v>
      </c>
      <c r="I42" s="1">
        <v>22.0</v>
      </c>
      <c r="J42" s="1">
        <v>42.0</v>
      </c>
      <c r="K42" s="1">
        <v>78.0</v>
      </c>
      <c r="L42" s="1">
        <v>728.67</v>
      </c>
      <c r="M42" s="1">
        <v>56836.26</v>
      </c>
      <c r="N42" s="1" t="s">
        <v>21</v>
      </c>
      <c r="O42" s="1">
        <v>0.0</v>
      </c>
      <c r="P42" s="1" t="s">
        <v>158</v>
      </c>
      <c r="Q42" s="1" t="str">
        <f t="shared" si="1"/>
        <v>x</v>
      </c>
      <c r="R42" s="1" t="str">
        <f t="shared" si="2"/>
        <v>x</v>
      </c>
      <c r="S42" s="1" t="str">
        <f t="shared" si="3"/>
        <v>x</v>
      </c>
      <c r="T42" s="1" t="str">
        <f t="shared" si="4"/>
        <v>OK</v>
      </c>
    </row>
    <row r="43" ht="15.75" customHeight="1">
      <c r="A43" s="1" t="s">
        <v>159</v>
      </c>
      <c r="B43" s="1">
        <v>1.2157993E7</v>
      </c>
      <c r="C43" s="1" t="s">
        <v>21</v>
      </c>
      <c r="D43" s="1" t="s">
        <v>79</v>
      </c>
      <c r="E43" s="1" t="s">
        <v>160</v>
      </c>
      <c r="F43" s="1" t="s">
        <v>161</v>
      </c>
      <c r="G43" s="1" t="s">
        <v>25</v>
      </c>
      <c r="H43" s="1">
        <v>4.0</v>
      </c>
      <c r="I43" s="1">
        <v>1.0</v>
      </c>
      <c r="J43" s="1">
        <v>1.0</v>
      </c>
      <c r="K43" s="1">
        <v>6.0</v>
      </c>
      <c r="L43" s="1">
        <v>9446.55</v>
      </c>
      <c r="M43" s="1">
        <v>56679.3</v>
      </c>
      <c r="N43" s="1" t="s">
        <v>21</v>
      </c>
      <c r="O43" s="1">
        <v>0.0</v>
      </c>
      <c r="P43" s="1" t="s">
        <v>162</v>
      </c>
      <c r="Q43" s="1" t="str">
        <f t="shared" si="1"/>
        <v>x</v>
      </c>
      <c r="R43" s="1" t="str">
        <f t="shared" si="2"/>
        <v>x</v>
      </c>
      <c r="S43" s="1" t="str">
        <f t="shared" si="3"/>
        <v>x</v>
      </c>
      <c r="T43" s="1" t="str">
        <f t="shared" si="4"/>
        <v>OK</v>
      </c>
    </row>
    <row r="44" ht="15.75" customHeight="1">
      <c r="A44" s="1" t="s">
        <v>163</v>
      </c>
      <c r="B44" s="1">
        <v>1.1359422E7</v>
      </c>
      <c r="C44" s="1" t="s">
        <v>21</v>
      </c>
      <c r="D44" s="1" t="s">
        <v>22</v>
      </c>
      <c r="E44" s="1" t="s">
        <v>164</v>
      </c>
      <c r="F44" s="1" t="s">
        <v>165</v>
      </c>
      <c r="G44" s="1" t="s">
        <v>25</v>
      </c>
      <c r="H44" s="1">
        <v>0.0</v>
      </c>
      <c r="I44" s="1">
        <v>300.0</v>
      </c>
      <c r="J44" s="1">
        <v>300.0</v>
      </c>
      <c r="K44" s="1">
        <v>600.0</v>
      </c>
      <c r="L44" s="1">
        <v>91.95</v>
      </c>
      <c r="M44" s="1">
        <v>55170.0</v>
      </c>
      <c r="N44" s="1" t="s">
        <v>21</v>
      </c>
      <c r="O44" s="1">
        <v>0.0</v>
      </c>
      <c r="P44" s="1" t="s">
        <v>166</v>
      </c>
      <c r="Q44" s="1" t="str">
        <f t="shared" si="1"/>
        <v>x</v>
      </c>
      <c r="R44" s="1" t="str">
        <f t="shared" si="2"/>
        <v>x</v>
      </c>
      <c r="S44" s="1" t="str">
        <f t="shared" si="3"/>
        <v>x</v>
      </c>
      <c r="T44" s="1" t="str">
        <f t="shared" si="4"/>
        <v>OK</v>
      </c>
    </row>
    <row r="45" ht="15.75" customHeight="1">
      <c r="A45" s="1" t="s">
        <v>167</v>
      </c>
      <c r="B45" s="1">
        <v>1.0274719E7</v>
      </c>
      <c r="C45" s="1" t="s">
        <v>21</v>
      </c>
      <c r="D45" s="1" t="s">
        <v>22</v>
      </c>
      <c r="E45" s="1" t="s">
        <v>129</v>
      </c>
      <c r="F45" s="1" t="s">
        <v>168</v>
      </c>
      <c r="G45" s="1" t="s">
        <v>25</v>
      </c>
      <c r="H45" s="1">
        <v>760.0</v>
      </c>
      <c r="I45" s="1">
        <v>406.0</v>
      </c>
      <c r="J45" s="1">
        <v>406.0</v>
      </c>
      <c r="K45" s="1">
        <v>1572.0</v>
      </c>
      <c r="L45" s="1">
        <v>33.73</v>
      </c>
      <c r="M45" s="1">
        <v>53023.56</v>
      </c>
      <c r="N45" s="1" t="s">
        <v>21</v>
      </c>
      <c r="O45" s="1">
        <v>0.0</v>
      </c>
      <c r="P45" s="1" t="s">
        <v>169</v>
      </c>
      <c r="Q45" s="1" t="str">
        <f t="shared" si="1"/>
        <v>x</v>
      </c>
      <c r="R45" s="1" t="str">
        <f t="shared" si="2"/>
        <v>x</v>
      </c>
      <c r="S45" s="1" t="str">
        <f t="shared" si="3"/>
        <v>x</v>
      </c>
      <c r="T45" s="1" t="str">
        <f t="shared" si="4"/>
        <v>OK</v>
      </c>
    </row>
    <row r="46" ht="15.75" customHeight="1">
      <c r="A46" s="1" t="s">
        <v>170</v>
      </c>
      <c r="B46" s="1">
        <v>1.0501992E7</v>
      </c>
      <c r="C46" s="1" t="s">
        <v>21</v>
      </c>
      <c r="D46" s="1" t="s">
        <v>22</v>
      </c>
      <c r="E46" s="1" t="s">
        <v>129</v>
      </c>
      <c r="F46" s="1" t="s">
        <v>130</v>
      </c>
      <c r="G46" s="1" t="s">
        <v>25</v>
      </c>
      <c r="H46" s="1">
        <v>1016.0</v>
      </c>
      <c r="I46" s="1">
        <v>192.0</v>
      </c>
      <c r="J46" s="1">
        <v>632.0</v>
      </c>
      <c r="K46" s="1">
        <v>1840.0</v>
      </c>
      <c r="L46" s="1">
        <v>28.61</v>
      </c>
      <c r="M46" s="1">
        <v>52642.4</v>
      </c>
      <c r="N46" s="1" t="s">
        <v>21</v>
      </c>
      <c r="O46" s="1">
        <v>0.0</v>
      </c>
      <c r="P46" s="1" t="s">
        <v>171</v>
      </c>
      <c r="Q46" s="1" t="str">
        <f t="shared" si="1"/>
        <v>x</v>
      </c>
      <c r="R46" s="1" t="str">
        <f t="shared" si="2"/>
        <v>x</v>
      </c>
      <c r="S46" s="1" t="str">
        <f t="shared" si="3"/>
        <v>x</v>
      </c>
      <c r="T46" s="1" t="str">
        <f t="shared" si="4"/>
        <v>OK</v>
      </c>
    </row>
    <row r="47" ht="15.75" customHeight="1">
      <c r="A47" s="1" t="s">
        <v>172</v>
      </c>
      <c r="B47" s="1">
        <v>1.1157571E7</v>
      </c>
      <c r="C47" s="1" t="s">
        <v>21</v>
      </c>
      <c r="D47" s="1" t="s">
        <v>22</v>
      </c>
      <c r="E47" s="1" t="s">
        <v>150</v>
      </c>
      <c r="F47" s="1" t="s">
        <v>173</v>
      </c>
      <c r="G47" s="1" t="s">
        <v>25</v>
      </c>
      <c r="H47" s="1">
        <v>269.0</v>
      </c>
      <c r="I47" s="1">
        <v>0.0</v>
      </c>
      <c r="J47" s="1">
        <v>199.0</v>
      </c>
      <c r="K47" s="1">
        <v>468.0</v>
      </c>
      <c r="L47" s="1">
        <v>106.68</v>
      </c>
      <c r="M47" s="1">
        <v>49926.24</v>
      </c>
      <c r="N47" s="1" t="s">
        <v>21</v>
      </c>
      <c r="O47" s="1">
        <v>0.0</v>
      </c>
      <c r="P47" s="1" t="s">
        <v>174</v>
      </c>
      <c r="Q47" s="1" t="str">
        <f t="shared" si="1"/>
        <v>x</v>
      </c>
      <c r="R47" s="1" t="str">
        <f t="shared" si="2"/>
        <v>x</v>
      </c>
      <c r="S47" s="1" t="str">
        <f t="shared" si="3"/>
        <v>x</v>
      </c>
      <c r="T47" s="1" t="str">
        <f t="shared" si="4"/>
        <v>OK</v>
      </c>
    </row>
    <row r="48" ht="15.75" customHeight="1">
      <c r="A48" s="1" t="s">
        <v>175</v>
      </c>
      <c r="B48" s="1">
        <v>1.154504E7</v>
      </c>
      <c r="C48" s="1">
        <v>1.1430191E7</v>
      </c>
      <c r="D48" s="1" t="s">
        <v>22</v>
      </c>
      <c r="E48" s="1" t="s">
        <v>52</v>
      </c>
      <c r="F48" s="1" t="s">
        <v>176</v>
      </c>
      <c r="G48" s="1" t="s">
        <v>25</v>
      </c>
      <c r="H48" s="1">
        <v>38.0</v>
      </c>
      <c r="I48" s="1">
        <v>0.0</v>
      </c>
      <c r="J48" s="1">
        <v>16.0</v>
      </c>
      <c r="K48" s="1">
        <v>54.0</v>
      </c>
      <c r="L48" s="1">
        <v>922.87</v>
      </c>
      <c r="M48" s="1">
        <v>49834.98</v>
      </c>
      <c r="N48" s="1" t="s">
        <v>21</v>
      </c>
      <c r="O48" s="1">
        <v>0.0</v>
      </c>
      <c r="P48" s="1" t="s">
        <v>177</v>
      </c>
      <c r="Q48" s="1" t="str">
        <f t="shared" si="1"/>
        <v>x</v>
      </c>
      <c r="R48" s="1" t="str">
        <f t="shared" si="2"/>
        <v>x</v>
      </c>
      <c r="S48" s="1" t="str">
        <f t="shared" si="3"/>
        <v>x</v>
      </c>
      <c r="T48" s="1" t="str">
        <f t="shared" si="4"/>
        <v>OK</v>
      </c>
    </row>
    <row r="49" ht="15.75" customHeight="1">
      <c r="A49" s="1" t="s">
        <v>178</v>
      </c>
      <c r="B49" s="1">
        <v>1.0870308E7</v>
      </c>
      <c r="C49" s="1" t="s">
        <v>21</v>
      </c>
      <c r="D49" s="1" t="s">
        <v>22</v>
      </c>
      <c r="E49" s="1" t="s">
        <v>52</v>
      </c>
      <c r="F49" s="1" t="s">
        <v>179</v>
      </c>
      <c r="G49" s="1" t="s">
        <v>25</v>
      </c>
      <c r="H49" s="1">
        <v>22.0</v>
      </c>
      <c r="I49" s="1">
        <v>0.0</v>
      </c>
      <c r="J49" s="1">
        <v>0.0</v>
      </c>
      <c r="K49" s="1">
        <v>22.0</v>
      </c>
      <c r="L49" s="1">
        <v>2251.0</v>
      </c>
      <c r="M49" s="1">
        <v>49522.0</v>
      </c>
      <c r="N49" s="1" t="s">
        <v>21</v>
      </c>
      <c r="O49" s="1">
        <v>0.0</v>
      </c>
      <c r="P49" s="1" t="s">
        <v>180</v>
      </c>
      <c r="Q49" s="1" t="str">
        <f t="shared" si="1"/>
        <v>x</v>
      </c>
      <c r="R49" s="1" t="str">
        <f t="shared" si="2"/>
        <v>x</v>
      </c>
      <c r="S49" s="1" t="str">
        <f t="shared" si="3"/>
        <v>x</v>
      </c>
      <c r="T49" s="1" t="str">
        <f t="shared" si="4"/>
        <v>OK</v>
      </c>
    </row>
    <row r="50" ht="15.75" customHeight="1">
      <c r="A50" s="1" t="s">
        <v>181</v>
      </c>
      <c r="B50" s="1">
        <v>1.143035E7</v>
      </c>
      <c r="C50" s="1" t="s">
        <v>21</v>
      </c>
      <c r="D50" s="1" t="s">
        <v>22</v>
      </c>
      <c r="E50" s="1" t="s">
        <v>56</v>
      </c>
      <c r="F50" s="1" t="s">
        <v>182</v>
      </c>
      <c r="G50" s="1" t="s">
        <v>25</v>
      </c>
      <c r="H50" s="1">
        <v>216.0</v>
      </c>
      <c r="I50" s="1">
        <v>48.0</v>
      </c>
      <c r="J50" s="1">
        <v>140.0</v>
      </c>
      <c r="K50" s="1">
        <v>404.0</v>
      </c>
      <c r="L50" s="1">
        <v>115.48</v>
      </c>
      <c r="M50" s="1">
        <v>46653.92</v>
      </c>
      <c r="N50" s="1" t="s">
        <v>21</v>
      </c>
      <c r="O50" s="1">
        <v>0.0</v>
      </c>
      <c r="P50" s="1" t="s">
        <v>183</v>
      </c>
      <c r="Q50" s="1" t="str">
        <f t="shared" si="1"/>
        <v>x</v>
      </c>
      <c r="R50" s="1" t="str">
        <f t="shared" si="2"/>
        <v>x</v>
      </c>
      <c r="S50" s="1" t="str">
        <f t="shared" si="3"/>
        <v>x</v>
      </c>
      <c r="T50" s="1" t="str">
        <f t="shared" si="4"/>
        <v>OK</v>
      </c>
    </row>
    <row r="51" ht="15.75" customHeight="1">
      <c r="A51" s="1" t="s">
        <v>184</v>
      </c>
      <c r="B51" s="1">
        <v>1.0498861E7</v>
      </c>
      <c r="C51" s="1" t="s">
        <v>21</v>
      </c>
      <c r="D51" s="1" t="s">
        <v>79</v>
      </c>
      <c r="E51" s="1" t="s">
        <v>185</v>
      </c>
      <c r="F51" s="1" t="s">
        <v>186</v>
      </c>
      <c r="G51" s="1" t="s">
        <v>25</v>
      </c>
      <c r="H51" s="1">
        <v>24.0</v>
      </c>
      <c r="I51" s="1">
        <v>24.0</v>
      </c>
      <c r="J51" s="1">
        <v>24.0</v>
      </c>
      <c r="K51" s="1">
        <v>72.0</v>
      </c>
      <c r="L51" s="1">
        <v>640.53</v>
      </c>
      <c r="M51" s="1">
        <v>46118.16</v>
      </c>
      <c r="N51" s="1" t="s">
        <v>21</v>
      </c>
      <c r="O51" s="1">
        <v>0.0</v>
      </c>
      <c r="P51" s="1" t="s">
        <v>187</v>
      </c>
      <c r="Q51" s="1" t="str">
        <f t="shared" si="1"/>
        <v>x</v>
      </c>
      <c r="R51" s="1" t="str">
        <f t="shared" si="2"/>
        <v>x</v>
      </c>
      <c r="S51" s="1" t="str">
        <f t="shared" si="3"/>
        <v>x</v>
      </c>
      <c r="T51" s="1" t="str">
        <f t="shared" si="4"/>
        <v>OK</v>
      </c>
    </row>
    <row r="52" ht="15.75" customHeight="1">
      <c r="A52" s="1" t="s">
        <v>188</v>
      </c>
      <c r="B52" s="1">
        <v>1.1404639E7</v>
      </c>
      <c r="C52" s="1" t="s">
        <v>21</v>
      </c>
      <c r="D52" s="1" t="s">
        <v>22</v>
      </c>
      <c r="E52" s="1" t="s">
        <v>46</v>
      </c>
      <c r="F52" s="1" t="s">
        <v>189</v>
      </c>
      <c r="G52" s="1" t="s">
        <v>25</v>
      </c>
      <c r="H52" s="1">
        <v>2.0</v>
      </c>
      <c r="I52" s="1">
        <v>0.0</v>
      </c>
      <c r="J52" s="1">
        <v>0.0</v>
      </c>
      <c r="K52" s="1">
        <v>2.0</v>
      </c>
      <c r="L52" s="1">
        <v>22819.2</v>
      </c>
      <c r="M52" s="1">
        <v>45638.4</v>
      </c>
      <c r="N52" s="1" t="s">
        <v>21</v>
      </c>
      <c r="O52" s="1">
        <v>0.0</v>
      </c>
      <c r="P52" s="1" t="s">
        <v>190</v>
      </c>
      <c r="Q52" s="1" t="str">
        <f t="shared" si="1"/>
        <v>x</v>
      </c>
      <c r="R52" s="1" t="str">
        <f t="shared" si="2"/>
        <v>x</v>
      </c>
      <c r="S52" s="1" t="str">
        <f t="shared" si="3"/>
        <v>x</v>
      </c>
      <c r="T52" s="1" t="str">
        <f t="shared" si="4"/>
        <v>OK</v>
      </c>
    </row>
    <row r="53" ht="15.75" customHeight="1">
      <c r="A53" s="1" t="s">
        <v>191</v>
      </c>
      <c r="B53" s="1">
        <v>1.1211339E7</v>
      </c>
      <c r="C53" s="1" t="s">
        <v>21</v>
      </c>
      <c r="D53" s="1" t="s">
        <v>22</v>
      </c>
      <c r="E53" s="1" t="s">
        <v>52</v>
      </c>
      <c r="F53" s="1" t="s">
        <v>192</v>
      </c>
      <c r="G53" s="1" t="s">
        <v>25</v>
      </c>
      <c r="H53" s="1">
        <v>18.0</v>
      </c>
      <c r="I53" s="1">
        <v>27.0</v>
      </c>
      <c r="J53" s="1">
        <v>0.0</v>
      </c>
      <c r="K53" s="1">
        <v>45.0</v>
      </c>
      <c r="L53" s="1">
        <v>999.86</v>
      </c>
      <c r="M53" s="1">
        <v>44993.7</v>
      </c>
      <c r="N53" s="1" t="s">
        <v>21</v>
      </c>
      <c r="O53" s="1">
        <v>0.0</v>
      </c>
      <c r="P53" s="1" t="s">
        <v>193</v>
      </c>
      <c r="Q53" s="1" t="str">
        <f t="shared" si="1"/>
        <v>x</v>
      </c>
      <c r="R53" s="1" t="str">
        <f t="shared" si="2"/>
        <v>x</v>
      </c>
      <c r="S53" s="1" t="str">
        <f t="shared" si="3"/>
        <v>x</v>
      </c>
      <c r="T53" s="1" t="str">
        <f t="shared" si="4"/>
        <v>OK</v>
      </c>
    </row>
    <row r="54" ht="15.75" customHeight="1">
      <c r="A54" s="1" t="s">
        <v>194</v>
      </c>
      <c r="B54" s="1">
        <v>1.0182756E7</v>
      </c>
      <c r="C54" s="1" t="s">
        <v>21</v>
      </c>
      <c r="D54" s="1" t="s">
        <v>22</v>
      </c>
      <c r="E54" s="1" t="s">
        <v>195</v>
      </c>
      <c r="F54" s="1" t="s">
        <v>196</v>
      </c>
      <c r="G54" s="1" t="s">
        <v>25</v>
      </c>
      <c r="H54" s="1">
        <v>0.0</v>
      </c>
      <c r="I54" s="1">
        <v>1682.0</v>
      </c>
      <c r="J54" s="1">
        <v>1682.0</v>
      </c>
      <c r="K54" s="1">
        <v>3364.0</v>
      </c>
      <c r="L54" s="1">
        <v>13.23</v>
      </c>
      <c r="M54" s="1">
        <v>44505.72</v>
      </c>
      <c r="N54" s="1" t="s">
        <v>21</v>
      </c>
      <c r="O54" s="1">
        <v>0.0</v>
      </c>
      <c r="P54" s="1" t="s">
        <v>197</v>
      </c>
      <c r="Q54" s="1" t="str">
        <f t="shared" si="1"/>
        <v>x</v>
      </c>
      <c r="R54" s="1" t="str">
        <f t="shared" si="2"/>
        <v>x</v>
      </c>
      <c r="S54" s="1" t="str">
        <f t="shared" si="3"/>
        <v>x</v>
      </c>
      <c r="T54" s="1" t="str">
        <f t="shared" si="4"/>
        <v>OK</v>
      </c>
    </row>
    <row r="55" ht="15.75" customHeight="1">
      <c r="A55" s="1" t="s">
        <v>198</v>
      </c>
      <c r="B55" s="1">
        <v>1.1536859E7</v>
      </c>
      <c r="C55" s="1" t="s">
        <v>21</v>
      </c>
      <c r="D55" s="1" t="s">
        <v>22</v>
      </c>
      <c r="E55" s="1" t="s">
        <v>52</v>
      </c>
      <c r="F55" s="1" t="s">
        <v>199</v>
      </c>
      <c r="G55" s="1" t="s">
        <v>25</v>
      </c>
      <c r="H55" s="1">
        <v>16.0</v>
      </c>
      <c r="I55" s="1">
        <v>0.0</v>
      </c>
      <c r="J55" s="1">
        <v>16.0</v>
      </c>
      <c r="K55" s="1">
        <v>32.0</v>
      </c>
      <c r="L55" s="1">
        <v>1373.7</v>
      </c>
      <c r="M55" s="1">
        <v>43958.4</v>
      </c>
      <c r="N55" s="1" t="s">
        <v>21</v>
      </c>
      <c r="O55" s="1">
        <v>0.0</v>
      </c>
      <c r="P55" s="1" t="s">
        <v>200</v>
      </c>
      <c r="Q55" s="1" t="str">
        <f t="shared" si="1"/>
        <v>x</v>
      </c>
      <c r="R55" s="1" t="str">
        <f t="shared" si="2"/>
        <v>x</v>
      </c>
      <c r="S55" s="1" t="str">
        <f t="shared" si="3"/>
        <v>x</v>
      </c>
      <c r="T55" s="1" t="str">
        <f t="shared" si="4"/>
        <v>OK</v>
      </c>
    </row>
    <row r="56" ht="15.75" customHeight="1">
      <c r="A56" s="1" t="s">
        <v>201</v>
      </c>
      <c r="B56" s="1">
        <v>1.0494137E7</v>
      </c>
      <c r="C56" s="1" t="s">
        <v>21</v>
      </c>
      <c r="D56" s="1" t="s">
        <v>22</v>
      </c>
      <c r="E56" s="1" t="s">
        <v>36</v>
      </c>
      <c r="F56" s="1" t="s">
        <v>202</v>
      </c>
      <c r="G56" s="1" t="s">
        <v>25</v>
      </c>
      <c r="H56" s="1">
        <v>156.0</v>
      </c>
      <c r="I56" s="1">
        <v>324.0</v>
      </c>
      <c r="J56" s="1">
        <v>324.0</v>
      </c>
      <c r="K56" s="1">
        <v>804.0</v>
      </c>
      <c r="L56" s="1">
        <v>54.3</v>
      </c>
      <c r="M56" s="1">
        <v>43657.2</v>
      </c>
      <c r="N56" s="1" t="s">
        <v>21</v>
      </c>
      <c r="O56" s="1">
        <v>0.0</v>
      </c>
      <c r="P56" s="1" t="s">
        <v>203</v>
      </c>
      <c r="Q56" s="1" t="str">
        <f t="shared" si="1"/>
        <v>x</v>
      </c>
      <c r="R56" s="1" t="str">
        <f t="shared" si="2"/>
        <v>x</v>
      </c>
      <c r="S56" s="1" t="str">
        <f t="shared" si="3"/>
        <v>x</v>
      </c>
      <c r="T56" s="1" t="str">
        <f t="shared" si="4"/>
        <v>OK</v>
      </c>
    </row>
    <row r="57" ht="15.75" customHeight="1">
      <c r="A57" s="1" t="s">
        <v>204</v>
      </c>
      <c r="B57" s="1">
        <v>1.1544869E7</v>
      </c>
      <c r="C57" s="1">
        <v>1.1430134E7</v>
      </c>
      <c r="D57" s="1" t="s">
        <v>22</v>
      </c>
      <c r="E57" s="1" t="s">
        <v>52</v>
      </c>
      <c r="F57" s="1" t="s">
        <v>205</v>
      </c>
      <c r="G57" s="1" t="s">
        <v>25</v>
      </c>
      <c r="H57" s="1">
        <v>8.0</v>
      </c>
      <c r="I57" s="1">
        <v>22.0</v>
      </c>
      <c r="J57" s="1">
        <v>8.0</v>
      </c>
      <c r="K57" s="1">
        <v>38.0</v>
      </c>
      <c r="L57" s="1">
        <v>1116.96</v>
      </c>
      <c r="M57" s="1">
        <v>42444.48</v>
      </c>
      <c r="N57" s="1" t="s">
        <v>21</v>
      </c>
      <c r="O57" s="1">
        <v>0.0</v>
      </c>
      <c r="P57" s="1" t="s">
        <v>206</v>
      </c>
      <c r="Q57" s="1" t="str">
        <f t="shared" si="1"/>
        <v>x</v>
      </c>
      <c r="R57" s="1" t="str">
        <f t="shared" si="2"/>
        <v>x</v>
      </c>
      <c r="S57" s="1" t="str">
        <f t="shared" si="3"/>
        <v>x</v>
      </c>
      <c r="T57" s="1" t="str">
        <f t="shared" si="4"/>
        <v>OK</v>
      </c>
    </row>
    <row r="58" ht="15.75" customHeight="1">
      <c r="A58" s="1" t="s">
        <v>207</v>
      </c>
      <c r="B58" s="1">
        <v>1.0541941E7</v>
      </c>
      <c r="C58" s="1" t="s">
        <v>21</v>
      </c>
      <c r="D58" s="1" t="s">
        <v>79</v>
      </c>
      <c r="E58" s="1" t="s">
        <v>208</v>
      </c>
      <c r="F58" s="1" t="s">
        <v>209</v>
      </c>
      <c r="G58" s="1" t="s">
        <v>25</v>
      </c>
      <c r="H58" s="1">
        <v>115.0</v>
      </c>
      <c r="I58" s="1">
        <v>125.0</v>
      </c>
      <c r="J58" s="1">
        <v>125.0</v>
      </c>
      <c r="K58" s="1">
        <v>365.0</v>
      </c>
      <c r="L58" s="1">
        <v>115.29</v>
      </c>
      <c r="M58" s="1">
        <v>42080.85</v>
      </c>
      <c r="N58" s="1" t="s">
        <v>26</v>
      </c>
      <c r="O58" s="1">
        <v>0.0</v>
      </c>
      <c r="P58" s="1" t="s">
        <v>210</v>
      </c>
      <c r="Q58" s="1" t="str">
        <f t="shared" si="1"/>
        <v>x</v>
      </c>
      <c r="R58" s="1" t="str">
        <f t="shared" si="2"/>
        <v>x</v>
      </c>
      <c r="S58" s="1" t="str">
        <f t="shared" si="3"/>
        <v>x</v>
      </c>
      <c r="T58" s="1" t="str">
        <f t="shared" si="4"/>
        <v>OK</v>
      </c>
    </row>
    <row r="59" ht="15.75" customHeight="1">
      <c r="A59" s="1" t="s">
        <v>211</v>
      </c>
      <c r="B59" s="1" t="s">
        <v>212</v>
      </c>
      <c r="C59" s="1" t="s">
        <v>21</v>
      </c>
      <c r="D59" s="1" t="s">
        <v>22</v>
      </c>
      <c r="E59" s="1" t="s">
        <v>213</v>
      </c>
      <c r="F59" s="1" t="s">
        <v>214</v>
      </c>
      <c r="G59" s="1" t="s">
        <v>25</v>
      </c>
      <c r="H59" s="1">
        <v>10.0</v>
      </c>
      <c r="I59" s="1">
        <v>5.0</v>
      </c>
      <c r="J59" s="1">
        <v>0.0</v>
      </c>
      <c r="K59" s="1">
        <v>15.0</v>
      </c>
      <c r="L59" s="1">
        <v>2798.46</v>
      </c>
      <c r="M59" s="1">
        <v>41976.9</v>
      </c>
      <c r="N59" s="1" t="s">
        <v>21</v>
      </c>
      <c r="O59" s="1">
        <v>0.0</v>
      </c>
      <c r="P59" s="1" t="s">
        <v>215</v>
      </c>
      <c r="Q59" s="1" t="str">
        <f t="shared" si="1"/>
        <v>x</v>
      </c>
      <c r="R59" s="1" t="str">
        <f t="shared" si="2"/>
        <v>x</v>
      </c>
      <c r="S59" s="1" t="str">
        <f t="shared" si="3"/>
        <v>x</v>
      </c>
      <c r="T59" s="1" t="str">
        <f t="shared" si="4"/>
        <v>OK</v>
      </c>
    </row>
    <row r="60" ht="15.75" customHeight="1">
      <c r="A60" s="1" t="s">
        <v>216</v>
      </c>
      <c r="B60" s="1">
        <v>1.131792E7</v>
      </c>
      <c r="C60" s="1" t="s">
        <v>21</v>
      </c>
      <c r="D60" s="1" t="s">
        <v>22</v>
      </c>
      <c r="E60" s="1" t="s">
        <v>52</v>
      </c>
      <c r="F60" s="1" t="s">
        <v>126</v>
      </c>
      <c r="G60" s="1" t="s">
        <v>25</v>
      </c>
      <c r="H60" s="1">
        <v>22.0</v>
      </c>
      <c r="I60" s="1">
        <v>11.0</v>
      </c>
      <c r="J60" s="1">
        <v>0.0</v>
      </c>
      <c r="K60" s="1">
        <v>33.0</v>
      </c>
      <c r="L60" s="1">
        <v>1233.52</v>
      </c>
      <c r="M60" s="1">
        <v>40706.16</v>
      </c>
      <c r="N60" s="1" t="s">
        <v>21</v>
      </c>
      <c r="O60" s="1">
        <v>0.0</v>
      </c>
      <c r="P60" s="1" t="s">
        <v>217</v>
      </c>
      <c r="Q60" s="1" t="str">
        <f t="shared" si="1"/>
        <v>x</v>
      </c>
      <c r="R60" s="1" t="str">
        <f t="shared" si="2"/>
        <v>x</v>
      </c>
      <c r="S60" s="1" t="str">
        <f t="shared" si="3"/>
        <v>x</v>
      </c>
      <c r="T60" s="1" t="str">
        <f t="shared" si="4"/>
        <v>OK</v>
      </c>
    </row>
    <row r="61" ht="15.75" customHeight="1">
      <c r="A61" s="1" t="s">
        <v>218</v>
      </c>
      <c r="B61" s="1">
        <v>1.0488425E7</v>
      </c>
      <c r="C61" s="1" t="s">
        <v>21</v>
      </c>
      <c r="D61" s="1" t="s">
        <v>22</v>
      </c>
      <c r="E61" s="1" t="s">
        <v>23</v>
      </c>
      <c r="F61" s="1" t="s">
        <v>219</v>
      </c>
      <c r="G61" s="1" t="s">
        <v>25</v>
      </c>
      <c r="H61" s="1">
        <v>34.0</v>
      </c>
      <c r="I61" s="1">
        <v>30.0</v>
      </c>
      <c r="J61" s="1">
        <v>30.0</v>
      </c>
      <c r="K61" s="1">
        <v>94.0</v>
      </c>
      <c r="L61" s="1">
        <v>432.48</v>
      </c>
      <c r="M61" s="1">
        <v>40653.12</v>
      </c>
      <c r="N61" s="1" t="s">
        <v>21</v>
      </c>
      <c r="O61" s="1" t="s">
        <v>26</v>
      </c>
      <c r="P61" s="1" t="s">
        <v>220</v>
      </c>
      <c r="Q61" s="1" t="str">
        <f t="shared" si="1"/>
        <v>x</v>
      </c>
      <c r="R61" s="1" t="str">
        <f t="shared" si="2"/>
        <v>x</v>
      </c>
      <c r="S61" s="1" t="str">
        <f t="shared" si="3"/>
        <v>x</v>
      </c>
      <c r="T61" s="1" t="str">
        <f t="shared" si="4"/>
        <v>OK</v>
      </c>
    </row>
    <row r="62" ht="15.75" customHeight="1">
      <c r="A62" s="1" t="s">
        <v>221</v>
      </c>
      <c r="B62" s="1">
        <v>1.062826E7</v>
      </c>
      <c r="C62" s="1" t="s">
        <v>21</v>
      </c>
      <c r="D62" s="1" t="s">
        <v>22</v>
      </c>
      <c r="E62" s="1" t="s">
        <v>23</v>
      </c>
      <c r="F62" s="1" t="s">
        <v>222</v>
      </c>
      <c r="G62" s="1" t="s">
        <v>25</v>
      </c>
      <c r="H62" s="1">
        <v>100.0</v>
      </c>
      <c r="I62" s="1">
        <v>0.0</v>
      </c>
      <c r="J62" s="1">
        <v>100.0</v>
      </c>
      <c r="K62" s="1">
        <v>200.0</v>
      </c>
      <c r="L62" s="1">
        <v>194.51</v>
      </c>
      <c r="M62" s="1">
        <v>38902.0</v>
      </c>
      <c r="N62" s="1" t="s">
        <v>21</v>
      </c>
      <c r="O62" s="1">
        <v>0.0</v>
      </c>
      <c r="P62" s="1" t="s">
        <v>223</v>
      </c>
      <c r="Q62" s="1" t="str">
        <f t="shared" si="1"/>
        <v>x</v>
      </c>
      <c r="R62" s="1" t="str">
        <f t="shared" si="2"/>
        <v>x</v>
      </c>
      <c r="S62" s="1" t="str">
        <f t="shared" si="3"/>
        <v>x</v>
      </c>
      <c r="T62" s="1" t="str">
        <f t="shared" si="4"/>
        <v>OK</v>
      </c>
    </row>
    <row r="63" ht="15.75" customHeight="1">
      <c r="A63" s="1" t="s">
        <v>224</v>
      </c>
      <c r="B63" s="1">
        <v>1.0501992E7</v>
      </c>
      <c r="C63" s="1" t="s">
        <v>21</v>
      </c>
      <c r="D63" s="1" t="s">
        <v>22</v>
      </c>
      <c r="E63" s="1" t="s">
        <v>129</v>
      </c>
      <c r="F63" s="1" t="s">
        <v>130</v>
      </c>
      <c r="G63" s="1" t="s">
        <v>25</v>
      </c>
      <c r="H63" s="1">
        <v>0.0</v>
      </c>
      <c r="I63" s="1">
        <v>634.0</v>
      </c>
      <c r="J63" s="1">
        <v>634.0</v>
      </c>
      <c r="K63" s="1">
        <v>1268.0</v>
      </c>
      <c r="L63" s="1">
        <v>28.61</v>
      </c>
      <c r="M63" s="1">
        <v>36277.48</v>
      </c>
      <c r="N63" s="1" t="s">
        <v>21</v>
      </c>
      <c r="O63" s="1">
        <v>0.0</v>
      </c>
      <c r="P63" s="1" t="s">
        <v>225</v>
      </c>
      <c r="Q63" s="1" t="str">
        <f t="shared" si="1"/>
        <v>x</v>
      </c>
      <c r="R63" s="1" t="str">
        <f t="shared" si="2"/>
        <v>x</v>
      </c>
      <c r="S63" s="1" t="str">
        <f t="shared" si="3"/>
        <v>x</v>
      </c>
      <c r="T63" s="1" t="str">
        <f t="shared" si="4"/>
        <v>OK</v>
      </c>
    </row>
    <row r="64" ht="15.75" customHeight="1">
      <c r="A64" s="1" t="s">
        <v>226</v>
      </c>
      <c r="B64" s="1">
        <v>1.0456209E7</v>
      </c>
      <c r="C64" s="1" t="s">
        <v>21</v>
      </c>
      <c r="D64" s="1" t="s">
        <v>22</v>
      </c>
      <c r="E64" s="1" t="s">
        <v>227</v>
      </c>
      <c r="F64" s="1" t="s">
        <v>228</v>
      </c>
      <c r="G64" s="1" t="s">
        <v>25</v>
      </c>
      <c r="H64" s="1">
        <v>508.0</v>
      </c>
      <c r="I64" s="1">
        <v>96.0</v>
      </c>
      <c r="J64" s="1">
        <v>316.0</v>
      </c>
      <c r="K64" s="1">
        <v>920.0</v>
      </c>
      <c r="L64" s="1">
        <v>38.57</v>
      </c>
      <c r="M64" s="1">
        <v>35484.4</v>
      </c>
      <c r="N64" s="1" t="s">
        <v>21</v>
      </c>
      <c r="O64" s="1">
        <v>0.0</v>
      </c>
      <c r="P64" s="1" t="s">
        <v>229</v>
      </c>
      <c r="Q64" s="1" t="str">
        <f t="shared" si="1"/>
        <v>x</v>
      </c>
      <c r="R64" s="1" t="str">
        <f t="shared" si="2"/>
        <v>x</v>
      </c>
      <c r="S64" s="1" t="str">
        <f t="shared" si="3"/>
        <v>x</v>
      </c>
      <c r="T64" s="1" t="str">
        <f t="shared" si="4"/>
        <v>OK</v>
      </c>
    </row>
    <row r="65" ht="15.75" customHeight="1">
      <c r="A65" s="1" t="s">
        <v>230</v>
      </c>
      <c r="B65" s="1">
        <v>1.1424859E7</v>
      </c>
      <c r="C65" s="1" t="s">
        <v>21</v>
      </c>
      <c r="D65" s="1" t="s">
        <v>79</v>
      </c>
      <c r="E65" s="1" t="s">
        <v>231</v>
      </c>
      <c r="F65" s="1" t="s">
        <v>232</v>
      </c>
      <c r="G65" s="1" t="s">
        <v>25</v>
      </c>
      <c r="H65" s="1">
        <v>8.0</v>
      </c>
      <c r="I65" s="1">
        <v>0.0</v>
      </c>
      <c r="J65" s="1">
        <v>0.0</v>
      </c>
      <c r="K65" s="1">
        <v>8.0</v>
      </c>
      <c r="L65" s="1">
        <v>4403.66</v>
      </c>
      <c r="M65" s="1">
        <v>35229.28</v>
      </c>
      <c r="N65" s="1" t="s">
        <v>21</v>
      </c>
      <c r="O65" s="1">
        <v>0.0</v>
      </c>
      <c r="P65" s="1" t="s">
        <v>233</v>
      </c>
      <c r="Q65" s="1" t="str">
        <f t="shared" si="1"/>
        <v>x</v>
      </c>
      <c r="R65" s="1" t="str">
        <f t="shared" si="2"/>
        <v>x</v>
      </c>
      <c r="S65" s="1" t="str">
        <f t="shared" si="3"/>
        <v>x</v>
      </c>
      <c r="T65" s="1" t="str">
        <f t="shared" si="4"/>
        <v>OK</v>
      </c>
    </row>
    <row r="66" ht="15.75" customHeight="1">
      <c r="A66" s="1" t="s">
        <v>234</v>
      </c>
      <c r="B66" s="1">
        <v>1.1404636E7</v>
      </c>
      <c r="C66" s="1" t="s">
        <v>21</v>
      </c>
      <c r="D66" s="1" t="s">
        <v>22</v>
      </c>
      <c r="E66" s="1" t="s">
        <v>46</v>
      </c>
      <c r="F66" s="1" t="s">
        <v>235</v>
      </c>
      <c r="G66" s="1" t="s">
        <v>25</v>
      </c>
      <c r="H66" s="1">
        <v>2.0</v>
      </c>
      <c r="I66" s="1">
        <v>0.0</v>
      </c>
      <c r="J66" s="1">
        <v>0.0</v>
      </c>
      <c r="K66" s="1">
        <v>2.0</v>
      </c>
      <c r="L66" s="1">
        <v>17241.13</v>
      </c>
      <c r="M66" s="1">
        <v>34482.26</v>
      </c>
      <c r="N66" s="1" t="s">
        <v>21</v>
      </c>
      <c r="O66" s="1">
        <v>0.0</v>
      </c>
      <c r="P66" s="1" t="s">
        <v>236</v>
      </c>
      <c r="Q66" s="1" t="str">
        <f t="shared" si="1"/>
        <v>x</v>
      </c>
      <c r="R66" s="1" t="str">
        <f t="shared" si="2"/>
        <v>x</v>
      </c>
      <c r="S66" s="1" t="str">
        <f t="shared" si="3"/>
        <v>x</v>
      </c>
      <c r="T66" s="1" t="str">
        <f t="shared" si="4"/>
        <v>OK</v>
      </c>
    </row>
    <row r="67" ht="15.75" customHeight="1">
      <c r="A67" s="1" t="s">
        <v>237</v>
      </c>
      <c r="B67" s="1">
        <v>1.1430217E7</v>
      </c>
      <c r="C67" s="1" t="s">
        <v>21</v>
      </c>
      <c r="D67" s="1" t="s">
        <v>22</v>
      </c>
      <c r="E67" s="1" t="s">
        <v>118</v>
      </c>
      <c r="F67" s="1" t="s">
        <v>238</v>
      </c>
      <c r="G67" s="1" t="s">
        <v>25</v>
      </c>
      <c r="H67" s="1">
        <v>152.0</v>
      </c>
      <c r="I67" s="1">
        <v>24.0</v>
      </c>
      <c r="J67" s="1">
        <v>80.0</v>
      </c>
      <c r="K67" s="1">
        <v>256.0</v>
      </c>
      <c r="L67" s="1">
        <v>132.02</v>
      </c>
      <c r="M67" s="1">
        <v>33797.12</v>
      </c>
      <c r="N67" s="1" t="s">
        <v>21</v>
      </c>
      <c r="O67" s="1">
        <v>0.0</v>
      </c>
      <c r="P67" s="1" t="s">
        <v>239</v>
      </c>
      <c r="Q67" s="1" t="str">
        <f t="shared" si="1"/>
        <v>x</v>
      </c>
      <c r="R67" s="1" t="str">
        <f t="shared" si="2"/>
        <v>x</v>
      </c>
      <c r="S67" s="1" t="str">
        <f t="shared" si="3"/>
        <v>x</v>
      </c>
      <c r="T67" s="1" t="str">
        <f t="shared" si="4"/>
        <v>OK</v>
      </c>
    </row>
    <row r="68" ht="15.75" customHeight="1">
      <c r="A68" s="1" t="s">
        <v>240</v>
      </c>
      <c r="B68" s="1">
        <v>1.0302502E7</v>
      </c>
      <c r="C68" s="1" t="s">
        <v>21</v>
      </c>
      <c r="D68" s="1" t="s">
        <v>22</v>
      </c>
      <c r="E68" s="1" t="s">
        <v>23</v>
      </c>
      <c r="F68" s="1" t="s">
        <v>241</v>
      </c>
      <c r="G68" s="1" t="s">
        <v>25</v>
      </c>
      <c r="H68" s="1">
        <v>100.0</v>
      </c>
      <c r="I68" s="1">
        <v>0.0</v>
      </c>
      <c r="J68" s="1">
        <v>100.0</v>
      </c>
      <c r="K68" s="1">
        <v>200.0</v>
      </c>
      <c r="L68" s="1">
        <v>168.48</v>
      </c>
      <c r="M68" s="1">
        <v>33696.0</v>
      </c>
      <c r="N68" s="1" t="s">
        <v>21</v>
      </c>
      <c r="O68" s="1">
        <v>0.0</v>
      </c>
      <c r="P68" s="1" t="s">
        <v>242</v>
      </c>
      <c r="Q68" s="1" t="str">
        <f t="shared" si="1"/>
        <v>x</v>
      </c>
      <c r="R68" s="1" t="str">
        <f t="shared" si="2"/>
        <v>x</v>
      </c>
      <c r="S68" s="1" t="str">
        <f t="shared" si="3"/>
        <v>x</v>
      </c>
      <c r="T68" s="1" t="str">
        <f t="shared" si="4"/>
        <v>OK</v>
      </c>
    </row>
    <row r="69" ht="15.75" customHeight="1">
      <c r="A69" s="1" t="s">
        <v>243</v>
      </c>
      <c r="B69" s="1">
        <v>1.1805532E7</v>
      </c>
      <c r="C69" s="1">
        <v>1.0006352E7</v>
      </c>
      <c r="D69" s="1" t="s">
        <v>22</v>
      </c>
      <c r="E69" s="1" t="s">
        <v>23</v>
      </c>
      <c r="F69" s="1" t="s">
        <v>244</v>
      </c>
      <c r="G69" s="1" t="s">
        <v>25</v>
      </c>
      <c r="H69" s="1">
        <v>102.0</v>
      </c>
      <c r="I69" s="1">
        <v>0.0</v>
      </c>
      <c r="J69" s="1">
        <v>0.0</v>
      </c>
      <c r="K69" s="1">
        <v>102.0</v>
      </c>
      <c r="L69" s="1">
        <v>325.03</v>
      </c>
      <c r="M69" s="1">
        <v>33153.06</v>
      </c>
      <c r="N69" s="1" t="s">
        <v>21</v>
      </c>
      <c r="O69" s="1" t="s">
        <v>18</v>
      </c>
      <c r="P69" s="1" t="s">
        <v>245</v>
      </c>
      <c r="Q69" s="1" t="str">
        <f t="shared" si="1"/>
        <v>x</v>
      </c>
      <c r="R69" s="1" t="str">
        <f t="shared" si="2"/>
        <v>x</v>
      </c>
      <c r="S69" s="1" t="str">
        <f t="shared" si="3"/>
        <v>x</v>
      </c>
      <c r="T69" s="1" t="str">
        <f t="shared" si="4"/>
        <v>OK</v>
      </c>
    </row>
    <row r="70" ht="15.75" customHeight="1">
      <c r="A70" s="1" t="s">
        <v>246</v>
      </c>
      <c r="B70" s="1">
        <v>1.1355248E7</v>
      </c>
      <c r="C70" s="1" t="s">
        <v>21</v>
      </c>
      <c r="D70" s="1" t="s">
        <v>22</v>
      </c>
      <c r="E70" s="1" t="s">
        <v>247</v>
      </c>
      <c r="F70" s="1" t="s">
        <v>248</v>
      </c>
      <c r="G70" s="1" t="s">
        <v>25</v>
      </c>
      <c r="H70" s="1">
        <v>166.0</v>
      </c>
      <c r="I70" s="1">
        <v>10.0</v>
      </c>
      <c r="J70" s="1">
        <v>166.0</v>
      </c>
      <c r="K70" s="1">
        <v>342.0</v>
      </c>
      <c r="L70" s="1">
        <v>93.64</v>
      </c>
      <c r="M70" s="1">
        <v>32024.88</v>
      </c>
      <c r="N70" s="1" t="s">
        <v>21</v>
      </c>
      <c r="O70" s="1">
        <v>0.0</v>
      </c>
      <c r="P70" s="1" t="s">
        <v>249</v>
      </c>
      <c r="Q70" s="1" t="str">
        <f t="shared" si="1"/>
        <v>x</v>
      </c>
      <c r="R70" s="1" t="str">
        <f t="shared" si="2"/>
        <v>x</v>
      </c>
      <c r="S70" s="1" t="str">
        <f t="shared" si="3"/>
        <v>x</v>
      </c>
      <c r="T70" s="1" t="str">
        <f t="shared" si="4"/>
        <v>OK</v>
      </c>
    </row>
    <row r="71" ht="15.75" customHeight="1">
      <c r="A71" s="1" t="s">
        <v>250</v>
      </c>
      <c r="B71" s="1">
        <v>1.0539289E7</v>
      </c>
      <c r="C71" s="1" t="s">
        <v>21</v>
      </c>
      <c r="D71" s="1" t="s">
        <v>22</v>
      </c>
      <c r="E71" s="1" t="s">
        <v>56</v>
      </c>
      <c r="F71" s="1" t="s">
        <v>57</v>
      </c>
      <c r="G71" s="1" t="s">
        <v>25</v>
      </c>
      <c r="H71" s="1">
        <v>152.0</v>
      </c>
      <c r="I71" s="1">
        <v>24.0</v>
      </c>
      <c r="J71" s="1">
        <v>80.0</v>
      </c>
      <c r="K71" s="1">
        <v>256.0</v>
      </c>
      <c r="L71" s="1">
        <v>124.41</v>
      </c>
      <c r="M71" s="1">
        <v>31848.96</v>
      </c>
      <c r="N71" s="1" t="s">
        <v>21</v>
      </c>
      <c r="O71" s="1">
        <v>0.0</v>
      </c>
      <c r="P71" s="1" t="s">
        <v>251</v>
      </c>
      <c r="Q71" s="1" t="str">
        <f t="shared" si="1"/>
        <v>x</v>
      </c>
      <c r="R71" s="1" t="str">
        <f t="shared" si="2"/>
        <v>x</v>
      </c>
      <c r="S71" s="1" t="str">
        <f t="shared" si="3"/>
        <v>x</v>
      </c>
      <c r="T71" s="1" t="str">
        <f t="shared" si="4"/>
        <v>OK</v>
      </c>
    </row>
    <row r="72" ht="15.75" customHeight="1">
      <c r="A72" s="1" t="s">
        <v>252</v>
      </c>
      <c r="B72" s="1">
        <v>0.0</v>
      </c>
      <c r="C72" s="1" t="s">
        <v>21</v>
      </c>
      <c r="D72" s="1" t="s">
        <v>22</v>
      </c>
      <c r="E72" s="1" t="s">
        <v>61</v>
      </c>
      <c r="F72" s="1" t="s">
        <v>253</v>
      </c>
      <c r="G72" s="1" t="s">
        <v>25</v>
      </c>
      <c r="H72" s="1">
        <v>10.0</v>
      </c>
      <c r="I72" s="1">
        <v>0.0</v>
      </c>
      <c r="J72" s="1">
        <v>0.0</v>
      </c>
      <c r="K72" s="1">
        <v>10.0</v>
      </c>
      <c r="L72" s="1">
        <v>3059.65</v>
      </c>
      <c r="M72" s="1">
        <v>30596.5</v>
      </c>
      <c r="N72" s="1" t="s">
        <v>21</v>
      </c>
      <c r="O72" s="1">
        <v>0.0</v>
      </c>
      <c r="P72" s="1" t="s">
        <v>254</v>
      </c>
      <c r="Q72" s="1" t="str">
        <f t="shared" si="1"/>
        <v>x</v>
      </c>
      <c r="R72" s="1" t="str">
        <f t="shared" si="2"/>
        <v>x</v>
      </c>
      <c r="S72" s="1" t="str">
        <f t="shared" si="3"/>
        <v>x</v>
      </c>
      <c r="T72" s="1" t="str">
        <f t="shared" si="4"/>
        <v>OK</v>
      </c>
    </row>
    <row r="73" ht="15.75" customHeight="1">
      <c r="A73" s="1" t="s">
        <v>255</v>
      </c>
      <c r="B73" s="1">
        <v>1.0183056E7</v>
      </c>
      <c r="C73" s="1" t="s">
        <v>21</v>
      </c>
      <c r="D73" s="1" t="s">
        <v>22</v>
      </c>
      <c r="E73" s="1" t="s">
        <v>256</v>
      </c>
      <c r="F73" s="1" t="s">
        <v>257</v>
      </c>
      <c r="G73" s="1" t="s">
        <v>25</v>
      </c>
      <c r="H73" s="1">
        <v>1016.0</v>
      </c>
      <c r="I73" s="1">
        <v>168.0</v>
      </c>
      <c r="J73" s="1">
        <v>616.0</v>
      </c>
      <c r="K73" s="1">
        <v>1800.0</v>
      </c>
      <c r="L73" s="1">
        <v>16.65</v>
      </c>
      <c r="M73" s="1">
        <v>29970.0</v>
      </c>
      <c r="N73" s="1" t="s">
        <v>21</v>
      </c>
      <c r="O73" s="1">
        <v>0.0</v>
      </c>
      <c r="P73" s="1" t="s">
        <v>258</v>
      </c>
      <c r="Q73" s="1" t="str">
        <f t="shared" si="1"/>
        <v>x</v>
      </c>
      <c r="R73" s="1" t="str">
        <f t="shared" si="2"/>
        <v>x</v>
      </c>
      <c r="S73" s="1" t="str">
        <f t="shared" si="3"/>
        <v>x</v>
      </c>
      <c r="T73" s="1" t="str">
        <f t="shared" si="4"/>
        <v>OK</v>
      </c>
    </row>
    <row r="74" ht="15.75" customHeight="1">
      <c r="A74" s="1" t="s">
        <v>259</v>
      </c>
      <c r="B74" s="1">
        <v>1.0275085E7</v>
      </c>
      <c r="C74" s="1" t="s">
        <v>21</v>
      </c>
      <c r="D74" s="1" t="s">
        <v>22</v>
      </c>
      <c r="E74" s="1" t="s">
        <v>23</v>
      </c>
      <c r="F74" s="1" t="s">
        <v>260</v>
      </c>
      <c r="G74" s="1" t="s">
        <v>25</v>
      </c>
      <c r="H74" s="1">
        <v>67.0</v>
      </c>
      <c r="I74" s="1">
        <v>0.0</v>
      </c>
      <c r="J74" s="1">
        <v>42.0</v>
      </c>
      <c r="K74" s="1">
        <v>109.0</v>
      </c>
      <c r="L74" s="1">
        <v>274.62</v>
      </c>
      <c r="M74" s="1">
        <v>29933.58</v>
      </c>
      <c r="N74" s="1" t="s">
        <v>21</v>
      </c>
      <c r="O74" s="1">
        <v>0.0</v>
      </c>
      <c r="P74" s="1" t="s">
        <v>261</v>
      </c>
      <c r="Q74" s="1" t="str">
        <f t="shared" si="1"/>
        <v>x</v>
      </c>
      <c r="R74" s="1" t="str">
        <f t="shared" si="2"/>
        <v>x</v>
      </c>
      <c r="S74" s="1" t="str">
        <f t="shared" si="3"/>
        <v>x</v>
      </c>
      <c r="T74" s="1" t="str">
        <f t="shared" si="4"/>
        <v>OK</v>
      </c>
    </row>
    <row r="75" ht="15.75" customHeight="1">
      <c r="A75" s="1" t="s">
        <v>262</v>
      </c>
      <c r="B75" s="1">
        <v>1.0082482E7</v>
      </c>
      <c r="C75" s="1" t="s">
        <v>21</v>
      </c>
      <c r="D75" s="1" t="s">
        <v>22</v>
      </c>
      <c r="E75" s="1" t="s">
        <v>36</v>
      </c>
      <c r="F75" s="1" t="s">
        <v>99</v>
      </c>
      <c r="G75" s="1" t="s">
        <v>25</v>
      </c>
      <c r="H75" s="1">
        <v>0.0</v>
      </c>
      <c r="I75" s="1">
        <v>258.0</v>
      </c>
      <c r="J75" s="1">
        <v>258.0</v>
      </c>
      <c r="K75" s="1">
        <v>516.0</v>
      </c>
      <c r="L75" s="1">
        <v>55.84</v>
      </c>
      <c r="M75" s="1">
        <v>28813.44</v>
      </c>
      <c r="N75" s="1" t="s">
        <v>21</v>
      </c>
      <c r="O75" s="1">
        <v>0.0</v>
      </c>
      <c r="P75" s="1" t="s">
        <v>263</v>
      </c>
      <c r="Q75" s="1" t="str">
        <f t="shared" si="1"/>
        <v>x</v>
      </c>
      <c r="R75" s="1" t="str">
        <f t="shared" si="2"/>
        <v>x</v>
      </c>
      <c r="S75" s="1" t="str">
        <f t="shared" si="3"/>
        <v>x</v>
      </c>
      <c r="T75" s="1" t="str">
        <f t="shared" si="4"/>
        <v>OK</v>
      </c>
    </row>
    <row r="76" ht="15.75" customHeight="1">
      <c r="A76" s="1" t="s">
        <v>264</v>
      </c>
      <c r="B76" s="1">
        <v>1.0488429E7</v>
      </c>
      <c r="C76" s="1" t="s">
        <v>21</v>
      </c>
      <c r="D76" s="1" t="s">
        <v>22</v>
      </c>
      <c r="E76" s="1" t="s">
        <v>227</v>
      </c>
      <c r="F76" s="1" t="s">
        <v>265</v>
      </c>
      <c r="G76" s="1" t="s">
        <v>25</v>
      </c>
      <c r="H76" s="1">
        <v>576.0</v>
      </c>
      <c r="I76" s="1">
        <v>65.0</v>
      </c>
      <c r="J76" s="1">
        <v>65.0</v>
      </c>
      <c r="K76" s="1">
        <v>706.0</v>
      </c>
      <c r="L76" s="1">
        <v>40.61</v>
      </c>
      <c r="M76" s="1">
        <v>28670.66</v>
      </c>
      <c r="N76" s="1" t="s">
        <v>21</v>
      </c>
      <c r="O76" s="1">
        <v>0.0</v>
      </c>
      <c r="P76" s="1" t="s">
        <v>266</v>
      </c>
      <c r="Q76" s="1" t="str">
        <f t="shared" si="1"/>
        <v>x</v>
      </c>
      <c r="R76" s="1" t="str">
        <f t="shared" si="2"/>
        <v>x</v>
      </c>
      <c r="S76" s="1" t="str">
        <f t="shared" si="3"/>
        <v>x</v>
      </c>
      <c r="T76" s="1" t="str">
        <f t="shared" si="4"/>
        <v>OK</v>
      </c>
    </row>
    <row r="77" ht="15.75" customHeight="1">
      <c r="A77" s="1" t="s">
        <v>267</v>
      </c>
      <c r="B77" s="1">
        <v>1.202324E7</v>
      </c>
      <c r="C77" s="1" t="s">
        <v>21</v>
      </c>
      <c r="D77" s="1" t="s">
        <v>22</v>
      </c>
      <c r="E77" s="1" t="s">
        <v>36</v>
      </c>
      <c r="F77" s="1" t="s">
        <v>268</v>
      </c>
      <c r="G77" s="1" t="s">
        <v>25</v>
      </c>
      <c r="H77" s="1">
        <v>90.0</v>
      </c>
      <c r="I77" s="1">
        <v>255.0</v>
      </c>
      <c r="J77" s="1">
        <v>93.0</v>
      </c>
      <c r="K77" s="1">
        <v>438.0</v>
      </c>
      <c r="L77" s="1">
        <v>65.03</v>
      </c>
      <c r="M77" s="1">
        <v>28483.14</v>
      </c>
      <c r="N77" s="1" t="s">
        <v>21</v>
      </c>
      <c r="O77" s="1">
        <v>0.0</v>
      </c>
      <c r="P77" s="1" t="s">
        <v>269</v>
      </c>
      <c r="Q77" s="1" t="str">
        <f t="shared" si="1"/>
        <v>x</v>
      </c>
      <c r="R77" s="1" t="str">
        <f t="shared" si="2"/>
        <v>x</v>
      </c>
      <c r="S77" s="1" t="str">
        <f t="shared" si="3"/>
        <v>x</v>
      </c>
      <c r="T77" s="1" t="str">
        <f t="shared" si="4"/>
        <v>OK</v>
      </c>
    </row>
    <row r="78" ht="15.75" customHeight="1">
      <c r="A78" s="1" t="s">
        <v>270</v>
      </c>
      <c r="B78" s="1">
        <v>1.1101309E7</v>
      </c>
      <c r="C78" s="1" t="s">
        <v>21</v>
      </c>
      <c r="D78" s="1" t="s">
        <v>22</v>
      </c>
      <c r="E78" s="1" t="s">
        <v>195</v>
      </c>
      <c r="F78" s="1" t="s">
        <v>271</v>
      </c>
      <c r="G78" s="1" t="s">
        <v>25</v>
      </c>
      <c r="H78" s="1">
        <v>2054.0</v>
      </c>
      <c r="I78" s="1">
        <v>0.0</v>
      </c>
      <c r="J78" s="1">
        <v>0.0</v>
      </c>
      <c r="K78" s="1">
        <v>2054.0</v>
      </c>
      <c r="L78" s="1">
        <v>13.69</v>
      </c>
      <c r="M78" s="1">
        <v>28119.26</v>
      </c>
      <c r="N78" s="1" t="s">
        <v>21</v>
      </c>
      <c r="O78" s="1">
        <v>0.0</v>
      </c>
      <c r="P78" s="1" t="s">
        <v>272</v>
      </c>
      <c r="Q78" s="1" t="str">
        <f t="shared" si="1"/>
        <v>x</v>
      </c>
      <c r="R78" s="1" t="str">
        <f t="shared" si="2"/>
        <v>x</v>
      </c>
      <c r="S78" s="1" t="str">
        <f t="shared" si="3"/>
        <v>x</v>
      </c>
      <c r="T78" s="1" t="str">
        <f t="shared" si="4"/>
        <v>OK</v>
      </c>
    </row>
    <row r="79" ht="15.75" customHeight="1">
      <c r="A79" s="1" t="s">
        <v>273</v>
      </c>
      <c r="B79" s="1">
        <v>1.1544995E7</v>
      </c>
      <c r="C79" s="1">
        <v>1.143021E7</v>
      </c>
      <c r="D79" s="1" t="s">
        <v>22</v>
      </c>
      <c r="E79" s="1" t="s">
        <v>23</v>
      </c>
      <c r="F79" s="1" t="s">
        <v>274</v>
      </c>
      <c r="G79" s="1" t="s">
        <v>25</v>
      </c>
      <c r="H79" s="1">
        <v>32.0</v>
      </c>
      <c r="I79" s="1">
        <v>0.0</v>
      </c>
      <c r="J79" s="1">
        <v>18.0</v>
      </c>
      <c r="K79" s="1">
        <v>50.0</v>
      </c>
      <c r="L79" s="1">
        <v>549.81</v>
      </c>
      <c r="M79" s="1">
        <v>27490.5</v>
      </c>
      <c r="N79" s="1" t="s">
        <v>21</v>
      </c>
      <c r="O79" s="1">
        <v>0.0</v>
      </c>
      <c r="P79" s="1" t="s">
        <v>275</v>
      </c>
      <c r="Q79" s="1" t="str">
        <f t="shared" si="1"/>
        <v>x</v>
      </c>
      <c r="R79" s="1" t="str">
        <f t="shared" si="2"/>
        <v>x</v>
      </c>
      <c r="S79" s="1" t="str">
        <f t="shared" si="3"/>
        <v>x</v>
      </c>
      <c r="T79" s="1" t="str">
        <f t="shared" si="4"/>
        <v>OK</v>
      </c>
    </row>
    <row r="80" ht="15.75" customHeight="1">
      <c r="A80" s="1" t="s">
        <v>276</v>
      </c>
      <c r="B80" s="1">
        <v>1.048798E7</v>
      </c>
      <c r="C80" s="1" t="s">
        <v>21</v>
      </c>
      <c r="D80" s="1" t="s">
        <v>22</v>
      </c>
      <c r="E80" s="1" t="s">
        <v>36</v>
      </c>
      <c r="F80" s="1" t="s">
        <v>277</v>
      </c>
      <c r="G80" s="1" t="s">
        <v>25</v>
      </c>
      <c r="H80" s="1">
        <v>308.0</v>
      </c>
      <c r="I80" s="1">
        <v>36.0</v>
      </c>
      <c r="J80" s="1">
        <v>160.0</v>
      </c>
      <c r="K80" s="1">
        <v>504.0</v>
      </c>
      <c r="L80" s="1">
        <v>53.07</v>
      </c>
      <c r="M80" s="1">
        <v>26747.28</v>
      </c>
      <c r="N80" s="1" t="s">
        <v>21</v>
      </c>
      <c r="O80" s="1">
        <v>0.0</v>
      </c>
      <c r="P80" s="1" t="s">
        <v>278</v>
      </c>
      <c r="Q80" s="1" t="str">
        <f t="shared" si="1"/>
        <v>x</v>
      </c>
      <c r="R80" s="1" t="str">
        <f t="shared" si="2"/>
        <v>x</v>
      </c>
      <c r="S80" s="1" t="str">
        <f t="shared" si="3"/>
        <v>x</v>
      </c>
      <c r="T80" s="1" t="str">
        <f t="shared" si="4"/>
        <v>OK</v>
      </c>
    </row>
    <row r="81" ht="15.75" customHeight="1">
      <c r="A81" s="1" t="s">
        <v>279</v>
      </c>
      <c r="B81" s="1">
        <v>1.0083926E7</v>
      </c>
      <c r="C81" s="1" t="s">
        <v>21</v>
      </c>
      <c r="D81" s="1" t="s">
        <v>22</v>
      </c>
      <c r="E81" s="1" t="s">
        <v>129</v>
      </c>
      <c r="F81" s="1" t="s">
        <v>280</v>
      </c>
      <c r="G81" s="1" t="s">
        <v>25</v>
      </c>
      <c r="H81" s="1">
        <v>280.0</v>
      </c>
      <c r="I81" s="1">
        <v>616.0</v>
      </c>
      <c r="J81" s="1">
        <v>552.0</v>
      </c>
      <c r="K81" s="1">
        <v>1448.0</v>
      </c>
      <c r="L81" s="1">
        <v>17.54</v>
      </c>
      <c r="M81" s="1">
        <v>25397.92</v>
      </c>
      <c r="N81" s="1" t="s">
        <v>21</v>
      </c>
      <c r="O81" s="1">
        <v>0.0</v>
      </c>
      <c r="P81" s="1" t="s">
        <v>281</v>
      </c>
      <c r="Q81" s="1" t="str">
        <f t="shared" si="1"/>
        <v>x</v>
      </c>
      <c r="R81" s="1" t="str">
        <f t="shared" si="2"/>
        <v>x</v>
      </c>
      <c r="S81" s="1" t="str">
        <f t="shared" si="3"/>
        <v>x</v>
      </c>
      <c r="T81" s="1" t="str">
        <f t="shared" si="4"/>
        <v>OK</v>
      </c>
    </row>
    <row r="82" ht="15.75" customHeight="1">
      <c r="A82" s="1" t="s">
        <v>282</v>
      </c>
      <c r="B82" s="1">
        <v>1.0072704E7</v>
      </c>
      <c r="C82" s="1" t="s">
        <v>21</v>
      </c>
      <c r="D82" s="1" t="s">
        <v>79</v>
      </c>
      <c r="E82" s="1" t="s">
        <v>46</v>
      </c>
      <c r="F82" s="1" t="s">
        <v>283</v>
      </c>
      <c r="G82" s="1" t="s">
        <v>25</v>
      </c>
      <c r="H82" s="1">
        <v>7.0</v>
      </c>
      <c r="I82" s="1">
        <v>10.0</v>
      </c>
      <c r="J82" s="1">
        <v>10.0</v>
      </c>
      <c r="K82" s="1">
        <v>27.0</v>
      </c>
      <c r="L82" s="1">
        <v>922.95</v>
      </c>
      <c r="M82" s="1">
        <v>24919.65</v>
      </c>
      <c r="N82" s="1" t="s">
        <v>21</v>
      </c>
      <c r="O82" s="1">
        <v>0.0</v>
      </c>
      <c r="P82" s="1" t="s">
        <v>284</v>
      </c>
      <c r="Q82" s="1" t="str">
        <f t="shared" si="1"/>
        <v>x</v>
      </c>
      <c r="R82" s="1" t="str">
        <f t="shared" si="2"/>
        <v>x</v>
      </c>
      <c r="S82" s="1" t="str">
        <f t="shared" si="3"/>
        <v>x</v>
      </c>
      <c r="T82" s="1" t="str">
        <f t="shared" si="4"/>
        <v>OK</v>
      </c>
    </row>
    <row r="83" ht="15.75" customHeight="1">
      <c r="A83" s="1" t="s">
        <v>285</v>
      </c>
      <c r="B83" s="1">
        <v>1.0011103E7</v>
      </c>
      <c r="C83" s="1" t="s">
        <v>21</v>
      </c>
      <c r="D83" s="1" t="s">
        <v>22</v>
      </c>
      <c r="E83" s="1" t="s">
        <v>52</v>
      </c>
      <c r="F83" s="1" t="s">
        <v>286</v>
      </c>
      <c r="G83" s="1" t="s">
        <v>25</v>
      </c>
      <c r="H83" s="1">
        <v>6.0</v>
      </c>
      <c r="I83" s="1">
        <v>0.0</v>
      </c>
      <c r="J83" s="1">
        <v>4.0</v>
      </c>
      <c r="K83" s="1">
        <v>10.0</v>
      </c>
      <c r="L83" s="1">
        <v>2388.56</v>
      </c>
      <c r="M83" s="1">
        <v>23885.6</v>
      </c>
      <c r="N83" s="1" t="s">
        <v>21</v>
      </c>
      <c r="O83" s="1">
        <v>0.0</v>
      </c>
      <c r="P83" s="1" t="s">
        <v>287</v>
      </c>
      <c r="Q83" s="1" t="str">
        <f t="shared" si="1"/>
        <v>x</v>
      </c>
      <c r="R83" s="1" t="str">
        <f t="shared" si="2"/>
        <v>x</v>
      </c>
      <c r="S83" s="1" t="str">
        <f t="shared" si="3"/>
        <v>x</v>
      </c>
      <c r="T83" s="1" t="str">
        <f t="shared" si="4"/>
        <v>OK</v>
      </c>
    </row>
    <row r="84" ht="15.75" customHeight="1">
      <c r="A84" s="1" t="s">
        <v>288</v>
      </c>
      <c r="B84" s="1">
        <v>1.0873363E7</v>
      </c>
      <c r="C84" s="1" t="s">
        <v>21</v>
      </c>
      <c r="D84" s="1" t="s">
        <v>22</v>
      </c>
      <c r="E84" s="1" t="s">
        <v>23</v>
      </c>
      <c r="F84" s="1" t="s">
        <v>289</v>
      </c>
      <c r="G84" s="1" t="s">
        <v>25</v>
      </c>
      <c r="H84" s="1">
        <v>15.0</v>
      </c>
      <c r="I84" s="1">
        <v>17.0</v>
      </c>
      <c r="J84" s="1">
        <v>17.0</v>
      </c>
      <c r="K84" s="1">
        <v>49.0</v>
      </c>
      <c r="L84" s="1">
        <v>485.51</v>
      </c>
      <c r="M84" s="1">
        <v>23789.99</v>
      </c>
      <c r="N84" s="1" t="s">
        <v>21</v>
      </c>
      <c r="O84" s="1" t="s">
        <v>26</v>
      </c>
      <c r="P84" s="1" t="s">
        <v>290</v>
      </c>
      <c r="Q84" s="1" t="str">
        <f t="shared" si="1"/>
        <v>x</v>
      </c>
      <c r="R84" s="1" t="str">
        <f t="shared" si="2"/>
        <v>x</v>
      </c>
      <c r="S84" s="1" t="str">
        <f t="shared" si="3"/>
        <v>x</v>
      </c>
      <c r="T84" s="1" t="str">
        <f t="shared" si="4"/>
        <v>OK</v>
      </c>
    </row>
    <row r="85" ht="15.75" customHeight="1">
      <c r="A85" s="1" t="s">
        <v>291</v>
      </c>
      <c r="B85" s="1">
        <v>1.0309716E7</v>
      </c>
      <c r="C85" s="1" t="s">
        <v>21</v>
      </c>
      <c r="D85" s="1" t="s">
        <v>22</v>
      </c>
      <c r="E85" s="1" t="s">
        <v>140</v>
      </c>
      <c r="F85" s="1" t="s">
        <v>292</v>
      </c>
      <c r="G85" s="1" t="s">
        <v>25</v>
      </c>
      <c r="H85" s="1">
        <v>462.0</v>
      </c>
      <c r="I85" s="1">
        <v>0.0</v>
      </c>
      <c r="J85" s="1">
        <v>100.0</v>
      </c>
      <c r="K85" s="1">
        <v>562.0</v>
      </c>
      <c r="L85" s="1">
        <v>41.53</v>
      </c>
      <c r="M85" s="1">
        <v>23339.86</v>
      </c>
      <c r="N85" s="1" t="s">
        <v>21</v>
      </c>
      <c r="O85" s="1">
        <v>0.0</v>
      </c>
      <c r="P85" s="1" t="s">
        <v>293</v>
      </c>
      <c r="Q85" s="1" t="str">
        <f t="shared" si="1"/>
        <v>x</v>
      </c>
      <c r="R85" s="1" t="str">
        <f t="shared" si="2"/>
        <v>x</v>
      </c>
      <c r="S85" s="1" t="str">
        <f t="shared" si="3"/>
        <v>x</v>
      </c>
      <c r="T85" s="1" t="str">
        <f t="shared" si="4"/>
        <v>OK</v>
      </c>
    </row>
    <row r="86" ht="15.75" customHeight="1">
      <c r="A86" s="1" t="s">
        <v>294</v>
      </c>
      <c r="B86" s="1">
        <v>1.0358198E7</v>
      </c>
      <c r="C86" s="1" t="s">
        <v>21</v>
      </c>
      <c r="D86" s="1" t="s">
        <v>22</v>
      </c>
      <c r="E86" s="1" t="s">
        <v>61</v>
      </c>
      <c r="F86" s="1" t="s">
        <v>295</v>
      </c>
      <c r="G86" s="1" t="s">
        <v>25</v>
      </c>
      <c r="H86" s="1">
        <v>4.0</v>
      </c>
      <c r="I86" s="1">
        <v>0.0</v>
      </c>
      <c r="J86" s="1">
        <v>3.0</v>
      </c>
      <c r="K86" s="1">
        <v>7.0</v>
      </c>
      <c r="L86" s="1">
        <v>3313.85</v>
      </c>
      <c r="M86" s="1">
        <v>23196.95</v>
      </c>
      <c r="N86" s="1" t="s">
        <v>21</v>
      </c>
      <c r="O86" s="1">
        <v>0.0</v>
      </c>
      <c r="P86" s="1" t="s">
        <v>296</v>
      </c>
      <c r="Q86" s="1" t="str">
        <f t="shared" si="1"/>
        <v>x</v>
      </c>
      <c r="R86" s="1" t="str">
        <f t="shared" si="2"/>
        <v>x</v>
      </c>
      <c r="S86" s="1" t="str">
        <f t="shared" si="3"/>
        <v>x</v>
      </c>
      <c r="T86" s="1" t="str">
        <f t="shared" si="4"/>
        <v>OK</v>
      </c>
    </row>
    <row r="87" ht="15.75" customHeight="1">
      <c r="A87" s="1" t="s">
        <v>297</v>
      </c>
      <c r="B87" s="1">
        <v>1.1185341E7</v>
      </c>
      <c r="C87" s="1" t="s">
        <v>21</v>
      </c>
      <c r="D87" s="1" t="s">
        <v>22</v>
      </c>
      <c r="E87" s="1" t="s">
        <v>164</v>
      </c>
      <c r="F87" s="1" t="s">
        <v>298</v>
      </c>
      <c r="G87" s="1" t="s">
        <v>25</v>
      </c>
      <c r="H87" s="1">
        <v>48.0</v>
      </c>
      <c r="I87" s="1">
        <v>120.0</v>
      </c>
      <c r="J87" s="1">
        <v>84.0</v>
      </c>
      <c r="K87" s="1">
        <v>252.0</v>
      </c>
      <c r="L87" s="1">
        <v>91.03</v>
      </c>
      <c r="M87" s="1">
        <v>22939.56</v>
      </c>
      <c r="N87" s="1" t="s">
        <v>21</v>
      </c>
      <c r="O87" s="1">
        <v>0.0</v>
      </c>
      <c r="P87" s="1" t="s">
        <v>299</v>
      </c>
      <c r="Q87" s="1" t="str">
        <f t="shared" si="1"/>
        <v>x</v>
      </c>
      <c r="R87" s="1" t="str">
        <f t="shared" si="2"/>
        <v>x</v>
      </c>
      <c r="S87" s="1" t="str">
        <f t="shared" si="3"/>
        <v>x</v>
      </c>
      <c r="T87" s="1" t="str">
        <f t="shared" si="4"/>
        <v>OK</v>
      </c>
    </row>
    <row r="88" ht="15.75" customHeight="1">
      <c r="A88" s="1" t="s">
        <v>300</v>
      </c>
      <c r="B88" s="1">
        <v>1.0420185E7</v>
      </c>
      <c r="C88" s="1" t="s">
        <v>21</v>
      </c>
      <c r="D88" s="1" t="s">
        <v>22</v>
      </c>
      <c r="E88" s="1" t="s">
        <v>231</v>
      </c>
      <c r="F88" s="1" t="s">
        <v>301</v>
      </c>
      <c r="G88" s="1" t="s">
        <v>25</v>
      </c>
      <c r="H88" s="1">
        <v>353.0</v>
      </c>
      <c r="I88" s="1">
        <v>1024.0</v>
      </c>
      <c r="J88" s="1">
        <v>1072.0</v>
      </c>
      <c r="K88" s="1">
        <v>2449.0</v>
      </c>
      <c r="L88" s="1">
        <v>9.31</v>
      </c>
      <c r="M88" s="1">
        <v>22800.19</v>
      </c>
      <c r="N88" s="1" t="s">
        <v>21</v>
      </c>
      <c r="O88" s="1">
        <v>0.0</v>
      </c>
      <c r="P88" s="1" t="s">
        <v>302</v>
      </c>
      <c r="Q88" s="1" t="str">
        <f t="shared" si="1"/>
        <v>x</v>
      </c>
      <c r="R88" s="1" t="str">
        <f t="shared" si="2"/>
        <v>x</v>
      </c>
      <c r="S88" s="1" t="str">
        <f t="shared" si="3"/>
        <v>x</v>
      </c>
      <c r="T88" s="1" t="str">
        <f t="shared" si="4"/>
        <v>OK</v>
      </c>
    </row>
    <row r="89" ht="15.75" customHeight="1">
      <c r="A89" s="1" t="s">
        <v>303</v>
      </c>
      <c r="B89" s="1">
        <v>1.0413477E7</v>
      </c>
      <c r="C89" s="1" t="s">
        <v>21</v>
      </c>
      <c r="D89" s="1" t="s">
        <v>22</v>
      </c>
      <c r="E89" s="1" t="s">
        <v>52</v>
      </c>
      <c r="F89" s="1" t="s">
        <v>304</v>
      </c>
      <c r="G89" s="1" t="s">
        <v>25</v>
      </c>
      <c r="H89" s="1">
        <v>12.0</v>
      </c>
      <c r="I89" s="1">
        <v>6.0</v>
      </c>
      <c r="J89" s="1">
        <v>0.0</v>
      </c>
      <c r="K89" s="1">
        <v>18.0</v>
      </c>
      <c r="L89" s="1">
        <v>1243.29</v>
      </c>
      <c r="M89" s="1">
        <v>22379.22</v>
      </c>
      <c r="N89" s="1" t="s">
        <v>21</v>
      </c>
      <c r="O89" s="1">
        <v>0.0</v>
      </c>
      <c r="P89" s="1" t="s">
        <v>305</v>
      </c>
      <c r="Q89" s="1" t="str">
        <f t="shared" si="1"/>
        <v>x</v>
      </c>
      <c r="R89" s="1" t="str">
        <f t="shared" si="2"/>
        <v>x</v>
      </c>
      <c r="S89" s="1" t="str">
        <f t="shared" si="3"/>
        <v>x</v>
      </c>
      <c r="T89" s="1" t="str">
        <f t="shared" si="4"/>
        <v>OK</v>
      </c>
    </row>
    <row r="90" ht="15.75" customHeight="1">
      <c r="A90" s="1" t="s">
        <v>306</v>
      </c>
      <c r="B90" s="1">
        <v>1.0860982E7</v>
      </c>
      <c r="C90" s="1" t="s">
        <v>21</v>
      </c>
      <c r="D90" s="1" t="s">
        <v>22</v>
      </c>
      <c r="E90" s="1" t="s">
        <v>140</v>
      </c>
      <c r="F90" s="1" t="s">
        <v>307</v>
      </c>
      <c r="G90" s="1" t="s">
        <v>25</v>
      </c>
      <c r="H90" s="1">
        <v>0.0</v>
      </c>
      <c r="I90" s="1">
        <v>0.0</v>
      </c>
      <c r="J90" s="1">
        <v>528.0</v>
      </c>
      <c r="K90" s="1">
        <v>528.0</v>
      </c>
      <c r="L90" s="1">
        <v>41.65</v>
      </c>
      <c r="M90" s="1">
        <v>21991.2</v>
      </c>
      <c r="N90" s="1" t="s">
        <v>21</v>
      </c>
      <c r="O90" s="1">
        <v>0.0</v>
      </c>
      <c r="P90" s="1" t="s">
        <v>308</v>
      </c>
      <c r="Q90" s="1" t="str">
        <f t="shared" si="1"/>
        <v>x</v>
      </c>
      <c r="R90" s="1" t="str">
        <f t="shared" si="2"/>
        <v>x</v>
      </c>
      <c r="S90" s="1" t="str">
        <f t="shared" si="3"/>
        <v>x</v>
      </c>
      <c r="T90" s="1" t="str">
        <f t="shared" si="4"/>
        <v>OK</v>
      </c>
    </row>
    <row r="91" ht="15.75" customHeight="1">
      <c r="A91" s="1" t="s">
        <v>309</v>
      </c>
      <c r="B91" s="1">
        <v>1.0568945E7</v>
      </c>
      <c r="C91" s="1" t="s">
        <v>21</v>
      </c>
      <c r="D91" s="1" t="s">
        <v>22</v>
      </c>
      <c r="E91" s="1" t="s">
        <v>164</v>
      </c>
      <c r="F91" s="1" t="s">
        <v>310</v>
      </c>
      <c r="G91" s="1" t="s">
        <v>25</v>
      </c>
      <c r="H91" s="1">
        <v>0.0</v>
      </c>
      <c r="I91" s="1">
        <v>0.0</v>
      </c>
      <c r="J91" s="1">
        <v>264.0</v>
      </c>
      <c r="K91" s="1">
        <v>264.0</v>
      </c>
      <c r="L91" s="1">
        <v>81.41</v>
      </c>
      <c r="M91" s="1">
        <v>21492.24</v>
      </c>
      <c r="N91" s="1" t="s">
        <v>21</v>
      </c>
      <c r="O91" s="1">
        <v>0.0</v>
      </c>
      <c r="P91" s="1" t="s">
        <v>311</v>
      </c>
      <c r="Q91" s="1" t="str">
        <f t="shared" si="1"/>
        <v>x</v>
      </c>
      <c r="R91" s="1" t="str">
        <f t="shared" si="2"/>
        <v>x</v>
      </c>
      <c r="S91" s="1" t="str">
        <f t="shared" si="3"/>
        <v>x</v>
      </c>
      <c r="T91" s="1" t="str">
        <f t="shared" si="4"/>
        <v>OK</v>
      </c>
    </row>
    <row r="92" ht="15.75" customHeight="1">
      <c r="A92" s="1" t="s">
        <v>312</v>
      </c>
      <c r="B92" s="1">
        <v>1.076544E7</v>
      </c>
      <c r="C92" s="1" t="s">
        <v>21</v>
      </c>
      <c r="D92" s="1" t="s">
        <v>22</v>
      </c>
      <c r="E92" s="1" t="s">
        <v>36</v>
      </c>
      <c r="F92" s="1" t="s">
        <v>313</v>
      </c>
      <c r="G92" s="1" t="s">
        <v>25</v>
      </c>
      <c r="H92" s="1">
        <v>208.0</v>
      </c>
      <c r="I92" s="1">
        <v>0.0</v>
      </c>
      <c r="J92" s="1">
        <v>208.0</v>
      </c>
      <c r="K92" s="1">
        <v>416.0</v>
      </c>
      <c r="L92" s="1">
        <v>51.07</v>
      </c>
      <c r="M92" s="1">
        <v>21245.12</v>
      </c>
      <c r="N92" s="1" t="s">
        <v>21</v>
      </c>
      <c r="O92" s="1">
        <v>0.0</v>
      </c>
      <c r="P92" s="1" t="s">
        <v>314</v>
      </c>
      <c r="Q92" s="1" t="str">
        <f t="shared" si="1"/>
        <v>x</v>
      </c>
      <c r="R92" s="1" t="str">
        <f t="shared" si="2"/>
        <v>x</v>
      </c>
      <c r="S92" s="1" t="str">
        <f t="shared" si="3"/>
        <v>x</v>
      </c>
      <c r="T92" s="1" t="str">
        <f t="shared" si="4"/>
        <v>OK</v>
      </c>
    </row>
    <row r="93" ht="15.75" customHeight="1">
      <c r="A93" s="1" t="s">
        <v>315</v>
      </c>
      <c r="B93" s="1">
        <v>1.1531396E7</v>
      </c>
      <c r="C93" s="1" t="s">
        <v>21</v>
      </c>
      <c r="D93" s="1" t="s">
        <v>22</v>
      </c>
      <c r="E93" s="1" t="s">
        <v>23</v>
      </c>
      <c r="F93" s="1" t="s">
        <v>316</v>
      </c>
      <c r="G93" s="1" t="s">
        <v>25</v>
      </c>
      <c r="H93" s="1">
        <v>35.0</v>
      </c>
      <c r="I93" s="1">
        <v>0.0</v>
      </c>
      <c r="J93" s="1">
        <v>35.0</v>
      </c>
      <c r="K93" s="1">
        <v>70.0</v>
      </c>
      <c r="L93" s="1">
        <v>302.61</v>
      </c>
      <c r="M93" s="1">
        <v>21182.7</v>
      </c>
      <c r="N93" s="1" t="s">
        <v>21</v>
      </c>
      <c r="O93" s="1">
        <v>0.0</v>
      </c>
      <c r="P93" s="1" t="s">
        <v>317</v>
      </c>
      <c r="Q93" s="1" t="str">
        <f t="shared" si="1"/>
        <v>x</v>
      </c>
      <c r="R93" s="1" t="str">
        <f t="shared" si="2"/>
        <v>x</v>
      </c>
      <c r="S93" s="1" t="str">
        <f t="shared" si="3"/>
        <v>x</v>
      </c>
      <c r="T93" s="1" t="str">
        <f t="shared" si="4"/>
        <v>OK</v>
      </c>
    </row>
    <row r="94" ht="15.75" customHeight="1">
      <c r="A94" s="1" t="s">
        <v>318</v>
      </c>
      <c r="B94" s="1">
        <v>1.1311021E7</v>
      </c>
      <c r="C94" s="1" t="s">
        <v>21</v>
      </c>
      <c r="D94" s="1" t="s">
        <v>22</v>
      </c>
      <c r="E94" s="1" t="s">
        <v>52</v>
      </c>
      <c r="F94" s="1" t="s">
        <v>319</v>
      </c>
      <c r="G94" s="1" t="s">
        <v>25</v>
      </c>
      <c r="H94" s="1">
        <v>8.0</v>
      </c>
      <c r="I94" s="1">
        <v>0.0</v>
      </c>
      <c r="J94" s="1">
        <v>0.0</v>
      </c>
      <c r="K94" s="1">
        <v>8.0</v>
      </c>
      <c r="L94" s="1">
        <v>2573.57</v>
      </c>
      <c r="M94" s="1">
        <v>20588.56</v>
      </c>
      <c r="N94" s="1" t="s">
        <v>21</v>
      </c>
      <c r="O94" s="1">
        <v>0.0</v>
      </c>
      <c r="P94" s="1" t="s">
        <v>320</v>
      </c>
      <c r="Q94" s="1" t="str">
        <f t="shared" si="1"/>
        <v>x</v>
      </c>
      <c r="R94" s="1" t="str">
        <f t="shared" si="2"/>
        <v>x</v>
      </c>
      <c r="S94" s="1" t="str">
        <f t="shared" si="3"/>
        <v>x</v>
      </c>
      <c r="T94" s="1" t="str">
        <f t="shared" si="4"/>
        <v>OK</v>
      </c>
    </row>
    <row r="95" ht="15.75" customHeight="1">
      <c r="A95" s="1" t="s">
        <v>321</v>
      </c>
      <c r="B95" s="1">
        <v>1.0870719E7</v>
      </c>
      <c r="C95" s="1" t="s">
        <v>21</v>
      </c>
      <c r="D95" s="1" t="s">
        <v>22</v>
      </c>
      <c r="E95" s="1" t="s">
        <v>52</v>
      </c>
      <c r="F95" s="1" t="s">
        <v>322</v>
      </c>
      <c r="G95" s="1" t="s">
        <v>25</v>
      </c>
      <c r="H95" s="1">
        <v>12.0</v>
      </c>
      <c r="I95" s="1">
        <v>0.0</v>
      </c>
      <c r="J95" s="1">
        <v>0.0</v>
      </c>
      <c r="K95" s="1">
        <v>12.0</v>
      </c>
      <c r="L95" s="1">
        <v>1700.84</v>
      </c>
      <c r="M95" s="1">
        <v>20410.08</v>
      </c>
      <c r="N95" s="1" t="s">
        <v>21</v>
      </c>
      <c r="O95" s="1">
        <v>0.0</v>
      </c>
      <c r="P95" s="1" t="s">
        <v>323</v>
      </c>
      <c r="Q95" s="1" t="str">
        <f t="shared" si="1"/>
        <v>x</v>
      </c>
      <c r="R95" s="1" t="str">
        <f t="shared" si="2"/>
        <v>x</v>
      </c>
      <c r="S95" s="1" t="str">
        <f t="shared" si="3"/>
        <v>x</v>
      </c>
      <c r="T95" s="1" t="str">
        <f t="shared" si="4"/>
        <v>OK</v>
      </c>
    </row>
    <row r="96" ht="15.75" customHeight="1">
      <c r="A96" s="1" t="s">
        <v>324</v>
      </c>
      <c r="B96" s="1">
        <v>1.0539609E7</v>
      </c>
      <c r="C96" s="1" t="s">
        <v>21</v>
      </c>
      <c r="D96" s="1" t="s">
        <v>22</v>
      </c>
      <c r="E96" s="1" t="s">
        <v>23</v>
      </c>
      <c r="F96" s="1" t="s">
        <v>325</v>
      </c>
      <c r="G96" s="1" t="s">
        <v>25</v>
      </c>
      <c r="H96" s="1">
        <v>33.0</v>
      </c>
      <c r="I96" s="1">
        <v>0.0</v>
      </c>
      <c r="J96" s="1">
        <v>0.0</v>
      </c>
      <c r="K96" s="1">
        <v>33.0</v>
      </c>
      <c r="L96" s="1">
        <v>603.26</v>
      </c>
      <c r="M96" s="1">
        <v>19907.58</v>
      </c>
      <c r="N96" s="1" t="s">
        <v>21</v>
      </c>
      <c r="O96" s="1">
        <v>0.0</v>
      </c>
      <c r="P96" s="1" t="s">
        <v>326</v>
      </c>
      <c r="Q96" s="1" t="str">
        <f t="shared" si="1"/>
        <v>x</v>
      </c>
      <c r="R96" s="1" t="str">
        <f t="shared" si="2"/>
        <v>x</v>
      </c>
      <c r="S96" s="1" t="str">
        <f t="shared" si="3"/>
        <v>x</v>
      </c>
      <c r="T96" s="1" t="str">
        <f t="shared" si="4"/>
        <v>OK</v>
      </c>
    </row>
    <row r="97" ht="15.75" customHeight="1">
      <c r="A97" s="1" t="s">
        <v>327</v>
      </c>
      <c r="B97" s="1">
        <v>1.0083923E7</v>
      </c>
      <c r="C97" s="1" t="s">
        <v>21</v>
      </c>
      <c r="D97" s="1" t="s">
        <v>22</v>
      </c>
      <c r="E97" s="1" t="s">
        <v>195</v>
      </c>
      <c r="F97" s="1" t="s">
        <v>328</v>
      </c>
      <c r="G97" s="1" t="s">
        <v>25</v>
      </c>
      <c r="H97" s="1">
        <v>540.0</v>
      </c>
      <c r="I97" s="1">
        <v>779.0</v>
      </c>
      <c r="J97" s="1">
        <v>155.0</v>
      </c>
      <c r="K97" s="1">
        <v>1474.0</v>
      </c>
      <c r="L97" s="1">
        <v>13.42</v>
      </c>
      <c r="M97" s="1">
        <v>19781.08</v>
      </c>
      <c r="N97" s="1" t="s">
        <v>21</v>
      </c>
      <c r="O97" s="1">
        <v>0.0</v>
      </c>
      <c r="P97" s="1" t="s">
        <v>329</v>
      </c>
      <c r="Q97" s="1" t="str">
        <f t="shared" si="1"/>
        <v>x</v>
      </c>
      <c r="R97" s="1" t="str">
        <f t="shared" si="2"/>
        <v>x</v>
      </c>
      <c r="S97" s="1" t="str">
        <f t="shared" si="3"/>
        <v>x</v>
      </c>
      <c r="T97" s="1" t="str">
        <f t="shared" si="4"/>
        <v>OK</v>
      </c>
    </row>
    <row r="98" ht="15.75" customHeight="1">
      <c r="A98" s="1" t="s">
        <v>330</v>
      </c>
      <c r="B98" s="1" t="s">
        <v>331</v>
      </c>
      <c r="C98" s="1" t="s">
        <v>21</v>
      </c>
      <c r="D98" s="1" t="s">
        <v>22</v>
      </c>
      <c r="E98" s="1" t="s">
        <v>52</v>
      </c>
      <c r="F98" s="1" t="s">
        <v>332</v>
      </c>
      <c r="G98" s="1" t="s">
        <v>25</v>
      </c>
      <c r="H98" s="1">
        <v>11.0</v>
      </c>
      <c r="I98" s="1">
        <v>0.0</v>
      </c>
      <c r="J98" s="1">
        <v>0.0</v>
      </c>
      <c r="K98" s="1">
        <v>11.0</v>
      </c>
      <c r="L98" s="1">
        <v>1774.37</v>
      </c>
      <c r="M98" s="1">
        <v>19518.07</v>
      </c>
      <c r="N98" s="1" t="s">
        <v>21</v>
      </c>
      <c r="O98" s="1">
        <v>0.0</v>
      </c>
      <c r="P98" s="1" t="s">
        <v>333</v>
      </c>
      <c r="Q98" s="1" t="str">
        <f t="shared" si="1"/>
        <v>x</v>
      </c>
      <c r="R98" s="1" t="str">
        <f t="shared" si="2"/>
        <v>x</v>
      </c>
      <c r="S98" s="1" t="str">
        <f t="shared" si="3"/>
        <v>x</v>
      </c>
      <c r="T98" s="1" t="str">
        <f t="shared" si="4"/>
        <v>OK</v>
      </c>
    </row>
    <row r="99" ht="15.75" customHeight="1">
      <c r="A99" s="1" t="s">
        <v>334</v>
      </c>
      <c r="B99" s="1">
        <v>1.1107822E7</v>
      </c>
      <c r="C99" s="1" t="s">
        <v>21</v>
      </c>
      <c r="D99" s="1" t="s">
        <v>22</v>
      </c>
      <c r="E99" s="1" t="s">
        <v>52</v>
      </c>
      <c r="F99" s="1" t="s">
        <v>335</v>
      </c>
      <c r="G99" s="1" t="s">
        <v>25</v>
      </c>
      <c r="H99" s="1">
        <v>10.0</v>
      </c>
      <c r="I99" s="1">
        <v>0.0</v>
      </c>
      <c r="J99" s="1">
        <v>0.0</v>
      </c>
      <c r="K99" s="1">
        <v>10.0</v>
      </c>
      <c r="L99" s="1">
        <v>1945.19</v>
      </c>
      <c r="M99" s="1">
        <v>19451.9</v>
      </c>
      <c r="N99" s="1" t="s">
        <v>21</v>
      </c>
      <c r="O99" s="1">
        <v>0.0</v>
      </c>
      <c r="P99" s="1" t="s">
        <v>336</v>
      </c>
      <c r="Q99" s="1" t="str">
        <f t="shared" si="1"/>
        <v>x</v>
      </c>
      <c r="R99" s="1" t="str">
        <f t="shared" si="2"/>
        <v>x</v>
      </c>
      <c r="S99" s="1" t="str">
        <f t="shared" si="3"/>
        <v>x</v>
      </c>
      <c r="T99" s="1" t="str">
        <f t="shared" si="4"/>
        <v>OK</v>
      </c>
    </row>
    <row r="100" ht="15.75" customHeight="1">
      <c r="A100" s="1" t="s">
        <v>337</v>
      </c>
      <c r="B100" s="1">
        <v>1.0942167E7</v>
      </c>
      <c r="C100" s="1" t="s">
        <v>21</v>
      </c>
      <c r="D100" s="1" t="s">
        <v>22</v>
      </c>
      <c r="E100" s="1" t="s">
        <v>36</v>
      </c>
      <c r="F100" s="1" t="s">
        <v>338</v>
      </c>
      <c r="G100" s="1" t="s">
        <v>25</v>
      </c>
      <c r="H100" s="1">
        <v>340.0</v>
      </c>
      <c r="I100" s="1">
        <v>0.0</v>
      </c>
      <c r="J100" s="1">
        <v>0.0</v>
      </c>
      <c r="K100" s="1">
        <v>340.0</v>
      </c>
      <c r="L100" s="1">
        <v>57.11</v>
      </c>
      <c r="M100" s="1">
        <v>19417.4</v>
      </c>
      <c r="N100" s="1" t="s">
        <v>21</v>
      </c>
      <c r="O100" s="1">
        <v>0.0</v>
      </c>
      <c r="P100" s="1" t="s">
        <v>339</v>
      </c>
      <c r="Q100" s="1" t="str">
        <f t="shared" si="1"/>
        <v>x</v>
      </c>
      <c r="R100" s="1" t="str">
        <f t="shared" si="2"/>
        <v>x</v>
      </c>
      <c r="S100" s="1" t="str">
        <f t="shared" si="3"/>
        <v>x</v>
      </c>
      <c r="T100" s="1" t="str">
        <f t="shared" si="4"/>
        <v>OK</v>
      </c>
    </row>
    <row r="101" ht="15.75" customHeight="1">
      <c r="A101" s="1" t="s">
        <v>340</v>
      </c>
      <c r="B101" s="1">
        <v>1.0631452E7</v>
      </c>
      <c r="C101" s="1" t="s">
        <v>21</v>
      </c>
      <c r="D101" s="1" t="s">
        <v>22</v>
      </c>
      <c r="E101" s="1" t="s">
        <v>52</v>
      </c>
      <c r="F101" s="1" t="s">
        <v>341</v>
      </c>
      <c r="G101" s="1" t="s">
        <v>25</v>
      </c>
      <c r="H101" s="1">
        <v>24.0</v>
      </c>
      <c r="I101" s="1">
        <v>0.0</v>
      </c>
      <c r="J101" s="1">
        <v>0.0</v>
      </c>
      <c r="K101" s="1">
        <v>24.0</v>
      </c>
      <c r="L101" s="1">
        <v>805.7</v>
      </c>
      <c r="M101" s="1">
        <v>19336.8</v>
      </c>
      <c r="N101" s="1" t="s">
        <v>21</v>
      </c>
      <c r="O101" s="1">
        <v>0.0</v>
      </c>
      <c r="P101" s="1" t="s">
        <v>342</v>
      </c>
      <c r="Q101" s="1" t="str">
        <f t="shared" si="1"/>
        <v>x</v>
      </c>
      <c r="R101" s="1" t="str">
        <f t="shared" si="2"/>
        <v>x</v>
      </c>
      <c r="S101" s="1" t="str">
        <f t="shared" si="3"/>
        <v>x</v>
      </c>
      <c r="T101" s="1" t="str">
        <f t="shared" si="4"/>
        <v>OK</v>
      </c>
    </row>
    <row r="102" ht="15.75" customHeight="1">
      <c r="A102" s="1" t="s">
        <v>343</v>
      </c>
      <c r="B102" s="1">
        <v>1.1040059E7</v>
      </c>
      <c r="C102" s="1" t="s">
        <v>21</v>
      </c>
      <c r="D102" s="1" t="s">
        <v>22</v>
      </c>
      <c r="E102" s="1" t="s">
        <v>36</v>
      </c>
      <c r="F102" s="1" t="s">
        <v>344</v>
      </c>
      <c r="G102" s="1" t="s">
        <v>25</v>
      </c>
      <c r="H102" s="1">
        <v>144.0</v>
      </c>
      <c r="I102" s="1">
        <v>0.0</v>
      </c>
      <c r="J102" s="1">
        <v>144.0</v>
      </c>
      <c r="K102" s="1">
        <v>288.0</v>
      </c>
      <c r="L102" s="1">
        <v>66.8</v>
      </c>
      <c r="M102" s="1">
        <v>19238.4</v>
      </c>
      <c r="N102" s="1" t="s">
        <v>21</v>
      </c>
      <c r="O102" s="1">
        <v>0.0</v>
      </c>
      <c r="P102" s="1" t="s">
        <v>345</v>
      </c>
      <c r="Q102" s="1" t="str">
        <f t="shared" si="1"/>
        <v>x</v>
      </c>
      <c r="R102" s="1" t="str">
        <f t="shared" si="2"/>
        <v>x</v>
      </c>
      <c r="S102" s="1" t="str">
        <f t="shared" si="3"/>
        <v>x</v>
      </c>
      <c r="T102" s="1" t="str">
        <f t="shared" si="4"/>
        <v>OK</v>
      </c>
    </row>
    <row r="103" ht="15.75" customHeight="1">
      <c r="A103" s="1" t="s">
        <v>346</v>
      </c>
      <c r="B103" s="1">
        <v>1.0007419E7</v>
      </c>
      <c r="C103" s="1" t="s">
        <v>21</v>
      </c>
      <c r="D103" s="1" t="s">
        <v>22</v>
      </c>
      <c r="E103" s="1" t="s">
        <v>231</v>
      </c>
      <c r="F103" s="1" t="s">
        <v>347</v>
      </c>
      <c r="G103" s="1" t="s">
        <v>25</v>
      </c>
      <c r="H103" s="1">
        <v>904.0</v>
      </c>
      <c r="I103" s="1">
        <v>1064.0</v>
      </c>
      <c r="J103" s="1">
        <v>1064.0</v>
      </c>
      <c r="K103" s="1">
        <v>3032.0</v>
      </c>
      <c r="L103" s="1">
        <v>6.27</v>
      </c>
      <c r="M103" s="1">
        <v>19010.64</v>
      </c>
      <c r="N103" s="1" t="s">
        <v>21</v>
      </c>
      <c r="O103" s="1">
        <v>0.0</v>
      </c>
      <c r="P103" s="1" t="s">
        <v>348</v>
      </c>
      <c r="Q103" s="1" t="str">
        <f t="shared" si="1"/>
        <v>x</v>
      </c>
      <c r="R103" s="1" t="str">
        <f t="shared" si="2"/>
        <v>x</v>
      </c>
      <c r="S103" s="1" t="str">
        <f t="shared" si="3"/>
        <v>x</v>
      </c>
      <c r="T103" s="1" t="str">
        <f t="shared" si="4"/>
        <v>OK</v>
      </c>
    </row>
    <row r="104" ht="15.75" customHeight="1">
      <c r="A104" s="1" t="s">
        <v>349</v>
      </c>
      <c r="B104" s="1">
        <v>1.0186109E7</v>
      </c>
      <c r="C104" s="1" t="s">
        <v>21</v>
      </c>
      <c r="D104" s="1" t="s">
        <v>22</v>
      </c>
      <c r="E104" s="1" t="s">
        <v>52</v>
      </c>
      <c r="F104" s="1" t="s">
        <v>350</v>
      </c>
      <c r="G104" s="1" t="s">
        <v>25</v>
      </c>
      <c r="H104" s="1">
        <v>13.0</v>
      </c>
      <c r="I104" s="1">
        <v>0.0</v>
      </c>
      <c r="J104" s="1">
        <v>11.0</v>
      </c>
      <c r="K104" s="1">
        <v>24.0</v>
      </c>
      <c r="L104" s="1">
        <v>784.35</v>
      </c>
      <c r="M104" s="1">
        <v>18824.4</v>
      </c>
      <c r="N104" s="1" t="s">
        <v>21</v>
      </c>
      <c r="O104" s="1">
        <v>0.0</v>
      </c>
      <c r="P104" s="1" t="s">
        <v>351</v>
      </c>
      <c r="Q104" s="1" t="str">
        <f t="shared" si="1"/>
        <v>x</v>
      </c>
      <c r="R104" s="1" t="str">
        <f t="shared" si="2"/>
        <v>x</v>
      </c>
      <c r="S104" s="1" t="str">
        <f t="shared" si="3"/>
        <v>x</v>
      </c>
      <c r="T104" s="1" t="str">
        <f t="shared" si="4"/>
        <v>OK</v>
      </c>
    </row>
    <row r="105" ht="15.75" customHeight="1">
      <c r="A105" s="1" t="s">
        <v>352</v>
      </c>
      <c r="B105" s="1">
        <v>1.2006672E7</v>
      </c>
      <c r="C105" s="1" t="s">
        <v>21</v>
      </c>
      <c r="D105" s="1" t="s">
        <v>22</v>
      </c>
      <c r="E105" s="1" t="s">
        <v>23</v>
      </c>
      <c r="F105" s="1" t="s">
        <v>353</v>
      </c>
      <c r="G105" s="1" t="s">
        <v>25</v>
      </c>
      <c r="H105" s="1">
        <v>0.0</v>
      </c>
      <c r="I105" s="1">
        <v>25.0</v>
      </c>
      <c r="J105" s="1">
        <v>25.0</v>
      </c>
      <c r="K105" s="1">
        <v>50.0</v>
      </c>
      <c r="L105" s="1">
        <v>357.72</v>
      </c>
      <c r="M105" s="1">
        <v>17886.0</v>
      </c>
      <c r="N105" s="1" t="s">
        <v>21</v>
      </c>
      <c r="O105" s="1" t="s">
        <v>26</v>
      </c>
      <c r="P105" s="1" t="s">
        <v>354</v>
      </c>
      <c r="Q105" s="1" t="str">
        <f t="shared" si="1"/>
        <v>x</v>
      </c>
      <c r="R105" s="1" t="str">
        <f t="shared" si="2"/>
        <v>x</v>
      </c>
      <c r="S105" s="1" t="str">
        <f t="shared" si="3"/>
        <v>x</v>
      </c>
      <c r="T105" s="1" t="str">
        <f t="shared" si="4"/>
        <v>OK</v>
      </c>
    </row>
    <row r="106" ht="15.75" customHeight="1">
      <c r="A106" s="1" t="s">
        <v>355</v>
      </c>
      <c r="B106" s="1">
        <v>1.1136925E7</v>
      </c>
      <c r="C106" s="1" t="s">
        <v>21</v>
      </c>
      <c r="D106" s="1" t="s">
        <v>22</v>
      </c>
      <c r="E106" s="1" t="s">
        <v>231</v>
      </c>
      <c r="F106" s="1" t="s">
        <v>356</v>
      </c>
      <c r="G106" s="1" t="s">
        <v>25</v>
      </c>
      <c r="H106" s="1">
        <v>588.0</v>
      </c>
      <c r="I106" s="1">
        <v>768.0</v>
      </c>
      <c r="J106" s="1">
        <v>864.0</v>
      </c>
      <c r="K106" s="1">
        <v>2220.0</v>
      </c>
      <c r="L106" s="1">
        <v>7.69</v>
      </c>
      <c r="M106" s="1">
        <v>17071.8</v>
      </c>
      <c r="N106" s="1" t="s">
        <v>21</v>
      </c>
      <c r="O106" s="1">
        <v>0.0</v>
      </c>
      <c r="P106" s="1" t="s">
        <v>357</v>
      </c>
      <c r="Q106" s="1" t="str">
        <f t="shared" si="1"/>
        <v>x</v>
      </c>
      <c r="R106" s="1" t="str">
        <f t="shared" si="2"/>
        <v>x</v>
      </c>
      <c r="S106" s="1" t="str">
        <f t="shared" si="3"/>
        <v>x</v>
      </c>
      <c r="T106" s="1" t="str">
        <f t="shared" si="4"/>
        <v>OK</v>
      </c>
    </row>
    <row r="107" ht="15.75" customHeight="1">
      <c r="A107" s="1" t="s">
        <v>358</v>
      </c>
      <c r="B107" s="1">
        <v>1.1876051E7</v>
      </c>
      <c r="C107" s="1" t="s">
        <v>21</v>
      </c>
      <c r="D107" s="1" t="s">
        <v>22</v>
      </c>
      <c r="E107" s="1" t="s">
        <v>61</v>
      </c>
      <c r="F107" s="1" t="s">
        <v>359</v>
      </c>
      <c r="G107" s="1" t="s">
        <v>25</v>
      </c>
      <c r="H107" s="1">
        <v>3.0</v>
      </c>
      <c r="I107" s="1">
        <v>0.0</v>
      </c>
      <c r="J107" s="1">
        <v>3.0</v>
      </c>
      <c r="K107" s="1">
        <v>6.0</v>
      </c>
      <c r="L107" s="1">
        <v>2804.61</v>
      </c>
      <c r="M107" s="1">
        <v>16827.66</v>
      </c>
      <c r="N107" s="1" t="s">
        <v>21</v>
      </c>
      <c r="O107" s="1">
        <v>0.0</v>
      </c>
      <c r="P107" s="1" t="s">
        <v>360</v>
      </c>
      <c r="Q107" s="1" t="str">
        <f t="shared" si="1"/>
        <v>x</v>
      </c>
      <c r="R107" s="1" t="str">
        <f t="shared" si="2"/>
        <v>x</v>
      </c>
      <c r="S107" s="1" t="str">
        <f t="shared" si="3"/>
        <v>x</v>
      </c>
      <c r="T107" s="1" t="str">
        <f t="shared" si="4"/>
        <v>OK</v>
      </c>
    </row>
    <row r="108" ht="15.75" customHeight="1">
      <c r="A108" s="1" t="s">
        <v>361</v>
      </c>
      <c r="B108" s="1">
        <v>1.0867102E7</v>
      </c>
      <c r="C108" s="1" t="s">
        <v>21</v>
      </c>
      <c r="D108" s="1" t="s">
        <v>79</v>
      </c>
      <c r="E108" s="1" t="s">
        <v>362</v>
      </c>
      <c r="F108" s="1" t="s">
        <v>363</v>
      </c>
      <c r="G108" s="1" t="s">
        <v>25</v>
      </c>
      <c r="H108" s="1">
        <v>24.0</v>
      </c>
      <c r="I108" s="1">
        <v>24.0</v>
      </c>
      <c r="J108" s="1">
        <v>24.0</v>
      </c>
      <c r="K108" s="1">
        <v>72.0</v>
      </c>
      <c r="L108" s="1">
        <v>233.12</v>
      </c>
      <c r="M108" s="1">
        <v>16784.64</v>
      </c>
      <c r="N108" s="1" t="s">
        <v>26</v>
      </c>
      <c r="O108" s="1">
        <v>0.0</v>
      </c>
      <c r="P108" s="1" t="s">
        <v>364</v>
      </c>
      <c r="Q108" s="1" t="str">
        <f t="shared" si="1"/>
        <v>x</v>
      </c>
      <c r="R108" s="1" t="str">
        <f t="shared" si="2"/>
        <v>x</v>
      </c>
      <c r="S108" s="1" t="str">
        <f t="shared" si="3"/>
        <v>x</v>
      </c>
      <c r="T108" s="1" t="str">
        <f t="shared" si="4"/>
        <v>OK</v>
      </c>
    </row>
    <row r="109" ht="15.75" customHeight="1">
      <c r="A109" s="1" t="s">
        <v>365</v>
      </c>
      <c r="B109" s="1">
        <v>1.0918361E7</v>
      </c>
      <c r="C109" s="1" t="s">
        <v>21</v>
      </c>
      <c r="D109" s="1" t="s">
        <v>22</v>
      </c>
      <c r="E109" s="1" t="s">
        <v>23</v>
      </c>
      <c r="F109" s="1" t="s">
        <v>366</v>
      </c>
      <c r="G109" s="1" t="s">
        <v>25</v>
      </c>
      <c r="H109" s="1">
        <v>76.0</v>
      </c>
      <c r="I109" s="1">
        <v>0.0</v>
      </c>
      <c r="J109" s="1">
        <v>0.0</v>
      </c>
      <c r="K109" s="1">
        <v>76.0</v>
      </c>
      <c r="L109" s="1">
        <v>219.47</v>
      </c>
      <c r="M109" s="1">
        <v>16679.72</v>
      </c>
      <c r="N109" s="1" t="s">
        <v>21</v>
      </c>
      <c r="O109" s="1">
        <v>0.0</v>
      </c>
      <c r="P109" s="1" t="s">
        <v>367</v>
      </c>
      <c r="Q109" s="1" t="str">
        <f t="shared" si="1"/>
        <v>x</v>
      </c>
      <c r="R109" s="1" t="str">
        <f t="shared" si="2"/>
        <v>x</v>
      </c>
      <c r="S109" s="1" t="str">
        <f t="shared" si="3"/>
        <v>x</v>
      </c>
      <c r="T109" s="1" t="str">
        <f t="shared" si="4"/>
        <v>OK</v>
      </c>
    </row>
    <row r="110" ht="15.75" customHeight="1">
      <c r="A110" s="1" t="s">
        <v>368</v>
      </c>
      <c r="B110" s="1">
        <v>1.1319448E7</v>
      </c>
      <c r="C110" s="1" t="s">
        <v>21</v>
      </c>
      <c r="D110" s="1" t="s">
        <v>22</v>
      </c>
      <c r="E110" s="1" t="s">
        <v>52</v>
      </c>
      <c r="F110" s="1" t="s">
        <v>369</v>
      </c>
      <c r="G110" s="1" t="s">
        <v>25</v>
      </c>
      <c r="H110" s="1">
        <v>10.0</v>
      </c>
      <c r="I110" s="1">
        <v>0.0</v>
      </c>
      <c r="J110" s="1">
        <v>0.0</v>
      </c>
      <c r="K110" s="1">
        <v>10.0</v>
      </c>
      <c r="L110" s="1">
        <v>1661.89</v>
      </c>
      <c r="M110" s="1">
        <v>16618.9</v>
      </c>
      <c r="N110" s="1" t="s">
        <v>21</v>
      </c>
      <c r="O110" s="1">
        <v>0.0</v>
      </c>
      <c r="P110" s="1" t="s">
        <v>370</v>
      </c>
      <c r="Q110" s="1" t="str">
        <f t="shared" si="1"/>
        <v>x</v>
      </c>
      <c r="R110" s="1" t="str">
        <f t="shared" si="2"/>
        <v>x</v>
      </c>
      <c r="S110" s="1" t="str">
        <f t="shared" si="3"/>
        <v>x</v>
      </c>
      <c r="T110" s="1" t="str">
        <f t="shared" si="4"/>
        <v>OK</v>
      </c>
    </row>
    <row r="111" ht="15.75" customHeight="1">
      <c r="A111" s="1" t="s">
        <v>371</v>
      </c>
      <c r="B111" s="1">
        <v>1.1416872E7</v>
      </c>
      <c r="C111" s="1" t="s">
        <v>21</v>
      </c>
      <c r="D111" s="1" t="s">
        <v>22</v>
      </c>
      <c r="E111" s="1" t="s">
        <v>23</v>
      </c>
      <c r="F111" s="1" t="s">
        <v>372</v>
      </c>
      <c r="G111" s="1" t="s">
        <v>25</v>
      </c>
      <c r="H111" s="1">
        <v>36.0</v>
      </c>
      <c r="I111" s="1">
        <v>4.0</v>
      </c>
      <c r="J111" s="1">
        <v>24.0</v>
      </c>
      <c r="K111" s="1">
        <v>64.0</v>
      </c>
      <c r="L111" s="1">
        <v>257.23</v>
      </c>
      <c r="M111" s="1">
        <v>16462.72</v>
      </c>
      <c r="N111" s="1" t="s">
        <v>21</v>
      </c>
      <c r="O111" s="1">
        <v>0.0</v>
      </c>
      <c r="P111" s="1" t="s">
        <v>373</v>
      </c>
      <c r="Q111" s="1" t="str">
        <f t="shared" si="1"/>
        <v>x</v>
      </c>
      <c r="R111" s="1" t="str">
        <f t="shared" si="2"/>
        <v>x</v>
      </c>
      <c r="S111" s="1" t="str">
        <f t="shared" si="3"/>
        <v>x</v>
      </c>
      <c r="T111" s="1" t="str">
        <f t="shared" si="4"/>
        <v>OK</v>
      </c>
    </row>
    <row r="112" ht="15.75" customHeight="1">
      <c r="A112" s="1" t="s">
        <v>374</v>
      </c>
      <c r="B112" s="1">
        <v>1.0686566E7</v>
      </c>
      <c r="C112" s="1" t="s">
        <v>21</v>
      </c>
      <c r="D112" s="1" t="s">
        <v>22</v>
      </c>
      <c r="E112" s="1" t="s">
        <v>129</v>
      </c>
      <c r="F112" s="1" t="s">
        <v>375</v>
      </c>
      <c r="G112" s="1" t="s">
        <v>25</v>
      </c>
      <c r="H112" s="1">
        <v>325.0</v>
      </c>
      <c r="I112" s="1">
        <v>0.0</v>
      </c>
      <c r="J112" s="1">
        <v>140.0</v>
      </c>
      <c r="K112" s="1">
        <v>465.0</v>
      </c>
      <c r="L112" s="1">
        <v>35.34</v>
      </c>
      <c r="M112" s="1">
        <v>16433.1</v>
      </c>
      <c r="N112" s="1" t="s">
        <v>21</v>
      </c>
      <c r="O112" s="1">
        <v>0.0</v>
      </c>
      <c r="P112" s="1" t="s">
        <v>376</v>
      </c>
      <c r="Q112" s="1" t="str">
        <f t="shared" si="1"/>
        <v>x</v>
      </c>
      <c r="R112" s="1" t="str">
        <f t="shared" si="2"/>
        <v>x</v>
      </c>
      <c r="S112" s="1" t="str">
        <f t="shared" si="3"/>
        <v>x</v>
      </c>
      <c r="T112" s="1" t="str">
        <f t="shared" si="4"/>
        <v>OK</v>
      </c>
    </row>
    <row r="113" ht="15.75" customHeight="1">
      <c r="A113" s="1" t="s">
        <v>377</v>
      </c>
      <c r="B113" s="1">
        <v>1.0539609E7</v>
      </c>
      <c r="C113" s="1" t="s">
        <v>21</v>
      </c>
      <c r="D113" s="1" t="s">
        <v>22</v>
      </c>
      <c r="E113" s="1" t="s">
        <v>23</v>
      </c>
      <c r="F113" s="1" t="s">
        <v>325</v>
      </c>
      <c r="G113" s="1" t="s">
        <v>25</v>
      </c>
      <c r="H113" s="1">
        <v>27.0</v>
      </c>
      <c r="I113" s="1">
        <v>0.0</v>
      </c>
      <c r="J113" s="1">
        <v>0.0</v>
      </c>
      <c r="K113" s="1">
        <v>27.0</v>
      </c>
      <c r="L113" s="1">
        <v>603.26</v>
      </c>
      <c r="M113" s="1">
        <v>16288.02</v>
      </c>
      <c r="N113" s="1" t="s">
        <v>21</v>
      </c>
      <c r="O113" s="1">
        <v>0.0</v>
      </c>
      <c r="P113" s="1" t="s">
        <v>378</v>
      </c>
      <c r="Q113" s="1" t="str">
        <f t="shared" si="1"/>
        <v>x</v>
      </c>
      <c r="R113" s="1" t="str">
        <f t="shared" si="2"/>
        <v>x</v>
      </c>
      <c r="S113" s="1" t="str">
        <f t="shared" si="3"/>
        <v>x</v>
      </c>
      <c r="T113" s="1" t="str">
        <f t="shared" si="4"/>
        <v>OK</v>
      </c>
    </row>
    <row r="114" ht="15.75" customHeight="1">
      <c r="A114" s="1" t="s">
        <v>379</v>
      </c>
      <c r="B114" s="1">
        <v>1.1651921E7</v>
      </c>
      <c r="C114" s="1" t="s">
        <v>21</v>
      </c>
      <c r="D114" s="1" t="s">
        <v>22</v>
      </c>
      <c r="E114" s="1" t="s">
        <v>46</v>
      </c>
      <c r="F114" s="1" t="s">
        <v>380</v>
      </c>
      <c r="G114" s="1" t="s">
        <v>25</v>
      </c>
      <c r="H114" s="1">
        <v>1.0</v>
      </c>
      <c r="I114" s="1">
        <v>0.0</v>
      </c>
      <c r="J114" s="1">
        <v>0.0</v>
      </c>
      <c r="K114" s="1">
        <v>1.0</v>
      </c>
      <c r="L114" s="1">
        <v>15972.38</v>
      </c>
      <c r="M114" s="1">
        <v>15972.38</v>
      </c>
      <c r="N114" s="1" t="s">
        <v>21</v>
      </c>
      <c r="O114" s="1">
        <v>0.0</v>
      </c>
      <c r="P114" s="1" t="s">
        <v>381</v>
      </c>
      <c r="Q114" s="1" t="str">
        <f t="shared" si="1"/>
        <v>x</v>
      </c>
      <c r="R114" s="1" t="str">
        <f t="shared" si="2"/>
        <v>x</v>
      </c>
      <c r="S114" s="1" t="str">
        <f t="shared" si="3"/>
        <v>x</v>
      </c>
      <c r="T114" s="1" t="str">
        <f t="shared" si="4"/>
        <v>OK</v>
      </c>
    </row>
    <row r="115" ht="15.75" customHeight="1">
      <c r="A115" s="1" t="s">
        <v>382</v>
      </c>
      <c r="B115" s="1">
        <v>1.0551491E7</v>
      </c>
      <c r="C115" s="1" t="s">
        <v>21</v>
      </c>
      <c r="D115" s="1" t="s">
        <v>22</v>
      </c>
      <c r="E115" s="1" t="s">
        <v>231</v>
      </c>
      <c r="F115" s="1" t="s">
        <v>383</v>
      </c>
      <c r="G115" s="1" t="s">
        <v>25</v>
      </c>
      <c r="H115" s="1">
        <v>0.0</v>
      </c>
      <c r="I115" s="1">
        <v>935.0</v>
      </c>
      <c r="J115" s="1">
        <v>935.0</v>
      </c>
      <c r="K115" s="1">
        <v>1870.0</v>
      </c>
      <c r="L115" s="1">
        <v>8.54</v>
      </c>
      <c r="M115" s="1">
        <v>15969.8</v>
      </c>
      <c r="N115" s="1" t="s">
        <v>21</v>
      </c>
      <c r="O115" s="1">
        <v>0.0</v>
      </c>
      <c r="P115" s="1" t="s">
        <v>384</v>
      </c>
      <c r="Q115" s="1" t="str">
        <f t="shared" si="1"/>
        <v>x</v>
      </c>
      <c r="R115" s="1" t="str">
        <f t="shared" si="2"/>
        <v>x</v>
      </c>
      <c r="S115" s="1" t="str">
        <f t="shared" si="3"/>
        <v>x</v>
      </c>
      <c r="T115" s="1" t="str">
        <f t="shared" si="4"/>
        <v>OK</v>
      </c>
    </row>
    <row r="116" ht="15.75" customHeight="1">
      <c r="A116" s="1" t="s">
        <v>385</v>
      </c>
      <c r="B116" s="1">
        <v>1.0168055E7</v>
      </c>
      <c r="C116" s="1" t="s">
        <v>21</v>
      </c>
      <c r="D116" s="1" t="s">
        <v>22</v>
      </c>
      <c r="E116" s="1" t="s">
        <v>140</v>
      </c>
      <c r="F116" s="1" t="s">
        <v>386</v>
      </c>
      <c r="G116" s="1" t="s">
        <v>25</v>
      </c>
      <c r="H116" s="1">
        <v>133.0</v>
      </c>
      <c r="I116" s="1">
        <v>108.0</v>
      </c>
      <c r="J116" s="1">
        <v>133.0</v>
      </c>
      <c r="K116" s="1">
        <v>374.0</v>
      </c>
      <c r="L116" s="1">
        <v>42.11</v>
      </c>
      <c r="M116" s="1">
        <v>15749.14</v>
      </c>
      <c r="N116" s="1" t="s">
        <v>21</v>
      </c>
      <c r="O116" s="1">
        <v>0.0</v>
      </c>
      <c r="P116" s="1" t="s">
        <v>387</v>
      </c>
      <c r="Q116" s="1" t="str">
        <f t="shared" si="1"/>
        <v>x</v>
      </c>
      <c r="R116" s="1" t="str">
        <f t="shared" si="2"/>
        <v>x</v>
      </c>
      <c r="S116" s="1" t="str">
        <f t="shared" si="3"/>
        <v>x</v>
      </c>
      <c r="T116" s="1" t="str">
        <f t="shared" si="4"/>
        <v>OK</v>
      </c>
    </row>
    <row r="117" ht="15.75" customHeight="1">
      <c r="A117" s="1" t="s">
        <v>388</v>
      </c>
      <c r="B117" s="1">
        <v>1.0274054E7</v>
      </c>
      <c r="C117" s="1" t="s">
        <v>21</v>
      </c>
      <c r="D117" s="1" t="s">
        <v>22</v>
      </c>
      <c r="E117" s="1" t="s">
        <v>231</v>
      </c>
      <c r="F117" s="1" t="s">
        <v>389</v>
      </c>
      <c r="G117" s="1" t="s">
        <v>25</v>
      </c>
      <c r="H117" s="1">
        <v>500.0</v>
      </c>
      <c r="I117" s="1">
        <v>834.0</v>
      </c>
      <c r="J117" s="1">
        <v>210.0</v>
      </c>
      <c r="K117" s="1">
        <v>1544.0</v>
      </c>
      <c r="L117" s="1">
        <v>10.04</v>
      </c>
      <c r="M117" s="1">
        <v>15501.76</v>
      </c>
      <c r="N117" s="1" t="s">
        <v>21</v>
      </c>
      <c r="O117" s="1">
        <v>0.0</v>
      </c>
      <c r="P117" s="1" t="s">
        <v>390</v>
      </c>
      <c r="Q117" s="1" t="str">
        <f t="shared" si="1"/>
        <v>x</v>
      </c>
      <c r="R117" s="1" t="str">
        <f t="shared" si="2"/>
        <v>x</v>
      </c>
      <c r="S117" s="1" t="str">
        <f t="shared" si="3"/>
        <v>x</v>
      </c>
      <c r="T117" s="1" t="str">
        <f t="shared" si="4"/>
        <v>OK</v>
      </c>
    </row>
    <row r="118" ht="15.75" customHeight="1">
      <c r="A118" s="1" t="s">
        <v>391</v>
      </c>
      <c r="B118" s="1">
        <v>1.0450482E7</v>
      </c>
      <c r="C118" s="1" t="s">
        <v>21</v>
      </c>
      <c r="D118" s="1" t="s">
        <v>22</v>
      </c>
      <c r="E118" s="1" t="s">
        <v>23</v>
      </c>
      <c r="F118" s="1" t="s">
        <v>392</v>
      </c>
      <c r="G118" s="1" t="s">
        <v>25</v>
      </c>
      <c r="H118" s="1">
        <v>28.0</v>
      </c>
      <c r="I118" s="1">
        <v>0.0</v>
      </c>
      <c r="J118" s="1">
        <v>0.0</v>
      </c>
      <c r="K118" s="1">
        <v>28.0</v>
      </c>
      <c r="L118" s="1">
        <v>536.31</v>
      </c>
      <c r="M118" s="1">
        <v>15016.68</v>
      </c>
      <c r="N118" s="1" t="s">
        <v>21</v>
      </c>
      <c r="O118" s="1">
        <v>0.0</v>
      </c>
      <c r="P118" s="1" t="s">
        <v>393</v>
      </c>
      <c r="Q118" s="1" t="str">
        <f t="shared" si="1"/>
        <v>x</v>
      </c>
      <c r="R118" s="1" t="str">
        <f t="shared" si="2"/>
        <v>x</v>
      </c>
      <c r="S118" s="1" t="str">
        <f t="shared" si="3"/>
        <v>x</v>
      </c>
      <c r="T118" s="1" t="str">
        <f t="shared" si="4"/>
        <v>OK</v>
      </c>
    </row>
    <row r="119" ht="15.75" customHeight="1">
      <c r="A119" s="1" t="s">
        <v>394</v>
      </c>
      <c r="B119" s="1">
        <v>1.1545051E7</v>
      </c>
      <c r="C119" s="1">
        <v>1.1430212E7</v>
      </c>
      <c r="D119" s="1" t="s">
        <v>22</v>
      </c>
      <c r="E119" s="1" t="s">
        <v>23</v>
      </c>
      <c r="F119" s="1" t="s">
        <v>395</v>
      </c>
      <c r="G119" s="1" t="s">
        <v>25</v>
      </c>
      <c r="H119" s="1">
        <v>0.0</v>
      </c>
      <c r="I119" s="1">
        <v>24.0</v>
      </c>
      <c r="J119" s="1">
        <v>32.0</v>
      </c>
      <c r="K119" s="1">
        <v>56.0</v>
      </c>
      <c r="L119" s="1">
        <v>267.89</v>
      </c>
      <c r="M119" s="1">
        <v>15001.84</v>
      </c>
      <c r="N119" s="1" t="s">
        <v>21</v>
      </c>
      <c r="O119" s="1">
        <v>0.0</v>
      </c>
      <c r="P119" s="1" t="s">
        <v>396</v>
      </c>
      <c r="Q119" s="1" t="str">
        <f t="shared" si="1"/>
        <v>x</v>
      </c>
      <c r="R119" s="1" t="str">
        <f t="shared" si="2"/>
        <v>x</v>
      </c>
      <c r="S119" s="1" t="str">
        <f t="shared" si="3"/>
        <v>x</v>
      </c>
      <c r="T119" s="1" t="str">
        <f t="shared" si="4"/>
        <v>OK</v>
      </c>
    </row>
    <row r="120" ht="15.75" customHeight="1">
      <c r="A120" s="1" t="s">
        <v>397</v>
      </c>
      <c r="B120" s="1">
        <v>1.0239621E7</v>
      </c>
      <c r="C120" s="1" t="s">
        <v>21</v>
      </c>
      <c r="D120" s="1" t="s">
        <v>22</v>
      </c>
      <c r="E120" s="1" t="s">
        <v>56</v>
      </c>
      <c r="F120" s="1" t="s">
        <v>398</v>
      </c>
      <c r="G120" s="1" t="s">
        <v>25</v>
      </c>
      <c r="H120" s="1">
        <v>120.0</v>
      </c>
      <c r="I120" s="1">
        <v>0.0</v>
      </c>
      <c r="J120" s="1">
        <v>0.0</v>
      </c>
      <c r="K120" s="1">
        <v>120.0</v>
      </c>
      <c r="L120" s="1">
        <v>123.37</v>
      </c>
      <c r="M120" s="1">
        <v>14804.4</v>
      </c>
      <c r="N120" s="1" t="s">
        <v>21</v>
      </c>
      <c r="O120" s="1">
        <v>0.0</v>
      </c>
      <c r="P120" s="1" t="s">
        <v>399</v>
      </c>
      <c r="Q120" s="1" t="str">
        <f t="shared" si="1"/>
        <v>x</v>
      </c>
      <c r="R120" s="1" t="str">
        <f t="shared" si="2"/>
        <v>x</v>
      </c>
      <c r="S120" s="1" t="str">
        <f t="shared" si="3"/>
        <v>x</v>
      </c>
      <c r="T120" s="1" t="str">
        <f t="shared" si="4"/>
        <v>OK</v>
      </c>
    </row>
    <row r="121" ht="15.75" customHeight="1">
      <c r="A121" s="1" t="s">
        <v>400</v>
      </c>
      <c r="B121" s="1">
        <v>1.1673191E7</v>
      </c>
      <c r="C121" s="1" t="s">
        <v>21</v>
      </c>
      <c r="D121" s="1" t="s">
        <v>22</v>
      </c>
      <c r="E121" s="1" t="s">
        <v>150</v>
      </c>
      <c r="F121" s="1" t="s">
        <v>401</v>
      </c>
      <c r="G121" s="1" t="s">
        <v>25</v>
      </c>
      <c r="H121" s="1">
        <v>135.0</v>
      </c>
      <c r="I121" s="1">
        <v>0.0</v>
      </c>
      <c r="J121" s="1">
        <v>0.0</v>
      </c>
      <c r="K121" s="1">
        <v>135.0</v>
      </c>
      <c r="L121" s="1">
        <v>106.68</v>
      </c>
      <c r="M121" s="1">
        <v>14401.8</v>
      </c>
      <c r="N121" s="1" t="s">
        <v>21</v>
      </c>
      <c r="O121" s="1">
        <v>0.0</v>
      </c>
      <c r="P121" s="1" t="s">
        <v>402</v>
      </c>
      <c r="Q121" s="1" t="str">
        <f t="shared" si="1"/>
        <v>x</v>
      </c>
      <c r="R121" s="1" t="str">
        <f t="shared" si="2"/>
        <v>x</v>
      </c>
      <c r="S121" s="1" t="str">
        <f t="shared" si="3"/>
        <v>x</v>
      </c>
      <c r="T121" s="1" t="str">
        <f t="shared" si="4"/>
        <v>OK</v>
      </c>
    </row>
    <row r="122" ht="15.75" customHeight="1">
      <c r="A122" s="1" t="s">
        <v>403</v>
      </c>
      <c r="B122" s="1">
        <v>1.1648751E7</v>
      </c>
      <c r="C122" s="1">
        <v>1.0867451E7</v>
      </c>
      <c r="D122" s="1" t="s">
        <v>22</v>
      </c>
      <c r="E122" s="1" t="s">
        <v>52</v>
      </c>
      <c r="F122" s="1" t="s">
        <v>404</v>
      </c>
      <c r="G122" s="1" t="s">
        <v>25</v>
      </c>
      <c r="H122" s="1">
        <v>6.0</v>
      </c>
      <c r="I122" s="1">
        <v>0.0</v>
      </c>
      <c r="J122" s="1">
        <v>0.0</v>
      </c>
      <c r="K122" s="1">
        <v>6.0</v>
      </c>
      <c r="L122" s="1">
        <v>2389.29</v>
      </c>
      <c r="M122" s="1">
        <v>14335.74</v>
      </c>
      <c r="N122" s="1" t="s">
        <v>21</v>
      </c>
      <c r="O122" s="1">
        <v>0.0</v>
      </c>
      <c r="P122" s="1" t="s">
        <v>405</v>
      </c>
      <c r="Q122" s="1" t="str">
        <f t="shared" si="1"/>
        <v>x</v>
      </c>
      <c r="R122" s="1" t="str">
        <f t="shared" si="2"/>
        <v>x</v>
      </c>
      <c r="S122" s="1" t="str">
        <f t="shared" si="3"/>
        <v>x</v>
      </c>
      <c r="T122" s="1" t="str">
        <f t="shared" si="4"/>
        <v>OK</v>
      </c>
    </row>
    <row r="123" ht="15.75" customHeight="1">
      <c r="A123" s="1" t="s">
        <v>406</v>
      </c>
      <c r="B123" s="1">
        <v>1.2006672E7</v>
      </c>
      <c r="C123" s="1" t="s">
        <v>21</v>
      </c>
      <c r="D123" s="1" t="s">
        <v>22</v>
      </c>
      <c r="E123" s="1" t="s">
        <v>23</v>
      </c>
      <c r="F123" s="1" t="s">
        <v>353</v>
      </c>
      <c r="G123" s="1" t="s">
        <v>25</v>
      </c>
      <c r="H123" s="1">
        <v>40.0</v>
      </c>
      <c r="I123" s="1">
        <v>0.0</v>
      </c>
      <c r="J123" s="1">
        <v>0.0</v>
      </c>
      <c r="K123" s="1">
        <v>40.0</v>
      </c>
      <c r="L123" s="1">
        <v>357.72</v>
      </c>
      <c r="M123" s="1">
        <v>14308.8</v>
      </c>
      <c r="N123" s="1" t="s">
        <v>21</v>
      </c>
      <c r="O123" s="1">
        <v>0.0</v>
      </c>
      <c r="P123" s="1" t="s">
        <v>407</v>
      </c>
      <c r="Q123" s="1" t="str">
        <f t="shared" si="1"/>
        <v>x</v>
      </c>
      <c r="R123" s="1" t="str">
        <f t="shared" si="2"/>
        <v>x</v>
      </c>
      <c r="S123" s="1" t="str">
        <f t="shared" si="3"/>
        <v>x</v>
      </c>
      <c r="T123" s="1" t="str">
        <f t="shared" si="4"/>
        <v>OK</v>
      </c>
    </row>
    <row r="124" ht="15.75" customHeight="1">
      <c r="A124" s="1" t="s">
        <v>408</v>
      </c>
      <c r="B124" s="1">
        <v>1.0182756E7</v>
      </c>
      <c r="C124" s="1" t="s">
        <v>21</v>
      </c>
      <c r="D124" s="1" t="s">
        <v>22</v>
      </c>
      <c r="E124" s="1" t="s">
        <v>195</v>
      </c>
      <c r="F124" s="1" t="s">
        <v>196</v>
      </c>
      <c r="G124" s="1" t="s">
        <v>25</v>
      </c>
      <c r="H124" s="1">
        <v>0.0</v>
      </c>
      <c r="I124" s="1">
        <v>0.0</v>
      </c>
      <c r="J124" s="1">
        <v>1056.0</v>
      </c>
      <c r="K124" s="1">
        <v>1056.0</v>
      </c>
      <c r="L124" s="1">
        <v>13.23</v>
      </c>
      <c r="M124" s="1">
        <v>13970.88</v>
      </c>
      <c r="N124" s="1" t="s">
        <v>21</v>
      </c>
      <c r="O124" s="1">
        <v>0.0</v>
      </c>
      <c r="P124" s="1" t="s">
        <v>409</v>
      </c>
      <c r="Q124" s="1" t="str">
        <f t="shared" si="1"/>
        <v>x</v>
      </c>
      <c r="R124" s="1" t="str">
        <f t="shared" si="2"/>
        <v>x</v>
      </c>
      <c r="S124" s="1" t="str">
        <f t="shared" si="3"/>
        <v>x</v>
      </c>
      <c r="T124" s="1" t="str">
        <f t="shared" si="4"/>
        <v>OK</v>
      </c>
    </row>
    <row r="125" ht="15.75" customHeight="1">
      <c r="A125" s="1" t="s">
        <v>410</v>
      </c>
      <c r="B125" s="1">
        <v>1.0083935E7</v>
      </c>
      <c r="C125" s="1" t="s">
        <v>21</v>
      </c>
      <c r="D125" s="1" t="s">
        <v>22</v>
      </c>
      <c r="E125" s="1" t="s">
        <v>164</v>
      </c>
      <c r="F125" s="1" t="s">
        <v>411</v>
      </c>
      <c r="G125" s="1" t="s">
        <v>25</v>
      </c>
      <c r="H125" s="1">
        <v>32.0</v>
      </c>
      <c r="I125" s="1">
        <v>84.0</v>
      </c>
      <c r="J125" s="1">
        <v>44.0</v>
      </c>
      <c r="K125" s="1">
        <v>160.0</v>
      </c>
      <c r="L125" s="1">
        <v>87.22</v>
      </c>
      <c r="M125" s="1">
        <v>13955.2</v>
      </c>
      <c r="N125" s="1" t="s">
        <v>21</v>
      </c>
      <c r="O125" s="1">
        <v>0.0</v>
      </c>
      <c r="P125" s="1" t="s">
        <v>412</v>
      </c>
      <c r="Q125" s="1" t="str">
        <f t="shared" si="1"/>
        <v>x</v>
      </c>
      <c r="R125" s="1" t="str">
        <f t="shared" si="2"/>
        <v>x</v>
      </c>
      <c r="S125" s="1" t="str">
        <f t="shared" si="3"/>
        <v>x</v>
      </c>
      <c r="T125" s="1" t="str">
        <f t="shared" si="4"/>
        <v>OK</v>
      </c>
    </row>
    <row r="126" ht="15.75" customHeight="1">
      <c r="A126" s="1" t="s">
        <v>413</v>
      </c>
      <c r="B126" s="1">
        <v>1.0542461E7</v>
      </c>
      <c r="C126" s="1" t="s">
        <v>21</v>
      </c>
      <c r="D126" s="1" t="s">
        <v>22</v>
      </c>
      <c r="E126" s="1" t="s">
        <v>140</v>
      </c>
      <c r="F126" s="1" t="s">
        <v>414</v>
      </c>
      <c r="G126" s="1" t="s">
        <v>25</v>
      </c>
      <c r="H126" s="1">
        <v>0.0</v>
      </c>
      <c r="I126" s="1">
        <v>0.0</v>
      </c>
      <c r="J126" s="1">
        <v>264.0</v>
      </c>
      <c r="K126" s="1">
        <v>264.0</v>
      </c>
      <c r="L126" s="1">
        <v>50.42</v>
      </c>
      <c r="M126" s="1">
        <v>13310.88</v>
      </c>
      <c r="N126" s="1" t="s">
        <v>21</v>
      </c>
      <c r="O126" s="1">
        <v>0.0</v>
      </c>
      <c r="P126" s="1" t="s">
        <v>415</v>
      </c>
      <c r="Q126" s="1" t="str">
        <f t="shared" si="1"/>
        <v>x</v>
      </c>
      <c r="R126" s="1" t="str">
        <f t="shared" si="2"/>
        <v>x</v>
      </c>
      <c r="S126" s="1" t="str">
        <f t="shared" si="3"/>
        <v>x</v>
      </c>
      <c r="T126" s="1" t="str">
        <f t="shared" si="4"/>
        <v>OK</v>
      </c>
    </row>
    <row r="127" ht="15.75" customHeight="1">
      <c r="A127" s="1" t="s">
        <v>416</v>
      </c>
      <c r="B127" s="1">
        <v>1.1319448E7</v>
      </c>
      <c r="C127" s="1" t="s">
        <v>21</v>
      </c>
      <c r="D127" s="1" t="s">
        <v>22</v>
      </c>
      <c r="E127" s="1" t="s">
        <v>52</v>
      </c>
      <c r="F127" s="1" t="s">
        <v>369</v>
      </c>
      <c r="G127" s="1" t="s">
        <v>25</v>
      </c>
      <c r="H127" s="1">
        <v>8.0</v>
      </c>
      <c r="I127" s="1">
        <v>0.0</v>
      </c>
      <c r="J127" s="1">
        <v>0.0</v>
      </c>
      <c r="K127" s="1">
        <v>8.0</v>
      </c>
      <c r="L127" s="1">
        <v>1661.89</v>
      </c>
      <c r="M127" s="1">
        <v>13295.12</v>
      </c>
      <c r="N127" s="1" t="s">
        <v>417</v>
      </c>
      <c r="O127" s="1">
        <v>0.0</v>
      </c>
      <c r="P127" s="1" t="s">
        <v>418</v>
      </c>
      <c r="Q127" s="1" t="str">
        <f t="shared" si="1"/>
        <v>x</v>
      </c>
      <c r="R127" s="1" t="str">
        <f t="shared" si="2"/>
        <v>x</v>
      </c>
      <c r="S127" s="1" t="str">
        <f t="shared" si="3"/>
        <v>x</v>
      </c>
      <c r="T127" s="1" t="str">
        <f t="shared" si="4"/>
        <v>OK</v>
      </c>
    </row>
    <row r="128" ht="15.75" customHeight="1">
      <c r="A128" s="1" t="s">
        <v>419</v>
      </c>
      <c r="B128" s="1">
        <v>1.0941743E7</v>
      </c>
      <c r="C128" s="1" t="s">
        <v>21</v>
      </c>
      <c r="D128" s="1" t="s">
        <v>22</v>
      </c>
      <c r="E128" s="1" t="s">
        <v>23</v>
      </c>
      <c r="F128" s="1" t="s">
        <v>420</v>
      </c>
      <c r="G128" s="1" t="s">
        <v>25</v>
      </c>
      <c r="H128" s="1">
        <v>44.0</v>
      </c>
      <c r="I128" s="1">
        <v>0.0</v>
      </c>
      <c r="J128" s="1">
        <v>30.0</v>
      </c>
      <c r="K128" s="1">
        <v>74.0</v>
      </c>
      <c r="L128" s="1">
        <v>179.05</v>
      </c>
      <c r="M128" s="1">
        <v>13249.7</v>
      </c>
      <c r="N128" s="1" t="s">
        <v>21</v>
      </c>
      <c r="O128" s="1">
        <v>0.0</v>
      </c>
      <c r="P128" s="1" t="s">
        <v>421</v>
      </c>
      <c r="Q128" s="1" t="str">
        <f t="shared" si="1"/>
        <v>x</v>
      </c>
      <c r="R128" s="1" t="str">
        <f t="shared" si="2"/>
        <v>x</v>
      </c>
      <c r="S128" s="1" t="str">
        <f t="shared" si="3"/>
        <v>x</v>
      </c>
      <c r="T128" s="1" t="str">
        <f t="shared" si="4"/>
        <v>OK</v>
      </c>
    </row>
    <row r="129" ht="15.75" customHeight="1">
      <c r="A129" s="1" t="s">
        <v>422</v>
      </c>
      <c r="B129" s="1">
        <v>1.0871377E7</v>
      </c>
      <c r="C129" s="1" t="s">
        <v>21</v>
      </c>
      <c r="D129" s="1" t="s">
        <v>22</v>
      </c>
      <c r="E129" s="1" t="s">
        <v>129</v>
      </c>
      <c r="F129" s="1" t="s">
        <v>423</v>
      </c>
      <c r="G129" s="1" t="s">
        <v>25</v>
      </c>
      <c r="H129" s="1">
        <v>502.0</v>
      </c>
      <c r="I129" s="1">
        <v>0.0</v>
      </c>
      <c r="J129" s="1">
        <v>0.0</v>
      </c>
      <c r="K129" s="1">
        <v>502.0</v>
      </c>
      <c r="L129" s="1">
        <v>26.07</v>
      </c>
      <c r="M129" s="1">
        <v>13087.14</v>
      </c>
      <c r="N129" s="1" t="s">
        <v>21</v>
      </c>
      <c r="O129" s="1">
        <v>0.0</v>
      </c>
      <c r="P129" s="1" t="s">
        <v>424</v>
      </c>
      <c r="Q129" s="1" t="str">
        <f t="shared" si="1"/>
        <v>x</v>
      </c>
      <c r="R129" s="1" t="str">
        <f t="shared" si="2"/>
        <v>x</v>
      </c>
      <c r="S129" s="1" t="str">
        <f t="shared" si="3"/>
        <v>x</v>
      </c>
      <c r="T129" s="1" t="str">
        <f t="shared" si="4"/>
        <v>OK</v>
      </c>
    </row>
    <row r="130" ht="15.75" customHeight="1">
      <c r="A130" s="1" t="s">
        <v>425</v>
      </c>
      <c r="B130" s="1">
        <v>1.10049475E8</v>
      </c>
      <c r="C130" s="1">
        <v>1.1675032E7</v>
      </c>
      <c r="D130" s="1" t="s">
        <v>22</v>
      </c>
      <c r="E130" s="1" t="s">
        <v>61</v>
      </c>
      <c r="F130" s="1" t="s">
        <v>426</v>
      </c>
      <c r="G130" s="1" t="s">
        <v>25</v>
      </c>
      <c r="H130" s="1">
        <v>0.0</v>
      </c>
      <c r="I130" s="1">
        <v>3.0</v>
      </c>
      <c r="J130" s="1">
        <v>1.0</v>
      </c>
      <c r="K130" s="1">
        <v>4.0</v>
      </c>
      <c r="L130" s="1">
        <v>3223.6</v>
      </c>
      <c r="M130" s="1">
        <v>12894.4</v>
      </c>
      <c r="N130" s="1" t="s">
        <v>21</v>
      </c>
      <c r="O130" s="1">
        <v>0.0</v>
      </c>
      <c r="P130" s="1" t="s">
        <v>427</v>
      </c>
      <c r="Q130" s="1" t="str">
        <f t="shared" si="1"/>
        <v>x</v>
      </c>
      <c r="R130" s="1" t="str">
        <f t="shared" si="2"/>
        <v>x</v>
      </c>
      <c r="S130" s="1" t="str">
        <f t="shared" si="3"/>
        <v>x</v>
      </c>
      <c r="T130" s="1" t="str">
        <f t="shared" si="4"/>
        <v>OK</v>
      </c>
    </row>
    <row r="131" ht="15.75" customHeight="1">
      <c r="A131" s="1" t="s">
        <v>428</v>
      </c>
      <c r="B131" s="1">
        <v>1.0773993E7</v>
      </c>
      <c r="C131" s="1" t="s">
        <v>21</v>
      </c>
      <c r="D131" s="1" t="s">
        <v>22</v>
      </c>
      <c r="E131" s="1" t="s">
        <v>46</v>
      </c>
      <c r="F131" s="1" t="s">
        <v>429</v>
      </c>
      <c r="G131" s="1" t="s">
        <v>25</v>
      </c>
      <c r="H131" s="1">
        <v>1.0</v>
      </c>
      <c r="I131" s="1">
        <v>0.0</v>
      </c>
      <c r="J131" s="1">
        <v>0.0</v>
      </c>
      <c r="K131" s="1">
        <v>1.0</v>
      </c>
      <c r="L131" s="1">
        <v>12845.69</v>
      </c>
      <c r="M131" s="1">
        <v>12845.69</v>
      </c>
      <c r="N131" s="1" t="s">
        <v>21</v>
      </c>
      <c r="O131" s="1">
        <v>0.0</v>
      </c>
      <c r="P131" s="1" t="s">
        <v>430</v>
      </c>
      <c r="Q131" s="1" t="str">
        <f t="shared" si="1"/>
        <v>x</v>
      </c>
      <c r="R131" s="1" t="str">
        <f t="shared" si="2"/>
        <v>x</v>
      </c>
      <c r="S131" s="1" t="str">
        <f t="shared" si="3"/>
        <v>x</v>
      </c>
      <c r="T131" s="1" t="str">
        <f t="shared" si="4"/>
        <v>OK</v>
      </c>
    </row>
    <row r="132" ht="15.75" customHeight="1">
      <c r="A132" s="1" t="s">
        <v>431</v>
      </c>
      <c r="B132" s="1">
        <v>1.1094109E7</v>
      </c>
      <c r="C132" s="1" t="s">
        <v>21</v>
      </c>
      <c r="D132" s="1" t="s">
        <v>22</v>
      </c>
      <c r="E132" s="1" t="s">
        <v>52</v>
      </c>
      <c r="F132" s="1" t="s">
        <v>432</v>
      </c>
      <c r="G132" s="1" t="s">
        <v>25</v>
      </c>
      <c r="H132" s="1">
        <v>12.0</v>
      </c>
      <c r="I132" s="1">
        <v>0.0</v>
      </c>
      <c r="J132" s="1">
        <v>0.0</v>
      </c>
      <c r="K132" s="1">
        <v>12.0</v>
      </c>
      <c r="L132" s="1">
        <v>1068.24</v>
      </c>
      <c r="M132" s="1">
        <v>12818.88</v>
      </c>
      <c r="N132" s="1" t="s">
        <v>21</v>
      </c>
      <c r="O132" s="1">
        <v>0.0</v>
      </c>
      <c r="P132" s="1" t="s">
        <v>433</v>
      </c>
      <c r="Q132" s="1" t="str">
        <f t="shared" si="1"/>
        <v>x</v>
      </c>
      <c r="R132" s="1" t="str">
        <f t="shared" si="2"/>
        <v>x</v>
      </c>
      <c r="S132" s="1" t="str">
        <f t="shared" si="3"/>
        <v>x</v>
      </c>
      <c r="T132" s="1" t="str">
        <f t="shared" si="4"/>
        <v>OK</v>
      </c>
    </row>
    <row r="133" ht="15.75" customHeight="1">
      <c r="A133" s="1" t="s">
        <v>434</v>
      </c>
      <c r="B133" s="1">
        <v>1.1094109E7</v>
      </c>
      <c r="C133" s="1" t="s">
        <v>21</v>
      </c>
      <c r="D133" s="1" t="s">
        <v>22</v>
      </c>
      <c r="E133" s="1" t="s">
        <v>52</v>
      </c>
      <c r="F133" s="1" t="s">
        <v>432</v>
      </c>
      <c r="G133" s="1" t="s">
        <v>25</v>
      </c>
      <c r="H133" s="1">
        <v>12.0</v>
      </c>
      <c r="I133" s="1">
        <v>0.0</v>
      </c>
      <c r="J133" s="1">
        <v>0.0</v>
      </c>
      <c r="K133" s="1">
        <v>12.0</v>
      </c>
      <c r="L133" s="1">
        <v>1068.24</v>
      </c>
      <c r="M133" s="1">
        <v>12818.88</v>
      </c>
      <c r="N133" s="1" t="s">
        <v>21</v>
      </c>
      <c r="O133" s="1">
        <v>0.0</v>
      </c>
      <c r="P133" s="1" t="s">
        <v>433</v>
      </c>
      <c r="Q133" s="1" t="str">
        <f t="shared" si="1"/>
        <v>x</v>
      </c>
      <c r="R133" s="1" t="str">
        <f t="shared" si="2"/>
        <v>x</v>
      </c>
      <c r="S133" s="1" t="str">
        <f t="shared" si="3"/>
        <v>x</v>
      </c>
      <c r="T133" s="1" t="str">
        <f t="shared" si="4"/>
        <v>OK</v>
      </c>
    </row>
    <row r="134" ht="15.75" customHeight="1">
      <c r="A134" s="1" t="s">
        <v>435</v>
      </c>
      <c r="B134" s="1">
        <v>1.1359147E7</v>
      </c>
      <c r="C134" s="1" t="s">
        <v>21</v>
      </c>
      <c r="D134" s="1" t="s">
        <v>22</v>
      </c>
      <c r="E134" s="1" t="s">
        <v>23</v>
      </c>
      <c r="F134" s="1" t="s">
        <v>436</v>
      </c>
      <c r="G134" s="1" t="s">
        <v>25</v>
      </c>
      <c r="H134" s="1">
        <v>30.0</v>
      </c>
      <c r="I134" s="1">
        <v>0.0</v>
      </c>
      <c r="J134" s="1">
        <v>30.0</v>
      </c>
      <c r="K134" s="1">
        <v>60.0</v>
      </c>
      <c r="L134" s="1">
        <v>206.05</v>
      </c>
      <c r="M134" s="1">
        <v>12363.0</v>
      </c>
      <c r="N134" s="1" t="s">
        <v>21</v>
      </c>
      <c r="O134" s="1">
        <v>0.0</v>
      </c>
      <c r="P134" s="1" t="s">
        <v>437</v>
      </c>
      <c r="Q134" s="1" t="str">
        <f t="shared" si="1"/>
        <v>x</v>
      </c>
      <c r="R134" s="1" t="str">
        <f t="shared" si="2"/>
        <v>x</v>
      </c>
      <c r="S134" s="1" t="str">
        <f t="shared" si="3"/>
        <v>x</v>
      </c>
      <c r="T134" s="1" t="str">
        <f t="shared" si="4"/>
        <v>OK</v>
      </c>
    </row>
    <row r="135" ht="15.75" customHeight="1">
      <c r="A135" s="1" t="s">
        <v>438</v>
      </c>
      <c r="B135" s="1">
        <v>1.1138884E7</v>
      </c>
      <c r="C135" s="1" t="s">
        <v>21</v>
      </c>
      <c r="D135" s="1" t="s">
        <v>22</v>
      </c>
      <c r="E135" s="1" t="s">
        <v>52</v>
      </c>
      <c r="F135" s="1" t="s">
        <v>439</v>
      </c>
      <c r="G135" s="1" t="s">
        <v>25</v>
      </c>
      <c r="H135" s="1">
        <v>12.0</v>
      </c>
      <c r="I135" s="1">
        <v>0.0</v>
      </c>
      <c r="J135" s="1">
        <v>0.0</v>
      </c>
      <c r="K135" s="1">
        <v>12.0</v>
      </c>
      <c r="L135" s="1">
        <v>1013.28</v>
      </c>
      <c r="M135" s="1">
        <v>12159.36</v>
      </c>
      <c r="N135" s="1" t="s">
        <v>21</v>
      </c>
      <c r="O135" s="1">
        <v>0.0</v>
      </c>
      <c r="P135" s="1" t="s">
        <v>440</v>
      </c>
      <c r="Q135" s="1" t="str">
        <f t="shared" si="1"/>
        <v>x</v>
      </c>
      <c r="R135" s="1" t="str">
        <f t="shared" si="2"/>
        <v>x</v>
      </c>
      <c r="S135" s="1" t="str">
        <f t="shared" si="3"/>
        <v>x</v>
      </c>
      <c r="T135" s="1" t="str">
        <f t="shared" si="4"/>
        <v>OK</v>
      </c>
    </row>
    <row r="136" ht="15.75" customHeight="1">
      <c r="A136" s="1" t="s">
        <v>441</v>
      </c>
      <c r="B136" s="1">
        <v>1.110783E7</v>
      </c>
      <c r="C136" s="1" t="s">
        <v>21</v>
      </c>
      <c r="D136" s="1" t="s">
        <v>22</v>
      </c>
      <c r="E136" s="1" t="s">
        <v>52</v>
      </c>
      <c r="F136" s="1" t="s">
        <v>442</v>
      </c>
      <c r="G136" s="1" t="s">
        <v>25</v>
      </c>
      <c r="H136" s="1">
        <v>6.0</v>
      </c>
      <c r="I136" s="1">
        <v>0.0</v>
      </c>
      <c r="J136" s="1">
        <v>0.0</v>
      </c>
      <c r="K136" s="1">
        <v>6.0</v>
      </c>
      <c r="L136" s="1">
        <v>2022.65</v>
      </c>
      <c r="M136" s="1">
        <v>12135.9</v>
      </c>
      <c r="N136" s="1" t="s">
        <v>21</v>
      </c>
      <c r="O136" s="1">
        <v>0.0</v>
      </c>
      <c r="P136" s="1" t="s">
        <v>443</v>
      </c>
      <c r="Q136" s="1" t="str">
        <f t="shared" si="1"/>
        <v>x</v>
      </c>
      <c r="R136" s="1" t="str">
        <f t="shared" si="2"/>
        <v>x</v>
      </c>
      <c r="S136" s="1" t="str">
        <f t="shared" si="3"/>
        <v>x</v>
      </c>
      <c r="T136" s="1" t="str">
        <f t="shared" si="4"/>
        <v>OK</v>
      </c>
    </row>
    <row r="137" ht="15.75" customHeight="1">
      <c r="A137" s="1" t="s">
        <v>444</v>
      </c>
      <c r="B137" s="1" t="s">
        <v>445</v>
      </c>
      <c r="C137" s="1" t="s">
        <v>21</v>
      </c>
      <c r="D137" s="1" t="s">
        <v>22</v>
      </c>
      <c r="E137" s="1" t="s">
        <v>52</v>
      </c>
      <c r="F137" s="1" t="s">
        <v>446</v>
      </c>
      <c r="G137" s="1" t="s">
        <v>25</v>
      </c>
      <c r="H137" s="1">
        <v>10.0</v>
      </c>
      <c r="I137" s="1">
        <v>0.0</v>
      </c>
      <c r="J137" s="1">
        <v>0.0</v>
      </c>
      <c r="K137" s="1">
        <v>10.0</v>
      </c>
      <c r="L137" s="1">
        <v>1212.66</v>
      </c>
      <c r="M137" s="1">
        <v>12126.6</v>
      </c>
      <c r="N137" s="1" t="s">
        <v>21</v>
      </c>
      <c r="O137" s="1">
        <v>0.0</v>
      </c>
      <c r="P137" s="1" t="s">
        <v>447</v>
      </c>
      <c r="Q137" s="1" t="str">
        <f t="shared" si="1"/>
        <v>x</v>
      </c>
      <c r="R137" s="1" t="str">
        <f t="shared" si="2"/>
        <v>x</v>
      </c>
      <c r="S137" s="1" t="str">
        <f t="shared" si="3"/>
        <v>x</v>
      </c>
      <c r="T137" s="1" t="str">
        <f t="shared" si="4"/>
        <v>OK</v>
      </c>
    </row>
    <row r="138" ht="15.75" customHeight="1">
      <c r="A138" s="1" t="s">
        <v>448</v>
      </c>
      <c r="B138" s="1">
        <v>1.143034E7</v>
      </c>
      <c r="C138" s="1" t="s">
        <v>21</v>
      </c>
      <c r="D138" s="1" t="s">
        <v>22</v>
      </c>
      <c r="E138" s="1" t="s">
        <v>449</v>
      </c>
      <c r="F138" s="1" t="s">
        <v>450</v>
      </c>
      <c r="G138" s="1" t="s">
        <v>25</v>
      </c>
      <c r="H138" s="1">
        <v>118.0</v>
      </c>
      <c r="I138" s="1">
        <v>12.0</v>
      </c>
      <c r="J138" s="1">
        <v>40.0</v>
      </c>
      <c r="K138" s="1">
        <v>170.0</v>
      </c>
      <c r="L138" s="1">
        <v>70.99</v>
      </c>
      <c r="M138" s="1">
        <v>12068.3</v>
      </c>
      <c r="N138" s="1" t="s">
        <v>451</v>
      </c>
      <c r="O138" s="1" t="s">
        <v>16</v>
      </c>
      <c r="P138" s="1" t="s">
        <v>452</v>
      </c>
      <c r="Q138" s="1" t="str">
        <f t="shared" si="1"/>
        <v>x</v>
      </c>
      <c r="R138" s="1" t="str">
        <f t="shared" si="2"/>
        <v>x</v>
      </c>
      <c r="S138" s="1" t="str">
        <f t="shared" si="3"/>
        <v>x</v>
      </c>
      <c r="T138" s="1" t="str">
        <f t="shared" si="4"/>
        <v>OK</v>
      </c>
    </row>
    <row r="139" ht="15.75" customHeight="1">
      <c r="A139" s="1" t="s">
        <v>453</v>
      </c>
      <c r="B139" s="1">
        <v>1.0465474E7</v>
      </c>
      <c r="C139" s="1" t="s">
        <v>21</v>
      </c>
      <c r="D139" s="1" t="s">
        <v>22</v>
      </c>
      <c r="E139" s="1" t="s">
        <v>23</v>
      </c>
      <c r="F139" s="1" t="s">
        <v>454</v>
      </c>
      <c r="G139" s="1" t="s">
        <v>25</v>
      </c>
      <c r="H139" s="1">
        <v>19.0</v>
      </c>
      <c r="I139" s="1">
        <v>1.0</v>
      </c>
      <c r="J139" s="1">
        <v>1.0</v>
      </c>
      <c r="K139" s="1">
        <v>21.0</v>
      </c>
      <c r="L139" s="1">
        <v>571.27</v>
      </c>
      <c r="M139" s="1">
        <v>11996.67</v>
      </c>
      <c r="N139" s="1" t="s">
        <v>21</v>
      </c>
      <c r="O139" s="1">
        <v>0.0</v>
      </c>
      <c r="P139" s="1" t="s">
        <v>455</v>
      </c>
      <c r="Q139" s="1" t="str">
        <f t="shared" si="1"/>
        <v>x</v>
      </c>
      <c r="R139" s="1" t="str">
        <f t="shared" si="2"/>
        <v>x</v>
      </c>
      <c r="S139" s="1" t="str">
        <f t="shared" si="3"/>
        <v>x</v>
      </c>
      <c r="T139" s="1" t="str">
        <f t="shared" si="4"/>
        <v>OK</v>
      </c>
    </row>
    <row r="140" ht="15.75" customHeight="1">
      <c r="A140" s="1" t="s">
        <v>456</v>
      </c>
      <c r="B140" s="1" t="s">
        <v>457</v>
      </c>
      <c r="C140" s="1" t="s">
        <v>21</v>
      </c>
      <c r="D140" s="1" t="s">
        <v>22</v>
      </c>
      <c r="E140" s="1" t="s">
        <v>23</v>
      </c>
      <c r="F140" s="1" t="s">
        <v>458</v>
      </c>
      <c r="G140" s="1" t="s">
        <v>25</v>
      </c>
      <c r="H140" s="1">
        <v>10.0</v>
      </c>
      <c r="I140" s="1">
        <v>0.0</v>
      </c>
      <c r="J140" s="1">
        <v>10.0</v>
      </c>
      <c r="K140" s="1">
        <v>20.0</v>
      </c>
      <c r="L140" s="1">
        <v>597.0</v>
      </c>
      <c r="M140" s="1">
        <v>11940.0</v>
      </c>
      <c r="N140" s="1" t="s">
        <v>21</v>
      </c>
      <c r="O140" s="1">
        <v>0.0</v>
      </c>
      <c r="P140" s="1" t="s">
        <v>459</v>
      </c>
      <c r="Q140" s="1" t="str">
        <f t="shared" si="1"/>
        <v>x</v>
      </c>
      <c r="R140" s="1" t="str">
        <f t="shared" si="2"/>
        <v>x</v>
      </c>
      <c r="S140" s="1" t="str">
        <f t="shared" si="3"/>
        <v>x</v>
      </c>
      <c r="T140" s="1" t="str">
        <f t="shared" si="4"/>
        <v>OK</v>
      </c>
    </row>
    <row r="141" ht="15.75" customHeight="1">
      <c r="A141" s="1" t="s">
        <v>460</v>
      </c>
      <c r="B141" s="1" t="s">
        <v>60</v>
      </c>
      <c r="C141" s="1" t="s">
        <v>21</v>
      </c>
      <c r="D141" s="1" t="s">
        <v>22</v>
      </c>
      <c r="E141" s="1" t="s">
        <v>61</v>
      </c>
      <c r="F141" s="1" t="s">
        <v>62</v>
      </c>
      <c r="G141" s="1" t="s">
        <v>25</v>
      </c>
      <c r="H141" s="1">
        <v>0.0</v>
      </c>
      <c r="I141" s="1">
        <v>4.0</v>
      </c>
      <c r="J141" s="1">
        <v>0.0</v>
      </c>
      <c r="K141" s="1">
        <v>4.0</v>
      </c>
      <c r="L141" s="1">
        <v>2937.98</v>
      </c>
      <c r="M141" s="1">
        <v>11751.92</v>
      </c>
      <c r="N141" s="1" t="s">
        <v>21</v>
      </c>
      <c r="O141" s="1">
        <v>0.0</v>
      </c>
      <c r="P141" s="1" t="s">
        <v>461</v>
      </c>
      <c r="Q141" s="1" t="str">
        <f t="shared" si="1"/>
        <v>x</v>
      </c>
      <c r="R141" s="1" t="str">
        <f t="shared" si="2"/>
        <v>x</v>
      </c>
      <c r="S141" s="1" t="str">
        <f t="shared" si="3"/>
        <v>x</v>
      </c>
      <c r="T141" s="1" t="str">
        <f t="shared" si="4"/>
        <v>OK</v>
      </c>
    </row>
    <row r="142" ht="15.75" customHeight="1">
      <c r="A142" s="1" t="s">
        <v>462</v>
      </c>
      <c r="B142" s="1">
        <v>1.0745857E7</v>
      </c>
      <c r="C142" s="1" t="s">
        <v>21</v>
      </c>
      <c r="D142" s="1" t="s">
        <v>22</v>
      </c>
      <c r="E142" s="1" t="s">
        <v>150</v>
      </c>
      <c r="F142" s="1" t="s">
        <v>463</v>
      </c>
      <c r="G142" s="1" t="s">
        <v>25</v>
      </c>
      <c r="H142" s="1">
        <v>80.0</v>
      </c>
      <c r="I142" s="1">
        <v>30.0</v>
      </c>
      <c r="J142" s="1">
        <v>0.0</v>
      </c>
      <c r="K142" s="1">
        <v>110.0</v>
      </c>
      <c r="L142" s="1">
        <v>102.95</v>
      </c>
      <c r="M142" s="1">
        <v>11324.5</v>
      </c>
      <c r="N142" s="1" t="s">
        <v>21</v>
      </c>
      <c r="O142" s="1">
        <v>0.0</v>
      </c>
      <c r="P142" s="1" t="s">
        <v>464</v>
      </c>
      <c r="Q142" s="1" t="str">
        <f t="shared" si="1"/>
        <v>x</v>
      </c>
      <c r="R142" s="1" t="str">
        <f t="shared" si="2"/>
        <v>x</v>
      </c>
      <c r="S142" s="1" t="str">
        <f t="shared" si="3"/>
        <v>x</v>
      </c>
      <c r="T142" s="1" t="str">
        <f t="shared" si="4"/>
        <v>OK</v>
      </c>
    </row>
    <row r="143" ht="15.75" customHeight="1">
      <c r="A143" s="1" t="s">
        <v>465</v>
      </c>
      <c r="B143" s="1">
        <v>1.0894128E7</v>
      </c>
      <c r="C143" s="1" t="s">
        <v>21</v>
      </c>
      <c r="D143" s="1" t="s">
        <v>22</v>
      </c>
      <c r="E143" s="1" t="s">
        <v>23</v>
      </c>
      <c r="F143" s="1" t="s">
        <v>466</v>
      </c>
      <c r="G143" s="1" t="s">
        <v>25</v>
      </c>
      <c r="H143" s="1">
        <v>21.0</v>
      </c>
      <c r="I143" s="1">
        <v>0.0</v>
      </c>
      <c r="J143" s="1">
        <v>0.0</v>
      </c>
      <c r="K143" s="1">
        <v>21.0</v>
      </c>
      <c r="L143" s="1">
        <v>532.66</v>
      </c>
      <c r="M143" s="1">
        <v>11185.86</v>
      </c>
      <c r="N143" s="1" t="s">
        <v>21</v>
      </c>
      <c r="O143" s="1">
        <v>0.0</v>
      </c>
      <c r="P143" s="1" t="s">
        <v>467</v>
      </c>
      <c r="Q143" s="1" t="str">
        <f t="shared" si="1"/>
        <v>x</v>
      </c>
      <c r="R143" s="1" t="str">
        <f t="shared" si="2"/>
        <v>x</v>
      </c>
      <c r="S143" s="1" t="str">
        <f t="shared" si="3"/>
        <v>x</v>
      </c>
      <c r="T143" s="1" t="str">
        <f t="shared" si="4"/>
        <v>OK</v>
      </c>
    </row>
    <row r="144" ht="15.75" customHeight="1">
      <c r="A144" s="1" t="s">
        <v>468</v>
      </c>
      <c r="B144" s="1">
        <v>1.0247398E7</v>
      </c>
      <c r="C144" s="1" t="s">
        <v>21</v>
      </c>
      <c r="D144" s="1" t="s">
        <v>22</v>
      </c>
      <c r="E144" s="1" t="s">
        <v>256</v>
      </c>
      <c r="F144" s="1" t="s">
        <v>469</v>
      </c>
      <c r="G144" s="1" t="s">
        <v>25</v>
      </c>
      <c r="H144" s="1">
        <v>2333.0</v>
      </c>
      <c r="I144" s="1">
        <v>5658.0</v>
      </c>
      <c r="J144" s="1">
        <v>5658.0</v>
      </c>
      <c r="K144" s="1">
        <v>13649.0</v>
      </c>
      <c r="L144" s="1">
        <v>0.81</v>
      </c>
      <c r="M144" s="1">
        <v>11055.69</v>
      </c>
      <c r="N144" s="1" t="s">
        <v>21</v>
      </c>
      <c r="O144" s="1">
        <v>0.0</v>
      </c>
      <c r="P144" s="1" t="s">
        <v>470</v>
      </c>
      <c r="Q144" s="1" t="str">
        <f t="shared" si="1"/>
        <v>x</v>
      </c>
      <c r="R144" s="1" t="str">
        <f t="shared" si="2"/>
        <v>x</v>
      </c>
      <c r="S144" s="1" t="str">
        <f t="shared" si="3"/>
        <v>x</v>
      </c>
      <c r="T144" s="1" t="str">
        <f t="shared" si="4"/>
        <v>OK</v>
      </c>
    </row>
    <row r="145" ht="15.75" customHeight="1">
      <c r="A145" s="1" t="s">
        <v>471</v>
      </c>
      <c r="B145" s="1">
        <v>1.0456209E7</v>
      </c>
      <c r="C145" s="1" t="s">
        <v>21</v>
      </c>
      <c r="D145" s="1" t="s">
        <v>22</v>
      </c>
      <c r="E145" s="1" t="s">
        <v>227</v>
      </c>
      <c r="F145" s="1" t="s">
        <v>228</v>
      </c>
      <c r="G145" s="1" t="s">
        <v>25</v>
      </c>
      <c r="H145" s="1">
        <v>107.0</v>
      </c>
      <c r="I145" s="1">
        <v>86.0</v>
      </c>
      <c r="J145" s="1">
        <v>86.0</v>
      </c>
      <c r="K145" s="1">
        <v>279.0</v>
      </c>
      <c r="L145" s="1">
        <v>38.57</v>
      </c>
      <c r="M145" s="1">
        <v>10761.03</v>
      </c>
      <c r="N145" s="1" t="s">
        <v>21</v>
      </c>
      <c r="O145" s="1">
        <v>0.0</v>
      </c>
      <c r="P145" s="1" t="s">
        <v>472</v>
      </c>
      <c r="Q145" s="1" t="str">
        <f t="shared" si="1"/>
        <v>x</v>
      </c>
      <c r="R145" s="1" t="str">
        <f t="shared" si="2"/>
        <v>x</v>
      </c>
      <c r="S145" s="1" t="str">
        <f t="shared" si="3"/>
        <v>x</v>
      </c>
      <c r="T145" s="1" t="str">
        <f t="shared" si="4"/>
        <v>OK</v>
      </c>
    </row>
    <row r="146" ht="15.75" customHeight="1">
      <c r="A146" s="1" t="s">
        <v>473</v>
      </c>
      <c r="B146" s="1">
        <v>1.0363851E7</v>
      </c>
      <c r="C146" s="1" t="s">
        <v>21</v>
      </c>
      <c r="D146" s="1" t="s">
        <v>22</v>
      </c>
      <c r="E146" s="1" t="s">
        <v>52</v>
      </c>
      <c r="F146" s="1" t="s">
        <v>474</v>
      </c>
      <c r="G146" s="1" t="s">
        <v>25</v>
      </c>
      <c r="H146" s="1">
        <v>5.0</v>
      </c>
      <c r="I146" s="1">
        <v>0.0</v>
      </c>
      <c r="J146" s="1">
        <v>9.0</v>
      </c>
      <c r="K146" s="1">
        <v>14.0</v>
      </c>
      <c r="L146" s="1">
        <v>754.93</v>
      </c>
      <c r="M146" s="1">
        <v>10569.02</v>
      </c>
      <c r="N146" s="1" t="s">
        <v>21</v>
      </c>
      <c r="O146" s="1">
        <v>0.0</v>
      </c>
      <c r="P146" s="1" t="s">
        <v>475</v>
      </c>
      <c r="Q146" s="1" t="str">
        <f t="shared" si="1"/>
        <v>x</v>
      </c>
      <c r="R146" s="1" t="str">
        <f t="shared" si="2"/>
        <v>x</v>
      </c>
      <c r="S146" s="1" t="str">
        <f t="shared" si="3"/>
        <v>x</v>
      </c>
      <c r="T146" s="1" t="str">
        <f t="shared" si="4"/>
        <v>OK</v>
      </c>
    </row>
    <row r="147" ht="15.75" customHeight="1">
      <c r="A147" s="1" t="s">
        <v>476</v>
      </c>
      <c r="B147" s="1">
        <v>1.1416549E7</v>
      </c>
      <c r="C147" s="1" t="s">
        <v>21</v>
      </c>
      <c r="D147" s="1" t="s">
        <v>22</v>
      </c>
      <c r="E147" s="1" t="s">
        <v>23</v>
      </c>
      <c r="F147" s="1" t="s">
        <v>477</v>
      </c>
      <c r="G147" s="1" t="s">
        <v>25</v>
      </c>
      <c r="H147" s="1">
        <v>63.0</v>
      </c>
      <c r="I147" s="1">
        <v>0.0</v>
      </c>
      <c r="J147" s="1">
        <v>0.0</v>
      </c>
      <c r="K147" s="1">
        <v>63.0</v>
      </c>
      <c r="L147" s="1">
        <v>166.75</v>
      </c>
      <c r="M147" s="1">
        <v>10505.25</v>
      </c>
      <c r="N147" s="1" t="s">
        <v>21</v>
      </c>
      <c r="O147" s="1">
        <v>0.0</v>
      </c>
      <c r="P147" s="1" t="s">
        <v>478</v>
      </c>
      <c r="Q147" s="1" t="str">
        <f t="shared" si="1"/>
        <v>x</v>
      </c>
      <c r="R147" s="1" t="str">
        <f t="shared" si="2"/>
        <v>x</v>
      </c>
      <c r="S147" s="1" t="str">
        <f t="shared" si="3"/>
        <v>x</v>
      </c>
      <c r="T147" s="1" t="str">
        <f t="shared" si="4"/>
        <v>OK</v>
      </c>
    </row>
    <row r="148" ht="15.75" customHeight="1">
      <c r="A148" s="1" t="s">
        <v>479</v>
      </c>
      <c r="B148" s="1">
        <v>1.0274056E7</v>
      </c>
      <c r="C148" s="1" t="s">
        <v>21</v>
      </c>
      <c r="D148" s="1" t="s">
        <v>22</v>
      </c>
      <c r="E148" s="1" t="s">
        <v>195</v>
      </c>
      <c r="F148" s="1" t="s">
        <v>480</v>
      </c>
      <c r="G148" s="1" t="s">
        <v>25</v>
      </c>
      <c r="H148" s="1">
        <v>170.0</v>
      </c>
      <c r="I148" s="1">
        <v>246.0</v>
      </c>
      <c r="J148" s="1">
        <v>246.0</v>
      </c>
      <c r="K148" s="1">
        <v>662.0</v>
      </c>
      <c r="L148" s="1">
        <v>15.65</v>
      </c>
      <c r="M148" s="1">
        <v>10360.3</v>
      </c>
      <c r="N148" s="1" t="s">
        <v>21</v>
      </c>
      <c r="O148" s="1">
        <v>0.0</v>
      </c>
      <c r="P148" s="1" t="s">
        <v>481</v>
      </c>
      <c r="Q148" s="1" t="str">
        <f t="shared" si="1"/>
        <v>x</v>
      </c>
      <c r="R148" s="1" t="str">
        <f t="shared" si="2"/>
        <v>x</v>
      </c>
      <c r="S148" s="1" t="str">
        <f t="shared" si="3"/>
        <v>x</v>
      </c>
      <c r="T148" s="1" t="str">
        <f t="shared" si="4"/>
        <v>OK</v>
      </c>
    </row>
    <row r="149" ht="15.75" customHeight="1">
      <c r="A149" s="1" t="s">
        <v>482</v>
      </c>
      <c r="B149" s="1">
        <v>1.0681429E7</v>
      </c>
      <c r="C149" s="1" t="s">
        <v>21</v>
      </c>
      <c r="D149" s="1" t="s">
        <v>22</v>
      </c>
      <c r="E149" s="1" t="s">
        <v>52</v>
      </c>
      <c r="F149" s="1" t="s">
        <v>483</v>
      </c>
      <c r="G149" s="1" t="s">
        <v>25</v>
      </c>
      <c r="H149" s="1">
        <v>6.0</v>
      </c>
      <c r="I149" s="1">
        <v>0.0</v>
      </c>
      <c r="J149" s="1">
        <v>0.0</v>
      </c>
      <c r="K149" s="1">
        <v>6.0</v>
      </c>
      <c r="L149" s="1">
        <v>1677.65</v>
      </c>
      <c r="M149" s="1">
        <v>10065.9</v>
      </c>
      <c r="N149" s="1" t="s">
        <v>21</v>
      </c>
      <c r="O149" s="1">
        <v>0.0</v>
      </c>
      <c r="P149" s="1" t="s">
        <v>484</v>
      </c>
      <c r="Q149" s="1" t="str">
        <f t="shared" si="1"/>
        <v>x</v>
      </c>
      <c r="R149" s="1" t="str">
        <f t="shared" si="2"/>
        <v>x</v>
      </c>
      <c r="S149" s="1" t="str">
        <f t="shared" si="3"/>
        <v>x</v>
      </c>
      <c r="T149" s="1" t="str">
        <f t="shared" si="4"/>
        <v>OK</v>
      </c>
    </row>
    <row r="150" ht="15.75" customHeight="1">
      <c r="A150" s="1" t="s">
        <v>485</v>
      </c>
      <c r="B150" s="1">
        <v>1.0505294E7</v>
      </c>
      <c r="C150" s="1" t="s">
        <v>21</v>
      </c>
      <c r="D150" s="1" t="s">
        <v>22</v>
      </c>
      <c r="E150" s="1" t="s">
        <v>23</v>
      </c>
      <c r="F150" s="1" t="s">
        <v>486</v>
      </c>
      <c r="G150" s="1" t="s">
        <v>25</v>
      </c>
      <c r="H150" s="1">
        <v>19.0</v>
      </c>
      <c r="I150" s="1">
        <v>0.0</v>
      </c>
      <c r="J150" s="1">
        <v>17.0</v>
      </c>
      <c r="K150" s="1">
        <v>36.0</v>
      </c>
      <c r="L150" s="1">
        <v>279.15</v>
      </c>
      <c r="M150" s="1">
        <v>10049.4</v>
      </c>
      <c r="N150" s="1" t="s">
        <v>21</v>
      </c>
      <c r="O150" s="1">
        <v>0.0</v>
      </c>
      <c r="P150" s="1" t="s">
        <v>487</v>
      </c>
      <c r="Q150" s="1" t="str">
        <f t="shared" si="1"/>
        <v>x</v>
      </c>
      <c r="R150" s="1" t="str">
        <f t="shared" si="2"/>
        <v>x</v>
      </c>
      <c r="S150" s="1" t="str">
        <f t="shared" si="3"/>
        <v>x</v>
      </c>
      <c r="T150" s="1" t="str">
        <f t="shared" si="4"/>
        <v>OK</v>
      </c>
    </row>
    <row r="151" ht="15.75" customHeight="1">
      <c r="A151" s="1" t="s">
        <v>488</v>
      </c>
      <c r="B151" s="1">
        <v>1.0531093E7</v>
      </c>
      <c r="C151" s="1" t="s">
        <v>21</v>
      </c>
      <c r="D151" s="1" t="s">
        <v>22</v>
      </c>
      <c r="E151" s="1" t="s">
        <v>36</v>
      </c>
      <c r="F151" s="1" t="s">
        <v>489</v>
      </c>
      <c r="G151" s="1" t="s">
        <v>25</v>
      </c>
      <c r="H151" s="1">
        <v>118.0</v>
      </c>
      <c r="I151" s="1">
        <v>12.0</v>
      </c>
      <c r="J151" s="1">
        <v>40.0</v>
      </c>
      <c r="K151" s="1">
        <v>170.0</v>
      </c>
      <c r="L151" s="1">
        <v>58.61</v>
      </c>
      <c r="M151" s="1">
        <v>9963.7</v>
      </c>
      <c r="N151" s="1" t="s">
        <v>21</v>
      </c>
      <c r="O151" s="1">
        <v>0.0</v>
      </c>
      <c r="P151" s="1" t="s">
        <v>490</v>
      </c>
      <c r="Q151" s="1" t="str">
        <f t="shared" si="1"/>
        <v>x</v>
      </c>
      <c r="R151" s="1" t="str">
        <f t="shared" si="2"/>
        <v>x</v>
      </c>
      <c r="S151" s="1" t="str">
        <f t="shared" si="3"/>
        <v>x</v>
      </c>
      <c r="T151" s="1" t="str">
        <f t="shared" si="4"/>
        <v>OK</v>
      </c>
    </row>
    <row r="152" ht="15.75" customHeight="1">
      <c r="A152" s="1" t="s">
        <v>491</v>
      </c>
      <c r="B152" s="1">
        <v>1.070966E7</v>
      </c>
      <c r="C152" s="1" t="s">
        <v>21</v>
      </c>
      <c r="D152" s="1" t="s">
        <v>22</v>
      </c>
      <c r="E152" s="1" t="s">
        <v>140</v>
      </c>
      <c r="F152" s="1" t="s">
        <v>492</v>
      </c>
      <c r="G152" s="1" t="s">
        <v>25</v>
      </c>
      <c r="H152" s="1">
        <v>124.0</v>
      </c>
      <c r="I152" s="1">
        <v>39.0</v>
      </c>
      <c r="J152" s="1">
        <v>39.0</v>
      </c>
      <c r="K152" s="1">
        <v>202.0</v>
      </c>
      <c r="L152" s="1">
        <v>49.22</v>
      </c>
      <c r="M152" s="1">
        <v>9942.44</v>
      </c>
      <c r="N152" s="1" t="s">
        <v>21</v>
      </c>
      <c r="O152" s="1">
        <v>0.0</v>
      </c>
      <c r="P152" s="1" t="s">
        <v>493</v>
      </c>
      <c r="Q152" s="1" t="str">
        <f t="shared" si="1"/>
        <v>x</v>
      </c>
      <c r="R152" s="1" t="str">
        <f t="shared" si="2"/>
        <v>x</v>
      </c>
      <c r="S152" s="1" t="str">
        <f t="shared" si="3"/>
        <v>x</v>
      </c>
      <c r="T152" s="1" t="str">
        <f t="shared" si="4"/>
        <v>OK</v>
      </c>
    </row>
    <row r="153" ht="15.75" customHeight="1">
      <c r="A153" s="1" t="s">
        <v>494</v>
      </c>
      <c r="B153" s="1">
        <v>1.0690825E7</v>
      </c>
      <c r="C153" s="1" t="s">
        <v>21</v>
      </c>
      <c r="D153" s="1" t="s">
        <v>22</v>
      </c>
      <c r="E153" s="1" t="s">
        <v>46</v>
      </c>
      <c r="F153" s="1" t="s">
        <v>495</v>
      </c>
      <c r="G153" s="1" t="s">
        <v>25</v>
      </c>
      <c r="H153" s="1">
        <v>1.0</v>
      </c>
      <c r="I153" s="1">
        <v>0.0</v>
      </c>
      <c r="J153" s="1">
        <v>0.0</v>
      </c>
      <c r="K153" s="1">
        <v>1.0</v>
      </c>
      <c r="L153" s="1">
        <v>9772.08</v>
      </c>
      <c r="M153" s="1">
        <v>9772.08</v>
      </c>
      <c r="N153" s="1" t="s">
        <v>21</v>
      </c>
      <c r="O153" s="1">
        <v>0.0</v>
      </c>
      <c r="P153" s="1" t="s">
        <v>496</v>
      </c>
      <c r="Q153" s="1" t="str">
        <f t="shared" si="1"/>
        <v>x</v>
      </c>
      <c r="R153" s="1" t="str">
        <f t="shared" si="2"/>
        <v>x</v>
      </c>
      <c r="S153" s="1" t="str">
        <f t="shared" si="3"/>
        <v>x</v>
      </c>
      <c r="T153" s="1" t="str">
        <f t="shared" si="4"/>
        <v>OK</v>
      </c>
    </row>
    <row r="154" ht="15.75" customHeight="1">
      <c r="A154" s="1" t="s">
        <v>497</v>
      </c>
      <c r="B154" s="1">
        <v>1.0873363E7</v>
      </c>
      <c r="C154" s="1" t="s">
        <v>21</v>
      </c>
      <c r="D154" s="1" t="s">
        <v>22</v>
      </c>
      <c r="E154" s="1" t="s">
        <v>23</v>
      </c>
      <c r="F154" s="1" t="s">
        <v>289</v>
      </c>
      <c r="G154" s="1" t="s">
        <v>25</v>
      </c>
      <c r="H154" s="1">
        <v>20.0</v>
      </c>
      <c r="I154" s="1">
        <v>0.0</v>
      </c>
      <c r="J154" s="1">
        <v>0.0</v>
      </c>
      <c r="K154" s="1">
        <v>20.0</v>
      </c>
      <c r="L154" s="1">
        <v>485.51</v>
      </c>
      <c r="M154" s="1">
        <v>9710.2</v>
      </c>
      <c r="N154" s="1" t="s">
        <v>21</v>
      </c>
      <c r="O154" s="1">
        <v>0.0</v>
      </c>
      <c r="P154" s="1" t="s">
        <v>498</v>
      </c>
      <c r="Q154" s="1" t="str">
        <f t="shared" si="1"/>
        <v>x</v>
      </c>
      <c r="R154" s="1" t="str">
        <f t="shared" si="2"/>
        <v>x</v>
      </c>
      <c r="S154" s="1" t="str">
        <f t="shared" si="3"/>
        <v>x</v>
      </c>
      <c r="T154" s="1" t="str">
        <f t="shared" si="4"/>
        <v>OK</v>
      </c>
    </row>
    <row r="155" ht="15.75" customHeight="1">
      <c r="A155" s="1" t="s">
        <v>499</v>
      </c>
      <c r="B155" s="1">
        <v>1.0871377E7</v>
      </c>
      <c r="C155" s="1" t="s">
        <v>21</v>
      </c>
      <c r="D155" s="1" t="s">
        <v>22</v>
      </c>
      <c r="E155" s="1" t="s">
        <v>129</v>
      </c>
      <c r="F155" s="1" t="s">
        <v>423</v>
      </c>
      <c r="G155" s="1" t="s">
        <v>25</v>
      </c>
      <c r="H155" s="1">
        <v>123.0</v>
      </c>
      <c r="I155" s="1">
        <v>123.0</v>
      </c>
      <c r="J155" s="1">
        <v>123.0</v>
      </c>
      <c r="K155" s="1">
        <v>369.0</v>
      </c>
      <c r="L155" s="1">
        <v>26.07</v>
      </c>
      <c r="M155" s="1">
        <v>9619.83</v>
      </c>
      <c r="N155" s="1" t="s">
        <v>21</v>
      </c>
      <c r="O155" s="1">
        <v>0.0</v>
      </c>
      <c r="P155" s="1" t="s">
        <v>500</v>
      </c>
      <c r="Q155" s="1" t="str">
        <f t="shared" si="1"/>
        <v>x</v>
      </c>
      <c r="R155" s="1" t="str">
        <f t="shared" si="2"/>
        <v>x</v>
      </c>
      <c r="S155" s="1" t="str">
        <f t="shared" si="3"/>
        <v>x</v>
      </c>
      <c r="T155" s="1" t="str">
        <f t="shared" si="4"/>
        <v>OK</v>
      </c>
    </row>
    <row r="156" ht="15.75" customHeight="1">
      <c r="A156" s="1" t="s">
        <v>501</v>
      </c>
      <c r="B156" s="1">
        <v>1.0186109E7</v>
      </c>
      <c r="C156" s="1" t="s">
        <v>21</v>
      </c>
      <c r="D156" s="1" t="s">
        <v>22</v>
      </c>
      <c r="E156" s="1" t="s">
        <v>52</v>
      </c>
      <c r="F156" s="1" t="s">
        <v>350</v>
      </c>
      <c r="G156" s="1" t="s">
        <v>25</v>
      </c>
      <c r="H156" s="1">
        <v>12.0</v>
      </c>
      <c r="I156" s="1">
        <v>0.0</v>
      </c>
      <c r="J156" s="1">
        <v>0.0</v>
      </c>
      <c r="K156" s="1">
        <v>12.0</v>
      </c>
      <c r="L156" s="1">
        <v>784.35</v>
      </c>
      <c r="M156" s="1">
        <v>9412.2</v>
      </c>
      <c r="N156" s="1" t="s">
        <v>21</v>
      </c>
      <c r="O156" s="1">
        <v>0.0</v>
      </c>
      <c r="P156" s="1" t="s">
        <v>502</v>
      </c>
      <c r="Q156" s="1" t="str">
        <f t="shared" si="1"/>
        <v>x</v>
      </c>
      <c r="R156" s="1" t="str">
        <f t="shared" si="2"/>
        <v>x</v>
      </c>
      <c r="S156" s="1" t="str">
        <f t="shared" si="3"/>
        <v>x</v>
      </c>
      <c r="T156" s="1" t="str">
        <f t="shared" si="4"/>
        <v>OK</v>
      </c>
    </row>
    <row r="157" ht="15.75" customHeight="1">
      <c r="A157" s="1" t="s">
        <v>503</v>
      </c>
      <c r="B157" s="1">
        <v>1.0340528E7</v>
      </c>
      <c r="C157" s="1" t="s">
        <v>21</v>
      </c>
      <c r="D157" s="1" t="s">
        <v>22</v>
      </c>
      <c r="E157" s="1" t="s">
        <v>129</v>
      </c>
      <c r="F157" s="1" t="s">
        <v>504</v>
      </c>
      <c r="G157" s="1" t="s">
        <v>25</v>
      </c>
      <c r="H157" s="1">
        <v>0.0</v>
      </c>
      <c r="I157" s="1">
        <v>0.0</v>
      </c>
      <c r="J157" s="1">
        <v>264.0</v>
      </c>
      <c r="K157" s="1">
        <v>264.0</v>
      </c>
      <c r="L157" s="1">
        <v>35.53</v>
      </c>
      <c r="M157" s="1">
        <v>9379.92</v>
      </c>
      <c r="N157" s="1" t="s">
        <v>21</v>
      </c>
      <c r="O157" s="1">
        <v>0.0</v>
      </c>
      <c r="P157" s="1" t="s">
        <v>505</v>
      </c>
      <c r="Q157" s="1" t="str">
        <f t="shared" si="1"/>
        <v>x</v>
      </c>
      <c r="R157" s="1" t="str">
        <f t="shared" si="2"/>
        <v>x</v>
      </c>
      <c r="S157" s="1" t="str">
        <f t="shared" si="3"/>
        <v>x</v>
      </c>
      <c r="T157" s="1" t="str">
        <f t="shared" si="4"/>
        <v>OK</v>
      </c>
    </row>
    <row r="158" ht="15.75" customHeight="1">
      <c r="A158" s="1" t="s">
        <v>506</v>
      </c>
      <c r="B158" s="1">
        <v>1.0388513E7</v>
      </c>
      <c r="C158" s="1" t="s">
        <v>21</v>
      </c>
      <c r="D158" s="1" t="s">
        <v>22</v>
      </c>
      <c r="E158" s="1" t="s">
        <v>164</v>
      </c>
      <c r="F158" s="1" t="s">
        <v>507</v>
      </c>
      <c r="G158" s="1" t="s">
        <v>25</v>
      </c>
      <c r="H158" s="1">
        <v>0.0</v>
      </c>
      <c r="I158" s="1">
        <v>54.0</v>
      </c>
      <c r="J158" s="1">
        <v>54.0</v>
      </c>
      <c r="K158" s="1">
        <v>108.0</v>
      </c>
      <c r="L158" s="1">
        <v>86.76</v>
      </c>
      <c r="M158" s="1">
        <v>9370.08</v>
      </c>
      <c r="N158" s="1" t="s">
        <v>21</v>
      </c>
      <c r="O158" s="1" t="s">
        <v>26</v>
      </c>
      <c r="P158" s="1" t="s">
        <v>508</v>
      </c>
      <c r="Q158" s="1" t="str">
        <f t="shared" si="1"/>
        <v>x</v>
      </c>
      <c r="R158" s="1" t="str">
        <f t="shared" si="2"/>
        <v>x</v>
      </c>
      <c r="S158" s="1" t="str">
        <f t="shared" si="3"/>
        <v>x</v>
      </c>
      <c r="T158" s="1" t="str">
        <f t="shared" si="4"/>
        <v>OK</v>
      </c>
    </row>
    <row r="159" ht="15.75" customHeight="1">
      <c r="A159" s="1" t="s">
        <v>509</v>
      </c>
      <c r="B159" s="1">
        <v>1.1160476E7</v>
      </c>
      <c r="C159" s="1" t="s">
        <v>21</v>
      </c>
      <c r="D159" s="1" t="s">
        <v>22</v>
      </c>
      <c r="E159" s="1" t="s">
        <v>52</v>
      </c>
      <c r="F159" s="1" t="s">
        <v>510</v>
      </c>
      <c r="G159" s="1" t="s">
        <v>25</v>
      </c>
      <c r="H159" s="1">
        <v>7.0</v>
      </c>
      <c r="I159" s="1">
        <v>0.0</v>
      </c>
      <c r="J159" s="1">
        <v>0.0</v>
      </c>
      <c r="K159" s="1">
        <v>7.0</v>
      </c>
      <c r="L159" s="1">
        <v>1333.7</v>
      </c>
      <c r="M159" s="1">
        <v>9335.9</v>
      </c>
      <c r="N159" s="1" t="s">
        <v>21</v>
      </c>
      <c r="O159" s="1">
        <v>0.0</v>
      </c>
      <c r="P159" s="1" t="s">
        <v>511</v>
      </c>
      <c r="Q159" s="1" t="str">
        <f t="shared" si="1"/>
        <v>x</v>
      </c>
      <c r="R159" s="1" t="str">
        <f t="shared" si="2"/>
        <v>x</v>
      </c>
      <c r="S159" s="1" t="str">
        <f t="shared" si="3"/>
        <v>x</v>
      </c>
      <c r="T159" s="1" t="str">
        <f t="shared" si="4"/>
        <v>OK</v>
      </c>
    </row>
    <row r="160" ht="15.75" customHeight="1">
      <c r="A160" s="1" t="s">
        <v>512</v>
      </c>
      <c r="B160" s="1">
        <v>1.1304628E7</v>
      </c>
      <c r="C160" s="1" t="s">
        <v>21</v>
      </c>
      <c r="D160" s="1" t="s">
        <v>22</v>
      </c>
      <c r="E160" s="1" t="s">
        <v>513</v>
      </c>
      <c r="F160" s="1" t="s">
        <v>514</v>
      </c>
      <c r="G160" s="1" t="s">
        <v>25</v>
      </c>
      <c r="H160" s="1">
        <v>11880.0</v>
      </c>
      <c r="I160" s="1">
        <v>0.0</v>
      </c>
      <c r="J160" s="1">
        <v>520.0</v>
      </c>
      <c r="K160" s="1">
        <v>12400.0</v>
      </c>
      <c r="L160" s="1">
        <v>0.73</v>
      </c>
      <c r="M160" s="1">
        <v>9052.0</v>
      </c>
      <c r="N160" s="1" t="s">
        <v>21</v>
      </c>
      <c r="O160" s="1">
        <v>0.0</v>
      </c>
      <c r="P160" s="1" t="s">
        <v>515</v>
      </c>
      <c r="Q160" s="1" t="str">
        <f t="shared" si="1"/>
        <v>x</v>
      </c>
      <c r="R160" s="1" t="str">
        <f t="shared" si="2"/>
        <v>x</v>
      </c>
      <c r="S160" s="1" t="str">
        <f t="shared" si="3"/>
        <v>x</v>
      </c>
      <c r="T160" s="1" t="str">
        <f t="shared" si="4"/>
        <v>OK</v>
      </c>
    </row>
    <row r="161" ht="15.75" customHeight="1">
      <c r="A161" s="1" t="s">
        <v>516</v>
      </c>
      <c r="B161" s="1">
        <v>1.1545052E7</v>
      </c>
      <c r="C161" s="1">
        <v>1.1430192E7</v>
      </c>
      <c r="D161" s="1" t="s">
        <v>22</v>
      </c>
      <c r="E161" s="1" t="s">
        <v>52</v>
      </c>
      <c r="F161" s="1" t="s">
        <v>517</v>
      </c>
      <c r="G161" s="1" t="s">
        <v>25</v>
      </c>
      <c r="H161" s="1">
        <v>0.0</v>
      </c>
      <c r="I161" s="1">
        <v>6.0</v>
      </c>
      <c r="J161" s="1">
        <v>4.0</v>
      </c>
      <c r="K161" s="1">
        <v>10.0</v>
      </c>
      <c r="L161" s="1">
        <v>881.38</v>
      </c>
      <c r="M161" s="1">
        <v>8813.8</v>
      </c>
      <c r="N161" s="1" t="s">
        <v>21</v>
      </c>
      <c r="O161" s="1">
        <v>0.0</v>
      </c>
      <c r="P161" s="1" t="s">
        <v>518</v>
      </c>
      <c r="Q161" s="1" t="str">
        <f t="shared" si="1"/>
        <v>x</v>
      </c>
      <c r="R161" s="1" t="str">
        <f t="shared" si="2"/>
        <v>x</v>
      </c>
      <c r="S161" s="1" t="str">
        <f t="shared" si="3"/>
        <v>x</v>
      </c>
      <c r="T161" s="1" t="str">
        <f t="shared" si="4"/>
        <v>OK</v>
      </c>
    </row>
    <row r="162" ht="15.75" customHeight="1">
      <c r="A162" s="1" t="s">
        <v>519</v>
      </c>
      <c r="B162" s="1">
        <v>1.0397941E7</v>
      </c>
      <c r="C162" s="1" t="s">
        <v>21</v>
      </c>
      <c r="D162" s="1" t="s">
        <v>22</v>
      </c>
      <c r="E162" s="1" t="s">
        <v>23</v>
      </c>
      <c r="F162" s="1" t="s">
        <v>520</v>
      </c>
      <c r="G162" s="1" t="s">
        <v>25</v>
      </c>
      <c r="H162" s="1">
        <v>12.0</v>
      </c>
      <c r="I162" s="1">
        <v>1.0</v>
      </c>
      <c r="J162" s="1">
        <v>0.0</v>
      </c>
      <c r="K162" s="1">
        <v>13.0</v>
      </c>
      <c r="L162" s="1">
        <v>669.75</v>
      </c>
      <c r="M162" s="1">
        <v>8706.75</v>
      </c>
      <c r="N162" s="1" t="s">
        <v>21</v>
      </c>
      <c r="O162" s="1">
        <v>0.0</v>
      </c>
      <c r="P162" s="1" t="s">
        <v>521</v>
      </c>
      <c r="Q162" s="1" t="str">
        <f t="shared" si="1"/>
        <v>x</v>
      </c>
      <c r="R162" s="1" t="str">
        <f t="shared" si="2"/>
        <v>x</v>
      </c>
      <c r="S162" s="1" t="str">
        <f t="shared" si="3"/>
        <v>x</v>
      </c>
      <c r="T162" s="1" t="str">
        <f t="shared" si="4"/>
        <v>OK</v>
      </c>
    </row>
    <row r="163" ht="15.75" customHeight="1">
      <c r="A163" s="1" t="s">
        <v>522</v>
      </c>
      <c r="B163" s="1">
        <v>1.0531093E7</v>
      </c>
      <c r="C163" s="1" t="s">
        <v>21</v>
      </c>
      <c r="D163" s="1" t="s">
        <v>22</v>
      </c>
      <c r="E163" s="1" t="s">
        <v>36</v>
      </c>
      <c r="F163" s="1" t="s">
        <v>489</v>
      </c>
      <c r="G163" s="1" t="s">
        <v>25</v>
      </c>
      <c r="H163" s="1">
        <v>0.0</v>
      </c>
      <c r="I163" s="1">
        <v>74.0</v>
      </c>
      <c r="J163" s="1">
        <v>74.0</v>
      </c>
      <c r="K163" s="1">
        <v>148.0</v>
      </c>
      <c r="L163" s="1">
        <v>58.61</v>
      </c>
      <c r="M163" s="1">
        <v>8674.28</v>
      </c>
      <c r="N163" s="1" t="s">
        <v>21</v>
      </c>
      <c r="O163" s="1">
        <v>0.0</v>
      </c>
      <c r="P163" s="1" t="s">
        <v>523</v>
      </c>
      <c r="Q163" s="1" t="str">
        <f t="shared" si="1"/>
        <v>x</v>
      </c>
      <c r="R163" s="1" t="str">
        <f t="shared" si="2"/>
        <v>x</v>
      </c>
      <c r="S163" s="1" t="str">
        <f t="shared" si="3"/>
        <v>x</v>
      </c>
      <c r="T163" s="1" t="str">
        <f t="shared" si="4"/>
        <v>OK</v>
      </c>
    </row>
    <row r="164" ht="15.75" customHeight="1">
      <c r="A164" s="1" t="s">
        <v>524</v>
      </c>
      <c r="B164" s="1">
        <v>1.0293344E7</v>
      </c>
      <c r="C164" s="1" t="s">
        <v>21</v>
      </c>
      <c r="D164" s="1" t="s">
        <v>22</v>
      </c>
      <c r="E164" s="1" t="s">
        <v>140</v>
      </c>
      <c r="F164" s="1" t="s">
        <v>141</v>
      </c>
      <c r="G164" s="1" t="s">
        <v>25</v>
      </c>
      <c r="H164" s="1">
        <v>83.0</v>
      </c>
      <c r="I164" s="1">
        <v>48.0</v>
      </c>
      <c r="J164" s="1">
        <v>48.0</v>
      </c>
      <c r="K164" s="1">
        <v>179.0</v>
      </c>
      <c r="L164" s="1">
        <v>47.38</v>
      </c>
      <c r="M164" s="1">
        <v>8481.02</v>
      </c>
      <c r="N164" s="1" t="s">
        <v>21</v>
      </c>
      <c r="O164" s="1">
        <v>0.0</v>
      </c>
      <c r="P164" s="1" t="s">
        <v>525</v>
      </c>
      <c r="Q164" s="1" t="str">
        <f t="shared" si="1"/>
        <v>x</v>
      </c>
      <c r="R164" s="1" t="str">
        <f t="shared" si="2"/>
        <v>x</v>
      </c>
      <c r="S164" s="1" t="str">
        <f t="shared" si="3"/>
        <v>x</v>
      </c>
      <c r="T164" s="1" t="str">
        <f t="shared" si="4"/>
        <v>OK</v>
      </c>
    </row>
    <row r="165" ht="15.75" customHeight="1">
      <c r="A165" s="1" t="s">
        <v>526</v>
      </c>
      <c r="B165" s="1">
        <v>1.087137E7</v>
      </c>
      <c r="C165" s="1" t="s">
        <v>21</v>
      </c>
      <c r="D165" s="1" t="s">
        <v>22</v>
      </c>
      <c r="E165" s="1" t="s">
        <v>129</v>
      </c>
      <c r="F165" s="1" t="s">
        <v>527</v>
      </c>
      <c r="G165" s="1" t="s">
        <v>25</v>
      </c>
      <c r="H165" s="1">
        <v>122.0</v>
      </c>
      <c r="I165" s="1">
        <v>122.0</v>
      </c>
      <c r="J165" s="1">
        <v>122.0</v>
      </c>
      <c r="K165" s="1">
        <v>366.0</v>
      </c>
      <c r="L165" s="1">
        <v>23.0</v>
      </c>
      <c r="M165" s="1">
        <v>8418.0</v>
      </c>
      <c r="N165" s="1" t="s">
        <v>21</v>
      </c>
      <c r="O165" s="1">
        <v>0.0</v>
      </c>
      <c r="P165" s="1" t="s">
        <v>528</v>
      </c>
      <c r="Q165" s="1" t="str">
        <f t="shared" si="1"/>
        <v>x</v>
      </c>
      <c r="R165" s="1" t="str">
        <f t="shared" si="2"/>
        <v>x</v>
      </c>
      <c r="S165" s="1" t="str">
        <f t="shared" si="3"/>
        <v>x</v>
      </c>
      <c r="T165" s="1" t="str">
        <f t="shared" si="4"/>
        <v>OK</v>
      </c>
    </row>
    <row r="166" ht="15.75" customHeight="1">
      <c r="A166" s="1" t="s">
        <v>529</v>
      </c>
      <c r="B166" s="1">
        <v>1.0781147E7</v>
      </c>
      <c r="C166" s="1" t="s">
        <v>21</v>
      </c>
      <c r="D166" s="1" t="s">
        <v>22</v>
      </c>
      <c r="E166" s="1" t="s">
        <v>46</v>
      </c>
      <c r="F166" s="1" t="s">
        <v>530</v>
      </c>
      <c r="G166" s="1" t="s">
        <v>25</v>
      </c>
      <c r="H166" s="1">
        <v>1.0</v>
      </c>
      <c r="I166" s="1">
        <v>0.0</v>
      </c>
      <c r="J166" s="1">
        <v>0.0</v>
      </c>
      <c r="K166" s="1">
        <v>1.0</v>
      </c>
      <c r="L166" s="1">
        <v>8341.04</v>
      </c>
      <c r="M166" s="1">
        <v>8341.04</v>
      </c>
      <c r="N166" s="1" t="s">
        <v>21</v>
      </c>
      <c r="O166" s="1">
        <v>0.0</v>
      </c>
      <c r="P166" s="1" t="s">
        <v>531</v>
      </c>
      <c r="Q166" s="1" t="str">
        <f t="shared" si="1"/>
        <v>x</v>
      </c>
      <c r="R166" s="1" t="str">
        <f t="shared" si="2"/>
        <v>x</v>
      </c>
      <c r="S166" s="1" t="str">
        <f t="shared" si="3"/>
        <v>x</v>
      </c>
      <c r="T166" s="1" t="str">
        <f t="shared" si="4"/>
        <v>OK</v>
      </c>
    </row>
    <row r="167" ht="15.75" customHeight="1">
      <c r="A167" s="1" t="s">
        <v>532</v>
      </c>
      <c r="B167" s="1">
        <v>1.0781148E7</v>
      </c>
      <c r="C167" s="1" t="s">
        <v>21</v>
      </c>
      <c r="D167" s="1" t="s">
        <v>22</v>
      </c>
      <c r="E167" s="1" t="s">
        <v>46</v>
      </c>
      <c r="F167" s="1" t="s">
        <v>533</v>
      </c>
      <c r="G167" s="1" t="s">
        <v>25</v>
      </c>
      <c r="H167" s="1">
        <v>1.0</v>
      </c>
      <c r="I167" s="1">
        <v>0.0</v>
      </c>
      <c r="J167" s="1">
        <v>0.0</v>
      </c>
      <c r="K167" s="1">
        <v>1.0</v>
      </c>
      <c r="L167" s="1">
        <v>8199.26</v>
      </c>
      <c r="M167" s="1">
        <v>8199.26</v>
      </c>
      <c r="N167" s="1" t="s">
        <v>21</v>
      </c>
      <c r="O167" s="1">
        <v>0.0</v>
      </c>
      <c r="P167" s="1" t="s">
        <v>534</v>
      </c>
      <c r="Q167" s="1" t="str">
        <f t="shared" si="1"/>
        <v>x</v>
      </c>
      <c r="R167" s="1" t="str">
        <f t="shared" si="2"/>
        <v>x</v>
      </c>
      <c r="S167" s="1" t="str">
        <f t="shared" si="3"/>
        <v>x</v>
      </c>
      <c r="T167" s="1" t="str">
        <f t="shared" si="4"/>
        <v>OK</v>
      </c>
    </row>
    <row r="168" ht="15.75" customHeight="1">
      <c r="A168" s="1" t="s">
        <v>535</v>
      </c>
      <c r="B168" s="1">
        <v>1.1135996E7</v>
      </c>
      <c r="C168" s="1" t="s">
        <v>21</v>
      </c>
      <c r="D168" s="1" t="s">
        <v>22</v>
      </c>
      <c r="E168" s="1" t="s">
        <v>362</v>
      </c>
      <c r="F168" s="1" t="s">
        <v>536</v>
      </c>
      <c r="G168" s="1" t="s">
        <v>25</v>
      </c>
      <c r="H168" s="1">
        <v>1.0</v>
      </c>
      <c r="I168" s="1">
        <v>2.0</v>
      </c>
      <c r="J168" s="1">
        <v>0.0</v>
      </c>
      <c r="K168" s="1">
        <v>3.0</v>
      </c>
      <c r="L168" s="1">
        <v>2730.59</v>
      </c>
      <c r="M168" s="1">
        <v>8191.77</v>
      </c>
      <c r="N168" s="1" t="s">
        <v>21</v>
      </c>
      <c r="O168" s="1">
        <v>0.0</v>
      </c>
      <c r="P168" s="1" t="s">
        <v>537</v>
      </c>
      <c r="Q168" s="1" t="str">
        <f t="shared" si="1"/>
        <v>x</v>
      </c>
      <c r="R168" s="1" t="str">
        <f t="shared" si="2"/>
        <v>x</v>
      </c>
      <c r="S168" s="1" t="str">
        <f t="shared" si="3"/>
        <v>x</v>
      </c>
      <c r="T168" s="1" t="str">
        <f t="shared" si="4"/>
        <v>OK</v>
      </c>
    </row>
    <row r="169" ht="15.75" customHeight="1">
      <c r="A169" s="1" t="s">
        <v>538</v>
      </c>
      <c r="B169" s="1">
        <v>1.0009733E7</v>
      </c>
      <c r="C169" s="1" t="s">
        <v>21</v>
      </c>
      <c r="D169" s="1" t="s">
        <v>22</v>
      </c>
      <c r="E169" s="1" t="s">
        <v>129</v>
      </c>
      <c r="F169" s="1" t="s">
        <v>539</v>
      </c>
      <c r="G169" s="1" t="s">
        <v>25</v>
      </c>
      <c r="H169" s="1">
        <v>86.0</v>
      </c>
      <c r="I169" s="1">
        <v>170.0</v>
      </c>
      <c r="J169" s="1">
        <v>170.0</v>
      </c>
      <c r="K169" s="1">
        <v>426.0</v>
      </c>
      <c r="L169" s="1">
        <v>19.19</v>
      </c>
      <c r="M169" s="1">
        <v>8174.94</v>
      </c>
      <c r="N169" s="1" t="s">
        <v>21</v>
      </c>
      <c r="O169" s="1">
        <v>0.0</v>
      </c>
      <c r="P169" s="1" t="s">
        <v>540</v>
      </c>
      <c r="Q169" s="1" t="str">
        <f t="shared" si="1"/>
        <v>x</v>
      </c>
      <c r="R169" s="1" t="str">
        <f t="shared" si="2"/>
        <v>x</v>
      </c>
      <c r="S169" s="1" t="str">
        <f t="shared" si="3"/>
        <v>x</v>
      </c>
      <c r="T169" s="1" t="str">
        <f t="shared" si="4"/>
        <v>OK</v>
      </c>
    </row>
    <row r="170" ht="15.75" customHeight="1">
      <c r="A170" s="1" t="s">
        <v>541</v>
      </c>
      <c r="B170" s="1">
        <v>1.143034E7</v>
      </c>
      <c r="C170" s="1" t="s">
        <v>21</v>
      </c>
      <c r="D170" s="1" t="s">
        <v>22</v>
      </c>
      <c r="E170" s="1" t="s">
        <v>36</v>
      </c>
      <c r="F170" s="1" t="s">
        <v>450</v>
      </c>
      <c r="G170" s="1" t="s">
        <v>25</v>
      </c>
      <c r="H170" s="1">
        <v>37.0</v>
      </c>
      <c r="I170" s="1">
        <v>39.0</v>
      </c>
      <c r="J170" s="1">
        <v>39.0</v>
      </c>
      <c r="K170" s="1">
        <v>115.0</v>
      </c>
      <c r="L170" s="1">
        <v>70.99</v>
      </c>
      <c r="M170" s="1">
        <v>8163.85</v>
      </c>
      <c r="N170" s="1" t="s">
        <v>21</v>
      </c>
      <c r="O170" s="1" t="s">
        <v>26</v>
      </c>
      <c r="P170" s="1" t="s">
        <v>542</v>
      </c>
      <c r="Q170" s="1" t="str">
        <f t="shared" si="1"/>
        <v>x</v>
      </c>
      <c r="R170" s="1" t="str">
        <f t="shared" si="2"/>
        <v>x</v>
      </c>
      <c r="S170" s="1" t="str">
        <f t="shared" si="3"/>
        <v>x</v>
      </c>
      <c r="T170" s="1" t="str">
        <f t="shared" si="4"/>
        <v>OK</v>
      </c>
    </row>
    <row r="171" ht="15.75" customHeight="1">
      <c r="A171" s="1" t="s">
        <v>543</v>
      </c>
      <c r="B171" s="1">
        <v>1.0000594E7</v>
      </c>
      <c r="C171" s="1" t="s">
        <v>21</v>
      </c>
      <c r="D171" s="1" t="s">
        <v>22</v>
      </c>
      <c r="E171" s="1" t="s">
        <v>544</v>
      </c>
      <c r="F171" s="1" t="s">
        <v>545</v>
      </c>
      <c r="G171" s="1" t="s">
        <v>25</v>
      </c>
      <c r="H171" s="1">
        <v>0.0</v>
      </c>
      <c r="I171" s="1">
        <v>2852.0</v>
      </c>
      <c r="J171" s="1">
        <v>2852.0</v>
      </c>
      <c r="K171" s="1">
        <v>5704.0</v>
      </c>
      <c r="L171" s="1">
        <v>1.42</v>
      </c>
      <c r="M171" s="1">
        <v>8099.68</v>
      </c>
      <c r="N171" s="1" t="s">
        <v>21</v>
      </c>
      <c r="O171" s="1">
        <v>0.0</v>
      </c>
      <c r="P171" s="1" t="s">
        <v>546</v>
      </c>
      <c r="Q171" s="1" t="str">
        <f t="shared" si="1"/>
        <v>x</v>
      </c>
      <c r="R171" s="1" t="str">
        <f t="shared" si="2"/>
        <v>x</v>
      </c>
      <c r="S171" s="1" t="str">
        <f t="shared" si="3"/>
        <v>x</v>
      </c>
      <c r="T171" s="1" t="str">
        <f t="shared" si="4"/>
        <v>OK</v>
      </c>
    </row>
    <row r="172" ht="15.75" customHeight="1">
      <c r="A172" s="1" t="s">
        <v>547</v>
      </c>
      <c r="B172" s="1">
        <v>1.0067767E7</v>
      </c>
      <c r="C172" s="1" t="s">
        <v>21</v>
      </c>
      <c r="D172" s="1" t="s">
        <v>22</v>
      </c>
      <c r="E172" s="1" t="s">
        <v>150</v>
      </c>
      <c r="F172" s="1" t="s">
        <v>548</v>
      </c>
      <c r="G172" s="1" t="s">
        <v>25</v>
      </c>
      <c r="H172" s="1">
        <v>0.0</v>
      </c>
      <c r="I172" s="1">
        <v>40.0</v>
      </c>
      <c r="J172" s="1">
        <v>40.0</v>
      </c>
      <c r="K172" s="1">
        <v>80.0</v>
      </c>
      <c r="L172" s="1">
        <v>99.68</v>
      </c>
      <c r="M172" s="1">
        <v>7974.4</v>
      </c>
      <c r="N172" s="1" t="s">
        <v>21</v>
      </c>
      <c r="O172" s="1">
        <v>0.0</v>
      </c>
      <c r="P172" s="1" t="s">
        <v>549</v>
      </c>
      <c r="Q172" s="1" t="str">
        <f t="shared" si="1"/>
        <v>x</v>
      </c>
      <c r="R172" s="1" t="str">
        <f t="shared" si="2"/>
        <v>x</v>
      </c>
      <c r="S172" s="1" t="str">
        <f t="shared" si="3"/>
        <v>x</v>
      </c>
      <c r="T172" s="1" t="str">
        <f t="shared" si="4"/>
        <v>OK</v>
      </c>
    </row>
    <row r="173" ht="15.75" customHeight="1">
      <c r="A173" s="1" t="s">
        <v>550</v>
      </c>
      <c r="B173" s="1">
        <v>1.0488427E7</v>
      </c>
      <c r="C173" s="1" t="s">
        <v>21</v>
      </c>
      <c r="D173" s="1" t="s">
        <v>22</v>
      </c>
      <c r="E173" s="1" t="s">
        <v>164</v>
      </c>
      <c r="F173" s="1" t="s">
        <v>551</v>
      </c>
      <c r="G173" s="1" t="s">
        <v>25</v>
      </c>
      <c r="H173" s="1">
        <v>45.0</v>
      </c>
      <c r="I173" s="1">
        <v>21.0</v>
      </c>
      <c r="J173" s="1">
        <v>21.0</v>
      </c>
      <c r="K173" s="1">
        <v>87.0</v>
      </c>
      <c r="L173" s="1">
        <v>90.49</v>
      </c>
      <c r="M173" s="1">
        <v>7872.63</v>
      </c>
      <c r="N173" s="1" t="s">
        <v>552</v>
      </c>
      <c r="O173" s="1" t="s">
        <v>26</v>
      </c>
      <c r="P173" s="1" t="s">
        <v>553</v>
      </c>
      <c r="Q173" s="1" t="str">
        <f t="shared" si="1"/>
        <v>x</v>
      </c>
      <c r="R173" s="1" t="str">
        <f t="shared" si="2"/>
        <v>x</v>
      </c>
      <c r="S173" s="1" t="str">
        <f t="shared" si="3"/>
        <v>x</v>
      </c>
      <c r="T173" s="1" t="str">
        <f t="shared" si="4"/>
        <v>OK</v>
      </c>
    </row>
    <row r="174" ht="15.75" customHeight="1">
      <c r="A174" s="1" t="s">
        <v>554</v>
      </c>
      <c r="B174" s="1">
        <v>1.0014917E7</v>
      </c>
      <c r="C174" s="1" t="s">
        <v>21</v>
      </c>
      <c r="D174" s="1" t="s">
        <v>22</v>
      </c>
      <c r="E174" s="1" t="s">
        <v>231</v>
      </c>
      <c r="F174" s="1" t="s">
        <v>555</v>
      </c>
      <c r="G174" s="1" t="s">
        <v>25</v>
      </c>
      <c r="H174" s="1">
        <v>512.0</v>
      </c>
      <c r="I174" s="1">
        <v>950.0</v>
      </c>
      <c r="J174" s="1">
        <v>12.0</v>
      </c>
      <c r="K174" s="1">
        <v>1474.0</v>
      </c>
      <c r="L174" s="1">
        <v>5.34</v>
      </c>
      <c r="M174" s="1">
        <v>7871.16</v>
      </c>
      <c r="N174" s="1" t="s">
        <v>21</v>
      </c>
      <c r="O174" s="1">
        <v>0.0</v>
      </c>
      <c r="P174" s="1" t="s">
        <v>556</v>
      </c>
      <c r="Q174" s="1" t="str">
        <f t="shared" si="1"/>
        <v>x</v>
      </c>
      <c r="R174" s="1" t="str">
        <f t="shared" si="2"/>
        <v>x</v>
      </c>
      <c r="S174" s="1" t="str">
        <f t="shared" si="3"/>
        <v>x</v>
      </c>
      <c r="T174" s="1" t="str">
        <f t="shared" si="4"/>
        <v>OK</v>
      </c>
    </row>
    <row r="175" ht="15.75" customHeight="1">
      <c r="A175" s="1" t="s">
        <v>557</v>
      </c>
      <c r="B175" s="1">
        <v>1.0999021E7</v>
      </c>
      <c r="C175" s="1" t="s">
        <v>21</v>
      </c>
      <c r="D175" s="1" t="s">
        <v>22</v>
      </c>
      <c r="E175" s="1" t="s">
        <v>129</v>
      </c>
      <c r="F175" s="1" t="s">
        <v>558</v>
      </c>
      <c r="G175" s="1" t="s">
        <v>25</v>
      </c>
      <c r="H175" s="1">
        <v>340.0</v>
      </c>
      <c r="I175" s="1">
        <v>0.0</v>
      </c>
      <c r="J175" s="1">
        <v>0.0</v>
      </c>
      <c r="K175" s="1">
        <v>340.0</v>
      </c>
      <c r="L175" s="1">
        <v>23.0</v>
      </c>
      <c r="M175" s="1">
        <v>7820.0</v>
      </c>
      <c r="N175" s="1" t="s">
        <v>21</v>
      </c>
      <c r="O175" s="1">
        <v>0.0</v>
      </c>
      <c r="P175" s="1" t="s">
        <v>559</v>
      </c>
      <c r="Q175" s="1" t="str">
        <f t="shared" si="1"/>
        <v>x</v>
      </c>
      <c r="R175" s="1" t="str">
        <f t="shared" si="2"/>
        <v>x</v>
      </c>
      <c r="S175" s="1" t="str">
        <f t="shared" si="3"/>
        <v>x</v>
      </c>
      <c r="T175" s="1" t="str">
        <f t="shared" si="4"/>
        <v>OK</v>
      </c>
    </row>
    <row r="176" ht="15.75" customHeight="1">
      <c r="A176" s="1" t="s">
        <v>560</v>
      </c>
      <c r="B176" s="1">
        <v>1.0389587E7</v>
      </c>
      <c r="C176" s="1" t="s">
        <v>21</v>
      </c>
      <c r="D176" s="1" t="s">
        <v>22</v>
      </c>
      <c r="E176" s="1" t="s">
        <v>195</v>
      </c>
      <c r="F176" s="1" t="s">
        <v>561</v>
      </c>
      <c r="G176" s="1" t="s">
        <v>25</v>
      </c>
      <c r="H176" s="1">
        <v>304.0</v>
      </c>
      <c r="I176" s="1">
        <v>48.0</v>
      </c>
      <c r="J176" s="1">
        <v>160.0</v>
      </c>
      <c r="K176" s="1">
        <v>512.0</v>
      </c>
      <c r="L176" s="1">
        <v>15.04</v>
      </c>
      <c r="M176" s="1">
        <v>7700.48</v>
      </c>
      <c r="N176" s="1" t="s">
        <v>21</v>
      </c>
      <c r="O176" s="1">
        <v>0.0</v>
      </c>
      <c r="P176" s="1" t="s">
        <v>562</v>
      </c>
      <c r="Q176" s="1" t="str">
        <f t="shared" si="1"/>
        <v>x</v>
      </c>
      <c r="R176" s="1" t="str">
        <f t="shared" si="2"/>
        <v>x</v>
      </c>
      <c r="S176" s="1" t="str">
        <f t="shared" si="3"/>
        <v>x</v>
      </c>
      <c r="T176" s="1" t="str">
        <f t="shared" si="4"/>
        <v>OK</v>
      </c>
    </row>
    <row r="177" ht="15.75" customHeight="1">
      <c r="A177" s="1" t="s">
        <v>563</v>
      </c>
      <c r="B177" s="1">
        <v>1.0274057E7</v>
      </c>
      <c r="C177" s="1" t="s">
        <v>21</v>
      </c>
      <c r="D177" s="1" t="s">
        <v>22</v>
      </c>
      <c r="E177" s="1" t="s">
        <v>195</v>
      </c>
      <c r="F177" s="1" t="s">
        <v>564</v>
      </c>
      <c r="G177" s="1" t="s">
        <v>25</v>
      </c>
      <c r="H177" s="1">
        <v>160.0</v>
      </c>
      <c r="I177" s="1">
        <v>244.0</v>
      </c>
      <c r="J177" s="1">
        <v>244.0</v>
      </c>
      <c r="K177" s="1">
        <v>648.0</v>
      </c>
      <c r="L177" s="1">
        <v>11.81</v>
      </c>
      <c r="M177" s="1">
        <v>7652.88</v>
      </c>
      <c r="N177" s="1" t="s">
        <v>21</v>
      </c>
      <c r="O177" s="1">
        <v>0.0</v>
      </c>
      <c r="P177" s="1" t="s">
        <v>565</v>
      </c>
      <c r="Q177" s="1" t="str">
        <f t="shared" si="1"/>
        <v>x</v>
      </c>
      <c r="R177" s="1" t="str">
        <f t="shared" si="2"/>
        <v>x</v>
      </c>
      <c r="S177" s="1" t="str">
        <f t="shared" si="3"/>
        <v>x</v>
      </c>
      <c r="T177" s="1" t="str">
        <f t="shared" si="4"/>
        <v>OK</v>
      </c>
    </row>
    <row r="178" ht="15.75" customHeight="1">
      <c r="A178" s="1" t="s">
        <v>566</v>
      </c>
      <c r="B178" s="1" t="s">
        <v>567</v>
      </c>
      <c r="C178" s="1" t="s">
        <v>21</v>
      </c>
      <c r="D178" s="1" t="s">
        <v>22</v>
      </c>
      <c r="E178" s="1" t="s">
        <v>36</v>
      </c>
      <c r="F178" s="1" t="s">
        <v>568</v>
      </c>
      <c r="G178" s="1" t="s">
        <v>25</v>
      </c>
      <c r="H178" s="1">
        <v>109.0</v>
      </c>
      <c r="I178" s="1">
        <v>0.0</v>
      </c>
      <c r="J178" s="1">
        <v>0.0</v>
      </c>
      <c r="K178" s="1">
        <v>109.0</v>
      </c>
      <c r="L178" s="1">
        <v>69.03</v>
      </c>
      <c r="M178" s="1">
        <v>7524.27</v>
      </c>
      <c r="N178" s="1" t="s">
        <v>21</v>
      </c>
      <c r="O178" s="1">
        <v>0.0</v>
      </c>
      <c r="P178" s="1" t="s">
        <v>569</v>
      </c>
      <c r="Q178" s="1" t="str">
        <f t="shared" si="1"/>
        <v>x</v>
      </c>
      <c r="R178" s="1" t="str">
        <f t="shared" si="2"/>
        <v>x</v>
      </c>
      <c r="S178" s="1" t="str">
        <f t="shared" si="3"/>
        <v>x</v>
      </c>
      <c r="T178" s="1" t="str">
        <f t="shared" si="4"/>
        <v>OK</v>
      </c>
    </row>
    <row r="179" ht="15.75" customHeight="1">
      <c r="A179" s="1" t="s">
        <v>570</v>
      </c>
      <c r="B179" s="1">
        <v>1.0217238E7</v>
      </c>
      <c r="C179" s="1" t="s">
        <v>21</v>
      </c>
      <c r="D179" s="1" t="s">
        <v>22</v>
      </c>
      <c r="E179" s="1" t="s">
        <v>164</v>
      </c>
      <c r="F179" s="1" t="s">
        <v>571</v>
      </c>
      <c r="G179" s="1" t="s">
        <v>25</v>
      </c>
      <c r="H179" s="1">
        <v>70.0</v>
      </c>
      <c r="I179" s="1">
        <v>0.0</v>
      </c>
      <c r="J179" s="1">
        <v>9.0</v>
      </c>
      <c r="K179" s="1">
        <v>79.0</v>
      </c>
      <c r="L179" s="1">
        <v>92.68</v>
      </c>
      <c r="M179" s="1">
        <v>7321.72</v>
      </c>
      <c r="N179" s="1" t="s">
        <v>21</v>
      </c>
      <c r="O179" s="1">
        <v>0.0</v>
      </c>
      <c r="P179" s="1" t="s">
        <v>572</v>
      </c>
      <c r="Q179" s="1" t="str">
        <f t="shared" si="1"/>
        <v>x</v>
      </c>
      <c r="R179" s="1" t="str">
        <f t="shared" si="2"/>
        <v>x</v>
      </c>
      <c r="S179" s="1" t="str">
        <f t="shared" si="3"/>
        <v>x</v>
      </c>
      <c r="T179" s="1" t="str">
        <f t="shared" si="4"/>
        <v>OK</v>
      </c>
    </row>
    <row r="180" ht="15.75" customHeight="1">
      <c r="A180" s="1" t="s">
        <v>573</v>
      </c>
      <c r="B180" s="1">
        <v>1.1430351E7</v>
      </c>
      <c r="C180" s="1" t="s">
        <v>21</v>
      </c>
      <c r="D180" s="1" t="s">
        <v>22</v>
      </c>
      <c r="E180" s="1" t="s">
        <v>102</v>
      </c>
      <c r="F180" s="1" t="s">
        <v>103</v>
      </c>
      <c r="G180" s="1" t="s">
        <v>25</v>
      </c>
      <c r="H180" s="1">
        <v>22.0</v>
      </c>
      <c r="I180" s="1">
        <v>24.0</v>
      </c>
      <c r="J180" s="1">
        <v>46.0</v>
      </c>
      <c r="K180" s="1">
        <v>92.0</v>
      </c>
      <c r="L180" s="1">
        <v>79.33</v>
      </c>
      <c r="M180" s="1">
        <v>7298.36</v>
      </c>
      <c r="N180" s="1" t="s">
        <v>574</v>
      </c>
      <c r="O180" s="1">
        <v>0.0</v>
      </c>
      <c r="P180" s="1" t="s">
        <v>575</v>
      </c>
      <c r="Q180" s="1" t="str">
        <f t="shared" si="1"/>
        <v>x</v>
      </c>
      <c r="R180" s="1" t="str">
        <f t="shared" si="2"/>
        <v>x</v>
      </c>
      <c r="S180" s="1" t="str">
        <f t="shared" si="3"/>
        <v>x</v>
      </c>
      <c r="T180" s="1" t="str">
        <f t="shared" si="4"/>
        <v>OK</v>
      </c>
    </row>
    <row r="181" ht="15.75" customHeight="1">
      <c r="A181" s="1" t="s">
        <v>576</v>
      </c>
      <c r="B181" s="1">
        <v>1.1515806E7</v>
      </c>
      <c r="C181" s="1" t="s">
        <v>21</v>
      </c>
      <c r="D181" s="1" t="s">
        <v>22</v>
      </c>
      <c r="E181" s="1" t="s">
        <v>195</v>
      </c>
      <c r="F181" s="1" t="s">
        <v>577</v>
      </c>
      <c r="G181" s="1" t="s">
        <v>25</v>
      </c>
      <c r="H181" s="1">
        <v>0.0</v>
      </c>
      <c r="I181" s="1">
        <v>0.0</v>
      </c>
      <c r="J181" s="1">
        <v>528.0</v>
      </c>
      <c r="K181" s="1">
        <v>528.0</v>
      </c>
      <c r="L181" s="1">
        <v>13.69</v>
      </c>
      <c r="M181" s="1">
        <v>7228.32</v>
      </c>
      <c r="N181" s="1" t="s">
        <v>21</v>
      </c>
      <c r="O181" s="1">
        <v>0.0</v>
      </c>
      <c r="P181" s="1" t="s">
        <v>578</v>
      </c>
      <c r="Q181" s="1" t="str">
        <f t="shared" si="1"/>
        <v>x</v>
      </c>
      <c r="R181" s="1" t="str">
        <f t="shared" si="2"/>
        <v>x</v>
      </c>
      <c r="S181" s="1" t="str">
        <f t="shared" si="3"/>
        <v>x</v>
      </c>
      <c r="T181" s="1" t="str">
        <f t="shared" si="4"/>
        <v>OK</v>
      </c>
    </row>
    <row r="182" ht="15.75" customHeight="1">
      <c r="A182" s="1" t="s">
        <v>579</v>
      </c>
      <c r="B182" s="1">
        <v>1.0490472E7</v>
      </c>
      <c r="C182" s="1" t="s">
        <v>21</v>
      </c>
      <c r="D182" s="1" t="s">
        <v>22</v>
      </c>
      <c r="E182" s="1" t="s">
        <v>129</v>
      </c>
      <c r="F182" s="1" t="s">
        <v>580</v>
      </c>
      <c r="G182" s="1" t="s">
        <v>25</v>
      </c>
      <c r="H182" s="1">
        <v>0.0</v>
      </c>
      <c r="I182" s="1">
        <v>0.0</v>
      </c>
      <c r="J182" s="1">
        <v>264.0</v>
      </c>
      <c r="K182" s="1">
        <v>264.0</v>
      </c>
      <c r="L182" s="1">
        <v>27.19</v>
      </c>
      <c r="M182" s="1">
        <v>7178.16</v>
      </c>
      <c r="N182" s="1" t="s">
        <v>21</v>
      </c>
      <c r="O182" s="1">
        <v>0.0</v>
      </c>
      <c r="P182" s="1" t="s">
        <v>581</v>
      </c>
      <c r="Q182" s="1" t="str">
        <f t="shared" si="1"/>
        <v>x</v>
      </c>
      <c r="R182" s="1" t="str">
        <f t="shared" si="2"/>
        <v>x</v>
      </c>
      <c r="S182" s="1" t="str">
        <f t="shared" si="3"/>
        <v>x</v>
      </c>
      <c r="T182" s="1" t="str">
        <f t="shared" si="4"/>
        <v>OK</v>
      </c>
    </row>
    <row r="183" ht="15.75" customHeight="1">
      <c r="A183" s="1" t="s">
        <v>582</v>
      </c>
      <c r="B183" s="1">
        <v>1.1648751E7</v>
      </c>
      <c r="C183" s="1">
        <v>1.0867451E7</v>
      </c>
      <c r="D183" s="1" t="s">
        <v>22</v>
      </c>
      <c r="E183" s="1" t="s">
        <v>52</v>
      </c>
      <c r="F183" s="1" t="s">
        <v>404</v>
      </c>
      <c r="G183" s="1" t="s">
        <v>25</v>
      </c>
      <c r="H183" s="1">
        <v>3.0</v>
      </c>
      <c r="I183" s="1">
        <v>0.0</v>
      </c>
      <c r="J183" s="1">
        <v>0.0</v>
      </c>
      <c r="K183" s="1">
        <v>3.0</v>
      </c>
      <c r="L183" s="1">
        <v>2389.29</v>
      </c>
      <c r="M183" s="1">
        <v>7167.87</v>
      </c>
      <c r="N183" s="1" t="s">
        <v>21</v>
      </c>
      <c r="O183" s="1">
        <v>0.0</v>
      </c>
      <c r="P183" s="1" t="s">
        <v>583</v>
      </c>
      <c r="Q183" s="1" t="str">
        <f t="shared" si="1"/>
        <v>x</v>
      </c>
      <c r="R183" s="1" t="str">
        <f t="shared" si="2"/>
        <v>x</v>
      </c>
      <c r="S183" s="1" t="str">
        <f t="shared" si="3"/>
        <v>x</v>
      </c>
      <c r="T183" s="1" t="str">
        <f t="shared" si="4"/>
        <v>OK</v>
      </c>
    </row>
    <row r="184" ht="15.75" customHeight="1">
      <c r="A184" s="1" t="s">
        <v>584</v>
      </c>
      <c r="B184" s="1">
        <v>1.030203E7</v>
      </c>
      <c r="C184" s="1" t="s">
        <v>21</v>
      </c>
      <c r="D184" s="1" t="s">
        <v>22</v>
      </c>
      <c r="E184" s="1" t="s">
        <v>56</v>
      </c>
      <c r="F184" s="1" t="s">
        <v>585</v>
      </c>
      <c r="G184" s="1" t="s">
        <v>25</v>
      </c>
      <c r="H184" s="1">
        <v>18.0</v>
      </c>
      <c r="I184" s="1">
        <v>18.0</v>
      </c>
      <c r="J184" s="1">
        <v>18.0</v>
      </c>
      <c r="K184" s="1">
        <v>54.0</v>
      </c>
      <c r="L184" s="1">
        <v>131.21</v>
      </c>
      <c r="M184" s="1">
        <v>7085.34</v>
      </c>
      <c r="N184" s="1" t="s">
        <v>21</v>
      </c>
      <c r="O184" s="1" t="s">
        <v>26</v>
      </c>
      <c r="P184" s="1" t="s">
        <v>586</v>
      </c>
      <c r="Q184" s="1" t="str">
        <f t="shared" si="1"/>
        <v>x</v>
      </c>
      <c r="R184" s="1" t="str">
        <f t="shared" si="2"/>
        <v>x</v>
      </c>
      <c r="S184" s="1" t="str">
        <f t="shared" si="3"/>
        <v>x</v>
      </c>
      <c r="T184" s="1" t="str">
        <f t="shared" si="4"/>
        <v>OK</v>
      </c>
    </row>
    <row r="185" ht="15.75" customHeight="1">
      <c r="A185" s="1" t="s">
        <v>587</v>
      </c>
      <c r="B185" s="1">
        <v>1.0871377E7</v>
      </c>
      <c r="C185" s="1" t="s">
        <v>21</v>
      </c>
      <c r="D185" s="1" t="s">
        <v>22</v>
      </c>
      <c r="E185" s="1" t="s">
        <v>129</v>
      </c>
      <c r="F185" s="1" t="s">
        <v>423</v>
      </c>
      <c r="G185" s="1" t="s">
        <v>25</v>
      </c>
      <c r="H185" s="1">
        <v>135.0</v>
      </c>
      <c r="I185" s="1">
        <v>0.0</v>
      </c>
      <c r="J185" s="1">
        <v>135.0</v>
      </c>
      <c r="K185" s="1">
        <v>270.0</v>
      </c>
      <c r="L185" s="1">
        <v>26.07</v>
      </c>
      <c r="M185" s="1">
        <v>7038.9</v>
      </c>
      <c r="N185" s="1" t="s">
        <v>21</v>
      </c>
      <c r="O185" s="1">
        <v>0.0</v>
      </c>
      <c r="P185" s="1" t="s">
        <v>588</v>
      </c>
      <c r="Q185" s="1" t="str">
        <f t="shared" si="1"/>
        <v>x</v>
      </c>
      <c r="R185" s="1" t="str">
        <f t="shared" si="2"/>
        <v>x</v>
      </c>
      <c r="S185" s="1" t="str">
        <f t="shared" si="3"/>
        <v>x</v>
      </c>
      <c r="T185" s="1" t="str">
        <f t="shared" si="4"/>
        <v>OK</v>
      </c>
    </row>
    <row r="186" ht="15.75" customHeight="1">
      <c r="A186" s="1" t="s">
        <v>589</v>
      </c>
      <c r="B186" s="1">
        <v>1.0317357E7</v>
      </c>
      <c r="C186" s="1" t="s">
        <v>21</v>
      </c>
      <c r="D186" s="1" t="s">
        <v>22</v>
      </c>
      <c r="E186" s="1" t="s">
        <v>590</v>
      </c>
      <c r="F186" s="1" t="s">
        <v>591</v>
      </c>
      <c r="G186" s="1" t="s">
        <v>25</v>
      </c>
      <c r="H186" s="1">
        <v>25.0</v>
      </c>
      <c r="I186" s="1">
        <v>0.0</v>
      </c>
      <c r="J186" s="1">
        <v>23.0</v>
      </c>
      <c r="K186" s="1">
        <v>48.0</v>
      </c>
      <c r="L186" s="1">
        <v>145.09</v>
      </c>
      <c r="M186" s="1">
        <v>6964.32</v>
      </c>
      <c r="N186" s="1" t="s">
        <v>21</v>
      </c>
      <c r="O186" s="1">
        <v>0.0</v>
      </c>
      <c r="P186" s="1" t="s">
        <v>592</v>
      </c>
      <c r="Q186" s="1" t="str">
        <f t="shared" si="1"/>
        <v>x</v>
      </c>
      <c r="R186" s="1" t="str">
        <f t="shared" si="2"/>
        <v>x</v>
      </c>
      <c r="S186" s="1" t="str">
        <f t="shared" si="3"/>
        <v>x</v>
      </c>
      <c r="T186" s="1" t="str">
        <f t="shared" si="4"/>
        <v>OK</v>
      </c>
    </row>
    <row r="187" ht="15.75" customHeight="1">
      <c r="A187" s="1" t="s">
        <v>593</v>
      </c>
      <c r="B187" s="1">
        <v>1.0541941E7</v>
      </c>
      <c r="C187" s="1" t="s">
        <v>21</v>
      </c>
      <c r="D187" s="1" t="s">
        <v>22</v>
      </c>
      <c r="E187" s="1" t="s">
        <v>56</v>
      </c>
      <c r="F187" s="1" t="s">
        <v>209</v>
      </c>
      <c r="G187" s="1" t="s">
        <v>25</v>
      </c>
      <c r="H187" s="1">
        <v>26.0</v>
      </c>
      <c r="I187" s="1">
        <v>18.0</v>
      </c>
      <c r="J187" s="1">
        <v>16.0</v>
      </c>
      <c r="K187" s="1">
        <v>60.0</v>
      </c>
      <c r="L187" s="1">
        <v>115.29</v>
      </c>
      <c r="M187" s="1">
        <v>6917.4</v>
      </c>
      <c r="N187" s="1" t="s">
        <v>21</v>
      </c>
      <c r="O187" s="1">
        <v>0.0</v>
      </c>
      <c r="P187" s="1" t="s">
        <v>594</v>
      </c>
      <c r="Q187" s="1" t="str">
        <f t="shared" si="1"/>
        <v>x</v>
      </c>
      <c r="R187" s="1" t="str">
        <f t="shared" si="2"/>
        <v>x</v>
      </c>
      <c r="S187" s="1" t="str">
        <f t="shared" si="3"/>
        <v>x</v>
      </c>
      <c r="T187" s="1" t="str">
        <f t="shared" si="4"/>
        <v>OK</v>
      </c>
    </row>
    <row r="188" ht="15.75" customHeight="1">
      <c r="A188" s="1" t="s">
        <v>595</v>
      </c>
      <c r="B188" s="1">
        <v>1.1316799E7</v>
      </c>
      <c r="C188" s="1" t="s">
        <v>21</v>
      </c>
      <c r="D188" s="1" t="s">
        <v>22</v>
      </c>
      <c r="E188" s="1" t="s">
        <v>129</v>
      </c>
      <c r="F188" s="1" t="s">
        <v>596</v>
      </c>
      <c r="G188" s="1" t="s">
        <v>25</v>
      </c>
      <c r="H188" s="1">
        <v>48.0</v>
      </c>
      <c r="I188" s="1">
        <v>144.0</v>
      </c>
      <c r="J188" s="1">
        <v>72.0</v>
      </c>
      <c r="K188" s="1">
        <v>264.0</v>
      </c>
      <c r="L188" s="1">
        <v>26.11</v>
      </c>
      <c r="M188" s="1">
        <v>6893.04</v>
      </c>
      <c r="N188" s="1" t="s">
        <v>21</v>
      </c>
      <c r="O188" s="1">
        <v>0.0</v>
      </c>
      <c r="P188" s="1" t="s">
        <v>597</v>
      </c>
      <c r="Q188" s="1" t="str">
        <f t="shared" si="1"/>
        <v>x</v>
      </c>
      <c r="R188" s="1" t="str">
        <f t="shared" si="2"/>
        <v>x</v>
      </c>
      <c r="S188" s="1" t="str">
        <f t="shared" si="3"/>
        <v>x</v>
      </c>
      <c r="T188" s="1" t="str">
        <f t="shared" si="4"/>
        <v>OK</v>
      </c>
    </row>
    <row r="189" ht="15.75" customHeight="1">
      <c r="A189" s="1" t="s">
        <v>598</v>
      </c>
      <c r="B189" s="1">
        <v>1.0311398E7</v>
      </c>
      <c r="C189" s="1" t="s">
        <v>21</v>
      </c>
      <c r="D189" s="1" t="s">
        <v>22</v>
      </c>
      <c r="E189" s="1" t="s">
        <v>23</v>
      </c>
      <c r="F189" s="1" t="s">
        <v>599</v>
      </c>
      <c r="G189" s="1" t="s">
        <v>25</v>
      </c>
      <c r="H189" s="1">
        <v>12.0</v>
      </c>
      <c r="I189" s="1">
        <v>0.0</v>
      </c>
      <c r="J189" s="1">
        <v>4.0</v>
      </c>
      <c r="K189" s="1">
        <v>16.0</v>
      </c>
      <c r="L189" s="1">
        <v>430.79</v>
      </c>
      <c r="M189" s="1">
        <v>6892.64</v>
      </c>
      <c r="N189" s="1" t="s">
        <v>21</v>
      </c>
      <c r="O189" s="1">
        <v>0.0</v>
      </c>
      <c r="P189" s="1" t="s">
        <v>600</v>
      </c>
      <c r="Q189" s="1" t="str">
        <f t="shared" si="1"/>
        <v>x</v>
      </c>
      <c r="R189" s="1" t="str">
        <f t="shared" si="2"/>
        <v>x</v>
      </c>
      <c r="S189" s="1" t="str">
        <f t="shared" si="3"/>
        <v>x</v>
      </c>
      <c r="T189" s="1" t="str">
        <f t="shared" si="4"/>
        <v>OK</v>
      </c>
    </row>
    <row r="190" ht="15.75" customHeight="1">
      <c r="A190" s="1" t="s">
        <v>601</v>
      </c>
      <c r="B190" s="1">
        <v>1.002027E7</v>
      </c>
      <c r="C190" s="1" t="s">
        <v>21</v>
      </c>
      <c r="D190" s="1" t="s">
        <v>22</v>
      </c>
      <c r="E190" s="1" t="s">
        <v>23</v>
      </c>
      <c r="F190" s="1" t="s">
        <v>602</v>
      </c>
      <c r="G190" s="1" t="s">
        <v>25</v>
      </c>
      <c r="H190" s="1">
        <v>14.0</v>
      </c>
      <c r="I190" s="1">
        <v>0.0</v>
      </c>
      <c r="J190" s="1">
        <v>0.0</v>
      </c>
      <c r="K190" s="1">
        <v>14.0</v>
      </c>
      <c r="L190" s="1">
        <v>491.05</v>
      </c>
      <c r="M190" s="1">
        <v>6874.7</v>
      </c>
      <c r="N190" s="1" t="s">
        <v>21</v>
      </c>
      <c r="O190" s="1">
        <v>0.0</v>
      </c>
      <c r="P190" s="1" t="s">
        <v>603</v>
      </c>
      <c r="Q190" s="1" t="str">
        <f t="shared" si="1"/>
        <v>x</v>
      </c>
      <c r="R190" s="1" t="str">
        <f t="shared" si="2"/>
        <v>x</v>
      </c>
      <c r="S190" s="1" t="str">
        <f t="shared" si="3"/>
        <v>x</v>
      </c>
      <c r="T190" s="1" t="str">
        <f t="shared" si="4"/>
        <v>OK</v>
      </c>
    </row>
    <row r="191" ht="15.75" customHeight="1">
      <c r="A191" s="1" t="s">
        <v>604</v>
      </c>
      <c r="B191" s="1">
        <v>1.1805532E7</v>
      </c>
      <c r="C191" s="1" t="s">
        <v>21</v>
      </c>
      <c r="D191" s="1" t="s">
        <v>22</v>
      </c>
      <c r="E191" s="1" t="s">
        <v>23</v>
      </c>
      <c r="F191" s="1" t="s">
        <v>244</v>
      </c>
      <c r="G191" s="1" t="s">
        <v>25</v>
      </c>
      <c r="H191" s="1">
        <v>21.0</v>
      </c>
      <c r="I191" s="1">
        <v>0.0</v>
      </c>
      <c r="J191" s="1">
        <v>0.0</v>
      </c>
      <c r="K191" s="1">
        <v>21.0</v>
      </c>
      <c r="L191" s="1">
        <v>325.03</v>
      </c>
      <c r="M191" s="1">
        <v>6825.63</v>
      </c>
      <c r="N191" s="1" t="s">
        <v>21</v>
      </c>
      <c r="O191" s="1">
        <v>0.0</v>
      </c>
      <c r="P191" s="1" t="s">
        <v>605</v>
      </c>
      <c r="Q191" s="1" t="str">
        <f t="shared" si="1"/>
        <v>x</v>
      </c>
      <c r="R191" s="1" t="str">
        <f t="shared" si="2"/>
        <v>x</v>
      </c>
      <c r="S191" s="1" t="str">
        <f t="shared" si="3"/>
        <v>x</v>
      </c>
      <c r="T191" s="1" t="str">
        <f t="shared" si="4"/>
        <v>OK</v>
      </c>
    </row>
    <row r="192" ht="15.75" customHeight="1">
      <c r="A192" s="1" t="s">
        <v>606</v>
      </c>
      <c r="B192" s="1">
        <v>1.062826E7</v>
      </c>
      <c r="C192" s="1" t="s">
        <v>21</v>
      </c>
      <c r="D192" s="1" t="s">
        <v>22</v>
      </c>
      <c r="E192" s="1" t="s">
        <v>23</v>
      </c>
      <c r="F192" s="1" t="s">
        <v>222</v>
      </c>
      <c r="G192" s="1" t="s">
        <v>25</v>
      </c>
      <c r="H192" s="1">
        <v>35.0</v>
      </c>
      <c r="I192" s="1">
        <v>0.0</v>
      </c>
      <c r="J192" s="1">
        <v>0.0</v>
      </c>
      <c r="K192" s="1">
        <v>35.0</v>
      </c>
      <c r="L192" s="1">
        <v>194.51</v>
      </c>
      <c r="M192" s="1">
        <v>6807.85</v>
      </c>
      <c r="N192" s="1" t="s">
        <v>21</v>
      </c>
      <c r="O192" s="1">
        <v>0.0</v>
      </c>
      <c r="P192" s="1" t="s">
        <v>607</v>
      </c>
      <c r="Q192" s="1" t="str">
        <f t="shared" si="1"/>
        <v>x</v>
      </c>
      <c r="R192" s="1" t="str">
        <f t="shared" si="2"/>
        <v>x</v>
      </c>
      <c r="S192" s="1" t="str">
        <f t="shared" si="3"/>
        <v>x</v>
      </c>
      <c r="T192" s="1" t="str">
        <f t="shared" si="4"/>
        <v>OK</v>
      </c>
    </row>
    <row r="193" ht="15.75" customHeight="1">
      <c r="A193" s="1" t="s">
        <v>608</v>
      </c>
      <c r="B193" s="1">
        <v>1.0946774E7</v>
      </c>
      <c r="C193" s="1" t="s">
        <v>21</v>
      </c>
      <c r="D193" s="1" t="s">
        <v>22</v>
      </c>
      <c r="E193" s="1" t="s">
        <v>23</v>
      </c>
      <c r="F193" s="1" t="s">
        <v>609</v>
      </c>
      <c r="G193" s="1" t="s">
        <v>25</v>
      </c>
      <c r="H193" s="1">
        <v>12.0</v>
      </c>
      <c r="I193" s="1">
        <v>0.0</v>
      </c>
      <c r="J193" s="1">
        <v>0.0</v>
      </c>
      <c r="K193" s="1">
        <v>12.0</v>
      </c>
      <c r="L193" s="1">
        <v>547.19</v>
      </c>
      <c r="M193" s="1">
        <v>6566.28</v>
      </c>
      <c r="N193" s="1" t="s">
        <v>21</v>
      </c>
      <c r="O193" s="1">
        <v>0.0</v>
      </c>
      <c r="P193" s="1" t="s">
        <v>610</v>
      </c>
      <c r="Q193" s="1" t="str">
        <f t="shared" si="1"/>
        <v>x</v>
      </c>
      <c r="R193" s="1" t="str">
        <f t="shared" si="2"/>
        <v>x</v>
      </c>
      <c r="S193" s="1" t="str">
        <f t="shared" si="3"/>
        <v>x</v>
      </c>
      <c r="T193" s="1" t="str">
        <f t="shared" si="4"/>
        <v>OK</v>
      </c>
    </row>
    <row r="194" ht="15.75" customHeight="1">
      <c r="A194" s="1" t="s">
        <v>611</v>
      </c>
      <c r="B194" s="1">
        <v>1.0288696E7</v>
      </c>
      <c r="C194" s="1" t="s">
        <v>21</v>
      </c>
      <c r="D194" s="1" t="s">
        <v>22</v>
      </c>
      <c r="E194" s="1" t="s">
        <v>129</v>
      </c>
      <c r="F194" s="1" t="s">
        <v>612</v>
      </c>
      <c r="G194" s="1" t="s">
        <v>25</v>
      </c>
      <c r="H194" s="1">
        <v>152.0</v>
      </c>
      <c r="I194" s="1">
        <v>24.0</v>
      </c>
      <c r="J194" s="1">
        <v>80.0</v>
      </c>
      <c r="K194" s="1">
        <v>256.0</v>
      </c>
      <c r="L194" s="1">
        <v>25.5</v>
      </c>
      <c r="M194" s="1">
        <v>6528.0</v>
      </c>
      <c r="N194" s="1" t="s">
        <v>21</v>
      </c>
      <c r="O194" s="1">
        <v>0.0</v>
      </c>
      <c r="P194" s="1" t="s">
        <v>613</v>
      </c>
      <c r="Q194" s="1" t="str">
        <f t="shared" si="1"/>
        <v>x</v>
      </c>
      <c r="R194" s="1" t="str">
        <f t="shared" si="2"/>
        <v>x</v>
      </c>
      <c r="S194" s="1" t="str">
        <f t="shared" si="3"/>
        <v>x</v>
      </c>
      <c r="T194" s="1" t="str">
        <f t="shared" si="4"/>
        <v>OK</v>
      </c>
    </row>
    <row r="195" ht="15.75" customHeight="1">
      <c r="A195" s="1" t="s">
        <v>614</v>
      </c>
      <c r="B195" s="1">
        <v>1.0004079E7</v>
      </c>
      <c r="C195" s="1" t="s">
        <v>21</v>
      </c>
      <c r="D195" s="1" t="s">
        <v>22</v>
      </c>
      <c r="E195" s="1" t="s">
        <v>129</v>
      </c>
      <c r="F195" s="1" t="s">
        <v>615</v>
      </c>
      <c r="G195" s="1" t="s">
        <v>25</v>
      </c>
      <c r="H195" s="1">
        <v>340.0</v>
      </c>
      <c r="I195" s="1">
        <v>0.0</v>
      </c>
      <c r="J195" s="1">
        <v>0.0</v>
      </c>
      <c r="K195" s="1">
        <v>340.0</v>
      </c>
      <c r="L195" s="1">
        <v>19.07</v>
      </c>
      <c r="M195" s="1">
        <v>6483.8</v>
      </c>
      <c r="N195" s="1" t="s">
        <v>21</v>
      </c>
      <c r="O195" s="1">
        <v>0.0</v>
      </c>
      <c r="P195" s="1" t="s">
        <v>616</v>
      </c>
      <c r="Q195" s="1" t="str">
        <f t="shared" si="1"/>
        <v>x</v>
      </c>
      <c r="R195" s="1" t="str">
        <f t="shared" si="2"/>
        <v>x</v>
      </c>
      <c r="S195" s="1" t="str">
        <f t="shared" si="3"/>
        <v>x</v>
      </c>
      <c r="T195" s="1" t="str">
        <f t="shared" si="4"/>
        <v>OK</v>
      </c>
    </row>
    <row r="196" ht="15.75" customHeight="1">
      <c r="A196" s="1" t="s">
        <v>617</v>
      </c>
      <c r="B196" s="1">
        <v>1.1531396E7</v>
      </c>
      <c r="C196" s="1" t="s">
        <v>21</v>
      </c>
      <c r="D196" s="1" t="s">
        <v>22</v>
      </c>
      <c r="E196" s="1" t="s">
        <v>23</v>
      </c>
      <c r="F196" s="1" t="s">
        <v>316</v>
      </c>
      <c r="G196" s="1" t="s">
        <v>25</v>
      </c>
      <c r="H196" s="1">
        <v>7.0</v>
      </c>
      <c r="I196" s="1">
        <v>7.0</v>
      </c>
      <c r="J196" s="1">
        <v>7.0</v>
      </c>
      <c r="K196" s="1">
        <v>21.0</v>
      </c>
      <c r="L196" s="1">
        <v>302.61</v>
      </c>
      <c r="M196" s="1">
        <v>6354.81</v>
      </c>
      <c r="N196" s="1" t="s">
        <v>21</v>
      </c>
      <c r="O196" s="1" t="s">
        <v>26</v>
      </c>
      <c r="P196" s="1" t="s">
        <v>618</v>
      </c>
      <c r="Q196" s="1" t="str">
        <f t="shared" si="1"/>
        <v>x</v>
      </c>
      <c r="R196" s="1" t="str">
        <f t="shared" si="2"/>
        <v>x</v>
      </c>
      <c r="S196" s="1" t="str">
        <f t="shared" si="3"/>
        <v>x</v>
      </c>
      <c r="T196" s="1" t="str">
        <f t="shared" si="4"/>
        <v>OK</v>
      </c>
    </row>
    <row r="197" ht="15.75" customHeight="1">
      <c r="A197" s="1" t="s">
        <v>619</v>
      </c>
      <c r="B197" s="1">
        <v>1.2156706E7</v>
      </c>
      <c r="C197" s="1" t="s">
        <v>21</v>
      </c>
      <c r="D197" s="1" t="s">
        <v>79</v>
      </c>
      <c r="E197" s="1" t="s">
        <v>620</v>
      </c>
      <c r="F197" s="1" t="s">
        <v>621</v>
      </c>
      <c r="G197" s="1" t="s">
        <v>25</v>
      </c>
      <c r="H197" s="1">
        <v>2.0</v>
      </c>
      <c r="I197" s="1">
        <v>2.0</v>
      </c>
      <c r="J197" s="1">
        <v>2.0</v>
      </c>
      <c r="K197" s="1">
        <v>6.0</v>
      </c>
      <c r="L197" s="1">
        <v>1053.05</v>
      </c>
      <c r="M197" s="1">
        <v>6318.3</v>
      </c>
      <c r="N197" s="1" t="s">
        <v>26</v>
      </c>
      <c r="O197" s="1">
        <v>0.0</v>
      </c>
      <c r="P197" s="1" t="s">
        <v>622</v>
      </c>
      <c r="Q197" s="1" t="str">
        <f t="shared" si="1"/>
        <v>x</v>
      </c>
      <c r="R197" s="1" t="str">
        <f t="shared" si="2"/>
        <v>x</v>
      </c>
      <c r="S197" s="1" t="str">
        <f t="shared" si="3"/>
        <v>x</v>
      </c>
      <c r="T197" s="1" t="str">
        <f t="shared" si="4"/>
        <v>OK</v>
      </c>
    </row>
    <row r="198" ht="15.75" customHeight="1">
      <c r="A198" s="1" t="s">
        <v>623</v>
      </c>
      <c r="B198" s="1">
        <v>1.1430348E7</v>
      </c>
      <c r="C198" s="1" t="s">
        <v>21</v>
      </c>
      <c r="D198" s="1" t="s">
        <v>22</v>
      </c>
      <c r="E198" s="1" t="s">
        <v>36</v>
      </c>
      <c r="F198" s="1" t="s">
        <v>624</v>
      </c>
      <c r="G198" s="1" t="s">
        <v>25</v>
      </c>
      <c r="H198" s="1">
        <v>122.0</v>
      </c>
      <c r="I198" s="1">
        <v>0.0</v>
      </c>
      <c r="J198" s="1">
        <v>0.0</v>
      </c>
      <c r="K198" s="1">
        <v>122.0</v>
      </c>
      <c r="L198" s="1">
        <v>50.92</v>
      </c>
      <c r="M198" s="1">
        <v>6212.24</v>
      </c>
      <c r="N198" s="1" t="s">
        <v>21</v>
      </c>
      <c r="O198" s="1">
        <v>0.0</v>
      </c>
      <c r="P198" s="1" t="s">
        <v>625</v>
      </c>
      <c r="Q198" s="1" t="str">
        <f t="shared" si="1"/>
        <v>x</v>
      </c>
      <c r="R198" s="1" t="str">
        <f t="shared" si="2"/>
        <v>x</v>
      </c>
      <c r="S198" s="1" t="str">
        <f t="shared" si="3"/>
        <v>x</v>
      </c>
      <c r="T198" s="1" t="str">
        <f t="shared" si="4"/>
        <v>OK</v>
      </c>
    </row>
    <row r="199" ht="15.75" customHeight="1">
      <c r="A199" s="1" t="s">
        <v>626</v>
      </c>
      <c r="B199" s="1">
        <v>1.0083913E7</v>
      </c>
      <c r="C199" s="1" t="s">
        <v>21</v>
      </c>
      <c r="D199" s="1" t="s">
        <v>22</v>
      </c>
      <c r="E199" s="1" t="s">
        <v>231</v>
      </c>
      <c r="F199" s="1" t="s">
        <v>627</v>
      </c>
      <c r="G199" s="1" t="s">
        <v>25</v>
      </c>
      <c r="H199" s="1">
        <v>0.0</v>
      </c>
      <c r="I199" s="1">
        <v>375.0</v>
      </c>
      <c r="J199" s="1">
        <v>375.0</v>
      </c>
      <c r="K199" s="1">
        <v>750.0</v>
      </c>
      <c r="L199" s="1">
        <v>8.11</v>
      </c>
      <c r="M199" s="1">
        <v>6082.5</v>
      </c>
      <c r="N199" s="1" t="s">
        <v>21</v>
      </c>
      <c r="O199" s="1">
        <v>0.0</v>
      </c>
      <c r="P199" s="1" t="s">
        <v>628</v>
      </c>
      <c r="Q199" s="1" t="str">
        <f t="shared" si="1"/>
        <v>x</v>
      </c>
      <c r="R199" s="1" t="str">
        <f t="shared" si="2"/>
        <v>x</v>
      </c>
      <c r="S199" s="1" t="str">
        <f t="shared" si="3"/>
        <v>x</v>
      </c>
      <c r="T199" s="1" t="str">
        <f t="shared" si="4"/>
        <v>OK</v>
      </c>
    </row>
    <row r="200" ht="15.75" customHeight="1">
      <c r="A200" s="1" t="s">
        <v>629</v>
      </c>
      <c r="B200" s="1">
        <v>1.0360353E7</v>
      </c>
      <c r="C200" s="1" t="s">
        <v>21</v>
      </c>
      <c r="D200" s="1" t="s">
        <v>22</v>
      </c>
      <c r="E200" s="1" t="s">
        <v>150</v>
      </c>
      <c r="F200" s="1" t="s">
        <v>630</v>
      </c>
      <c r="G200" s="1" t="s">
        <v>25</v>
      </c>
      <c r="H200" s="1">
        <v>30.0</v>
      </c>
      <c r="I200" s="1">
        <v>0.0</v>
      </c>
      <c r="J200" s="1">
        <v>30.0</v>
      </c>
      <c r="K200" s="1">
        <v>60.0</v>
      </c>
      <c r="L200" s="1">
        <v>100.29</v>
      </c>
      <c r="M200" s="1">
        <v>6017.4</v>
      </c>
      <c r="N200" s="1" t="s">
        <v>21</v>
      </c>
      <c r="O200" s="1">
        <v>0.0</v>
      </c>
      <c r="P200" s="1" t="s">
        <v>631</v>
      </c>
      <c r="Q200" s="1" t="str">
        <f t="shared" si="1"/>
        <v>x</v>
      </c>
      <c r="R200" s="1" t="str">
        <f t="shared" si="2"/>
        <v>x</v>
      </c>
      <c r="S200" s="1" t="str">
        <f t="shared" si="3"/>
        <v>x</v>
      </c>
      <c r="T200" s="1" t="str">
        <f t="shared" si="4"/>
        <v>OK</v>
      </c>
    </row>
    <row r="201" ht="15.75" customHeight="1">
      <c r="A201" s="1" t="s">
        <v>632</v>
      </c>
      <c r="B201" s="1">
        <v>1.0252061E7</v>
      </c>
      <c r="C201" s="1" t="s">
        <v>21</v>
      </c>
      <c r="D201" s="1" t="s">
        <v>22</v>
      </c>
      <c r="E201" s="1" t="s">
        <v>633</v>
      </c>
      <c r="F201" s="1" t="s">
        <v>634</v>
      </c>
      <c r="G201" s="1" t="s">
        <v>25</v>
      </c>
      <c r="H201" s="1">
        <v>954.0</v>
      </c>
      <c r="I201" s="1">
        <v>484.0</v>
      </c>
      <c r="J201" s="1">
        <v>484.0</v>
      </c>
      <c r="K201" s="1">
        <v>1922.0</v>
      </c>
      <c r="L201" s="1">
        <v>3.08</v>
      </c>
      <c r="M201" s="1">
        <v>5919.76</v>
      </c>
      <c r="N201" s="1" t="s">
        <v>21</v>
      </c>
      <c r="O201" s="1">
        <v>0.0</v>
      </c>
      <c r="P201" s="1" t="s">
        <v>635</v>
      </c>
      <c r="Q201" s="1" t="str">
        <f t="shared" si="1"/>
        <v>x</v>
      </c>
      <c r="R201" s="1" t="str">
        <f t="shared" si="2"/>
        <v>x</v>
      </c>
      <c r="S201" s="1" t="str">
        <f t="shared" si="3"/>
        <v>x</v>
      </c>
      <c r="T201" s="1" t="str">
        <f t="shared" si="4"/>
        <v>OK</v>
      </c>
    </row>
    <row r="202" ht="15.75" customHeight="1">
      <c r="A202" s="1" t="s">
        <v>636</v>
      </c>
      <c r="B202" s="1">
        <v>1.1129582E7</v>
      </c>
      <c r="C202" s="1" t="s">
        <v>21</v>
      </c>
      <c r="D202" s="1" t="s">
        <v>22</v>
      </c>
      <c r="E202" s="1" t="s">
        <v>195</v>
      </c>
      <c r="F202" s="1" t="s">
        <v>637</v>
      </c>
      <c r="G202" s="1" t="s">
        <v>25</v>
      </c>
      <c r="H202" s="1">
        <v>502.0</v>
      </c>
      <c r="I202" s="1">
        <v>0.0</v>
      </c>
      <c r="J202" s="1">
        <v>0.0</v>
      </c>
      <c r="K202" s="1">
        <v>502.0</v>
      </c>
      <c r="L202" s="1">
        <v>11.57</v>
      </c>
      <c r="M202" s="1">
        <v>5808.14</v>
      </c>
      <c r="N202" s="1" t="s">
        <v>21</v>
      </c>
      <c r="O202" s="1">
        <v>0.0</v>
      </c>
      <c r="P202" s="1" t="s">
        <v>638</v>
      </c>
      <c r="Q202" s="1" t="str">
        <f t="shared" si="1"/>
        <v>x</v>
      </c>
      <c r="R202" s="1" t="str">
        <f t="shared" si="2"/>
        <v>x</v>
      </c>
      <c r="S202" s="1" t="str">
        <f t="shared" si="3"/>
        <v>x</v>
      </c>
      <c r="T202" s="1" t="str">
        <f t="shared" si="4"/>
        <v>OK</v>
      </c>
    </row>
    <row r="203" ht="15.75" customHeight="1">
      <c r="A203" s="1" t="s">
        <v>639</v>
      </c>
      <c r="B203" s="1">
        <v>1.1180975E7</v>
      </c>
      <c r="C203" s="1" t="s">
        <v>21</v>
      </c>
      <c r="D203" s="1" t="s">
        <v>79</v>
      </c>
      <c r="E203" s="1" t="s">
        <v>640</v>
      </c>
      <c r="F203" s="1" t="s">
        <v>641</v>
      </c>
      <c r="G203" s="1" t="s">
        <v>25</v>
      </c>
      <c r="H203" s="1">
        <v>1.0</v>
      </c>
      <c r="I203" s="1">
        <v>1.0</v>
      </c>
      <c r="J203" s="1">
        <v>1.0</v>
      </c>
      <c r="K203" s="1">
        <v>3.0</v>
      </c>
      <c r="L203" s="1">
        <v>1934.39</v>
      </c>
      <c r="M203" s="1">
        <v>5803.17</v>
      </c>
      <c r="N203" s="1" t="s">
        <v>21</v>
      </c>
      <c r="O203" s="1">
        <v>0.0</v>
      </c>
      <c r="P203" s="1" t="s">
        <v>642</v>
      </c>
      <c r="Q203" s="1" t="str">
        <f t="shared" si="1"/>
        <v>x</v>
      </c>
      <c r="R203" s="1" t="str">
        <f t="shared" si="2"/>
        <v>x</v>
      </c>
      <c r="S203" s="1" t="str">
        <f t="shared" si="3"/>
        <v>x</v>
      </c>
      <c r="T203" s="1" t="str">
        <f t="shared" si="4"/>
        <v>OK</v>
      </c>
    </row>
    <row r="204" ht="15.75" customHeight="1">
      <c r="A204" s="1" t="s">
        <v>643</v>
      </c>
      <c r="B204" s="1">
        <v>1.0686566E7</v>
      </c>
      <c r="C204" s="1" t="s">
        <v>21</v>
      </c>
      <c r="D204" s="1" t="s">
        <v>22</v>
      </c>
      <c r="E204" s="1" t="s">
        <v>129</v>
      </c>
      <c r="F204" s="1" t="s">
        <v>375</v>
      </c>
      <c r="G204" s="1" t="s">
        <v>25</v>
      </c>
      <c r="H204" s="1">
        <v>130.0</v>
      </c>
      <c r="I204" s="1">
        <v>30.0</v>
      </c>
      <c r="J204" s="1">
        <v>0.0</v>
      </c>
      <c r="K204" s="1">
        <v>160.0</v>
      </c>
      <c r="L204" s="1">
        <v>35.34</v>
      </c>
      <c r="M204" s="1">
        <v>5654.4</v>
      </c>
      <c r="N204" s="1" t="s">
        <v>21</v>
      </c>
      <c r="O204" s="1">
        <v>0.0</v>
      </c>
      <c r="P204" s="1" t="s">
        <v>644</v>
      </c>
      <c r="Q204" s="1" t="str">
        <f t="shared" si="1"/>
        <v>x</v>
      </c>
      <c r="R204" s="1" t="str">
        <f t="shared" si="2"/>
        <v>x</v>
      </c>
      <c r="S204" s="1" t="str">
        <f t="shared" si="3"/>
        <v>x</v>
      </c>
      <c r="T204" s="1" t="str">
        <f t="shared" si="4"/>
        <v>OK</v>
      </c>
    </row>
    <row r="205" ht="15.75" customHeight="1">
      <c r="A205" s="1" t="s">
        <v>645</v>
      </c>
      <c r="B205" s="1">
        <v>1.1672779E7</v>
      </c>
      <c r="C205" s="1" t="s">
        <v>21</v>
      </c>
      <c r="D205" s="1" t="s">
        <v>22</v>
      </c>
      <c r="E205" s="1" t="s">
        <v>213</v>
      </c>
      <c r="F205" s="1" t="s">
        <v>646</v>
      </c>
      <c r="G205" s="1" t="s">
        <v>25</v>
      </c>
      <c r="H205" s="1">
        <v>0.0</v>
      </c>
      <c r="I205" s="1">
        <v>1.0</v>
      </c>
      <c r="J205" s="1">
        <v>1.0</v>
      </c>
      <c r="K205" s="1">
        <v>2.0</v>
      </c>
      <c r="L205" s="1">
        <v>2757.54</v>
      </c>
      <c r="M205" s="1">
        <v>5515.08</v>
      </c>
      <c r="N205" s="1" t="s">
        <v>21</v>
      </c>
      <c r="O205" s="1">
        <v>0.0</v>
      </c>
      <c r="P205" s="1" t="s">
        <v>647</v>
      </c>
      <c r="Q205" s="1" t="str">
        <f t="shared" si="1"/>
        <v>x</v>
      </c>
      <c r="R205" s="1" t="str">
        <f t="shared" si="2"/>
        <v>x</v>
      </c>
      <c r="S205" s="1" t="str">
        <f t="shared" si="3"/>
        <v>x</v>
      </c>
      <c r="T205" s="1" t="str">
        <f t="shared" si="4"/>
        <v>OK</v>
      </c>
    </row>
    <row r="206" ht="15.75" customHeight="1">
      <c r="A206" s="1" t="s">
        <v>648</v>
      </c>
      <c r="B206" s="1">
        <v>1.0000085E7</v>
      </c>
      <c r="C206" s="1" t="s">
        <v>21</v>
      </c>
      <c r="D206" s="1" t="s">
        <v>22</v>
      </c>
      <c r="E206" s="1" t="s">
        <v>231</v>
      </c>
      <c r="F206" s="1" t="s">
        <v>649</v>
      </c>
      <c r="G206" s="1" t="s">
        <v>25</v>
      </c>
      <c r="H206" s="1">
        <v>140.0</v>
      </c>
      <c r="I206" s="1">
        <v>308.0</v>
      </c>
      <c r="J206" s="1">
        <v>276.0</v>
      </c>
      <c r="K206" s="1">
        <v>724.0</v>
      </c>
      <c r="L206" s="1">
        <v>7.54</v>
      </c>
      <c r="M206" s="1">
        <v>5458.96</v>
      </c>
      <c r="N206" s="1" t="s">
        <v>21</v>
      </c>
      <c r="O206" s="1">
        <v>0.0</v>
      </c>
      <c r="P206" s="1" t="s">
        <v>650</v>
      </c>
      <c r="Q206" s="1" t="str">
        <f t="shared" si="1"/>
        <v>x</v>
      </c>
      <c r="R206" s="1" t="str">
        <f t="shared" si="2"/>
        <v>x</v>
      </c>
      <c r="S206" s="1" t="str">
        <f t="shared" si="3"/>
        <v>x</v>
      </c>
      <c r="T206" s="1" t="str">
        <f t="shared" si="4"/>
        <v>OK</v>
      </c>
    </row>
    <row r="207" ht="15.75" customHeight="1">
      <c r="A207" s="1" t="s">
        <v>651</v>
      </c>
      <c r="B207" s="1">
        <v>1.1139369E7</v>
      </c>
      <c r="C207" s="1" t="s">
        <v>21</v>
      </c>
      <c r="D207" s="1" t="s">
        <v>22</v>
      </c>
      <c r="E207" s="1" t="s">
        <v>23</v>
      </c>
      <c r="F207" s="1" t="s">
        <v>652</v>
      </c>
      <c r="G207" s="1" t="s">
        <v>25</v>
      </c>
      <c r="H207" s="1">
        <v>9.0</v>
      </c>
      <c r="I207" s="1">
        <v>0.0</v>
      </c>
      <c r="J207" s="1">
        <v>0.0</v>
      </c>
      <c r="K207" s="1">
        <v>9.0</v>
      </c>
      <c r="L207" s="1">
        <v>601.46</v>
      </c>
      <c r="M207" s="1">
        <v>5413.14</v>
      </c>
      <c r="N207" s="1" t="s">
        <v>21</v>
      </c>
      <c r="O207" s="1">
        <v>0.0</v>
      </c>
      <c r="P207" s="1" t="s">
        <v>653</v>
      </c>
      <c r="Q207" s="1" t="str">
        <f t="shared" si="1"/>
        <v>x</v>
      </c>
      <c r="R207" s="1" t="str">
        <f t="shared" si="2"/>
        <v>x</v>
      </c>
      <c r="S207" s="1" t="str">
        <f t="shared" si="3"/>
        <v>x</v>
      </c>
      <c r="T207" s="1" t="str">
        <f t="shared" si="4"/>
        <v>OK</v>
      </c>
    </row>
    <row r="208" ht="15.75" customHeight="1">
      <c r="A208" s="1" t="s">
        <v>654</v>
      </c>
      <c r="B208" s="1">
        <v>1.1518384E7</v>
      </c>
      <c r="C208" s="1">
        <v>1.1112181E7</v>
      </c>
      <c r="D208" s="1" t="s">
        <v>22</v>
      </c>
      <c r="E208" s="1" t="s">
        <v>52</v>
      </c>
      <c r="F208" s="1" t="s">
        <v>655</v>
      </c>
      <c r="G208" s="1" t="s">
        <v>25</v>
      </c>
      <c r="H208" s="1">
        <v>2.0</v>
      </c>
      <c r="I208" s="1">
        <v>0.0</v>
      </c>
      <c r="J208" s="1">
        <v>0.0</v>
      </c>
      <c r="K208" s="1">
        <v>2.0</v>
      </c>
      <c r="L208" s="1">
        <v>2625.33</v>
      </c>
      <c r="M208" s="1">
        <v>5250.66</v>
      </c>
      <c r="N208" s="1" t="s">
        <v>21</v>
      </c>
      <c r="O208" s="1">
        <v>0.0</v>
      </c>
      <c r="P208" s="1" t="s">
        <v>656</v>
      </c>
      <c r="Q208" s="1" t="str">
        <f t="shared" si="1"/>
        <v>x</v>
      </c>
      <c r="R208" s="1" t="str">
        <f t="shared" si="2"/>
        <v>x</v>
      </c>
      <c r="S208" s="1" t="str">
        <f t="shared" si="3"/>
        <v>x</v>
      </c>
      <c r="T208" s="1" t="str">
        <f t="shared" si="4"/>
        <v>OK</v>
      </c>
    </row>
    <row r="209" ht="15.75" customHeight="1">
      <c r="A209" s="1" t="s">
        <v>657</v>
      </c>
      <c r="B209" s="1">
        <v>1.1518384E7</v>
      </c>
      <c r="C209" s="1" t="s">
        <v>21</v>
      </c>
      <c r="D209" s="1" t="s">
        <v>22</v>
      </c>
      <c r="E209" s="1" t="s">
        <v>52</v>
      </c>
      <c r="F209" s="1" t="s">
        <v>655</v>
      </c>
      <c r="G209" s="1" t="s">
        <v>25</v>
      </c>
      <c r="H209" s="1">
        <v>2.0</v>
      </c>
      <c r="I209" s="1">
        <v>0.0</v>
      </c>
      <c r="J209" s="1">
        <v>0.0</v>
      </c>
      <c r="K209" s="1">
        <v>2.0</v>
      </c>
      <c r="L209" s="1">
        <v>2625.33</v>
      </c>
      <c r="M209" s="1">
        <v>5250.66</v>
      </c>
      <c r="N209" s="1" t="s">
        <v>21</v>
      </c>
      <c r="O209" s="1">
        <v>0.0</v>
      </c>
      <c r="P209" s="1" t="s">
        <v>656</v>
      </c>
      <c r="Q209" s="1" t="str">
        <f t="shared" si="1"/>
        <v>x</v>
      </c>
      <c r="R209" s="1" t="str">
        <f t="shared" si="2"/>
        <v>x</v>
      </c>
      <c r="S209" s="1" t="str">
        <f t="shared" si="3"/>
        <v>x</v>
      </c>
      <c r="T209" s="1" t="str">
        <f t="shared" si="4"/>
        <v>OK</v>
      </c>
    </row>
    <row r="210" ht="15.75" customHeight="1">
      <c r="A210" s="1" t="s">
        <v>658</v>
      </c>
      <c r="B210" s="1">
        <v>1.1200291E7</v>
      </c>
      <c r="C210" s="1" t="s">
        <v>21</v>
      </c>
      <c r="D210" s="1" t="s">
        <v>22</v>
      </c>
      <c r="E210" s="1" t="s">
        <v>52</v>
      </c>
      <c r="F210" s="1" t="s">
        <v>659</v>
      </c>
      <c r="G210" s="1" t="s">
        <v>25</v>
      </c>
      <c r="H210" s="1">
        <v>2.0</v>
      </c>
      <c r="I210" s="1">
        <v>0.0</v>
      </c>
      <c r="J210" s="1">
        <v>0.0</v>
      </c>
      <c r="K210" s="1">
        <v>2.0</v>
      </c>
      <c r="L210" s="1">
        <v>2560.69</v>
      </c>
      <c r="M210" s="1">
        <v>5121.38</v>
      </c>
      <c r="N210" s="1" t="s">
        <v>21</v>
      </c>
      <c r="O210" s="1">
        <v>0.0</v>
      </c>
      <c r="P210" s="1" t="s">
        <v>660</v>
      </c>
      <c r="Q210" s="1" t="str">
        <f t="shared" si="1"/>
        <v>x</v>
      </c>
      <c r="R210" s="1" t="str">
        <f t="shared" si="2"/>
        <v>x</v>
      </c>
      <c r="S210" s="1" t="str">
        <f t="shared" si="3"/>
        <v>x</v>
      </c>
      <c r="T210" s="1" t="str">
        <f t="shared" si="4"/>
        <v>OK</v>
      </c>
    </row>
    <row r="211" ht="15.75" customHeight="1">
      <c r="A211" s="1" t="s">
        <v>661</v>
      </c>
      <c r="B211" s="1">
        <v>1.1808104E7</v>
      </c>
      <c r="C211" s="1">
        <v>1.0865976E7</v>
      </c>
      <c r="D211" s="1" t="s">
        <v>22</v>
      </c>
      <c r="E211" s="1" t="s">
        <v>52</v>
      </c>
      <c r="F211" s="1" t="s">
        <v>662</v>
      </c>
      <c r="G211" s="1" t="s">
        <v>25</v>
      </c>
      <c r="H211" s="1">
        <v>3.0</v>
      </c>
      <c r="I211" s="1">
        <v>0.0</v>
      </c>
      <c r="J211" s="1">
        <v>0.0</v>
      </c>
      <c r="K211" s="1">
        <v>3.0</v>
      </c>
      <c r="L211" s="1">
        <v>1705.53</v>
      </c>
      <c r="M211" s="1">
        <v>5116.59</v>
      </c>
      <c r="N211" s="1" t="s">
        <v>21</v>
      </c>
      <c r="O211" s="1">
        <v>0.0</v>
      </c>
      <c r="P211" s="1" t="s">
        <v>663</v>
      </c>
      <c r="Q211" s="1" t="str">
        <f t="shared" si="1"/>
        <v>x</v>
      </c>
      <c r="R211" s="1" t="str">
        <f t="shared" si="2"/>
        <v>x</v>
      </c>
      <c r="S211" s="1" t="str">
        <f t="shared" si="3"/>
        <v>x</v>
      </c>
      <c r="T211" s="1" t="str">
        <f t="shared" si="4"/>
        <v>OK</v>
      </c>
    </row>
    <row r="212" ht="15.75" customHeight="1">
      <c r="A212" s="1" t="s">
        <v>664</v>
      </c>
      <c r="B212" s="1">
        <v>1.0252061E7</v>
      </c>
      <c r="C212" s="1" t="s">
        <v>21</v>
      </c>
      <c r="D212" s="1" t="s">
        <v>22</v>
      </c>
      <c r="E212" s="1" t="s">
        <v>633</v>
      </c>
      <c r="F212" s="1" t="s">
        <v>634</v>
      </c>
      <c r="G212" s="1" t="s">
        <v>25</v>
      </c>
      <c r="H212" s="1">
        <v>954.0</v>
      </c>
      <c r="I212" s="1">
        <v>334.0</v>
      </c>
      <c r="J212" s="1">
        <v>334.0</v>
      </c>
      <c r="K212" s="1">
        <v>1622.0</v>
      </c>
      <c r="L212" s="1">
        <v>3.08</v>
      </c>
      <c r="M212" s="1">
        <v>4995.76</v>
      </c>
      <c r="N212" s="1" t="s">
        <v>21</v>
      </c>
      <c r="O212" s="1">
        <v>0.0</v>
      </c>
      <c r="P212" s="1" t="s">
        <v>665</v>
      </c>
      <c r="Q212" s="1" t="str">
        <f t="shared" si="1"/>
        <v>x</v>
      </c>
      <c r="R212" s="1" t="str">
        <f t="shared" si="2"/>
        <v>x</v>
      </c>
      <c r="S212" s="1" t="str">
        <f t="shared" si="3"/>
        <v>x</v>
      </c>
      <c r="T212" s="1" t="str">
        <f t="shared" si="4"/>
        <v>OK</v>
      </c>
    </row>
    <row r="213" ht="15.75" customHeight="1">
      <c r="A213" s="1" t="s">
        <v>666</v>
      </c>
      <c r="B213" s="1">
        <v>1.05898E7</v>
      </c>
      <c r="C213" s="1" t="s">
        <v>21</v>
      </c>
      <c r="D213" s="1" t="s">
        <v>22</v>
      </c>
      <c r="E213" s="1" t="s">
        <v>129</v>
      </c>
      <c r="F213" s="1" t="s">
        <v>667</v>
      </c>
      <c r="G213" s="1" t="s">
        <v>25</v>
      </c>
      <c r="H213" s="1">
        <v>132.0</v>
      </c>
      <c r="I213" s="1">
        <v>40.0</v>
      </c>
      <c r="J213" s="1">
        <v>12.0</v>
      </c>
      <c r="K213" s="1">
        <v>184.0</v>
      </c>
      <c r="L213" s="1">
        <v>27.03</v>
      </c>
      <c r="M213" s="1">
        <v>4973.52</v>
      </c>
      <c r="N213" s="1" t="s">
        <v>21</v>
      </c>
      <c r="O213" s="1">
        <v>0.0</v>
      </c>
      <c r="P213" s="1" t="s">
        <v>668</v>
      </c>
      <c r="Q213" s="1" t="str">
        <f t="shared" si="1"/>
        <v>x</v>
      </c>
      <c r="R213" s="1" t="str">
        <f t="shared" si="2"/>
        <v>x</v>
      </c>
      <c r="S213" s="1" t="str">
        <f t="shared" si="3"/>
        <v>x</v>
      </c>
      <c r="T213" s="1" t="str">
        <f t="shared" si="4"/>
        <v>OK</v>
      </c>
    </row>
    <row r="214" ht="15.75" customHeight="1">
      <c r="A214" s="1" t="s">
        <v>669</v>
      </c>
      <c r="B214" s="1">
        <v>1.0689732E7</v>
      </c>
      <c r="C214" s="1" t="s">
        <v>21</v>
      </c>
      <c r="D214" s="1" t="s">
        <v>22</v>
      </c>
      <c r="E214" s="1" t="s">
        <v>46</v>
      </c>
      <c r="F214" s="1" t="s">
        <v>670</v>
      </c>
      <c r="G214" s="1" t="s">
        <v>25</v>
      </c>
      <c r="H214" s="1">
        <v>1.0</v>
      </c>
      <c r="I214" s="1">
        <v>0.0</v>
      </c>
      <c r="J214" s="1">
        <v>0.0</v>
      </c>
      <c r="K214" s="1">
        <v>1.0</v>
      </c>
      <c r="L214" s="1">
        <v>4972.78</v>
      </c>
      <c r="M214" s="1">
        <v>4972.78</v>
      </c>
      <c r="N214" s="1" t="s">
        <v>21</v>
      </c>
      <c r="O214" s="1">
        <v>0.0</v>
      </c>
      <c r="P214" s="1" t="s">
        <v>671</v>
      </c>
      <c r="Q214" s="1" t="str">
        <f t="shared" si="1"/>
        <v>x</v>
      </c>
      <c r="R214" s="1" t="str">
        <f t="shared" si="2"/>
        <v>x</v>
      </c>
      <c r="S214" s="1" t="str">
        <f t="shared" si="3"/>
        <v>x</v>
      </c>
      <c r="T214" s="1" t="str">
        <f t="shared" si="4"/>
        <v>OK</v>
      </c>
    </row>
    <row r="215" ht="15.75" customHeight="1">
      <c r="A215" s="1" t="s">
        <v>672</v>
      </c>
      <c r="B215" s="1">
        <v>1.0946774E7</v>
      </c>
      <c r="C215" s="1" t="s">
        <v>21</v>
      </c>
      <c r="D215" s="1" t="s">
        <v>22</v>
      </c>
      <c r="E215" s="1" t="s">
        <v>23</v>
      </c>
      <c r="F215" s="1" t="s">
        <v>609</v>
      </c>
      <c r="G215" s="1" t="s">
        <v>25</v>
      </c>
      <c r="H215" s="1">
        <v>9.0</v>
      </c>
      <c r="I215" s="1">
        <v>0.0</v>
      </c>
      <c r="J215" s="1">
        <v>0.0</v>
      </c>
      <c r="K215" s="1">
        <v>9.0</v>
      </c>
      <c r="L215" s="1">
        <v>547.19</v>
      </c>
      <c r="M215" s="1">
        <v>4924.71</v>
      </c>
      <c r="N215" s="1" t="s">
        <v>21</v>
      </c>
      <c r="O215" s="1">
        <v>0.0</v>
      </c>
      <c r="P215" s="1" t="s">
        <v>673</v>
      </c>
      <c r="Q215" s="1" t="str">
        <f t="shared" si="1"/>
        <v>x</v>
      </c>
      <c r="R215" s="1" t="str">
        <f t="shared" si="2"/>
        <v>x</v>
      </c>
      <c r="S215" s="1" t="str">
        <f t="shared" si="3"/>
        <v>x</v>
      </c>
      <c r="T215" s="1" t="str">
        <f t="shared" si="4"/>
        <v>OK</v>
      </c>
    </row>
    <row r="216" ht="15.75" customHeight="1">
      <c r="A216" s="1" t="s">
        <v>674</v>
      </c>
      <c r="B216" s="1">
        <v>1.0946774E7</v>
      </c>
      <c r="C216" s="1" t="s">
        <v>21</v>
      </c>
      <c r="D216" s="1" t="s">
        <v>22</v>
      </c>
      <c r="E216" s="1" t="s">
        <v>23</v>
      </c>
      <c r="F216" s="1" t="s">
        <v>609</v>
      </c>
      <c r="G216" s="1" t="s">
        <v>25</v>
      </c>
      <c r="H216" s="1">
        <v>9.0</v>
      </c>
      <c r="I216" s="1">
        <v>0.0</v>
      </c>
      <c r="J216" s="1">
        <v>0.0</v>
      </c>
      <c r="K216" s="1">
        <v>9.0</v>
      </c>
      <c r="L216" s="1">
        <v>547.19</v>
      </c>
      <c r="M216" s="1">
        <v>4924.71</v>
      </c>
      <c r="N216" s="1" t="s">
        <v>21</v>
      </c>
      <c r="O216" s="1">
        <v>0.0</v>
      </c>
      <c r="P216" s="1" t="s">
        <v>673</v>
      </c>
      <c r="Q216" s="1" t="str">
        <f t="shared" si="1"/>
        <v>x</v>
      </c>
      <c r="R216" s="1" t="str">
        <f t="shared" si="2"/>
        <v>x</v>
      </c>
      <c r="S216" s="1" t="str">
        <f t="shared" si="3"/>
        <v>x</v>
      </c>
      <c r="T216" s="1" t="str">
        <f t="shared" si="4"/>
        <v>OK</v>
      </c>
    </row>
    <row r="217" ht="15.75" customHeight="1">
      <c r="A217" s="1" t="s">
        <v>675</v>
      </c>
      <c r="B217" s="1">
        <v>1.1452546E7</v>
      </c>
      <c r="C217" s="1">
        <v>1.0456246E7</v>
      </c>
      <c r="D217" s="1" t="s">
        <v>22</v>
      </c>
      <c r="E217" s="1" t="s">
        <v>129</v>
      </c>
      <c r="F217" s="1" t="s">
        <v>676</v>
      </c>
      <c r="G217" s="1" t="s">
        <v>25</v>
      </c>
      <c r="H217" s="1">
        <v>202.0</v>
      </c>
      <c r="I217" s="1">
        <v>0.0</v>
      </c>
      <c r="J217" s="1">
        <v>0.0</v>
      </c>
      <c r="K217" s="1">
        <v>202.0</v>
      </c>
      <c r="L217" s="1">
        <v>24.27</v>
      </c>
      <c r="M217" s="1">
        <v>4902.54</v>
      </c>
      <c r="N217" s="1" t="s">
        <v>21</v>
      </c>
      <c r="O217" s="1">
        <v>0.0</v>
      </c>
      <c r="P217" s="1" t="s">
        <v>677</v>
      </c>
      <c r="Q217" s="1" t="str">
        <f t="shared" si="1"/>
        <v>x</v>
      </c>
      <c r="R217" s="1" t="str">
        <f t="shared" si="2"/>
        <v>x</v>
      </c>
      <c r="S217" s="1" t="str">
        <f t="shared" si="3"/>
        <v>x</v>
      </c>
      <c r="T217" s="1" t="str">
        <f t="shared" si="4"/>
        <v>OK</v>
      </c>
    </row>
    <row r="218" ht="15.75" customHeight="1">
      <c r="A218" s="1" t="s">
        <v>678</v>
      </c>
      <c r="B218" s="1">
        <v>1.0320444E7</v>
      </c>
      <c r="C218" s="1" t="s">
        <v>21</v>
      </c>
      <c r="D218" s="1" t="s">
        <v>22</v>
      </c>
      <c r="E218" s="1" t="s">
        <v>52</v>
      </c>
      <c r="F218" s="1" t="s">
        <v>679</v>
      </c>
      <c r="G218" s="1" t="s">
        <v>25</v>
      </c>
      <c r="H218" s="1">
        <v>4.0</v>
      </c>
      <c r="I218" s="1">
        <v>0.0</v>
      </c>
      <c r="J218" s="1">
        <v>0.0</v>
      </c>
      <c r="K218" s="1">
        <v>4.0</v>
      </c>
      <c r="L218" s="1">
        <v>1224.6</v>
      </c>
      <c r="M218" s="1">
        <v>4898.4</v>
      </c>
      <c r="N218" s="1" t="s">
        <v>21</v>
      </c>
      <c r="O218" s="1">
        <v>0.0</v>
      </c>
      <c r="P218" s="1" t="s">
        <v>680</v>
      </c>
      <c r="Q218" s="1" t="str">
        <f t="shared" si="1"/>
        <v>x</v>
      </c>
      <c r="R218" s="1" t="str">
        <f t="shared" si="2"/>
        <v>x</v>
      </c>
      <c r="S218" s="1" t="str">
        <f t="shared" si="3"/>
        <v>x</v>
      </c>
      <c r="T218" s="1" t="str">
        <f t="shared" si="4"/>
        <v>OK</v>
      </c>
    </row>
    <row r="219" ht="15.75" customHeight="1">
      <c r="A219" s="1" t="s">
        <v>681</v>
      </c>
      <c r="B219" s="1">
        <v>1.1870273E7</v>
      </c>
      <c r="C219" s="1" t="s">
        <v>21</v>
      </c>
      <c r="D219" s="1" t="s">
        <v>22</v>
      </c>
      <c r="E219" s="1" t="s">
        <v>129</v>
      </c>
      <c r="F219" s="1" t="s">
        <v>682</v>
      </c>
      <c r="G219" s="1" t="s">
        <v>25</v>
      </c>
      <c r="H219" s="1">
        <v>0.0</v>
      </c>
      <c r="I219" s="1">
        <v>0.0</v>
      </c>
      <c r="J219" s="1">
        <v>132.0</v>
      </c>
      <c r="K219" s="1">
        <v>132.0</v>
      </c>
      <c r="L219" s="1">
        <v>37.07</v>
      </c>
      <c r="M219" s="1">
        <v>4893.24</v>
      </c>
      <c r="N219" s="1" t="s">
        <v>21</v>
      </c>
      <c r="O219" s="1">
        <v>0.0</v>
      </c>
      <c r="P219" s="1" t="s">
        <v>683</v>
      </c>
      <c r="Q219" s="1" t="str">
        <f t="shared" si="1"/>
        <v>x</v>
      </c>
      <c r="R219" s="1" t="str">
        <f t="shared" si="2"/>
        <v>x</v>
      </c>
      <c r="S219" s="1" t="str">
        <f t="shared" si="3"/>
        <v>x</v>
      </c>
      <c r="T219" s="1" t="str">
        <f t="shared" si="4"/>
        <v>OK</v>
      </c>
    </row>
    <row r="220" ht="15.75" customHeight="1">
      <c r="A220" s="1" t="s">
        <v>684</v>
      </c>
      <c r="B220" s="1">
        <v>1.0752419E7</v>
      </c>
      <c r="C220" s="1" t="s">
        <v>21</v>
      </c>
      <c r="D220" s="1" t="s">
        <v>22</v>
      </c>
      <c r="E220" s="1" t="s">
        <v>129</v>
      </c>
      <c r="F220" s="1" t="s">
        <v>685</v>
      </c>
      <c r="G220" s="1" t="s">
        <v>25</v>
      </c>
      <c r="H220" s="1">
        <v>52.0</v>
      </c>
      <c r="I220" s="1">
        <v>52.0</v>
      </c>
      <c r="J220" s="1">
        <v>52.0</v>
      </c>
      <c r="K220" s="1">
        <v>156.0</v>
      </c>
      <c r="L220" s="1">
        <v>30.65</v>
      </c>
      <c r="M220" s="1">
        <v>4781.4</v>
      </c>
      <c r="N220" s="1" t="s">
        <v>21</v>
      </c>
      <c r="O220" s="1">
        <v>0.0</v>
      </c>
      <c r="P220" s="1" t="s">
        <v>686</v>
      </c>
      <c r="Q220" s="1" t="str">
        <f t="shared" si="1"/>
        <v>x</v>
      </c>
      <c r="R220" s="1" t="str">
        <f t="shared" si="2"/>
        <v>x</v>
      </c>
      <c r="S220" s="1" t="str">
        <f t="shared" si="3"/>
        <v>x</v>
      </c>
      <c r="T220" s="1" t="str">
        <f t="shared" si="4"/>
        <v>OK</v>
      </c>
    </row>
    <row r="221" ht="15.75" customHeight="1">
      <c r="A221" s="1" t="s">
        <v>687</v>
      </c>
      <c r="B221" s="1">
        <v>1.2020753E7</v>
      </c>
      <c r="C221" s="1">
        <v>1.1401321E7</v>
      </c>
      <c r="D221" s="1" t="s">
        <v>22</v>
      </c>
      <c r="E221" s="1" t="s">
        <v>23</v>
      </c>
      <c r="F221" s="1" t="s">
        <v>688</v>
      </c>
      <c r="G221" s="1" t="s">
        <v>25</v>
      </c>
      <c r="H221" s="1">
        <v>5.0</v>
      </c>
      <c r="I221" s="1">
        <v>4.0</v>
      </c>
      <c r="J221" s="1">
        <v>0.0</v>
      </c>
      <c r="K221" s="1">
        <v>9.0</v>
      </c>
      <c r="L221" s="1">
        <v>529.85</v>
      </c>
      <c r="M221" s="1">
        <v>4768.65</v>
      </c>
      <c r="N221" s="1" t="s">
        <v>21</v>
      </c>
      <c r="O221" s="1">
        <v>0.0</v>
      </c>
      <c r="P221" s="1" t="s">
        <v>689</v>
      </c>
      <c r="Q221" s="1" t="str">
        <f t="shared" si="1"/>
        <v>x</v>
      </c>
      <c r="R221" s="1" t="str">
        <f t="shared" si="2"/>
        <v>x</v>
      </c>
      <c r="S221" s="1" t="str">
        <f t="shared" si="3"/>
        <v>x</v>
      </c>
      <c r="T221" s="1" t="str">
        <f t="shared" si="4"/>
        <v>OK</v>
      </c>
    </row>
    <row r="222" ht="15.75" customHeight="1">
      <c r="A222" s="1" t="s">
        <v>690</v>
      </c>
      <c r="B222" s="1">
        <v>1.0420185E7</v>
      </c>
      <c r="C222" s="1" t="s">
        <v>21</v>
      </c>
      <c r="D222" s="1" t="s">
        <v>22</v>
      </c>
      <c r="E222" s="1" t="s">
        <v>231</v>
      </c>
      <c r="F222" s="1" t="s">
        <v>301</v>
      </c>
      <c r="G222" s="1" t="s">
        <v>25</v>
      </c>
      <c r="H222" s="1">
        <v>304.0</v>
      </c>
      <c r="I222" s="1">
        <v>48.0</v>
      </c>
      <c r="J222" s="1">
        <v>160.0</v>
      </c>
      <c r="K222" s="1">
        <v>512.0</v>
      </c>
      <c r="L222" s="1">
        <v>9.31</v>
      </c>
      <c r="M222" s="1">
        <v>4766.72</v>
      </c>
      <c r="N222" s="1" t="s">
        <v>21</v>
      </c>
      <c r="O222" s="1">
        <v>0.0</v>
      </c>
      <c r="P222" s="1" t="s">
        <v>691</v>
      </c>
      <c r="Q222" s="1" t="str">
        <f t="shared" si="1"/>
        <v>x</v>
      </c>
      <c r="R222" s="1" t="str">
        <f t="shared" si="2"/>
        <v>x</v>
      </c>
      <c r="S222" s="1" t="str">
        <f t="shared" si="3"/>
        <v>x</v>
      </c>
      <c r="T222" s="1" t="str">
        <f t="shared" si="4"/>
        <v>OK</v>
      </c>
    </row>
    <row r="223" ht="15.75" customHeight="1">
      <c r="A223" s="1" t="s">
        <v>692</v>
      </c>
      <c r="B223" s="1">
        <v>1.0763651E7</v>
      </c>
      <c r="C223" s="1" t="s">
        <v>21</v>
      </c>
      <c r="D223" s="1" t="s">
        <v>22</v>
      </c>
      <c r="E223" s="1" t="s">
        <v>52</v>
      </c>
      <c r="F223" s="1" t="s">
        <v>693</v>
      </c>
      <c r="G223" s="1" t="s">
        <v>25</v>
      </c>
      <c r="H223" s="1">
        <v>2.0</v>
      </c>
      <c r="I223" s="1">
        <v>0.0</v>
      </c>
      <c r="J223" s="1">
        <v>2.0</v>
      </c>
      <c r="K223" s="1">
        <v>4.0</v>
      </c>
      <c r="L223" s="1">
        <v>1185.38</v>
      </c>
      <c r="M223" s="1">
        <v>4741.52</v>
      </c>
      <c r="N223" s="1" t="s">
        <v>21</v>
      </c>
      <c r="O223" s="1">
        <v>0.0</v>
      </c>
      <c r="P223" s="1" t="s">
        <v>694</v>
      </c>
      <c r="Q223" s="1" t="str">
        <f t="shared" si="1"/>
        <v>x</v>
      </c>
      <c r="R223" s="1" t="str">
        <f t="shared" si="2"/>
        <v>x</v>
      </c>
      <c r="S223" s="1" t="str">
        <f t="shared" si="3"/>
        <v>x</v>
      </c>
      <c r="T223" s="1" t="str">
        <f t="shared" si="4"/>
        <v>OK</v>
      </c>
    </row>
    <row r="224" ht="15.75" customHeight="1">
      <c r="A224" s="1" t="s">
        <v>695</v>
      </c>
      <c r="B224" s="1">
        <v>1.0083434E7</v>
      </c>
      <c r="C224" s="1" t="s">
        <v>21</v>
      </c>
      <c r="D224" s="1" t="s">
        <v>22</v>
      </c>
      <c r="E224" s="1" t="s">
        <v>129</v>
      </c>
      <c r="F224" s="1" t="s">
        <v>696</v>
      </c>
      <c r="G224" s="1" t="s">
        <v>25</v>
      </c>
      <c r="H224" s="1">
        <v>76.0</v>
      </c>
      <c r="I224" s="1">
        <v>12.0</v>
      </c>
      <c r="J224" s="1">
        <v>48.0</v>
      </c>
      <c r="K224" s="1">
        <v>136.0</v>
      </c>
      <c r="L224" s="1">
        <v>34.65</v>
      </c>
      <c r="M224" s="1">
        <v>4712.4</v>
      </c>
      <c r="N224" s="1" t="s">
        <v>21</v>
      </c>
      <c r="O224" s="1">
        <v>0.0</v>
      </c>
      <c r="P224" s="1" t="s">
        <v>697</v>
      </c>
      <c r="Q224" s="1" t="str">
        <f t="shared" si="1"/>
        <v>x</v>
      </c>
      <c r="R224" s="1" t="str">
        <f t="shared" si="2"/>
        <v>x</v>
      </c>
      <c r="S224" s="1" t="str">
        <f t="shared" si="3"/>
        <v>x</v>
      </c>
      <c r="T224" s="1" t="str">
        <f t="shared" si="4"/>
        <v>OK</v>
      </c>
    </row>
    <row r="225" ht="15.75" customHeight="1">
      <c r="A225" s="1" t="s">
        <v>698</v>
      </c>
      <c r="B225" s="1">
        <v>1.120031E7</v>
      </c>
      <c r="C225" s="1" t="s">
        <v>21</v>
      </c>
      <c r="D225" s="1" t="s">
        <v>22</v>
      </c>
      <c r="E225" s="1" t="s">
        <v>52</v>
      </c>
      <c r="F225" s="1" t="s">
        <v>699</v>
      </c>
      <c r="G225" s="1" t="s">
        <v>25</v>
      </c>
      <c r="H225" s="1">
        <v>2.0</v>
      </c>
      <c r="I225" s="1">
        <v>0.0</v>
      </c>
      <c r="J225" s="1">
        <v>0.0</v>
      </c>
      <c r="K225" s="1">
        <v>2.0</v>
      </c>
      <c r="L225" s="1">
        <v>2326.18</v>
      </c>
      <c r="M225" s="1">
        <v>4652.36</v>
      </c>
      <c r="N225" s="1" t="s">
        <v>21</v>
      </c>
      <c r="O225" s="1">
        <v>0.0</v>
      </c>
      <c r="P225" s="1" t="s">
        <v>700</v>
      </c>
      <c r="Q225" s="1" t="str">
        <f t="shared" si="1"/>
        <v>x</v>
      </c>
      <c r="R225" s="1" t="str">
        <f t="shared" si="2"/>
        <v>x</v>
      </c>
      <c r="S225" s="1" t="str">
        <f t="shared" si="3"/>
        <v>x</v>
      </c>
      <c r="T225" s="1" t="str">
        <f t="shared" si="4"/>
        <v>OK</v>
      </c>
    </row>
    <row r="226" ht="15.75" customHeight="1">
      <c r="A226" s="1" t="s">
        <v>701</v>
      </c>
      <c r="B226" s="1">
        <v>1.1446176E7</v>
      </c>
      <c r="C226" s="1">
        <v>1.0456244E7</v>
      </c>
      <c r="D226" s="1" t="s">
        <v>22</v>
      </c>
      <c r="E226" s="1" t="s">
        <v>129</v>
      </c>
      <c r="F226" s="1" t="s">
        <v>702</v>
      </c>
      <c r="G226" s="1" t="s">
        <v>25</v>
      </c>
      <c r="H226" s="1">
        <v>202.0</v>
      </c>
      <c r="I226" s="1">
        <v>0.0</v>
      </c>
      <c r="J226" s="1">
        <v>0.0</v>
      </c>
      <c r="K226" s="1">
        <v>202.0</v>
      </c>
      <c r="L226" s="1">
        <v>22.8</v>
      </c>
      <c r="M226" s="1">
        <v>4605.6</v>
      </c>
      <c r="N226" s="1" t="s">
        <v>21</v>
      </c>
      <c r="O226" s="1">
        <v>0.0</v>
      </c>
      <c r="P226" s="1" t="s">
        <v>703</v>
      </c>
      <c r="Q226" s="1" t="str">
        <f t="shared" si="1"/>
        <v>x</v>
      </c>
      <c r="R226" s="1" t="str">
        <f t="shared" si="2"/>
        <v>x</v>
      </c>
      <c r="S226" s="1" t="str">
        <f t="shared" si="3"/>
        <v>x</v>
      </c>
      <c r="T226" s="1" t="str">
        <f t="shared" si="4"/>
        <v>OK</v>
      </c>
    </row>
    <row r="227" ht="15.75" customHeight="1">
      <c r="A227" s="1" t="s">
        <v>704</v>
      </c>
      <c r="B227" s="1">
        <v>1.1142261E7</v>
      </c>
      <c r="C227" s="1" t="s">
        <v>21</v>
      </c>
      <c r="D227" s="1" t="s">
        <v>22</v>
      </c>
      <c r="E227" s="1" t="s">
        <v>46</v>
      </c>
      <c r="F227" s="1" t="s">
        <v>705</v>
      </c>
      <c r="G227" s="1" t="s">
        <v>25</v>
      </c>
      <c r="H227" s="1">
        <v>1.0</v>
      </c>
      <c r="I227" s="1">
        <v>0.0</v>
      </c>
      <c r="J227" s="1">
        <v>0.0</v>
      </c>
      <c r="K227" s="1">
        <v>1.0</v>
      </c>
      <c r="L227" s="1">
        <v>4564.72</v>
      </c>
      <c r="M227" s="1">
        <v>4564.72</v>
      </c>
      <c r="N227" s="1" t="s">
        <v>21</v>
      </c>
      <c r="O227" s="1">
        <v>0.0</v>
      </c>
      <c r="P227" s="1" t="s">
        <v>706</v>
      </c>
      <c r="Q227" s="1" t="str">
        <f t="shared" si="1"/>
        <v>x</v>
      </c>
      <c r="R227" s="1" t="str">
        <f t="shared" si="2"/>
        <v>x</v>
      </c>
      <c r="S227" s="1" t="str">
        <f t="shared" si="3"/>
        <v>x</v>
      </c>
      <c r="T227" s="1" t="str">
        <f t="shared" si="4"/>
        <v>OK</v>
      </c>
    </row>
    <row r="228" ht="15.75" customHeight="1">
      <c r="A228" s="1" t="s">
        <v>707</v>
      </c>
      <c r="B228" s="1">
        <v>1.0186108E7</v>
      </c>
      <c r="C228" s="1" t="s">
        <v>21</v>
      </c>
      <c r="D228" s="1" t="s">
        <v>22</v>
      </c>
      <c r="E228" s="1" t="s">
        <v>23</v>
      </c>
      <c r="F228" s="1" t="s">
        <v>708</v>
      </c>
      <c r="G228" s="1" t="s">
        <v>25</v>
      </c>
      <c r="H228" s="1">
        <v>5.0</v>
      </c>
      <c r="I228" s="1">
        <v>0.0</v>
      </c>
      <c r="J228" s="1">
        <v>3.0</v>
      </c>
      <c r="K228" s="1">
        <v>8.0</v>
      </c>
      <c r="L228" s="1">
        <v>566.84</v>
      </c>
      <c r="M228" s="1">
        <v>4534.72</v>
      </c>
      <c r="N228" s="1" t="s">
        <v>21</v>
      </c>
      <c r="O228" s="1">
        <v>0.0</v>
      </c>
      <c r="P228" s="1" t="s">
        <v>709</v>
      </c>
      <c r="Q228" s="1" t="str">
        <f t="shared" si="1"/>
        <v>x</v>
      </c>
      <c r="R228" s="1" t="str">
        <f t="shared" si="2"/>
        <v>x</v>
      </c>
      <c r="S228" s="1" t="str">
        <f t="shared" si="3"/>
        <v>x</v>
      </c>
      <c r="T228" s="1" t="str">
        <f t="shared" si="4"/>
        <v>OK</v>
      </c>
    </row>
    <row r="229" ht="15.75" customHeight="1">
      <c r="A229" s="1" t="s">
        <v>710</v>
      </c>
      <c r="B229" s="1">
        <v>1.1412246E7</v>
      </c>
      <c r="C229" s="1" t="s">
        <v>21</v>
      </c>
      <c r="D229" s="1" t="s">
        <v>22</v>
      </c>
      <c r="E229" s="1" t="s">
        <v>52</v>
      </c>
      <c r="F229" s="1" t="s">
        <v>711</v>
      </c>
      <c r="G229" s="1" t="s">
        <v>25</v>
      </c>
      <c r="H229" s="1">
        <v>4.0</v>
      </c>
      <c r="I229" s="1">
        <v>0.0</v>
      </c>
      <c r="J229" s="1">
        <v>0.0</v>
      </c>
      <c r="K229" s="1">
        <v>4.0</v>
      </c>
      <c r="L229" s="1">
        <v>1133.61</v>
      </c>
      <c r="M229" s="1">
        <v>4534.44</v>
      </c>
      <c r="N229" s="1" t="s">
        <v>21</v>
      </c>
      <c r="O229" s="1">
        <v>0.0</v>
      </c>
      <c r="P229" s="1" t="s">
        <v>712</v>
      </c>
      <c r="Q229" s="1" t="str">
        <f t="shared" si="1"/>
        <v>x</v>
      </c>
      <c r="R229" s="1" t="str">
        <f t="shared" si="2"/>
        <v>x</v>
      </c>
      <c r="S229" s="1" t="str">
        <f t="shared" si="3"/>
        <v>x</v>
      </c>
      <c r="T229" s="1" t="str">
        <f t="shared" si="4"/>
        <v>OK</v>
      </c>
    </row>
    <row r="230" ht="15.75" customHeight="1">
      <c r="A230" s="1" t="s">
        <v>713</v>
      </c>
      <c r="B230" s="1">
        <v>1.0360353E7</v>
      </c>
      <c r="C230" s="1" t="s">
        <v>21</v>
      </c>
      <c r="D230" s="1" t="s">
        <v>22</v>
      </c>
      <c r="E230" s="1" t="s">
        <v>150</v>
      </c>
      <c r="F230" s="1" t="s">
        <v>630</v>
      </c>
      <c r="G230" s="1" t="s">
        <v>25</v>
      </c>
      <c r="H230" s="1">
        <v>25.0</v>
      </c>
      <c r="I230" s="1">
        <v>0.0</v>
      </c>
      <c r="J230" s="1">
        <v>20.0</v>
      </c>
      <c r="K230" s="1">
        <v>45.0</v>
      </c>
      <c r="L230" s="1">
        <v>100.29</v>
      </c>
      <c r="M230" s="1">
        <v>4513.05</v>
      </c>
      <c r="N230" s="1" t="s">
        <v>21</v>
      </c>
      <c r="O230" s="1">
        <v>0.0</v>
      </c>
      <c r="P230" s="1" t="s">
        <v>714</v>
      </c>
      <c r="Q230" s="1" t="str">
        <f t="shared" si="1"/>
        <v>x</v>
      </c>
      <c r="R230" s="1" t="str">
        <f t="shared" si="2"/>
        <v>x</v>
      </c>
      <c r="S230" s="1" t="str">
        <f t="shared" si="3"/>
        <v>x</v>
      </c>
      <c r="T230" s="1" t="str">
        <f t="shared" si="4"/>
        <v>OK</v>
      </c>
    </row>
    <row r="231" ht="15.75" customHeight="1">
      <c r="A231" s="1" t="s">
        <v>715</v>
      </c>
      <c r="B231" s="1">
        <v>1.0551491E7</v>
      </c>
      <c r="C231" s="1" t="s">
        <v>21</v>
      </c>
      <c r="D231" s="1" t="s">
        <v>22</v>
      </c>
      <c r="E231" s="1" t="s">
        <v>231</v>
      </c>
      <c r="F231" s="1" t="s">
        <v>383</v>
      </c>
      <c r="G231" s="1" t="s">
        <v>25</v>
      </c>
      <c r="H231" s="1">
        <v>0.0</v>
      </c>
      <c r="I231" s="1">
        <v>0.0</v>
      </c>
      <c r="J231" s="1">
        <v>528.0</v>
      </c>
      <c r="K231" s="1">
        <v>528.0</v>
      </c>
      <c r="L231" s="1">
        <v>8.54</v>
      </c>
      <c r="M231" s="1">
        <v>4509.12</v>
      </c>
      <c r="N231" s="1" t="s">
        <v>21</v>
      </c>
      <c r="O231" s="1">
        <v>0.0</v>
      </c>
      <c r="P231" s="1" t="s">
        <v>716</v>
      </c>
      <c r="Q231" s="1" t="str">
        <f t="shared" si="1"/>
        <v>x</v>
      </c>
      <c r="R231" s="1" t="str">
        <f t="shared" si="2"/>
        <v>x</v>
      </c>
      <c r="S231" s="1" t="str">
        <f t="shared" si="3"/>
        <v>x</v>
      </c>
      <c r="T231" s="1" t="str">
        <f t="shared" si="4"/>
        <v>OK</v>
      </c>
    </row>
    <row r="232" ht="15.75" customHeight="1">
      <c r="A232" s="1" t="s">
        <v>717</v>
      </c>
      <c r="B232" s="1">
        <v>1.0252061E7</v>
      </c>
      <c r="C232" s="1" t="s">
        <v>21</v>
      </c>
      <c r="D232" s="1" t="s">
        <v>22</v>
      </c>
      <c r="E232" s="1" t="s">
        <v>633</v>
      </c>
      <c r="F232" s="1" t="s">
        <v>634</v>
      </c>
      <c r="G232" s="1" t="s">
        <v>25</v>
      </c>
      <c r="H232" s="1">
        <v>280.0</v>
      </c>
      <c r="I232" s="1">
        <v>616.0</v>
      </c>
      <c r="J232" s="1">
        <v>552.0</v>
      </c>
      <c r="K232" s="1">
        <v>1448.0</v>
      </c>
      <c r="L232" s="1">
        <v>3.08</v>
      </c>
      <c r="M232" s="1">
        <v>4459.84</v>
      </c>
      <c r="N232" s="1" t="s">
        <v>21</v>
      </c>
      <c r="O232" s="1">
        <v>0.0</v>
      </c>
      <c r="P232" s="1" t="s">
        <v>718</v>
      </c>
      <c r="Q232" s="1" t="str">
        <f t="shared" si="1"/>
        <v>x</v>
      </c>
      <c r="R232" s="1" t="str">
        <f t="shared" si="2"/>
        <v>x</v>
      </c>
      <c r="S232" s="1" t="str">
        <f t="shared" si="3"/>
        <v>x</v>
      </c>
      <c r="T232" s="1" t="str">
        <f t="shared" si="4"/>
        <v>OK</v>
      </c>
    </row>
    <row r="233" ht="15.75" customHeight="1">
      <c r="A233" s="1" t="s">
        <v>719</v>
      </c>
      <c r="B233" s="1">
        <v>1.1319201E7</v>
      </c>
      <c r="C233" s="1" t="s">
        <v>21</v>
      </c>
      <c r="D233" s="1" t="s">
        <v>22</v>
      </c>
      <c r="E233" s="1" t="s">
        <v>46</v>
      </c>
      <c r="F233" s="1" t="s">
        <v>720</v>
      </c>
      <c r="G233" s="1" t="s">
        <v>25</v>
      </c>
      <c r="H233" s="1">
        <v>1.0</v>
      </c>
      <c r="I233" s="1">
        <v>0.0</v>
      </c>
      <c r="J233" s="1">
        <v>0.0</v>
      </c>
      <c r="K233" s="1">
        <v>1.0</v>
      </c>
      <c r="L233" s="1">
        <v>4345.36</v>
      </c>
      <c r="M233" s="1">
        <v>4345.36</v>
      </c>
      <c r="N233" s="1" t="s">
        <v>21</v>
      </c>
      <c r="O233" s="1">
        <v>0.0</v>
      </c>
      <c r="P233" s="1" t="s">
        <v>721</v>
      </c>
      <c r="Q233" s="1" t="str">
        <f t="shared" si="1"/>
        <v>x</v>
      </c>
      <c r="R233" s="1" t="str">
        <f t="shared" si="2"/>
        <v>x</v>
      </c>
      <c r="S233" s="1" t="str">
        <f t="shared" si="3"/>
        <v>x</v>
      </c>
      <c r="T233" s="1" t="str">
        <f t="shared" si="4"/>
        <v>OK</v>
      </c>
    </row>
    <row r="234" ht="15.75" customHeight="1">
      <c r="A234" s="1" t="s">
        <v>722</v>
      </c>
      <c r="B234" s="1">
        <v>1.0488001E7</v>
      </c>
      <c r="C234" s="1" t="s">
        <v>21</v>
      </c>
      <c r="D234" s="1" t="s">
        <v>22</v>
      </c>
      <c r="E234" s="1" t="s">
        <v>449</v>
      </c>
      <c r="F234" s="1" t="s">
        <v>723</v>
      </c>
      <c r="G234" s="1" t="s">
        <v>25</v>
      </c>
      <c r="H234" s="1">
        <v>60.0</v>
      </c>
      <c r="I234" s="1">
        <v>0.0</v>
      </c>
      <c r="J234" s="1">
        <v>0.0</v>
      </c>
      <c r="K234" s="1">
        <v>60.0</v>
      </c>
      <c r="L234" s="1">
        <v>72.41</v>
      </c>
      <c r="M234" s="1">
        <v>4344.6</v>
      </c>
      <c r="N234" s="1" t="s">
        <v>21</v>
      </c>
      <c r="O234" s="1">
        <v>0.0</v>
      </c>
      <c r="P234" s="1" t="s">
        <v>724</v>
      </c>
      <c r="Q234" s="1" t="str">
        <f t="shared" si="1"/>
        <v>x</v>
      </c>
      <c r="R234" s="1" t="str">
        <f t="shared" si="2"/>
        <v>x</v>
      </c>
      <c r="S234" s="1" t="str">
        <f t="shared" si="3"/>
        <v>x</v>
      </c>
      <c r="T234" s="1" t="str">
        <f t="shared" si="4"/>
        <v>OK</v>
      </c>
    </row>
    <row r="235" ht="15.75" customHeight="1">
      <c r="A235" s="1" t="s">
        <v>725</v>
      </c>
      <c r="B235" s="1">
        <v>1.0274052E7</v>
      </c>
      <c r="C235" s="1" t="s">
        <v>21</v>
      </c>
      <c r="D235" s="1" t="s">
        <v>22</v>
      </c>
      <c r="E235" s="1" t="s">
        <v>633</v>
      </c>
      <c r="F235" s="1" t="s">
        <v>726</v>
      </c>
      <c r="G235" s="1" t="s">
        <v>25</v>
      </c>
      <c r="H235" s="1">
        <v>640.0</v>
      </c>
      <c r="I235" s="1">
        <v>244.0</v>
      </c>
      <c r="J235" s="1">
        <v>244.0</v>
      </c>
      <c r="K235" s="1">
        <v>1128.0</v>
      </c>
      <c r="L235" s="1">
        <v>3.81</v>
      </c>
      <c r="M235" s="1">
        <v>4297.68</v>
      </c>
      <c r="N235" s="1" t="s">
        <v>21</v>
      </c>
      <c r="O235" s="1">
        <v>0.0</v>
      </c>
      <c r="P235" s="1" t="s">
        <v>727</v>
      </c>
      <c r="Q235" s="1" t="str">
        <f t="shared" si="1"/>
        <v>x</v>
      </c>
      <c r="R235" s="1" t="str">
        <f t="shared" si="2"/>
        <v>x</v>
      </c>
      <c r="S235" s="1" t="str">
        <f t="shared" si="3"/>
        <v>x</v>
      </c>
      <c r="T235" s="1" t="str">
        <f t="shared" si="4"/>
        <v>OK</v>
      </c>
    </row>
    <row r="236" ht="15.75" customHeight="1">
      <c r="A236" s="1" t="s">
        <v>728</v>
      </c>
      <c r="B236" s="1">
        <v>1.2008364E7</v>
      </c>
      <c r="C236" s="1" t="s">
        <v>21</v>
      </c>
      <c r="D236" s="1" t="s">
        <v>22</v>
      </c>
      <c r="E236" s="1" t="s">
        <v>23</v>
      </c>
      <c r="F236" s="1" t="s">
        <v>729</v>
      </c>
      <c r="G236" s="1" t="s">
        <v>25</v>
      </c>
      <c r="H236" s="1">
        <v>15.0</v>
      </c>
      <c r="I236" s="1">
        <v>0.0</v>
      </c>
      <c r="J236" s="1">
        <v>0.0</v>
      </c>
      <c r="K236" s="1">
        <v>15.0</v>
      </c>
      <c r="L236" s="1">
        <v>280.08</v>
      </c>
      <c r="M236" s="1">
        <v>4201.2</v>
      </c>
      <c r="N236" s="1" t="s">
        <v>21</v>
      </c>
      <c r="O236" s="1">
        <v>0.0</v>
      </c>
      <c r="P236" s="1" t="s">
        <v>730</v>
      </c>
      <c r="Q236" s="1" t="str">
        <f t="shared" si="1"/>
        <v>x</v>
      </c>
      <c r="R236" s="1" t="str">
        <f t="shared" si="2"/>
        <v>x</v>
      </c>
      <c r="S236" s="1" t="str">
        <f t="shared" si="3"/>
        <v>x</v>
      </c>
      <c r="T236" s="1" t="str">
        <f t="shared" si="4"/>
        <v>OK</v>
      </c>
    </row>
    <row r="237" ht="15.75" customHeight="1">
      <c r="A237" s="1" t="s">
        <v>731</v>
      </c>
      <c r="B237" s="1">
        <v>1.0241558E7</v>
      </c>
      <c r="C237" s="1" t="s">
        <v>21</v>
      </c>
      <c r="D237" s="1" t="s">
        <v>22</v>
      </c>
      <c r="E237" s="1" t="s">
        <v>164</v>
      </c>
      <c r="F237" s="1" t="s">
        <v>732</v>
      </c>
      <c r="G237" s="1" t="s">
        <v>25</v>
      </c>
      <c r="H237" s="1">
        <v>0.0</v>
      </c>
      <c r="I237" s="1">
        <v>25.0</v>
      </c>
      <c r="J237" s="1">
        <v>25.0</v>
      </c>
      <c r="K237" s="1">
        <v>50.0</v>
      </c>
      <c r="L237" s="1">
        <v>83.87</v>
      </c>
      <c r="M237" s="1">
        <v>4193.5</v>
      </c>
      <c r="N237" s="1" t="s">
        <v>21</v>
      </c>
      <c r="O237" s="1" t="s">
        <v>26</v>
      </c>
      <c r="P237" s="1" t="s">
        <v>733</v>
      </c>
      <c r="Q237" s="1" t="str">
        <f t="shared" si="1"/>
        <v>x</v>
      </c>
      <c r="R237" s="1" t="str">
        <f t="shared" si="2"/>
        <v>x</v>
      </c>
      <c r="S237" s="1" t="str">
        <f t="shared" si="3"/>
        <v>x</v>
      </c>
      <c r="T237" s="1" t="str">
        <f t="shared" si="4"/>
        <v>OK</v>
      </c>
    </row>
    <row r="238" ht="15.75" customHeight="1">
      <c r="A238" s="1" t="s">
        <v>734</v>
      </c>
      <c r="B238" s="1">
        <v>1.0022092E7</v>
      </c>
      <c r="C238" s="1" t="s">
        <v>21</v>
      </c>
      <c r="D238" s="1" t="s">
        <v>22</v>
      </c>
      <c r="E238" s="1" t="s">
        <v>164</v>
      </c>
      <c r="F238" s="1" t="s">
        <v>735</v>
      </c>
      <c r="G238" s="1" t="s">
        <v>25</v>
      </c>
      <c r="H238" s="1">
        <v>20.0</v>
      </c>
      <c r="I238" s="1">
        <v>26.0</v>
      </c>
      <c r="J238" s="1">
        <v>0.0</v>
      </c>
      <c r="K238" s="1">
        <v>46.0</v>
      </c>
      <c r="L238" s="1">
        <v>91.06</v>
      </c>
      <c r="M238" s="1">
        <v>4188.76</v>
      </c>
      <c r="N238" s="1" t="s">
        <v>21</v>
      </c>
      <c r="O238" s="1">
        <v>0.0</v>
      </c>
      <c r="P238" s="1" t="s">
        <v>736</v>
      </c>
      <c r="Q238" s="1" t="str">
        <f t="shared" si="1"/>
        <v>x</v>
      </c>
      <c r="R238" s="1" t="str">
        <f t="shared" si="2"/>
        <v>x</v>
      </c>
      <c r="S238" s="1" t="str">
        <f t="shared" si="3"/>
        <v>x</v>
      </c>
      <c r="T238" s="1" t="str">
        <f t="shared" si="4"/>
        <v>OK</v>
      </c>
    </row>
    <row r="239" ht="15.75" customHeight="1">
      <c r="A239" s="1" t="s">
        <v>737</v>
      </c>
      <c r="B239" s="1">
        <v>1.0796747E7</v>
      </c>
      <c r="C239" s="1" t="s">
        <v>21</v>
      </c>
      <c r="D239" s="1" t="s">
        <v>22</v>
      </c>
      <c r="E239" s="1" t="s">
        <v>738</v>
      </c>
      <c r="F239" s="1" t="s">
        <v>739</v>
      </c>
      <c r="G239" s="1" t="s">
        <v>25</v>
      </c>
      <c r="H239" s="1">
        <v>587.0</v>
      </c>
      <c r="I239" s="1">
        <v>565.0</v>
      </c>
      <c r="J239" s="1">
        <v>565.0</v>
      </c>
      <c r="K239" s="1">
        <v>1717.0</v>
      </c>
      <c r="L239" s="1">
        <v>2.42</v>
      </c>
      <c r="M239" s="1">
        <v>4155.14</v>
      </c>
      <c r="N239" s="1" t="s">
        <v>21</v>
      </c>
      <c r="O239" s="1">
        <v>0.0</v>
      </c>
      <c r="P239" s="1" t="s">
        <v>740</v>
      </c>
      <c r="Q239" s="1" t="str">
        <f t="shared" si="1"/>
        <v>x</v>
      </c>
      <c r="R239" s="1" t="str">
        <f t="shared" si="2"/>
        <v>x</v>
      </c>
      <c r="S239" s="1" t="str">
        <f t="shared" si="3"/>
        <v>x</v>
      </c>
      <c r="T239" s="1" t="str">
        <f t="shared" si="4"/>
        <v>OK</v>
      </c>
    </row>
    <row r="240" ht="15.75" customHeight="1">
      <c r="A240" s="1" t="s">
        <v>741</v>
      </c>
      <c r="B240" s="1">
        <v>1.0616666E7</v>
      </c>
      <c r="C240" s="1" t="s">
        <v>21</v>
      </c>
      <c r="D240" s="1" t="s">
        <v>22</v>
      </c>
      <c r="E240" s="1" t="s">
        <v>129</v>
      </c>
      <c r="F240" s="1" t="s">
        <v>742</v>
      </c>
      <c r="G240" s="1" t="s">
        <v>25</v>
      </c>
      <c r="H240" s="1">
        <v>64.0</v>
      </c>
      <c r="I240" s="1">
        <v>0.0</v>
      </c>
      <c r="J240" s="1">
        <v>64.0</v>
      </c>
      <c r="K240" s="1">
        <v>128.0</v>
      </c>
      <c r="L240" s="1">
        <v>31.5</v>
      </c>
      <c r="M240" s="1">
        <v>4032.0</v>
      </c>
      <c r="N240" s="1" t="s">
        <v>21</v>
      </c>
      <c r="O240" s="1">
        <v>0.0</v>
      </c>
      <c r="P240" s="1" t="s">
        <v>743</v>
      </c>
      <c r="Q240" s="1" t="str">
        <f t="shared" si="1"/>
        <v>x</v>
      </c>
      <c r="R240" s="1" t="str">
        <f t="shared" si="2"/>
        <v>x</v>
      </c>
      <c r="S240" s="1" t="str">
        <f t="shared" si="3"/>
        <v>x</v>
      </c>
      <c r="T240" s="1" t="str">
        <f t="shared" si="4"/>
        <v>OK</v>
      </c>
    </row>
    <row r="241" ht="15.75" customHeight="1">
      <c r="A241" s="1" t="s">
        <v>744</v>
      </c>
      <c r="B241" s="1">
        <v>1.0745855E7</v>
      </c>
      <c r="C241" s="1" t="s">
        <v>21</v>
      </c>
      <c r="D241" s="1" t="s">
        <v>22</v>
      </c>
      <c r="E241" s="1" t="s">
        <v>129</v>
      </c>
      <c r="F241" s="1" t="s">
        <v>745</v>
      </c>
      <c r="G241" s="1" t="s">
        <v>25</v>
      </c>
      <c r="H241" s="1">
        <v>80.0</v>
      </c>
      <c r="I241" s="1">
        <v>30.0</v>
      </c>
      <c r="J241" s="1">
        <v>0.0</v>
      </c>
      <c r="K241" s="1">
        <v>110.0</v>
      </c>
      <c r="L241" s="1">
        <v>36.46</v>
      </c>
      <c r="M241" s="1">
        <v>4010.6</v>
      </c>
      <c r="N241" s="1" t="s">
        <v>21</v>
      </c>
      <c r="O241" s="1">
        <v>0.0</v>
      </c>
      <c r="P241" s="1" t="s">
        <v>746</v>
      </c>
      <c r="Q241" s="1" t="str">
        <f t="shared" si="1"/>
        <v>x</v>
      </c>
      <c r="R241" s="1" t="str">
        <f t="shared" si="2"/>
        <v>x</v>
      </c>
      <c r="S241" s="1" t="str">
        <f t="shared" si="3"/>
        <v>x</v>
      </c>
      <c r="T241" s="1" t="str">
        <f t="shared" si="4"/>
        <v>OK</v>
      </c>
    </row>
    <row r="242" ht="15.75" customHeight="1">
      <c r="A242" s="1" t="s">
        <v>747</v>
      </c>
      <c r="B242" s="1">
        <v>1.0083926E7</v>
      </c>
      <c r="C242" s="1" t="s">
        <v>21</v>
      </c>
      <c r="D242" s="1" t="s">
        <v>22</v>
      </c>
      <c r="E242" s="1" t="s">
        <v>129</v>
      </c>
      <c r="F242" s="1" t="s">
        <v>280</v>
      </c>
      <c r="G242" s="1" t="s">
        <v>25</v>
      </c>
      <c r="H242" s="1">
        <v>228.0</v>
      </c>
      <c r="I242" s="1">
        <v>0.0</v>
      </c>
      <c r="J242" s="1">
        <v>0.0</v>
      </c>
      <c r="K242" s="1">
        <v>228.0</v>
      </c>
      <c r="L242" s="1">
        <v>17.54</v>
      </c>
      <c r="M242" s="1">
        <v>3999.12</v>
      </c>
      <c r="N242" s="1" t="s">
        <v>21</v>
      </c>
      <c r="O242" s="1">
        <v>0.0</v>
      </c>
      <c r="P242" s="1" t="s">
        <v>748</v>
      </c>
      <c r="Q242" s="1" t="str">
        <f t="shared" si="1"/>
        <v>x</v>
      </c>
      <c r="R242" s="1" t="str">
        <f t="shared" si="2"/>
        <v>x</v>
      </c>
      <c r="S242" s="1" t="str">
        <f t="shared" si="3"/>
        <v>x</v>
      </c>
      <c r="T242" s="1" t="str">
        <f t="shared" si="4"/>
        <v>OK</v>
      </c>
    </row>
    <row r="243" ht="15.75" customHeight="1">
      <c r="A243" s="1" t="s">
        <v>749</v>
      </c>
      <c r="B243" s="1">
        <v>1.1154982E7</v>
      </c>
      <c r="C243" s="1" t="s">
        <v>21</v>
      </c>
      <c r="D243" s="1" t="s">
        <v>22</v>
      </c>
      <c r="E243" s="1" t="s">
        <v>23</v>
      </c>
      <c r="F243" s="1" t="s">
        <v>750</v>
      </c>
      <c r="G243" s="1" t="s">
        <v>25</v>
      </c>
      <c r="H243" s="1">
        <v>6.0</v>
      </c>
      <c r="I243" s="1">
        <v>0.0</v>
      </c>
      <c r="J243" s="1">
        <v>4.0</v>
      </c>
      <c r="K243" s="1">
        <v>10.0</v>
      </c>
      <c r="L243" s="1">
        <v>394.79</v>
      </c>
      <c r="M243" s="1">
        <v>3947.9</v>
      </c>
      <c r="N243" s="1" t="s">
        <v>21</v>
      </c>
      <c r="O243" s="1">
        <v>0.0</v>
      </c>
      <c r="P243" s="1" t="s">
        <v>751</v>
      </c>
      <c r="Q243" s="1" t="str">
        <f t="shared" si="1"/>
        <v>x</v>
      </c>
      <c r="R243" s="1" t="str">
        <f t="shared" si="2"/>
        <v>x</v>
      </c>
      <c r="S243" s="1" t="str">
        <f t="shared" si="3"/>
        <v>x</v>
      </c>
      <c r="T243" s="1" t="str">
        <f t="shared" si="4"/>
        <v>OK</v>
      </c>
    </row>
    <row r="244" ht="15.75" customHeight="1">
      <c r="A244" s="1" t="s">
        <v>752</v>
      </c>
      <c r="B244" s="1">
        <v>1.2046649E7</v>
      </c>
      <c r="C244" s="1">
        <v>1.1108755E7</v>
      </c>
      <c r="D244" s="1" t="s">
        <v>22</v>
      </c>
      <c r="E244" s="1" t="s">
        <v>46</v>
      </c>
      <c r="F244" s="1" t="s">
        <v>753</v>
      </c>
      <c r="G244" s="1" t="s">
        <v>25</v>
      </c>
      <c r="H244" s="1">
        <v>1.0</v>
      </c>
      <c r="I244" s="1">
        <v>0.0</v>
      </c>
      <c r="J244" s="1">
        <v>0.0</v>
      </c>
      <c r="K244" s="1">
        <v>1.0</v>
      </c>
      <c r="L244" s="1">
        <v>3842.74</v>
      </c>
      <c r="M244" s="1">
        <v>3842.74</v>
      </c>
      <c r="N244" s="1" t="s">
        <v>21</v>
      </c>
      <c r="O244" s="1">
        <v>0.0</v>
      </c>
      <c r="P244" s="1" t="s">
        <v>754</v>
      </c>
      <c r="Q244" s="1" t="str">
        <f t="shared" si="1"/>
        <v>x</v>
      </c>
      <c r="R244" s="1" t="str">
        <f t="shared" si="2"/>
        <v>x</v>
      </c>
      <c r="S244" s="1" t="str">
        <f t="shared" si="3"/>
        <v>x</v>
      </c>
      <c r="T244" s="1" t="str">
        <f t="shared" si="4"/>
        <v>OK</v>
      </c>
    </row>
    <row r="245" ht="15.75" customHeight="1">
      <c r="A245" s="1" t="s">
        <v>755</v>
      </c>
      <c r="B245" s="1">
        <v>1.2047873E7</v>
      </c>
      <c r="C245" s="1" t="s">
        <v>21</v>
      </c>
      <c r="D245" s="1" t="s">
        <v>22</v>
      </c>
      <c r="E245" s="1" t="s">
        <v>61</v>
      </c>
      <c r="F245" s="1" t="s">
        <v>756</v>
      </c>
      <c r="G245" s="1" t="s">
        <v>25</v>
      </c>
      <c r="H245" s="1">
        <v>1.0</v>
      </c>
      <c r="I245" s="1">
        <v>0.0</v>
      </c>
      <c r="J245" s="1">
        <v>0.0</v>
      </c>
      <c r="K245" s="1">
        <v>1.0</v>
      </c>
      <c r="L245" s="1">
        <v>3779.06</v>
      </c>
      <c r="M245" s="1">
        <v>3779.06</v>
      </c>
      <c r="N245" s="1" t="s">
        <v>21</v>
      </c>
      <c r="O245" s="1">
        <v>0.0</v>
      </c>
      <c r="P245" s="1" t="s">
        <v>757</v>
      </c>
      <c r="Q245" s="1" t="str">
        <f t="shared" si="1"/>
        <v>x</v>
      </c>
      <c r="R245" s="1" t="str">
        <f t="shared" si="2"/>
        <v>x</v>
      </c>
      <c r="S245" s="1" t="str">
        <f t="shared" si="3"/>
        <v>x</v>
      </c>
      <c r="T245" s="1" t="str">
        <f t="shared" si="4"/>
        <v>OK</v>
      </c>
    </row>
    <row r="246" ht="15.75" customHeight="1">
      <c r="A246" s="1" t="s">
        <v>758</v>
      </c>
      <c r="B246" s="1">
        <v>1.1780604E7</v>
      </c>
      <c r="C246" s="1" t="s">
        <v>21</v>
      </c>
      <c r="D246" s="1" t="s">
        <v>22</v>
      </c>
      <c r="E246" s="1" t="s">
        <v>52</v>
      </c>
      <c r="F246" s="1" t="s">
        <v>759</v>
      </c>
      <c r="G246" s="1" t="s">
        <v>25</v>
      </c>
      <c r="H246" s="1">
        <v>4.0</v>
      </c>
      <c r="I246" s="1">
        <v>0.0</v>
      </c>
      <c r="J246" s="1">
        <v>0.0</v>
      </c>
      <c r="K246" s="1">
        <v>4.0</v>
      </c>
      <c r="L246" s="1">
        <v>936.37</v>
      </c>
      <c r="M246" s="1">
        <v>3745.48</v>
      </c>
      <c r="N246" s="1" t="s">
        <v>21</v>
      </c>
      <c r="O246" s="1">
        <v>0.0</v>
      </c>
      <c r="P246" s="1" t="s">
        <v>760</v>
      </c>
      <c r="Q246" s="1" t="str">
        <f t="shared" si="1"/>
        <v>x</v>
      </c>
      <c r="R246" s="1" t="str">
        <f t="shared" si="2"/>
        <v>x</v>
      </c>
      <c r="S246" s="1" t="str">
        <f t="shared" si="3"/>
        <v>x</v>
      </c>
      <c r="T246" s="1" t="str">
        <f t="shared" si="4"/>
        <v>OK</v>
      </c>
    </row>
    <row r="247" ht="15.75" customHeight="1">
      <c r="A247" s="1" t="s">
        <v>761</v>
      </c>
      <c r="B247" s="1">
        <v>1.0388513E7</v>
      </c>
      <c r="C247" s="1" t="s">
        <v>21</v>
      </c>
      <c r="D247" s="1" t="s">
        <v>22</v>
      </c>
      <c r="E247" s="1" t="s">
        <v>164</v>
      </c>
      <c r="F247" s="1" t="s">
        <v>507</v>
      </c>
      <c r="G247" s="1" t="s">
        <v>25</v>
      </c>
      <c r="H247" s="1">
        <v>23.0</v>
      </c>
      <c r="I247" s="1">
        <v>0.0</v>
      </c>
      <c r="J247" s="1">
        <v>20.0</v>
      </c>
      <c r="K247" s="1">
        <v>43.0</v>
      </c>
      <c r="L247" s="1">
        <v>86.76</v>
      </c>
      <c r="M247" s="1">
        <v>3730.68</v>
      </c>
      <c r="N247" s="1" t="s">
        <v>21</v>
      </c>
      <c r="O247" s="1">
        <v>0.0</v>
      </c>
      <c r="P247" s="1" t="s">
        <v>762</v>
      </c>
      <c r="Q247" s="1" t="str">
        <f t="shared" si="1"/>
        <v>x</v>
      </c>
      <c r="R247" s="1" t="str">
        <f t="shared" si="2"/>
        <v>x</v>
      </c>
      <c r="S247" s="1" t="str">
        <f t="shared" si="3"/>
        <v>x</v>
      </c>
      <c r="T247" s="1" t="str">
        <f t="shared" si="4"/>
        <v>OK</v>
      </c>
    </row>
    <row r="248" ht="15.75" customHeight="1">
      <c r="A248" s="1" t="s">
        <v>763</v>
      </c>
      <c r="B248" s="1">
        <v>1.0488571E7</v>
      </c>
      <c r="C248" s="1" t="s">
        <v>21</v>
      </c>
      <c r="D248" s="1" t="s">
        <v>22</v>
      </c>
      <c r="E248" s="1" t="s">
        <v>195</v>
      </c>
      <c r="F248" s="1" t="s">
        <v>764</v>
      </c>
      <c r="G248" s="1" t="s">
        <v>25</v>
      </c>
      <c r="H248" s="1">
        <v>330.0</v>
      </c>
      <c r="I248" s="1">
        <v>0.0</v>
      </c>
      <c r="J248" s="1">
        <v>0.0</v>
      </c>
      <c r="K248" s="1">
        <v>330.0</v>
      </c>
      <c r="L248" s="1">
        <v>11.11</v>
      </c>
      <c r="M248" s="1">
        <v>3666.3</v>
      </c>
      <c r="N248" s="1" t="s">
        <v>21</v>
      </c>
      <c r="O248" s="1">
        <v>0.0</v>
      </c>
      <c r="P248" s="1" t="s">
        <v>765</v>
      </c>
      <c r="Q248" s="1" t="str">
        <f t="shared" si="1"/>
        <v>x</v>
      </c>
      <c r="R248" s="1" t="str">
        <f t="shared" si="2"/>
        <v>x</v>
      </c>
      <c r="S248" s="1" t="str">
        <f t="shared" si="3"/>
        <v>x</v>
      </c>
      <c r="T248" s="1" t="str">
        <f t="shared" si="4"/>
        <v>OK</v>
      </c>
    </row>
    <row r="249" ht="15.75" customHeight="1">
      <c r="A249" s="1" t="s">
        <v>766</v>
      </c>
      <c r="B249" s="1">
        <v>1.0539609E7</v>
      </c>
      <c r="C249" s="1" t="s">
        <v>21</v>
      </c>
      <c r="D249" s="1" t="s">
        <v>22</v>
      </c>
      <c r="E249" s="1" t="s">
        <v>23</v>
      </c>
      <c r="F249" s="1" t="s">
        <v>325</v>
      </c>
      <c r="G249" s="1" t="s">
        <v>25</v>
      </c>
      <c r="H249" s="1">
        <v>6.0</v>
      </c>
      <c r="I249" s="1">
        <v>0.0</v>
      </c>
      <c r="J249" s="1">
        <v>0.0</v>
      </c>
      <c r="K249" s="1">
        <v>6.0</v>
      </c>
      <c r="L249" s="1">
        <v>603.26</v>
      </c>
      <c r="M249" s="1">
        <v>3619.56</v>
      </c>
      <c r="N249" s="1" t="s">
        <v>21</v>
      </c>
      <c r="O249" s="1">
        <v>0.0</v>
      </c>
      <c r="P249" s="1" t="s">
        <v>767</v>
      </c>
      <c r="Q249" s="1" t="str">
        <f t="shared" si="1"/>
        <v>x</v>
      </c>
      <c r="R249" s="1" t="str">
        <f t="shared" si="2"/>
        <v>x</v>
      </c>
      <c r="S249" s="1" t="str">
        <f t="shared" si="3"/>
        <v>x</v>
      </c>
      <c r="T249" s="1" t="str">
        <f t="shared" si="4"/>
        <v>OK</v>
      </c>
    </row>
    <row r="250" ht="15.75" customHeight="1">
      <c r="A250" s="1" t="s">
        <v>768</v>
      </c>
      <c r="B250" s="1">
        <v>1.026145E7</v>
      </c>
      <c r="C250" s="1" t="s">
        <v>21</v>
      </c>
      <c r="D250" s="1" t="s">
        <v>22</v>
      </c>
      <c r="E250" s="1" t="s">
        <v>150</v>
      </c>
      <c r="F250" s="1" t="s">
        <v>769</v>
      </c>
      <c r="G250" s="1" t="s">
        <v>25</v>
      </c>
      <c r="H250" s="1">
        <v>36.0</v>
      </c>
      <c r="I250" s="1">
        <v>0.0</v>
      </c>
      <c r="J250" s="1">
        <v>0.0</v>
      </c>
      <c r="K250" s="1">
        <v>36.0</v>
      </c>
      <c r="L250" s="1">
        <v>100.41</v>
      </c>
      <c r="M250" s="1">
        <v>3614.76</v>
      </c>
      <c r="N250" s="1" t="s">
        <v>21</v>
      </c>
      <c r="O250" s="1">
        <v>0.0</v>
      </c>
      <c r="P250" s="1" t="s">
        <v>770</v>
      </c>
      <c r="Q250" s="1" t="str">
        <f t="shared" si="1"/>
        <v>x</v>
      </c>
      <c r="R250" s="1" t="str">
        <f t="shared" si="2"/>
        <v>x</v>
      </c>
      <c r="S250" s="1" t="str">
        <f t="shared" si="3"/>
        <v>x</v>
      </c>
      <c r="T250" s="1" t="str">
        <f t="shared" si="4"/>
        <v>OK</v>
      </c>
    </row>
    <row r="251" ht="15.75" customHeight="1">
      <c r="A251" s="1" t="s">
        <v>771</v>
      </c>
      <c r="B251" s="1">
        <v>1.0241558E7</v>
      </c>
      <c r="C251" s="1" t="s">
        <v>21</v>
      </c>
      <c r="D251" s="1" t="s">
        <v>22</v>
      </c>
      <c r="E251" s="1" t="s">
        <v>164</v>
      </c>
      <c r="F251" s="1" t="s">
        <v>732</v>
      </c>
      <c r="G251" s="1" t="s">
        <v>25</v>
      </c>
      <c r="H251" s="1">
        <v>25.0</v>
      </c>
      <c r="I251" s="1">
        <v>0.0</v>
      </c>
      <c r="J251" s="1">
        <v>18.0</v>
      </c>
      <c r="K251" s="1">
        <v>43.0</v>
      </c>
      <c r="L251" s="1">
        <v>83.87</v>
      </c>
      <c r="M251" s="1">
        <v>3606.41</v>
      </c>
      <c r="N251" s="1" t="s">
        <v>21</v>
      </c>
      <c r="O251" s="1">
        <v>0.0</v>
      </c>
      <c r="P251" s="1" t="s">
        <v>772</v>
      </c>
      <c r="Q251" s="1" t="str">
        <f t="shared" si="1"/>
        <v>x</v>
      </c>
      <c r="R251" s="1" t="str">
        <f t="shared" si="2"/>
        <v>x</v>
      </c>
      <c r="S251" s="1" t="str">
        <f t="shared" si="3"/>
        <v>x</v>
      </c>
      <c r="T251" s="1" t="str">
        <f t="shared" si="4"/>
        <v>OK</v>
      </c>
    </row>
    <row r="252" ht="15.75" customHeight="1">
      <c r="A252" s="1" t="s">
        <v>773</v>
      </c>
      <c r="B252" s="1">
        <v>1.0752834E7</v>
      </c>
      <c r="C252" s="1" t="s">
        <v>21</v>
      </c>
      <c r="D252" s="1" t="s">
        <v>22</v>
      </c>
      <c r="E252" s="1" t="s">
        <v>544</v>
      </c>
      <c r="F252" s="1" t="s">
        <v>774</v>
      </c>
      <c r="G252" s="1" t="s">
        <v>25</v>
      </c>
      <c r="H252" s="1">
        <v>588.0</v>
      </c>
      <c r="I252" s="1">
        <v>588.0</v>
      </c>
      <c r="J252" s="1">
        <v>588.0</v>
      </c>
      <c r="K252" s="1">
        <v>1764.0</v>
      </c>
      <c r="L252" s="1">
        <v>2.04</v>
      </c>
      <c r="M252" s="1">
        <v>3598.56</v>
      </c>
      <c r="N252" s="1" t="s">
        <v>21</v>
      </c>
      <c r="O252" s="1">
        <v>0.0</v>
      </c>
      <c r="P252" s="1" t="s">
        <v>775</v>
      </c>
      <c r="Q252" s="1" t="str">
        <f t="shared" si="1"/>
        <v>x</v>
      </c>
      <c r="R252" s="1" t="str">
        <f t="shared" si="2"/>
        <v>x</v>
      </c>
      <c r="S252" s="1" t="str">
        <f t="shared" si="3"/>
        <v>x</v>
      </c>
      <c r="T252" s="1" t="str">
        <f t="shared" si="4"/>
        <v>OK</v>
      </c>
    </row>
    <row r="253" ht="15.75" customHeight="1">
      <c r="A253" s="1" t="s">
        <v>776</v>
      </c>
      <c r="B253" s="1">
        <v>1.1247815E7</v>
      </c>
      <c r="C253" s="1" t="s">
        <v>21</v>
      </c>
      <c r="D253" s="1" t="s">
        <v>22</v>
      </c>
      <c r="E253" s="1" t="s">
        <v>23</v>
      </c>
      <c r="F253" s="1" t="s">
        <v>777</v>
      </c>
      <c r="G253" s="1" t="s">
        <v>25</v>
      </c>
      <c r="H253" s="1">
        <v>10.0</v>
      </c>
      <c r="I253" s="1">
        <v>0.0</v>
      </c>
      <c r="J253" s="1">
        <v>0.0</v>
      </c>
      <c r="K253" s="1">
        <v>10.0</v>
      </c>
      <c r="L253" s="1">
        <v>354.14</v>
      </c>
      <c r="M253" s="1">
        <v>3541.4</v>
      </c>
      <c r="N253" s="1" t="s">
        <v>21</v>
      </c>
      <c r="O253" s="1">
        <v>0.0</v>
      </c>
      <c r="P253" s="1" t="s">
        <v>778</v>
      </c>
      <c r="Q253" s="1" t="str">
        <f t="shared" si="1"/>
        <v>x</v>
      </c>
      <c r="R253" s="1" t="str">
        <f t="shared" si="2"/>
        <v>x</v>
      </c>
      <c r="S253" s="1" t="str">
        <f t="shared" si="3"/>
        <v>x</v>
      </c>
      <c r="T253" s="1" t="str">
        <f t="shared" si="4"/>
        <v>OK</v>
      </c>
    </row>
    <row r="254" ht="15.75" customHeight="1">
      <c r="A254" s="1" t="s">
        <v>779</v>
      </c>
      <c r="B254" s="1">
        <v>1.0625658E7</v>
      </c>
      <c r="C254" s="1" t="s">
        <v>21</v>
      </c>
      <c r="D254" s="1" t="s">
        <v>22</v>
      </c>
      <c r="E254" s="1" t="s">
        <v>195</v>
      </c>
      <c r="F254" s="1" t="s">
        <v>780</v>
      </c>
      <c r="G254" s="1" t="s">
        <v>25</v>
      </c>
      <c r="H254" s="1">
        <v>236.0</v>
      </c>
      <c r="I254" s="1">
        <v>0.0</v>
      </c>
      <c r="J254" s="1">
        <v>0.0</v>
      </c>
      <c r="K254" s="1">
        <v>236.0</v>
      </c>
      <c r="L254" s="1">
        <v>14.96</v>
      </c>
      <c r="M254" s="1">
        <v>3530.56</v>
      </c>
      <c r="N254" s="1" t="s">
        <v>21</v>
      </c>
      <c r="O254" s="1">
        <v>0.0</v>
      </c>
      <c r="P254" s="1" t="s">
        <v>781</v>
      </c>
      <c r="Q254" s="1" t="str">
        <f t="shared" si="1"/>
        <v>x</v>
      </c>
      <c r="R254" s="1" t="str">
        <f t="shared" si="2"/>
        <v>x</v>
      </c>
      <c r="S254" s="1" t="str">
        <f t="shared" si="3"/>
        <v>x</v>
      </c>
      <c r="T254" s="1" t="str">
        <f t="shared" si="4"/>
        <v>OK</v>
      </c>
    </row>
    <row r="255" ht="15.75" customHeight="1">
      <c r="A255" s="1" t="s">
        <v>782</v>
      </c>
      <c r="B255" s="1">
        <v>1.0288696E7</v>
      </c>
      <c r="C255" s="1" t="s">
        <v>21</v>
      </c>
      <c r="D255" s="1" t="s">
        <v>22</v>
      </c>
      <c r="E255" s="1" t="s">
        <v>129</v>
      </c>
      <c r="F255" s="1" t="s">
        <v>612</v>
      </c>
      <c r="G255" s="1" t="s">
        <v>25</v>
      </c>
      <c r="H255" s="1">
        <v>46.0</v>
      </c>
      <c r="I255" s="1">
        <v>46.0</v>
      </c>
      <c r="J255" s="1">
        <v>46.0</v>
      </c>
      <c r="K255" s="1">
        <v>138.0</v>
      </c>
      <c r="L255" s="1">
        <v>25.5</v>
      </c>
      <c r="M255" s="1">
        <v>3519.0</v>
      </c>
      <c r="N255" s="1" t="s">
        <v>21</v>
      </c>
      <c r="O255" s="1">
        <v>0.0</v>
      </c>
      <c r="P255" s="1" t="s">
        <v>783</v>
      </c>
      <c r="Q255" s="1" t="str">
        <f t="shared" si="1"/>
        <v>x</v>
      </c>
      <c r="R255" s="1" t="str">
        <f t="shared" si="2"/>
        <v>x</v>
      </c>
      <c r="S255" s="1" t="str">
        <f t="shared" si="3"/>
        <v>x</v>
      </c>
      <c r="T255" s="1" t="str">
        <f t="shared" si="4"/>
        <v>OK</v>
      </c>
    </row>
    <row r="256" ht="15.75" customHeight="1">
      <c r="A256" s="1" t="s">
        <v>784</v>
      </c>
      <c r="B256" s="1">
        <v>1.0000313E7</v>
      </c>
      <c r="C256" s="1" t="s">
        <v>21</v>
      </c>
      <c r="D256" s="1" t="s">
        <v>22</v>
      </c>
      <c r="E256" s="1" t="s">
        <v>785</v>
      </c>
      <c r="F256" s="1" t="s">
        <v>786</v>
      </c>
      <c r="G256" s="1" t="s">
        <v>25</v>
      </c>
      <c r="H256" s="1">
        <v>2346.0</v>
      </c>
      <c r="I256" s="1">
        <v>2346.0</v>
      </c>
      <c r="J256" s="1">
        <v>2346.0</v>
      </c>
      <c r="K256" s="1">
        <v>7038.0</v>
      </c>
      <c r="L256" s="1">
        <v>0.5</v>
      </c>
      <c r="M256" s="1">
        <v>3519.0</v>
      </c>
      <c r="N256" s="1" t="s">
        <v>21</v>
      </c>
      <c r="O256" s="1">
        <v>0.0</v>
      </c>
      <c r="P256" s="1" t="s">
        <v>787</v>
      </c>
      <c r="Q256" s="1" t="str">
        <f t="shared" si="1"/>
        <v>x</v>
      </c>
      <c r="R256" s="1" t="str">
        <f t="shared" si="2"/>
        <v>x</v>
      </c>
      <c r="S256" s="1" t="str">
        <f t="shared" si="3"/>
        <v>x</v>
      </c>
      <c r="T256" s="1" t="str">
        <f t="shared" si="4"/>
        <v>OK</v>
      </c>
    </row>
    <row r="257" ht="15.75" customHeight="1">
      <c r="A257" s="1" t="s">
        <v>788</v>
      </c>
      <c r="B257" s="1">
        <v>1.1430463E7</v>
      </c>
      <c r="C257" s="1" t="s">
        <v>21</v>
      </c>
      <c r="D257" s="1" t="s">
        <v>22</v>
      </c>
      <c r="E257" s="1" t="s">
        <v>140</v>
      </c>
      <c r="F257" s="1" t="s">
        <v>789</v>
      </c>
      <c r="G257" s="1" t="s">
        <v>25</v>
      </c>
      <c r="H257" s="1">
        <v>38.0</v>
      </c>
      <c r="I257" s="1">
        <v>0.0</v>
      </c>
      <c r="J257" s="1">
        <v>38.0</v>
      </c>
      <c r="K257" s="1">
        <v>76.0</v>
      </c>
      <c r="L257" s="1">
        <v>45.99</v>
      </c>
      <c r="M257" s="1">
        <v>3495.24</v>
      </c>
      <c r="N257" s="1" t="s">
        <v>21</v>
      </c>
      <c r="O257" s="1">
        <v>0.0</v>
      </c>
      <c r="P257" s="1" t="s">
        <v>790</v>
      </c>
      <c r="Q257" s="1" t="str">
        <f t="shared" si="1"/>
        <v>x</v>
      </c>
      <c r="R257" s="1" t="str">
        <f t="shared" si="2"/>
        <v>x</v>
      </c>
      <c r="S257" s="1" t="str">
        <f t="shared" si="3"/>
        <v>x</v>
      </c>
      <c r="T257" s="1" t="str">
        <f t="shared" si="4"/>
        <v>OK</v>
      </c>
    </row>
    <row r="258" ht="15.75" customHeight="1">
      <c r="A258" s="1" t="s">
        <v>791</v>
      </c>
      <c r="B258" s="1">
        <v>1.1870272E7</v>
      </c>
      <c r="C258" s="1" t="s">
        <v>21</v>
      </c>
      <c r="D258" s="1" t="s">
        <v>22</v>
      </c>
      <c r="E258" s="1" t="s">
        <v>129</v>
      </c>
      <c r="F258" s="1" t="s">
        <v>792</v>
      </c>
      <c r="G258" s="1" t="s">
        <v>25</v>
      </c>
      <c r="H258" s="1">
        <v>0.0</v>
      </c>
      <c r="I258" s="1">
        <v>0.0</v>
      </c>
      <c r="J258" s="1">
        <v>132.0</v>
      </c>
      <c r="K258" s="1">
        <v>132.0</v>
      </c>
      <c r="L258" s="1">
        <v>26.23</v>
      </c>
      <c r="M258" s="1">
        <v>3462.36</v>
      </c>
      <c r="N258" s="1" t="s">
        <v>21</v>
      </c>
      <c r="O258" s="1">
        <v>0.0</v>
      </c>
      <c r="P258" s="1" t="s">
        <v>793</v>
      </c>
      <c r="Q258" s="1" t="str">
        <f t="shared" si="1"/>
        <v>x</v>
      </c>
      <c r="R258" s="1" t="str">
        <f t="shared" si="2"/>
        <v>x</v>
      </c>
      <c r="S258" s="1" t="str">
        <f t="shared" si="3"/>
        <v>x</v>
      </c>
      <c r="T258" s="1" t="str">
        <f t="shared" si="4"/>
        <v>OK</v>
      </c>
    </row>
    <row r="259" ht="15.75" customHeight="1">
      <c r="A259" s="1" t="s">
        <v>794</v>
      </c>
      <c r="B259" s="1">
        <v>1.0919457E7</v>
      </c>
      <c r="C259" s="1" t="s">
        <v>21</v>
      </c>
      <c r="D259" s="1" t="s">
        <v>22</v>
      </c>
      <c r="E259" s="1" t="s">
        <v>23</v>
      </c>
      <c r="F259" s="1" t="s">
        <v>795</v>
      </c>
      <c r="G259" s="1" t="s">
        <v>25</v>
      </c>
      <c r="H259" s="1">
        <v>3.0</v>
      </c>
      <c r="I259" s="1">
        <v>3.0</v>
      </c>
      <c r="J259" s="1">
        <v>3.0</v>
      </c>
      <c r="K259" s="1">
        <v>9.0</v>
      </c>
      <c r="L259" s="1">
        <v>384.33</v>
      </c>
      <c r="M259" s="1">
        <v>3458.97</v>
      </c>
      <c r="N259" s="1" t="s">
        <v>21</v>
      </c>
      <c r="O259" s="1" t="s">
        <v>26</v>
      </c>
      <c r="P259" s="1" t="s">
        <v>796</v>
      </c>
      <c r="Q259" s="1" t="str">
        <f t="shared" si="1"/>
        <v>x</v>
      </c>
      <c r="R259" s="1" t="str">
        <f t="shared" si="2"/>
        <v>x</v>
      </c>
      <c r="S259" s="1" t="str">
        <f t="shared" si="3"/>
        <v>x</v>
      </c>
      <c r="T259" s="1" t="str">
        <f t="shared" si="4"/>
        <v>OK</v>
      </c>
    </row>
    <row r="260" ht="15.75" customHeight="1">
      <c r="A260" s="1" t="s">
        <v>797</v>
      </c>
      <c r="B260" s="1">
        <v>1.1131578E7</v>
      </c>
      <c r="C260" s="1" t="s">
        <v>21</v>
      </c>
      <c r="D260" s="1" t="s">
        <v>22</v>
      </c>
      <c r="E260" s="1" t="s">
        <v>23</v>
      </c>
      <c r="F260" s="1" t="s">
        <v>798</v>
      </c>
      <c r="G260" s="1" t="s">
        <v>25</v>
      </c>
      <c r="H260" s="1">
        <v>20.0</v>
      </c>
      <c r="I260" s="1">
        <v>0.0</v>
      </c>
      <c r="J260" s="1">
        <v>0.0</v>
      </c>
      <c r="K260" s="1">
        <v>20.0</v>
      </c>
      <c r="L260" s="1">
        <v>172.21</v>
      </c>
      <c r="M260" s="1">
        <v>3444.2</v>
      </c>
      <c r="N260" s="1" t="s">
        <v>21</v>
      </c>
      <c r="O260" s="1">
        <v>0.0</v>
      </c>
      <c r="P260" s="1" t="s">
        <v>799</v>
      </c>
      <c r="Q260" s="1" t="str">
        <f t="shared" si="1"/>
        <v>x</v>
      </c>
      <c r="R260" s="1" t="str">
        <f t="shared" si="2"/>
        <v>x</v>
      </c>
      <c r="S260" s="1" t="str">
        <f t="shared" si="3"/>
        <v>x</v>
      </c>
      <c r="T260" s="1" t="str">
        <f t="shared" si="4"/>
        <v>OK</v>
      </c>
    </row>
    <row r="261" ht="15.75" customHeight="1">
      <c r="A261" s="1" t="s">
        <v>800</v>
      </c>
      <c r="B261" s="1">
        <v>1.0796747E7</v>
      </c>
      <c r="C261" s="1" t="s">
        <v>21</v>
      </c>
      <c r="D261" s="1" t="s">
        <v>22</v>
      </c>
      <c r="E261" s="1" t="s">
        <v>738</v>
      </c>
      <c r="F261" s="1" t="s">
        <v>739</v>
      </c>
      <c r="G261" s="1" t="s">
        <v>25</v>
      </c>
      <c r="H261" s="1">
        <v>587.0</v>
      </c>
      <c r="I261" s="1">
        <v>412.0</v>
      </c>
      <c r="J261" s="1">
        <v>412.0</v>
      </c>
      <c r="K261" s="1">
        <v>1411.0</v>
      </c>
      <c r="L261" s="1">
        <v>2.42</v>
      </c>
      <c r="M261" s="1">
        <v>3414.62</v>
      </c>
      <c r="N261" s="1" t="s">
        <v>21</v>
      </c>
      <c r="O261" s="1">
        <v>0.0</v>
      </c>
      <c r="P261" s="1" t="s">
        <v>801</v>
      </c>
      <c r="Q261" s="1" t="str">
        <f t="shared" si="1"/>
        <v>x</v>
      </c>
      <c r="R261" s="1" t="str">
        <f t="shared" si="2"/>
        <v>x</v>
      </c>
      <c r="S261" s="1" t="str">
        <f t="shared" si="3"/>
        <v>x</v>
      </c>
      <c r="T261" s="1" t="str">
        <f t="shared" si="4"/>
        <v>OK</v>
      </c>
    </row>
    <row r="262" ht="15.75" customHeight="1">
      <c r="A262" s="1" t="s">
        <v>802</v>
      </c>
      <c r="B262" s="1">
        <v>1.0000082E7</v>
      </c>
      <c r="C262" s="1" t="s">
        <v>21</v>
      </c>
      <c r="D262" s="1" t="s">
        <v>22</v>
      </c>
      <c r="E262" s="1" t="s">
        <v>544</v>
      </c>
      <c r="F262" s="1" t="s">
        <v>803</v>
      </c>
      <c r="G262" s="1" t="s">
        <v>25</v>
      </c>
      <c r="H262" s="1">
        <v>1474.0</v>
      </c>
      <c r="I262" s="1">
        <v>1178.0</v>
      </c>
      <c r="J262" s="1">
        <v>1178.0</v>
      </c>
      <c r="K262" s="1">
        <v>3830.0</v>
      </c>
      <c r="L262" s="1">
        <v>0.89</v>
      </c>
      <c r="M262" s="1">
        <v>3408.7</v>
      </c>
      <c r="N262" s="1" t="s">
        <v>21</v>
      </c>
      <c r="O262" s="1">
        <v>0.0</v>
      </c>
      <c r="P262" s="1" t="s">
        <v>804</v>
      </c>
      <c r="Q262" s="1" t="str">
        <f t="shared" si="1"/>
        <v>x</v>
      </c>
      <c r="R262" s="1" t="str">
        <f t="shared" si="2"/>
        <v>x</v>
      </c>
      <c r="S262" s="1" t="str">
        <f t="shared" si="3"/>
        <v>x</v>
      </c>
      <c r="T262" s="1" t="str">
        <f t="shared" si="4"/>
        <v>OK</v>
      </c>
    </row>
    <row r="263" ht="15.75" customHeight="1">
      <c r="A263" s="1" t="s">
        <v>805</v>
      </c>
      <c r="B263" s="1">
        <v>1.0302032E7</v>
      </c>
      <c r="C263" s="1" t="s">
        <v>21</v>
      </c>
      <c r="D263" s="1" t="s">
        <v>22</v>
      </c>
      <c r="E263" s="1" t="s">
        <v>118</v>
      </c>
      <c r="F263" s="1" t="s">
        <v>806</v>
      </c>
      <c r="G263" s="1" t="s">
        <v>25</v>
      </c>
      <c r="H263" s="1">
        <v>8.0</v>
      </c>
      <c r="I263" s="1">
        <v>8.0</v>
      </c>
      <c r="J263" s="1">
        <v>8.0</v>
      </c>
      <c r="K263" s="1">
        <v>24.0</v>
      </c>
      <c r="L263" s="1">
        <v>141.79</v>
      </c>
      <c r="M263" s="1">
        <v>3402.96</v>
      </c>
      <c r="N263" s="1" t="s">
        <v>21</v>
      </c>
      <c r="O263" s="1" t="s">
        <v>26</v>
      </c>
      <c r="P263" s="1" t="s">
        <v>807</v>
      </c>
      <c r="Q263" s="1" t="str">
        <f t="shared" si="1"/>
        <v>x</v>
      </c>
      <c r="R263" s="1" t="str">
        <f t="shared" si="2"/>
        <v>x</v>
      </c>
      <c r="S263" s="1" t="str">
        <f t="shared" si="3"/>
        <v>x</v>
      </c>
      <c r="T263" s="1" t="str">
        <f t="shared" si="4"/>
        <v>OK</v>
      </c>
    </row>
    <row r="264" ht="15.75" customHeight="1">
      <c r="A264" s="1" t="s">
        <v>808</v>
      </c>
      <c r="B264" s="1">
        <v>1.1822382E7</v>
      </c>
      <c r="C264" s="1">
        <v>1.1436691E7</v>
      </c>
      <c r="D264" s="1" t="s">
        <v>22</v>
      </c>
      <c r="E264" s="1" t="s">
        <v>23</v>
      </c>
      <c r="F264" s="1" t="s">
        <v>809</v>
      </c>
      <c r="G264" s="1" t="s">
        <v>25</v>
      </c>
      <c r="H264" s="1">
        <v>4.0</v>
      </c>
      <c r="I264" s="1">
        <v>4.0</v>
      </c>
      <c r="J264" s="1">
        <v>4.0</v>
      </c>
      <c r="K264" s="1">
        <v>12.0</v>
      </c>
      <c r="L264" s="1">
        <v>282.77</v>
      </c>
      <c r="M264" s="1">
        <v>3393.24</v>
      </c>
      <c r="N264" s="1" t="s">
        <v>21</v>
      </c>
      <c r="O264" s="1">
        <v>0.0</v>
      </c>
      <c r="P264" s="1" t="s">
        <v>810</v>
      </c>
      <c r="Q264" s="1" t="str">
        <f t="shared" si="1"/>
        <v>x</v>
      </c>
      <c r="R264" s="1" t="str">
        <f t="shared" si="2"/>
        <v>x</v>
      </c>
      <c r="S264" s="1" t="str">
        <f t="shared" si="3"/>
        <v>x</v>
      </c>
      <c r="T264" s="1" t="str">
        <f t="shared" si="4"/>
        <v>OK</v>
      </c>
    </row>
    <row r="265" ht="15.75" customHeight="1">
      <c r="A265" s="1" t="s">
        <v>811</v>
      </c>
      <c r="B265" s="1">
        <v>1.075299E7</v>
      </c>
      <c r="C265" s="1" t="s">
        <v>21</v>
      </c>
      <c r="D265" s="1" t="s">
        <v>22</v>
      </c>
      <c r="E265" s="1" t="s">
        <v>738</v>
      </c>
      <c r="F265" s="1" t="s">
        <v>812</v>
      </c>
      <c r="G265" s="1" t="s">
        <v>25</v>
      </c>
      <c r="H265" s="1">
        <v>1576.0</v>
      </c>
      <c r="I265" s="1">
        <v>0.0</v>
      </c>
      <c r="J265" s="1">
        <v>0.0</v>
      </c>
      <c r="K265" s="1">
        <v>1576.0</v>
      </c>
      <c r="L265" s="1">
        <v>2.11</v>
      </c>
      <c r="M265" s="1">
        <v>3325.36</v>
      </c>
      <c r="N265" s="1" t="s">
        <v>21</v>
      </c>
      <c r="O265" s="1">
        <v>0.0</v>
      </c>
      <c r="P265" s="1" t="s">
        <v>813</v>
      </c>
      <c r="Q265" s="1" t="str">
        <f t="shared" si="1"/>
        <v>x</v>
      </c>
      <c r="R265" s="1" t="str">
        <f t="shared" si="2"/>
        <v>x</v>
      </c>
      <c r="S265" s="1" t="str">
        <f t="shared" si="3"/>
        <v>x</v>
      </c>
      <c r="T265" s="1" t="str">
        <f t="shared" si="4"/>
        <v>OK</v>
      </c>
    </row>
    <row r="266" ht="15.75" customHeight="1">
      <c r="A266" s="1" t="s">
        <v>814</v>
      </c>
      <c r="B266" s="1">
        <v>1.0299843E7</v>
      </c>
      <c r="C266" s="1" t="s">
        <v>21</v>
      </c>
      <c r="D266" s="1" t="s">
        <v>22</v>
      </c>
      <c r="E266" s="1" t="s">
        <v>52</v>
      </c>
      <c r="F266" s="1" t="s">
        <v>815</v>
      </c>
      <c r="G266" s="1" t="s">
        <v>25</v>
      </c>
      <c r="H266" s="1">
        <v>1.0</v>
      </c>
      <c r="I266" s="1">
        <v>1.0</v>
      </c>
      <c r="J266" s="1">
        <v>1.0</v>
      </c>
      <c r="K266" s="1">
        <v>3.0</v>
      </c>
      <c r="L266" s="1">
        <v>1078.24</v>
      </c>
      <c r="M266" s="1">
        <v>3234.72</v>
      </c>
      <c r="N266" s="1" t="s">
        <v>21</v>
      </c>
      <c r="O266" s="1" t="s">
        <v>26</v>
      </c>
      <c r="P266" s="1" t="s">
        <v>816</v>
      </c>
      <c r="Q266" s="1" t="str">
        <f t="shared" si="1"/>
        <v>x</v>
      </c>
      <c r="R266" s="1" t="str">
        <f t="shared" si="2"/>
        <v>x</v>
      </c>
      <c r="S266" s="1" t="str">
        <f t="shared" si="3"/>
        <v>x</v>
      </c>
      <c r="T266" s="1" t="str">
        <f t="shared" si="4"/>
        <v>OK</v>
      </c>
    </row>
    <row r="267" ht="15.75" customHeight="1">
      <c r="A267" s="1" t="s">
        <v>817</v>
      </c>
      <c r="B267" s="1">
        <v>1.0796747E7</v>
      </c>
      <c r="C267" s="1" t="s">
        <v>21</v>
      </c>
      <c r="D267" s="1" t="s">
        <v>22</v>
      </c>
      <c r="E267" s="1" t="s">
        <v>738</v>
      </c>
      <c r="F267" s="1" t="s">
        <v>739</v>
      </c>
      <c r="G267" s="1" t="s">
        <v>25</v>
      </c>
      <c r="H267" s="1">
        <v>587.0</v>
      </c>
      <c r="I267" s="1">
        <v>360.0</v>
      </c>
      <c r="J267" s="1">
        <v>360.0</v>
      </c>
      <c r="K267" s="1">
        <v>1307.0</v>
      </c>
      <c r="L267" s="1">
        <v>2.42</v>
      </c>
      <c r="M267" s="1">
        <v>3162.94</v>
      </c>
      <c r="N267" s="1" t="s">
        <v>21</v>
      </c>
      <c r="O267" s="1">
        <v>0.0</v>
      </c>
      <c r="P267" s="1" t="s">
        <v>818</v>
      </c>
      <c r="Q267" s="1" t="str">
        <f t="shared" si="1"/>
        <v>x</v>
      </c>
      <c r="R267" s="1" t="str">
        <f t="shared" si="2"/>
        <v>x</v>
      </c>
      <c r="S267" s="1" t="str">
        <f t="shared" si="3"/>
        <v>x</v>
      </c>
      <c r="T267" s="1" t="str">
        <f t="shared" si="4"/>
        <v>OK</v>
      </c>
    </row>
    <row r="268" ht="15.75" customHeight="1">
      <c r="A268" s="1" t="s">
        <v>819</v>
      </c>
      <c r="B268" s="1">
        <v>1.1416872E7</v>
      </c>
      <c r="C268" s="1" t="s">
        <v>21</v>
      </c>
      <c r="D268" s="1" t="s">
        <v>22</v>
      </c>
      <c r="E268" s="1" t="s">
        <v>23</v>
      </c>
      <c r="F268" s="1" t="s">
        <v>372</v>
      </c>
      <c r="G268" s="1" t="s">
        <v>25</v>
      </c>
      <c r="H268" s="1">
        <v>6.0</v>
      </c>
      <c r="I268" s="1">
        <v>0.0</v>
      </c>
      <c r="J268" s="1">
        <v>6.0</v>
      </c>
      <c r="K268" s="1">
        <v>12.0</v>
      </c>
      <c r="L268" s="1">
        <v>257.23</v>
      </c>
      <c r="M268" s="1">
        <v>3086.76</v>
      </c>
      <c r="N268" s="1" t="s">
        <v>21</v>
      </c>
      <c r="O268" s="1">
        <v>0.0</v>
      </c>
      <c r="P268" s="1" t="s">
        <v>820</v>
      </c>
      <c r="Q268" s="1" t="str">
        <f t="shared" si="1"/>
        <v>x</v>
      </c>
      <c r="R268" s="1" t="str">
        <f t="shared" si="2"/>
        <v>x</v>
      </c>
      <c r="S268" s="1" t="str">
        <f t="shared" si="3"/>
        <v>x</v>
      </c>
      <c r="T268" s="1" t="str">
        <f t="shared" si="4"/>
        <v>OK</v>
      </c>
    </row>
    <row r="269" ht="15.75" customHeight="1">
      <c r="A269" s="1" t="s">
        <v>821</v>
      </c>
      <c r="B269" s="1">
        <v>1.1527131E7</v>
      </c>
      <c r="C269" s="1" t="s">
        <v>21</v>
      </c>
      <c r="D269" s="1" t="s">
        <v>79</v>
      </c>
      <c r="E269" s="1" t="s">
        <v>822</v>
      </c>
      <c r="F269" s="1" t="s">
        <v>823</v>
      </c>
      <c r="G269" s="1" t="s">
        <v>25</v>
      </c>
      <c r="H269" s="1">
        <v>20.0</v>
      </c>
      <c r="I269" s="1">
        <v>38.0</v>
      </c>
      <c r="J269" s="1">
        <v>38.0</v>
      </c>
      <c r="K269" s="1">
        <v>96.0</v>
      </c>
      <c r="L269" s="1">
        <v>31.96</v>
      </c>
      <c r="M269" s="1">
        <v>3068.16</v>
      </c>
      <c r="N269" s="1" t="s">
        <v>21</v>
      </c>
      <c r="O269" s="1">
        <v>0.0</v>
      </c>
      <c r="P269" s="1" t="s">
        <v>824</v>
      </c>
      <c r="Q269" s="1" t="str">
        <f t="shared" si="1"/>
        <v>x</v>
      </c>
      <c r="R269" s="1" t="str">
        <f t="shared" si="2"/>
        <v>x</v>
      </c>
      <c r="S269" s="1" t="str">
        <f t="shared" si="3"/>
        <v>x</v>
      </c>
      <c r="T269" s="1" t="str">
        <f t="shared" si="4"/>
        <v>OK</v>
      </c>
    </row>
    <row r="270" ht="15.75" customHeight="1">
      <c r="A270" s="1" t="s">
        <v>825</v>
      </c>
      <c r="B270" s="1">
        <v>1.1545062E7</v>
      </c>
      <c r="C270" s="1">
        <v>1.1430193E7</v>
      </c>
      <c r="D270" s="1" t="s">
        <v>22</v>
      </c>
      <c r="E270" s="1" t="s">
        <v>52</v>
      </c>
      <c r="F270" s="1" t="s">
        <v>826</v>
      </c>
      <c r="G270" s="1" t="s">
        <v>25</v>
      </c>
      <c r="H270" s="1">
        <v>0.0</v>
      </c>
      <c r="I270" s="1">
        <v>0.0</v>
      </c>
      <c r="J270" s="1">
        <v>4.0</v>
      </c>
      <c r="K270" s="1">
        <v>4.0</v>
      </c>
      <c r="L270" s="1">
        <v>762.51</v>
      </c>
      <c r="M270" s="1">
        <v>3050.04</v>
      </c>
      <c r="N270" s="1" t="s">
        <v>21</v>
      </c>
      <c r="O270" s="1">
        <v>0.0</v>
      </c>
      <c r="P270" s="1" t="s">
        <v>827</v>
      </c>
      <c r="Q270" s="1" t="str">
        <f t="shared" si="1"/>
        <v>x</v>
      </c>
      <c r="R270" s="1" t="str">
        <f t="shared" si="2"/>
        <v>x</v>
      </c>
      <c r="S270" s="1" t="str">
        <f t="shared" si="3"/>
        <v>x</v>
      </c>
      <c r="T270" s="1" t="str">
        <f t="shared" si="4"/>
        <v>OK</v>
      </c>
    </row>
    <row r="271" ht="15.75" customHeight="1">
      <c r="A271" s="1" t="s">
        <v>828</v>
      </c>
      <c r="B271" s="1">
        <v>1.1525688E7</v>
      </c>
      <c r="C271" s="1" t="s">
        <v>21</v>
      </c>
      <c r="D271" s="1" t="s">
        <v>22</v>
      </c>
      <c r="E271" s="1" t="s">
        <v>52</v>
      </c>
      <c r="F271" s="1" t="s">
        <v>112</v>
      </c>
      <c r="G271" s="1" t="s">
        <v>25</v>
      </c>
      <c r="H271" s="1">
        <v>3.0</v>
      </c>
      <c r="I271" s="1">
        <v>0.0</v>
      </c>
      <c r="J271" s="1">
        <v>0.0</v>
      </c>
      <c r="K271" s="1">
        <v>3.0</v>
      </c>
      <c r="L271" s="1">
        <v>998.02</v>
      </c>
      <c r="M271" s="1">
        <v>2994.06</v>
      </c>
      <c r="N271" s="1" t="s">
        <v>21</v>
      </c>
      <c r="O271" s="1">
        <v>0.0</v>
      </c>
      <c r="P271" s="1" t="s">
        <v>829</v>
      </c>
      <c r="Q271" s="1" t="str">
        <f t="shared" si="1"/>
        <v>x</v>
      </c>
      <c r="R271" s="1" t="str">
        <f t="shared" si="2"/>
        <v>x</v>
      </c>
      <c r="S271" s="1" t="str">
        <f t="shared" si="3"/>
        <v>x</v>
      </c>
      <c r="T271" s="1" t="str">
        <f t="shared" si="4"/>
        <v>OK</v>
      </c>
    </row>
    <row r="272" ht="15.75" customHeight="1">
      <c r="A272" s="1" t="s">
        <v>830</v>
      </c>
      <c r="B272" s="1">
        <v>1.1430348E7</v>
      </c>
      <c r="C272" s="1" t="s">
        <v>21</v>
      </c>
      <c r="D272" s="1" t="s">
        <v>22</v>
      </c>
      <c r="E272" s="1" t="s">
        <v>36</v>
      </c>
      <c r="F272" s="1" t="s">
        <v>624</v>
      </c>
      <c r="G272" s="1" t="s">
        <v>25</v>
      </c>
      <c r="H272" s="1">
        <v>2.0</v>
      </c>
      <c r="I272" s="1">
        <v>22.0</v>
      </c>
      <c r="J272" s="1">
        <v>34.0</v>
      </c>
      <c r="K272" s="1">
        <v>58.0</v>
      </c>
      <c r="L272" s="1">
        <v>50.92</v>
      </c>
      <c r="M272" s="1">
        <v>2953.36</v>
      </c>
      <c r="N272" s="1" t="s">
        <v>21</v>
      </c>
      <c r="O272" s="1">
        <v>0.0</v>
      </c>
      <c r="P272" s="1" t="s">
        <v>831</v>
      </c>
      <c r="Q272" s="1" t="str">
        <f t="shared" si="1"/>
        <v>x</v>
      </c>
      <c r="R272" s="1" t="str">
        <f t="shared" si="2"/>
        <v>x</v>
      </c>
      <c r="S272" s="1" t="str">
        <f t="shared" si="3"/>
        <v>x</v>
      </c>
      <c r="T272" s="1" t="str">
        <f t="shared" si="4"/>
        <v>OK</v>
      </c>
    </row>
    <row r="273" ht="15.75" customHeight="1">
      <c r="A273" s="1" t="s">
        <v>832</v>
      </c>
      <c r="B273" s="1">
        <v>1.1136923E7</v>
      </c>
      <c r="C273" s="1" t="s">
        <v>21</v>
      </c>
      <c r="D273" s="1" t="s">
        <v>22</v>
      </c>
      <c r="E273" s="1" t="s">
        <v>231</v>
      </c>
      <c r="F273" s="1" t="s">
        <v>833</v>
      </c>
      <c r="G273" s="1" t="s">
        <v>25</v>
      </c>
      <c r="H273" s="1">
        <v>120.0</v>
      </c>
      <c r="I273" s="1">
        <v>288.0</v>
      </c>
      <c r="J273" s="1">
        <v>112.0</v>
      </c>
      <c r="K273" s="1">
        <v>520.0</v>
      </c>
      <c r="L273" s="1">
        <v>5.61</v>
      </c>
      <c r="M273" s="1">
        <v>2917.2</v>
      </c>
      <c r="N273" s="1" t="s">
        <v>21</v>
      </c>
      <c r="O273" s="1">
        <v>0.0</v>
      </c>
      <c r="P273" s="1" t="s">
        <v>834</v>
      </c>
      <c r="Q273" s="1" t="str">
        <f t="shared" si="1"/>
        <v>x</v>
      </c>
      <c r="R273" s="1" t="str">
        <f t="shared" si="2"/>
        <v>x</v>
      </c>
      <c r="S273" s="1" t="str">
        <f t="shared" si="3"/>
        <v>x</v>
      </c>
      <c r="T273" s="1" t="str">
        <f t="shared" si="4"/>
        <v>OK</v>
      </c>
    </row>
    <row r="274" ht="15.75" customHeight="1">
      <c r="A274" s="1" t="s">
        <v>835</v>
      </c>
      <c r="B274" s="1">
        <v>1.1136966E7</v>
      </c>
      <c r="C274" s="1" t="s">
        <v>21</v>
      </c>
      <c r="D274" s="1" t="s">
        <v>22</v>
      </c>
      <c r="E274" s="1" t="s">
        <v>633</v>
      </c>
      <c r="F274" s="1" t="s">
        <v>836</v>
      </c>
      <c r="G274" s="1" t="s">
        <v>25</v>
      </c>
      <c r="H274" s="1">
        <v>328.0</v>
      </c>
      <c r="I274" s="1">
        <v>272.0</v>
      </c>
      <c r="J274" s="1">
        <v>348.0</v>
      </c>
      <c r="K274" s="1">
        <v>948.0</v>
      </c>
      <c r="L274" s="1">
        <v>3.0</v>
      </c>
      <c r="M274" s="1">
        <v>2844.0</v>
      </c>
      <c r="N274" s="1" t="s">
        <v>21</v>
      </c>
      <c r="O274" s="1">
        <v>0.0</v>
      </c>
      <c r="P274" s="1" t="s">
        <v>837</v>
      </c>
      <c r="Q274" s="1" t="str">
        <f t="shared" si="1"/>
        <v>x</v>
      </c>
      <c r="R274" s="1" t="str">
        <f t="shared" si="2"/>
        <v>x</v>
      </c>
      <c r="S274" s="1" t="str">
        <f t="shared" si="3"/>
        <v>x</v>
      </c>
      <c r="T274" s="1" t="str">
        <f t="shared" si="4"/>
        <v>OK</v>
      </c>
    </row>
    <row r="275" ht="15.75" customHeight="1">
      <c r="A275" s="1" t="s">
        <v>838</v>
      </c>
      <c r="B275" s="1">
        <v>1.02575E7</v>
      </c>
      <c r="C275" s="1" t="s">
        <v>21</v>
      </c>
      <c r="D275" s="1" t="s">
        <v>22</v>
      </c>
      <c r="E275" s="1" t="s">
        <v>52</v>
      </c>
      <c r="F275" s="1" t="s">
        <v>839</v>
      </c>
      <c r="G275" s="1" t="s">
        <v>25</v>
      </c>
      <c r="H275" s="1">
        <v>2.0</v>
      </c>
      <c r="I275" s="1">
        <v>0.0</v>
      </c>
      <c r="J275" s="1">
        <v>0.0</v>
      </c>
      <c r="K275" s="1">
        <v>2.0</v>
      </c>
      <c r="L275" s="1">
        <v>1388.85</v>
      </c>
      <c r="M275" s="1">
        <v>2777.7</v>
      </c>
      <c r="N275" s="1" t="s">
        <v>21</v>
      </c>
      <c r="O275" s="1">
        <v>0.0</v>
      </c>
      <c r="P275" s="1" t="s">
        <v>840</v>
      </c>
      <c r="Q275" s="1" t="str">
        <f t="shared" si="1"/>
        <v>x</v>
      </c>
      <c r="R275" s="1" t="str">
        <f t="shared" si="2"/>
        <v>x</v>
      </c>
      <c r="S275" s="1" t="str">
        <f t="shared" si="3"/>
        <v>x</v>
      </c>
      <c r="T275" s="1" t="str">
        <f t="shared" si="4"/>
        <v>OK</v>
      </c>
    </row>
    <row r="276" ht="15.75" customHeight="1">
      <c r="A276" s="1" t="s">
        <v>841</v>
      </c>
      <c r="B276" s="1">
        <v>1.0550848E7</v>
      </c>
      <c r="C276" s="1" t="s">
        <v>21</v>
      </c>
      <c r="D276" s="1" t="s">
        <v>79</v>
      </c>
      <c r="E276" s="1" t="s">
        <v>842</v>
      </c>
      <c r="F276" s="1" t="s">
        <v>134</v>
      </c>
      <c r="G276" s="1" t="s">
        <v>25</v>
      </c>
      <c r="H276" s="1">
        <v>0.0</v>
      </c>
      <c r="I276" s="1">
        <v>19.0</v>
      </c>
      <c r="J276" s="1">
        <v>19.0</v>
      </c>
      <c r="K276" s="1">
        <v>38.0</v>
      </c>
      <c r="L276" s="1">
        <v>72.34</v>
      </c>
      <c r="M276" s="1">
        <v>2748.92</v>
      </c>
      <c r="N276" s="1" t="s">
        <v>26</v>
      </c>
      <c r="O276" s="1">
        <v>0.0</v>
      </c>
      <c r="P276" s="1" t="s">
        <v>843</v>
      </c>
      <c r="Q276" s="1" t="str">
        <f t="shared" si="1"/>
        <v>x</v>
      </c>
      <c r="R276" s="1" t="str">
        <f t="shared" si="2"/>
        <v>x</v>
      </c>
      <c r="S276" s="1" t="str">
        <f t="shared" si="3"/>
        <v>x</v>
      </c>
      <c r="T276" s="1" t="str">
        <f t="shared" si="4"/>
        <v>OK</v>
      </c>
    </row>
    <row r="277" ht="15.75" customHeight="1">
      <c r="A277" s="1" t="s">
        <v>844</v>
      </c>
      <c r="B277" s="1">
        <v>1.0046154E7</v>
      </c>
      <c r="C277" s="1" t="s">
        <v>21</v>
      </c>
      <c r="D277" s="1" t="s">
        <v>22</v>
      </c>
      <c r="E277" s="1" t="s">
        <v>544</v>
      </c>
      <c r="F277" s="1" t="s">
        <v>845</v>
      </c>
      <c r="G277" s="1" t="s">
        <v>25</v>
      </c>
      <c r="H277" s="1">
        <v>472.0</v>
      </c>
      <c r="I277" s="1">
        <v>404.0</v>
      </c>
      <c r="J277" s="1">
        <v>496.0</v>
      </c>
      <c r="K277" s="1">
        <v>1372.0</v>
      </c>
      <c r="L277" s="1">
        <v>1.96</v>
      </c>
      <c r="M277" s="1">
        <v>2689.12</v>
      </c>
      <c r="N277" s="1" t="s">
        <v>21</v>
      </c>
      <c r="O277" s="1">
        <v>0.0</v>
      </c>
      <c r="P277" s="1" t="s">
        <v>846</v>
      </c>
      <c r="Q277" s="1" t="str">
        <f t="shared" si="1"/>
        <v>x</v>
      </c>
      <c r="R277" s="1" t="str">
        <f t="shared" si="2"/>
        <v>x</v>
      </c>
      <c r="S277" s="1" t="str">
        <f t="shared" si="3"/>
        <v>x</v>
      </c>
      <c r="T277" s="1" t="str">
        <f t="shared" si="4"/>
        <v>OK</v>
      </c>
    </row>
    <row r="278" ht="15.75" customHeight="1">
      <c r="A278" s="1" t="s">
        <v>847</v>
      </c>
      <c r="B278" s="1">
        <v>1.1518383E7</v>
      </c>
      <c r="C278" s="1" t="s">
        <v>21</v>
      </c>
      <c r="D278" s="1" t="s">
        <v>22</v>
      </c>
      <c r="E278" s="1" t="s">
        <v>52</v>
      </c>
      <c r="F278" s="1" t="s">
        <v>848</v>
      </c>
      <c r="G278" s="1" t="s">
        <v>25</v>
      </c>
      <c r="H278" s="1">
        <v>1.0</v>
      </c>
      <c r="I278" s="1">
        <v>0.0</v>
      </c>
      <c r="J278" s="1">
        <v>0.0</v>
      </c>
      <c r="K278" s="1">
        <v>1.0</v>
      </c>
      <c r="L278" s="1">
        <v>2681.4</v>
      </c>
      <c r="M278" s="1">
        <v>2681.4</v>
      </c>
      <c r="N278" s="1" t="s">
        <v>21</v>
      </c>
      <c r="O278" s="1">
        <v>0.0</v>
      </c>
      <c r="P278" s="1" t="s">
        <v>849</v>
      </c>
      <c r="Q278" s="1" t="str">
        <f t="shared" si="1"/>
        <v>x</v>
      </c>
      <c r="R278" s="1" t="str">
        <f t="shared" si="2"/>
        <v>x</v>
      </c>
      <c r="S278" s="1" t="str">
        <f t="shared" si="3"/>
        <v>x</v>
      </c>
      <c r="T278" s="1" t="str">
        <f t="shared" si="4"/>
        <v>OK</v>
      </c>
    </row>
    <row r="279" ht="15.75" customHeight="1">
      <c r="A279" s="1" t="s">
        <v>850</v>
      </c>
      <c r="B279" s="1">
        <v>1.030344E7</v>
      </c>
      <c r="C279" s="1" t="s">
        <v>21</v>
      </c>
      <c r="D279" s="1" t="s">
        <v>22</v>
      </c>
      <c r="E279" s="1" t="s">
        <v>23</v>
      </c>
      <c r="F279" s="1" t="s">
        <v>851</v>
      </c>
      <c r="G279" s="1" t="s">
        <v>25</v>
      </c>
      <c r="H279" s="1">
        <v>6.0</v>
      </c>
      <c r="I279" s="1">
        <v>0.0</v>
      </c>
      <c r="J279" s="1">
        <v>6.0</v>
      </c>
      <c r="K279" s="1">
        <v>12.0</v>
      </c>
      <c r="L279" s="1">
        <v>223.35</v>
      </c>
      <c r="M279" s="1">
        <v>2680.2</v>
      </c>
      <c r="N279" s="1" t="s">
        <v>21</v>
      </c>
      <c r="O279" s="1">
        <v>0.0</v>
      </c>
      <c r="P279" s="1" t="s">
        <v>852</v>
      </c>
      <c r="Q279" s="1" t="str">
        <f t="shared" si="1"/>
        <v>x</v>
      </c>
      <c r="R279" s="1" t="str">
        <f t="shared" si="2"/>
        <v>x</v>
      </c>
      <c r="S279" s="1" t="str">
        <f t="shared" si="3"/>
        <v>x</v>
      </c>
      <c r="T279" s="1" t="str">
        <f t="shared" si="4"/>
        <v>OK</v>
      </c>
    </row>
    <row r="280" ht="15.75" customHeight="1">
      <c r="A280" s="1" t="s">
        <v>853</v>
      </c>
      <c r="B280" s="1">
        <v>1.0000562E7</v>
      </c>
      <c r="C280" s="1" t="s">
        <v>21</v>
      </c>
      <c r="D280" s="1" t="s">
        <v>22</v>
      </c>
      <c r="E280" s="1" t="s">
        <v>785</v>
      </c>
      <c r="F280" s="1" t="s">
        <v>854</v>
      </c>
      <c r="G280" s="1" t="s">
        <v>25</v>
      </c>
      <c r="H280" s="1">
        <v>1993.0</v>
      </c>
      <c r="I280" s="1">
        <v>2832.0</v>
      </c>
      <c r="J280" s="1">
        <v>2832.0</v>
      </c>
      <c r="K280" s="1">
        <v>7657.0</v>
      </c>
      <c r="L280" s="1">
        <v>0.35</v>
      </c>
      <c r="M280" s="1">
        <v>2679.95</v>
      </c>
      <c r="N280" s="1" t="s">
        <v>21</v>
      </c>
      <c r="O280" s="1">
        <v>0.0</v>
      </c>
      <c r="P280" s="1" t="s">
        <v>855</v>
      </c>
      <c r="Q280" s="1" t="str">
        <f t="shared" si="1"/>
        <v>x</v>
      </c>
      <c r="R280" s="1" t="str">
        <f t="shared" si="2"/>
        <v>x</v>
      </c>
      <c r="S280" s="1" t="str">
        <f t="shared" si="3"/>
        <v>x</v>
      </c>
      <c r="T280" s="1" t="str">
        <f t="shared" si="4"/>
        <v>OK</v>
      </c>
    </row>
    <row r="281" ht="15.75" customHeight="1">
      <c r="A281" s="1" t="s">
        <v>856</v>
      </c>
      <c r="B281" s="1">
        <v>1.0745857E7</v>
      </c>
      <c r="C281" s="1" t="s">
        <v>21</v>
      </c>
      <c r="D281" s="1" t="s">
        <v>22</v>
      </c>
      <c r="E281" s="1" t="s">
        <v>150</v>
      </c>
      <c r="F281" s="1" t="s">
        <v>463</v>
      </c>
      <c r="G281" s="1" t="s">
        <v>25</v>
      </c>
      <c r="H281" s="1">
        <v>10.0</v>
      </c>
      <c r="I281" s="1">
        <v>0.0</v>
      </c>
      <c r="J281" s="1">
        <v>16.0</v>
      </c>
      <c r="K281" s="1">
        <v>26.0</v>
      </c>
      <c r="L281" s="1">
        <v>102.95</v>
      </c>
      <c r="M281" s="1">
        <v>2676.7</v>
      </c>
      <c r="N281" s="1" t="s">
        <v>21</v>
      </c>
      <c r="O281" s="1">
        <v>0.0</v>
      </c>
      <c r="P281" s="1" t="s">
        <v>857</v>
      </c>
      <c r="Q281" s="1" t="str">
        <f t="shared" si="1"/>
        <v>x</v>
      </c>
      <c r="R281" s="1" t="str">
        <f t="shared" si="2"/>
        <v>x</v>
      </c>
      <c r="S281" s="1" t="str">
        <f t="shared" si="3"/>
        <v>x</v>
      </c>
      <c r="T281" s="1" t="str">
        <f t="shared" si="4"/>
        <v>OK</v>
      </c>
    </row>
    <row r="282" ht="15.75" customHeight="1">
      <c r="A282" s="1" t="s">
        <v>858</v>
      </c>
      <c r="B282" s="1">
        <v>1.0653936E7</v>
      </c>
      <c r="C282" s="1" t="s">
        <v>21</v>
      </c>
      <c r="D282" s="1" t="s">
        <v>22</v>
      </c>
      <c r="E282" s="1" t="s">
        <v>544</v>
      </c>
      <c r="F282" s="1" t="s">
        <v>859</v>
      </c>
      <c r="G282" s="1" t="s">
        <v>25</v>
      </c>
      <c r="H282" s="1">
        <v>2176.0</v>
      </c>
      <c r="I282" s="1">
        <v>0.0</v>
      </c>
      <c r="J282" s="1">
        <v>400.0</v>
      </c>
      <c r="K282" s="1">
        <v>2576.0</v>
      </c>
      <c r="L282" s="1">
        <v>1.0</v>
      </c>
      <c r="M282" s="1">
        <v>2576.0</v>
      </c>
      <c r="N282" s="1" t="s">
        <v>21</v>
      </c>
      <c r="O282" s="1">
        <v>0.0</v>
      </c>
      <c r="P282" s="1" t="s">
        <v>860</v>
      </c>
      <c r="Q282" s="1" t="str">
        <f t="shared" si="1"/>
        <v>x</v>
      </c>
      <c r="R282" s="1" t="str">
        <f t="shared" si="2"/>
        <v>x</v>
      </c>
      <c r="S282" s="1" t="str">
        <f t="shared" si="3"/>
        <v>x</v>
      </c>
      <c r="T282" s="1" t="str">
        <f t="shared" si="4"/>
        <v>OK</v>
      </c>
    </row>
    <row r="283" ht="15.75" customHeight="1">
      <c r="A283" s="1" t="s">
        <v>861</v>
      </c>
      <c r="B283" s="1">
        <v>1.0510857E7</v>
      </c>
      <c r="C283" s="1" t="s">
        <v>21</v>
      </c>
      <c r="D283" s="1" t="s">
        <v>22</v>
      </c>
      <c r="E283" s="1" t="s">
        <v>633</v>
      </c>
      <c r="F283" s="1" t="s">
        <v>862</v>
      </c>
      <c r="G283" s="1" t="s">
        <v>25</v>
      </c>
      <c r="H283" s="1">
        <v>384.0</v>
      </c>
      <c r="I283" s="1">
        <v>88.0</v>
      </c>
      <c r="J283" s="1">
        <v>280.0</v>
      </c>
      <c r="K283" s="1">
        <v>752.0</v>
      </c>
      <c r="L283" s="1">
        <v>3.42</v>
      </c>
      <c r="M283" s="1">
        <v>2571.84</v>
      </c>
      <c r="N283" s="1" t="s">
        <v>21</v>
      </c>
      <c r="O283" s="1">
        <v>0.0</v>
      </c>
      <c r="P283" s="1" t="s">
        <v>863</v>
      </c>
      <c r="Q283" s="1" t="str">
        <f t="shared" si="1"/>
        <v>x</v>
      </c>
      <c r="R283" s="1" t="str">
        <f t="shared" si="2"/>
        <v>x</v>
      </c>
      <c r="S283" s="1" t="str">
        <f t="shared" si="3"/>
        <v>x</v>
      </c>
      <c r="T283" s="1" t="str">
        <f t="shared" si="4"/>
        <v>OK</v>
      </c>
    </row>
    <row r="284" ht="15.75" customHeight="1">
      <c r="A284" s="1" t="s">
        <v>864</v>
      </c>
      <c r="B284" s="1" t="s">
        <v>865</v>
      </c>
      <c r="C284" s="1" t="s">
        <v>21</v>
      </c>
      <c r="D284" s="1" t="s">
        <v>22</v>
      </c>
      <c r="E284" s="1" t="s">
        <v>52</v>
      </c>
      <c r="F284" s="1" t="s">
        <v>866</v>
      </c>
      <c r="G284" s="1" t="s">
        <v>25</v>
      </c>
      <c r="H284" s="1">
        <v>3.0</v>
      </c>
      <c r="I284" s="1">
        <v>0.0</v>
      </c>
      <c r="J284" s="1">
        <v>0.0</v>
      </c>
      <c r="K284" s="1">
        <v>3.0</v>
      </c>
      <c r="L284" s="1">
        <v>839.54</v>
      </c>
      <c r="M284" s="1">
        <v>2518.62</v>
      </c>
      <c r="N284" s="1" t="s">
        <v>21</v>
      </c>
      <c r="O284" s="1">
        <v>0.0</v>
      </c>
      <c r="P284" s="1" t="s">
        <v>867</v>
      </c>
      <c r="Q284" s="1" t="str">
        <f t="shared" si="1"/>
        <v>x</v>
      </c>
      <c r="R284" s="1" t="str">
        <f t="shared" si="2"/>
        <v>x</v>
      </c>
      <c r="S284" s="1" t="str">
        <f t="shared" si="3"/>
        <v>x</v>
      </c>
      <c r="T284" s="1" t="str">
        <f t="shared" si="4"/>
        <v>OK</v>
      </c>
    </row>
    <row r="285" ht="15.75" customHeight="1">
      <c r="A285" s="1" t="s">
        <v>868</v>
      </c>
      <c r="B285" s="1">
        <v>1.0000564E7</v>
      </c>
      <c r="C285" s="1" t="s">
        <v>21</v>
      </c>
      <c r="D285" s="1" t="s">
        <v>22</v>
      </c>
      <c r="E285" s="1" t="s">
        <v>785</v>
      </c>
      <c r="F285" s="1" t="s">
        <v>869</v>
      </c>
      <c r="G285" s="1" t="s">
        <v>25</v>
      </c>
      <c r="H285" s="1">
        <v>3646.0</v>
      </c>
      <c r="I285" s="1">
        <v>2832.0</v>
      </c>
      <c r="J285" s="1">
        <v>2832.0</v>
      </c>
      <c r="K285" s="1">
        <v>9310.0</v>
      </c>
      <c r="L285" s="1">
        <v>0.27</v>
      </c>
      <c r="M285" s="1">
        <v>2513.7</v>
      </c>
      <c r="N285" s="1" t="s">
        <v>21</v>
      </c>
      <c r="O285" s="1">
        <v>0.0</v>
      </c>
      <c r="P285" s="1" t="s">
        <v>870</v>
      </c>
      <c r="Q285" s="1" t="str">
        <f t="shared" si="1"/>
        <v>x</v>
      </c>
      <c r="R285" s="1" t="str">
        <f t="shared" si="2"/>
        <v>x</v>
      </c>
      <c r="S285" s="1" t="str">
        <f t="shared" si="3"/>
        <v>x</v>
      </c>
      <c r="T285" s="1" t="str">
        <f t="shared" si="4"/>
        <v>OK</v>
      </c>
    </row>
    <row r="286" ht="15.75" customHeight="1">
      <c r="A286" s="1" t="s">
        <v>871</v>
      </c>
      <c r="B286" s="1">
        <v>1.0031327E7</v>
      </c>
      <c r="C286" s="1" t="s">
        <v>21</v>
      </c>
      <c r="D286" s="1" t="s">
        <v>22</v>
      </c>
      <c r="E286" s="1" t="s">
        <v>36</v>
      </c>
      <c r="F286" s="1" t="s">
        <v>872</v>
      </c>
      <c r="G286" s="1" t="s">
        <v>25</v>
      </c>
      <c r="H286" s="1">
        <v>24.0</v>
      </c>
      <c r="I286" s="1">
        <v>0.0</v>
      </c>
      <c r="J286" s="1">
        <v>16.0</v>
      </c>
      <c r="K286" s="1">
        <v>40.0</v>
      </c>
      <c r="L286" s="1">
        <v>61.68</v>
      </c>
      <c r="M286" s="1">
        <v>2467.2</v>
      </c>
      <c r="N286" s="1" t="s">
        <v>21</v>
      </c>
      <c r="O286" s="1">
        <v>0.0</v>
      </c>
      <c r="P286" s="1" t="s">
        <v>873</v>
      </c>
      <c r="Q286" s="1" t="str">
        <f t="shared" si="1"/>
        <v>x</v>
      </c>
      <c r="R286" s="1" t="str">
        <f t="shared" si="2"/>
        <v>x</v>
      </c>
      <c r="S286" s="1" t="str">
        <f t="shared" si="3"/>
        <v>x</v>
      </c>
      <c r="T286" s="1" t="str">
        <f t="shared" si="4"/>
        <v>OK</v>
      </c>
    </row>
    <row r="287" ht="15.75" customHeight="1">
      <c r="A287" s="1" t="s">
        <v>874</v>
      </c>
      <c r="B287" s="1">
        <v>1.0488571E7</v>
      </c>
      <c r="C287" s="1" t="s">
        <v>21</v>
      </c>
      <c r="D287" s="1" t="s">
        <v>22</v>
      </c>
      <c r="E287" s="1" t="s">
        <v>195</v>
      </c>
      <c r="F287" s="1" t="s">
        <v>764</v>
      </c>
      <c r="G287" s="1" t="s">
        <v>25</v>
      </c>
      <c r="H287" s="1">
        <v>20.0</v>
      </c>
      <c r="I287" s="1">
        <v>100.0</v>
      </c>
      <c r="J287" s="1">
        <v>100.0</v>
      </c>
      <c r="K287" s="1">
        <v>220.0</v>
      </c>
      <c r="L287" s="1">
        <v>11.11</v>
      </c>
      <c r="M287" s="1">
        <v>2444.2</v>
      </c>
      <c r="N287" s="1" t="s">
        <v>21</v>
      </c>
      <c r="O287" s="1">
        <v>0.0</v>
      </c>
      <c r="P287" s="1" t="s">
        <v>875</v>
      </c>
      <c r="Q287" s="1" t="str">
        <f t="shared" si="1"/>
        <v>x</v>
      </c>
      <c r="R287" s="1" t="str">
        <f t="shared" si="2"/>
        <v>x</v>
      </c>
      <c r="S287" s="1" t="str">
        <f t="shared" si="3"/>
        <v>x</v>
      </c>
      <c r="T287" s="1" t="str">
        <f t="shared" si="4"/>
        <v>OK</v>
      </c>
    </row>
    <row r="288" ht="15.75" customHeight="1">
      <c r="A288" s="1" t="s">
        <v>876</v>
      </c>
      <c r="B288" s="1">
        <v>1.0530985E7</v>
      </c>
      <c r="C288" s="1" t="s">
        <v>21</v>
      </c>
      <c r="D288" s="1" t="s">
        <v>22</v>
      </c>
      <c r="E288" s="1" t="s">
        <v>129</v>
      </c>
      <c r="F288" s="1" t="s">
        <v>877</v>
      </c>
      <c r="G288" s="1" t="s">
        <v>25</v>
      </c>
      <c r="H288" s="1">
        <v>100.0</v>
      </c>
      <c r="I288" s="1">
        <v>0.0</v>
      </c>
      <c r="J288" s="1">
        <v>0.0</v>
      </c>
      <c r="K288" s="1">
        <v>100.0</v>
      </c>
      <c r="L288" s="1">
        <v>23.34</v>
      </c>
      <c r="M288" s="1">
        <v>2334.0</v>
      </c>
      <c r="N288" s="1" t="s">
        <v>21</v>
      </c>
      <c r="O288" s="1">
        <v>0.0</v>
      </c>
      <c r="P288" s="1" t="s">
        <v>878</v>
      </c>
      <c r="Q288" s="1" t="str">
        <f t="shared" si="1"/>
        <v>x</v>
      </c>
      <c r="R288" s="1" t="str">
        <f t="shared" si="2"/>
        <v>x</v>
      </c>
      <c r="S288" s="1" t="str">
        <f t="shared" si="3"/>
        <v>x</v>
      </c>
      <c r="T288" s="1" t="str">
        <f t="shared" si="4"/>
        <v>OK</v>
      </c>
    </row>
    <row r="289" ht="15.75" customHeight="1">
      <c r="A289" s="1" t="s">
        <v>879</v>
      </c>
      <c r="B289" s="1">
        <v>1.0796747E7</v>
      </c>
      <c r="C289" s="1" t="s">
        <v>21</v>
      </c>
      <c r="D289" s="1" t="s">
        <v>22</v>
      </c>
      <c r="E289" s="1" t="s">
        <v>738</v>
      </c>
      <c r="F289" s="1" t="s">
        <v>739</v>
      </c>
      <c r="G289" s="1" t="s">
        <v>25</v>
      </c>
      <c r="H289" s="1">
        <v>508.0</v>
      </c>
      <c r="I289" s="1">
        <v>120.0</v>
      </c>
      <c r="J289" s="1">
        <v>332.0</v>
      </c>
      <c r="K289" s="1">
        <v>960.0</v>
      </c>
      <c r="L289" s="1">
        <v>2.42</v>
      </c>
      <c r="M289" s="1">
        <v>2323.2</v>
      </c>
      <c r="N289" s="1" t="s">
        <v>21</v>
      </c>
      <c r="O289" s="1">
        <v>0.0</v>
      </c>
      <c r="P289" s="1" t="s">
        <v>880</v>
      </c>
      <c r="Q289" s="1" t="str">
        <f t="shared" si="1"/>
        <v>x</v>
      </c>
      <c r="R289" s="1" t="str">
        <f t="shared" si="2"/>
        <v>x</v>
      </c>
      <c r="S289" s="1" t="str">
        <f t="shared" si="3"/>
        <v>x</v>
      </c>
      <c r="T289" s="1" t="str">
        <f t="shared" si="4"/>
        <v>OK</v>
      </c>
    </row>
    <row r="290" ht="15.75" customHeight="1">
      <c r="A290" s="1" t="s">
        <v>881</v>
      </c>
      <c r="B290" s="1">
        <v>1.0319011E7</v>
      </c>
      <c r="C290" s="1" t="s">
        <v>21</v>
      </c>
      <c r="D290" s="1" t="s">
        <v>22</v>
      </c>
      <c r="E290" s="1" t="s">
        <v>36</v>
      </c>
      <c r="F290" s="1" t="s">
        <v>882</v>
      </c>
      <c r="G290" s="1" t="s">
        <v>25</v>
      </c>
      <c r="H290" s="1">
        <v>0.0</v>
      </c>
      <c r="I290" s="1">
        <v>18.0</v>
      </c>
      <c r="J290" s="1">
        <v>18.0</v>
      </c>
      <c r="K290" s="1">
        <v>36.0</v>
      </c>
      <c r="L290" s="1">
        <v>64.26</v>
      </c>
      <c r="M290" s="1">
        <v>2313.36</v>
      </c>
      <c r="N290" s="1" t="s">
        <v>21</v>
      </c>
      <c r="O290" s="1">
        <v>0.0</v>
      </c>
      <c r="P290" s="1" t="s">
        <v>883</v>
      </c>
      <c r="Q290" s="1" t="str">
        <f t="shared" si="1"/>
        <v>x</v>
      </c>
      <c r="R290" s="1" t="str">
        <f t="shared" si="2"/>
        <v>x</v>
      </c>
      <c r="S290" s="1" t="str">
        <f t="shared" si="3"/>
        <v>x</v>
      </c>
      <c r="T290" s="1" t="str">
        <f t="shared" si="4"/>
        <v>OK</v>
      </c>
    </row>
    <row r="291" ht="15.75" customHeight="1">
      <c r="A291" s="1" t="s">
        <v>884</v>
      </c>
      <c r="B291" s="1">
        <v>1.0687475E7</v>
      </c>
      <c r="C291" s="1" t="s">
        <v>21</v>
      </c>
      <c r="D291" s="1" t="s">
        <v>22</v>
      </c>
      <c r="E291" s="1" t="s">
        <v>129</v>
      </c>
      <c r="F291" s="1" t="s">
        <v>885</v>
      </c>
      <c r="G291" s="1" t="s">
        <v>25</v>
      </c>
      <c r="H291" s="1">
        <v>22.0</v>
      </c>
      <c r="I291" s="1">
        <v>22.0</v>
      </c>
      <c r="J291" s="1">
        <v>22.0</v>
      </c>
      <c r="K291" s="1">
        <v>66.0</v>
      </c>
      <c r="L291" s="1">
        <v>33.92</v>
      </c>
      <c r="M291" s="1">
        <v>2238.72</v>
      </c>
      <c r="N291" s="1" t="s">
        <v>21</v>
      </c>
      <c r="O291" s="1">
        <v>0.0</v>
      </c>
      <c r="P291" s="1" t="s">
        <v>886</v>
      </c>
      <c r="Q291" s="1" t="str">
        <f t="shared" si="1"/>
        <v>x</v>
      </c>
      <c r="R291" s="1" t="str">
        <f t="shared" si="2"/>
        <v>x</v>
      </c>
      <c r="S291" s="1" t="str">
        <f t="shared" si="3"/>
        <v>x</v>
      </c>
      <c r="T291" s="1" t="str">
        <f t="shared" si="4"/>
        <v>OK</v>
      </c>
    </row>
    <row r="292" ht="15.75" customHeight="1">
      <c r="A292" s="1" t="s">
        <v>887</v>
      </c>
      <c r="B292" s="1">
        <v>1.1101307E7</v>
      </c>
      <c r="C292" s="1" t="s">
        <v>21</v>
      </c>
      <c r="D292" s="1" t="s">
        <v>22</v>
      </c>
      <c r="E292" s="1" t="s">
        <v>23</v>
      </c>
      <c r="F292" s="1" t="s">
        <v>888</v>
      </c>
      <c r="G292" s="1" t="s">
        <v>25</v>
      </c>
      <c r="H292" s="1">
        <v>6.0</v>
      </c>
      <c r="I292" s="1">
        <v>0.0</v>
      </c>
      <c r="J292" s="1">
        <v>6.0</v>
      </c>
      <c r="K292" s="1">
        <v>12.0</v>
      </c>
      <c r="L292" s="1">
        <v>183.97</v>
      </c>
      <c r="M292" s="1">
        <v>2207.64</v>
      </c>
      <c r="N292" s="1" t="s">
        <v>21</v>
      </c>
      <c r="O292" s="1">
        <v>0.0</v>
      </c>
      <c r="P292" s="1" t="s">
        <v>889</v>
      </c>
      <c r="Q292" s="1" t="str">
        <f t="shared" si="1"/>
        <v>x</v>
      </c>
      <c r="R292" s="1" t="str">
        <f t="shared" si="2"/>
        <v>x</v>
      </c>
      <c r="S292" s="1" t="str">
        <f t="shared" si="3"/>
        <v>x</v>
      </c>
      <c r="T292" s="1" t="str">
        <f t="shared" si="4"/>
        <v>OK</v>
      </c>
    </row>
    <row r="293" ht="15.75" customHeight="1">
      <c r="A293" s="1" t="s">
        <v>890</v>
      </c>
      <c r="B293" s="1">
        <v>1.0302028E7</v>
      </c>
      <c r="C293" s="1" t="s">
        <v>21</v>
      </c>
      <c r="D293" s="1" t="s">
        <v>22</v>
      </c>
      <c r="E293" s="1" t="s">
        <v>56</v>
      </c>
      <c r="F293" s="1" t="s">
        <v>891</v>
      </c>
      <c r="G293" s="1" t="s">
        <v>25</v>
      </c>
      <c r="H293" s="1">
        <v>6.0</v>
      </c>
      <c r="I293" s="1">
        <v>6.0</v>
      </c>
      <c r="J293" s="1">
        <v>6.0</v>
      </c>
      <c r="K293" s="1">
        <v>18.0</v>
      </c>
      <c r="L293" s="1">
        <v>120.56</v>
      </c>
      <c r="M293" s="1">
        <v>2170.08</v>
      </c>
      <c r="N293" s="1" t="s">
        <v>21</v>
      </c>
      <c r="O293" s="1" t="s">
        <v>26</v>
      </c>
      <c r="P293" s="1" t="s">
        <v>892</v>
      </c>
      <c r="Q293" s="1" t="str">
        <f t="shared" si="1"/>
        <v>x</v>
      </c>
      <c r="R293" s="1" t="str">
        <f t="shared" si="2"/>
        <v>x</v>
      </c>
      <c r="S293" s="1" t="str">
        <f t="shared" si="3"/>
        <v>x</v>
      </c>
      <c r="T293" s="1" t="str">
        <f t="shared" si="4"/>
        <v>OK</v>
      </c>
    </row>
    <row r="294" ht="15.75" customHeight="1">
      <c r="A294" s="1" t="s">
        <v>893</v>
      </c>
      <c r="B294" s="1">
        <v>1.0299843E7</v>
      </c>
      <c r="C294" s="1" t="s">
        <v>21</v>
      </c>
      <c r="D294" s="1" t="s">
        <v>22</v>
      </c>
      <c r="E294" s="1" t="s">
        <v>52</v>
      </c>
      <c r="F294" s="1" t="s">
        <v>815</v>
      </c>
      <c r="G294" s="1" t="s">
        <v>25</v>
      </c>
      <c r="H294" s="1">
        <v>1.0</v>
      </c>
      <c r="I294" s="1">
        <v>0.0</v>
      </c>
      <c r="J294" s="1">
        <v>1.0</v>
      </c>
      <c r="K294" s="1">
        <v>2.0</v>
      </c>
      <c r="L294" s="1">
        <v>1078.24</v>
      </c>
      <c r="M294" s="1">
        <v>2156.48</v>
      </c>
      <c r="N294" s="1" t="s">
        <v>21</v>
      </c>
      <c r="O294" s="1">
        <v>0.0</v>
      </c>
      <c r="P294" s="1" t="s">
        <v>894</v>
      </c>
      <c r="Q294" s="1" t="str">
        <f t="shared" si="1"/>
        <v>x</v>
      </c>
      <c r="R294" s="1" t="str">
        <f t="shared" si="2"/>
        <v>x</v>
      </c>
      <c r="S294" s="1" t="str">
        <f t="shared" si="3"/>
        <v>x</v>
      </c>
      <c r="T294" s="1" t="str">
        <f t="shared" si="4"/>
        <v>OK</v>
      </c>
    </row>
    <row r="295" ht="15.75" customHeight="1">
      <c r="A295" s="1" t="s">
        <v>895</v>
      </c>
      <c r="B295" s="1">
        <v>1.1247961E7</v>
      </c>
      <c r="C295" s="1" t="s">
        <v>21</v>
      </c>
      <c r="D295" s="1" t="s">
        <v>22</v>
      </c>
      <c r="E295" s="1" t="s">
        <v>23</v>
      </c>
      <c r="F295" s="1" t="s">
        <v>896</v>
      </c>
      <c r="G295" s="1" t="s">
        <v>25</v>
      </c>
      <c r="H295" s="1">
        <v>8.0</v>
      </c>
      <c r="I295" s="1">
        <v>0.0</v>
      </c>
      <c r="J295" s="1">
        <v>0.0</v>
      </c>
      <c r="K295" s="1">
        <v>8.0</v>
      </c>
      <c r="L295" s="1">
        <v>266.77</v>
      </c>
      <c r="M295" s="1">
        <v>2134.16</v>
      </c>
      <c r="N295" s="1" t="s">
        <v>21</v>
      </c>
      <c r="O295" s="1">
        <v>0.0</v>
      </c>
      <c r="P295" s="1" t="s">
        <v>897</v>
      </c>
      <c r="Q295" s="1" t="str">
        <f t="shared" si="1"/>
        <v>x</v>
      </c>
      <c r="R295" s="1" t="str">
        <f t="shared" si="2"/>
        <v>x</v>
      </c>
      <c r="S295" s="1" t="str">
        <f t="shared" si="3"/>
        <v>x</v>
      </c>
      <c r="T295" s="1" t="str">
        <f t="shared" si="4"/>
        <v>OK</v>
      </c>
    </row>
    <row r="296" ht="15.75" customHeight="1">
      <c r="A296" s="1" t="s">
        <v>898</v>
      </c>
      <c r="B296" s="1">
        <v>1.0083926E7</v>
      </c>
      <c r="C296" s="1" t="s">
        <v>21</v>
      </c>
      <c r="D296" s="1" t="s">
        <v>22</v>
      </c>
      <c r="E296" s="1" t="s">
        <v>129</v>
      </c>
      <c r="F296" s="1" t="s">
        <v>280</v>
      </c>
      <c r="G296" s="1" t="s">
        <v>25</v>
      </c>
      <c r="H296" s="1">
        <v>60.0</v>
      </c>
      <c r="I296" s="1">
        <v>0.0</v>
      </c>
      <c r="J296" s="1">
        <v>60.0</v>
      </c>
      <c r="K296" s="1">
        <v>120.0</v>
      </c>
      <c r="L296" s="1">
        <v>17.54</v>
      </c>
      <c r="M296" s="1">
        <v>2104.8</v>
      </c>
      <c r="N296" s="1" t="s">
        <v>21</v>
      </c>
      <c r="O296" s="1">
        <v>0.0</v>
      </c>
      <c r="P296" s="1" t="s">
        <v>899</v>
      </c>
      <c r="Q296" s="1" t="str">
        <f t="shared" si="1"/>
        <v>x</v>
      </c>
      <c r="R296" s="1" t="str">
        <f t="shared" si="2"/>
        <v>x</v>
      </c>
      <c r="S296" s="1" t="str">
        <f t="shared" si="3"/>
        <v>x</v>
      </c>
      <c r="T296" s="1" t="str">
        <f t="shared" si="4"/>
        <v>OK</v>
      </c>
    </row>
    <row r="297" ht="15.75" customHeight="1">
      <c r="A297" s="1" t="s">
        <v>900</v>
      </c>
      <c r="B297" s="1">
        <v>1.0518986E7</v>
      </c>
      <c r="C297" s="1" t="s">
        <v>21</v>
      </c>
      <c r="D297" s="1" t="s">
        <v>22</v>
      </c>
      <c r="E297" s="1" t="s">
        <v>129</v>
      </c>
      <c r="F297" s="1" t="s">
        <v>901</v>
      </c>
      <c r="G297" s="1" t="s">
        <v>25</v>
      </c>
      <c r="H297" s="1">
        <v>52.0</v>
      </c>
      <c r="I297" s="1">
        <v>0.0</v>
      </c>
      <c r="J297" s="1">
        <v>52.0</v>
      </c>
      <c r="K297" s="1">
        <v>104.0</v>
      </c>
      <c r="L297" s="1">
        <v>20.23</v>
      </c>
      <c r="M297" s="1">
        <v>2103.92</v>
      </c>
      <c r="N297" s="1" t="s">
        <v>21</v>
      </c>
      <c r="O297" s="1">
        <v>0.0</v>
      </c>
      <c r="P297" s="1" t="s">
        <v>902</v>
      </c>
      <c r="Q297" s="1" t="str">
        <f t="shared" si="1"/>
        <v>x</v>
      </c>
      <c r="R297" s="1" t="str">
        <f t="shared" si="2"/>
        <v>x</v>
      </c>
      <c r="S297" s="1" t="str">
        <f t="shared" si="3"/>
        <v>x</v>
      </c>
      <c r="T297" s="1" t="str">
        <f t="shared" si="4"/>
        <v>OK</v>
      </c>
    </row>
    <row r="298" ht="15.75" customHeight="1">
      <c r="A298" s="1" t="s">
        <v>903</v>
      </c>
      <c r="B298" s="1">
        <v>1.0567647E7</v>
      </c>
      <c r="C298" s="1" t="s">
        <v>21</v>
      </c>
      <c r="D298" s="1" t="s">
        <v>22</v>
      </c>
      <c r="E298" s="1" t="s">
        <v>150</v>
      </c>
      <c r="F298" s="1" t="s">
        <v>904</v>
      </c>
      <c r="G298" s="1" t="s">
        <v>25</v>
      </c>
      <c r="H298" s="1">
        <v>12.0</v>
      </c>
      <c r="I298" s="1">
        <v>0.0</v>
      </c>
      <c r="J298" s="1">
        <v>10.0</v>
      </c>
      <c r="K298" s="1">
        <v>22.0</v>
      </c>
      <c r="L298" s="1">
        <v>94.87</v>
      </c>
      <c r="M298" s="1">
        <v>2087.14</v>
      </c>
      <c r="N298" s="1" t="s">
        <v>21</v>
      </c>
      <c r="O298" s="1">
        <v>0.0</v>
      </c>
      <c r="P298" s="1" t="s">
        <v>905</v>
      </c>
      <c r="Q298" s="1" t="str">
        <f t="shared" si="1"/>
        <v>x</v>
      </c>
      <c r="R298" s="1" t="str">
        <f t="shared" si="2"/>
        <v>x</v>
      </c>
      <c r="S298" s="1" t="str">
        <f t="shared" si="3"/>
        <v>x</v>
      </c>
      <c r="T298" s="1" t="str">
        <f t="shared" si="4"/>
        <v>OK</v>
      </c>
    </row>
    <row r="299" ht="15.75" customHeight="1">
      <c r="A299" s="1" t="s">
        <v>906</v>
      </c>
      <c r="B299" s="1">
        <v>1.0083913E7</v>
      </c>
      <c r="C299" s="1" t="s">
        <v>21</v>
      </c>
      <c r="D299" s="1" t="s">
        <v>22</v>
      </c>
      <c r="E299" s="1" t="s">
        <v>231</v>
      </c>
      <c r="F299" s="1" t="s">
        <v>627</v>
      </c>
      <c r="G299" s="1" t="s">
        <v>25</v>
      </c>
      <c r="H299" s="1">
        <v>152.0</v>
      </c>
      <c r="I299" s="1">
        <v>24.0</v>
      </c>
      <c r="J299" s="1">
        <v>80.0</v>
      </c>
      <c r="K299" s="1">
        <v>256.0</v>
      </c>
      <c r="L299" s="1">
        <v>8.11</v>
      </c>
      <c r="M299" s="1">
        <v>2076.16</v>
      </c>
      <c r="N299" s="1" t="s">
        <v>21</v>
      </c>
      <c r="O299" s="1">
        <v>0.0</v>
      </c>
      <c r="P299" s="1" t="s">
        <v>907</v>
      </c>
      <c r="Q299" s="1" t="str">
        <f t="shared" si="1"/>
        <v>x</v>
      </c>
      <c r="R299" s="1" t="str">
        <f t="shared" si="2"/>
        <v>x</v>
      </c>
      <c r="S299" s="1" t="str">
        <f t="shared" si="3"/>
        <v>x</v>
      </c>
      <c r="T299" s="1" t="str">
        <f t="shared" si="4"/>
        <v>OK</v>
      </c>
    </row>
    <row r="300" ht="15.75" customHeight="1">
      <c r="A300" s="1" t="s">
        <v>908</v>
      </c>
      <c r="B300" s="1">
        <v>1.0355572E7</v>
      </c>
      <c r="C300" s="1" t="s">
        <v>21</v>
      </c>
      <c r="D300" s="1" t="s">
        <v>22</v>
      </c>
      <c r="E300" s="1" t="s">
        <v>23</v>
      </c>
      <c r="F300" s="1" t="s">
        <v>909</v>
      </c>
      <c r="G300" s="1" t="s">
        <v>25</v>
      </c>
      <c r="H300" s="1">
        <v>1.0</v>
      </c>
      <c r="I300" s="1">
        <v>4.0</v>
      </c>
      <c r="J300" s="1">
        <v>0.0</v>
      </c>
      <c r="K300" s="1">
        <v>5.0</v>
      </c>
      <c r="L300" s="1">
        <v>414.9</v>
      </c>
      <c r="M300" s="1">
        <v>2074.5</v>
      </c>
      <c r="N300" s="1" t="s">
        <v>21</v>
      </c>
      <c r="O300" s="1">
        <v>0.0</v>
      </c>
      <c r="P300" s="1" t="s">
        <v>910</v>
      </c>
      <c r="Q300" s="1" t="str">
        <f t="shared" si="1"/>
        <v>x</v>
      </c>
      <c r="R300" s="1" t="str">
        <f t="shared" si="2"/>
        <v>x</v>
      </c>
      <c r="S300" s="1" t="str">
        <f t="shared" si="3"/>
        <v>x</v>
      </c>
      <c r="T300" s="1" t="str">
        <f t="shared" si="4"/>
        <v>OK</v>
      </c>
    </row>
    <row r="301" ht="15.75" customHeight="1">
      <c r="A301" s="1" t="s">
        <v>911</v>
      </c>
      <c r="B301" s="1">
        <v>1.0607522E7</v>
      </c>
      <c r="C301" s="1" t="s">
        <v>21</v>
      </c>
      <c r="D301" s="1" t="s">
        <v>22</v>
      </c>
      <c r="E301" s="1" t="s">
        <v>140</v>
      </c>
      <c r="F301" s="1" t="s">
        <v>912</v>
      </c>
      <c r="G301" s="1" t="s">
        <v>25</v>
      </c>
      <c r="H301" s="1">
        <v>46.0</v>
      </c>
      <c r="I301" s="1">
        <v>0.0</v>
      </c>
      <c r="J301" s="1">
        <v>0.0</v>
      </c>
      <c r="K301" s="1">
        <v>46.0</v>
      </c>
      <c r="L301" s="1">
        <v>45.03</v>
      </c>
      <c r="M301" s="1">
        <v>2071.38</v>
      </c>
      <c r="N301" s="1" t="s">
        <v>21</v>
      </c>
      <c r="O301" s="1">
        <v>0.0</v>
      </c>
      <c r="P301" s="1" t="s">
        <v>913</v>
      </c>
      <c r="Q301" s="1" t="str">
        <f t="shared" si="1"/>
        <v>x</v>
      </c>
      <c r="R301" s="1" t="str">
        <f t="shared" si="2"/>
        <v>x</v>
      </c>
      <c r="S301" s="1" t="str">
        <f t="shared" si="3"/>
        <v>x</v>
      </c>
      <c r="T301" s="1" t="str">
        <f t="shared" si="4"/>
        <v>OK</v>
      </c>
    </row>
    <row r="302" ht="15.75" customHeight="1">
      <c r="A302" s="1" t="s">
        <v>914</v>
      </c>
      <c r="B302" s="1">
        <v>1.0488001E7</v>
      </c>
      <c r="C302" s="1">
        <v>1.0408001E7</v>
      </c>
      <c r="D302" s="1" t="s">
        <v>22</v>
      </c>
      <c r="E302" s="1" t="s">
        <v>449</v>
      </c>
      <c r="F302" s="1" t="s">
        <v>723</v>
      </c>
      <c r="G302" s="1" t="s">
        <v>25</v>
      </c>
      <c r="H302" s="1">
        <v>0.0</v>
      </c>
      <c r="I302" s="1">
        <v>12.0</v>
      </c>
      <c r="J302" s="1">
        <v>16.0</v>
      </c>
      <c r="K302" s="1">
        <v>28.0</v>
      </c>
      <c r="L302" s="1">
        <v>72.41</v>
      </c>
      <c r="M302" s="1">
        <v>2027.48</v>
      </c>
      <c r="N302" s="1" t="s">
        <v>915</v>
      </c>
      <c r="O302" s="1">
        <v>0.0</v>
      </c>
      <c r="P302" s="1" t="s">
        <v>916</v>
      </c>
      <c r="Q302" s="1" t="str">
        <f t="shared" si="1"/>
        <v>x</v>
      </c>
      <c r="R302" s="1" t="str">
        <f t="shared" si="2"/>
        <v>x</v>
      </c>
      <c r="S302" s="1" t="str">
        <f t="shared" si="3"/>
        <v>x</v>
      </c>
      <c r="T302" s="1" t="str">
        <f t="shared" si="4"/>
        <v>OK</v>
      </c>
    </row>
    <row r="303" ht="15.75" customHeight="1">
      <c r="A303" s="1" t="s">
        <v>917</v>
      </c>
      <c r="B303" s="1">
        <v>1.0302026E7</v>
      </c>
      <c r="C303" s="1" t="s">
        <v>21</v>
      </c>
      <c r="D303" s="1" t="s">
        <v>22</v>
      </c>
      <c r="E303" s="1" t="s">
        <v>56</v>
      </c>
      <c r="F303" s="1" t="s">
        <v>918</v>
      </c>
      <c r="G303" s="1" t="s">
        <v>25</v>
      </c>
      <c r="H303" s="1">
        <v>6.0</v>
      </c>
      <c r="I303" s="1">
        <v>6.0</v>
      </c>
      <c r="J303" s="1">
        <v>6.0</v>
      </c>
      <c r="K303" s="1">
        <v>18.0</v>
      </c>
      <c r="L303" s="1">
        <v>111.25</v>
      </c>
      <c r="M303" s="1">
        <v>2002.5</v>
      </c>
      <c r="N303" s="1" t="s">
        <v>21</v>
      </c>
      <c r="O303" s="1" t="s">
        <v>26</v>
      </c>
      <c r="P303" s="1" t="s">
        <v>919</v>
      </c>
      <c r="Q303" s="1" t="str">
        <f t="shared" si="1"/>
        <v>x</v>
      </c>
      <c r="R303" s="1" t="str">
        <f t="shared" si="2"/>
        <v>x</v>
      </c>
      <c r="S303" s="1" t="str">
        <f t="shared" si="3"/>
        <v>x</v>
      </c>
      <c r="T303" s="1" t="str">
        <f t="shared" si="4"/>
        <v>OK</v>
      </c>
    </row>
    <row r="304" ht="15.75" customHeight="1">
      <c r="A304" s="1" t="s">
        <v>920</v>
      </c>
      <c r="B304" s="1">
        <v>1.0388509E7</v>
      </c>
      <c r="C304" s="1" t="s">
        <v>21</v>
      </c>
      <c r="D304" s="1" t="s">
        <v>22</v>
      </c>
      <c r="E304" s="1" t="s">
        <v>150</v>
      </c>
      <c r="F304" s="1" t="s">
        <v>921</v>
      </c>
      <c r="G304" s="1" t="s">
        <v>25</v>
      </c>
      <c r="H304" s="1">
        <v>11.0</v>
      </c>
      <c r="I304" s="1">
        <v>0.0</v>
      </c>
      <c r="J304" s="1">
        <v>10.0</v>
      </c>
      <c r="K304" s="1">
        <v>21.0</v>
      </c>
      <c r="L304" s="1">
        <v>94.95</v>
      </c>
      <c r="M304" s="1">
        <v>1993.95</v>
      </c>
      <c r="N304" s="1" t="s">
        <v>21</v>
      </c>
      <c r="O304" s="1">
        <v>0.0</v>
      </c>
      <c r="P304" s="1" t="s">
        <v>922</v>
      </c>
      <c r="Q304" s="1" t="str">
        <f t="shared" si="1"/>
        <v>x</v>
      </c>
      <c r="R304" s="1" t="str">
        <f t="shared" si="2"/>
        <v>x</v>
      </c>
      <c r="S304" s="1" t="str">
        <f t="shared" si="3"/>
        <v>x</v>
      </c>
      <c r="T304" s="1" t="str">
        <f t="shared" si="4"/>
        <v>OK</v>
      </c>
    </row>
    <row r="305" ht="15.75" customHeight="1">
      <c r="A305" s="1" t="s">
        <v>923</v>
      </c>
      <c r="B305" s="1">
        <v>1.0763595E7</v>
      </c>
      <c r="C305" s="1" t="s">
        <v>21</v>
      </c>
      <c r="D305" s="1" t="s">
        <v>22</v>
      </c>
      <c r="E305" s="1" t="s">
        <v>23</v>
      </c>
      <c r="F305" s="1" t="s">
        <v>924</v>
      </c>
      <c r="G305" s="1" t="s">
        <v>25</v>
      </c>
      <c r="H305" s="1">
        <v>4.0</v>
      </c>
      <c r="I305" s="1">
        <v>0.0</v>
      </c>
      <c r="J305" s="1">
        <v>4.0</v>
      </c>
      <c r="K305" s="1">
        <v>8.0</v>
      </c>
      <c r="L305" s="1">
        <v>244.2</v>
      </c>
      <c r="M305" s="1">
        <v>1953.6</v>
      </c>
      <c r="N305" s="1" t="s">
        <v>21</v>
      </c>
      <c r="O305" s="1">
        <v>0.0</v>
      </c>
      <c r="P305" s="1" t="s">
        <v>925</v>
      </c>
      <c r="Q305" s="1" t="str">
        <f t="shared" si="1"/>
        <v>x</v>
      </c>
      <c r="R305" s="1" t="str">
        <f t="shared" si="2"/>
        <v>x</v>
      </c>
      <c r="S305" s="1" t="str">
        <f t="shared" si="3"/>
        <v>x</v>
      </c>
      <c r="T305" s="1" t="str">
        <f t="shared" si="4"/>
        <v>OK</v>
      </c>
    </row>
    <row r="306" ht="15.75" customHeight="1">
      <c r="A306" s="1" t="s">
        <v>926</v>
      </c>
      <c r="B306" s="1">
        <v>1.0309716E7</v>
      </c>
      <c r="C306" s="1" t="s">
        <v>21</v>
      </c>
      <c r="D306" s="1" t="s">
        <v>22</v>
      </c>
      <c r="E306" s="1" t="s">
        <v>140</v>
      </c>
      <c r="F306" s="1" t="s">
        <v>292</v>
      </c>
      <c r="G306" s="1" t="s">
        <v>25</v>
      </c>
      <c r="H306" s="1">
        <v>47.0</v>
      </c>
      <c r="I306" s="1">
        <v>0.0</v>
      </c>
      <c r="J306" s="1">
        <v>0.0</v>
      </c>
      <c r="K306" s="1">
        <v>47.0</v>
      </c>
      <c r="L306" s="1">
        <v>41.53</v>
      </c>
      <c r="M306" s="1">
        <v>1951.91</v>
      </c>
      <c r="N306" s="1" t="s">
        <v>21</v>
      </c>
      <c r="O306" s="1">
        <v>0.0</v>
      </c>
      <c r="P306" s="1" t="s">
        <v>927</v>
      </c>
      <c r="Q306" s="1" t="str">
        <f t="shared" si="1"/>
        <v>x</v>
      </c>
      <c r="R306" s="1" t="str">
        <f t="shared" si="2"/>
        <v>x</v>
      </c>
      <c r="S306" s="1" t="str">
        <f t="shared" si="3"/>
        <v>x</v>
      </c>
      <c r="T306" s="1" t="str">
        <f t="shared" si="4"/>
        <v>OK</v>
      </c>
    </row>
    <row r="307" ht="15.75" customHeight="1">
      <c r="A307" s="1" t="s">
        <v>928</v>
      </c>
      <c r="B307" s="1">
        <v>1.1805532E7</v>
      </c>
      <c r="C307" s="1">
        <v>1.0006352E7</v>
      </c>
      <c r="D307" s="1" t="s">
        <v>22</v>
      </c>
      <c r="E307" s="1" t="s">
        <v>23</v>
      </c>
      <c r="F307" s="1" t="s">
        <v>244</v>
      </c>
      <c r="G307" s="1" t="s">
        <v>25</v>
      </c>
      <c r="H307" s="1">
        <v>6.0</v>
      </c>
      <c r="I307" s="1">
        <v>0.0</v>
      </c>
      <c r="J307" s="1">
        <v>0.0</v>
      </c>
      <c r="K307" s="1">
        <v>6.0</v>
      </c>
      <c r="L307" s="1">
        <v>325.03</v>
      </c>
      <c r="M307" s="1">
        <v>1950.18</v>
      </c>
      <c r="N307" s="1" t="s">
        <v>21</v>
      </c>
      <c r="O307" s="1">
        <v>0.0</v>
      </c>
      <c r="P307" s="1" t="s">
        <v>929</v>
      </c>
      <c r="Q307" s="1" t="str">
        <f t="shared" si="1"/>
        <v>x</v>
      </c>
      <c r="R307" s="1" t="str">
        <f t="shared" si="2"/>
        <v>x</v>
      </c>
      <c r="S307" s="1" t="str">
        <f t="shared" si="3"/>
        <v>x</v>
      </c>
      <c r="T307" s="1" t="str">
        <f t="shared" si="4"/>
        <v>OK</v>
      </c>
    </row>
    <row r="308" ht="15.75" customHeight="1">
      <c r="A308" s="1" t="s">
        <v>930</v>
      </c>
      <c r="B308" s="1">
        <v>1.1668572E7</v>
      </c>
      <c r="C308" s="1" t="s">
        <v>21</v>
      </c>
      <c r="D308" s="1" t="s">
        <v>22</v>
      </c>
      <c r="E308" s="1" t="s">
        <v>23</v>
      </c>
      <c r="F308" s="1" t="s">
        <v>931</v>
      </c>
      <c r="G308" s="1" t="s">
        <v>25</v>
      </c>
      <c r="H308" s="1">
        <v>6.0</v>
      </c>
      <c r="I308" s="1">
        <v>0.0</v>
      </c>
      <c r="J308" s="1">
        <v>0.0</v>
      </c>
      <c r="K308" s="1">
        <v>6.0</v>
      </c>
      <c r="L308" s="1">
        <v>323.96</v>
      </c>
      <c r="M308" s="1">
        <v>1943.76</v>
      </c>
      <c r="N308" s="1" t="s">
        <v>21</v>
      </c>
      <c r="O308" s="1">
        <v>0.0</v>
      </c>
      <c r="P308" s="1" t="s">
        <v>932</v>
      </c>
      <c r="Q308" s="1" t="str">
        <f t="shared" si="1"/>
        <v>x</v>
      </c>
      <c r="R308" s="1" t="str">
        <f t="shared" si="2"/>
        <v>x</v>
      </c>
      <c r="S308" s="1" t="str">
        <f t="shared" si="3"/>
        <v>x</v>
      </c>
      <c r="T308" s="1" t="str">
        <f t="shared" si="4"/>
        <v>OK</v>
      </c>
    </row>
    <row r="309" ht="15.75" customHeight="1">
      <c r="A309" s="1" t="s">
        <v>933</v>
      </c>
      <c r="B309" s="1">
        <v>1.0083913E7</v>
      </c>
      <c r="C309" s="1" t="s">
        <v>21</v>
      </c>
      <c r="D309" s="1" t="s">
        <v>22</v>
      </c>
      <c r="E309" s="1" t="s">
        <v>231</v>
      </c>
      <c r="F309" s="1" t="s">
        <v>627</v>
      </c>
      <c r="G309" s="1" t="s">
        <v>25</v>
      </c>
      <c r="H309" s="1">
        <v>127.0</v>
      </c>
      <c r="I309" s="1">
        <v>0.0</v>
      </c>
      <c r="J309" s="1">
        <v>112.0</v>
      </c>
      <c r="K309" s="1">
        <v>239.0</v>
      </c>
      <c r="L309" s="1">
        <v>8.11</v>
      </c>
      <c r="M309" s="1">
        <v>1938.29</v>
      </c>
      <c r="N309" s="1" t="s">
        <v>21</v>
      </c>
      <c r="O309" s="1">
        <v>0.0</v>
      </c>
      <c r="P309" s="1" t="s">
        <v>934</v>
      </c>
      <c r="Q309" s="1" t="str">
        <f t="shared" si="1"/>
        <v>x</v>
      </c>
      <c r="R309" s="1" t="str">
        <f t="shared" si="2"/>
        <v>x</v>
      </c>
      <c r="S309" s="1" t="str">
        <f t="shared" si="3"/>
        <v>x</v>
      </c>
      <c r="T309" s="1" t="str">
        <f t="shared" si="4"/>
        <v>OK</v>
      </c>
    </row>
    <row r="310" ht="15.75" customHeight="1">
      <c r="A310" s="1" t="s">
        <v>935</v>
      </c>
      <c r="B310" s="1">
        <v>1.0040024E7</v>
      </c>
      <c r="C310" s="1" t="s">
        <v>21</v>
      </c>
      <c r="D310" s="1" t="s">
        <v>22</v>
      </c>
      <c r="E310" s="1" t="s">
        <v>23</v>
      </c>
      <c r="F310" s="1" t="s">
        <v>936</v>
      </c>
      <c r="G310" s="1" t="s">
        <v>25</v>
      </c>
      <c r="H310" s="1">
        <v>4.0</v>
      </c>
      <c r="I310" s="1">
        <v>0.0</v>
      </c>
      <c r="J310" s="1">
        <v>0.0</v>
      </c>
      <c r="K310" s="1">
        <v>4.0</v>
      </c>
      <c r="L310" s="1">
        <v>484.16</v>
      </c>
      <c r="M310" s="1">
        <v>1936.64</v>
      </c>
      <c r="N310" s="1" t="s">
        <v>21</v>
      </c>
      <c r="O310" s="1">
        <v>0.0</v>
      </c>
      <c r="P310" s="1" t="s">
        <v>937</v>
      </c>
      <c r="Q310" s="1" t="str">
        <f t="shared" si="1"/>
        <v>x</v>
      </c>
      <c r="R310" s="1" t="str">
        <f t="shared" si="2"/>
        <v>x</v>
      </c>
      <c r="S310" s="1" t="str">
        <f t="shared" si="3"/>
        <v>x</v>
      </c>
      <c r="T310" s="1" t="str">
        <f t="shared" si="4"/>
        <v>OK</v>
      </c>
    </row>
    <row r="311" ht="15.75" customHeight="1">
      <c r="A311" s="1" t="s">
        <v>938</v>
      </c>
      <c r="B311" s="1">
        <v>1.1867163E7</v>
      </c>
      <c r="C311" s="1">
        <v>1.1174881E7</v>
      </c>
      <c r="D311" s="1" t="s">
        <v>22</v>
      </c>
      <c r="E311" s="1" t="s">
        <v>23</v>
      </c>
      <c r="F311" s="1" t="s">
        <v>939</v>
      </c>
      <c r="G311" s="1" t="s">
        <v>25</v>
      </c>
      <c r="H311" s="1">
        <v>2.0</v>
      </c>
      <c r="I311" s="1">
        <v>0.0</v>
      </c>
      <c r="J311" s="1">
        <v>2.0</v>
      </c>
      <c r="K311" s="1">
        <v>4.0</v>
      </c>
      <c r="L311" s="1">
        <v>473.94</v>
      </c>
      <c r="M311" s="1">
        <v>1895.76</v>
      </c>
      <c r="N311" s="1" t="s">
        <v>21</v>
      </c>
      <c r="O311" s="1">
        <v>0.0</v>
      </c>
      <c r="P311" s="1" t="s">
        <v>940</v>
      </c>
      <c r="Q311" s="1" t="str">
        <f t="shared" si="1"/>
        <v>x</v>
      </c>
      <c r="R311" s="1" t="str">
        <f t="shared" si="2"/>
        <v>x</v>
      </c>
      <c r="S311" s="1" t="str">
        <f t="shared" si="3"/>
        <v>x</v>
      </c>
      <c r="T311" s="1" t="str">
        <f t="shared" si="4"/>
        <v>OK</v>
      </c>
    </row>
    <row r="312" ht="15.75" customHeight="1">
      <c r="A312" s="1" t="s">
        <v>941</v>
      </c>
      <c r="B312" s="1">
        <v>1.087137E7</v>
      </c>
      <c r="C312" s="1" t="s">
        <v>21</v>
      </c>
      <c r="D312" s="1" t="s">
        <v>22</v>
      </c>
      <c r="E312" s="1" t="s">
        <v>129</v>
      </c>
      <c r="F312" s="1" t="s">
        <v>527</v>
      </c>
      <c r="G312" s="1" t="s">
        <v>25</v>
      </c>
      <c r="H312" s="1">
        <v>82.0</v>
      </c>
      <c r="I312" s="1">
        <v>0.0</v>
      </c>
      <c r="J312" s="1">
        <v>0.0</v>
      </c>
      <c r="K312" s="1">
        <v>82.0</v>
      </c>
      <c r="L312" s="1">
        <v>23.0</v>
      </c>
      <c r="M312" s="1">
        <v>1886.0</v>
      </c>
      <c r="N312" s="1" t="s">
        <v>21</v>
      </c>
      <c r="O312" s="1">
        <v>0.0</v>
      </c>
      <c r="P312" s="1" t="s">
        <v>942</v>
      </c>
      <c r="Q312" s="1" t="str">
        <f t="shared" si="1"/>
        <v>x</v>
      </c>
      <c r="R312" s="1" t="str">
        <f t="shared" si="2"/>
        <v>x</v>
      </c>
      <c r="S312" s="1" t="str">
        <f t="shared" si="3"/>
        <v>x</v>
      </c>
      <c r="T312" s="1" t="str">
        <f t="shared" si="4"/>
        <v>OK</v>
      </c>
    </row>
    <row r="313" ht="15.75" customHeight="1">
      <c r="A313" s="1" t="s">
        <v>943</v>
      </c>
      <c r="B313" s="1">
        <v>1.0370624E7</v>
      </c>
      <c r="C313" s="1" t="s">
        <v>21</v>
      </c>
      <c r="D313" s="1" t="s">
        <v>22</v>
      </c>
      <c r="E313" s="1" t="s">
        <v>23</v>
      </c>
      <c r="F313" s="1" t="s">
        <v>944</v>
      </c>
      <c r="G313" s="1" t="s">
        <v>25</v>
      </c>
      <c r="H313" s="1">
        <v>4.0</v>
      </c>
      <c r="I313" s="1">
        <v>1.0</v>
      </c>
      <c r="J313" s="1">
        <v>1.0</v>
      </c>
      <c r="K313" s="1">
        <v>6.0</v>
      </c>
      <c r="L313" s="1">
        <v>313.88</v>
      </c>
      <c r="M313" s="1">
        <v>1883.28</v>
      </c>
      <c r="N313" s="1" t="s">
        <v>21</v>
      </c>
      <c r="O313" s="1">
        <v>0.0</v>
      </c>
      <c r="P313" s="1" t="s">
        <v>945</v>
      </c>
      <c r="Q313" s="1" t="str">
        <f t="shared" si="1"/>
        <v>x</v>
      </c>
      <c r="R313" s="1" t="str">
        <f t="shared" si="2"/>
        <v>x</v>
      </c>
      <c r="S313" s="1" t="str">
        <f t="shared" si="3"/>
        <v>x</v>
      </c>
      <c r="T313" s="1" t="str">
        <f t="shared" si="4"/>
        <v>OK</v>
      </c>
    </row>
    <row r="314" ht="15.75" customHeight="1">
      <c r="A314" s="1" t="s">
        <v>946</v>
      </c>
      <c r="B314" s="1">
        <v>1.0239621E7</v>
      </c>
      <c r="C314" s="1" t="s">
        <v>21</v>
      </c>
      <c r="D314" s="1" t="s">
        <v>22</v>
      </c>
      <c r="E314" s="1" t="s">
        <v>56</v>
      </c>
      <c r="F314" s="1" t="s">
        <v>398</v>
      </c>
      <c r="G314" s="1" t="s">
        <v>25</v>
      </c>
      <c r="H314" s="1">
        <v>15.0</v>
      </c>
      <c r="I314" s="1">
        <v>0.0</v>
      </c>
      <c r="J314" s="1">
        <v>0.0</v>
      </c>
      <c r="K314" s="1">
        <v>15.0</v>
      </c>
      <c r="L314" s="1">
        <v>123.37</v>
      </c>
      <c r="M314" s="1">
        <v>1850.55</v>
      </c>
      <c r="N314" s="1" t="s">
        <v>21</v>
      </c>
      <c r="O314" s="1">
        <v>0.0</v>
      </c>
      <c r="P314" s="1" t="s">
        <v>947</v>
      </c>
      <c r="Q314" s="1" t="str">
        <f t="shared" si="1"/>
        <v>x</v>
      </c>
      <c r="R314" s="1" t="str">
        <f t="shared" si="2"/>
        <v>x</v>
      </c>
      <c r="S314" s="1" t="str">
        <f t="shared" si="3"/>
        <v>x</v>
      </c>
      <c r="T314" s="1" t="str">
        <f t="shared" si="4"/>
        <v>OK</v>
      </c>
    </row>
    <row r="315" ht="15.75" customHeight="1">
      <c r="A315" s="1" t="s">
        <v>948</v>
      </c>
      <c r="B315" s="1">
        <v>1.1536054E7</v>
      </c>
      <c r="C315" s="1" t="s">
        <v>21</v>
      </c>
      <c r="D315" s="1" t="s">
        <v>22</v>
      </c>
      <c r="E315" s="1" t="s">
        <v>23</v>
      </c>
      <c r="F315" s="1" t="s">
        <v>949</v>
      </c>
      <c r="G315" s="1" t="s">
        <v>25</v>
      </c>
      <c r="H315" s="1">
        <v>2.0</v>
      </c>
      <c r="I315" s="1">
        <v>0.0</v>
      </c>
      <c r="J315" s="1">
        <v>2.0</v>
      </c>
      <c r="K315" s="1">
        <v>4.0</v>
      </c>
      <c r="L315" s="1">
        <v>447.44</v>
      </c>
      <c r="M315" s="1">
        <v>1789.76</v>
      </c>
      <c r="N315" s="1" t="s">
        <v>21</v>
      </c>
      <c r="O315" s="1">
        <v>0.0</v>
      </c>
      <c r="P315" s="1" t="s">
        <v>950</v>
      </c>
      <c r="Q315" s="1" t="str">
        <f t="shared" si="1"/>
        <v>x</v>
      </c>
      <c r="R315" s="1" t="str">
        <f t="shared" si="2"/>
        <v>x</v>
      </c>
      <c r="S315" s="1" t="str">
        <f t="shared" si="3"/>
        <v>x</v>
      </c>
      <c r="T315" s="1" t="str">
        <f t="shared" si="4"/>
        <v>OK</v>
      </c>
    </row>
    <row r="316" ht="15.75" customHeight="1">
      <c r="A316" s="1" t="s">
        <v>951</v>
      </c>
      <c r="B316" s="1">
        <v>1.1163458E7</v>
      </c>
      <c r="C316" s="1" t="s">
        <v>21</v>
      </c>
      <c r="D316" s="1" t="s">
        <v>22</v>
      </c>
      <c r="E316" s="1" t="s">
        <v>231</v>
      </c>
      <c r="F316" s="1" t="s">
        <v>952</v>
      </c>
      <c r="G316" s="1" t="s">
        <v>25</v>
      </c>
      <c r="H316" s="1">
        <v>100.0</v>
      </c>
      <c r="I316" s="1">
        <v>30.0</v>
      </c>
      <c r="J316" s="1">
        <v>40.0</v>
      </c>
      <c r="K316" s="1">
        <v>170.0</v>
      </c>
      <c r="L316" s="1">
        <v>10.31</v>
      </c>
      <c r="M316" s="1">
        <v>1752.7</v>
      </c>
      <c r="N316" s="1" t="s">
        <v>21</v>
      </c>
      <c r="O316" s="1">
        <v>0.0</v>
      </c>
      <c r="P316" s="1" t="s">
        <v>953</v>
      </c>
      <c r="Q316" s="1" t="str">
        <f t="shared" si="1"/>
        <v>x</v>
      </c>
      <c r="R316" s="1" t="str">
        <f t="shared" si="2"/>
        <v>x</v>
      </c>
      <c r="S316" s="1" t="str">
        <f t="shared" si="3"/>
        <v>x</v>
      </c>
      <c r="T316" s="1" t="str">
        <f t="shared" si="4"/>
        <v>OK</v>
      </c>
    </row>
    <row r="317" ht="15.75" customHeight="1">
      <c r="A317" s="1" t="s">
        <v>954</v>
      </c>
      <c r="B317" s="1">
        <v>1.1163457E7</v>
      </c>
      <c r="C317" s="1" t="s">
        <v>21</v>
      </c>
      <c r="D317" s="1" t="s">
        <v>22</v>
      </c>
      <c r="E317" s="1" t="s">
        <v>231</v>
      </c>
      <c r="F317" s="1" t="s">
        <v>955</v>
      </c>
      <c r="G317" s="1" t="s">
        <v>25</v>
      </c>
      <c r="H317" s="1">
        <v>100.0</v>
      </c>
      <c r="I317" s="1">
        <v>30.0</v>
      </c>
      <c r="J317" s="1">
        <v>40.0</v>
      </c>
      <c r="K317" s="1">
        <v>170.0</v>
      </c>
      <c r="L317" s="1">
        <v>10.31</v>
      </c>
      <c r="M317" s="1">
        <v>1752.7</v>
      </c>
      <c r="N317" s="1" t="s">
        <v>21</v>
      </c>
      <c r="O317" s="1">
        <v>0.0</v>
      </c>
      <c r="P317" s="1" t="s">
        <v>956</v>
      </c>
      <c r="Q317" s="1" t="str">
        <f t="shared" si="1"/>
        <v>x</v>
      </c>
      <c r="R317" s="1" t="str">
        <f t="shared" si="2"/>
        <v>x</v>
      </c>
      <c r="S317" s="1" t="str">
        <f t="shared" si="3"/>
        <v>x</v>
      </c>
      <c r="T317" s="1" t="str">
        <f t="shared" si="4"/>
        <v>OK</v>
      </c>
    </row>
    <row r="318" ht="15.75" customHeight="1">
      <c r="A318" s="1" t="s">
        <v>957</v>
      </c>
      <c r="B318" s="1">
        <v>1.0059696E7</v>
      </c>
      <c r="C318" s="1" t="s">
        <v>21</v>
      </c>
      <c r="D318" s="1" t="s">
        <v>22</v>
      </c>
      <c r="E318" s="1" t="s">
        <v>23</v>
      </c>
      <c r="F318" s="1" t="s">
        <v>958</v>
      </c>
      <c r="G318" s="1" t="s">
        <v>25</v>
      </c>
      <c r="H318" s="1">
        <v>6.0</v>
      </c>
      <c r="I318" s="1">
        <v>0.0</v>
      </c>
      <c r="J318" s="1">
        <v>0.0</v>
      </c>
      <c r="K318" s="1">
        <v>6.0</v>
      </c>
      <c r="L318" s="1">
        <v>289.31</v>
      </c>
      <c r="M318" s="1">
        <v>1735.86</v>
      </c>
      <c r="N318" s="1" t="s">
        <v>21</v>
      </c>
      <c r="O318" s="1">
        <v>0.0</v>
      </c>
      <c r="P318" s="1" t="s">
        <v>959</v>
      </c>
      <c r="Q318" s="1" t="str">
        <f t="shared" si="1"/>
        <v>x</v>
      </c>
      <c r="R318" s="1" t="str">
        <f t="shared" si="2"/>
        <v>x</v>
      </c>
      <c r="S318" s="1" t="str">
        <f t="shared" si="3"/>
        <v>x</v>
      </c>
      <c r="T318" s="1" t="str">
        <f t="shared" si="4"/>
        <v>OK</v>
      </c>
    </row>
    <row r="319" ht="15.75" customHeight="1">
      <c r="A319" s="1" t="s">
        <v>960</v>
      </c>
      <c r="B319" s="1">
        <v>1.0004958E7</v>
      </c>
      <c r="C319" s="1" t="s">
        <v>21</v>
      </c>
      <c r="D319" s="1" t="s">
        <v>22</v>
      </c>
      <c r="E319" s="1" t="s">
        <v>544</v>
      </c>
      <c r="F319" s="1" t="s">
        <v>961</v>
      </c>
      <c r="G319" s="1" t="s">
        <v>25</v>
      </c>
      <c r="H319" s="1">
        <v>608.0</v>
      </c>
      <c r="I319" s="1">
        <v>96.0</v>
      </c>
      <c r="J319" s="1">
        <v>320.0</v>
      </c>
      <c r="K319" s="1">
        <v>1024.0</v>
      </c>
      <c r="L319" s="1">
        <v>1.69</v>
      </c>
      <c r="M319" s="1">
        <v>1730.56</v>
      </c>
      <c r="N319" s="1" t="s">
        <v>21</v>
      </c>
      <c r="O319" s="1">
        <v>0.0</v>
      </c>
      <c r="P319" s="1" t="s">
        <v>962</v>
      </c>
      <c r="Q319" s="1" t="str">
        <f t="shared" si="1"/>
        <v>x</v>
      </c>
      <c r="R319" s="1" t="str">
        <f t="shared" si="2"/>
        <v>x</v>
      </c>
      <c r="S319" s="1" t="str">
        <f t="shared" si="3"/>
        <v>x</v>
      </c>
      <c r="T319" s="1" t="str">
        <f t="shared" si="4"/>
        <v>OK</v>
      </c>
    </row>
    <row r="320" ht="15.75" customHeight="1">
      <c r="A320" s="1" t="s">
        <v>963</v>
      </c>
      <c r="B320" s="1">
        <v>1.1822382E7</v>
      </c>
      <c r="C320" s="1" t="s">
        <v>21</v>
      </c>
      <c r="D320" s="1" t="s">
        <v>22</v>
      </c>
      <c r="E320" s="1" t="s">
        <v>23</v>
      </c>
      <c r="F320" s="1" t="s">
        <v>809</v>
      </c>
      <c r="G320" s="1" t="s">
        <v>25</v>
      </c>
      <c r="H320" s="1">
        <v>6.0</v>
      </c>
      <c r="I320" s="1">
        <v>0.0</v>
      </c>
      <c r="J320" s="1">
        <v>0.0</v>
      </c>
      <c r="K320" s="1">
        <v>6.0</v>
      </c>
      <c r="L320" s="1">
        <v>282.77</v>
      </c>
      <c r="M320" s="1">
        <v>1696.62</v>
      </c>
      <c r="N320" s="1" t="s">
        <v>21</v>
      </c>
      <c r="O320" s="1">
        <v>0.0</v>
      </c>
      <c r="P320" s="1" t="s">
        <v>964</v>
      </c>
      <c r="Q320" s="1" t="str">
        <f t="shared" si="1"/>
        <v>x</v>
      </c>
      <c r="R320" s="1" t="str">
        <f t="shared" si="2"/>
        <v>x</v>
      </c>
      <c r="S320" s="1" t="str">
        <f t="shared" si="3"/>
        <v>x</v>
      </c>
      <c r="T320" s="1" t="str">
        <f t="shared" si="4"/>
        <v>OK</v>
      </c>
    </row>
    <row r="321" ht="15.75" customHeight="1">
      <c r="A321" s="1" t="s">
        <v>965</v>
      </c>
      <c r="B321" s="1">
        <v>1.0591867E7</v>
      </c>
      <c r="C321" s="1" t="s">
        <v>21</v>
      </c>
      <c r="D321" s="1" t="s">
        <v>22</v>
      </c>
      <c r="E321" s="1" t="s">
        <v>231</v>
      </c>
      <c r="F321" s="1" t="s">
        <v>966</v>
      </c>
      <c r="G321" s="1" t="s">
        <v>25</v>
      </c>
      <c r="H321" s="1">
        <v>200.0</v>
      </c>
      <c r="I321" s="1">
        <v>100.0</v>
      </c>
      <c r="J321" s="1">
        <v>0.0</v>
      </c>
      <c r="K321" s="1">
        <v>300.0</v>
      </c>
      <c r="L321" s="1">
        <v>5.61</v>
      </c>
      <c r="M321" s="1">
        <v>1683.0</v>
      </c>
      <c r="N321" s="1" t="s">
        <v>21</v>
      </c>
      <c r="O321" s="1">
        <v>0.0</v>
      </c>
      <c r="P321" s="1" t="s">
        <v>967</v>
      </c>
      <c r="Q321" s="1" t="str">
        <f t="shared" si="1"/>
        <v>x</v>
      </c>
      <c r="R321" s="1" t="str">
        <f t="shared" si="2"/>
        <v>x</v>
      </c>
      <c r="S321" s="1" t="str">
        <f t="shared" si="3"/>
        <v>x</v>
      </c>
      <c r="T321" s="1" t="str">
        <f t="shared" si="4"/>
        <v>OK</v>
      </c>
    </row>
    <row r="322" ht="15.75" customHeight="1">
      <c r="A322" s="1" t="s">
        <v>968</v>
      </c>
      <c r="B322" s="1">
        <v>1.1430646E7</v>
      </c>
      <c r="C322" s="1" t="s">
        <v>21</v>
      </c>
      <c r="D322" s="1" t="s">
        <v>22</v>
      </c>
      <c r="E322" s="1" t="s">
        <v>23</v>
      </c>
      <c r="F322" s="1" t="s">
        <v>969</v>
      </c>
      <c r="G322" s="1" t="s">
        <v>25</v>
      </c>
      <c r="H322" s="1">
        <v>5.0</v>
      </c>
      <c r="I322" s="1">
        <v>0.0</v>
      </c>
      <c r="J322" s="1">
        <v>0.0</v>
      </c>
      <c r="K322" s="1">
        <v>5.0</v>
      </c>
      <c r="L322" s="1">
        <v>333.26</v>
      </c>
      <c r="M322" s="1">
        <v>1666.3</v>
      </c>
      <c r="N322" s="1" t="s">
        <v>21</v>
      </c>
      <c r="O322" s="1">
        <v>0.0</v>
      </c>
      <c r="P322" s="1" t="s">
        <v>970</v>
      </c>
      <c r="Q322" s="1" t="str">
        <f t="shared" si="1"/>
        <v>x</v>
      </c>
      <c r="R322" s="1" t="str">
        <f t="shared" si="2"/>
        <v>x</v>
      </c>
      <c r="S322" s="1" t="str">
        <f t="shared" si="3"/>
        <v>x</v>
      </c>
      <c r="T322" s="1" t="str">
        <f t="shared" si="4"/>
        <v>OK</v>
      </c>
    </row>
    <row r="323" ht="15.75" customHeight="1">
      <c r="A323" s="1" t="s">
        <v>971</v>
      </c>
      <c r="B323" s="1">
        <v>1.075299E7</v>
      </c>
      <c r="C323" s="1" t="s">
        <v>21</v>
      </c>
      <c r="D323" s="1" t="s">
        <v>22</v>
      </c>
      <c r="E323" s="1" t="s">
        <v>544</v>
      </c>
      <c r="F323" s="1" t="s">
        <v>812</v>
      </c>
      <c r="G323" s="1" t="s">
        <v>25</v>
      </c>
      <c r="H323" s="1">
        <v>788.0</v>
      </c>
      <c r="I323" s="1">
        <v>0.0</v>
      </c>
      <c r="J323" s="1">
        <v>0.0</v>
      </c>
      <c r="K323" s="1">
        <v>788.0</v>
      </c>
      <c r="L323" s="1">
        <v>2.11</v>
      </c>
      <c r="M323" s="1">
        <v>1662.68</v>
      </c>
      <c r="N323" s="1" t="s">
        <v>21</v>
      </c>
      <c r="O323" s="1">
        <v>0.0</v>
      </c>
      <c r="P323" s="1" t="s">
        <v>972</v>
      </c>
      <c r="Q323" s="1" t="str">
        <f t="shared" si="1"/>
        <v>x</v>
      </c>
      <c r="R323" s="1" t="str">
        <f t="shared" si="2"/>
        <v>x</v>
      </c>
      <c r="S323" s="1" t="str">
        <f t="shared" si="3"/>
        <v>x</v>
      </c>
      <c r="T323" s="1" t="str">
        <f t="shared" si="4"/>
        <v>OK</v>
      </c>
    </row>
    <row r="324" ht="15.75" customHeight="1">
      <c r="A324" s="1" t="s">
        <v>973</v>
      </c>
      <c r="B324" s="1">
        <v>1.0000084E7</v>
      </c>
      <c r="C324" s="1" t="s">
        <v>21</v>
      </c>
      <c r="D324" s="1" t="s">
        <v>22</v>
      </c>
      <c r="E324" s="1" t="s">
        <v>633</v>
      </c>
      <c r="F324" s="1" t="s">
        <v>974</v>
      </c>
      <c r="G324" s="1" t="s">
        <v>25</v>
      </c>
      <c r="H324" s="1">
        <v>254.0</v>
      </c>
      <c r="I324" s="1">
        <v>60.0</v>
      </c>
      <c r="J324" s="1">
        <v>166.0</v>
      </c>
      <c r="K324" s="1">
        <v>480.0</v>
      </c>
      <c r="L324" s="1">
        <v>3.46</v>
      </c>
      <c r="M324" s="1">
        <v>1660.8</v>
      </c>
      <c r="N324" s="1" t="s">
        <v>21</v>
      </c>
      <c r="O324" s="1">
        <v>0.0</v>
      </c>
      <c r="P324" s="1" t="s">
        <v>975</v>
      </c>
      <c r="Q324" s="1" t="str">
        <f t="shared" si="1"/>
        <v>x</v>
      </c>
      <c r="R324" s="1" t="str">
        <f t="shared" si="2"/>
        <v>x</v>
      </c>
      <c r="S324" s="1" t="str">
        <f t="shared" si="3"/>
        <v>x</v>
      </c>
      <c r="T324" s="1" t="str">
        <f t="shared" si="4"/>
        <v>OK</v>
      </c>
    </row>
    <row r="325" ht="15.75" customHeight="1">
      <c r="A325" s="1" t="s">
        <v>976</v>
      </c>
      <c r="B325" s="1">
        <v>1.1405441E7</v>
      </c>
      <c r="C325" s="1" t="s">
        <v>21</v>
      </c>
      <c r="D325" s="1" t="s">
        <v>22</v>
      </c>
      <c r="E325" s="1" t="s">
        <v>23</v>
      </c>
      <c r="F325" s="1" t="s">
        <v>977</v>
      </c>
      <c r="G325" s="1" t="s">
        <v>25</v>
      </c>
      <c r="H325" s="1">
        <v>4.0</v>
      </c>
      <c r="I325" s="1">
        <v>0.0</v>
      </c>
      <c r="J325" s="1">
        <v>0.0</v>
      </c>
      <c r="K325" s="1">
        <v>4.0</v>
      </c>
      <c r="L325" s="1">
        <v>414.02</v>
      </c>
      <c r="M325" s="1">
        <v>1656.08</v>
      </c>
      <c r="N325" s="1" t="s">
        <v>21</v>
      </c>
      <c r="O325" s="1">
        <v>0.0</v>
      </c>
      <c r="P325" s="1" t="s">
        <v>978</v>
      </c>
      <c r="Q325" s="1" t="str">
        <f t="shared" si="1"/>
        <v>x</v>
      </c>
      <c r="R325" s="1" t="str">
        <f t="shared" si="2"/>
        <v>x</v>
      </c>
      <c r="S325" s="1" t="str">
        <f t="shared" si="3"/>
        <v>x</v>
      </c>
      <c r="T325" s="1" t="str">
        <f t="shared" si="4"/>
        <v>OK</v>
      </c>
    </row>
    <row r="326" ht="15.75" customHeight="1">
      <c r="A326" s="1" t="s">
        <v>979</v>
      </c>
      <c r="B326" s="1">
        <v>1.0004076E7</v>
      </c>
      <c r="C326" s="1" t="s">
        <v>21</v>
      </c>
      <c r="D326" s="1" t="s">
        <v>22</v>
      </c>
      <c r="E326" s="1" t="s">
        <v>256</v>
      </c>
      <c r="F326" s="1" t="s">
        <v>980</v>
      </c>
      <c r="G326" s="1" t="s">
        <v>25</v>
      </c>
      <c r="H326" s="1">
        <v>48.0</v>
      </c>
      <c r="I326" s="1">
        <v>0.0</v>
      </c>
      <c r="J326" s="1">
        <v>48.0</v>
      </c>
      <c r="K326" s="1">
        <v>96.0</v>
      </c>
      <c r="L326" s="1">
        <v>17.11</v>
      </c>
      <c r="M326" s="1">
        <v>1642.56</v>
      </c>
      <c r="N326" s="1" t="s">
        <v>21</v>
      </c>
      <c r="O326" s="1">
        <v>0.0</v>
      </c>
      <c r="P326" s="1" t="s">
        <v>981</v>
      </c>
      <c r="Q326" s="1" t="str">
        <f t="shared" si="1"/>
        <v>x</v>
      </c>
      <c r="R326" s="1" t="str">
        <f t="shared" si="2"/>
        <v>x</v>
      </c>
      <c r="S326" s="1" t="str">
        <f t="shared" si="3"/>
        <v>x</v>
      </c>
      <c r="T326" s="1" t="str">
        <f t="shared" si="4"/>
        <v>OK</v>
      </c>
    </row>
    <row r="327" ht="15.75" customHeight="1">
      <c r="A327" s="1" t="s">
        <v>982</v>
      </c>
      <c r="B327" s="1">
        <v>1.1247814E7</v>
      </c>
      <c r="C327" s="1" t="s">
        <v>21</v>
      </c>
      <c r="D327" s="1" t="s">
        <v>22</v>
      </c>
      <c r="E327" s="1" t="s">
        <v>23</v>
      </c>
      <c r="F327" s="1" t="s">
        <v>983</v>
      </c>
      <c r="G327" s="1" t="s">
        <v>25</v>
      </c>
      <c r="H327" s="1">
        <v>8.0</v>
      </c>
      <c r="I327" s="1">
        <v>0.0</v>
      </c>
      <c r="J327" s="1">
        <v>0.0</v>
      </c>
      <c r="K327" s="1">
        <v>8.0</v>
      </c>
      <c r="L327" s="1">
        <v>205.2</v>
      </c>
      <c r="M327" s="1">
        <v>1641.6</v>
      </c>
      <c r="N327" s="1" t="s">
        <v>21</v>
      </c>
      <c r="O327" s="1">
        <v>0.0</v>
      </c>
      <c r="P327" s="1" t="s">
        <v>984</v>
      </c>
      <c r="Q327" s="1" t="str">
        <f t="shared" si="1"/>
        <v>x</v>
      </c>
      <c r="R327" s="1" t="str">
        <f t="shared" si="2"/>
        <v>x</v>
      </c>
      <c r="S327" s="1" t="str">
        <f t="shared" si="3"/>
        <v>x</v>
      </c>
      <c r="T327" s="1" t="str">
        <f t="shared" si="4"/>
        <v>OK</v>
      </c>
    </row>
    <row r="328" ht="15.75" customHeight="1">
      <c r="A328" s="1" t="s">
        <v>985</v>
      </c>
      <c r="B328" s="1">
        <v>1.0488558E7</v>
      </c>
      <c r="C328" s="1" t="s">
        <v>21</v>
      </c>
      <c r="D328" s="1" t="s">
        <v>22</v>
      </c>
      <c r="E328" s="1" t="s">
        <v>129</v>
      </c>
      <c r="F328" s="1" t="s">
        <v>986</v>
      </c>
      <c r="G328" s="1" t="s">
        <v>25</v>
      </c>
      <c r="H328" s="1">
        <v>28.0</v>
      </c>
      <c r="I328" s="1">
        <v>28.0</v>
      </c>
      <c r="J328" s="1">
        <v>28.0</v>
      </c>
      <c r="K328" s="1">
        <v>84.0</v>
      </c>
      <c r="L328" s="1">
        <v>19.34</v>
      </c>
      <c r="M328" s="1">
        <v>1624.56</v>
      </c>
      <c r="N328" s="1" t="s">
        <v>21</v>
      </c>
      <c r="O328" s="1">
        <v>0.0</v>
      </c>
      <c r="P328" s="1" t="s">
        <v>987</v>
      </c>
      <c r="Q328" s="1" t="str">
        <f t="shared" si="1"/>
        <v>x</v>
      </c>
      <c r="R328" s="1" t="str">
        <f t="shared" si="2"/>
        <v>x</v>
      </c>
      <c r="S328" s="1" t="str">
        <f t="shared" si="3"/>
        <v>x</v>
      </c>
      <c r="T328" s="1" t="str">
        <f t="shared" si="4"/>
        <v>OK</v>
      </c>
    </row>
    <row r="329" ht="15.75" customHeight="1">
      <c r="A329" s="1" t="s">
        <v>988</v>
      </c>
      <c r="B329" s="1">
        <v>1.1100172E7</v>
      </c>
      <c r="C329" s="1" t="s">
        <v>21</v>
      </c>
      <c r="D329" s="1" t="s">
        <v>22</v>
      </c>
      <c r="E329" s="1" t="s">
        <v>23</v>
      </c>
      <c r="F329" s="1" t="s">
        <v>989</v>
      </c>
      <c r="G329" s="1" t="s">
        <v>25</v>
      </c>
      <c r="H329" s="1">
        <v>3.0</v>
      </c>
      <c r="I329" s="1">
        <v>0.0</v>
      </c>
      <c r="J329" s="1">
        <v>3.0</v>
      </c>
      <c r="K329" s="1">
        <v>6.0</v>
      </c>
      <c r="L329" s="1">
        <v>268.12</v>
      </c>
      <c r="M329" s="1">
        <v>1608.72</v>
      </c>
      <c r="N329" s="1" t="s">
        <v>21</v>
      </c>
      <c r="O329" s="1">
        <v>0.0</v>
      </c>
      <c r="P329" s="1" t="s">
        <v>990</v>
      </c>
      <c r="Q329" s="1" t="str">
        <f t="shared" si="1"/>
        <v>x</v>
      </c>
      <c r="R329" s="1" t="str">
        <f t="shared" si="2"/>
        <v>x</v>
      </c>
      <c r="S329" s="1" t="str">
        <f t="shared" si="3"/>
        <v>x</v>
      </c>
      <c r="T329" s="1" t="str">
        <f t="shared" si="4"/>
        <v>OK</v>
      </c>
    </row>
    <row r="330" ht="15.75" customHeight="1">
      <c r="A330" s="1" t="s">
        <v>991</v>
      </c>
      <c r="B330" s="1">
        <v>1.0319011E7</v>
      </c>
      <c r="C330" s="1" t="s">
        <v>21</v>
      </c>
      <c r="D330" s="1" t="s">
        <v>22</v>
      </c>
      <c r="E330" s="1" t="s">
        <v>36</v>
      </c>
      <c r="F330" s="1" t="s">
        <v>882</v>
      </c>
      <c r="G330" s="1" t="s">
        <v>25</v>
      </c>
      <c r="H330" s="1">
        <v>15.0</v>
      </c>
      <c r="I330" s="1">
        <v>0.0</v>
      </c>
      <c r="J330" s="1">
        <v>10.0</v>
      </c>
      <c r="K330" s="1">
        <v>25.0</v>
      </c>
      <c r="L330" s="1">
        <v>64.26</v>
      </c>
      <c r="M330" s="1">
        <v>1606.5</v>
      </c>
      <c r="N330" s="1" t="s">
        <v>21</v>
      </c>
      <c r="O330" s="1">
        <v>0.0</v>
      </c>
      <c r="P330" s="1" t="s">
        <v>992</v>
      </c>
      <c r="Q330" s="1" t="str">
        <f t="shared" si="1"/>
        <v>x</v>
      </c>
      <c r="R330" s="1" t="str">
        <f t="shared" si="2"/>
        <v>x</v>
      </c>
      <c r="S330" s="1" t="str">
        <f t="shared" si="3"/>
        <v>x</v>
      </c>
      <c r="T330" s="1" t="str">
        <f t="shared" si="4"/>
        <v>OK</v>
      </c>
    </row>
    <row r="331" ht="15.75" customHeight="1">
      <c r="A331" s="1" t="s">
        <v>993</v>
      </c>
      <c r="B331" s="1">
        <v>1.1001896E7</v>
      </c>
      <c r="C331" s="1" t="s">
        <v>21</v>
      </c>
      <c r="D331" s="1" t="s">
        <v>22</v>
      </c>
      <c r="E331" s="1" t="s">
        <v>52</v>
      </c>
      <c r="F331" s="1" t="s">
        <v>994</v>
      </c>
      <c r="G331" s="1" t="s">
        <v>25</v>
      </c>
      <c r="H331" s="1">
        <v>1.0</v>
      </c>
      <c r="I331" s="1">
        <v>0.0</v>
      </c>
      <c r="J331" s="1">
        <v>0.0</v>
      </c>
      <c r="K331" s="1">
        <v>1.0</v>
      </c>
      <c r="L331" s="1">
        <v>1604.45</v>
      </c>
      <c r="M331" s="1">
        <v>1604.45</v>
      </c>
      <c r="N331" s="1" t="s">
        <v>21</v>
      </c>
      <c r="O331" s="1">
        <v>0.0</v>
      </c>
      <c r="P331" s="1" t="s">
        <v>995</v>
      </c>
      <c r="Q331" s="1" t="str">
        <f t="shared" si="1"/>
        <v>x</v>
      </c>
      <c r="R331" s="1" t="str">
        <f t="shared" si="2"/>
        <v>x</v>
      </c>
      <c r="S331" s="1" t="str">
        <f t="shared" si="3"/>
        <v>x</v>
      </c>
      <c r="T331" s="1" t="str">
        <f t="shared" si="4"/>
        <v>OK</v>
      </c>
    </row>
    <row r="332" ht="15.75" customHeight="1">
      <c r="A332" s="1" t="s">
        <v>996</v>
      </c>
      <c r="B332" s="1">
        <v>1.124709E7</v>
      </c>
      <c r="C332" s="1" t="s">
        <v>21</v>
      </c>
      <c r="D332" s="1" t="s">
        <v>22</v>
      </c>
      <c r="E332" s="1" t="s">
        <v>23</v>
      </c>
      <c r="F332" s="1" t="s">
        <v>997</v>
      </c>
      <c r="G332" s="1" t="s">
        <v>25</v>
      </c>
      <c r="H332" s="1">
        <v>6.0</v>
      </c>
      <c r="I332" s="1">
        <v>0.0</v>
      </c>
      <c r="J332" s="1">
        <v>0.0</v>
      </c>
      <c r="K332" s="1">
        <v>6.0</v>
      </c>
      <c r="L332" s="1">
        <v>265.0</v>
      </c>
      <c r="M332" s="1">
        <v>1590.0</v>
      </c>
      <c r="N332" s="1" t="s">
        <v>21</v>
      </c>
      <c r="O332" s="1">
        <v>0.0</v>
      </c>
      <c r="P332" s="1" t="s">
        <v>998</v>
      </c>
      <c r="Q332" s="1" t="str">
        <f t="shared" si="1"/>
        <v>x</v>
      </c>
      <c r="R332" s="1" t="str">
        <f t="shared" si="2"/>
        <v>x</v>
      </c>
      <c r="S332" s="1" t="str">
        <f t="shared" si="3"/>
        <v>x</v>
      </c>
      <c r="T332" s="1" t="str">
        <f t="shared" si="4"/>
        <v>OK</v>
      </c>
    </row>
    <row r="333" ht="15.75" customHeight="1">
      <c r="A333" s="1" t="s">
        <v>999</v>
      </c>
      <c r="B333" s="1">
        <v>1.1402505E7</v>
      </c>
      <c r="C333" s="1" t="s">
        <v>21</v>
      </c>
      <c r="D333" s="1" t="s">
        <v>22</v>
      </c>
      <c r="E333" s="1" t="s">
        <v>102</v>
      </c>
      <c r="F333" s="1" t="s">
        <v>1000</v>
      </c>
      <c r="G333" s="1" t="s">
        <v>25</v>
      </c>
      <c r="H333" s="1">
        <v>21.0</v>
      </c>
      <c r="I333" s="1">
        <v>0.0</v>
      </c>
      <c r="J333" s="1">
        <v>0.0</v>
      </c>
      <c r="K333" s="1">
        <v>21.0</v>
      </c>
      <c r="L333" s="1">
        <v>74.03</v>
      </c>
      <c r="M333" s="1">
        <v>1554.63</v>
      </c>
      <c r="N333" s="1" t="s">
        <v>21</v>
      </c>
      <c r="O333" s="1">
        <v>0.0</v>
      </c>
      <c r="P333" s="1" t="s">
        <v>1001</v>
      </c>
      <c r="Q333" s="1" t="str">
        <f t="shared" si="1"/>
        <v>x</v>
      </c>
      <c r="R333" s="1" t="str">
        <f t="shared" si="2"/>
        <v>x</v>
      </c>
      <c r="S333" s="1" t="str">
        <f t="shared" si="3"/>
        <v>x</v>
      </c>
      <c r="T333" s="1" t="str">
        <f t="shared" si="4"/>
        <v>OK</v>
      </c>
    </row>
    <row r="334" ht="15.75" customHeight="1">
      <c r="A334" s="1" t="s">
        <v>1002</v>
      </c>
      <c r="B334" s="1">
        <v>1.1131578E7</v>
      </c>
      <c r="C334" s="1">
        <v>1.0873364E7</v>
      </c>
      <c r="D334" s="1" t="s">
        <v>22</v>
      </c>
      <c r="E334" s="1" t="s">
        <v>23</v>
      </c>
      <c r="F334" s="1" t="s">
        <v>798</v>
      </c>
      <c r="G334" s="1" t="s">
        <v>25</v>
      </c>
      <c r="H334" s="1">
        <v>3.0</v>
      </c>
      <c r="I334" s="1">
        <v>3.0</v>
      </c>
      <c r="J334" s="1">
        <v>3.0</v>
      </c>
      <c r="K334" s="1">
        <v>9.0</v>
      </c>
      <c r="L334" s="1">
        <v>172.21</v>
      </c>
      <c r="M334" s="1">
        <v>1549.89</v>
      </c>
      <c r="N334" s="1" t="s">
        <v>21</v>
      </c>
      <c r="O334" s="1">
        <v>0.0</v>
      </c>
      <c r="P334" s="1" t="s">
        <v>1003</v>
      </c>
      <c r="Q334" s="1" t="str">
        <f t="shared" si="1"/>
        <v>x</v>
      </c>
      <c r="R334" s="1" t="str">
        <f t="shared" si="2"/>
        <v>x</v>
      </c>
      <c r="S334" s="1" t="str">
        <f t="shared" si="3"/>
        <v>x</v>
      </c>
      <c r="T334" s="1" t="str">
        <f t="shared" si="4"/>
        <v>OK</v>
      </c>
    </row>
    <row r="335" ht="15.75" customHeight="1">
      <c r="A335" s="1" t="s">
        <v>1004</v>
      </c>
      <c r="B335" s="1">
        <v>1.1797138E7</v>
      </c>
      <c r="C335" s="1" t="s">
        <v>21</v>
      </c>
      <c r="D335" s="1" t="s">
        <v>22</v>
      </c>
      <c r="E335" s="1" t="s">
        <v>23</v>
      </c>
      <c r="F335" s="1" t="s">
        <v>1005</v>
      </c>
      <c r="G335" s="1" t="s">
        <v>25</v>
      </c>
      <c r="H335" s="1">
        <v>4.0</v>
      </c>
      <c r="I335" s="1">
        <v>0.0</v>
      </c>
      <c r="J335" s="1">
        <v>0.0</v>
      </c>
      <c r="K335" s="1">
        <v>4.0</v>
      </c>
      <c r="L335" s="1">
        <v>382.91</v>
      </c>
      <c r="M335" s="1">
        <v>1531.64</v>
      </c>
      <c r="N335" s="1" t="s">
        <v>21</v>
      </c>
      <c r="O335" s="1">
        <v>0.0</v>
      </c>
      <c r="P335" s="1" t="s">
        <v>1006</v>
      </c>
      <c r="Q335" s="1" t="str">
        <f t="shared" si="1"/>
        <v>x</v>
      </c>
      <c r="R335" s="1" t="str">
        <f t="shared" si="2"/>
        <v>x</v>
      </c>
      <c r="S335" s="1" t="str">
        <f t="shared" si="3"/>
        <v>x</v>
      </c>
      <c r="T335" s="1" t="str">
        <f t="shared" si="4"/>
        <v>OK</v>
      </c>
    </row>
    <row r="336" ht="15.75" customHeight="1">
      <c r="A336" s="1" t="s">
        <v>1007</v>
      </c>
      <c r="B336" s="1">
        <v>1.007574E7</v>
      </c>
      <c r="C336" s="1" t="s">
        <v>21</v>
      </c>
      <c r="D336" s="1" t="s">
        <v>22</v>
      </c>
      <c r="E336" s="1" t="s">
        <v>231</v>
      </c>
      <c r="F336" s="1" t="s">
        <v>1008</v>
      </c>
      <c r="G336" s="1" t="s">
        <v>25</v>
      </c>
      <c r="H336" s="1">
        <v>98.0</v>
      </c>
      <c r="I336" s="1">
        <v>0.0</v>
      </c>
      <c r="J336" s="1">
        <v>54.0</v>
      </c>
      <c r="K336" s="1">
        <v>152.0</v>
      </c>
      <c r="L336" s="1">
        <v>10.04</v>
      </c>
      <c r="M336" s="1">
        <v>1526.08</v>
      </c>
      <c r="N336" s="1" t="s">
        <v>21</v>
      </c>
      <c r="O336" s="1">
        <v>0.0</v>
      </c>
      <c r="P336" s="1" t="s">
        <v>1009</v>
      </c>
      <c r="Q336" s="1" t="str">
        <f t="shared" si="1"/>
        <v>x</v>
      </c>
      <c r="R336" s="1" t="str">
        <f t="shared" si="2"/>
        <v>x</v>
      </c>
      <c r="S336" s="1" t="str">
        <f t="shared" si="3"/>
        <v>x</v>
      </c>
      <c r="T336" s="1" t="str">
        <f t="shared" si="4"/>
        <v>OK</v>
      </c>
    </row>
    <row r="337" ht="15.75" customHeight="1">
      <c r="A337" s="1" t="s">
        <v>1010</v>
      </c>
      <c r="B337" s="1">
        <v>1.0000082E7</v>
      </c>
      <c r="C337" s="1" t="s">
        <v>21</v>
      </c>
      <c r="D337" s="1" t="s">
        <v>22</v>
      </c>
      <c r="E337" s="1" t="s">
        <v>544</v>
      </c>
      <c r="F337" s="1" t="s">
        <v>803</v>
      </c>
      <c r="G337" s="1" t="s">
        <v>25</v>
      </c>
      <c r="H337" s="1">
        <v>1118.0</v>
      </c>
      <c r="I337" s="1">
        <v>296.0</v>
      </c>
      <c r="J337" s="1">
        <v>296.0</v>
      </c>
      <c r="K337" s="1">
        <v>1710.0</v>
      </c>
      <c r="L337" s="1">
        <v>0.89</v>
      </c>
      <c r="M337" s="1">
        <v>1521.9</v>
      </c>
      <c r="N337" s="1" t="s">
        <v>21</v>
      </c>
      <c r="O337" s="1">
        <v>0.0</v>
      </c>
      <c r="P337" s="1" t="s">
        <v>1011</v>
      </c>
      <c r="Q337" s="1" t="str">
        <f t="shared" si="1"/>
        <v>x</v>
      </c>
      <c r="R337" s="1" t="str">
        <f t="shared" si="2"/>
        <v>x</v>
      </c>
      <c r="S337" s="1" t="str">
        <f t="shared" si="3"/>
        <v>x</v>
      </c>
      <c r="T337" s="1" t="str">
        <f t="shared" si="4"/>
        <v>OK</v>
      </c>
    </row>
    <row r="338" ht="15.75" customHeight="1">
      <c r="A338" s="1" t="s">
        <v>1012</v>
      </c>
      <c r="B338" s="1">
        <v>1.0863213E7</v>
      </c>
      <c r="C338" s="1" t="s">
        <v>21</v>
      </c>
      <c r="D338" s="1" t="s">
        <v>22</v>
      </c>
      <c r="E338" s="1" t="s">
        <v>129</v>
      </c>
      <c r="F338" s="1" t="s">
        <v>1013</v>
      </c>
      <c r="G338" s="1" t="s">
        <v>25</v>
      </c>
      <c r="H338" s="1">
        <v>21.0</v>
      </c>
      <c r="I338" s="1">
        <v>0.0</v>
      </c>
      <c r="J338" s="1">
        <v>21.0</v>
      </c>
      <c r="K338" s="1">
        <v>42.0</v>
      </c>
      <c r="L338" s="1">
        <v>35.57</v>
      </c>
      <c r="M338" s="1">
        <v>1493.94</v>
      </c>
      <c r="N338" s="1" t="s">
        <v>21</v>
      </c>
      <c r="O338" s="1">
        <v>0.0</v>
      </c>
      <c r="P338" s="1" t="s">
        <v>1014</v>
      </c>
      <c r="Q338" s="1" t="str">
        <f t="shared" si="1"/>
        <v>x</v>
      </c>
      <c r="R338" s="1" t="str">
        <f t="shared" si="2"/>
        <v>x</v>
      </c>
      <c r="S338" s="1" t="str">
        <f t="shared" si="3"/>
        <v>x</v>
      </c>
      <c r="T338" s="1" t="str">
        <f t="shared" si="4"/>
        <v>OK</v>
      </c>
    </row>
    <row r="339" ht="15.75" customHeight="1">
      <c r="A339" s="1" t="s">
        <v>1015</v>
      </c>
      <c r="B339" s="1">
        <v>1.1007503E7</v>
      </c>
      <c r="C339" s="1" t="s">
        <v>21</v>
      </c>
      <c r="D339" s="1" t="s">
        <v>22</v>
      </c>
      <c r="E339" s="1" t="s">
        <v>129</v>
      </c>
      <c r="F339" s="1" t="s">
        <v>1016</v>
      </c>
      <c r="G339" s="1" t="s">
        <v>25</v>
      </c>
      <c r="H339" s="1">
        <v>24.0</v>
      </c>
      <c r="I339" s="1">
        <v>26.0</v>
      </c>
      <c r="J339" s="1">
        <v>26.0</v>
      </c>
      <c r="K339" s="1">
        <v>76.0</v>
      </c>
      <c r="L339" s="1">
        <v>19.34</v>
      </c>
      <c r="M339" s="1">
        <v>1469.84</v>
      </c>
      <c r="N339" s="1" t="s">
        <v>21</v>
      </c>
      <c r="O339" s="1">
        <v>0.0</v>
      </c>
      <c r="P339" s="1" t="s">
        <v>1017</v>
      </c>
      <c r="Q339" s="1" t="str">
        <f t="shared" si="1"/>
        <v>x</v>
      </c>
      <c r="R339" s="1" t="str">
        <f t="shared" si="2"/>
        <v>x</v>
      </c>
      <c r="S339" s="1" t="str">
        <f t="shared" si="3"/>
        <v>x</v>
      </c>
      <c r="T339" s="1" t="str">
        <f t="shared" si="4"/>
        <v>OK</v>
      </c>
    </row>
    <row r="340" ht="15.75" customHeight="1">
      <c r="A340" s="1" t="s">
        <v>1018</v>
      </c>
      <c r="B340" s="1">
        <v>1.066166E7</v>
      </c>
      <c r="C340" s="1" t="s">
        <v>21</v>
      </c>
      <c r="D340" s="1" t="s">
        <v>22</v>
      </c>
      <c r="E340" s="1" t="s">
        <v>23</v>
      </c>
      <c r="F340" s="1" t="s">
        <v>1019</v>
      </c>
      <c r="G340" s="1" t="s">
        <v>25</v>
      </c>
      <c r="H340" s="1">
        <v>5.0</v>
      </c>
      <c r="I340" s="1">
        <v>0.0</v>
      </c>
      <c r="J340" s="1">
        <v>0.0</v>
      </c>
      <c r="K340" s="1">
        <v>5.0</v>
      </c>
      <c r="L340" s="1">
        <v>293.73</v>
      </c>
      <c r="M340" s="1">
        <v>1468.65</v>
      </c>
      <c r="N340" s="1" t="s">
        <v>21</v>
      </c>
      <c r="O340" s="1">
        <v>0.0</v>
      </c>
      <c r="P340" s="1" t="s">
        <v>1020</v>
      </c>
      <c r="Q340" s="1" t="str">
        <f t="shared" si="1"/>
        <v>x</v>
      </c>
      <c r="R340" s="1" t="str">
        <f t="shared" si="2"/>
        <v>x</v>
      </c>
      <c r="S340" s="1" t="str">
        <f t="shared" si="3"/>
        <v>x</v>
      </c>
      <c r="T340" s="1" t="str">
        <f t="shared" si="4"/>
        <v>OK</v>
      </c>
    </row>
    <row r="341" ht="15.75" customHeight="1">
      <c r="A341" s="1" t="s">
        <v>1021</v>
      </c>
      <c r="B341" s="1">
        <v>1.0834216E7</v>
      </c>
      <c r="C341" s="1" t="s">
        <v>21</v>
      </c>
      <c r="D341" s="1" t="s">
        <v>22</v>
      </c>
      <c r="E341" s="1" t="s">
        <v>129</v>
      </c>
      <c r="F341" s="1" t="s">
        <v>1022</v>
      </c>
      <c r="G341" s="1" t="s">
        <v>25</v>
      </c>
      <c r="H341" s="1">
        <v>82.0</v>
      </c>
      <c r="I341" s="1">
        <v>0.0</v>
      </c>
      <c r="J341" s="1">
        <v>0.0</v>
      </c>
      <c r="K341" s="1">
        <v>82.0</v>
      </c>
      <c r="L341" s="1">
        <v>17.88</v>
      </c>
      <c r="M341" s="1">
        <v>1466.16</v>
      </c>
      <c r="N341" s="1" t="s">
        <v>21</v>
      </c>
      <c r="O341" s="1">
        <v>0.0</v>
      </c>
      <c r="P341" s="1" t="s">
        <v>1023</v>
      </c>
      <c r="Q341" s="1" t="str">
        <f t="shared" si="1"/>
        <v>x</v>
      </c>
      <c r="R341" s="1" t="str">
        <f t="shared" si="2"/>
        <v>x</v>
      </c>
      <c r="S341" s="1" t="str">
        <f t="shared" si="3"/>
        <v>x</v>
      </c>
      <c r="T341" s="1" t="str">
        <f t="shared" si="4"/>
        <v>OK</v>
      </c>
    </row>
    <row r="342" ht="15.75" customHeight="1">
      <c r="A342" s="1" t="s">
        <v>1024</v>
      </c>
      <c r="B342" s="1">
        <v>1.0876923E7</v>
      </c>
      <c r="C342" s="1" t="s">
        <v>21</v>
      </c>
      <c r="D342" s="1" t="s">
        <v>22</v>
      </c>
      <c r="E342" s="1" t="s">
        <v>118</v>
      </c>
      <c r="F342" s="1" t="s">
        <v>1025</v>
      </c>
      <c r="G342" s="1" t="s">
        <v>25</v>
      </c>
      <c r="H342" s="1">
        <v>11.0</v>
      </c>
      <c r="I342" s="1">
        <v>0.0</v>
      </c>
      <c r="J342" s="1">
        <v>0.0</v>
      </c>
      <c r="K342" s="1">
        <v>11.0</v>
      </c>
      <c r="L342" s="1">
        <v>132.6</v>
      </c>
      <c r="M342" s="1">
        <v>1458.6</v>
      </c>
      <c r="N342" s="1" t="s">
        <v>21</v>
      </c>
      <c r="O342" s="1">
        <v>0.0</v>
      </c>
      <c r="P342" s="1" t="s">
        <v>1026</v>
      </c>
      <c r="Q342" s="1" t="str">
        <f t="shared" si="1"/>
        <v>x</v>
      </c>
      <c r="R342" s="1" t="str">
        <f t="shared" si="2"/>
        <v>x</v>
      </c>
      <c r="S342" s="1" t="str">
        <f t="shared" si="3"/>
        <v>x</v>
      </c>
      <c r="T342" s="1" t="str">
        <f t="shared" si="4"/>
        <v>OK</v>
      </c>
    </row>
    <row r="343" ht="15.75" customHeight="1">
      <c r="A343" s="1" t="s">
        <v>1027</v>
      </c>
      <c r="B343" s="1">
        <v>1.0625658E7</v>
      </c>
      <c r="C343" s="1" t="s">
        <v>21</v>
      </c>
      <c r="D343" s="1" t="s">
        <v>22</v>
      </c>
      <c r="E343" s="1" t="s">
        <v>195</v>
      </c>
      <c r="F343" s="1" t="s">
        <v>780</v>
      </c>
      <c r="G343" s="1" t="s">
        <v>25</v>
      </c>
      <c r="H343" s="1">
        <v>0.0</v>
      </c>
      <c r="I343" s="1">
        <v>48.0</v>
      </c>
      <c r="J343" s="1">
        <v>48.0</v>
      </c>
      <c r="K343" s="1">
        <v>96.0</v>
      </c>
      <c r="L343" s="1">
        <v>14.96</v>
      </c>
      <c r="M343" s="1">
        <v>1436.16</v>
      </c>
      <c r="N343" s="1" t="s">
        <v>21</v>
      </c>
      <c r="O343" s="1">
        <v>0.0</v>
      </c>
      <c r="P343" s="1" t="s">
        <v>1028</v>
      </c>
      <c r="Q343" s="1" t="str">
        <f t="shared" si="1"/>
        <v>x</v>
      </c>
      <c r="R343" s="1" t="str">
        <f t="shared" si="2"/>
        <v>x</v>
      </c>
      <c r="S343" s="1" t="str">
        <f t="shared" si="3"/>
        <v>x</v>
      </c>
      <c r="T343" s="1" t="str">
        <f t="shared" si="4"/>
        <v>OK</v>
      </c>
    </row>
    <row r="344" ht="15.75" customHeight="1">
      <c r="A344" s="1" t="s">
        <v>1029</v>
      </c>
      <c r="B344" s="1">
        <v>1.1536046E7</v>
      </c>
      <c r="C344" s="1">
        <v>1.0912139E7</v>
      </c>
      <c r="D344" s="1" t="s">
        <v>22</v>
      </c>
      <c r="E344" s="1" t="s">
        <v>23</v>
      </c>
      <c r="F344" s="1" t="s">
        <v>1030</v>
      </c>
      <c r="G344" s="1" t="s">
        <v>25</v>
      </c>
      <c r="H344" s="1">
        <v>2.0</v>
      </c>
      <c r="I344" s="1">
        <v>0.0</v>
      </c>
      <c r="J344" s="1">
        <v>2.0</v>
      </c>
      <c r="K344" s="1">
        <v>4.0</v>
      </c>
      <c r="L344" s="1">
        <v>354.76</v>
      </c>
      <c r="M344" s="1">
        <v>1419.04</v>
      </c>
      <c r="N344" s="1" t="s">
        <v>21</v>
      </c>
      <c r="O344" s="1">
        <v>0.0</v>
      </c>
      <c r="P344" s="1" t="s">
        <v>1031</v>
      </c>
      <c r="Q344" s="1" t="str">
        <f t="shared" si="1"/>
        <v>x</v>
      </c>
      <c r="R344" s="1" t="str">
        <f t="shared" si="2"/>
        <v>x</v>
      </c>
      <c r="S344" s="1" t="str">
        <f t="shared" si="3"/>
        <v>x</v>
      </c>
      <c r="T344" s="1" t="str">
        <f t="shared" si="4"/>
        <v>OK</v>
      </c>
    </row>
    <row r="345" ht="15.75" customHeight="1">
      <c r="A345" s="1" t="s">
        <v>1032</v>
      </c>
      <c r="B345" s="1">
        <v>1.1822382E7</v>
      </c>
      <c r="C345" s="1">
        <v>1.1436691E7</v>
      </c>
      <c r="D345" s="1" t="s">
        <v>22</v>
      </c>
      <c r="E345" s="1" t="s">
        <v>23</v>
      </c>
      <c r="F345" s="1" t="s">
        <v>809</v>
      </c>
      <c r="G345" s="1" t="s">
        <v>25</v>
      </c>
      <c r="H345" s="1">
        <v>4.0</v>
      </c>
      <c r="I345" s="1">
        <v>0.0</v>
      </c>
      <c r="J345" s="1">
        <v>1.0</v>
      </c>
      <c r="K345" s="1">
        <v>5.0</v>
      </c>
      <c r="L345" s="1">
        <v>282.77</v>
      </c>
      <c r="M345" s="1">
        <v>1413.85</v>
      </c>
      <c r="N345" s="1" t="s">
        <v>21</v>
      </c>
      <c r="O345" s="1">
        <v>0.0</v>
      </c>
      <c r="P345" s="1" t="s">
        <v>1033</v>
      </c>
      <c r="Q345" s="1" t="str">
        <f t="shared" si="1"/>
        <v>x</v>
      </c>
      <c r="R345" s="1" t="str">
        <f t="shared" si="2"/>
        <v>x</v>
      </c>
      <c r="S345" s="1" t="str">
        <f t="shared" si="3"/>
        <v>x</v>
      </c>
      <c r="T345" s="1" t="str">
        <f t="shared" si="4"/>
        <v>OK</v>
      </c>
    </row>
    <row r="346" ht="15.75" customHeight="1">
      <c r="A346" s="1" t="s">
        <v>1034</v>
      </c>
      <c r="B346" s="1">
        <v>1.0686566E7</v>
      </c>
      <c r="C346" s="1" t="s">
        <v>21</v>
      </c>
      <c r="D346" s="1" t="s">
        <v>22</v>
      </c>
      <c r="E346" s="1" t="s">
        <v>129</v>
      </c>
      <c r="F346" s="1" t="s">
        <v>375</v>
      </c>
      <c r="G346" s="1" t="s">
        <v>25</v>
      </c>
      <c r="H346" s="1">
        <v>20.0</v>
      </c>
      <c r="I346" s="1">
        <v>0.0</v>
      </c>
      <c r="J346" s="1">
        <v>20.0</v>
      </c>
      <c r="K346" s="1">
        <v>40.0</v>
      </c>
      <c r="L346" s="1">
        <v>35.34</v>
      </c>
      <c r="M346" s="1">
        <v>1413.6</v>
      </c>
      <c r="N346" s="1" t="s">
        <v>21</v>
      </c>
      <c r="O346" s="1">
        <v>0.0</v>
      </c>
      <c r="P346" s="1" t="s">
        <v>1035</v>
      </c>
      <c r="Q346" s="1" t="str">
        <f t="shared" si="1"/>
        <v>x</v>
      </c>
      <c r="R346" s="1" t="str">
        <f t="shared" si="2"/>
        <v>x</v>
      </c>
      <c r="S346" s="1" t="str">
        <f t="shared" si="3"/>
        <v>x</v>
      </c>
      <c r="T346" s="1" t="str">
        <f t="shared" si="4"/>
        <v>OK</v>
      </c>
    </row>
    <row r="347" ht="15.75" customHeight="1">
      <c r="A347" s="1" t="s">
        <v>1036</v>
      </c>
      <c r="B347" s="1">
        <v>1.0966162E7</v>
      </c>
      <c r="C347" s="1" t="s">
        <v>21</v>
      </c>
      <c r="D347" s="1" t="s">
        <v>22</v>
      </c>
      <c r="E347" s="1" t="s">
        <v>150</v>
      </c>
      <c r="F347" s="1" t="s">
        <v>1037</v>
      </c>
      <c r="G347" s="1" t="s">
        <v>25</v>
      </c>
      <c r="H347" s="1">
        <v>14.0</v>
      </c>
      <c r="I347" s="1">
        <v>0.0</v>
      </c>
      <c r="J347" s="1">
        <v>0.0</v>
      </c>
      <c r="K347" s="1">
        <v>14.0</v>
      </c>
      <c r="L347" s="1">
        <v>100.26</v>
      </c>
      <c r="M347" s="1">
        <v>1403.64</v>
      </c>
      <c r="N347" s="1" t="s">
        <v>21</v>
      </c>
      <c r="O347" s="1">
        <v>0.0</v>
      </c>
      <c r="P347" s="1" t="s">
        <v>1038</v>
      </c>
      <c r="Q347" s="1" t="str">
        <f t="shared" si="1"/>
        <v>x</v>
      </c>
      <c r="R347" s="1" t="str">
        <f t="shared" si="2"/>
        <v>x</v>
      </c>
      <c r="S347" s="1" t="str">
        <f t="shared" si="3"/>
        <v>x</v>
      </c>
      <c r="T347" s="1" t="str">
        <f t="shared" si="4"/>
        <v>OK</v>
      </c>
    </row>
    <row r="348" ht="15.75" customHeight="1">
      <c r="A348" s="1" t="s">
        <v>1039</v>
      </c>
      <c r="B348" s="1">
        <v>1.0505294E7</v>
      </c>
      <c r="C348" s="1" t="s">
        <v>21</v>
      </c>
      <c r="D348" s="1" t="s">
        <v>22</v>
      </c>
      <c r="E348" s="1" t="s">
        <v>23</v>
      </c>
      <c r="F348" s="1" t="s">
        <v>486</v>
      </c>
      <c r="G348" s="1" t="s">
        <v>25</v>
      </c>
      <c r="H348" s="1">
        <v>1.0</v>
      </c>
      <c r="I348" s="1">
        <v>2.0</v>
      </c>
      <c r="J348" s="1">
        <v>2.0</v>
      </c>
      <c r="K348" s="1">
        <v>5.0</v>
      </c>
      <c r="L348" s="1">
        <v>279.15</v>
      </c>
      <c r="M348" s="1">
        <v>1395.75</v>
      </c>
      <c r="N348" s="1" t="s">
        <v>21</v>
      </c>
      <c r="O348" s="1" t="s">
        <v>26</v>
      </c>
      <c r="P348" s="1" t="s">
        <v>1040</v>
      </c>
      <c r="Q348" s="1" t="str">
        <f t="shared" si="1"/>
        <v>x</v>
      </c>
      <c r="R348" s="1" t="str">
        <f t="shared" si="2"/>
        <v>x</v>
      </c>
      <c r="S348" s="1" t="str">
        <f t="shared" si="3"/>
        <v>x</v>
      </c>
      <c r="T348" s="1" t="str">
        <f t="shared" si="4"/>
        <v>OK</v>
      </c>
    </row>
    <row r="349" ht="15.75" customHeight="1">
      <c r="A349" s="1" t="s">
        <v>1041</v>
      </c>
      <c r="B349" s="1">
        <v>1.0075741E7</v>
      </c>
      <c r="C349" s="1" t="s">
        <v>21</v>
      </c>
      <c r="D349" s="1" t="s">
        <v>22</v>
      </c>
      <c r="E349" s="1" t="s">
        <v>231</v>
      </c>
      <c r="F349" s="1" t="s">
        <v>1042</v>
      </c>
      <c r="G349" s="1" t="s">
        <v>25</v>
      </c>
      <c r="H349" s="1">
        <v>46.0</v>
      </c>
      <c r="I349" s="1">
        <v>46.0</v>
      </c>
      <c r="J349" s="1">
        <v>46.0</v>
      </c>
      <c r="K349" s="1">
        <v>138.0</v>
      </c>
      <c r="L349" s="1">
        <v>9.81</v>
      </c>
      <c r="M349" s="1">
        <v>1353.78</v>
      </c>
      <c r="N349" s="1" t="s">
        <v>21</v>
      </c>
      <c r="O349" s="1">
        <v>0.0</v>
      </c>
      <c r="P349" s="1" t="s">
        <v>1043</v>
      </c>
      <c r="Q349" s="1" t="str">
        <f t="shared" si="1"/>
        <v>x</v>
      </c>
      <c r="R349" s="1" t="str">
        <f t="shared" si="2"/>
        <v>x</v>
      </c>
      <c r="S349" s="1" t="str">
        <f t="shared" si="3"/>
        <v>x</v>
      </c>
      <c r="T349" s="1" t="str">
        <f t="shared" si="4"/>
        <v>OK</v>
      </c>
    </row>
    <row r="350" ht="15.75" customHeight="1">
      <c r="A350" s="1" t="s">
        <v>1044</v>
      </c>
      <c r="B350" s="1">
        <v>1.0607522E7</v>
      </c>
      <c r="C350" s="1" t="s">
        <v>21</v>
      </c>
      <c r="D350" s="1" t="s">
        <v>22</v>
      </c>
      <c r="E350" s="1" t="s">
        <v>140</v>
      </c>
      <c r="F350" s="1" t="s">
        <v>912</v>
      </c>
      <c r="G350" s="1" t="s">
        <v>25</v>
      </c>
      <c r="H350" s="1">
        <v>6.0</v>
      </c>
      <c r="I350" s="1">
        <v>12.0</v>
      </c>
      <c r="J350" s="1">
        <v>12.0</v>
      </c>
      <c r="K350" s="1">
        <v>30.0</v>
      </c>
      <c r="L350" s="1">
        <v>45.03</v>
      </c>
      <c r="M350" s="1">
        <v>1350.9</v>
      </c>
      <c r="N350" s="1" t="s">
        <v>21</v>
      </c>
      <c r="O350" s="1">
        <v>0.0</v>
      </c>
      <c r="P350" s="1" t="s">
        <v>1045</v>
      </c>
      <c r="Q350" s="1" t="str">
        <f t="shared" si="1"/>
        <v>x</v>
      </c>
      <c r="R350" s="1" t="str">
        <f t="shared" si="2"/>
        <v>x</v>
      </c>
      <c r="S350" s="1" t="str">
        <f t="shared" si="3"/>
        <v>x</v>
      </c>
      <c r="T350" s="1" t="str">
        <f t="shared" si="4"/>
        <v>OK</v>
      </c>
    </row>
    <row r="351" ht="15.75" customHeight="1">
      <c r="A351" s="1" t="s">
        <v>1046</v>
      </c>
      <c r="B351" s="1">
        <v>1.0302502E7</v>
      </c>
      <c r="C351" s="1" t="s">
        <v>21</v>
      </c>
      <c r="D351" s="1" t="s">
        <v>22</v>
      </c>
      <c r="E351" s="1" t="s">
        <v>23</v>
      </c>
      <c r="F351" s="1" t="s">
        <v>241</v>
      </c>
      <c r="G351" s="1" t="s">
        <v>25</v>
      </c>
      <c r="H351" s="1">
        <v>8.0</v>
      </c>
      <c r="I351" s="1">
        <v>0.0</v>
      </c>
      <c r="J351" s="1">
        <v>0.0</v>
      </c>
      <c r="K351" s="1">
        <v>8.0</v>
      </c>
      <c r="L351" s="1">
        <v>168.48</v>
      </c>
      <c r="M351" s="1">
        <v>1347.84</v>
      </c>
      <c r="N351" s="1" t="s">
        <v>21</v>
      </c>
      <c r="O351" s="1">
        <v>0.0</v>
      </c>
      <c r="P351" s="1" t="s">
        <v>1047</v>
      </c>
      <c r="Q351" s="1" t="str">
        <f t="shared" si="1"/>
        <v>x</v>
      </c>
      <c r="R351" s="1" t="str">
        <f t="shared" si="2"/>
        <v>x</v>
      </c>
      <c r="S351" s="1" t="str">
        <f t="shared" si="3"/>
        <v>x</v>
      </c>
      <c r="T351" s="1" t="str">
        <f t="shared" si="4"/>
        <v>OK</v>
      </c>
    </row>
    <row r="352" ht="15.75" customHeight="1">
      <c r="A352" s="1" t="s">
        <v>1048</v>
      </c>
      <c r="B352" s="1">
        <v>1.1160476E7</v>
      </c>
      <c r="C352" s="1" t="s">
        <v>21</v>
      </c>
      <c r="D352" s="1" t="s">
        <v>22</v>
      </c>
      <c r="E352" s="1" t="s">
        <v>52</v>
      </c>
      <c r="F352" s="1" t="s">
        <v>510</v>
      </c>
      <c r="G352" s="1" t="s">
        <v>25</v>
      </c>
      <c r="H352" s="1">
        <v>1.0</v>
      </c>
      <c r="I352" s="1">
        <v>0.0</v>
      </c>
      <c r="J352" s="1">
        <v>0.0</v>
      </c>
      <c r="K352" s="1">
        <v>1.0</v>
      </c>
      <c r="L352" s="1">
        <v>1333.7</v>
      </c>
      <c r="M352" s="1">
        <v>1333.7</v>
      </c>
      <c r="N352" s="1" t="s">
        <v>21</v>
      </c>
      <c r="O352" s="1">
        <v>0.0</v>
      </c>
      <c r="P352" s="1" t="s">
        <v>1049</v>
      </c>
      <c r="Q352" s="1" t="str">
        <f t="shared" si="1"/>
        <v>x</v>
      </c>
      <c r="R352" s="1" t="str">
        <f t="shared" si="2"/>
        <v>x</v>
      </c>
      <c r="S352" s="1" t="str">
        <f t="shared" si="3"/>
        <v>x</v>
      </c>
      <c r="T352" s="1" t="str">
        <f t="shared" si="4"/>
        <v>OK</v>
      </c>
    </row>
    <row r="353" ht="15.75" customHeight="1">
      <c r="A353" s="1" t="s">
        <v>1050</v>
      </c>
      <c r="B353" s="1">
        <v>1.000046E7</v>
      </c>
      <c r="C353" s="1" t="s">
        <v>21</v>
      </c>
      <c r="D353" s="1" t="s">
        <v>22</v>
      </c>
      <c r="E353" s="1" t="s">
        <v>1051</v>
      </c>
      <c r="F353" s="1" t="s">
        <v>1052</v>
      </c>
      <c r="G353" s="1" t="s">
        <v>25</v>
      </c>
      <c r="H353" s="1">
        <v>0.0</v>
      </c>
      <c r="I353" s="1">
        <v>2832.0</v>
      </c>
      <c r="J353" s="1">
        <v>2832.0</v>
      </c>
      <c r="K353" s="1">
        <v>5664.0</v>
      </c>
      <c r="L353" s="1">
        <v>0.23</v>
      </c>
      <c r="M353" s="1">
        <v>1302.72</v>
      </c>
      <c r="N353" s="1" t="s">
        <v>21</v>
      </c>
      <c r="O353" s="1">
        <v>0.0</v>
      </c>
      <c r="P353" s="1" t="s">
        <v>1053</v>
      </c>
      <c r="Q353" s="1" t="str">
        <f t="shared" si="1"/>
        <v>x</v>
      </c>
      <c r="R353" s="1" t="str">
        <f t="shared" si="2"/>
        <v>x</v>
      </c>
      <c r="S353" s="1" t="str">
        <f t="shared" si="3"/>
        <v>x</v>
      </c>
      <c r="T353" s="1" t="str">
        <f t="shared" si="4"/>
        <v>OK</v>
      </c>
    </row>
    <row r="354" ht="15.75" customHeight="1">
      <c r="A354" s="1" t="s">
        <v>1054</v>
      </c>
      <c r="B354" s="1">
        <v>1.0082482E7</v>
      </c>
      <c r="C354" s="1" t="s">
        <v>21</v>
      </c>
      <c r="D354" s="1" t="s">
        <v>22</v>
      </c>
      <c r="E354" s="1" t="s">
        <v>36</v>
      </c>
      <c r="F354" s="1" t="s">
        <v>99</v>
      </c>
      <c r="G354" s="1" t="s">
        <v>25</v>
      </c>
      <c r="H354" s="1">
        <v>12.0</v>
      </c>
      <c r="I354" s="1">
        <v>0.0</v>
      </c>
      <c r="J354" s="1">
        <v>10.0</v>
      </c>
      <c r="K354" s="1">
        <v>22.0</v>
      </c>
      <c r="L354" s="1">
        <v>55.84</v>
      </c>
      <c r="M354" s="1">
        <v>1228.48</v>
      </c>
      <c r="N354" s="1" t="s">
        <v>21</v>
      </c>
      <c r="O354" s="1">
        <v>0.0</v>
      </c>
      <c r="P354" s="1" t="s">
        <v>1055</v>
      </c>
      <c r="Q354" s="1" t="str">
        <f t="shared" si="1"/>
        <v>x</v>
      </c>
      <c r="R354" s="1" t="str">
        <f t="shared" si="2"/>
        <v>x</v>
      </c>
      <c r="S354" s="1" t="str">
        <f t="shared" si="3"/>
        <v>x</v>
      </c>
      <c r="T354" s="1" t="str">
        <f t="shared" si="4"/>
        <v>OK</v>
      </c>
    </row>
    <row r="355" ht="15.75" customHeight="1">
      <c r="A355" s="1" t="s">
        <v>1056</v>
      </c>
      <c r="B355" s="1">
        <v>1.0488431E7</v>
      </c>
      <c r="C355" s="1" t="s">
        <v>21</v>
      </c>
      <c r="D355" s="1" t="s">
        <v>22</v>
      </c>
      <c r="E355" s="1" t="s">
        <v>227</v>
      </c>
      <c r="F355" s="1" t="s">
        <v>1057</v>
      </c>
      <c r="G355" s="1" t="s">
        <v>25</v>
      </c>
      <c r="H355" s="1">
        <v>10.0</v>
      </c>
      <c r="I355" s="1">
        <v>10.0</v>
      </c>
      <c r="J355" s="1">
        <v>10.0</v>
      </c>
      <c r="K355" s="1">
        <v>30.0</v>
      </c>
      <c r="L355" s="1">
        <v>40.65</v>
      </c>
      <c r="M355" s="1">
        <v>1219.5</v>
      </c>
      <c r="N355" s="1" t="s">
        <v>21</v>
      </c>
      <c r="O355" s="1">
        <v>0.0</v>
      </c>
      <c r="P355" s="1" t="s">
        <v>1058</v>
      </c>
      <c r="Q355" s="1" t="str">
        <f t="shared" si="1"/>
        <v>x</v>
      </c>
      <c r="R355" s="1" t="str">
        <f t="shared" si="2"/>
        <v>x</v>
      </c>
      <c r="S355" s="1" t="str">
        <f t="shared" si="3"/>
        <v>x</v>
      </c>
      <c r="T355" s="1" t="str">
        <f t="shared" si="4"/>
        <v>OK</v>
      </c>
    </row>
    <row r="356" ht="15.75" customHeight="1">
      <c r="A356" s="1" t="s">
        <v>1059</v>
      </c>
      <c r="B356" s="1">
        <v>1.0986283E7</v>
      </c>
      <c r="C356" s="1" t="s">
        <v>21</v>
      </c>
      <c r="D356" s="1" t="s">
        <v>22</v>
      </c>
      <c r="E356" s="1" t="s">
        <v>129</v>
      </c>
      <c r="F356" s="1" t="s">
        <v>1060</v>
      </c>
      <c r="G356" s="1" t="s">
        <v>25</v>
      </c>
      <c r="H356" s="1">
        <v>27.0</v>
      </c>
      <c r="I356" s="1">
        <v>19.0</v>
      </c>
      <c r="J356" s="1">
        <v>0.0</v>
      </c>
      <c r="K356" s="1">
        <v>46.0</v>
      </c>
      <c r="L356" s="1">
        <v>25.92</v>
      </c>
      <c r="M356" s="1">
        <v>1192.32</v>
      </c>
      <c r="N356" s="1" t="s">
        <v>21</v>
      </c>
      <c r="O356" s="1">
        <v>0.0</v>
      </c>
      <c r="P356" s="1" t="s">
        <v>1061</v>
      </c>
      <c r="Q356" s="1" t="str">
        <f t="shared" si="1"/>
        <v>x</v>
      </c>
      <c r="R356" s="1" t="str">
        <f t="shared" si="2"/>
        <v>x</v>
      </c>
      <c r="S356" s="1" t="str">
        <f t="shared" si="3"/>
        <v>x</v>
      </c>
      <c r="T356" s="1" t="str">
        <f t="shared" si="4"/>
        <v>OK</v>
      </c>
    </row>
    <row r="357" ht="15.75" customHeight="1">
      <c r="A357" s="1" t="s">
        <v>1062</v>
      </c>
      <c r="B357" s="1">
        <v>1.030203E7</v>
      </c>
      <c r="C357" s="1" t="s">
        <v>21</v>
      </c>
      <c r="D357" s="1" t="s">
        <v>22</v>
      </c>
      <c r="E357" s="1" t="s">
        <v>56</v>
      </c>
      <c r="F357" s="1" t="s">
        <v>585</v>
      </c>
      <c r="G357" s="1" t="s">
        <v>25</v>
      </c>
      <c r="H357" s="1">
        <v>9.0</v>
      </c>
      <c r="I357" s="1">
        <v>0.0</v>
      </c>
      <c r="J357" s="1">
        <v>0.0</v>
      </c>
      <c r="K357" s="1">
        <v>9.0</v>
      </c>
      <c r="L357" s="1">
        <v>131.21</v>
      </c>
      <c r="M357" s="1">
        <v>1180.89</v>
      </c>
      <c r="N357" s="1" t="s">
        <v>21</v>
      </c>
      <c r="O357" s="1" t="s">
        <v>1063</v>
      </c>
      <c r="P357" s="1" t="s">
        <v>1064</v>
      </c>
      <c r="Q357" s="1" t="str">
        <f t="shared" si="1"/>
        <v>x</v>
      </c>
      <c r="R357" s="1" t="str">
        <f t="shared" si="2"/>
        <v>x</v>
      </c>
      <c r="S357" s="1" t="str">
        <f t="shared" si="3"/>
        <v>x</v>
      </c>
      <c r="T357" s="1" t="str">
        <f t="shared" si="4"/>
        <v>OK</v>
      </c>
    </row>
    <row r="358" ht="15.75" customHeight="1">
      <c r="A358" s="1" t="s">
        <v>1065</v>
      </c>
      <c r="B358" s="1">
        <v>1.0863213E7</v>
      </c>
      <c r="C358" s="1" t="s">
        <v>21</v>
      </c>
      <c r="D358" s="1" t="s">
        <v>22</v>
      </c>
      <c r="E358" s="1" t="s">
        <v>129</v>
      </c>
      <c r="F358" s="1" t="s">
        <v>1013</v>
      </c>
      <c r="G358" s="1" t="s">
        <v>25</v>
      </c>
      <c r="H358" s="1">
        <v>11.0</v>
      </c>
      <c r="I358" s="1">
        <v>11.0</v>
      </c>
      <c r="J358" s="1">
        <v>11.0</v>
      </c>
      <c r="K358" s="1">
        <v>33.0</v>
      </c>
      <c r="L358" s="1">
        <v>35.57</v>
      </c>
      <c r="M358" s="1">
        <v>1173.81</v>
      </c>
      <c r="N358" s="1" t="s">
        <v>21</v>
      </c>
      <c r="O358" s="1">
        <v>0.0</v>
      </c>
      <c r="P358" s="1" t="s">
        <v>1066</v>
      </c>
      <c r="Q358" s="1" t="str">
        <f t="shared" si="1"/>
        <v>x</v>
      </c>
      <c r="R358" s="1" t="str">
        <f t="shared" si="2"/>
        <v>x</v>
      </c>
      <c r="S358" s="1" t="str">
        <f t="shared" si="3"/>
        <v>x</v>
      </c>
      <c r="T358" s="1" t="str">
        <f t="shared" si="4"/>
        <v>OK</v>
      </c>
    </row>
    <row r="359" ht="15.75" customHeight="1">
      <c r="A359" s="1" t="s">
        <v>1067</v>
      </c>
      <c r="B359" s="1">
        <v>1.0834428E7</v>
      </c>
      <c r="C359" s="1" t="s">
        <v>21</v>
      </c>
      <c r="D359" s="1" t="s">
        <v>22</v>
      </c>
      <c r="E359" s="1" t="s">
        <v>195</v>
      </c>
      <c r="F359" s="1" t="s">
        <v>1068</v>
      </c>
      <c r="G359" s="1" t="s">
        <v>25</v>
      </c>
      <c r="H359" s="1">
        <v>82.0</v>
      </c>
      <c r="I359" s="1">
        <v>0.0</v>
      </c>
      <c r="J359" s="1">
        <v>0.0</v>
      </c>
      <c r="K359" s="1">
        <v>82.0</v>
      </c>
      <c r="L359" s="1">
        <v>14.31</v>
      </c>
      <c r="M359" s="1">
        <v>1173.42</v>
      </c>
      <c r="N359" s="1" t="s">
        <v>21</v>
      </c>
      <c r="O359" s="1">
        <v>0.0</v>
      </c>
      <c r="P359" s="1" t="s">
        <v>1069</v>
      </c>
      <c r="Q359" s="1" t="str">
        <f t="shared" si="1"/>
        <v>x</v>
      </c>
      <c r="R359" s="1" t="str">
        <f t="shared" si="2"/>
        <v>x</v>
      </c>
      <c r="S359" s="1" t="str">
        <f t="shared" si="3"/>
        <v>x</v>
      </c>
      <c r="T359" s="1" t="str">
        <f t="shared" si="4"/>
        <v>OK</v>
      </c>
    </row>
    <row r="360" ht="15.75" customHeight="1">
      <c r="A360" s="1" t="s">
        <v>1070</v>
      </c>
      <c r="B360" s="1">
        <v>1.0134472E7</v>
      </c>
      <c r="C360" s="1" t="s">
        <v>21</v>
      </c>
      <c r="D360" s="1" t="s">
        <v>22</v>
      </c>
      <c r="E360" s="1" t="s">
        <v>129</v>
      </c>
      <c r="F360" s="1" t="s">
        <v>1071</v>
      </c>
      <c r="G360" s="1" t="s">
        <v>25</v>
      </c>
      <c r="H360" s="1">
        <v>41.0</v>
      </c>
      <c r="I360" s="1">
        <v>0.0</v>
      </c>
      <c r="J360" s="1">
        <v>12.0</v>
      </c>
      <c r="K360" s="1">
        <v>53.0</v>
      </c>
      <c r="L360" s="1">
        <v>22.04</v>
      </c>
      <c r="M360" s="1">
        <v>1168.12</v>
      </c>
      <c r="N360" s="1" t="s">
        <v>21</v>
      </c>
      <c r="O360" s="1">
        <v>0.0</v>
      </c>
      <c r="P360" s="1" t="s">
        <v>1072</v>
      </c>
      <c r="Q360" s="1" t="str">
        <f t="shared" si="1"/>
        <v>x</v>
      </c>
      <c r="R360" s="1" t="str">
        <f t="shared" si="2"/>
        <v>x</v>
      </c>
      <c r="S360" s="1" t="str">
        <f t="shared" si="3"/>
        <v>x</v>
      </c>
      <c r="T360" s="1" t="str">
        <f t="shared" si="4"/>
        <v>OK</v>
      </c>
    </row>
    <row r="361" ht="15.75" customHeight="1">
      <c r="A361" s="1" t="s">
        <v>1073</v>
      </c>
      <c r="B361" s="1">
        <v>1.1137015E7</v>
      </c>
      <c r="C361" s="1" t="s">
        <v>21</v>
      </c>
      <c r="D361" s="1" t="s">
        <v>22</v>
      </c>
      <c r="E361" s="1" t="s">
        <v>738</v>
      </c>
      <c r="F361" s="1" t="s">
        <v>1074</v>
      </c>
      <c r="G361" s="1" t="s">
        <v>25</v>
      </c>
      <c r="H361" s="1">
        <v>240.0</v>
      </c>
      <c r="I361" s="1">
        <v>120.0</v>
      </c>
      <c r="J361" s="1">
        <v>172.0</v>
      </c>
      <c r="K361" s="1">
        <v>532.0</v>
      </c>
      <c r="L361" s="1">
        <v>2.19</v>
      </c>
      <c r="M361" s="1">
        <v>1165.08</v>
      </c>
      <c r="N361" s="1" t="s">
        <v>21</v>
      </c>
      <c r="O361" s="1">
        <v>0.0</v>
      </c>
      <c r="P361" s="1" t="s">
        <v>1075</v>
      </c>
      <c r="Q361" s="1" t="str">
        <f t="shared" si="1"/>
        <v>x</v>
      </c>
      <c r="R361" s="1" t="str">
        <f t="shared" si="2"/>
        <v>x</v>
      </c>
      <c r="S361" s="1" t="str">
        <f t="shared" si="3"/>
        <v>x</v>
      </c>
      <c r="T361" s="1" t="str">
        <f t="shared" si="4"/>
        <v>OK</v>
      </c>
    </row>
    <row r="362" ht="15.75" customHeight="1">
      <c r="A362" s="1" t="s">
        <v>1076</v>
      </c>
      <c r="B362" s="1">
        <v>1.0317357E7</v>
      </c>
      <c r="C362" s="1" t="s">
        <v>21</v>
      </c>
      <c r="D362" s="1" t="s">
        <v>22</v>
      </c>
      <c r="E362" s="1" t="s">
        <v>590</v>
      </c>
      <c r="F362" s="1" t="s">
        <v>591</v>
      </c>
      <c r="G362" s="1" t="s">
        <v>25</v>
      </c>
      <c r="H362" s="1">
        <v>0.0</v>
      </c>
      <c r="I362" s="1">
        <v>4.0</v>
      </c>
      <c r="J362" s="1">
        <v>4.0</v>
      </c>
      <c r="K362" s="1">
        <v>8.0</v>
      </c>
      <c r="L362" s="1">
        <v>145.09</v>
      </c>
      <c r="M362" s="1">
        <v>1160.72</v>
      </c>
      <c r="N362" s="1" t="s">
        <v>21</v>
      </c>
      <c r="O362" s="1" t="s">
        <v>26</v>
      </c>
      <c r="P362" s="1" t="s">
        <v>1077</v>
      </c>
      <c r="Q362" s="1" t="str">
        <f t="shared" si="1"/>
        <v>x</v>
      </c>
      <c r="R362" s="1" t="str">
        <f t="shared" si="2"/>
        <v>x</v>
      </c>
      <c r="S362" s="1" t="str">
        <f t="shared" si="3"/>
        <v>x</v>
      </c>
      <c r="T362" s="1" t="str">
        <f t="shared" si="4"/>
        <v>OK</v>
      </c>
    </row>
    <row r="363" ht="15.75" customHeight="1">
      <c r="A363" s="1" t="s">
        <v>1078</v>
      </c>
      <c r="B363" s="1">
        <v>1.0687475E7</v>
      </c>
      <c r="C363" s="1" t="s">
        <v>21</v>
      </c>
      <c r="D363" s="1" t="s">
        <v>22</v>
      </c>
      <c r="E363" s="1" t="s">
        <v>129</v>
      </c>
      <c r="F363" s="1" t="s">
        <v>885</v>
      </c>
      <c r="G363" s="1" t="s">
        <v>25</v>
      </c>
      <c r="H363" s="1">
        <v>17.0</v>
      </c>
      <c r="I363" s="1">
        <v>0.0</v>
      </c>
      <c r="J363" s="1">
        <v>17.0</v>
      </c>
      <c r="K363" s="1">
        <v>34.0</v>
      </c>
      <c r="L363" s="1">
        <v>33.92</v>
      </c>
      <c r="M363" s="1">
        <v>1153.28</v>
      </c>
      <c r="N363" s="1" t="s">
        <v>21</v>
      </c>
      <c r="O363" s="1">
        <v>0.0</v>
      </c>
      <c r="P363" s="1" t="s">
        <v>1079</v>
      </c>
      <c r="Q363" s="1" t="str">
        <f t="shared" si="1"/>
        <v>x</v>
      </c>
      <c r="R363" s="1" t="str">
        <f t="shared" si="2"/>
        <v>x</v>
      </c>
      <c r="S363" s="1" t="str">
        <f t="shared" si="3"/>
        <v>x</v>
      </c>
      <c r="T363" s="1" t="str">
        <f t="shared" si="4"/>
        <v>OK</v>
      </c>
    </row>
    <row r="364" ht="15.75" customHeight="1">
      <c r="A364" s="1" t="s">
        <v>1080</v>
      </c>
      <c r="B364" s="1" t="s">
        <v>1081</v>
      </c>
      <c r="C364" s="1" t="s">
        <v>21</v>
      </c>
      <c r="D364" s="1" t="s">
        <v>22</v>
      </c>
      <c r="E364" s="1" t="s">
        <v>52</v>
      </c>
      <c r="F364" s="1" t="s">
        <v>1082</v>
      </c>
      <c r="G364" s="1" t="s">
        <v>25</v>
      </c>
      <c r="H364" s="1">
        <v>1.0</v>
      </c>
      <c r="I364" s="1">
        <v>0.0</v>
      </c>
      <c r="J364" s="1">
        <v>0.0</v>
      </c>
      <c r="K364" s="1">
        <v>1.0</v>
      </c>
      <c r="L364" s="1">
        <v>1141.77</v>
      </c>
      <c r="M364" s="1">
        <v>1141.77</v>
      </c>
      <c r="N364" s="1" t="s">
        <v>21</v>
      </c>
      <c r="O364" s="1">
        <v>0.0</v>
      </c>
      <c r="P364" s="1" t="s">
        <v>1083</v>
      </c>
      <c r="Q364" s="1" t="str">
        <f t="shared" si="1"/>
        <v>x</v>
      </c>
      <c r="R364" s="1" t="str">
        <f t="shared" si="2"/>
        <v>x</v>
      </c>
      <c r="S364" s="1" t="str">
        <f t="shared" si="3"/>
        <v>x</v>
      </c>
      <c r="T364" s="1" t="str">
        <f t="shared" si="4"/>
        <v>OK</v>
      </c>
    </row>
    <row r="365" ht="15.75" customHeight="1">
      <c r="A365" s="1" t="s">
        <v>1084</v>
      </c>
      <c r="B365" s="1">
        <v>1.0191058E7</v>
      </c>
      <c r="C365" s="1" t="s">
        <v>21</v>
      </c>
      <c r="D365" s="1" t="s">
        <v>22</v>
      </c>
      <c r="E365" s="1" t="s">
        <v>129</v>
      </c>
      <c r="F365" s="1" t="s">
        <v>1085</v>
      </c>
      <c r="G365" s="1" t="s">
        <v>25</v>
      </c>
      <c r="H365" s="1">
        <v>34.0</v>
      </c>
      <c r="I365" s="1">
        <v>0.0</v>
      </c>
      <c r="J365" s="1">
        <v>7.0</v>
      </c>
      <c r="K365" s="1">
        <v>41.0</v>
      </c>
      <c r="L365" s="1">
        <v>26.92</v>
      </c>
      <c r="M365" s="1">
        <v>1103.72</v>
      </c>
      <c r="N365" s="1" t="s">
        <v>21</v>
      </c>
      <c r="O365" s="1">
        <v>0.0</v>
      </c>
      <c r="P365" s="1" t="s">
        <v>1086</v>
      </c>
      <c r="Q365" s="1" t="str">
        <f t="shared" si="1"/>
        <v>x</v>
      </c>
      <c r="R365" s="1" t="str">
        <f t="shared" si="2"/>
        <v>x</v>
      </c>
      <c r="S365" s="1" t="str">
        <f t="shared" si="3"/>
        <v>x</v>
      </c>
      <c r="T365" s="1" t="str">
        <f t="shared" si="4"/>
        <v>OK</v>
      </c>
    </row>
    <row r="366" ht="15.75" customHeight="1">
      <c r="A366" s="1" t="s">
        <v>1087</v>
      </c>
      <c r="B366" s="1">
        <v>1.0834428E7</v>
      </c>
      <c r="C366" s="1" t="s">
        <v>21</v>
      </c>
      <c r="D366" s="1" t="s">
        <v>22</v>
      </c>
      <c r="E366" s="1" t="s">
        <v>195</v>
      </c>
      <c r="F366" s="1" t="s">
        <v>1068</v>
      </c>
      <c r="G366" s="1" t="s">
        <v>25</v>
      </c>
      <c r="H366" s="1">
        <v>23.0</v>
      </c>
      <c r="I366" s="1">
        <v>21.0</v>
      </c>
      <c r="J366" s="1">
        <v>33.0</v>
      </c>
      <c r="K366" s="1">
        <v>77.0</v>
      </c>
      <c r="L366" s="1">
        <v>14.31</v>
      </c>
      <c r="M366" s="1">
        <v>1101.87</v>
      </c>
      <c r="N366" s="1" t="s">
        <v>21</v>
      </c>
      <c r="O366" s="1">
        <v>0.0</v>
      </c>
      <c r="P366" s="1" t="s">
        <v>1088</v>
      </c>
      <c r="Q366" s="1" t="str">
        <f t="shared" si="1"/>
        <v>x</v>
      </c>
      <c r="R366" s="1" t="str">
        <f t="shared" si="2"/>
        <v>x</v>
      </c>
      <c r="S366" s="1" t="str">
        <f t="shared" si="3"/>
        <v>x</v>
      </c>
      <c r="T366" s="1" t="str">
        <f t="shared" si="4"/>
        <v>OK</v>
      </c>
    </row>
    <row r="367" ht="15.75" customHeight="1">
      <c r="A367" s="1" t="s">
        <v>1089</v>
      </c>
      <c r="B367" s="1">
        <v>1.0834216E7</v>
      </c>
      <c r="C367" s="1" t="s">
        <v>21</v>
      </c>
      <c r="D367" s="1" t="s">
        <v>22</v>
      </c>
      <c r="E367" s="1" t="s">
        <v>129</v>
      </c>
      <c r="F367" s="1" t="s">
        <v>1022</v>
      </c>
      <c r="G367" s="1" t="s">
        <v>25</v>
      </c>
      <c r="H367" s="1">
        <v>15.0</v>
      </c>
      <c r="I367" s="1">
        <v>17.0</v>
      </c>
      <c r="J367" s="1">
        <v>29.0</v>
      </c>
      <c r="K367" s="1">
        <v>61.0</v>
      </c>
      <c r="L367" s="1">
        <v>17.88</v>
      </c>
      <c r="M367" s="1">
        <v>1090.68</v>
      </c>
      <c r="N367" s="1" t="s">
        <v>21</v>
      </c>
      <c r="O367" s="1">
        <v>0.0</v>
      </c>
      <c r="P367" s="1" t="s">
        <v>1090</v>
      </c>
      <c r="Q367" s="1" t="str">
        <f t="shared" si="1"/>
        <v>x</v>
      </c>
      <c r="R367" s="1" t="str">
        <f t="shared" si="2"/>
        <v>x</v>
      </c>
      <c r="S367" s="1" t="str">
        <f t="shared" si="3"/>
        <v>x</v>
      </c>
      <c r="T367" s="1" t="str">
        <f t="shared" si="4"/>
        <v>OK</v>
      </c>
    </row>
    <row r="368" ht="15.75" customHeight="1">
      <c r="A368" s="1" t="s">
        <v>1091</v>
      </c>
      <c r="B368" s="1">
        <v>1.1668565E7</v>
      </c>
      <c r="C368" s="1" t="s">
        <v>21</v>
      </c>
      <c r="D368" s="1" t="s">
        <v>22</v>
      </c>
      <c r="E368" s="1" t="s">
        <v>23</v>
      </c>
      <c r="F368" s="1" t="s">
        <v>1092</v>
      </c>
      <c r="G368" s="1" t="s">
        <v>25</v>
      </c>
      <c r="H368" s="1">
        <v>6.0</v>
      </c>
      <c r="I368" s="1">
        <v>0.0</v>
      </c>
      <c r="J368" s="1">
        <v>0.0</v>
      </c>
      <c r="K368" s="1">
        <v>6.0</v>
      </c>
      <c r="L368" s="1">
        <v>179.13</v>
      </c>
      <c r="M368" s="1">
        <v>1074.78</v>
      </c>
      <c r="N368" s="1" t="s">
        <v>21</v>
      </c>
      <c r="O368" s="1">
        <v>0.0</v>
      </c>
      <c r="P368" s="1" t="s">
        <v>1093</v>
      </c>
      <c r="Q368" s="1" t="str">
        <f t="shared" si="1"/>
        <v>x</v>
      </c>
      <c r="R368" s="1" t="str">
        <f t="shared" si="2"/>
        <v>x</v>
      </c>
      <c r="S368" s="1" t="str">
        <f t="shared" si="3"/>
        <v>x</v>
      </c>
      <c r="T368" s="1" t="str">
        <f t="shared" si="4"/>
        <v>OK</v>
      </c>
    </row>
    <row r="369" ht="15.75" customHeight="1">
      <c r="A369" s="1" t="s">
        <v>1094</v>
      </c>
      <c r="B369" s="1">
        <v>1.0392341E7</v>
      </c>
      <c r="C369" s="1" t="s">
        <v>21</v>
      </c>
      <c r="D369" s="1" t="s">
        <v>22</v>
      </c>
      <c r="E369" s="1" t="s">
        <v>633</v>
      </c>
      <c r="F369" s="1" t="s">
        <v>1095</v>
      </c>
      <c r="G369" s="1" t="s">
        <v>25</v>
      </c>
      <c r="H369" s="1">
        <v>0.0</v>
      </c>
      <c r="I369" s="1">
        <v>0.0</v>
      </c>
      <c r="J369" s="1">
        <v>264.0</v>
      </c>
      <c r="K369" s="1">
        <v>264.0</v>
      </c>
      <c r="L369" s="1">
        <v>4.0</v>
      </c>
      <c r="M369" s="1">
        <v>1056.0</v>
      </c>
      <c r="N369" s="1" t="s">
        <v>21</v>
      </c>
      <c r="O369" s="1">
        <v>0.0</v>
      </c>
      <c r="P369" s="1" t="s">
        <v>1096</v>
      </c>
      <c r="Q369" s="1" t="str">
        <f t="shared" si="1"/>
        <v>x</v>
      </c>
      <c r="R369" s="1" t="str">
        <f t="shared" si="2"/>
        <v>x</v>
      </c>
      <c r="S369" s="1" t="str">
        <f t="shared" si="3"/>
        <v>x</v>
      </c>
      <c r="T369" s="1" t="str">
        <f t="shared" si="4"/>
        <v>OK</v>
      </c>
    </row>
    <row r="370" ht="15.75" customHeight="1">
      <c r="A370" s="1" t="s">
        <v>1097</v>
      </c>
      <c r="B370" s="1">
        <v>1.0245633E7</v>
      </c>
      <c r="C370" s="1" t="s">
        <v>21</v>
      </c>
      <c r="D370" s="1" t="s">
        <v>22</v>
      </c>
      <c r="E370" s="1" t="s">
        <v>620</v>
      </c>
      <c r="F370" s="1" t="s">
        <v>1098</v>
      </c>
      <c r="G370" s="1" t="s">
        <v>25</v>
      </c>
      <c r="H370" s="1">
        <v>0.0</v>
      </c>
      <c r="I370" s="1">
        <v>96.0</v>
      </c>
      <c r="J370" s="1">
        <v>128.0</v>
      </c>
      <c r="K370" s="1">
        <v>224.0</v>
      </c>
      <c r="L370" s="1">
        <v>4.69</v>
      </c>
      <c r="M370" s="1">
        <v>1050.56</v>
      </c>
      <c r="N370" s="1" t="s">
        <v>21</v>
      </c>
      <c r="O370" s="1">
        <v>0.0</v>
      </c>
      <c r="P370" s="1" t="s">
        <v>1099</v>
      </c>
      <c r="Q370" s="1" t="str">
        <f t="shared" si="1"/>
        <v>x</v>
      </c>
      <c r="R370" s="1" t="str">
        <f t="shared" si="2"/>
        <v>x</v>
      </c>
      <c r="S370" s="1" t="str">
        <f t="shared" si="3"/>
        <v>x</v>
      </c>
      <c r="T370" s="1" t="str">
        <f t="shared" si="4"/>
        <v>OK</v>
      </c>
    </row>
    <row r="371" ht="15.75" customHeight="1">
      <c r="A371" s="1" t="s">
        <v>1100</v>
      </c>
      <c r="B371" s="1">
        <v>1.1247093E7</v>
      </c>
      <c r="C371" s="1" t="s">
        <v>21</v>
      </c>
      <c r="D371" s="1" t="s">
        <v>22</v>
      </c>
      <c r="E371" s="1" t="s">
        <v>23</v>
      </c>
      <c r="F371" s="1" t="s">
        <v>1101</v>
      </c>
      <c r="G371" s="1" t="s">
        <v>25</v>
      </c>
      <c r="H371" s="1">
        <v>6.0</v>
      </c>
      <c r="I371" s="1">
        <v>0.0</v>
      </c>
      <c r="J371" s="1">
        <v>0.0</v>
      </c>
      <c r="K371" s="1">
        <v>6.0</v>
      </c>
      <c r="L371" s="1">
        <v>174.17</v>
      </c>
      <c r="M371" s="1">
        <v>1045.02</v>
      </c>
      <c r="N371" s="1" t="s">
        <v>21</v>
      </c>
      <c r="O371" s="1">
        <v>0.0</v>
      </c>
      <c r="P371" s="1" t="s">
        <v>1102</v>
      </c>
      <c r="Q371" s="1" t="str">
        <f t="shared" si="1"/>
        <v>x</v>
      </c>
      <c r="R371" s="1" t="str">
        <f t="shared" si="2"/>
        <v>x</v>
      </c>
      <c r="S371" s="1" t="str">
        <f t="shared" si="3"/>
        <v>x</v>
      </c>
      <c r="T371" s="1" t="str">
        <f t="shared" si="4"/>
        <v>OK</v>
      </c>
    </row>
    <row r="372" ht="15.75" customHeight="1">
      <c r="A372" s="1" t="s">
        <v>1103</v>
      </c>
      <c r="B372" s="1">
        <v>1.1131578E7</v>
      </c>
      <c r="C372" s="1" t="s">
        <v>21</v>
      </c>
      <c r="D372" s="1" t="s">
        <v>22</v>
      </c>
      <c r="E372" s="1" t="s">
        <v>23</v>
      </c>
      <c r="F372" s="1" t="s">
        <v>798</v>
      </c>
      <c r="G372" s="1" t="s">
        <v>25</v>
      </c>
      <c r="H372" s="1">
        <v>6.0</v>
      </c>
      <c r="I372" s="1">
        <v>0.0</v>
      </c>
      <c r="J372" s="1">
        <v>0.0</v>
      </c>
      <c r="K372" s="1">
        <v>6.0</v>
      </c>
      <c r="L372" s="1">
        <v>172.21</v>
      </c>
      <c r="M372" s="1">
        <v>1033.26</v>
      </c>
      <c r="N372" s="1" t="s">
        <v>21</v>
      </c>
      <c r="O372" s="1">
        <v>0.0</v>
      </c>
      <c r="P372" s="1" t="s">
        <v>1104</v>
      </c>
      <c r="Q372" s="1" t="str">
        <f t="shared" si="1"/>
        <v>x</v>
      </c>
      <c r="R372" s="1" t="str">
        <f t="shared" si="2"/>
        <v>x</v>
      </c>
      <c r="S372" s="1" t="str">
        <f t="shared" si="3"/>
        <v>x</v>
      </c>
      <c r="T372" s="1" t="str">
        <f t="shared" si="4"/>
        <v>OK</v>
      </c>
    </row>
    <row r="373" ht="15.75" customHeight="1">
      <c r="A373" s="1" t="s">
        <v>1105</v>
      </c>
      <c r="B373" s="1">
        <v>1.0000079E7</v>
      </c>
      <c r="C373" s="1" t="s">
        <v>21</v>
      </c>
      <c r="D373" s="1" t="s">
        <v>22</v>
      </c>
      <c r="E373" s="1" t="s">
        <v>1051</v>
      </c>
      <c r="F373" s="1" t="s">
        <v>1106</v>
      </c>
      <c r="G373" s="1" t="s">
        <v>25</v>
      </c>
      <c r="H373" s="1">
        <v>1602.0</v>
      </c>
      <c r="I373" s="1">
        <v>1432.0</v>
      </c>
      <c r="J373" s="1">
        <v>1432.0</v>
      </c>
      <c r="K373" s="1">
        <v>4466.0</v>
      </c>
      <c r="L373" s="1">
        <v>0.23</v>
      </c>
      <c r="M373" s="1">
        <v>1027.18</v>
      </c>
      <c r="N373" s="1" t="s">
        <v>21</v>
      </c>
      <c r="O373" s="1">
        <v>0.0</v>
      </c>
      <c r="P373" s="1" t="s">
        <v>1107</v>
      </c>
      <c r="Q373" s="1" t="str">
        <f t="shared" si="1"/>
        <v>x</v>
      </c>
      <c r="R373" s="1" t="str">
        <f t="shared" si="2"/>
        <v>x</v>
      </c>
      <c r="S373" s="1" t="str">
        <f t="shared" si="3"/>
        <v>x</v>
      </c>
      <c r="T373" s="1" t="str">
        <f t="shared" si="4"/>
        <v>OK</v>
      </c>
    </row>
    <row r="374" ht="15.75" customHeight="1">
      <c r="A374" s="1" t="s">
        <v>1108</v>
      </c>
      <c r="B374" s="1">
        <v>1.0004961E7</v>
      </c>
      <c r="C374" s="1" t="s">
        <v>21</v>
      </c>
      <c r="D374" s="1" t="s">
        <v>22</v>
      </c>
      <c r="E374" s="1" t="s">
        <v>633</v>
      </c>
      <c r="F374" s="1" t="s">
        <v>1109</v>
      </c>
      <c r="G374" s="1" t="s">
        <v>25</v>
      </c>
      <c r="H374" s="1">
        <v>132.0</v>
      </c>
      <c r="I374" s="1">
        <v>144.0</v>
      </c>
      <c r="J374" s="1">
        <v>140.0</v>
      </c>
      <c r="K374" s="1">
        <v>416.0</v>
      </c>
      <c r="L374" s="1">
        <v>2.46</v>
      </c>
      <c r="M374" s="1">
        <v>1023.36</v>
      </c>
      <c r="N374" s="1" t="s">
        <v>21</v>
      </c>
      <c r="O374" s="1">
        <v>0.0</v>
      </c>
      <c r="P374" s="1" t="s">
        <v>1110</v>
      </c>
      <c r="Q374" s="1" t="str">
        <f t="shared" si="1"/>
        <v>x</v>
      </c>
      <c r="R374" s="1" t="str">
        <f t="shared" si="2"/>
        <v>x</v>
      </c>
      <c r="S374" s="1" t="str">
        <f t="shared" si="3"/>
        <v>x</v>
      </c>
      <c r="T374" s="1" t="str">
        <f t="shared" si="4"/>
        <v>OK</v>
      </c>
    </row>
    <row r="375" ht="15.75" customHeight="1">
      <c r="A375" s="1" t="s">
        <v>1111</v>
      </c>
      <c r="B375" s="1">
        <v>1.0494432E7</v>
      </c>
      <c r="C375" s="1" t="s">
        <v>21</v>
      </c>
      <c r="D375" s="1" t="s">
        <v>22</v>
      </c>
      <c r="E375" s="1" t="s">
        <v>56</v>
      </c>
      <c r="F375" s="1" t="s">
        <v>1112</v>
      </c>
      <c r="G375" s="1" t="s">
        <v>25</v>
      </c>
      <c r="H375" s="1">
        <v>8.0</v>
      </c>
      <c r="I375" s="1">
        <v>0.0</v>
      </c>
      <c r="J375" s="1">
        <v>0.0</v>
      </c>
      <c r="K375" s="1">
        <v>8.0</v>
      </c>
      <c r="L375" s="1">
        <v>125.6</v>
      </c>
      <c r="M375" s="1">
        <v>1004.8</v>
      </c>
      <c r="N375" s="1" t="s">
        <v>21</v>
      </c>
      <c r="O375" s="1">
        <v>0.0</v>
      </c>
      <c r="P375" s="1" t="s">
        <v>1113</v>
      </c>
      <c r="Q375" s="1" t="str">
        <f t="shared" si="1"/>
        <v>x</v>
      </c>
      <c r="R375" s="1" t="str">
        <f t="shared" si="2"/>
        <v>x</v>
      </c>
      <c r="S375" s="1" t="str">
        <f t="shared" si="3"/>
        <v>x</v>
      </c>
      <c r="T375" s="1" t="str">
        <f t="shared" si="4"/>
        <v>OK</v>
      </c>
    </row>
    <row r="376" ht="15.75" customHeight="1">
      <c r="A376" s="1" t="s">
        <v>1114</v>
      </c>
      <c r="B376" s="1">
        <v>1.0262938E7</v>
      </c>
      <c r="C376" s="1" t="s">
        <v>21</v>
      </c>
      <c r="D376" s="1" t="s">
        <v>22</v>
      </c>
      <c r="E376" s="1" t="s">
        <v>544</v>
      </c>
      <c r="F376" s="1" t="s">
        <v>1115</v>
      </c>
      <c r="G376" s="1" t="s">
        <v>25</v>
      </c>
      <c r="H376" s="1">
        <v>304.0</v>
      </c>
      <c r="I376" s="1">
        <v>48.0</v>
      </c>
      <c r="J376" s="1">
        <v>160.0</v>
      </c>
      <c r="K376" s="1">
        <v>512.0</v>
      </c>
      <c r="L376" s="1">
        <v>1.96</v>
      </c>
      <c r="M376" s="1">
        <v>1003.52</v>
      </c>
      <c r="N376" s="1" t="s">
        <v>21</v>
      </c>
      <c r="O376" s="1">
        <v>0.0</v>
      </c>
      <c r="P376" s="1" t="s">
        <v>1116</v>
      </c>
      <c r="Q376" s="1" t="str">
        <f t="shared" si="1"/>
        <v>x</v>
      </c>
      <c r="R376" s="1" t="str">
        <f t="shared" si="2"/>
        <v>x</v>
      </c>
      <c r="S376" s="1" t="str">
        <f t="shared" si="3"/>
        <v>x</v>
      </c>
      <c r="T376" s="1" t="str">
        <f t="shared" si="4"/>
        <v>OK</v>
      </c>
    </row>
    <row r="377" ht="15.75" customHeight="1">
      <c r="A377" s="1" t="s">
        <v>1117</v>
      </c>
      <c r="B377" s="1">
        <v>1.0360353E7</v>
      </c>
      <c r="C377" s="1" t="s">
        <v>21</v>
      </c>
      <c r="D377" s="1" t="s">
        <v>22</v>
      </c>
      <c r="E377" s="1" t="s">
        <v>150</v>
      </c>
      <c r="F377" s="1" t="s">
        <v>630</v>
      </c>
      <c r="G377" s="1" t="s">
        <v>25</v>
      </c>
      <c r="H377" s="1">
        <v>0.0</v>
      </c>
      <c r="I377" s="1">
        <v>5.0</v>
      </c>
      <c r="J377" s="1">
        <v>5.0</v>
      </c>
      <c r="K377" s="1">
        <v>10.0</v>
      </c>
      <c r="L377" s="1">
        <v>100.29</v>
      </c>
      <c r="M377" s="1">
        <v>1002.9</v>
      </c>
      <c r="N377" s="1" t="s">
        <v>21</v>
      </c>
      <c r="O377" s="1" t="s">
        <v>26</v>
      </c>
      <c r="P377" s="1" t="s">
        <v>1118</v>
      </c>
      <c r="Q377" s="1" t="str">
        <f t="shared" si="1"/>
        <v>x</v>
      </c>
      <c r="R377" s="1" t="str">
        <f t="shared" si="2"/>
        <v>x</v>
      </c>
      <c r="S377" s="1" t="str">
        <f t="shared" si="3"/>
        <v>x</v>
      </c>
      <c r="T377" s="1" t="str">
        <f t="shared" si="4"/>
        <v>OK</v>
      </c>
    </row>
    <row r="378" ht="15.75" customHeight="1">
      <c r="A378" s="1" t="s">
        <v>1119</v>
      </c>
      <c r="B378" s="1">
        <v>1.0149444E7</v>
      </c>
      <c r="C378" s="1" t="s">
        <v>21</v>
      </c>
      <c r="D378" s="1" t="s">
        <v>22</v>
      </c>
      <c r="E378" s="1" t="s">
        <v>23</v>
      </c>
      <c r="F378" s="1" t="s">
        <v>1120</v>
      </c>
      <c r="G378" s="1" t="s">
        <v>25</v>
      </c>
      <c r="H378" s="1">
        <v>2.0</v>
      </c>
      <c r="I378" s="1">
        <v>0.0</v>
      </c>
      <c r="J378" s="1">
        <v>0.0</v>
      </c>
      <c r="K378" s="1">
        <v>2.0</v>
      </c>
      <c r="L378" s="1">
        <v>488.32</v>
      </c>
      <c r="M378" s="1">
        <v>976.64</v>
      </c>
      <c r="N378" s="1" t="s">
        <v>21</v>
      </c>
      <c r="O378" s="1">
        <v>0.0</v>
      </c>
      <c r="P378" s="1" t="s">
        <v>1121</v>
      </c>
      <c r="Q378" s="1" t="str">
        <f t="shared" si="1"/>
        <v>x</v>
      </c>
      <c r="R378" s="1" t="str">
        <f t="shared" si="2"/>
        <v>x</v>
      </c>
      <c r="S378" s="1" t="str">
        <f t="shared" si="3"/>
        <v>x</v>
      </c>
      <c r="T378" s="1" t="str">
        <f t="shared" si="4"/>
        <v>OK</v>
      </c>
    </row>
    <row r="379" ht="15.75" customHeight="1">
      <c r="A379" s="1" t="s">
        <v>1122</v>
      </c>
      <c r="B379" s="1">
        <v>1.0745855E7</v>
      </c>
      <c r="C379" s="1" t="s">
        <v>21</v>
      </c>
      <c r="D379" s="1" t="s">
        <v>22</v>
      </c>
      <c r="E379" s="1" t="s">
        <v>129</v>
      </c>
      <c r="F379" s="1" t="s">
        <v>745</v>
      </c>
      <c r="G379" s="1" t="s">
        <v>25</v>
      </c>
      <c r="H379" s="1">
        <v>10.0</v>
      </c>
      <c r="I379" s="1">
        <v>0.0</v>
      </c>
      <c r="J379" s="1">
        <v>16.0</v>
      </c>
      <c r="K379" s="1">
        <v>26.0</v>
      </c>
      <c r="L379" s="1">
        <v>36.46</v>
      </c>
      <c r="M379" s="1">
        <v>947.96</v>
      </c>
      <c r="N379" s="1" t="s">
        <v>21</v>
      </c>
      <c r="O379" s="1">
        <v>0.0</v>
      </c>
      <c r="P379" s="1" t="s">
        <v>1123</v>
      </c>
      <c r="Q379" s="1" t="str">
        <f t="shared" si="1"/>
        <v>x</v>
      </c>
      <c r="R379" s="1" t="str">
        <f t="shared" si="2"/>
        <v>x</v>
      </c>
      <c r="S379" s="1" t="str">
        <f t="shared" si="3"/>
        <v>x</v>
      </c>
      <c r="T379" s="1" t="str">
        <f t="shared" si="4"/>
        <v>OK</v>
      </c>
    </row>
    <row r="380" ht="15.75" customHeight="1">
      <c r="A380" s="1" t="s">
        <v>1124</v>
      </c>
      <c r="B380" s="1">
        <v>1.0274064E7</v>
      </c>
      <c r="C380" s="1" t="s">
        <v>21</v>
      </c>
      <c r="D380" s="1" t="s">
        <v>22</v>
      </c>
      <c r="E380" s="1" t="s">
        <v>544</v>
      </c>
      <c r="F380" s="1" t="s">
        <v>1125</v>
      </c>
      <c r="G380" s="1" t="s">
        <v>25</v>
      </c>
      <c r="H380" s="1">
        <v>295.0</v>
      </c>
      <c r="I380" s="1">
        <v>295.0</v>
      </c>
      <c r="J380" s="1">
        <v>295.0</v>
      </c>
      <c r="K380" s="1">
        <v>885.0</v>
      </c>
      <c r="L380" s="1">
        <v>1.04</v>
      </c>
      <c r="M380" s="1">
        <v>920.4</v>
      </c>
      <c r="N380" s="1" t="s">
        <v>21</v>
      </c>
      <c r="O380" s="1">
        <v>0.0</v>
      </c>
      <c r="P380" s="1" t="s">
        <v>1126</v>
      </c>
      <c r="Q380" s="1" t="str">
        <f t="shared" si="1"/>
        <v>x</v>
      </c>
      <c r="R380" s="1" t="str">
        <f t="shared" si="2"/>
        <v>x</v>
      </c>
      <c r="S380" s="1" t="str">
        <f t="shared" si="3"/>
        <v>x</v>
      </c>
      <c r="T380" s="1" t="str">
        <f t="shared" si="4"/>
        <v>OK</v>
      </c>
    </row>
    <row r="381" ht="15.75" customHeight="1">
      <c r="A381" s="1" t="s">
        <v>1127</v>
      </c>
      <c r="B381" s="1">
        <v>1.0848411E7</v>
      </c>
      <c r="C381" s="1" t="s">
        <v>21</v>
      </c>
      <c r="D381" s="1" t="s">
        <v>22</v>
      </c>
      <c r="E381" s="1" t="s">
        <v>23</v>
      </c>
      <c r="F381" s="1" t="s">
        <v>1128</v>
      </c>
      <c r="G381" s="1" t="s">
        <v>25</v>
      </c>
      <c r="H381" s="1">
        <v>2.0</v>
      </c>
      <c r="I381" s="1">
        <v>0.0</v>
      </c>
      <c r="J381" s="1">
        <v>0.0</v>
      </c>
      <c r="K381" s="1">
        <v>2.0</v>
      </c>
      <c r="L381" s="1">
        <v>448.71</v>
      </c>
      <c r="M381" s="1">
        <v>897.42</v>
      </c>
      <c r="N381" s="1" t="s">
        <v>21</v>
      </c>
      <c r="O381" s="1">
        <v>0.0</v>
      </c>
      <c r="P381" s="1" t="s">
        <v>1129</v>
      </c>
      <c r="Q381" s="1" t="str">
        <f t="shared" si="1"/>
        <v>x</v>
      </c>
      <c r="R381" s="1" t="str">
        <f t="shared" si="2"/>
        <v>x</v>
      </c>
      <c r="S381" s="1" t="str">
        <f t="shared" si="3"/>
        <v>x</v>
      </c>
      <c r="T381" s="1" t="str">
        <f t="shared" si="4"/>
        <v>OK</v>
      </c>
    </row>
    <row r="382" ht="15.75" customHeight="1">
      <c r="A382" s="1" t="s">
        <v>1130</v>
      </c>
      <c r="B382" s="1">
        <v>1.0420185E7</v>
      </c>
      <c r="C382" s="1" t="s">
        <v>21</v>
      </c>
      <c r="D382" s="1" t="s">
        <v>22</v>
      </c>
      <c r="E382" s="1" t="s">
        <v>231</v>
      </c>
      <c r="F382" s="1" t="s">
        <v>301</v>
      </c>
      <c r="G382" s="1" t="s">
        <v>25</v>
      </c>
      <c r="H382" s="1">
        <v>48.0</v>
      </c>
      <c r="I382" s="1">
        <v>0.0</v>
      </c>
      <c r="J382" s="1">
        <v>48.0</v>
      </c>
      <c r="K382" s="1">
        <v>96.0</v>
      </c>
      <c r="L382" s="1">
        <v>9.31</v>
      </c>
      <c r="M382" s="1">
        <v>893.76</v>
      </c>
      <c r="N382" s="1" t="s">
        <v>21</v>
      </c>
      <c r="O382" s="1">
        <v>0.0</v>
      </c>
      <c r="P382" s="1" t="s">
        <v>1131</v>
      </c>
      <c r="Q382" s="1" t="str">
        <f t="shared" si="1"/>
        <v>x</v>
      </c>
      <c r="R382" s="1" t="str">
        <f t="shared" si="2"/>
        <v>x</v>
      </c>
      <c r="S382" s="1" t="str">
        <f t="shared" si="3"/>
        <v>x</v>
      </c>
      <c r="T382" s="1" t="str">
        <f t="shared" si="4"/>
        <v>OK</v>
      </c>
    </row>
    <row r="383" ht="15.75" customHeight="1">
      <c r="A383" s="1" t="s">
        <v>1132</v>
      </c>
      <c r="B383" s="1">
        <v>1.116346E7</v>
      </c>
      <c r="C383" s="1" t="s">
        <v>21</v>
      </c>
      <c r="D383" s="1" t="s">
        <v>22</v>
      </c>
      <c r="E383" s="1" t="s">
        <v>231</v>
      </c>
      <c r="F383" s="1" t="s">
        <v>1133</v>
      </c>
      <c r="G383" s="1" t="s">
        <v>25</v>
      </c>
      <c r="H383" s="1">
        <v>100.0</v>
      </c>
      <c r="I383" s="1">
        <v>0.0</v>
      </c>
      <c r="J383" s="1">
        <v>0.0</v>
      </c>
      <c r="K383" s="1">
        <v>100.0</v>
      </c>
      <c r="L383" s="1">
        <v>8.84</v>
      </c>
      <c r="M383" s="1">
        <v>884.0</v>
      </c>
      <c r="N383" s="1" t="s">
        <v>21</v>
      </c>
      <c r="O383" s="1">
        <v>0.0</v>
      </c>
      <c r="P383" s="1" t="s">
        <v>1134</v>
      </c>
      <c r="Q383" s="1" t="str">
        <f t="shared" si="1"/>
        <v>x</v>
      </c>
      <c r="R383" s="1" t="str">
        <f t="shared" si="2"/>
        <v>x</v>
      </c>
      <c r="S383" s="1" t="str">
        <f t="shared" si="3"/>
        <v>x</v>
      </c>
      <c r="T383" s="1" t="str">
        <f t="shared" si="4"/>
        <v>OK</v>
      </c>
    </row>
    <row r="384" ht="15.75" customHeight="1">
      <c r="A384" s="1" t="s">
        <v>1135</v>
      </c>
      <c r="B384" s="1">
        <v>1.0752839E7</v>
      </c>
      <c r="C384" s="1" t="s">
        <v>21</v>
      </c>
      <c r="D384" s="1" t="s">
        <v>22</v>
      </c>
      <c r="E384" s="1" t="s">
        <v>785</v>
      </c>
      <c r="F384" s="1" t="s">
        <v>1136</v>
      </c>
      <c r="G384" s="1" t="s">
        <v>25</v>
      </c>
      <c r="H384" s="1">
        <v>588.0</v>
      </c>
      <c r="I384" s="1">
        <v>588.0</v>
      </c>
      <c r="J384" s="1">
        <v>588.0</v>
      </c>
      <c r="K384" s="1">
        <v>1764.0</v>
      </c>
      <c r="L384" s="1">
        <v>0.5</v>
      </c>
      <c r="M384" s="1">
        <v>882.0</v>
      </c>
      <c r="N384" s="1" t="s">
        <v>21</v>
      </c>
      <c r="O384" s="1">
        <v>0.0</v>
      </c>
      <c r="P384" s="1" t="s">
        <v>1137</v>
      </c>
      <c r="Q384" s="1" t="str">
        <f t="shared" si="1"/>
        <v>x</v>
      </c>
      <c r="R384" s="1" t="str">
        <f t="shared" si="2"/>
        <v>x</v>
      </c>
      <c r="S384" s="1" t="str">
        <f t="shared" si="3"/>
        <v>x</v>
      </c>
      <c r="T384" s="1" t="str">
        <f t="shared" si="4"/>
        <v>OK</v>
      </c>
    </row>
    <row r="385" ht="15.75" customHeight="1">
      <c r="A385" s="1" t="s">
        <v>1138</v>
      </c>
      <c r="B385" s="1">
        <v>1.074829E7</v>
      </c>
      <c r="C385" s="1" t="s">
        <v>21</v>
      </c>
      <c r="D385" s="1" t="s">
        <v>22</v>
      </c>
      <c r="E385" s="1" t="s">
        <v>23</v>
      </c>
      <c r="F385" s="1" t="s">
        <v>1139</v>
      </c>
      <c r="G385" s="1" t="s">
        <v>25</v>
      </c>
      <c r="H385" s="1">
        <v>2.0</v>
      </c>
      <c r="I385" s="1">
        <v>0.0</v>
      </c>
      <c r="J385" s="1">
        <v>0.0</v>
      </c>
      <c r="K385" s="1">
        <v>2.0</v>
      </c>
      <c r="L385" s="1">
        <v>437.86</v>
      </c>
      <c r="M385" s="1">
        <v>875.72</v>
      </c>
      <c r="N385" s="1" t="s">
        <v>21</v>
      </c>
      <c r="O385" s="1">
        <v>0.0</v>
      </c>
      <c r="P385" s="1" t="s">
        <v>1140</v>
      </c>
      <c r="Q385" s="1" t="str">
        <f t="shared" si="1"/>
        <v>x</v>
      </c>
      <c r="R385" s="1" t="str">
        <f t="shared" si="2"/>
        <v>x</v>
      </c>
      <c r="S385" s="1" t="str">
        <f t="shared" si="3"/>
        <v>x</v>
      </c>
      <c r="T385" s="1" t="str">
        <f t="shared" si="4"/>
        <v>OK</v>
      </c>
    </row>
    <row r="386" ht="15.75" customHeight="1">
      <c r="A386" s="1" t="s">
        <v>1141</v>
      </c>
      <c r="B386" s="1">
        <v>1.0302032E7</v>
      </c>
      <c r="C386" s="1" t="s">
        <v>21</v>
      </c>
      <c r="D386" s="1" t="s">
        <v>22</v>
      </c>
      <c r="E386" s="1" t="s">
        <v>118</v>
      </c>
      <c r="F386" s="1" t="s">
        <v>806</v>
      </c>
      <c r="G386" s="1" t="s">
        <v>25</v>
      </c>
      <c r="H386" s="1">
        <v>6.0</v>
      </c>
      <c r="I386" s="1">
        <v>0.0</v>
      </c>
      <c r="J386" s="1">
        <v>0.0</v>
      </c>
      <c r="K386" s="1">
        <v>6.0</v>
      </c>
      <c r="L386" s="1">
        <v>141.79</v>
      </c>
      <c r="M386" s="1">
        <v>850.74</v>
      </c>
      <c r="N386" s="1" t="s">
        <v>21</v>
      </c>
      <c r="O386" s="1">
        <v>0.0</v>
      </c>
      <c r="P386" s="1" t="s">
        <v>1142</v>
      </c>
      <c r="Q386" s="1" t="str">
        <f t="shared" si="1"/>
        <v>x</v>
      </c>
      <c r="R386" s="1" t="str">
        <f t="shared" si="2"/>
        <v>x</v>
      </c>
      <c r="S386" s="1" t="str">
        <f t="shared" si="3"/>
        <v>x</v>
      </c>
      <c r="T386" s="1" t="str">
        <f t="shared" si="4"/>
        <v>OK</v>
      </c>
    </row>
    <row r="387" ht="15.75" customHeight="1">
      <c r="A387" s="1" t="s">
        <v>1143</v>
      </c>
      <c r="B387" s="1">
        <v>1.0755957E7</v>
      </c>
      <c r="C387" s="1" t="s">
        <v>21</v>
      </c>
      <c r="D387" s="1" t="s">
        <v>22</v>
      </c>
      <c r="E387" s="1" t="s">
        <v>118</v>
      </c>
      <c r="F387" s="1" t="s">
        <v>1144</v>
      </c>
      <c r="G387" s="1" t="s">
        <v>25</v>
      </c>
      <c r="H387" s="1">
        <v>3.0</v>
      </c>
      <c r="I387" s="1">
        <v>0.0</v>
      </c>
      <c r="J387" s="1">
        <v>3.0</v>
      </c>
      <c r="K387" s="1">
        <v>6.0</v>
      </c>
      <c r="L387" s="1">
        <v>140.17</v>
      </c>
      <c r="M387" s="1">
        <v>841.02</v>
      </c>
      <c r="N387" s="1" t="s">
        <v>21</v>
      </c>
      <c r="O387" s="1">
        <v>0.0</v>
      </c>
      <c r="P387" s="1" t="s">
        <v>1145</v>
      </c>
      <c r="Q387" s="1" t="str">
        <f t="shared" si="1"/>
        <v>x</v>
      </c>
      <c r="R387" s="1" t="str">
        <f t="shared" si="2"/>
        <v>x</v>
      </c>
      <c r="S387" s="1" t="str">
        <f t="shared" si="3"/>
        <v>x</v>
      </c>
      <c r="T387" s="1" t="str">
        <f t="shared" si="4"/>
        <v>OK</v>
      </c>
    </row>
    <row r="388" ht="15.75" customHeight="1">
      <c r="A388" s="1" t="s">
        <v>1146</v>
      </c>
      <c r="B388" s="1">
        <v>1.1439227E7</v>
      </c>
      <c r="C388" s="1">
        <v>1.0752512E7</v>
      </c>
      <c r="D388" s="1" t="s">
        <v>22</v>
      </c>
      <c r="E388" s="1" t="s">
        <v>23</v>
      </c>
      <c r="F388" s="1" t="s">
        <v>1147</v>
      </c>
      <c r="G388" s="1" t="s">
        <v>25</v>
      </c>
      <c r="H388" s="1">
        <v>2.0</v>
      </c>
      <c r="I388" s="1">
        <v>0.0</v>
      </c>
      <c r="J388" s="1">
        <v>0.0</v>
      </c>
      <c r="K388" s="1">
        <v>2.0</v>
      </c>
      <c r="L388" s="1">
        <v>416.02</v>
      </c>
      <c r="M388" s="1">
        <v>832.04</v>
      </c>
      <c r="N388" s="1" t="s">
        <v>21</v>
      </c>
      <c r="O388" s="1">
        <v>0.0</v>
      </c>
      <c r="P388" s="1" t="s">
        <v>1148</v>
      </c>
      <c r="Q388" s="1" t="str">
        <f t="shared" si="1"/>
        <v>x</v>
      </c>
      <c r="R388" s="1" t="str">
        <f t="shared" si="2"/>
        <v>x</v>
      </c>
      <c r="S388" s="1" t="str">
        <f t="shared" si="3"/>
        <v>x</v>
      </c>
      <c r="T388" s="1" t="str">
        <f t="shared" si="4"/>
        <v>OK</v>
      </c>
    </row>
    <row r="389" ht="15.75" customHeight="1">
      <c r="A389" s="1" t="s">
        <v>1149</v>
      </c>
      <c r="B389" s="1">
        <v>1.0536915E7</v>
      </c>
      <c r="C389" s="1" t="s">
        <v>21</v>
      </c>
      <c r="D389" s="1" t="s">
        <v>22</v>
      </c>
      <c r="E389" s="1" t="s">
        <v>23</v>
      </c>
      <c r="F389" s="1" t="s">
        <v>1150</v>
      </c>
      <c r="G389" s="1" t="s">
        <v>25</v>
      </c>
      <c r="H389" s="1">
        <v>1.0</v>
      </c>
      <c r="I389" s="1">
        <v>1.0</v>
      </c>
      <c r="J389" s="1">
        <v>0.0</v>
      </c>
      <c r="K389" s="1">
        <v>2.0</v>
      </c>
      <c r="L389" s="1">
        <v>412.67</v>
      </c>
      <c r="M389" s="1">
        <v>825.34</v>
      </c>
      <c r="N389" s="1" t="s">
        <v>21</v>
      </c>
      <c r="O389" s="1">
        <v>0.0</v>
      </c>
      <c r="P389" s="1" t="s">
        <v>1151</v>
      </c>
      <c r="Q389" s="1" t="str">
        <f t="shared" si="1"/>
        <v>x</v>
      </c>
      <c r="R389" s="1" t="str">
        <f t="shared" si="2"/>
        <v>x</v>
      </c>
      <c r="S389" s="1" t="str">
        <f t="shared" si="3"/>
        <v>x</v>
      </c>
      <c r="T389" s="1" t="str">
        <f t="shared" si="4"/>
        <v>OK</v>
      </c>
    </row>
    <row r="390" ht="15.75" customHeight="1">
      <c r="A390" s="1" t="s">
        <v>1152</v>
      </c>
      <c r="B390" s="1">
        <v>1.1424994E7</v>
      </c>
      <c r="C390" s="1" t="s">
        <v>21</v>
      </c>
      <c r="D390" s="1" t="s">
        <v>22</v>
      </c>
      <c r="E390" s="1" t="s">
        <v>231</v>
      </c>
      <c r="F390" s="1" t="s">
        <v>1153</v>
      </c>
      <c r="G390" s="1" t="s">
        <v>25</v>
      </c>
      <c r="H390" s="1">
        <v>86.0</v>
      </c>
      <c r="I390" s="1">
        <v>10.0</v>
      </c>
      <c r="J390" s="1">
        <v>16.0</v>
      </c>
      <c r="K390" s="1">
        <v>112.0</v>
      </c>
      <c r="L390" s="1">
        <v>7.31</v>
      </c>
      <c r="M390" s="1">
        <v>818.72</v>
      </c>
      <c r="N390" s="1" t="s">
        <v>21</v>
      </c>
      <c r="O390" s="1">
        <v>0.0</v>
      </c>
      <c r="P390" s="1" t="s">
        <v>1154</v>
      </c>
      <c r="Q390" s="1" t="str">
        <f t="shared" si="1"/>
        <v>x</v>
      </c>
      <c r="R390" s="1" t="str">
        <f t="shared" si="2"/>
        <v>x</v>
      </c>
      <c r="S390" s="1" t="str">
        <f t="shared" si="3"/>
        <v>x</v>
      </c>
      <c r="T390" s="1" t="str">
        <f t="shared" si="4"/>
        <v>OK</v>
      </c>
    </row>
    <row r="391" ht="15.75" customHeight="1">
      <c r="A391" s="1" t="s">
        <v>1155</v>
      </c>
      <c r="B391" s="1">
        <v>1.0568945E7</v>
      </c>
      <c r="C391" s="1" t="s">
        <v>21</v>
      </c>
      <c r="D391" s="1" t="s">
        <v>22</v>
      </c>
      <c r="E391" s="1" t="s">
        <v>164</v>
      </c>
      <c r="F391" s="1" t="s">
        <v>310</v>
      </c>
      <c r="G391" s="1" t="s">
        <v>25</v>
      </c>
      <c r="H391" s="1">
        <v>10.0</v>
      </c>
      <c r="I391" s="1">
        <v>0.0</v>
      </c>
      <c r="J391" s="1">
        <v>0.0</v>
      </c>
      <c r="K391" s="1">
        <v>10.0</v>
      </c>
      <c r="L391" s="1">
        <v>81.41</v>
      </c>
      <c r="M391" s="1">
        <v>814.1</v>
      </c>
      <c r="N391" s="1" t="s">
        <v>21</v>
      </c>
      <c r="O391" s="1">
        <v>0.0</v>
      </c>
      <c r="P391" s="1" t="s">
        <v>1156</v>
      </c>
      <c r="Q391" s="1" t="str">
        <f t="shared" si="1"/>
        <v>x</v>
      </c>
      <c r="R391" s="1" t="str">
        <f t="shared" si="2"/>
        <v>x</v>
      </c>
      <c r="S391" s="1" t="str">
        <f t="shared" si="3"/>
        <v>x</v>
      </c>
      <c r="T391" s="1" t="str">
        <f t="shared" si="4"/>
        <v>OK</v>
      </c>
    </row>
    <row r="392" ht="15.75" customHeight="1">
      <c r="A392" s="1" t="s">
        <v>1157</v>
      </c>
      <c r="B392" s="1">
        <v>1.0075741E7</v>
      </c>
      <c r="C392" s="1" t="s">
        <v>21</v>
      </c>
      <c r="D392" s="1" t="s">
        <v>22</v>
      </c>
      <c r="E392" s="1" t="s">
        <v>231</v>
      </c>
      <c r="F392" s="1" t="s">
        <v>1042</v>
      </c>
      <c r="G392" s="1" t="s">
        <v>25</v>
      </c>
      <c r="H392" s="1">
        <v>82.0</v>
      </c>
      <c r="I392" s="1">
        <v>0.0</v>
      </c>
      <c r="J392" s="1">
        <v>0.0</v>
      </c>
      <c r="K392" s="1">
        <v>82.0</v>
      </c>
      <c r="L392" s="1">
        <v>9.81</v>
      </c>
      <c r="M392" s="1">
        <v>804.42</v>
      </c>
      <c r="N392" s="1" t="s">
        <v>21</v>
      </c>
      <c r="O392" s="1">
        <v>0.0</v>
      </c>
      <c r="P392" s="1" t="s">
        <v>1158</v>
      </c>
      <c r="Q392" s="1" t="str">
        <f t="shared" si="1"/>
        <v>x</v>
      </c>
      <c r="R392" s="1" t="str">
        <f t="shared" si="2"/>
        <v>x</v>
      </c>
      <c r="S392" s="1" t="str">
        <f t="shared" si="3"/>
        <v>x</v>
      </c>
      <c r="T392" s="1" t="str">
        <f t="shared" si="4"/>
        <v>OK</v>
      </c>
    </row>
    <row r="393" ht="15.75" customHeight="1">
      <c r="A393" s="1" t="s">
        <v>1159</v>
      </c>
      <c r="B393" s="1">
        <v>1.0752724E7</v>
      </c>
      <c r="C393" s="1" t="s">
        <v>21</v>
      </c>
      <c r="D393" s="1" t="s">
        <v>22</v>
      </c>
      <c r="E393" s="1" t="s">
        <v>129</v>
      </c>
      <c r="F393" s="1" t="s">
        <v>1160</v>
      </c>
      <c r="G393" s="1" t="s">
        <v>25</v>
      </c>
      <c r="H393" s="1">
        <v>0.0</v>
      </c>
      <c r="I393" s="1">
        <v>12.0</v>
      </c>
      <c r="J393" s="1">
        <v>12.0</v>
      </c>
      <c r="K393" s="1">
        <v>24.0</v>
      </c>
      <c r="L393" s="1">
        <v>32.92</v>
      </c>
      <c r="M393" s="1">
        <v>790.08</v>
      </c>
      <c r="N393" s="1" t="s">
        <v>21</v>
      </c>
      <c r="O393" s="1">
        <v>0.0</v>
      </c>
      <c r="P393" s="1" t="s">
        <v>1161</v>
      </c>
      <c r="Q393" s="1" t="str">
        <f t="shared" si="1"/>
        <v>x</v>
      </c>
      <c r="R393" s="1" t="str">
        <f t="shared" si="2"/>
        <v>x</v>
      </c>
      <c r="S393" s="1" t="str">
        <f t="shared" si="3"/>
        <v>x</v>
      </c>
      <c r="T393" s="1" t="str">
        <f t="shared" si="4"/>
        <v>OK</v>
      </c>
    </row>
    <row r="394" ht="15.75" customHeight="1">
      <c r="A394" s="1" t="s">
        <v>1162</v>
      </c>
      <c r="B394" s="1">
        <v>1.030203E7</v>
      </c>
      <c r="C394" s="1" t="s">
        <v>21</v>
      </c>
      <c r="D394" s="1" t="s">
        <v>22</v>
      </c>
      <c r="E394" s="1" t="s">
        <v>118</v>
      </c>
      <c r="F394" s="1" t="s">
        <v>585</v>
      </c>
      <c r="G394" s="1" t="s">
        <v>25</v>
      </c>
      <c r="H394" s="1">
        <v>6.0</v>
      </c>
      <c r="I394" s="1">
        <v>0.0</v>
      </c>
      <c r="J394" s="1">
        <v>0.0</v>
      </c>
      <c r="K394" s="1">
        <v>6.0</v>
      </c>
      <c r="L394" s="1">
        <v>131.21</v>
      </c>
      <c r="M394" s="1">
        <v>787.26</v>
      </c>
      <c r="N394" s="1" t="s">
        <v>1163</v>
      </c>
      <c r="O394" s="1" t="s">
        <v>16</v>
      </c>
      <c r="P394" s="1" t="s">
        <v>1164</v>
      </c>
      <c r="Q394" s="1" t="str">
        <f t="shared" si="1"/>
        <v>x</v>
      </c>
      <c r="R394" s="1" t="str">
        <f t="shared" si="2"/>
        <v>x</v>
      </c>
      <c r="S394" s="1" t="str">
        <f t="shared" si="3"/>
        <v>x</v>
      </c>
      <c r="T394" s="1" t="str">
        <f t="shared" si="4"/>
        <v>OK</v>
      </c>
    </row>
    <row r="395" ht="15.75" customHeight="1">
      <c r="A395" s="1" t="s">
        <v>1165</v>
      </c>
      <c r="B395" s="1">
        <v>1.1125072E7</v>
      </c>
      <c r="C395" s="1" t="s">
        <v>21</v>
      </c>
      <c r="D395" s="1" t="s">
        <v>22</v>
      </c>
      <c r="E395" s="1" t="s">
        <v>785</v>
      </c>
      <c r="F395" s="1" t="s">
        <v>1166</v>
      </c>
      <c r="G395" s="1" t="s">
        <v>25</v>
      </c>
      <c r="H395" s="1">
        <v>380.0</v>
      </c>
      <c r="I395" s="1">
        <v>1008.0</v>
      </c>
      <c r="J395" s="1">
        <v>624.0</v>
      </c>
      <c r="K395" s="1">
        <v>2012.0</v>
      </c>
      <c r="L395" s="1">
        <v>0.39</v>
      </c>
      <c r="M395" s="1">
        <v>784.68</v>
      </c>
      <c r="N395" s="1" t="s">
        <v>21</v>
      </c>
      <c r="O395" s="1">
        <v>0.0</v>
      </c>
      <c r="P395" s="1" t="s">
        <v>1167</v>
      </c>
      <c r="Q395" s="1" t="str">
        <f t="shared" si="1"/>
        <v>x</v>
      </c>
      <c r="R395" s="1" t="str">
        <f t="shared" si="2"/>
        <v>x</v>
      </c>
      <c r="S395" s="1" t="str">
        <f t="shared" si="3"/>
        <v>x</v>
      </c>
      <c r="T395" s="1" t="str">
        <f t="shared" si="4"/>
        <v>OK</v>
      </c>
    </row>
    <row r="396" ht="15.75" customHeight="1">
      <c r="A396" s="1" t="s">
        <v>1168</v>
      </c>
      <c r="B396" s="1">
        <v>1.000008E7</v>
      </c>
      <c r="C396" s="1" t="s">
        <v>21</v>
      </c>
      <c r="D396" s="1" t="s">
        <v>22</v>
      </c>
      <c r="E396" s="1" t="s">
        <v>785</v>
      </c>
      <c r="F396" s="1" t="s">
        <v>1169</v>
      </c>
      <c r="G396" s="1" t="s">
        <v>25</v>
      </c>
      <c r="H396" s="1">
        <v>630.0</v>
      </c>
      <c r="I396" s="1">
        <v>1220.0</v>
      </c>
      <c r="J396" s="1">
        <v>130.0</v>
      </c>
      <c r="K396" s="1">
        <v>1980.0</v>
      </c>
      <c r="L396" s="1">
        <v>0.39</v>
      </c>
      <c r="M396" s="1">
        <v>772.2</v>
      </c>
      <c r="N396" s="1" t="s">
        <v>21</v>
      </c>
      <c r="O396" s="1">
        <v>0.0</v>
      </c>
      <c r="P396" s="1" t="s">
        <v>1170</v>
      </c>
      <c r="Q396" s="1" t="str">
        <f t="shared" si="1"/>
        <v>x</v>
      </c>
      <c r="R396" s="1" t="str">
        <f t="shared" si="2"/>
        <v>x</v>
      </c>
      <c r="S396" s="1" t="str">
        <f t="shared" si="3"/>
        <v>x</v>
      </c>
      <c r="T396" s="1" t="str">
        <f t="shared" si="4"/>
        <v>OK</v>
      </c>
    </row>
    <row r="397" ht="15.75" customHeight="1">
      <c r="A397" s="1" t="s">
        <v>1171</v>
      </c>
      <c r="B397" s="1">
        <v>1.0919457E7</v>
      </c>
      <c r="C397" s="1" t="s">
        <v>21</v>
      </c>
      <c r="D397" s="1" t="s">
        <v>22</v>
      </c>
      <c r="E397" s="1" t="s">
        <v>23</v>
      </c>
      <c r="F397" s="1" t="s">
        <v>795</v>
      </c>
      <c r="G397" s="1" t="s">
        <v>25</v>
      </c>
      <c r="H397" s="1">
        <v>2.0</v>
      </c>
      <c r="I397" s="1">
        <v>0.0</v>
      </c>
      <c r="J397" s="1">
        <v>0.0</v>
      </c>
      <c r="K397" s="1">
        <v>2.0</v>
      </c>
      <c r="L397" s="1">
        <v>384.33</v>
      </c>
      <c r="M397" s="1">
        <v>768.66</v>
      </c>
      <c r="N397" s="1" t="s">
        <v>21</v>
      </c>
      <c r="O397" s="1">
        <v>0.0</v>
      </c>
      <c r="P397" s="1" t="s">
        <v>1172</v>
      </c>
      <c r="Q397" s="1" t="str">
        <f t="shared" si="1"/>
        <v>x</v>
      </c>
      <c r="R397" s="1" t="str">
        <f t="shared" si="2"/>
        <v>x</v>
      </c>
      <c r="S397" s="1" t="str">
        <f t="shared" si="3"/>
        <v>x</v>
      </c>
      <c r="T397" s="1" t="str">
        <f t="shared" si="4"/>
        <v>OK</v>
      </c>
    </row>
    <row r="398" ht="15.75" customHeight="1">
      <c r="A398" s="1" t="s">
        <v>1173</v>
      </c>
      <c r="B398" s="1">
        <v>1.0542461E7</v>
      </c>
      <c r="C398" s="1" t="s">
        <v>21</v>
      </c>
      <c r="D398" s="1" t="s">
        <v>22</v>
      </c>
      <c r="E398" s="1" t="s">
        <v>140</v>
      </c>
      <c r="F398" s="1" t="s">
        <v>414</v>
      </c>
      <c r="G398" s="1" t="s">
        <v>25</v>
      </c>
      <c r="H398" s="1">
        <v>15.0</v>
      </c>
      <c r="I398" s="1">
        <v>0.0</v>
      </c>
      <c r="J398" s="1">
        <v>0.0</v>
      </c>
      <c r="K398" s="1">
        <v>15.0</v>
      </c>
      <c r="L398" s="1">
        <v>50.42</v>
      </c>
      <c r="M398" s="1">
        <v>756.3</v>
      </c>
      <c r="N398" s="1" t="s">
        <v>21</v>
      </c>
      <c r="O398" s="1">
        <v>0.0</v>
      </c>
      <c r="P398" s="1" t="s">
        <v>1174</v>
      </c>
      <c r="Q398" s="1" t="str">
        <f t="shared" si="1"/>
        <v>x</v>
      </c>
      <c r="R398" s="1" t="str">
        <f t="shared" si="2"/>
        <v>x</v>
      </c>
      <c r="S398" s="1" t="str">
        <f t="shared" si="3"/>
        <v>x</v>
      </c>
      <c r="T398" s="1" t="str">
        <f t="shared" si="4"/>
        <v>OK</v>
      </c>
    </row>
    <row r="399" ht="15.75" customHeight="1">
      <c r="A399" s="1" t="s">
        <v>1175</v>
      </c>
      <c r="B399" s="1">
        <v>1.0755953E7</v>
      </c>
      <c r="C399" s="1" t="s">
        <v>21</v>
      </c>
      <c r="D399" s="1" t="s">
        <v>22</v>
      </c>
      <c r="E399" s="1" t="s">
        <v>56</v>
      </c>
      <c r="F399" s="1" t="s">
        <v>1176</v>
      </c>
      <c r="G399" s="1" t="s">
        <v>25</v>
      </c>
      <c r="H399" s="1">
        <v>3.0</v>
      </c>
      <c r="I399" s="1">
        <v>0.0</v>
      </c>
      <c r="J399" s="1">
        <v>3.0</v>
      </c>
      <c r="K399" s="1">
        <v>6.0</v>
      </c>
      <c r="L399" s="1">
        <v>125.37</v>
      </c>
      <c r="M399" s="1">
        <v>752.22</v>
      </c>
      <c r="N399" s="1" t="s">
        <v>21</v>
      </c>
      <c r="O399" s="1">
        <v>0.0</v>
      </c>
      <c r="P399" s="1" t="s">
        <v>1177</v>
      </c>
      <c r="Q399" s="1" t="str">
        <f t="shared" si="1"/>
        <v>x</v>
      </c>
      <c r="R399" s="1" t="str">
        <f t="shared" si="2"/>
        <v>x</v>
      </c>
      <c r="S399" s="1" t="str">
        <f t="shared" si="3"/>
        <v>x</v>
      </c>
      <c r="T399" s="1" t="str">
        <f t="shared" si="4"/>
        <v>OK</v>
      </c>
    </row>
    <row r="400" ht="15.75" customHeight="1">
      <c r="A400" s="1" t="s">
        <v>1178</v>
      </c>
      <c r="B400" s="1">
        <v>1.0167525E7</v>
      </c>
      <c r="C400" s="1" t="s">
        <v>21</v>
      </c>
      <c r="D400" s="1" t="s">
        <v>22</v>
      </c>
      <c r="E400" s="1" t="s">
        <v>231</v>
      </c>
      <c r="F400" s="1" t="s">
        <v>1179</v>
      </c>
      <c r="G400" s="1" t="s">
        <v>25</v>
      </c>
      <c r="H400" s="1">
        <v>82.0</v>
      </c>
      <c r="I400" s="1">
        <v>0.0</v>
      </c>
      <c r="J400" s="1">
        <v>0.0</v>
      </c>
      <c r="K400" s="1">
        <v>82.0</v>
      </c>
      <c r="L400" s="1">
        <v>9.15</v>
      </c>
      <c r="M400" s="1">
        <v>750.3</v>
      </c>
      <c r="N400" s="1" t="s">
        <v>21</v>
      </c>
      <c r="O400" s="1">
        <v>0.0</v>
      </c>
      <c r="P400" s="1" t="s">
        <v>1180</v>
      </c>
      <c r="Q400" s="1" t="str">
        <f t="shared" si="1"/>
        <v>x</v>
      </c>
      <c r="R400" s="1" t="str">
        <f t="shared" si="2"/>
        <v>x</v>
      </c>
      <c r="S400" s="1" t="str">
        <f t="shared" si="3"/>
        <v>x</v>
      </c>
      <c r="T400" s="1" t="str">
        <f t="shared" si="4"/>
        <v>OK</v>
      </c>
    </row>
    <row r="401" ht="15.75" customHeight="1">
      <c r="A401" s="1" t="s">
        <v>1181</v>
      </c>
      <c r="B401" s="1">
        <v>1.0012363E7</v>
      </c>
      <c r="C401" s="1" t="s">
        <v>21</v>
      </c>
      <c r="D401" s="1" t="s">
        <v>22</v>
      </c>
      <c r="E401" s="1" t="s">
        <v>1182</v>
      </c>
      <c r="F401" s="1" t="s">
        <v>1183</v>
      </c>
      <c r="G401" s="1" t="s">
        <v>25</v>
      </c>
      <c r="H401" s="1">
        <v>4.0</v>
      </c>
      <c r="I401" s="1">
        <v>0.0</v>
      </c>
      <c r="J401" s="1">
        <v>4.0</v>
      </c>
      <c r="K401" s="1">
        <v>8.0</v>
      </c>
      <c r="L401" s="1">
        <v>93.56</v>
      </c>
      <c r="M401" s="1">
        <v>748.48</v>
      </c>
      <c r="N401" s="1" t="s">
        <v>21</v>
      </c>
      <c r="O401" s="1">
        <v>0.0</v>
      </c>
      <c r="P401" s="1" t="s">
        <v>1184</v>
      </c>
      <c r="Q401" s="1" t="str">
        <f t="shared" si="1"/>
        <v>x</v>
      </c>
      <c r="R401" s="1" t="str">
        <f t="shared" si="2"/>
        <v>x</v>
      </c>
      <c r="S401" s="1" t="str">
        <f t="shared" si="3"/>
        <v>x</v>
      </c>
      <c r="T401" s="1" t="str">
        <f t="shared" si="4"/>
        <v>OK</v>
      </c>
    </row>
    <row r="402" ht="15.75" customHeight="1">
      <c r="A402" s="1" t="s">
        <v>1185</v>
      </c>
      <c r="B402" s="1">
        <v>1.0531215E7</v>
      </c>
      <c r="C402" s="1" t="s">
        <v>21</v>
      </c>
      <c r="D402" s="1" t="s">
        <v>22</v>
      </c>
      <c r="E402" s="1" t="s">
        <v>633</v>
      </c>
      <c r="F402" s="1" t="s">
        <v>1186</v>
      </c>
      <c r="G402" s="1" t="s">
        <v>25</v>
      </c>
      <c r="H402" s="1">
        <v>87.0</v>
      </c>
      <c r="I402" s="1">
        <v>87.0</v>
      </c>
      <c r="J402" s="1">
        <v>87.0</v>
      </c>
      <c r="K402" s="1">
        <v>261.0</v>
      </c>
      <c r="L402" s="1">
        <v>2.85</v>
      </c>
      <c r="M402" s="1">
        <v>743.85</v>
      </c>
      <c r="N402" s="1" t="s">
        <v>21</v>
      </c>
      <c r="O402" s="1">
        <v>0.0</v>
      </c>
      <c r="P402" s="1" t="s">
        <v>1187</v>
      </c>
      <c r="Q402" s="1" t="str">
        <f t="shared" si="1"/>
        <v>x</v>
      </c>
      <c r="R402" s="1" t="str">
        <f t="shared" si="2"/>
        <v>x</v>
      </c>
      <c r="S402" s="1" t="str">
        <f t="shared" si="3"/>
        <v>x</v>
      </c>
      <c r="T402" s="1" t="str">
        <f t="shared" si="4"/>
        <v>OK</v>
      </c>
    </row>
    <row r="403" ht="15.75" customHeight="1">
      <c r="A403" s="1" t="s">
        <v>1188</v>
      </c>
      <c r="B403" s="1">
        <v>1.089407E7</v>
      </c>
      <c r="C403" s="1" t="s">
        <v>21</v>
      </c>
      <c r="D403" s="1" t="s">
        <v>22</v>
      </c>
      <c r="E403" s="1" t="s">
        <v>129</v>
      </c>
      <c r="F403" s="1" t="s">
        <v>1189</v>
      </c>
      <c r="G403" s="1" t="s">
        <v>25</v>
      </c>
      <c r="H403" s="1">
        <v>22.0</v>
      </c>
      <c r="I403" s="1">
        <v>0.0</v>
      </c>
      <c r="J403" s="1">
        <v>7.0</v>
      </c>
      <c r="K403" s="1">
        <v>29.0</v>
      </c>
      <c r="L403" s="1">
        <v>25.3</v>
      </c>
      <c r="M403" s="1">
        <v>733.7</v>
      </c>
      <c r="N403" s="1" t="s">
        <v>21</v>
      </c>
      <c r="O403" s="1">
        <v>0.0</v>
      </c>
      <c r="P403" s="1" t="s">
        <v>1190</v>
      </c>
      <c r="Q403" s="1" t="str">
        <f t="shared" si="1"/>
        <v>x</v>
      </c>
      <c r="R403" s="1" t="str">
        <f t="shared" si="2"/>
        <v>x</v>
      </c>
      <c r="S403" s="1" t="str">
        <f t="shared" si="3"/>
        <v>x</v>
      </c>
      <c r="T403" s="1" t="str">
        <f t="shared" si="4"/>
        <v>OK</v>
      </c>
    </row>
    <row r="404" ht="15.75" customHeight="1">
      <c r="A404" s="1" t="s">
        <v>1191</v>
      </c>
      <c r="B404" s="1">
        <v>1.0302028E7</v>
      </c>
      <c r="C404" s="1" t="s">
        <v>21</v>
      </c>
      <c r="D404" s="1" t="s">
        <v>22</v>
      </c>
      <c r="E404" s="1" t="s">
        <v>56</v>
      </c>
      <c r="F404" s="1" t="s">
        <v>891</v>
      </c>
      <c r="G404" s="1" t="s">
        <v>25</v>
      </c>
      <c r="H404" s="1">
        <v>6.0</v>
      </c>
      <c r="I404" s="1">
        <v>0.0</v>
      </c>
      <c r="J404" s="1">
        <v>0.0</v>
      </c>
      <c r="K404" s="1">
        <v>6.0</v>
      </c>
      <c r="L404" s="1">
        <v>120.56</v>
      </c>
      <c r="M404" s="1">
        <v>723.36</v>
      </c>
      <c r="N404" s="1" t="s">
        <v>21</v>
      </c>
      <c r="O404" s="1">
        <v>0.0</v>
      </c>
      <c r="P404" s="1" t="s">
        <v>1192</v>
      </c>
      <c r="Q404" s="1" t="str">
        <f t="shared" si="1"/>
        <v>x</v>
      </c>
      <c r="R404" s="1" t="str">
        <f t="shared" si="2"/>
        <v>x</v>
      </c>
      <c r="S404" s="1" t="str">
        <f t="shared" si="3"/>
        <v>x</v>
      </c>
      <c r="T404" s="1" t="str">
        <f t="shared" si="4"/>
        <v>OK</v>
      </c>
    </row>
    <row r="405" ht="15.75" customHeight="1">
      <c r="A405" s="1" t="s">
        <v>1193</v>
      </c>
      <c r="B405" s="1">
        <v>1.0302028E7</v>
      </c>
      <c r="C405" s="1" t="s">
        <v>21</v>
      </c>
      <c r="D405" s="1" t="s">
        <v>22</v>
      </c>
      <c r="E405" s="1" t="s">
        <v>56</v>
      </c>
      <c r="F405" s="1" t="s">
        <v>891</v>
      </c>
      <c r="G405" s="1" t="s">
        <v>25</v>
      </c>
      <c r="H405" s="1">
        <v>6.0</v>
      </c>
      <c r="I405" s="1">
        <v>0.0</v>
      </c>
      <c r="J405" s="1">
        <v>0.0</v>
      </c>
      <c r="K405" s="1">
        <v>6.0</v>
      </c>
      <c r="L405" s="1">
        <v>120.56</v>
      </c>
      <c r="M405" s="1">
        <v>723.36</v>
      </c>
      <c r="N405" s="1" t="s">
        <v>21</v>
      </c>
      <c r="O405" s="1">
        <v>0.0</v>
      </c>
      <c r="P405" s="1" t="s">
        <v>1192</v>
      </c>
      <c r="Q405" s="1" t="str">
        <f t="shared" si="1"/>
        <v>x</v>
      </c>
      <c r="R405" s="1" t="str">
        <f t="shared" si="2"/>
        <v>x</v>
      </c>
      <c r="S405" s="1" t="str">
        <f t="shared" si="3"/>
        <v>x</v>
      </c>
      <c r="T405" s="1" t="str">
        <f t="shared" si="4"/>
        <v>OK</v>
      </c>
    </row>
    <row r="406" ht="15.75" customHeight="1">
      <c r="A406" s="1" t="s">
        <v>1194</v>
      </c>
      <c r="B406" s="1">
        <v>1.0420184E7</v>
      </c>
      <c r="C406" s="1" t="s">
        <v>21</v>
      </c>
      <c r="D406" s="1" t="s">
        <v>22</v>
      </c>
      <c r="E406" s="1" t="s">
        <v>231</v>
      </c>
      <c r="F406" s="1" t="s">
        <v>1195</v>
      </c>
      <c r="G406" s="1" t="s">
        <v>25</v>
      </c>
      <c r="H406" s="1">
        <v>62.0</v>
      </c>
      <c r="I406" s="1">
        <v>0.0</v>
      </c>
      <c r="J406" s="1">
        <v>26.0</v>
      </c>
      <c r="K406" s="1">
        <v>88.0</v>
      </c>
      <c r="L406" s="1">
        <v>7.92</v>
      </c>
      <c r="M406" s="1">
        <v>696.96</v>
      </c>
      <c r="N406" s="1" t="s">
        <v>21</v>
      </c>
      <c r="O406" s="1">
        <v>0.0</v>
      </c>
      <c r="P406" s="1" t="s">
        <v>1196</v>
      </c>
      <c r="Q406" s="1" t="str">
        <f t="shared" si="1"/>
        <v>x</v>
      </c>
      <c r="R406" s="1" t="str">
        <f t="shared" si="2"/>
        <v>x</v>
      </c>
      <c r="S406" s="1" t="str">
        <f t="shared" si="3"/>
        <v>x</v>
      </c>
      <c r="T406" s="1" t="str">
        <f t="shared" si="4"/>
        <v>OK</v>
      </c>
    </row>
    <row r="407" ht="15.75" customHeight="1">
      <c r="A407" s="1" t="s">
        <v>1197</v>
      </c>
      <c r="B407" s="1">
        <v>1.0108623E7</v>
      </c>
      <c r="C407" s="1" t="s">
        <v>21</v>
      </c>
      <c r="D407" s="1" t="s">
        <v>22</v>
      </c>
      <c r="E407" s="1" t="s">
        <v>23</v>
      </c>
      <c r="F407" s="1" t="s">
        <v>1198</v>
      </c>
      <c r="G407" s="1" t="s">
        <v>25</v>
      </c>
      <c r="H407" s="1">
        <v>1.0</v>
      </c>
      <c r="I407" s="1">
        <v>0.0</v>
      </c>
      <c r="J407" s="1">
        <v>0.0</v>
      </c>
      <c r="K407" s="1">
        <v>1.0</v>
      </c>
      <c r="L407" s="1">
        <v>692.48</v>
      </c>
      <c r="M407" s="1">
        <v>692.48</v>
      </c>
      <c r="N407" s="1" t="s">
        <v>21</v>
      </c>
      <c r="O407" s="1">
        <v>0.0</v>
      </c>
      <c r="P407" s="1" t="s">
        <v>1199</v>
      </c>
      <c r="Q407" s="1" t="str">
        <f t="shared" si="1"/>
        <v>x</v>
      </c>
      <c r="R407" s="1" t="str">
        <f t="shared" si="2"/>
        <v>x</v>
      </c>
      <c r="S407" s="1" t="str">
        <f t="shared" si="3"/>
        <v>x</v>
      </c>
      <c r="T407" s="1" t="str">
        <f t="shared" si="4"/>
        <v>OK</v>
      </c>
    </row>
    <row r="408" ht="15.75" customHeight="1">
      <c r="A408" s="1" t="s">
        <v>1200</v>
      </c>
      <c r="B408" s="1">
        <v>1.0966111E7</v>
      </c>
      <c r="C408" s="1" t="s">
        <v>21</v>
      </c>
      <c r="D408" s="1" t="s">
        <v>22</v>
      </c>
      <c r="E408" s="1" t="s">
        <v>150</v>
      </c>
      <c r="F408" s="1" t="s">
        <v>1201</v>
      </c>
      <c r="G408" s="1" t="s">
        <v>25</v>
      </c>
      <c r="H408" s="1">
        <v>7.0</v>
      </c>
      <c r="I408" s="1">
        <v>0.0</v>
      </c>
      <c r="J408" s="1">
        <v>0.0</v>
      </c>
      <c r="K408" s="1">
        <v>7.0</v>
      </c>
      <c r="L408" s="1">
        <v>95.87</v>
      </c>
      <c r="M408" s="1">
        <v>671.09</v>
      </c>
      <c r="N408" s="1" t="s">
        <v>21</v>
      </c>
      <c r="O408" s="1">
        <v>0.0</v>
      </c>
      <c r="P408" s="1" t="s">
        <v>1202</v>
      </c>
      <c r="Q408" s="1" t="str">
        <f t="shared" si="1"/>
        <v>x</v>
      </c>
      <c r="R408" s="1" t="str">
        <f t="shared" si="2"/>
        <v>x</v>
      </c>
      <c r="S408" s="1" t="str">
        <f t="shared" si="3"/>
        <v>x</v>
      </c>
      <c r="T408" s="1" t="str">
        <f t="shared" si="4"/>
        <v>OK</v>
      </c>
    </row>
    <row r="409" ht="15.75" customHeight="1">
      <c r="A409" s="1" t="s">
        <v>1203</v>
      </c>
      <c r="B409" s="1">
        <v>1.1340463E7</v>
      </c>
      <c r="C409" s="1" t="s">
        <v>21</v>
      </c>
      <c r="D409" s="1" t="s">
        <v>22</v>
      </c>
      <c r="E409" s="1" t="s">
        <v>23</v>
      </c>
      <c r="F409" s="1" t="s">
        <v>1204</v>
      </c>
      <c r="G409" s="1" t="s">
        <v>25</v>
      </c>
      <c r="H409" s="1">
        <v>2.0</v>
      </c>
      <c r="I409" s="1">
        <v>0.0</v>
      </c>
      <c r="J409" s="1">
        <v>0.0</v>
      </c>
      <c r="K409" s="1">
        <v>2.0</v>
      </c>
      <c r="L409" s="1">
        <v>335.34</v>
      </c>
      <c r="M409" s="1">
        <v>670.68</v>
      </c>
      <c r="N409" s="1" t="s">
        <v>21</v>
      </c>
      <c r="O409" s="1">
        <v>0.0</v>
      </c>
      <c r="P409" s="1" t="s">
        <v>1205</v>
      </c>
      <c r="Q409" s="1" t="str">
        <f t="shared" si="1"/>
        <v>x</v>
      </c>
      <c r="R409" s="1" t="str">
        <f t="shared" si="2"/>
        <v>x</v>
      </c>
      <c r="S409" s="1" t="str">
        <f t="shared" si="3"/>
        <v>x</v>
      </c>
      <c r="T409" s="1" t="str">
        <f t="shared" si="4"/>
        <v>OK</v>
      </c>
    </row>
    <row r="410" ht="15.75" customHeight="1">
      <c r="A410" s="1" t="s">
        <v>1206</v>
      </c>
      <c r="B410" s="1">
        <v>1.0302026E7</v>
      </c>
      <c r="C410" s="1" t="s">
        <v>21</v>
      </c>
      <c r="D410" s="1" t="s">
        <v>22</v>
      </c>
      <c r="E410" s="1" t="s">
        <v>56</v>
      </c>
      <c r="F410" s="1" t="s">
        <v>918</v>
      </c>
      <c r="G410" s="1" t="s">
        <v>25</v>
      </c>
      <c r="H410" s="1">
        <v>6.0</v>
      </c>
      <c r="I410" s="1">
        <v>0.0</v>
      </c>
      <c r="J410" s="1">
        <v>0.0</v>
      </c>
      <c r="K410" s="1">
        <v>6.0</v>
      </c>
      <c r="L410" s="1">
        <v>111.25</v>
      </c>
      <c r="M410" s="1">
        <v>667.5</v>
      </c>
      <c r="N410" s="1" t="s">
        <v>21</v>
      </c>
      <c r="O410" s="1" t="s">
        <v>16</v>
      </c>
      <c r="P410" s="1" t="s">
        <v>1207</v>
      </c>
      <c r="Q410" s="1" t="str">
        <f t="shared" si="1"/>
        <v>x</v>
      </c>
      <c r="R410" s="1" t="str">
        <f t="shared" si="2"/>
        <v>x</v>
      </c>
      <c r="S410" s="1" t="str">
        <f t="shared" si="3"/>
        <v>x</v>
      </c>
      <c r="T410" s="1" t="str">
        <f t="shared" si="4"/>
        <v>OK</v>
      </c>
    </row>
    <row r="411" ht="15.75" customHeight="1">
      <c r="A411" s="1" t="s">
        <v>1208</v>
      </c>
      <c r="B411" s="1">
        <v>1.1040092E7</v>
      </c>
      <c r="C411" s="1" t="s">
        <v>21</v>
      </c>
      <c r="D411" s="1" t="s">
        <v>22</v>
      </c>
      <c r="E411" s="1" t="s">
        <v>36</v>
      </c>
      <c r="F411" s="1" t="s">
        <v>1209</v>
      </c>
      <c r="G411" s="1" t="s">
        <v>25</v>
      </c>
      <c r="H411" s="1">
        <v>6.0</v>
      </c>
      <c r="I411" s="1">
        <v>0.0</v>
      </c>
      <c r="J411" s="1">
        <v>4.0</v>
      </c>
      <c r="K411" s="1">
        <v>10.0</v>
      </c>
      <c r="L411" s="1">
        <v>66.72</v>
      </c>
      <c r="M411" s="1">
        <v>667.2</v>
      </c>
      <c r="N411" s="1" t="s">
        <v>21</v>
      </c>
      <c r="O411" s="1">
        <v>0.0</v>
      </c>
      <c r="P411" s="1" t="s">
        <v>1210</v>
      </c>
      <c r="Q411" s="1" t="str">
        <f t="shared" si="1"/>
        <v>x</v>
      </c>
      <c r="R411" s="1" t="str">
        <f t="shared" si="2"/>
        <v>x</v>
      </c>
      <c r="S411" s="1" t="str">
        <f t="shared" si="3"/>
        <v>x</v>
      </c>
      <c r="T411" s="1" t="str">
        <f t="shared" si="4"/>
        <v>OK</v>
      </c>
    </row>
    <row r="412" ht="15.75" customHeight="1">
      <c r="A412" s="1" t="s">
        <v>1211</v>
      </c>
      <c r="B412" s="1">
        <v>1.0096799E7</v>
      </c>
      <c r="C412" s="1" t="s">
        <v>21</v>
      </c>
      <c r="D412" s="1" t="s">
        <v>22</v>
      </c>
      <c r="E412" s="1" t="s">
        <v>195</v>
      </c>
      <c r="F412" s="1" t="s">
        <v>1212</v>
      </c>
      <c r="G412" s="1" t="s">
        <v>25</v>
      </c>
      <c r="H412" s="1">
        <v>60.0</v>
      </c>
      <c r="I412" s="1">
        <v>0.0</v>
      </c>
      <c r="J412" s="1">
        <v>0.0</v>
      </c>
      <c r="K412" s="1">
        <v>60.0</v>
      </c>
      <c r="L412" s="1">
        <v>11.04</v>
      </c>
      <c r="M412" s="1">
        <v>662.4</v>
      </c>
      <c r="N412" s="1" t="s">
        <v>21</v>
      </c>
      <c r="O412" s="1">
        <v>0.0</v>
      </c>
      <c r="P412" s="1" t="s">
        <v>1213</v>
      </c>
      <c r="Q412" s="1" t="str">
        <f t="shared" si="1"/>
        <v>x</v>
      </c>
      <c r="R412" s="1" t="str">
        <f t="shared" si="2"/>
        <v>x</v>
      </c>
      <c r="S412" s="1" t="str">
        <f t="shared" si="3"/>
        <v>x</v>
      </c>
      <c r="T412" s="1" t="str">
        <f t="shared" si="4"/>
        <v>OK</v>
      </c>
    </row>
    <row r="413" ht="15.75" customHeight="1">
      <c r="A413" s="1" t="s">
        <v>1214</v>
      </c>
      <c r="B413" s="1">
        <v>1.0763588E7</v>
      </c>
      <c r="C413" s="1" t="s">
        <v>21</v>
      </c>
      <c r="D413" s="1" t="s">
        <v>22</v>
      </c>
      <c r="E413" s="1" t="s">
        <v>1215</v>
      </c>
      <c r="F413" s="1" t="s">
        <v>1216</v>
      </c>
      <c r="G413" s="1" t="s">
        <v>25</v>
      </c>
      <c r="H413" s="1">
        <v>3.0</v>
      </c>
      <c r="I413" s="1">
        <v>0.0</v>
      </c>
      <c r="J413" s="1">
        <v>3.0</v>
      </c>
      <c r="K413" s="1">
        <v>6.0</v>
      </c>
      <c r="L413" s="1">
        <v>109.72</v>
      </c>
      <c r="M413" s="1">
        <v>658.32</v>
      </c>
      <c r="N413" s="1" t="s">
        <v>21</v>
      </c>
      <c r="O413" s="1">
        <v>0.0</v>
      </c>
      <c r="P413" s="1" t="s">
        <v>1217</v>
      </c>
      <c r="Q413" s="1" t="str">
        <f t="shared" si="1"/>
        <v>x</v>
      </c>
      <c r="R413" s="1" t="str">
        <f t="shared" si="2"/>
        <v>x</v>
      </c>
      <c r="S413" s="1" t="str">
        <f t="shared" si="3"/>
        <v>x</v>
      </c>
      <c r="T413" s="1" t="str">
        <f t="shared" si="4"/>
        <v>OK</v>
      </c>
    </row>
    <row r="414" ht="15.75" customHeight="1">
      <c r="A414" s="1" t="s">
        <v>1218</v>
      </c>
      <c r="B414" s="1">
        <v>1.0000083E7</v>
      </c>
      <c r="C414" s="1" t="s">
        <v>21</v>
      </c>
      <c r="D414" s="1" t="s">
        <v>22</v>
      </c>
      <c r="E414" s="1" t="s">
        <v>544</v>
      </c>
      <c r="F414" s="1" t="s">
        <v>1219</v>
      </c>
      <c r="G414" s="1" t="s">
        <v>25</v>
      </c>
      <c r="H414" s="1">
        <v>8.0</v>
      </c>
      <c r="I414" s="1">
        <v>0.0</v>
      </c>
      <c r="J414" s="1">
        <v>322.0</v>
      </c>
      <c r="K414" s="1">
        <v>330.0</v>
      </c>
      <c r="L414" s="1">
        <v>1.89</v>
      </c>
      <c r="M414" s="1">
        <v>623.7</v>
      </c>
      <c r="N414" s="1" t="s">
        <v>21</v>
      </c>
      <c r="O414" s="1">
        <v>0.0</v>
      </c>
      <c r="P414" s="1" t="s">
        <v>1220</v>
      </c>
      <c r="Q414" s="1" t="str">
        <f t="shared" si="1"/>
        <v>x</v>
      </c>
      <c r="R414" s="1" t="str">
        <f t="shared" si="2"/>
        <v>x</v>
      </c>
      <c r="S414" s="1" t="str">
        <f t="shared" si="3"/>
        <v>x</v>
      </c>
      <c r="T414" s="1" t="str">
        <f t="shared" si="4"/>
        <v>OK</v>
      </c>
    </row>
    <row r="415" ht="15.75" customHeight="1">
      <c r="A415" s="1" t="s">
        <v>1221</v>
      </c>
      <c r="B415" s="1">
        <v>1.1430674E7</v>
      </c>
      <c r="C415" s="1" t="s">
        <v>21</v>
      </c>
      <c r="D415" s="1" t="s">
        <v>22</v>
      </c>
      <c r="E415" s="1" t="s">
        <v>150</v>
      </c>
      <c r="F415" s="1" t="s">
        <v>1222</v>
      </c>
      <c r="G415" s="1" t="s">
        <v>25</v>
      </c>
      <c r="H415" s="1">
        <v>6.0</v>
      </c>
      <c r="I415" s="1">
        <v>0.0</v>
      </c>
      <c r="J415" s="1">
        <v>0.0</v>
      </c>
      <c r="K415" s="1">
        <v>6.0</v>
      </c>
      <c r="L415" s="1">
        <v>103.49</v>
      </c>
      <c r="M415" s="1">
        <v>620.94</v>
      </c>
      <c r="N415" s="1" t="s">
        <v>21</v>
      </c>
      <c r="O415" s="1">
        <v>0.0</v>
      </c>
      <c r="P415" s="1" t="s">
        <v>1223</v>
      </c>
      <c r="Q415" s="1" t="str">
        <f t="shared" si="1"/>
        <v>x</v>
      </c>
      <c r="R415" s="1" t="str">
        <f t="shared" si="2"/>
        <v>x</v>
      </c>
      <c r="S415" s="1" t="str">
        <f t="shared" si="3"/>
        <v>x</v>
      </c>
      <c r="T415" s="1" t="str">
        <f t="shared" si="4"/>
        <v>OK</v>
      </c>
    </row>
    <row r="416" ht="15.75" customHeight="1">
      <c r="A416" s="1" t="s">
        <v>1224</v>
      </c>
      <c r="B416" s="1">
        <v>1.079102E7</v>
      </c>
      <c r="C416" s="1" t="s">
        <v>21</v>
      </c>
      <c r="D416" s="1" t="s">
        <v>22</v>
      </c>
      <c r="E416" s="1" t="s">
        <v>544</v>
      </c>
      <c r="F416" s="1" t="s">
        <v>1225</v>
      </c>
      <c r="G416" s="1" t="s">
        <v>25</v>
      </c>
      <c r="H416" s="1">
        <v>0.0</v>
      </c>
      <c r="I416" s="1">
        <v>0.0</v>
      </c>
      <c r="J416" s="1">
        <v>528.0</v>
      </c>
      <c r="K416" s="1">
        <v>528.0</v>
      </c>
      <c r="L416" s="1">
        <v>1.15</v>
      </c>
      <c r="M416" s="1">
        <v>607.2</v>
      </c>
      <c r="N416" s="1" t="s">
        <v>21</v>
      </c>
      <c r="O416" s="1">
        <v>0.0</v>
      </c>
      <c r="P416" s="1" t="s">
        <v>1226</v>
      </c>
      <c r="Q416" s="1" t="str">
        <f t="shared" si="1"/>
        <v>x</v>
      </c>
      <c r="R416" s="1" t="str">
        <f t="shared" si="2"/>
        <v>x</v>
      </c>
      <c r="S416" s="1" t="str">
        <f t="shared" si="3"/>
        <v>x</v>
      </c>
      <c r="T416" s="1" t="str">
        <f t="shared" si="4"/>
        <v>OK</v>
      </c>
    </row>
    <row r="417" ht="15.75" customHeight="1">
      <c r="A417" s="1" t="s">
        <v>1227</v>
      </c>
      <c r="B417" s="1">
        <v>1.0302024E7</v>
      </c>
      <c r="C417" s="1" t="s">
        <v>21</v>
      </c>
      <c r="D417" s="1" t="s">
        <v>22</v>
      </c>
      <c r="E417" s="1" t="s">
        <v>150</v>
      </c>
      <c r="F417" s="1" t="s">
        <v>1228</v>
      </c>
      <c r="G417" s="1" t="s">
        <v>25</v>
      </c>
      <c r="H417" s="1">
        <v>6.0</v>
      </c>
      <c r="I417" s="1">
        <v>0.0</v>
      </c>
      <c r="J417" s="1">
        <v>0.0</v>
      </c>
      <c r="K417" s="1">
        <v>6.0</v>
      </c>
      <c r="L417" s="1">
        <v>100.87</v>
      </c>
      <c r="M417" s="1">
        <v>605.22</v>
      </c>
      <c r="N417" s="1" t="s">
        <v>21</v>
      </c>
      <c r="O417" s="1">
        <v>0.0</v>
      </c>
      <c r="P417" s="1" t="s">
        <v>1229</v>
      </c>
      <c r="Q417" s="1" t="str">
        <f t="shared" si="1"/>
        <v>x</v>
      </c>
      <c r="R417" s="1" t="str">
        <f t="shared" si="2"/>
        <v>x</v>
      </c>
      <c r="S417" s="1" t="str">
        <f t="shared" si="3"/>
        <v>x</v>
      </c>
      <c r="T417" s="1" t="str">
        <f t="shared" si="4"/>
        <v>OK</v>
      </c>
    </row>
    <row r="418" ht="15.75" customHeight="1">
      <c r="A418" s="1" t="s">
        <v>1230</v>
      </c>
      <c r="B418" s="1">
        <v>1.0096801E7</v>
      </c>
      <c r="C418" s="1" t="s">
        <v>21</v>
      </c>
      <c r="D418" s="1" t="s">
        <v>22</v>
      </c>
      <c r="E418" s="1" t="s">
        <v>231</v>
      </c>
      <c r="F418" s="1" t="s">
        <v>1231</v>
      </c>
      <c r="G418" s="1" t="s">
        <v>25</v>
      </c>
      <c r="H418" s="1">
        <v>82.0</v>
      </c>
      <c r="I418" s="1">
        <v>0.0</v>
      </c>
      <c r="J418" s="1">
        <v>0.0</v>
      </c>
      <c r="K418" s="1">
        <v>82.0</v>
      </c>
      <c r="L418" s="1">
        <v>7.31</v>
      </c>
      <c r="M418" s="1">
        <v>599.42</v>
      </c>
      <c r="N418" s="1" t="s">
        <v>21</v>
      </c>
      <c r="O418" s="1">
        <v>0.0</v>
      </c>
      <c r="P418" s="1" t="s">
        <v>1232</v>
      </c>
      <c r="Q418" s="1" t="str">
        <f t="shared" si="1"/>
        <v>x</v>
      </c>
      <c r="R418" s="1" t="str">
        <f t="shared" si="2"/>
        <v>x</v>
      </c>
      <c r="S418" s="1" t="str">
        <f t="shared" si="3"/>
        <v>x</v>
      </c>
      <c r="T418" s="1" t="str">
        <f t="shared" si="4"/>
        <v>OK</v>
      </c>
    </row>
    <row r="419" ht="15.75" customHeight="1">
      <c r="A419" s="1" t="s">
        <v>1233</v>
      </c>
      <c r="B419" s="1">
        <v>1.0566988E7</v>
      </c>
      <c r="C419" s="1" t="s">
        <v>21</v>
      </c>
      <c r="D419" s="1" t="s">
        <v>22</v>
      </c>
      <c r="E419" s="1" t="s">
        <v>633</v>
      </c>
      <c r="F419" s="1" t="s">
        <v>1234</v>
      </c>
      <c r="G419" s="1" t="s">
        <v>25</v>
      </c>
      <c r="H419" s="1">
        <v>202.0</v>
      </c>
      <c r="I419" s="1">
        <v>0.0</v>
      </c>
      <c r="J419" s="1">
        <v>0.0</v>
      </c>
      <c r="K419" s="1">
        <v>202.0</v>
      </c>
      <c r="L419" s="1">
        <v>2.96</v>
      </c>
      <c r="M419" s="1">
        <v>597.92</v>
      </c>
      <c r="N419" s="1" t="s">
        <v>21</v>
      </c>
      <c r="O419" s="1">
        <v>0.0</v>
      </c>
      <c r="P419" s="1" t="s">
        <v>1235</v>
      </c>
      <c r="Q419" s="1" t="str">
        <f t="shared" si="1"/>
        <v>x</v>
      </c>
      <c r="R419" s="1" t="str">
        <f t="shared" si="2"/>
        <v>x</v>
      </c>
      <c r="S419" s="1" t="str">
        <f t="shared" si="3"/>
        <v>x</v>
      </c>
      <c r="T419" s="1" t="str">
        <f t="shared" si="4"/>
        <v>OK</v>
      </c>
    </row>
    <row r="420" ht="15.75" customHeight="1">
      <c r="A420" s="1" t="s">
        <v>1236</v>
      </c>
      <c r="B420" s="1">
        <v>1.0007252E7</v>
      </c>
      <c r="C420" s="1" t="s">
        <v>21</v>
      </c>
      <c r="D420" s="1" t="s">
        <v>22</v>
      </c>
      <c r="E420" s="1" t="s">
        <v>227</v>
      </c>
      <c r="F420" s="1" t="s">
        <v>1237</v>
      </c>
      <c r="G420" s="1" t="s">
        <v>25</v>
      </c>
      <c r="H420" s="1">
        <v>15.0</v>
      </c>
      <c r="I420" s="1">
        <v>0.0</v>
      </c>
      <c r="J420" s="1">
        <v>0.0</v>
      </c>
      <c r="K420" s="1">
        <v>15.0</v>
      </c>
      <c r="L420" s="1">
        <v>38.92</v>
      </c>
      <c r="M420" s="1">
        <v>583.8</v>
      </c>
      <c r="N420" s="1" t="s">
        <v>21</v>
      </c>
      <c r="O420" s="1">
        <v>0.0</v>
      </c>
      <c r="P420" s="1" t="s">
        <v>1238</v>
      </c>
      <c r="Q420" s="1" t="str">
        <f t="shared" si="1"/>
        <v>x</v>
      </c>
      <c r="R420" s="1" t="str">
        <f t="shared" si="2"/>
        <v>x</v>
      </c>
      <c r="S420" s="1" t="str">
        <f t="shared" si="3"/>
        <v>x</v>
      </c>
      <c r="T420" s="1" t="str">
        <f t="shared" si="4"/>
        <v>OK</v>
      </c>
    </row>
    <row r="421" ht="15.75" customHeight="1">
      <c r="A421" s="1" t="s">
        <v>1239</v>
      </c>
      <c r="B421" s="1">
        <v>1.1131929E7</v>
      </c>
      <c r="C421" s="1" t="s">
        <v>21</v>
      </c>
      <c r="D421" s="1" t="s">
        <v>22</v>
      </c>
      <c r="E421" s="1" t="s">
        <v>23</v>
      </c>
      <c r="F421" s="1" t="s">
        <v>1240</v>
      </c>
      <c r="G421" s="1" t="s">
        <v>25</v>
      </c>
      <c r="H421" s="1">
        <v>1.0</v>
      </c>
      <c r="I421" s="1">
        <v>0.0</v>
      </c>
      <c r="J421" s="1">
        <v>1.0</v>
      </c>
      <c r="K421" s="1">
        <v>2.0</v>
      </c>
      <c r="L421" s="1">
        <v>288.42</v>
      </c>
      <c r="M421" s="1">
        <v>576.84</v>
      </c>
      <c r="N421" s="1" t="s">
        <v>21</v>
      </c>
      <c r="O421" s="1">
        <v>0.0</v>
      </c>
      <c r="P421" s="1" t="s">
        <v>1241</v>
      </c>
      <c r="Q421" s="1" t="str">
        <f t="shared" si="1"/>
        <v>x</v>
      </c>
      <c r="R421" s="1" t="str">
        <f t="shared" si="2"/>
        <v>x</v>
      </c>
      <c r="S421" s="1" t="str">
        <f t="shared" si="3"/>
        <v>x</v>
      </c>
      <c r="T421" s="1" t="str">
        <f t="shared" si="4"/>
        <v>OK</v>
      </c>
    </row>
    <row r="422" ht="15.75" customHeight="1">
      <c r="A422" s="1" t="s">
        <v>1242</v>
      </c>
      <c r="B422" s="1">
        <v>1.0435852E7</v>
      </c>
      <c r="C422" s="1" t="s">
        <v>21</v>
      </c>
      <c r="D422" s="1" t="s">
        <v>22</v>
      </c>
      <c r="E422" s="1" t="s">
        <v>23</v>
      </c>
      <c r="F422" s="1" t="s">
        <v>1243</v>
      </c>
      <c r="G422" s="1" t="s">
        <v>25</v>
      </c>
      <c r="H422" s="1">
        <v>2.0</v>
      </c>
      <c r="I422" s="1">
        <v>0.0</v>
      </c>
      <c r="J422" s="1">
        <v>0.0</v>
      </c>
      <c r="K422" s="1">
        <v>2.0</v>
      </c>
      <c r="L422" s="1">
        <v>288.38</v>
      </c>
      <c r="M422" s="1">
        <v>576.76</v>
      </c>
      <c r="N422" s="1" t="s">
        <v>21</v>
      </c>
      <c r="O422" s="1">
        <v>0.0</v>
      </c>
      <c r="P422" s="1" t="s">
        <v>1244</v>
      </c>
      <c r="Q422" s="1" t="str">
        <f t="shared" si="1"/>
        <v>x</v>
      </c>
      <c r="R422" s="1" t="str">
        <f t="shared" si="2"/>
        <v>x</v>
      </c>
      <c r="S422" s="1" t="str">
        <f t="shared" si="3"/>
        <v>x</v>
      </c>
      <c r="T422" s="1" t="str">
        <f t="shared" si="4"/>
        <v>OK</v>
      </c>
    </row>
    <row r="423" ht="15.75" customHeight="1">
      <c r="A423" s="1" t="s">
        <v>1245</v>
      </c>
      <c r="B423" s="1">
        <v>1.0763604E7</v>
      </c>
      <c r="C423" s="1" t="s">
        <v>21</v>
      </c>
      <c r="D423" s="1" t="s">
        <v>22</v>
      </c>
      <c r="E423" s="1" t="s">
        <v>590</v>
      </c>
      <c r="F423" s="1" t="s">
        <v>1246</v>
      </c>
      <c r="G423" s="1" t="s">
        <v>25</v>
      </c>
      <c r="H423" s="1">
        <v>2.0</v>
      </c>
      <c r="I423" s="1">
        <v>0.0</v>
      </c>
      <c r="J423" s="1">
        <v>2.0</v>
      </c>
      <c r="K423" s="1">
        <v>4.0</v>
      </c>
      <c r="L423" s="1">
        <v>144.09</v>
      </c>
      <c r="M423" s="1">
        <v>576.36</v>
      </c>
      <c r="N423" s="1" t="s">
        <v>21</v>
      </c>
      <c r="O423" s="1">
        <v>0.0</v>
      </c>
      <c r="P423" s="1" t="s">
        <v>1247</v>
      </c>
      <c r="Q423" s="1" t="str">
        <f t="shared" si="1"/>
        <v>x</v>
      </c>
      <c r="R423" s="1" t="str">
        <f t="shared" si="2"/>
        <v>x</v>
      </c>
      <c r="S423" s="1" t="str">
        <f t="shared" si="3"/>
        <v>x</v>
      </c>
      <c r="T423" s="1" t="str">
        <f t="shared" si="4"/>
        <v>OK</v>
      </c>
    </row>
    <row r="424" ht="15.75" customHeight="1">
      <c r="A424" s="1" t="s">
        <v>1248</v>
      </c>
      <c r="B424" s="1">
        <v>1.0966166E7</v>
      </c>
      <c r="C424" s="1" t="s">
        <v>21</v>
      </c>
      <c r="D424" s="1" t="s">
        <v>22</v>
      </c>
      <c r="E424" s="1" t="s">
        <v>150</v>
      </c>
      <c r="F424" s="1" t="s">
        <v>1249</v>
      </c>
      <c r="G424" s="1" t="s">
        <v>25</v>
      </c>
      <c r="H424" s="1">
        <v>6.0</v>
      </c>
      <c r="I424" s="1">
        <v>0.0</v>
      </c>
      <c r="J424" s="1">
        <v>0.0</v>
      </c>
      <c r="K424" s="1">
        <v>6.0</v>
      </c>
      <c r="L424" s="1">
        <v>95.6</v>
      </c>
      <c r="M424" s="1">
        <v>573.6</v>
      </c>
      <c r="N424" s="1" t="s">
        <v>21</v>
      </c>
      <c r="O424" s="1">
        <v>0.0</v>
      </c>
      <c r="P424" s="1" t="s">
        <v>1250</v>
      </c>
      <c r="Q424" s="1" t="str">
        <f t="shared" si="1"/>
        <v>x</v>
      </c>
      <c r="R424" s="1" t="str">
        <f t="shared" si="2"/>
        <v>x</v>
      </c>
      <c r="S424" s="1" t="str">
        <f t="shared" si="3"/>
        <v>x</v>
      </c>
      <c r="T424" s="1" t="str">
        <f t="shared" si="4"/>
        <v>OK</v>
      </c>
    </row>
    <row r="425" ht="15.75" customHeight="1">
      <c r="A425" s="1" t="s">
        <v>1251</v>
      </c>
      <c r="B425" s="1">
        <v>1.0167525E7</v>
      </c>
      <c r="C425" s="1" t="s">
        <v>21</v>
      </c>
      <c r="D425" s="1" t="s">
        <v>22</v>
      </c>
      <c r="E425" s="1" t="s">
        <v>231</v>
      </c>
      <c r="F425" s="1" t="s">
        <v>1179</v>
      </c>
      <c r="G425" s="1" t="s">
        <v>25</v>
      </c>
      <c r="H425" s="1">
        <v>0.0</v>
      </c>
      <c r="I425" s="1">
        <v>31.0</v>
      </c>
      <c r="J425" s="1">
        <v>31.0</v>
      </c>
      <c r="K425" s="1">
        <v>62.0</v>
      </c>
      <c r="L425" s="1">
        <v>9.15</v>
      </c>
      <c r="M425" s="1">
        <v>567.3</v>
      </c>
      <c r="N425" s="1" t="s">
        <v>21</v>
      </c>
      <c r="O425" s="1">
        <v>0.0</v>
      </c>
      <c r="P425" s="1" t="s">
        <v>1252</v>
      </c>
      <c r="Q425" s="1" t="str">
        <f t="shared" si="1"/>
        <v>x</v>
      </c>
      <c r="R425" s="1" t="str">
        <f t="shared" si="2"/>
        <v>x</v>
      </c>
      <c r="S425" s="1" t="str">
        <f t="shared" si="3"/>
        <v>x</v>
      </c>
      <c r="T425" s="1" t="str">
        <f t="shared" si="4"/>
        <v>OK</v>
      </c>
    </row>
    <row r="426" ht="15.75" customHeight="1">
      <c r="A426" s="1" t="s">
        <v>1253</v>
      </c>
      <c r="B426" s="1">
        <v>1.0004076E7</v>
      </c>
      <c r="C426" s="1" t="s">
        <v>21</v>
      </c>
      <c r="D426" s="1" t="s">
        <v>22</v>
      </c>
      <c r="E426" s="1" t="s">
        <v>129</v>
      </c>
      <c r="F426" s="1" t="s">
        <v>980</v>
      </c>
      <c r="G426" s="1" t="s">
        <v>25</v>
      </c>
      <c r="H426" s="1">
        <v>31.0</v>
      </c>
      <c r="I426" s="1">
        <v>0.0</v>
      </c>
      <c r="J426" s="1">
        <v>2.0</v>
      </c>
      <c r="K426" s="1">
        <v>33.0</v>
      </c>
      <c r="L426" s="1">
        <v>17.11</v>
      </c>
      <c r="M426" s="1">
        <v>564.63</v>
      </c>
      <c r="N426" s="1" t="s">
        <v>21</v>
      </c>
      <c r="O426" s="1">
        <v>0.0</v>
      </c>
      <c r="P426" s="1" t="s">
        <v>1254</v>
      </c>
      <c r="Q426" s="1" t="str">
        <f t="shared" si="1"/>
        <v>x</v>
      </c>
      <c r="R426" s="1" t="str">
        <f t="shared" si="2"/>
        <v>x</v>
      </c>
      <c r="S426" s="1" t="str">
        <f t="shared" si="3"/>
        <v>x</v>
      </c>
      <c r="T426" s="1" t="str">
        <f t="shared" si="4"/>
        <v>OK</v>
      </c>
    </row>
    <row r="427" ht="15.75" customHeight="1">
      <c r="A427" s="1" t="s">
        <v>1255</v>
      </c>
      <c r="B427" s="1">
        <v>1.0286649E7</v>
      </c>
      <c r="C427" s="1" t="s">
        <v>21</v>
      </c>
      <c r="D427" s="1" t="s">
        <v>22</v>
      </c>
      <c r="E427" s="1" t="s">
        <v>195</v>
      </c>
      <c r="F427" s="1" t="s">
        <v>1256</v>
      </c>
      <c r="G427" s="1" t="s">
        <v>25</v>
      </c>
      <c r="H427" s="1">
        <v>20.0</v>
      </c>
      <c r="I427" s="1">
        <v>15.0</v>
      </c>
      <c r="J427" s="1">
        <v>0.0</v>
      </c>
      <c r="K427" s="1">
        <v>35.0</v>
      </c>
      <c r="L427" s="1">
        <v>16.0</v>
      </c>
      <c r="M427" s="1">
        <v>560.0</v>
      </c>
      <c r="N427" s="1" t="s">
        <v>21</v>
      </c>
      <c r="O427" s="1">
        <v>0.0</v>
      </c>
      <c r="P427" s="1" t="s">
        <v>1257</v>
      </c>
      <c r="Q427" s="1" t="str">
        <f t="shared" si="1"/>
        <v>x</v>
      </c>
      <c r="R427" s="1" t="str">
        <f t="shared" si="2"/>
        <v>x</v>
      </c>
      <c r="S427" s="1" t="str">
        <f t="shared" si="3"/>
        <v>x</v>
      </c>
      <c r="T427" s="1" t="str">
        <f t="shared" si="4"/>
        <v>OK</v>
      </c>
    </row>
    <row r="428" ht="15.75" customHeight="1">
      <c r="A428" s="1" t="s">
        <v>1258</v>
      </c>
      <c r="B428" s="1">
        <v>1.0302026E7</v>
      </c>
      <c r="C428" s="1" t="s">
        <v>21</v>
      </c>
      <c r="D428" s="1" t="s">
        <v>22</v>
      </c>
      <c r="E428" s="1" t="s">
        <v>56</v>
      </c>
      <c r="F428" s="1" t="s">
        <v>918</v>
      </c>
      <c r="G428" s="1" t="s">
        <v>25</v>
      </c>
      <c r="H428" s="1">
        <v>5.0</v>
      </c>
      <c r="I428" s="1">
        <v>0.0</v>
      </c>
      <c r="J428" s="1">
        <v>0.0</v>
      </c>
      <c r="K428" s="1">
        <v>5.0</v>
      </c>
      <c r="L428" s="1">
        <v>111.25</v>
      </c>
      <c r="M428" s="1">
        <v>556.25</v>
      </c>
      <c r="N428" s="1" t="s">
        <v>21</v>
      </c>
      <c r="O428" s="1">
        <v>0.0</v>
      </c>
      <c r="P428" s="1" t="s">
        <v>1259</v>
      </c>
      <c r="Q428" s="1" t="str">
        <f t="shared" si="1"/>
        <v>x</v>
      </c>
      <c r="R428" s="1" t="str">
        <f t="shared" si="2"/>
        <v>x</v>
      </c>
      <c r="S428" s="1" t="str">
        <f t="shared" si="3"/>
        <v>x</v>
      </c>
      <c r="T428" s="1" t="str">
        <f t="shared" si="4"/>
        <v>OK</v>
      </c>
    </row>
    <row r="429" ht="15.75" customHeight="1">
      <c r="A429" s="1" t="s">
        <v>1260</v>
      </c>
      <c r="B429" s="1">
        <v>1.1424367E7</v>
      </c>
      <c r="C429" s="1" t="s">
        <v>21</v>
      </c>
      <c r="D429" s="1" t="s">
        <v>22</v>
      </c>
      <c r="E429" s="1" t="s">
        <v>544</v>
      </c>
      <c r="F429" s="1" t="s">
        <v>1261</v>
      </c>
      <c r="G429" s="1" t="s">
        <v>25</v>
      </c>
      <c r="H429" s="1">
        <v>228.0</v>
      </c>
      <c r="I429" s="1">
        <v>0.0</v>
      </c>
      <c r="J429" s="1">
        <v>96.0</v>
      </c>
      <c r="K429" s="1">
        <v>324.0</v>
      </c>
      <c r="L429" s="1">
        <v>1.69</v>
      </c>
      <c r="M429" s="1">
        <v>547.56</v>
      </c>
      <c r="N429" s="1" t="s">
        <v>21</v>
      </c>
      <c r="O429" s="1">
        <v>0.0</v>
      </c>
      <c r="P429" s="1" t="s">
        <v>1262</v>
      </c>
      <c r="Q429" s="1" t="str">
        <f t="shared" si="1"/>
        <v>x</v>
      </c>
      <c r="R429" s="1" t="str">
        <f t="shared" si="2"/>
        <v>x</v>
      </c>
      <c r="S429" s="1" t="str">
        <f t="shared" si="3"/>
        <v>x</v>
      </c>
      <c r="T429" s="1" t="str">
        <f t="shared" si="4"/>
        <v>OK</v>
      </c>
    </row>
    <row r="430" ht="15.75" customHeight="1">
      <c r="A430" s="1" t="s">
        <v>1263</v>
      </c>
      <c r="B430" s="1">
        <v>1.0752834E7</v>
      </c>
      <c r="C430" s="1" t="s">
        <v>21</v>
      </c>
      <c r="D430" s="1" t="s">
        <v>22</v>
      </c>
      <c r="E430" s="1" t="s">
        <v>544</v>
      </c>
      <c r="F430" s="1" t="s">
        <v>774</v>
      </c>
      <c r="G430" s="1" t="s">
        <v>25</v>
      </c>
      <c r="H430" s="1">
        <v>0.0</v>
      </c>
      <c r="I430" s="1">
        <v>0.0</v>
      </c>
      <c r="J430" s="1">
        <v>264.0</v>
      </c>
      <c r="K430" s="1">
        <v>264.0</v>
      </c>
      <c r="L430" s="1">
        <v>2.04</v>
      </c>
      <c r="M430" s="1">
        <v>538.56</v>
      </c>
      <c r="N430" s="1" t="s">
        <v>21</v>
      </c>
      <c r="O430" s="1">
        <v>0.0</v>
      </c>
      <c r="P430" s="1" t="s">
        <v>1264</v>
      </c>
      <c r="Q430" s="1" t="str">
        <f t="shared" si="1"/>
        <v>x</v>
      </c>
      <c r="R430" s="1" t="str">
        <f t="shared" si="2"/>
        <v>x</v>
      </c>
      <c r="S430" s="1" t="str">
        <f t="shared" si="3"/>
        <v>x</v>
      </c>
      <c r="T430" s="1" t="str">
        <f t="shared" si="4"/>
        <v>OK</v>
      </c>
    </row>
    <row r="431" ht="15.75" customHeight="1">
      <c r="A431" s="1" t="s">
        <v>1265</v>
      </c>
      <c r="B431" s="1">
        <v>1.1174868E7</v>
      </c>
      <c r="C431" s="1" t="s">
        <v>21</v>
      </c>
      <c r="D431" s="1" t="s">
        <v>22</v>
      </c>
      <c r="E431" s="1" t="s">
        <v>118</v>
      </c>
      <c r="F431" s="1" t="s">
        <v>1266</v>
      </c>
      <c r="G431" s="1" t="s">
        <v>25</v>
      </c>
      <c r="H431" s="1">
        <v>2.0</v>
      </c>
      <c r="I431" s="1">
        <v>0.0</v>
      </c>
      <c r="J431" s="1">
        <v>2.0</v>
      </c>
      <c r="K431" s="1">
        <v>4.0</v>
      </c>
      <c r="L431" s="1">
        <v>133.91</v>
      </c>
      <c r="M431" s="1">
        <v>535.64</v>
      </c>
      <c r="N431" s="1" t="s">
        <v>21</v>
      </c>
      <c r="O431" s="1">
        <v>0.0</v>
      </c>
      <c r="P431" s="1" t="s">
        <v>1267</v>
      </c>
      <c r="Q431" s="1" t="str">
        <f t="shared" si="1"/>
        <v>x</v>
      </c>
      <c r="R431" s="1" t="str">
        <f t="shared" si="2"/>
        <v>x</v>
      </c>
      <c r="S431" s="1" t="str">
        <f t="shared" si="3"/>
        <v>x</v>
      </c>
      <c r="T431" s="1" t="str">
        <f t="shared" si="4"/>
        <v>OK</v>
      </c>
    </row>
    <row r="432" ht="15.75" customHeight="1">
      <c r="A432" s="1" t="s">
        <v>1268</v>
      </c>
      <c r="B432" s="1">
        <v>1.1174869E7</v>
      </c>
      <c r="C432" s="1" t="s">
        <v>21</v>
      </c>
      <c r="D432" s="1" t="s">
        <v>22</v>
      </c>
      <c r="E432" s="1" t="s">
        <v>118</v>
      </c>
      <c r="F432" s="1" t="s">
        <v>1269</v>
      </c>
      <c r="G432" s="1" t="s">
        <v>25</v>
      </c>
      <c r="H432" s="1">
        <v>2.0</v>
      </c>
      <c r="I432" s="1">
        <v>0.0</v>
      </c>
      <c r="J432" s="1">
        <v>2.0</v>
      </c>
      <c r="K432" s="1">
        <v>4.0</v>
      </c>
      <c r="L432" s="1">
        <v>133.91</v>
      </c>
      <c r="M432" s="1">
        <v>535.64</v>
      </c>
      <c r="N432" s="1" t="s">
        <v>21</v>
      </c>
      <c r="O432" s="1">
        <v>0.0</v>
      </c>
      <c r="P432" s="1" t="s">
        <v>1270</v>
      </c>
      <c r="Q432" s="1" t="str">
        <f t="shared" si="1"/>
        <v>x</v>
      </c>
      <c r="R432" s="1" t="str">
        <f t="shared" si="2"/>
        <v>x</v>
      </c>
      <c r="S432" s="1" t="str">
        <f t="shared" si="3"/>
        <v>x</v>
      </c>
      <c r="T432" s="1" t="str">
        <f t="shared" si="4"/>
        <v>OK</v>
      </c>
    </row>
    <row r="433" ht="15.75" customHeight="1">
      <c r="A433" s="1" t="s">
        <v>1271</v>
      </c>
      <c r="B433" s="1">
        <v>1.0247398E7</v>
      </c>
      <c r="C433" s="1" t="s">
        <v>21</v>
      </c>
      <c r="D433" s="1" t="s">
        <v>22</v>
      </c>
      <c r="E433" s="1" t="s">
        <v>256</v>
      </c>
      <c r="F433" s="1" t="s">
        <v>469</v>
      </c>
      <c r="G433" s="1" t="s">
        <v>25</v>
      </c>
      <c r="H433" s="1">
        <v>0.0</v>
      </c>
      <c r="I433" s="1">
        <v>324.0</v>
      </c>
      <c r="J433" s="1">
        <v>324.0</v>
      </c>
      <c r="K433" s="1">
        <v>648.0</v>
      </c>
      <c r="L433" s="1">
        <v>0.81</v>
      </c>
      <c r="M433" s="1">
        <v>524.88</v>
      </c>
      <c r="N433" s="1" t="s">
        <v>21</v>
      </c>
      <c r="O433" s="1">
        <v>0.0</v>
      </c>
      <c r="P433" s="1" t="s">
        <v>1272</v>
      </c>
      <c r="Q433" s="1" t="str">
        <f t="shared" si="1"/>
        <v>x</v>
      </c>
      <c r="R433" s="1" t="str">
        <f t="shared" si="2"/>
        <v>x</v>
      </c>
      <c r="S433" s="1" t="str">
        <f t="shared" si="3"/>
        <v>x</v>
      </c>
      <c r="T433" s="1" t="str">
        <f t="shared" si="4"/>
        <v>OK</v>
      </c>
    </row>
    <row r="434" ht="15.75" customHeight="1">
      <c r="A434" s="1" t="s">
        <v>1273</v>
      </c>
      <c r="B434" s="1">
        <v>1.0873673E7</v>
      </c>
      <c r="C434" s="1" t="s">
        <v>21</v>
      </c>
      <c r="D434" s="1" t="s">
        <v>22</v>
      </c>
      <c r="E434" s="1" t="s">
        <v>513</v>
      </c>
      <c r="F434" s="1" t="s">
        <v>1274</v>
      </c>
      <c r="G434" s="1" t="s">
        <v>25</v>
      </c>
      <c r="H434" s="1">
        <v>462.0</v>
      </c>
      <c r="I434" s="1">
        <v>0.0</v>
      </c>
      <c r="J434" s="1">
        <v>322.0</v>
      </c>
      <c r="K434" s="1">
        <v>784.0</v>
      </c>
      <c r="L434" s="1">
        <v>0.65</v>
      </c>
      <c r="M434" s="1">
        <v>509.6</v>
      </c>
      <c r="N434" s="1" t="s">
        <v>21</v>
      </c>
      <c r="O434" s="1">
        <v>0.0</v>
      </c>
      <c r="P434" s="1" t="s">
        <v>1275</v>
      </c>
      <c r="Q434" s="1" t="str">
        <f t="shared" si="1"/>
        <v>x</v>
      </c>
      <c r="R434" s="1" t="str">
        <f t="shared" si="2"/>
        <v>x</v>
      </c>
      <c r="S434" s="1" t="str">
        <f t="shared" si="3"/>
        <v>x</v>
      </c>
      <c r="T434" s="1" t="str">
        <f t="shared" si="4"/>
        <v>OK</v>
      </c>
    </row>
    <row r="435" ht="15.75" customHeight="1">
      <c r="A435" s="1" t="s">
        <v>1276</v>
      </c>
      <c r="B435" s="1">
        <v>1.1867392E7</v>
      </c>
      <c r="C435" s="1" t="s">
        <v>21</v>
      </c>
      <c r="D435" s="1" t="s">
        <v>22</v>
      </c>
      <c r="E435" s="1" t="s">
        <v>23</v>
      </c>
      <c r="F435" s="1" t="s">
        <v>1277</v>
      </c>
      <c r="G435" s="1" t="s">
        <v>25</v>
      </c>
      <c r="H435" s="1">
        <v>3.0</v>
      </c>
      <c r="I435" s="1">
        <v>0.0</v>
      </c>
      <c r="J435" s="1">
        <v>0.0</v>
      </c>
      <c r="K435" s="1">
        <v>3.0</v>
      </c>
      <c r="L435" s="1">
        <v>159.94</v>
      </c>
      <c r="M435" s="1">
        <v>479.82</v>
      </c>
      <c r="N435" s="1" t="s">
        <v>21</v>
      </c>
      <c r="O435" s="1">
        <v>0.0</v>
      </c>
      <c r="P435" s="1" t="s">
        <v>1278</v>
      </c>
      <c r="Q435" s="1" t="str">
        <f t="shared" si="1"/>
        <v>x</v>
      </c>
      <c r="R435" s="1" t="str">
        <f t="shared" si="2"/>
        <v>x</v>
      </c>
      <c r="S435" s="1" t="str">
        <f t="shared" si="3"/>
        <v>x</v>
      </c>
      <c r="T435" s="1" t="str">
        <f t="shared" si="4"/>
        <v>OK</v>
      </c>
    </row>
    <row r="436" ht="15.75" customHeight="1">
      <c r="A436" s="1" t="s">
        <v>1279</v>
      </c>
      <c r="B436" s="1">
        <v>1.0449062E7</v>
      </c>
      <c r="C436" s="1" t="s">
        <v>21</v>
      </c>
      <c r="D436" s="1" t="s">
        <v>22</v>
      </c>
      <c r="E436" s="1" t="s">
        <v>231</v>
      </c>
      <c r="F436" s="1" t="s">
        <v>1280</v>
      </c>
      <c r="G436" s="1" t="s">
        <v>25</v>
      </c>
      <c r="H436" s="1">
        <v>48.0</v>
      </c>
      <c r="I436" s="1">
        <v>0.0</v>
      </c>
      <c r="J436" s="1">
        <v>0.0</v>
      </c>
      <c r="K436" s="1">
        <v>48.0</v>
      </c>
      <c r="L436" s="1">
        <v>9.92</v>
      </c>
      <c r="M436" s="1">
        <v>476.16</v>
      </c>
      <c r="N436" s="1" t="s">
        <v>21</v>
      </c>
      <c r="O436" s="1">
        <v>0.0</v>
      </c>
      <c r="P436" s="1" t="s">
        <v>1281</v>
      </c>
      <c r="Q436" s="1" t="str">
        <f t="shared" si="1"/>
        <v>x</v>
      </c>
      <c r="R436" s="1" t="str">
        <f t="shared" si="2"/>
        <v>x</v>
      </c>
      <c r="S436" s="1" t="str">
        <f t="shared" si="3"/>
        <v>x</v>
      </c>
      <c r="T436" s="1" t="str">
        <f t="shared" si="4"/>
        <v>OK</v>
      </c>
    </row>
    <row r="437" ht="15.75" customHeight="1">
      <c r="A437" s="1" t="s">
        <v>1282</v>
      </c>
      <c r="B437" s="1">
        <v>1.000186E7</v>
      </c>
      <c r="C437" s="1" t="s">
        <v>21</v>
      </c>
      <c r="D437" s="1" t="s">
        <v>22</v>
      </c>
      <c r="E437" s="1" t="s">
        <v>785</v>
      </c>
      <c r="F437" s="1" t="s">
        <v>1283</v>
      </c>
      <c r="G437" s="1" t="s">
        <v>25</v>
      </c>
      <c r="H437" s="1">
        <v>475.0</v>
      </c>
      <c r="I437" s="1">
        <v>525.0</v>
      </c>
      <c r="J437" s="1">
        <v>525.0</v>
      </c>
      <c r="K437" s="1">
        <v>1525.0</v>
      </c>
      <c r="L437" s="1">
        <v>0.31</v>
      </c>
      <c r="M437" s="1">
        <v>472.75</v>
      </c>
      <c r="N437" s="1" t="s">
        <v>21</v>
      </c>
      <c r="O437" s="1">
        <v>0.0</v>
      </c>
      <c r="P437" s="1" t="s">
        <v>1284</v>
      </c>
      <c r="Q437" s="1" t="str">
        <f t="shared" si="1"/>
        <v>x</v>
      </c>
      <c r="R437" s="1" t="str">
        <f t="shared" si="2"/>
        <v>x</v>
      </c>
      <c r="S437" s="1" t="str">
        <f t="shared" si="3"/>
        <v>x</v>
      </c>
      <c r="T437" s="1" t="str">
        <f t="shared" si="4"/>
        <v>OK</v>
      </c>
    </row>
    <row r="438" ht="15.75" customHeight="1">
      <c r="A438" s="1" t="s">
        <v>1285</v>
      </c>
      <c r="B438" s="1">
        <v>1.0000082E7</v>
      </c>
      <c r="C438" s="1" t="s">
        <v>21</v>
      </c>
      <c r="D438" s="1" t="s">
        <v>22</v>
      </c>
      <c r="E438" s="1" t="s">
        <v>256</v>
      </c>
      <c r="F438" s="1" t="s">
        <v>803</v>
      </c>
      <c r="G438" s="1" t="s">
        <v>25</v>
      </c>
      <c r="H438" s="1">
        <v>0.0</v>
      </c>
      <c r="I438" s="1">
        <v>0.0</v>
      </c>
      <c r="J438" s="1">
        <v>528.0</v>
      </c>
      <c r="K438" s="1">
        <v>528.0</v>
      </c>
      <c r="L438" s="1">
        <v>0.89</v>
      </c>
      <c r="M438" s="1">
        <v>469.92</v>
      </c>
      <c r="N438" s="1" t="s">
        <v>21</v>
      </c>
      <c r="O438" s="1">
        <v>0.0</v>
      </c>
      <c r="P438" s="1" t="s">
        <v>1286</v>
      </c>
      <c r="Q438" s="1" t="str">
        <f t="shared" si="1"/>
        <v>x</v>
      </c>
      <c r="R438" s="1" t="str">
        <f t="shared" si="2"/>
        <v>x</v>
      </c>
      <c r="S438" s="1" t="str">
        <f t="shared" si="3"/>
        <v>x</v>
      </c>
      <c r="T438" s="1" t="str">
        <f t="shared" si="4"/>
        <v>OK</v>
      </c>
    </row>
    <row r="439" ht="15.75" customHeight="1">
      <c r="A439" s="1" t="s">
        <v>1287</v>
      </c>
      <c r="B439" s="1">
        <v>1.0000409E7</v>
      </c>
      <c r="C439" s="1" t="s">
        <v>21</v>
      </c>
      <c r="D439" s="1" t="s">
        <v>22</v>
      </c>
      <c r="E439" s="1" t="s">
        <v>620</v>
      </c>
      <c r="F439" s="1" t="s">
        <v>1288</v>
      </c>
      <c r="G439" s="1" t="s">
        <v>25</v>
      </c>
      <c r="H439" s="1">
        <v>35.0</v>
      </c>
      <c r="I439" s="1">
        <v>26.0</v>
      </c>
      <c r="J439" s="1">
        <v>38.0</v>
      </c>
      <c r="K439" s="1">
        <v>99.0</v>
      </c>
      <c r="L439" s="1">
        <v>4.73</v>
      </c>
      <c r="M439" s="1">
        <v>468.27</v>
      </c>
      <c r="N439" s="1" t="s">
        <v>21</v>
      </c>
      <c r="O439" s="1">
        <v>0.0</v>
      </c>
      <c r="P439" s="1" t="s">
        <v>1289</v>
      </c>
      <c r="Q439" s="1" t="str">
        <f t="shared" si="1"/>
        <v>x</v>
      </c>
      <c r="R439" s="1" t="str">
        <f t="shared" si="2"/>
        <v>x</v>
      </c>
      <c r="S439" s="1" t="str">
        <f t="shared" si="3"/>
        <v>x</v>
      </c>
      <c r="T439" s="1" t="str">
        <f t="shared" si="4"/>
        <v>OK</v>
      </c>
    </row>
    <row r="440" ht="15.75" customHeight="1">
      <c r="A440" s="1" t="s">
        <v>1290</v>
      </c>
      <c r="B440" s="1">
        <v>1.0752724E7</v>
      </c>
      <c r="C440" s="1" t="s">
        <v>21</v>
      </c>
      <c r="D440" s="1" t="s">
        <v>22</v>
      </c>
      <c r="E440" s="1" t="s">
        <v>129</v>
      </c>
      <c r="F440" s="1" t="s">
        <v>1160</v>
      </c>
      <c r="G440" s="1" t="s">
        <v>25</v>
      </c>
      <c r="H440" s="1">
        <v>14.0</v>
      </c>
      <c r="I440" s="1">
        <v>0.0</v>
      </c>
      <c r="J440" s="1">
        <v>0.0</v>
      </c>
      <c r="K440" s="1">
        <v>14.0</v>
      </c>
      <c r="L440" s="1">
        <v>32.92</v>
      </c>
      <c r="M440" s="1">
        <v>460.88</v>
      </c>
      <c r="N440" s="1" t="s">
        <v>21</v>
      </c>
      <c r="O440" s="1">
        <v>0.0</v>
      </c>
      <c r="P440" s="1" t="s">
        <v>1291</v>
      </c>
      <c r="Q440" s="1" t="str">
        <f t="shared" si="1"/>
        <v>x</v>
      </c>
      <c r="R440" s="1" t="str">
        <f t="shared" si="2"/>
        <v>x</v>
      </c>
      <c r="S440" s="1" t="str">
        <f t="shared" si="3"/>
        <v>x</v>
      </c>
      <c r="T440" s="1" t="str">
        <f t="shared" si="4"/>
        <v>OK</v>
      </c>
    </row>
    <row r="441" ht="15.75" customHeight="1">
      <c r="A441" s="1" t="s">
        <v>1292</v>
      </c>
      <c r="B441" s="1">
        <v>1.1435529E7</v>
      </c>
      <c r="C441" s="1" t="s">
        <v>21</v>
      </c>
      <c r="D441" s="1" t="s">
        <v>22</v>
      </c>
      <c r="E441" s="1" t="s">
        <v>23</v>
      </c>
      <c r="F441" s="1" t="s">
        <v>1293</v>
      </c>
      <c r="G441" s="1" t="s">
        <v>25</v>
      </c>
      <c r="H441" s="1">
        <v>1.0</v>
      </c>
      <c r="I441" s="1">
        <v>0.0</v>
      </c>
      <c r="J441" s="1">
        <v>1.0</v>
      </c>
      <c r="K441" s="1">
        <v>2.0</v>
      </c>
      <c r="L441" s="1">
        <v>226.93</v>
      </c>
      <c r="M441" s="1">
        <v>453.86</v>
      </c>
      <c r="N441" s="1" t="s">
        <v>21</v>
      </c>
      <c r="O441" s="1">
        <v>0.0</v>
      </c>
      <c r="P441" s="1" t="s">
        <v>1294</v>
      </c>
      <c r="Q441" s="1" t="str">
        <f t="shared" si="1"/>
        <v>x</v>
      </c>
      <c r="R441" s="1" t="str">
        <f t="shared" si="2"/>
        <v>x</v>
      </c>
      <c r="S441" s="1" t="str">
        <f t="shared" si="3"/>
        <v>x</v>
      </c>
      <c r="T441" s="1" t="str">
        <f t="shared" si="4"/>
        <v>OK</v>
      </c>
    </row>
    <row r="442" ht="15.75" customHeight="1">
      <c r="A442" s="1" t="s">
        <v>1295</v>
      </c>
      <c r="B442" s="1">
        <v>1.0044149E7</v>
      </c>
      <c r="C442" s="1" t="s">
        <v>21</v>
      </c>
      <c r="D442" s="1" t="s">
        <v>22</v>
      </c>
      <c r="E442" s="1" t="s">
        <v>129</v>
      </c>
      <c r="F442" s="1" t="s">
        <v>1296</v>
      </c>
      <c r="G442" s="1" t="s">
        <v>25</v>
      </c>
      <c r="H442" s="1">
        <v>5.0</v>
      </c>
      <c r="I442" s="1">
        <v>5.0</v>
      </c>
      <c r="J442" s="1">
        <v>5.0</v>
      </c>
      <c r="K442" s="1">
        <v>15.0</v>
      </c>
      <c r="L442" s="1">
        <v>30.11</v>
      </c>
      <c r="M442" s="1">
        <v>451.65</v>
      </c>
      <c r="N442" s="1" t="s">
        <v>21</v>
      </c>
      <c r="O442" s="1">
        <v>0.0</v>
      </c>
      <c r="P442" s="1" t="s">
        <v>1297</v>
      </c>
      <c r="Q442" s="1" t="str">
        <f t="shared" si="1"/>
        <v>x</v>
      </c>
      <c r="R442" s="1" t="str">
        <f t="shared" si="2"/>
        <v>x</v>
      </c>
      <c r="S442" s="1" t="str">
        <f t="shared" si="3"/>
        <v>x</v>
      </c>
      <c r="T442" s="1" t="str">
        <f t="shared" si="4"/>
        <v>OK</v>
      </c>
    </row>
    <row r="443" ht="15.75" customHeight="1">
      <c r="A443" s="1" t="s">
        <v>1298</v>
      </c>
      <c r="B443" s="1">
        <v>1.0510139E7</v>
      </c>
      <c r="C443" s="1" t="s">
        <v>21</v>
      </c>
      <c r="D443" s="1" t="s">
        <v>22</v>
      </c>
      <c r="E443" s="1" t="s">
        <v>544</v>
      </c>
      <c r="F443" s="1" t="s">
        <v>1299</v>
      </c>
      <c r="G443" s="1" t="s">
        <v>25</v>
      </c>
      <c r="H443" s="1">
        <v>340.0</v>
      </c>
      <c r="I443" s="1">
        <v>0.0</v>
      </c>
      <c r="J443" s="1">
        <v>0.0</v>
      </c>
      <c r="K443" s="1">
        <v>340.0</v>
      </c>
      <c r="L443" s="1">
        <v>1.27</v>
      </c>
      <c r="M443" s="1">
        <v>431.8</v>
      </c>
      <c r="N443" s="1" t="s">
        <v>21</v>
      </c>
      <c r="O443" s="1">
        <v>0.0</v>
      </c>
      <c r="P443" s="1" t="s">
        <v>1300</v>
      </c>
      <c r="Q443" s="1" t="str">
        <f t="shared" si="1"/>
        <v>x</v>
      </c>
      <c r="R443" s="1" t="str">
        <f t="shared" si="2"/>
        <v>x</v>
      </c>
      <c r="S443" s="1" t="str">
        <f t="shared" si="3"/>
        <v>x</v>
      </c>
      <c r="T443" s="1" t="str">
        <f t="shared" si="4"/>
        <v>OK</v>
      </c>
    </row>
    <row r="444" ht="15.75" customHeight="1">
      <c r="A444" s="1" t="s">
        <v>1301</v>
      </c>
      <c r="B444" s="1">
        <v>1.0755956E7</v>
      </c>
      <c r="C444" s="1" t="s">
        <v>21</v>
      </c>
      <c r="D444" s="1" t="s">
        <v>22</v>
      </c>
      <c r="E444" s="1" t="s">
        <v>449</v>
      </c>
      <c r="F444" s="1" t="s">
        <v>1302</v>
      </c>
      <c r="G444" s="1" t="s">
        <v>25</v>
      </c>
      <c r="H444" s="1">
        <v>3.0</v>
      </c>
      <c r="I444" s="1">
        <v>0.0</v>
      </c>
      <c r="J444" s="1">
        <v>3.0</v>
      </c>
      <c r="K444" s="1">
        <v>6.0</v>
      </c>
      <c r="L444" s="1">
        <v>71.14</v>
      </c>
      <c r="M444" s="1">
        <v>426.84</v>
      </c>
      <c r="N444" s="1" t="s">
        <v>21</v>
      </c>
      <c r="O444" s="1">
        <v>0.0</v>
      </c>
      <c r="P444" s="1" t="s">
        <v>1303</v>
      </c>
      <c r="Q444" s="1" t="str">
        <f t="shared" si="1"/>
        <v>x</v>
      </c>
      <c r="R444" s="1" t="str">
        <f t="shared" si="2"/>
        <v>x</v>
      </c>
      <c r="S444" s="1" t="str">
        <f t="shared" si="3"/>
        <v>x</v>
      </c>
      <c r="T444" s="1" t="str">
        <f t="shared" si="4"/>
        <v>OK</v>
      </c>
    </row>
    <row r="445" ht="15.75" customHeight="1">
      <c r="A445" s="1" t="s">
        <v>1304</v>
      </c>
      <c r="B445" s="1">
        <v>1.1007328E7</v>
      </c>
      <c r="C445" s="1" t="s">
        <v>21</v>
      </c>
      <c r="D445" s="1" t="s">
        <v>22</v>
      </c>
      <c r="E445" s="1" t="s">
        <v>129</v>
      </c>
      <c r="F445" s="1" t="s">
        <v>1305</v>
      </c>
      <c r="G445" s="1" t="s">
        <v>25</v>
      </c>
      <c r="H445" s="1">
        <v>3.0</v>
      </c>
      <c r="I445" s="1">
        <v>9.0</v>
      </c>
      <c r="J445" s="1">
        <v>9.0</v>
      </c>
      <c r="K445" s="1">
        <v>21.0</v>
      </c>
      <c r="L445" s="1">
        <v>20.19</v>
      </c>
      <c r="M445" s="1">
        <v>423.99</v>
      </c>
      <c r="N445" s="1" t="s">
        <v>21</v>
      </c>
      <c r="O445" s="1">
        <v>0.0</v>
      </c>
      <c r="P445" s="1" t="s">
        <v>1306</v>
      </c>
      <c r="Q445" s="1" t="str">
        <f t="shared" si="1"/>
        <v>x</v>
      </c>
      <c r="R445" s="1" t="str">
        <f t="shared" si="2"/>
        <v>x</v>
      </c>
      <c r="S445" s="1" t="str">
        <f t="shared" si="3"/>
        <v>x</v>
      </c>
      <c r="T445" s="1" t="str">
        <f t="shared" si="4"/>
        <v>OK</v>
      </c>
    </row>
    <row r="446" ht="15.75" customHeight="1">
      <c r="A446" s="1" t="s">
        <v>1307</v>
      </c>
      <c r="B446" s="1">
        <v>1.0691338E7</v>
      </c>
      <c r="C446" s="1" t="s">
        <v>21</v>
      </c>
      <c r="D446" s="1" t="s">
        <v>22</v>
      </c>
      <c r="E446" s="1" t="s">
        <v>118</v>
      </c>
      <c r="F446" s="1" t="s">
        <v>1308</v>
      </c>
      <c r="G446" s="1" t="s">
        <v>25</v>
      </c>
      <c r="H446" s="1">
        <v>3.0</v>
      </c>
      <c r="I446" s="1">
        <v>0.0</v>
      </c>
      <c r="J446" s="1">
        <v>0.0</v>
      </c>
      <c r="K446" s="1">
        <v>3.0</v>
      </c>
      <c r="L446" s="1">
        <v>141.17</v>
      </c>
      <c r="M446" s="1">
        <v>423.51</v>
      </c>
      <c r="N446" s="1" t="s">
        <v>21</v>
      </c>
      <c r="O446" s="1">
        <v>0.0</v>
      </c>
      <c r="P446" s="1" t="s">
        <v>1309</v>
      </c>
      <c r="Q446" s="1" t="str">
        <f t="shared" si="1"/>
        <v>x</v>
      </c>
      <c r="R446" s="1" t="str">
        <f t="shared" si="2"/>
        <v>x</v>
      </c>
      <c r="S446" s="1" t="str">
        <f t="shared" si="3"/>
        <v>x</v>
      </c>
      <c r="T446" s="1" t="str">
        <f t="shared" si="4"/>
        <v>OK</v>
      </c>
    </row>
    <row r="447" ht="15.75" customHeight="1">
      <c r="A447" s="1" t="s">
        <v>1310</v>
      </c>
      <c r="B447" s="1">
        <v>1.0479904E7</v>
      </c>
      <c r="C447" s="1" t="s">
        <v>21</v>
      </c>
      <c r="D447" s="1" t="s">
        <v>22</v>
      </c>
      <c r="E447" s="1" t="s">
        <v>140</v>
      </c>
      <c r="F447" s="1" t="s">
        <v>1311</v>
      </c>
      <c r="G447" s="1" t="s">
        <v>25</v>
      </c>
      <c r="H447" s="1">
        <v>7.0</v>
      </c>
      <c r="I447" s="1">
        <v>0.0</v>
      </c>
      <c r="J447" s="1">
        <v>3.0</v>
      </c>
      <c r="K447" s="1">
        <v>10.0</v>
      </c>
      <c r="L447" s="1">
        <v>41.96</v>
      </c>
      <c r="M447" s="1">
        <v>419.6</v>
      </c>
      <c r="N447" s="1" t="s">
        <v>21</v>
      </c>
      <c r="O447" s="1">
        <v>0.0</v>
      </c>
      <c r="P447" s="1" t="s">
        <v>1312</v>
      </c>
      <c r="Q447" s="1" t="str">
        <f t="shared" si="1"/>
        <v>x</v>
      </c>
      <c r="R447" s="1" t="str">
        <f t="shared" si="2"/>
        <v>x</v>
      </c>
      <c r="S447" s="1" t="str">
        <f t="shared" si="3"/>
        <v>x</v>
      </c>
      <c r="T447" s="1" t="str">
        <f t="shared" si="4"/>
        <v>OK</v>
      </c>
    </row>
    <row r="448" ht="15.75" customHeight="1">
      <c r="A448" s="1" t="s">
        <v>1313</v>
      </c>
      <c r="B448" s="1">
        <v>1.1359147E7</v>
      </c>
      <c r="C448" s="1" t="s">
        <v>21</v>
      </c>
      <c r="D448" s="1" t="s">
        <v>22</v>
      </c>
      <c r="E448" s="1" t="s">
        <v>23</v>
      </c>
      <c r="F448" s="1" t="s">
        <v>436</v>
      </c>
      <c r="G448" s="1" t="s">
        <v>25</v>
      </c>
      <c r="H448" s="1">
        <v>2.0</v>
      </c>
      <c r="I448" s="1">
        <v>0.0</v>
      </c>
      <c r="J448" s="1">
        <v>0.0</v>
      </c>
      <c r="K448" s="1">
        <v>2.0</v>
      </c>
      <c r="L448" s="1">
        <v>206.05</v>
      </c>
      <c r="M448" s="1">
        <v>412.1</v>
      </c>
      <c r="N448" s="1" t="s">
        <v>21</v>
      </c>
      <c r="O448" s="1">
        <v>0.0</v>
      </c>
      <c r="P448" s="1" t="s">
        <v>1314</v>
      </c>
      <c r="Q448" s="1" t="str">
        <f t="shared" si="1"/>
        <v>x</v>
      </c>
      <c r="R448" s="1" t="str">
        <f t="shared" si="2"/>
        <v>x</v>
      </c>
      <c r="S448" s="1" t="str">
        <f t="shared" si="3"/>
        <v>x</v>
      </c>
      <c r="T448" s="1" t="str">
        <f t="shared" si="4"/>
        <v>OK</v>
      </c>
    </row>
    <row r="449" ht="15.75" customHeight="1">
      <c r="A449" s="1" t="s">
        <v>1315</v>
      </c>
      <c r="B449" s="1">
        <v>1.0753716E7</v>
      </c>
      <c r="C449" s="1" t="s">
        <v>21</v>
      </c>
      <c r="D449" s="1" t="s">
        <v>22</v>
      </c>
      <c r="E449" s="1" t="s">
        <v>23</v>
      </c>
      <c r="F449" s="1" t="s">
        <v>1316</v>
      </c>
      <c r="G449" s="1" t="s">
        <v>25</v>
      </c>
      <c r="H449" s="1">
        <v>1.0</v>
      </c>
      <c r="I449" s="1">
        <v>0.0</v>
      </c>
      <c r="J449" s="1">
        <v>0.0</v>
      </c>
      <c r="K449" s="1">
        <v>1.0</v>
      </c>
      <c r="L449" s="1">
        <v>406.68</v>
      </c>
      <c r="M449" s="1">
        <v>406.68</v>
      </c>
      <c r="N449" s="1" t="s">
        <v>21</v>
      </c>
      <c r="O449" s="1">
        <v>0.0</v>
      </c>
      <c r="P449" s="1" t="s">
        <v>1317</v>
      </c>
      <c r="Q449" s="1" t="str">
        <f t="shared" si="1"/>
        <v>x</v>
      </c>
      <c r="R449" s="1" t="str">
        <f t="shared" si="2"/>
        <v>x</v>
      </c>
      <c r="S449" s="1" t="str">
        <f t="shared" si="3"/>
        <v>x</v>
      </c>
      <c r="T449" s="1" t="str">
        <f t="shared" si="4"/>
        <v>OK</v>
      </c>
    </row>
    <row r="450" ht="15.75" customHeight="1">
      <c r="A450" s="1" t="s">
        <v>1318</v>
      </c>
      <c r="B450" s="1">
        <v>1.0488431E7</v>
      </c>
      <c r="C450" s="1" t="s">
        <v>21</v>
      </c>
      <c r="D450" s="1" t="s">
        <v>22</v>
      </c>
      <c r="E450" s="1" t="s">
        <v>227</v>
      </c>
      <c r="F450" s="1" t="s">
        <v>1057</v>
      </c>
      <c r="G450" s="1" t="s">
        <v>25</v>
      </c>
      <c r="H450" s="1">
        <v>10.0</v>
      </c>
      <c r="I450" s="1">
        <v>0.0</v>
      </c>
      <c r="J450" s="1">
        <v>0.0</v>
      </c>
      <c r="K450" s="1">
        <v>10.0</v>
      </c>
      <c r="L450" s="1">
        <v>40.65</v>
      </c>
      <c r="M450" s="1">
        <v>406.5</v>
      </c>
      <c r="N450" s="1" t="s">
        <v>21</v>
      </c>
      <c r="O450" s="1">
        <v>0.0</v>
      </c>
      <c r="P450" s="1" t="s">
        <v>1319</v>
      </c>
      <c r="Q450" s="1" t="str">
        <f t="shared" si="1"/>
        <v>x</v>
      </c>
      <c r="R450" s="1" t="str">
        <f t="shared" si="2"/>
        <v>x</v>
      </c>
      <c r="S450" s="1" t="str">
        <f t="shared" si="3"/>
        <v>x</v>
      </c>
      <c r="T450" s="1" t="str">
        <f t="shared" si="4"/>
        <v>OK</v>
      </c>
    </row>
    <row r="451" ht="15.75" customHeight="1">
      <c r="A451" s="1" t="s">
        <v>1320</v>
      </c>
      <c r="B451" s="1">
        <v>1.0488435E7</v>
      </c>
      <c r="C451" s="1" t="s">
        <v>21</v>
      </c>
      <c r="D451" s="1" t="s">
        <v>22</v>
      </c>
      <c r="E451" s="1" t="s">
        <v>633</v>
      </c>
      <c r="F451" s="1" t="s">
        <v>1321</v>
      </c>
      <c r="G451" s="1" t="s">
        <v>25</v>
      </c>
      <c r="H451" s="1">
        <v>44.0</v>
      </c>
      <c r="I451" s="1">
        <v>44.0</v>
      </c>
      <c r="J451" s="1">
        <v>44.0</v>
      </c>
      <c r="K451" s="1">
        <v>132.0</v>
      </c>
      <c r="L451" s="1">
        <v>3.04</v>
      </c>
      <c r="M451" s="1">
        <v>401.28</v>
      </c>
      <c r="N451" s="1" t="s">
        <v>21</v>
      </c>
      <c r="O451" s="1">
        <v>0.0</v>
      </c>
      <c r="P451" s="1" t="s">
        <v>1322</v>
      </c>
      <c r="Q451" s="1" t="str">
        <f t="shared" si="1"/>
        <v>x</v>
      </c>
      <c r="R451" s="1" t="str">
        <f t="shared" si="2"/>
        <v>x</v>
      </c>
      <c r="S451" s="1" t="str">
        <f t="shared" si="3"/>
        <v>x</v>
      </c>
      <c r="T451" s="1" t="str">
        <f t="shared" si="4"/>
        <v>OK</v>
      </c>
    </row>
    <row r="452" ht="15.75" customHeight="1">
      <c r="A452" s="1" t="s">
        <v>1323</v>
      </c>
      <c r="B452" s="1">
        <v>1.0966162E7</v>
      </c>
      <c r="C452" s="1" t="s">
        <v>21</v>
      </c>
      <c r="D452" s="1" t="s">
        <v>22</v>
      </c>
      <c r="E452" s="1" t="s">
        <v>150</v>
      </c>
      <c r="F452" s="1" t="s">
        <v>1037</v>
      </c>
      <c r="G452" s="1" t="s">
        <v>25</v>
      </c>
      <c r="H452" s="1">
        <v>4.0</v>
      </c>
      <c r="I452" s="1">
        <v>0.0</v>
      </c>
      <c r="J452" s="1">
        <v>0.0</v>
      </c>
      <c r="K452" s="1">
        <v>4.0</v>
      </c>
      <c r="L452" s="1">
        <v>100.26</v>
      </c>
      <c r="M452" s="1">
        <v>401.04</v>
      </c>
      <c r="N452" s="1" t="s">
        <v>21</v>
      </c>
      <c r="O452" s="1">
        <v>0.0</v>
      </c>
      <c r="P452" s="1" t="s">
        <v>1324</v>
      </c>
      <c r="Q452" s="1" t="str">
        <f t="shared" si="1"/>
        <v>x</v>
      </c>
      <c r="R452" s="1" t="str">
        <f t="shared" si="2"/>
        <v>x</v>
      </c>
      <c r="S452" s="1" t="str">
        <f t="shared" si="3"/>
        <v>x</v>
      </c>
      <c r="T452" s="1" t="str">
        <f t="shared" si="4"/>
        <v>OK</v>
      </c>
    </row>
    <row r="453" ht="15.75" customHeight="1">
      <c r="A453" s="1" t="s">
        <v>1325</v>
      </c>
      <c r="B453" s="1">
        <v>1.0004462E7</v>
      </c>
      <c r="C453" s="1" t="s">
        <v>21</v>
      </c>
      <c r="D453" s="1" t="s">
        <v>22</v>
      </c>
      <c r="E453" s="1" t="s">
        <v>544</v>
      </c>
      <c r="F453" s="1" t="s">
        <v>1326</v>
      </c>
      <c r="G453" s="1" t="s">
        <v>25</v>
      </c>
      <c r="H453" s="1">
        <v>174.0</v>
      </c>
      <c r="I453" s="1">
        <v>0.0</v>
      </c>
      <c r="J453" s="1">
        <v>174.0</v>
      </c>
      <c r="K453" s="1">
        <v>348.0</v>
      </c>
      <c r="L453" s="1">
        <v>1.15</v>
      </c>
      <c r="M453" s="1">
        <v>400.2</v>
      </c>
      <c r="N453" s="1" t="s">
        <v>21</v>
      </c>
      <c r="O453" s="1">
        <v>0.0</v>
      </c>
      <c r="P453" s="1" t="s">
        <v>1327</v>
      </c>
      <c r="Q453" s="1" t="str">
        <f t="shared" si="1"/>
        <v>x</v>
      </c>
      <c r="R453" s="1" t="str">
        <f t="shared" si="2"/>
        <v>x</v>
      </c>
      <c r="S453" s="1" t="str">
        <f t="shared" si="3"/>
        <v>x</v>
      </c>
      <c r="T453" s="1" t="str">
        <f t="shared" si="4"/>
        <v>OK</v>
      </c>
    </row>
    <row r="454" ht="15.75" customHeight="1">
      <c r="A454" s="1" t="s">
        <v>1328</v>
      </c>
      <c r="B454" s="1">
        <v>1.0292406E7</v>
      </c>
      <c r="C454" s="1" t="s">
        <v>21</v>
      </c>
      <c r="D454" s="1" t="s">
        <v>22</v>
      </c>
      <c r="E454" s="1" t="s">
        <v>231</v>
      </c>
      <c r="F454" s="1" t="s">
        <v>1329</v>
      </c>
      <c r="G454" s="1" t="s">
        <v>25</v>
      </c>
      <c r="H454" s="1">
        <v>0.0</v>
      </c>
      <c r="I454" s="1">
        <v>18.0</v>
      </c>
      <c r="J454" s="1">
        <v>18.0</v>
      </c>
      <c r="K454" s="1">
        <v>36.0</v>
      </c>
      <c r="L454" s="1">
        <v>10.96</v>
      </c>
      <c r="M454" s="1">
        <v>394.56</v>
      </c>
      <c r="N454" s="1" t="s">
        <v>21</v>
      </c>
      <c r="O454" s="1">
        <v>0.0</v>
      </c>
      <c r="P454" s="1" t="s">
        <v>1330</v>
      </c>
      <c r="Q454" s="1" t="str">
        <f t="shared" si="1"/>
        <v>x</v>
      </c>
      <c r="R454" s="1" t="str">
        <f t="shared" si="2"/>
        <v>x</v>
      </c>
      <c r="S454" s="1" t="str">
        <f t="shared" si="3"/>
        <v>x</v>
      </c>
      <c r="T454" s="1" t="str">
        <f t="shared" si="4"/>
        <v>OK</v>
      </c>
    </row>
    <row r="455" ht="15.75" customHeight="1">
      <c r="A455" s="1" t="s">
        <v>1331</v>
      </c>
      <c r="B455" s="1">
        <v>1.1137005E7</v>
      </c>
      <c r="C455" s="1" t="s">
        <v>21</v>
      </c>
      <c r="D455" s="1" t="s">
        <v>22</v>
      </c>
      <c r="E455" s="1" t="s">
        <v>544</v>
      </c>
      <c r="F455" s="1" t="s">
        <v>1332</v>
      </c>
      <c r="G455" s="1" t="s">
        <v>25</v>
      </c>
      <c r="H455" s="1">
        <v>48.0</v>
      </c>
      <c r="I455" s="1">
        <v>68.0</v>
      </c>
      <c r="J455" s="1">
        <v>136.0</v>
      </c>
      <c r="K455" s="1">
        <v>252.0</v>
      </c>
      <c r="L455" s="1">
        <v>1.54</v>
      </c>
      <c r="M455" s="1">
        <v>388.08</v>
      </c>
      <c r="N455" s="1" t="s">
        <v>21</v>
      </c>
      <c r="O455" s="1">
        <v>0.0</v>
      </c>
      <c r="P455" s="1" t="s">
        <v>1333</v>
      </c>
      <c r="Q455" s="1" t="str">
        <f t="shared" si="1"/>
        <v>x</v>
      </c>
      <c r="R455" s="1" t="str">
        <f t="shared" si="2"/>
        <v>x</v>
      </c>
      <c r="S455" s="1" t="str">
        <f t="shared" si="3"/>
        <v>x</v>
      </c>
      <c r="T455" s="1" t="str">
        <f t="shared" si="4"/>
        <v>OK</v>
      </c>
    </row>
    <row r="456" ht="15.75" customHeight="1">
      <c r="A456" s="1" t="s">
        <v>1334</v>
      </c>
      <c r="B456" s="1">
        <v>1.0030309E7</v>
      </c>
      <c r="C456" s="1" t="s">
        <v>21</v>
      </c>
      <c r="D456" s="1" t="s">
        <v>22</v>
      </c>
      <c r="E456" s="1" t="s">
        <v>129</v>
      </c>
      <c r="F456" s="1" t="s">
        <v>1335</v>
      </c>
      <c r="G456" s="1" t="s">
        <v>25</v>
      </c>
      <c r="H456" s="1">
        <v>13.0</v>
      </c>
      <c r="I456" s="1">
        <v>0.0</v>
      </c>
      <c r="J456" s="1">
        <v>6.0</v>
      </c>
      <c r="K456" s="1">
        <v>19.0</v>
      </c>
      <c r="L456" s="1">
        <v>20.42</v>
      </c>
      <c r="M456" s="1">
        <v>387.98</v>
      </c>
      <c r="N456" s="1" t="s">
        <v>21</v>
      </c>
      <c r="O456" s="1">
        <v>0.0</v>
      </c>
      <c r="P456" s="1" t="s">
        <v>1336</v>
      </c>
      <c r="Q456" s="1" t="str">
        <f t="shared" si="1"/>
        <v>x</v>
      </c>
      <c r="R456" s="1" t="str">
        <f t="shared" si="2"/>
        <v>x</v>
      </c>
      <c r="S456" s="1" t="str">
        <f t="shared" si="3"/>
        <v>x</v>
      </c>
      <c r="T456" s="1" t="str">
        <f t="shared" si="4"/>
        <v>OK</v>
      </c>
    </row>
    <row r="457" ht="15.75" customHeight="1">
      <c r="A457" s="1" t="s">
        <v>1337</v>
      </c>
      <c r="B457" s="1">
        <v>1.086321E7</v>
      </c>
      <c r="C457" s="1" t="s">
        <v>21</v>
      </c>
      <c r="D457" s="1" t="s">
        <v>22</v>
      </c>
      <c r="E457" s="1" t="s">
        <v>129</v>
      </c>
      <c r="F457" s="1" t="s">
        <v>1338</v>
      </c>
      <c r="G457" s="1" t="s">
        <v>25</v>
      </c>
      <c r="H457" s="1">
        <v>6.0</v>
      </c>
      <c r="I457" s="1">
        <v>2.0</v>
      </c>
      <c r="J457" s="1">
        <v>4.0</v>
      </c>
      <c r="K457" s="1">
        <v>12.0</v>
      </c>
      <c r="L457" s="1">
        <v>32.26</v>
      </c>
      <c r="M457" s="1">
        <v>387.12</v>
      </c>
      <c r="N457" s="1" t="s">
        <v>21</v>
      </c>
      <c r="O457" s="1">
        <v>0.0</v>
      </c>
      <c r="P457" s="1" t="s">
        <v>1339</v>
      </c>
      <c r="Q457" s="1" t="str">
        <f t="shared" si="1"/>
        <v>x</v>
      </c>
      <c r="R457" s="1" t="str">
        <f t="shared" si="2"/>
        <v>x</v>
      </c>
      <c r="S457" s="1" t="str">
        <f t="shared" si="3"/>
        <v>x</v>
      </c>
      <c r="T457" s="1" t="str">
        <f t="shared" si="4"/>
        <v>OK</v>
      </c>
    </row>
    <row r="458" ht="15.75" customHeight="1">
      <c r="A458" s="1" t="s">
        <v>1340</v>
      </c>
      <c r="B458" s="1">
        <v>1.1870273E7</v>
      </c>
      <c r="C458" s="1">
        <v>1.1105102E7</v>
      </c>
      <c r="D458" s="1" t="s">
        <v>22</v>
      </c>
      <c r="E458" s="1" t="s">
        <v>129</v>
      </c>
      <c r="F458" s="1" t="s">
        <v>682</v>
      </c>
      <c r="G458" s="1" t="s">
        <v>25</v>
      </c>
      <c r="H458" s="1">
        <v>10.0</v>
      </c>
      <c r="I458" s="1">
        <v>0.0</v>
      </c>
      <c r="J458" s="1">
        <v>0.0</v>
      </c>
      <c r="K458" s="1">
        <v>10.0</v>
      </c>
      <c r="L458" s="1">
        <v>37.07</v>
      </c>
      <c r="M458" s="1">
        <v>370.7</v>
      </c>
      <c r="N458" s="1" t="s">
        <v>21</v>
      </c>
      <c r="O458" s="1">
        <v>0.0</v>
      </c>
      <c r="P458" s="1" t="s">
        <v>1341</v>
      </c>
      <c r="Q458" s="1" t="str">
        <f t="shared" si="1"/>
        <v>x</v>
      </c>
      <c r="R458" s="1" t="str">
        <f t="shared" si="2"/>
        <v>x</v>
      </c>
      <c r="S458" s="1" t="str">
        <f t="shared" si="3"/>
        <v>x</v>
      </c>
      <c r="T458" s="1" t="str">
        <f t="shared" si="4"/>
        <v>OK</v>
      </c>
    </row>
    <row r="459" ht="15.75" customHeight="1">
      <c r="A459" s="1" t="s">
        <v>1342</v>
      </c>
      <c r="B459" s="1">
        <v>1.0958255E7</v>
      </c>
      <c r="C459" s="1" t="s">
        <v>21</v>
      </c>
      <c r="D459" s="1" t="s">
        <v>22</v>
      </c>
      <c r="E459" s="1" t="s">
        <v>23</v>
      </c>
      <c r="F459" s="1" t="s">
        <v>1343</v>
      </c>
      <c r="G459" s="1" t="s">
        <v>25</v>
      </c>
      <c r="H459" s="1">
        <v>0.0</v>
      </c>
      <c r="I459" s="1">
        <v>1.0</v>
      </c>
      <c r="J459" s="1">
        <v>1.0</v>
      </c>
      <c r="K459" s="1">
        <v>2.0</v>
      </c>
      <c r="L459" s="1">
        <v>184.9</v>
      </c>
      <c r="M459" s="1">
        <v>369.8</v>
      </c>
      <c r="N459" s="1" t="s">
        <v>21</v>
      </c>
      <c r="O459" s="1">
        <v>0.0</v>
      </c>
      <c r="P459" s="1" t="s">
        <v>1344</v>
      </c>
      <c r="Q459" s="1" t="str">
        <f t="shared" si="1"/>
        <v>x</v>
      </c>
      <c r="R459" s="1" t="str">
        <f t="shared" si="2"/>
        <v>x</v>
      </c>
      <c r="S459" s="1" t="str">
        <f t="shared" si="3"/>
        <v>x</v>
      </c>
      <c r="T459" s="1" t="str">
        <f t="shared" si="4"/>
        <v>OK</v>
      </c>
    </row>
    <row r="460" ht="15.75" customHeight="1">
      <c r="A460" s="1" t="s">
        <v>1345</v>
      </c>
      <c r="B460" s="1">
        <v>1.0034666E7</v>
      </c>
      <c r="C460" s="1" t="s">
        <v>21</v>
      </c>
      <c r="D460" s="1" t="s">
        <v>22</v>
      </c>
      <c r="E460" s="1" t="s">
        <v>195</v>
      </c>
      <c r="F460" s="1" t="s">
        <v>1346</v>
      </c>
      <c r="G460" s="1" t="s">
        <v>25</v>
      </c>
      <c r="H460" s="1">
        <v>22.0</v>
      </c>
      <c r="I460" s="1">
        <v>0.0</v>
      </c>
      <c r="J460" s="1">
        <v>0.0</v>
      </c>
      <c r="K460" s="1">
        <v>22.0</v>
      </c>
      <c r="L460" s="1">
        <v>16.61</v>
      </c>
      <c r="M460" s="1">
        <v>365.42</v>
      </c>
      <c r="N460" s="1" t="s">
        <v>21</v>
      </c>
      <c r="O460" s="1">
        <v>0.0</v>
      </c>
      <c r="P460" s="1" t="s">
        <v>1347</v>
      </c>
      <c r="Q460" s="1" t="str">
        <f t="shared" si="1"/>
        <v>x</v>
      </c>
      <c r="R460" s="1" t="str">
        <f t="shared" si="2"/>
        <v>x</v>
      </c>
      <c r="S460" s="1" t="str">
        <f t="shared" si="3"/>
        <v>x</v>
      </c>
      <c r="T460" s="1" t="str">
        <f t="shared" si="4"/>
        <v>OK</v>
      </c>
    </row>
    <row r="461" ht="15.75" customHeight="1">
      <c r="A461" s="1" t="s">
        <v>1348</v>
      </c>
      <c r="B461" s="1">
        <v>1.075299E7</v>
      </c>
      <c r="C461" s="1" t="s">
        <v>21</v>
      </c>
      <c r="D461" s="1" t="s">
        <v>22</v>
      </c>
      <c r="E461" s="1" t="s">
        <v>738</v>
      </c>
      <c r="F461" s="1" t="s">
        <v>812</v>
      </c>
      <c r="G461" s="1" t="s">
        <v>25</v>
      </c>
      <c r="H461" s="1">
        <v>57.0</v>
      </c>
      <c r="I461" s="1">
        <v>57.0</v>
      </c>
      <c r="J461" s="1">
        <v>57.0</v>
      </c>
      <c r="K461" s="1">
        <v>171.0</v>
      </c>
      <c r="L461" s="1">
        <v>2.11</v>
      </c>
      <c r="M461" s="1">
        <v>360.81</v>
      </c>
      <c r="N461" s="1" t="s">
        <v>21</v>
      </c>
      <c r="O461" s="1">
        <v>0.0</v>
      </c>
      <c r="P461" s="1" t="s">
        <v>1349</v>
      </c>
      <c r="Q461" s="1" t="str">
        <f t="shared" si="1"/>
        <v>x</v>
      </c>
      <c r="R461" s="1" t="str">
        <f t="shared" si="2"/>
        <v>x</v>
      </c>
      <c r="S461" s="1" t="str">
        <f t="shared" si="3"/>
        <v>x</v>
      </c>
      <c r="T461" s="1" t="str">
        <f t="shared" si="4"/>
        <v>OK</v>
      </c>
    </row>
    <row r="462" ht="15.75" customHeight="1">
      <c r="A462" s="1" t="s">
        <v>1350</v>
      </c>
      <c r="B462" s="1">
        <v>1.0941743E7</v>
      </c>
      <c r="C462" s="1">
        <v>1.0294762E7</v>
      </c>
      <c r="D462" s="1" t="s">
        <v>22</v>
      </c>
      <c r="E462" s="1" t="s">
        <v>23</v>
      </c>
      <c r="F462" s="1" t="s">
        <v>420</v>
      </c>
      <c r="G462" s="1" t="s">
        <v>25</v>
      </c>
      <c r="H462" s="1">
        <v>2.0</v>
      </c>
      <c r="I462" s="1">
        <v>0.0</v>
      </c>
      <c r="J462" s="1">
        <v>0.0</v>
      </c>
      <c r="K462" s="1">
        <v>2.0</v>
      </c>
      <c r="L462" s="1">
        <v>179.05</v>
      </c>
      <c r="M462" s="1">
        <v>358.1</v>
      </c>
      <c r="N462" s="1" t="s">
        <v>21</v>
      </c>
      <c r="O462" s="1">
        <v>0.0</v>
      </c>
      <c r="P462" s="1" t="s">
        <v>1351</v>
      </c>
      <c r="Q462" s="1" t="str">
        <f t="shared" si="1"/>
        <v>x</v>
      </c>
      <c r="R462" s="1" t="str">
        <f t="shared" si="2"/>
        <v>x</v>
      </c>
      <c r="S462" s="1" t="str">
        <f t="shared" si="3"/>
        <v>x</v>
      </c>
      <c r="T462" s="1" t="str">
        <f t="shared" si="4"/>
        <v>OK</v>
      </c>
    </row>
    <row r="463" ht="15.75" customHeight="1">
      <c r="A463" s="1" t="s">
        <v>1352</v>
      </c>
      <c r="B463" s="1">
        <v>1.0488487E7</v>
      </c>
      <c r="C463" s="1" t="s">
        <v>21</v>
      </c>
      <c r="D463" s="1" t="s">
        <v>22</v>
      </c>
      <c r="E463" s="1" t="s">
        <v>231</v>
      </c>
      <c r="F463" s="1" t="s">
        <v>1353</v>
      </c>
      <c r="G463" s="1" t="s">
        <v>25</v>
      </c>
      <c r="H463" s="1">
        <v>23.0</v>
      </c>
      <c r="I463" s="1">
        <v>23.0</v>
      </c>
      <c r="J463" s="1">
        <v>23.0</v>
      </c>
      <c r="K463" s="1">
        <v>69.0</v>
      </c>
      <c r="L463" s="1">
        <v>5.0</v>
      </c>
      <c r="M463" s="1">
        <v>345.0</v>
      </c>
      <c r="N463" s="1" t="s">
        <v>21</v>
      </c>
      <c r="O463" s="1">
        <v>0.0</v>
      </c>
      <c r="P463" s="1" t="s">
        <v>1354</v>
      </c>
      <c r="Q463" s="1" t="str">
        <f t="shared" si="1"/>
        <v>x</v>
      </c>
      <c r="R463" s="1" t="str">
        <f t="shared" si="2"/>
        <v>x</v>
      </c>
      <c r="S463" s="1" t="str">
        <f t="shared" si="3"/>
        <v>x</v>
      </c>
      <c r="T463" s="1" t="str">
        <f t="shared" si="4"/>
        <v>OK</v>
      </c>
    </row>
    <row r="464" ht="15.75" customHeight="1">
      <c r="A464" s="1" t="s">
        <v>1355</v>
      </c>
      <c r="B464" s="1">
        <v>1.053578E7</v>
      </c>
      <c r="C464" s="1" t="s">
        <v>21</v>
      </c>
      <c r="D464" s="1" t="s">
        <v>22</v>
      </c>
      <c r="E464" s="1" t="s">
        <v>513</v>
      </c>
      <c r="F464" s="1" t="s">
        <v>1356</v>
      </c>
      <c r="G464" s="1" t="s">
        <v>25</v>
      </c>
      <c r="H464" s="1">
        <v>304.0</v>
      </c>
      <c r="I464" s="1">
        <v>48.0</v>
      </c>
      <c r="J464" s="1">
        <v>160.0</v>
      </c>
      <c r="K464" s="1">
        <v>512.0</v>
      </c>
      <c r="L464" s="1">
        <v>0.65</v>
      </c>
      <c r="M464" s="1">
        <v>332.8</v>
      </c>
      <c r="N464" s="1" t="s">
        <v>21</v>
      </c>
      <c r="O464" s="1">
        <v>0.0</v>
      </c>
      <c r="P464" s="1" t="s">
        <v>1357</v>
      </c>
      <c r="Q464" s="1" t="str">
        <f t="shared" si="1"/>
        <v>x</v>
      </c>
      <c r="R464" s="1" t="str">
        <f t="shared" si="2"/>
        <v>x</v>
      </c>
      <c r="S464" s="1" t="str">
        <f t="shared" si="3"/>
        <v>x</v>
      </c>
      <c r="T464" s="1" t="str">
        <f t="shared" si="4"/>
        <v>OK</v>
      </c>
    </row>
    <row r="465" ht="15.75" customHeight="1">
      <c r="A465" s="1" t="s">
        <v>1358</v>
      </c>
      <c r="B465" s="1">
        <v>1.0000409E7</v>
      </c>
      <c r="C465" s="1" t="s">
        <v>21</v>
      </c>
      <c r="D465" s="1" t="s">
        <v>22</v>
      </c>
      <c r="E465" s="1" t="s">
        <v>620</v>
      </c>
      <c r="F465" s="1" t="s">
        <v>1288</v>
      </c>
      <c r="G465" s="1" t="s">
        <v>25</v>
      </c>
      <c r="H465" s="1">
        <v>35.0</v>
      </c>
      <c r="I465" s="1">
        <v>0.0</v>
      </c>
      <c r="J465" s="1">
        <v>35.0</v>
      </c>
      <c r="K465" s="1">
        <v>70.0</v>
      </c>
      <c r="L465" s="1">
        <v>4.73</v>
      </c>
      <c r="M465" s="1">
        <v>331.1</v>
      </c>
      <c r="N465" s="1" t="s">
        <v>21</v>
      </c>
      <c r="O465" s="1">
        <v>0.0</v>
      </c>
      <c r="P465" s="1" t="s">
        <v>1359</v>
      </c>
      <c r="Q465" s="1" t="str">
        <f t="shared" si="1"/>
        <v>x</v>
      </c>
      <c r="R465" s="1" t="str">
        <f t="shared" si="2"/>
        <v>x</v>
      </c>
      <c r="S465" s="1" t="str">
        <f t="shared" si="3"/>
        <v>x</v>
      </c>
      <c r="T465" s="1" t="str">
        <f t="shared" si="4"/>
        <v>OK</v>
      </c>
    </row>
    <row r="466" ht="15.75" customHeight="1">
      <c r="A466" s="1" t="s">
        <v>1360</v>
      </c>
      <c r="B466" s="1">
        <v>1.0083913E7</v>
      </c>
      <c r="C466" s="1" t="s">
        <v>21</v>
      </c>
      <c r="D466" s="1" t="s">
        <v>22</v>
      </c>
      <c r="E466" s="1" t="s">
        <v>231</v>
      </c>
      <c r="F466" s="1" t="s">
        <v>627</v>
      </c>
      <c r="G466" s="1" t="s">
        <v>25</v>
      </c>
      <c r="H466" s="1">
        <v>0.0</v>
      </c>
      <c r="I466" s="1">
        <v>20.0</v>
      </c>
      <c r="J466" s="1">
        <v>20.0</v>
      </c>
      <c r="K466" s="1">
        <v>40.0</v>
      </c>
      <c r="L466" s="1">
        <v>8.11</v>
      </c>
      <c r="M466" s="1">
        <v>324.4</v>
      </c>
      <c r="N466" s="1" t="s">
        <v>21</v>
      </c>
      <c r="O466" s="1">
        <v>0.0</v>
      </c>
      <c r="P466" s="1" t="s">
        <v>1361</v>
      </c>
      <c r="Q466" s="1" t="str">
        <f t="shared" si="1"/>
        <v>x</v>
      </c>
      <c r="R466" s="1" t="str">
        <f t="shared" si="2"/>
        <v>x</v>
      </c>
      <c r="S466" s="1" t="str">
        <f t="shared" si="3"/>
        <v>x</v>
      </c>
      <c r="T466" s="1" t="str">
        <f t="shared" si="4"/>
        <v>OK</v>
      </c>
    </row>
    <row r="467" ht="15.75" customHeight="1">
      <c r="A467" s="1" t="s">
        <v>1362</v>
      </c>
      <c r="B467" s="1">
        <v>1.0569124E7</v>
      </c>
      <c r="C467" s="1" t="s">
        <v>21</v>
      </c>
      <c r="D467" s="1" t="s">
        <v>22</v>
      </c>
      <c r="E467" s="1" t="s">
        <v>785</v>
      </c>
      <c r="F467" s="1" t="s">
        <v>1363</v>
      </c>
      <c r="G467" s="1" t="s">
        <v>25</v>
      </c>
      <c r="H467" s="1">
        <v>0.0</v>
      </c>
      <c r="I467" s="1">
        <v>0.0</v>
      </c>
      <c r="J467" s="1">
        <v>528.0</v>
      </c>
      <c r="K467" s="1">
        <v>528.0</v>
      </c>
      <c r="L467" s="1">
        <v>0.61</v>
      </c>
      <c r="M467" s="1">
        <v>322.08</v>
      </c>
      <c r="N467" s="1" t="s">
        <v>21</v>
      </c>
      <c r="O467" s="1">
        <v>0.0</v>
      </c>
      <c r="P467" s="1" t="s">
        <v>1364</v>
      </c>
      <c r="Q467" s="1" t="str">
        <f t="shared" si="1"/>
        <v>x</v>
      </c>
      <c r="R467" s="1" t="str">
        <f t="shared" si="2"/>
        <v>x</v>
      </c>
      <c r="S467" s="1" t="str">
        <f t="shared" si="3"/>
        <v>x</v>
      </c>
      <c r="T467" s="1" t="str">
        <f t="shared" si="4"/>
        <v>OK</v>
      </c>
    </row>
    <row r="468" ht="15.75" customHeight="1">
      <c r="A468" s="1" t="s">
        <v>1365</v>
      </c>
      <c r="B468" s="1">
        <v>1.0006291E7</v>
      </c>
      <c r="C468" s="1" t="s">
        <v>21</v>
      </c>
      <c r="D468" s="1" t="s">
        <v>22</v>
      </c>
      <c r="E468" s="1" t="s">
        <v>544</v>
      </c>
      <c r="F468" s="1" t="s">
        <v>1366</v>
      </c>
      <c r="G468" s="1" t="s">
        <v>25</v>
      </c>
      <c r="H468" s="1">
        <v>200.0</v>
      </c>
      <c r="I468" s="1">
        <v>0.0</v>
      </c>
      <c r="J468" s="1">
        <v>0.0</v>
      </c>
      <c r="K468" s="1">
        <v>200.0</v>
      </c>
      <c r="L468" s="1">
        <v>1.61</v>
      </c>
      <c r="M468" s="1">
        <v>322.0</v>
      </c>
      <c r="N468" s="1" t="s">
        <v>21</v>
      </c>
      <c r="O468" s="1">
        <v>0.0</v>
      </c>
      <c r="P468" s="1" t="s">
        <v>1367</v>
      </c>
      <c r="Q468" s="1" t="str">
        <f t="shared" si="1"/>
        <v>x</v>
      </c>
      <c r="R468" s="1" t="str">
        <f t="shared" si="2"/>
        <v>x</v>
      </c>
      <c r="S468" s="1" t="str">
        <f t="shared" si="3"/>
        <v>x</v>
      </c>
      <c r="T468" s="1" t="str">
        <f t="shared" si="4"/>
        <v>OK</v>
      </c>
    </row>
    <row r="469" ht="15.75" customHeight="1">
      <c r="A469" s="1" t="s">
        <v>1368</v>
      </c>
      <c r="B469" s="1">
        <v>1.1825539E7</v>
      </c>
      <c r="C469" s="1" t="s">
        <v>21</v>
      </c>
      <c r="D469" s="1" t="s">
        <v>22</v>
      </c>
      <c r="E469" s="1" t="s">
        <v>129</v>
      </c>
      <c r="F469" s="1" t="s">
        <v>1369</v>
      </c>
      <c r="G469" s="1" t="s">
        <v>25</v>
      </c>
      <c r="H469" s="1">
        <v>6.0</v>
      </c>
      <c r="I469" s="1">
        <v>0.0</v>
      </c>
      <c r="J469" s="1">
        <v>3.0</v>
      </c>
      <c r="K469" s="1">
        <v>9.0</v>
      </c>
      <c r="L469" s="1">
        <v>34.19</v>
      </c>
      <c r="M469" s="1">
        <v>307.71</v>
      </c>
      <c r="N469" s="1" t="s">
        <v>21</v>
      </c>
      <c r="O469" s="1">
        <v>0.0</v>
      </c>
      <c r="P469" s="1" t="s">
        <v>1370</v>
      </c>
      <c r="Q469" s="1" t="str">
        <f t="shared" si="1"/>
        <v>x</v>
      </c>
      <c r="R469" s="1" t="str">
        <f t="shared" si="2"/>
        <v>x</v>
      </c>
      <c r="S469" s="1" t="str">
        <f t="shared" si="3"/>
        <v>x</v>
      </c>
      <c r="T469" s="1" t="str">
        <f t="shared" si="4"/>
        <v>OK</v>
      </c>
    </row>
    <row r="470" ht="15.75" customHeight="1">
      <c r="A470" s="1" t="s">
        <v>1371</v>
      </c>
      <c r="B470" s="1">
        <v>1.0000449E7</v>
      </c>
      <c r="C470" s="1" t="s">
        <v>21</v>
      </c>
      <c r="D470" s="1" t="s">
        <v>22</v>
      </c>
      <c r="E470" s="1" t="s">
        <v>1051</v>
      </c>
      <c r="F470" s="1" t="s">
        <v>1372</v>
      </c>
      <c r="G470" s="1" t="s">
        <v>25</v>
      </c>
      <c r="H470" s="1">
        <v>1483.0</v>
      </c>
      <c r="I470" s="1">
        <v>1176.0</v>
      </c>
      <c r="J470" s="1">
        <v>1176.0</v>
      </c>
      <c r="K470" s="1">
        <v>3835.0</v>
      </c>
      <c r="L470" s="1">
        <v>0.08</v>
      </c>
      <c r="M470" s="1">
        <v>306.8</v>
      </c>
      <c r="N470" s="1" t="s">
        <v>21</v>
      </c>
      <c r="O470" s="1">
        <v>0.0</v>
      </c>
      <c r="P470" s="1" t="s">
        <v>1373</v>
      </c>
      <c r="Q470" s="1" t="str">
        <f t="shared" si="1"/>
        <v>x</v>
      </c>
      <c r="R470" s="1" t="str">
        <f t="shared" si="2"/>
        <v>x</v>
      </c>
      <c r="S470" s="1" t="str">
        <f t="shared" si="3"/>
        <v>x</v>
      </c>
      <c r="T470" s="1" t="str">
        <f t="shared" si="4"/>
        <v>OK</v>
      </c>
    </row>
    <row r="471" ht="15.75" customHeight="1">
      <c r="A471" s="1" t="s">
        <v>1374</v>
      </c>
      <c r="B471" s="1">
        <v>1.0873673E7</v>
      </c>
      <c r="C471" s="1" t="s">
        <v>21</v>
      </c>
      <c r="D471" s="1" t="s">
        <v>22</v>
      </c>
      <c r="E471" s="1" t="s">
        <v>513</v>
      </c>
      <c r="F471" s="1" t="s">
        <v>1274</v>
      </c>
      <c r="G471" s="1" t="s">
        <v>25</v>
      </c>
      <c r="H471" s="1">
        <v>462.0</v>
      </c>
      <c r="I471" s="1">
        <v>0.0</v>
      </c>
      <c r="J471" s="1">
        <v>0.0</v>
      </c>
      <c r="K471" s="1">
        <v>462.0</v>
      </c>
      <c r="L471" s="1">
        <v>0.65</v>
      </c>
      <c r="M471" s="1">
        <v>300.3</v>
      </c>
      <c r="N471" s="1" t="s">
        <v>21</v>
      </c>
      <c r="O471" s="1">
        <v>0.0</v>
      </c>
      <c r="P471" s="1" t="s">
        <v>1375</v>
      </c>
      <c r="Q471" s="1" t="str">
        <f t="shared" si="1"/>
        <v>x</v>
      </c>
      <c r="R471" s="1" t="str">
        <f t="shared" si="2"/>
        <v>x</v>
      </c>
      <c r="S471" s="1" t="str">
        <f t="shared" si="3"/>
        <v>x</v>
      </c>
      <c r="T471" s="1" t="str">
        <f t="shared" si="4"/>
        <v>OK</v>
      </c>
    </row>
    <row r="472" ht="15.75" customHeight="1">
      <c r="A472" s="1" t="s">
        <v>1376</v>
      </c>
      <c r="B472" s="1">
        <v>1.0755941E7</v>
      </c>
      <c r="C472" s="1" t="s">
        <v>21</v>
      </c>
      <c r="D472" s="1" t="s">
        <v>22</v>
      </c>
      <c r="E472" s="1" t="s">
        <v>449</v>
      </c>
      <c r="F472" s="1" t="s">
        <v>1377</v>
      </c>
      <c r="G472" s="1" t="s">
        <v>25</v>
      </c>
      <c r="H472" s="1">
        <v>2.0</v>
      </c>
      <c r="I472" s="1">
        <v>0.0</v>
      </c>
      <c r="J472" s="1">
        <v>2.0</v>
      </c>
      <c r="K472" s="1">
        <v>4.0</v>
      </c>
      <c r="L472" s="1">
        <v>73.57</v>
      </c>
      <c r="M472" s="1">
        <v>294.28</v>
      </c>
      <c r="N472" s="1" t="s">
        <v>21</v>
      </c>
      <c r="O472" s="1">
        <v>0.0</v>
      </c>
      <c r="P472" s="1" t="s">
        <v>1378</v>
      </c>
      <c r="Q472" s="1" t="str">
        <f t="shared" si="1"/>
        <v>x</v>
      </c>
      <c r="R472" s="1" t="str">
        <f t="shared" si="2"/>
        <v>x</v>
      </c>
      <c r="S472" s="1" t="str">
        <f t="shared" si="3"/>
        <v>x</v>
      </c>
      <c r="T472" s="1" t="str">
        <f t="shared" si="4"/>
        <v>OK</v>
      </c>
    </row>
    <row r="473" ht="15.75" customHeight="1">
      <c r="A473" s="1" t="s">
        <v>1379</v>
      </c>
      <c r="B473" s="1">
        <v>1.0745855E7</v>
      </c>
      <c r="C473" s="1" t="s">
        <v>21</v>
      </c>
      <c r="D473" s="1" t="s">
        <v>22</v>
      </c>
      <c r="E473" s="1" t="s">
        <v>129</v>
      </c>
      <c r="F473" s="1" t="s">
        <v>745</v>
      </c>
      <c r="G473" s="1" t="s">
        <v>25</v>
      </c>
      <c r="H473" s="1">
        <v>8.0</v>
      </c>
      <c r="I473" s="1">
        <v>0.0</v>
      </c>
      <c r="J473" s="1">
        <v>0.0</v>
      </c>
      <c r="K473" s="1">
        <v>8.0</v>
      </c>
      <c r="L473" s="1">
        <v>36.46</v>
      </c>
      <c r="M473" s="1">
        <v>291.68</v>
      </c>
      <c r="N473" s="1" t="s">
        <v>21</v>
      </c>
      <c r="O473" s="1">
        <v>0.0</v>
      </c>
      <c r="P473" s="1" t="s">
        <v>1380</v>
      </c>
      <c r="Q473" s="1" t="str">
        <f t="shared" si="1"/>
        <v>x</v>
      </c>
      <c r="R473" s="1" t="str">
        <f t="shared" si="2"/>
        <v>x</v>
      </c>
      <c r="S473" s="1" t="str">
        <f t="shared" si="3"/>
        <v>x</v>
      </c>
      <c r="T473" s="1" t="str">
        <f t="shared" si="4"/>
        <v>OK</v>
      </c>
    </row>
    <row r="474" ht="15.75" customHeight="1">
      <c r="A474" s="1" t="s">
        <v>1381</v>
      </c>
      <c r="B474" s="1">
        <v>1.1459709E7</v>
      </c>
      <c r="C474" s="1" t="s">
        <v>21</v>
      </c>
      <c r="D474" s="1" t="s">
        <v>22</v>
      </c>
      <c r="E474" s="1" t="s">
        <v>129</v>
      </c>
      <c r="F474" s="1" t="s">
        <v>1382</v>
      </c>
      <c r="G474" s="1" t="s">
        <v>25</v>
      </c>
      <c r="H474" s="1">
        <v>8.0</v>
      </c>
      <c r="I474" s="1">
        <v>8.0</v>
      </c>
      <c r="J474" s="1">
        <v>0.0</v>
      </c>
      <c r="K474" s="1">
        <v>16.0</v>
      </c>
      <c r="L474" s="1">
        <v>18.23</v>
      </c>
      <c r="M474" s="1">
        <v>291.68</v>
      </c>
      <c r="N474" s="1" t="s">
        <v>21</v>
      </c>
      <c r="O474" s="1">
        <v>0.0</v>
      </c>
      <c r="P474" s="1" t="s">
        <v>1383</v>
      </c>
      <c r="Q474" s="1" t="str">
        <f t="shared" si="1"/>
        <v>x</v>
      </c>
      <c r="R474" s="1" t="str">
        <f t="shared" si="2"/>
        <v>x</v>
      </c>
      <c r="S474" s="1" t="str">
        <f t="shared" si="3"/>
        <v>x</v>
      </c>
      <c r="T474" s="1" t="str">
        <f t="shared" si="4"/>
        <v>OK</v>
      </c>
    </row>
    <row r="475" ht="15.75" customHeight="1">
      <c r="A475" s="1" t="s">
        <v>1384</v>
      </c>
      <c r="B475" s="1">
        <v>1.075299E7</v>
      </c>
      <c r="C475" s="1" t="s">
        <v>21</v>
      </c>
      <c r="D475" s="1" t="s">
        <v>22</v>
      </c>
      <c r="E475" s="1" t="s">
        <v>544</v>
      </c>
      <c r="F475" s="1" t="s">
        <v>812</v>
      </c>
      <c r="G475" s="1" t="s">
        <v>25</v>
      </c>
      <c r="H475" s="1">
        <v>57.0</v>
      </c>
      <c r="I475" s="1">
        <v>40.0</v>
      </c>
      <c r="J475" s="1">
        <v>40.0</v>
      </c>
      <c r="K475" s="1">
        <v>137.0</v>
      </c>
      <c r="L475" s="1">
        <v>2.11</v>
      </c>
      <c r="M475" s="1">
        <v>289.07</v>
      </c>
      <c r="N475" s="1" t="s">
        <v>21</v>
      </c>
      <c r="O475" s="1">
        <v>0.0</v>
      </c>
      <c r="P475" s="1" t="s">
        <v>1385</v>
      </c>
      <c r="Q475" s="1" t="str">
        <f t="shared" si="1"/>
        <v>x</v>
      </c>
      <c r="R475" s="1" t="str">
        <f t="shared" si="2"/>
        <v>x</v>
      </c>
      <c r="S475" s="1" t="str">
        <f t="shared" si="3"/>
        <v>x</v>
      </c>
      <c r="T475" s="1" t="str">
        <f t="shared" si="4"/>
        <v>OK</v>
      </c>
    </row>
    <row r="476" ht="15.75" customHeight="1">
      <c r="A476" s="1" t="s">
        <v>1386</v>
      </c>
      <c r="B476" s="1">
        <v>1.0014372E7</v>
      </c>
      <c r="C476" s="1" t="s">
        <v>21</v>
      </c>
      <c r="D476" s="1" t="s">
        <v>22</v>
      </c>
      <c r="E476" s="1" t="s">
        <v>544</v>
      </c>
      <c r="F476" s="1" t="s">
        <v>1387</v>
      </c>
      <c r="G476" s="1" t="s">
        <v>25</v>
      </c>
      <c r="H476" s="1">
        <v>80.0</v>
      </c>
      <c r="I476" s="1">
        <v>50.0</v>
      </c>
      <c r="J476" s="1">
        <v>30.0</v>
      </c>
      <c r="K476" s="1">
        <v>160.0</v>
      </c>
      <c r="L476" s="1">
        <v>1.73</v>
      </c>
      <c r="M476" s="1">
        <v>276.8</v>
      </c>
      <c r="N476" s="1" t="s">
        <v>21</v>
      </c>
      <c r="O476" s="1">
        <v>0.0</v>
      </c>
      <c r="P476" s="1" t="s">
        <v>1388</v>
      </c>
      <c r="Q476" s="1" t="str">
        <f t="shared" si="1"/>
        <v>x</v>
      </c>
      <c r="R476" s="1" t="str">
        <f t="shared" si="2"/>
        <v>x</v>
      </c>
      <c r="S476" s="1" t="str">
        <f t="shared" si="3"/>
        <v>x</v>
      </c>
      <c r="T476" s="1" t="str">
        <f t="shared" si="4"/>
        <v>OK</v>
      </c>
    </row>
    <row r="477" ht="15.75" customHeight="1">
      <c r="A477" s="1" t="s">
        <v>1389</v>
      </c>
      <c r="B477" s="1">
        <v>1.00004E7</v>
      </c>
      <c r="C477" s="1" t="s">
        <v>21</v>
      </c>
      <c r="D477" s="1" t="s">
        <v>22</v>
      </c>
      <c r="E477" s="1" t="s">
        <v>544</v>
      </c>
      <c r="F477" s="1" t="s">
        <v>1390</v>
      </c>
      <c r="G477" s="1" t="s">
        <v>25</v>
      </c>
      <c r="H477" s="1">
        <v>164.0</v>
      </c>
      <c r="I477" s="1">
        <v>0.0</v>
      </c>
      <c r="J477" s="1">
        <v>0.0</v>
      </c>
      <c r="K477" s="1">
        <v>164.0</v>
      </c>
      <c r="L477" s="1">
        <v>1.61</v>
      </c>
      <c r="M477" s="1">
        <v>264.04</v>
      </c>
      <c r="N477" s="1" t="s">
        <v>21</v>
      </c>
      <c r="O477" s="1">
        <v>0.0</v>
      </c>
      <c r="P477" s="1" t="s">
        <v>1391</v>
      </c>
      <c r="Q477" s="1" t="str">
        <f t="shared" si="1"/>
        <v>x</v>
      </c>
      <c r="R477" s="1" t="str">
        <f t="shared" si="2"/>
        <v>x</v>
      </c>
      <c r="S477" s="1" t="str">
        <f t="shared" si="3"/>
        <v>x</v>
      </c>
      <c r="T477" s="1" t="str">
        <f t="shared" si="4"/>
        <v>OK</v>
      </c>
    </row>
    <row r="478" ht="15.75" customHeight="1">
      <c r="A478" s="1" t="s">
        <v>1392</v>
      </c>
      <c r="B478" s="1">
        <v>1.0059382E7</v>
      </c>
      <c r="C478" s="1" t="s">
        <v>21</v>
      </c>
      <c r="D478" s="1" t="s">
        <v>22</v>
      </c>
      <c r="E478" s="1" t="s">
        <v>56</v>
      </c>
      <c r="F478" s="1" t="s">
        <v>1393</v>
      </c>
      <c r="G478" s="1" t="s">
        <v>25</v>
      </c>
      <c r="H478" s="1">
        <v>2.0</v>
      </c>
      <c r="I478" s="1">
        <v>0.0</v>
      </c>
      <c r="J478" s="1">
        <v>0.0</v>
      </c>
      <c r="K478" s="1">
        <v>2.0</v>
      </c>
      <c r="L478" s="1">
        <v>131.21</v>
      </c>
      <c r="M478" s="1">
        <v>262.42</v>
      </c>
      <c r="N478" s="1" t="s">
        <v>21</v>
      </c>
      <c r="O478" s="1">
        <v>0.0</v>
      </c>
      <c r="P478" s="1" t="s">
        <v>1394</v>
      </c>
      <c r="Q478" s="1" t="str">
        <f t="shared" si="1"/>
        <v>x</v>
      </c>
      <c r="R478" s="1" t="str">
        <f t="shared" si="2"/>
        <v>x</v>
      </c>
      <c r="S478" s="1" t="str">
        <f t="shared" si="3"/>
        <v>x</v>
      </c>
      <c r="T478" s="1" t="str">
        <f t="shared" si="4"/>
        <v>OK</v>
      </c>
    </row>
    <row r="479" ht="15.75" customHeight="1">
      <c r="A479" s="1" t="s">
        <v>1395</v>
      </c>
      <c r="B479" s="1">
        <v>1.1870272E7</v>
      </c>
      <c r="C479" s="1">
        <v>1.1105101E7</v>
      </c>
      <c r="D479" s="1" t="s">
        <v>22</v>
      </c>
      <c r="E479" s="1" t="s">
        <v>129</v>
      </c>
      <c r="F479" s="1" t="s">
        <v>792</v>
      </c>
      <c r="G479" s="1" t="s">
        <v>25</v>
      </c>
      <c r="H479" s="1">
        <v>10.0</v>
      </c>
      <c r="I479" s="1">
        <v>0.0</v>
      </c>
      <c r="J479" s="1">
        <v>0.0</v>
      </c>
      <c r="K479" s="1">
        <v>10.0</v>
      </c>
      <c r="L479" s="1">
        <v>26.23</v>
      </c>
      <c r="M479" s="1">
        <v>262.3</v>
      </c>
      <c r="N479" s="1" t="s">
        <v>21</v>
      </c>
      <c r="O479" s="1">
        <v>0.0</v>
      </c>
      <c r="P479" s="1" t="s">
        <v>1396</v>
      </c>
      <c r="Q479" s="1" t="str">
        <f t="shared" si="1"/>
        <v>x</v>
      </c>
      <c r="R479" s="1" t="str">
        <f t="shared" si="2"/>
        <v>x</v>
      </c>
      <c r="S479" s="1" t="str">
        <f t="shared" si="3"/>
        <v>x</v>
      </c>
      <c r="T479" s="1" t="str">
        <f t="shared" si="4"/>
        <v>OK</v>
      </c>
    </row>
    <row r="480" ht="15.75" customHeight="1">
      <c r="A480" s="1" t="s">
        <v>1397</v>
      </c>
      <c r="B480" s="1">
        <v>1.0149393E7</v>
      </c>
      <c r="C480" s="1" t="s">
        <v>21</v>
      </c>
      <c r="D480" s="1" t="s">
        <v>22</v>
      </c>
      <c r="E480" s="1" t="s">
        <v>195</v>
      </c>
      <c r="F480" s="1" t="s">
        <v>1398</v>
      </c>
      <c r="G480" s="1" t="s">
        <v>25</v>
      </c>
      <c r="H480" s="1">
        <v>10.0</v>
      </c>
      <c r="I480" s="1">
        <v>0.0</v>
      </c>
      <c r="J480" s="1">
        <v>10.0</v>
      </c>
      <c r="K480" s="1">
        <v>20.0</v>
      </c>
      <c r="L480" s="1">
        <v>12.34</v>
      </c>
      <c r="M480" s="1">
        <v>246.8</v>
      </c>
      <c r="N480" s="1" t="s">
        <v>21</v>
      </c>
      <c r="O480" s="1">
        <v>0.0</v>
      </c>
      <c r="P480" s="1" t="s">
        <v>1399</v>
      </c>
      <c r="Q480" s="1" t="str">
        <f t="shared" si="1"/>
        <v>x</v>
      </c>
      <c r="R480" s="1" t="str">
        <f t="shared" si="2"/>
        <v>x</v>
      </c>
      <c r="S480" s="1" t="str">
        <f t="shared" si="3"/>
        <v>x</v>
      </c>
      <c r="T480" s="1" t="str">
        <f t="shared" si="4"/>
        <v>OK</v>
      </c>
    </row>
    <row r="481" ht="15.75" customHeight="1">
      <c r="A481" s="1" t="s">
        <v>1400</v>
      </c>
      <c r="B481" s="1">
        <v>1.0495358E7</v>
      </c>
      <c r="C481" s="1" t="s">
        <v>21</v>
      </c>
      <c r="D481" s="1" t="s">
        <v>22</v>
      </c>
      <c r="E481" s="1" t="s">
        <v>633</v>
      </c>
      <c r="F481" s="1" t="s">
        <v>1401</v>
      </c>
      <c r="G481" s="1" t="s">
        <v>25</v>
      </c>
      <c r="H481" s="1">
        <v>24.0</v>
      </c>
      <c r="I481" s="1">
        <v>24.0</v>
      </c>
      <c r="J481" s="1">
        <v>24.0</v>
      </c>
      <c r="K481" s="1">
        <v>72.0</v>
      </c>
      <c r="L481" s="1">
        <v>3.35</v>
      </c>
      <c r="M481" s="1">
        <v>241.2</v>
      </c>
      <c r="N481" s="1" t="s">
        <v>21</v>
      </c>
      <c r="O481" s="1">
        <v>0.0</v>
      </c>
      <c r="P481" s="1" t="s">
        <v>1402</v>
      </c>
      <c r="Q481" s="1" t="str">
        <f t="shared" si="1"/>
        <v>x</v>
      </c>
      <c r="R481" s="1" t="str">
        <f t="shared" si="2"/>
        <v>x</v>
      </c>
      <c r="S481" s="1" t="str">
        <f t="shared" si="3"/>
        <v>x</v>
      </c>
      <c r="T481" s="1" t="str">
        <f t="shared" si="4"/>
        <v>OK</v>
      </c>
    </row>
    <row r="482" ht="15.75" customHeight="1">
      <c r="A482" s="1" t="s">
        <v>1403</v>
      </c>
      <c r="B482" s="1">
        <v>1.0000123E7</v>
      </c>
      <c r="C482" s="1" t="s">
        <v>21</v>
      </c>
      <c r="D482" s="1" t="s">
        <v>22</v>
      </c>
      <c r="E482" s="1" t="s">
        <v>256</v>
      </c>
      <c r="F482" s="1" t="s">
        <v>1404</v>
      </c>
      <c r="G482" s="1" t="s">
        <v>25</v>
      </c>
      <c r="H482" s="1">
        <v>0.0</v>
      </c>
      <c r="I482" s="1">
        <v>0.0</v>
      </c>
      <c r="J482" s="1">
        <v>264.0</v>
      </c>
      <c r="K482" s="1">
        <v>264.0</v>
      </c>
      <c r="L482" s="1">
        <v>0.89</v>
      </c>
      <c r="M482" s="1">
        <v>234.96</v>
      </c>
      <c r="N482" s="1" t="s">
        <v>21</v>
      </c>
      <c r="O482" s="1">
        <v>0.0</v>
      </c>
      <c r="P482" s="1" t="s">
        <v>1405</v>
      </c>
      <c r="Q482" s="1" t="str">
        <f t="shared" si="1"/>
        <v>x</v>
      </c>
      <c r="R482" s="1" t="str">
        <f t="shared" si="2"/>
        <v>x</v>
      </c>
      <c r="S482" s="1" t="str">
        <f t="shared" si="3"/>
        <v>x</v>
      </c>
      <c r="T482" s="1" t="str">
        <f t="shared" si="4"/>
        <v>OK</v>
      </c>
    </row>
    <row r="483" ht="15.75" customHeight="1">
      <c r="A483" s="1" t="s">
        <v>1406</v>
      </c>
      <c r="B483" s="1">
        <v>1.0755943E7</v>
      </c>
      <c r="C483" s="1" t="s">
        <v>21</v>
      </c>
      <c r="D483" s="1" t="s">
        <v>22</v>
      </c>
      <c r="E483" s="1" t="s">
        <v>36</v>
      </c>
      <c r="F483" s="1" t="s">
        <v>1407</v>
      </c>
      <c r="G483" s="1" t="s">
        <v>25</v>
      </c>
      <c r="H483" s="1">
        <v>2.0</v>
      </c>
      <c r="I483" s="1">
        <v>0.0</v>
      </c>
      <c r="J483" s="1">
        <v>2.0</v>
      </c>
      <c r="K483" s="1">
        <v>4.0</v>
      </c>
      <c r="L483" s="1">
        <v>56.07</v>
      </c>
      <c r="M483" s="1">
        <v>224.28</v>
      </c>
      <c r="N483" s="1" t="s">
        <v>21</v>
      </c>
      <c r="O483" s="1">
        <v>0.0</v>
      </c>
      <c r="P483" s="1" t="s">
        <v>1408</v>
      </c>
      <c r="Q483" s="1" t="str">
        <f t="shared" si="1"/>
        <v>x</v>
      </c>
      <c r="R483" s="1" t="str">
        <f t="shared" si="2"/>
        <v>x</v>
      </c>
      <c r="S483" s="1" t="str">
        <f t="shared" si="3"/>
        <v>x</v>
      </c>
      <c r="T483" s="1" t="str">
        <f t="shared" si="4"/>
        <v>OK</v>
      </c>
    </row>
    <row r="484" ht="15.75" customHeight="1">
      <c r="A484" s="1" t="s">
        <v>1409</v>
      </c>
      <c r="B484" s="1">
        <v>1.0004713E7</v>
      </c>
      <c r="C484" s="1" t="s">
        <v>21</v>
      </c>
      <c r="D484" s="1" t="s">
        <v>22</v>
      </c>
      <c r="E484" s="1" t="s">
        <v>129</v>
      </c>
      <c r="F484" s="1" t="s">
        <v>1410</v>
      </c>
      <c r="G484" s="1" t="s">
        <v>25</v>
      </c>
      <c r="H484" s="1">
        <v>6.0</v>
      </c>
      <c r="I484" s="1">
        <v>0.0</v>
      </c>
      <c r="J484" s="1">
        <v>0.0</v>
      </c>
      <c r="K484" s="1">
        <v>6.0</v>
      </c>
      <c r="L484" s="1">
        <v>36.61</v>
      </c>
      <c r="M484" s="1">
        <v>219.66</v>
      </c>
      <c r="N484" s="1" t="s">
        <v>21</v>
      </c>
      <c r="O484" s="1">
        <v>0.0</v>
      </c>
      <c r="P484" s="1" t="s">
        <v>1411</v>
      </c>
      <c r="Q484" s="1" t="str">
        <f t="shared" si="1"/>
        <v>x</v>
      </c>
      <c r="R484" s="1" t="str">
        <f t="shared" si="2"/>
        <v>x</v>
      </c>
      <c r="S484" s="1" t="str">
        <f t="shared" si="3"/>
        <v>x</v>
      </c>
      <c r="T484" s="1" t="str">
        <f t="shared" si="4"/>
        <v>OK</v>
      </c>
    </row>
    <row r="485" ht="15.75" customHeight="1">
      <c r="A485" s="1" t="s">
        <v>1412</v>
      </c>
      <c r="B485" s="1">
        <v>1.1424677E7</v>
      </c>
      <c r="C485" s="1" t="s">
        <v>21</v>
      </c>
      <c r="D485" s="1" t="s">
        <v>22</v>
      </c>
      <c r="E485" s="1" t="s">
        <v>633</v>
      </c>
      <c r="F485" s="1" t="s">
        <v>1413</v>
      </c>
      <c r="G485" s="1" t="s">
        <v>25</v>
      </c>
      <c r="H485" s="1">
        <v>28.0</v>
      </c>
      <c r="I485" s="1">
        <v>20.0</v>
      </c>
      <c r="J485" s="1">
        <v>20.0</v>
      </c>
      <c r="K485" s="1">
        <v>68.0</v>
      </c>
      <c r="L485" s="1">
        <v>3.19</v>
      </c>
      <c r="M485" s="1">
        <v>216.92</v>
      </c>
      <c r="N485" s="1" t="s">
        <v>21</v>
      </c>
      <c r="O485" s="1">
        <v>0.0</v>
      </c>
      <c r="P485" s="1" t="s">
        <v>1414</v>
      </c>
      <c r="Q485" s="1" t="str">
        <f t="shared" si="1"/>
        <v>x</v>
      </c>
      <c r="R485" s="1" t="str">
        <f t="shared" si="2"/>
        <v>x</v>
      </c>
      <c r="S485" s="1" t="str">
        <f t="shared" si="3"/>
        <v>x</v>
      </c>
      <c r="T485" s="1" t="str">
        <f t="shared" si="4"/>
        <v>OK</v>
      </c>
    </row>
    <row r="486" ht="15.75" customHeight="1">
      <c r="A486" s="1" t="s">
        <v>1415</v>
      </c>
      <c r="B486" s="1">
        <v>1.0688217E7</v>
      </c>
      <c r="C486" s="1" t="s">
        <v>21</v>
      </c>
      <c r="D486" s="1" t="s">
        <v>22</v>
      </c>
      <c r="E486" s="1" t="s">
        <v>633</v>
      </c>
      <c r="F486" s="1" t="s">
        <v>1416</v>
      </c>
      <c r="G486" s="1" t="s">
        <v>25</v>
      </c>
      <c r="H486" s="1">
        <v>80.0</v>
      </c>
      <c r="I486" s="1">
        <v>0.0</v>
      </c>
      <c r="J486" s="1">
        <v>0.0</v>
      </c>
      <c r="K486" s="1">
        <v>80.0</v>
      </c>
      <c r="L486" s="1">
        <v>2.58</v>
      </c>
      <c r="M486" s="1">
        <v>206.4</v>
      </c>
      <c r="N486" s="1" t="s">
        <v>21</v>
      </c>
      <c r="O486" s="1">
        <v>0.0</v>
      </c>
      <c r="P486" s="1" t="s">
        <v>1417</v>
      </c>
      <c r="Q486" s="1" t="str">
        <f t="shared" si="1"/>
        <v>x</v>
      </c>
      <c r="R486" s="1" t="str">
        <f t="shared" si="2"/>
        <v>x</v>
      </c>
      <c r="S486" s="1" t="str">
        <f t="shared" si="3"/>
        <v>x</v>
      </c>
      <c r="T486" s="1" t="str">
        <f t="shared" si="4"/>
        <v>OK</v>
      </c>
    </row>
    <row r="487" ht="15.75" customHeight="1">
      <c r="A487" s="1" t="s">
        <v>1418</v>
      </c>
      <c r="B487" s="1">
        <v>1.0756E7</v>
      </c>
      <c r="C487" s="1" t="s">
        <v>21</v>
      </c>
      <c r="D487" s="1" t="s">
        <v>22</v>
      </c>
      <c r="E487" s="1" t="s">
        <v>129</v>
      </c>
      <c r="F487" s="1" t="s">
        <v>1419</v>
      </c>
      <c r="G487" s="1" t="s">
        <v>25</v>
      </c>
      <c r="H487" s="1">
        <v>3.0</v>
      </c>
      <c r="I487" s="1">
        <v>0.0</v>
      </c>
      <c r="J487" s="1">
        <v>3.0</v>
      </c>
      <c r="K487" s="1">
        <v>6.0</v>
      </c>
      <c r="L487" s="1">
        <v>33.65</v>
      </c>
      <c r="M487" s="1">
        <v>201.9</v>
      </c>
      <c r="N487" s="1" t="s">
        <v>21</v>
      </c>
      <c r="O487" s="1">
        <v>0.0</v>
      </c>
      <c r="P487" s="1" t="s">
        <v>1420</v>
      </c>
      <c r="Q487" s="1" t="str">
        <f t="shared" si="1"/>
        <v>x</v>
      </c>
      <c r="R487" s="1" t="str">
        <f t="shared" si="2"/>
        <v>x</v>
      </c>
      <c r="S487" s="1" t="str">
        <f t="shared" si="3"/>
        <v>x</v>
      </c>
      <c r="T487" s="1" t="str">
        <f t="shared" si="4"/>
        <v>OK</v>
      </c>
    </row>
    <row r="488" ht="15.75" customHeight="1">
      <c r="A488" s="1" t="s">
        <v>1421</v>
      </c>
      <c r="B488" s="1">
        <v>1.1436685E7</v>
      </c>
      <c r="C488" s="1" t="s">
        <v>21</v>
      </c>
      <c r="D488" s="1" t="s">
        <v>22</v>
      </c>
      <c r="E488" s="1" t="s">
        <v>36</v>
      </c>
      <c r="F488" s="1" t="s">
        <v>1422</v>
      </c>
      <c r="G488" s="1" t="s">
        <v>25</v>
      </c>
      <c r="H488" s="1">
        <v>1.0</v>
      </c>
      <c r="I488" s="1">
        <v>1.0</v>
      </c>
      <c r="J488" s="1">
        <v>1.0</v>
      </c>
      <c r="K488" s="1">
        <v>3.0</v>
      </c>
      <c r="L488" s="1">
        <v>66.72</v>
      </c>
      <c r="M488" s="1">
        <v>200.16</v>
      </c>
      <c r="N488" s="1" t="s">
        <v>21</v>
      </c>
      <c r="O488" s="1">
        <v>0.0</v>
      </c>
      <c r="P488" s="1" t="s">
        <v>1423</v>
      </c>
      <c r="Q488" s="1" t="str">
        <f t="shared" si="1"/>
        <v>x</v>
      </c>
      <c r="R488" s="1" t="str">
        <f t="shared" si="2"/>
        <v>x</v>
      </c>
      <c r="S488" s="1" t="str">
        <f t="shared" si="3"/>
        <v>x</v>
      </c>
      <c r="T488" s="1" t="str">
        <f t="shared" si="4"/>
        <v>OK</v>
      </c>
    </row>
    <row r="489" ht="15.75" customHeight="1">
      <c r="A489" s="1" t="s">
        <v>1424</v>
      </c>
      <c r="B489" s="1">
        <v>1.0000079E7</v>
      </c>
      <c r="C489" s="1" t="s">
        <v>21</v>
      </c>
      <c r="D489" s="1" t="s">
        <v>22</v>
      </c>
      <c r="E489" s="1" t="s">
        <v>1051</v>
      </c>
      <c r="F489" s="1" t="s">
        <v>1106</v>
      </c>
      <c r="G489" s="1" t="s">
        <v>25</v>
      </c>
      <c r="H489" s="1">
        <v>515.0</v>
      </c>
      <c r="I489" s="1">
        <v>265.0</v>
      </c>
      <c r="J489" s="1">
        <v>65.0</v>
      </c>
      <c r="K489" s="1">
        <v>845.0</v>
      </c>
      <c r="L489" s="1">
        <v>0.23</v>
      </c>
      <c r="M489" s="1">
        <v>194.35</v>
      </c>
      <c r="N489" s="1" t="s">
        <v>21</v>
      </c>
      <c r="O489" s="1">
        <v>0.0</v>
      </c>
      <c r="P489" s="1" t="s">
        <v>1425</v>
      </c>
      <c r="Q489" s="1" t="str">
        <f t="shared" si="1"/>
        <v>x</v>
      </c>
      <c r="R489" s="1" t="str">
        <f t="shared" si="2"/>
        <v>x</v>
      </c>
      <c r="S489" s="1" t="str">
        <f t="shared" si="3"/>
        <v>x</v>
      </c>
      <c r="T489" s="1" t="str">
        <f t="shared" si="4"/>
        <v>OK</v>
      </c>
    </row>
    <row r="490" ht="15.75" customHeight="1">
      <c r="A490" s="1" t="s">
        <v>1426</v>
      </c>
      <c r="B490" s="1">
        <v>1.00004E7</v>
      </c>
      <c r="C490" s="1" t="s">
        <v>21</v>
      </c>
      <c r="D490" s="1" t="s">
        <v>22</v>
      </c>
      <c r="E490" s="1" t="s">
        <v>544</v>
      </c>
      <c r="F490" s="1" t="s">
        <v>1390</v>
      </c>
      <c r="G490" s="1" t="s">
        <v>25</v>
      </c>
      <c r="H490" s="1">
        <v>60.0</v>
      </c>
      <c r="I490" s="1">
        <v>0.0</v>
      </c>
      <c r="J490" s="1">
        <v>60.0</v>
      </c>
      <c r="K490" s="1">
        <v>120.0</v>
      </c>
      <c r="L490" s="1">
        <v>1.61</v>
      </c>
      <c r="M490" s="1">
        <v>193.2</v>
      </c>
      <c r="N490" s="1" t="s">
        <v>21</v>
      </c>
      <c r="O490" s="1">
        <v>0.0</v>
      </c>
      <c r="P490" s="1" t="s">
        <v>1427</v>
      </c>
      <c r="Q490" s="1" t="str">
        <f t="shared" si="1"/>
        <v>x</v>
      </c>
      <c r="R490" s="1" t="str">
        <f t="shared" si="2"/>
        <v>x</v>
      </c>
      <c r="S490" s="1" t="str">
        <f t="shared" si="3"/>
        <v>x</v>
      </c>
      <c r="T490" s="1" t="str">
        <f t="shared" si="4"/>
        <v>OK</v>
      </c>
    </row>
    <row r="491" ht="15.75" customHeight="1">
      <c r="A491" s="1" t="s">
        <v>1428</v>
      </c>
      <c r="B491" s="1">
        <v>1.0000409E7</v>
      </c>
      <c r="C491" s="1" t="s">
        <v>21</v>
      </c>
      <c r="D491" s="1" t="s">
        <v>22</v>
      </c>
      <c r="E491" s="1" t="s">
        <v>620</v>
      </c>
      <c r="F491" s="1" t="s">
        <v>1288</v>
      </c>
      <c r="G491" s="1" t="s">
        <v>25</v>
      </c>
      <c r="H491" s="1">
        <v>40.0</v>
      </c>
      <c r="I491" s="1">
        <v>0.0</v>
      </c>
      <c r="J491" s="1">
        <v>0.0</v>
      </c>
      <c r="K491" s="1">
        <v>40.0</v>
      </c>
      <c r="L491" s="1">
        <v>4.73</v>
      </c>
      <c r="M491" s="1">
        <v>189.2</v>
      </c>
      <c r="N491" s="1" t="s">
        <v>21</v>
      </c>
      <c r="O491" s="1">
        <v>0.0</v>
      </c>
      <c r="P491" s="1" t="s">
        <v>1429</v>
      </c>
      <c r="Q491" s="1" t="str">
        <f t="shared" si="1"/>
        <v>x</v>
      </c>
      <c r="R491" s="1" t="str">
        <f t="shared" si="2"/>
        <v>x</v>
      </c>
      <c r="S491" s="1" t="str">
        <f t="shared" si="3"/>
        <v>x</v>
      </c>
      <c r="T491" s="1" t="str">
        <f t="shared" si="4"/>
        <v>OK</v>
      </c>
    </row>
    <row r="492" ht="15.75" customHeight="1">
      <c r="A492" s="1" t="s">
        <v>1430</v>
      </c>
      <c r="B492" s="1">
        <v>1.0087005E7</v>
      </c>
      <c r="C492" s="1" t="s">
        <v>21</v>
      </c>
      <c r="D492" s="1" t="s">
        <v>22</v>
      </c>
      <c r="E492" s="1" t="s">
        <v>544</v>
      </c>
      <c r="F492" s="1" t="s">
        <v>1431</v>
      </c>
      <c r="G492" s="1" t="s">
        <v>25</v>
      </c>
      <c r="H492" s="1">
        <v>40.0</v>
      </c>
      <c r="I492" s="1">
        <v>48.0</v>
      </c>
      <c r="J492" s="1">
        <v>64.0</v>
      </c>
      <c r="K492" s="1">
        <v>152.0</v>
      </c>
      <c r="L492" s="1">
        <v>1.23</v>
      </c>
      <c r="M492" s="1">
        <v>186.96</v>
      </c>
      <c r="N492" s="1" t="s">
        <v>21</v>
      </c>
      <c r="O492" s="1">
        <v>0.0</v>
      </c>
      <c r="P492" s="1" t="s">
        <v>1432</v>
      </c>
      <c r="Q492" s="1" t="str">
        <f t="shared" si="1"/>
        <v>x</v>
      </c>
      <c r="R492" s="1" t="str">
        <f t="shared" si="2"/>
        <v>x</v>
      </c>
      <c r="S492" s="1" t="str">
        <f t="shared" si="3"/>
        <v>x</v>
      </c>
      <c r="T492" s="1" t="str">
        <f t="shared" si="4"/>
        <v>OK</v>
      </c>
    </row>
    <row r="493" ht="15.75" customHeight="1">
      <c r="A493" s="1" t="s">
        <v>1433</v>
      </c>
      <c r="B493" s="1">
        <v>1.0217238E7</v>
      </c>
      <c r="C493" s="1" t="s">
        <v>21</v>
      </c>
      <c r="D493" s="1" t="s">
        <v>22</v>
      </c>
      <c r="E493" s="1" t="s">
        <v>164</v>
      </c>
      <c r="F493" s="1" t="s">
        <v>571</v>
      </c>
      <c r="G493" s="1" t="s">
        <v>25</v>
      </c>
      <c r="H493" s="1">
        <v>0.0</v>
      </c>
      <c r="I493" s="1">
        <v>1.0</v>
      </c>
      <c r="J493" s="1">
        <v>1.0</v>
      </c>
      <c r="K493" s="1">
        <v>2.0</v>
      </c>
      <c r="L493" s="1">
        <v>92.68</v>
      </c>
      <c r="M493" s="1">
        <v>185.36</v>
      </c>
      <c r="N493" s="1" t="s">
        <v>21</v>
      </c>
      <c r="O493" s="1" t="s">
        <v>26</v>
      </c>
      <c r="P493" s="1" t="s">
        <v>1434</v>
      </c>
      <c r="Q493" s="1" t="str">
        <f t="shared" si="1"/>
        <v>x</v>
      </c>
      <c r="R493" s="1" t="str">
        <f t="shared" si="2"/>
        <v>x</v>
      </c>
      <c r="S493" s="1" t="str">
        <f t="shared" si="3"/>
        <v>x</v>
      </c>
      <c r="T493" s="1" t="str">
        <f t="shared" si="4"/>
        <v>OK</v>
      </c>
    </row>
    <row r="494" ht="15.75" customHeight="1">
      <c r="A494" s="1" t="s">
        <v>1435</v>
      </c>
      <c r="B494" s="1">
        <v>1.0755939E7</v>
      </c>
      <c r="C494" s="1" t="s">
        <v>21</v>
      </c>
      <c r="D494" s="1" t="s">
        <v>22</v>
      </c>
      <c r="E494" s="1" t="s">
        <v>129</v>
      </c>
      <c r="F494" s="1" t="s">
        <v>1436</v>
      </c>
      <c r="G494" s="1" t="s">
        <v>25</v>
      </c>
      <c r="H494" s="1">
        <v>3.0</v>
      </c>
      <c r="I494" s="1">
        <v>0.0</v>
      </c>
      <c r="J494" s="1">
        <v>3.0</v>
      </c>
      <c r="K494" s="1">
        <v>6.0</v>
      </c>
      <c r="L494" s="1">
        <v>30.57</v>
      </c>
      <c r="M494" s="1">
        <v>183.42</v>
      </c>
      <c r="N494" s="1" t="s">
        <v>21</v>
      </c>
      <c r="O494" s="1">
        <v>0.0</v>
      </c>
      <c r="P494" s="1" t="s">
        <v>1437</v>
      </c>
      <c r="Q494" s="1" t="str">
        <f t="shared" si="1"/>
        <v>x</v>
      </c>
      <c r="R494" s="1" t="str">
        <f t="shared" si="2"/>
        <v>x</v>
      </c>
      <c r="S494" s="1" t="str">
        <f t="shared" si="3"/>
        <v>x</v>
      </c>
      <c r="T494" s="1" t="str">
        <f t="shared" si="4"/>
        <v>OK</v>
      </c>
    </row>
    <row r="495" ht="15.75" customHeight="1">
      <c r="A495" s="1" t="s">
        <v>1438</v>
      </c>
      <c r="B495" s="1">
        <v>1.0000452E7</v>
      </c>
      <c r="C495" s="1" t="s">
        <v>21</v>
      </c>
      <c r="D495" s="1" t="s">
        <v>22</v>
      </c>
      <c r="E495" s="1" t="s">
        <v>1051</v>
      </c>
      <c r="F495" s="1" t="s">
        <v>1439</v>
      </c>
      <c r="G495" s="1" t="s">
        <v>25</v>
      </c>
      <c r="H495" s="1">
        <v>476.0</v>
      </c>
      <c r="I495" s="1">
        <v>588.0</v>
      </c>
      <c r="J495" s="1">
        <v>588.0</v>
      </c>
      <c r="K495" s="1">
        <v>1652.0</v>
      </c>
      <c r="L495" s="1">
        <v>0.11</v>
      </c>
      <c r="M495" s="1">
        <v>181.72</v>
      </c>
      <c r="N495" s="1" t="s">
        <v>21</v>
      </c>
      <c r="O495" s="1">
        <v>0.0</v>
      </c>
      <c r="P495" s="1" t="s">
        <v>1440</v>
      </c>
      <c r="Q495" s="1" t="str">
        <f t="shared" si="1"/>
        <v>x</v>
      </c>
      <c r="R495" s="1" t="str">
        <f t="shared" si="2"/>
        <v>x</v>
      </c>
      <c r="S495" s="1" t="str">
        <f t="shared" si="3"/>
        <v>x</v>
      </c>
      <c r="T495" s="1" t="str">
        <f t="shared" si="4"/>
        <v>OK</v>
      </c>
    </row>
    <row r="496" ht="15.75" customHeight="1">
      <c r="A496" s="1" t="s">
        <v>1441</v>
      </c>
      <c r="B496" s="1">
        <v>1.0863212E7</v>
      </c>
      <c r="C496" s="1" t="s">
        <v>21</v>
      </c>
      <c r="D496" s="1" t="s">
        <v>22</v>
      </c>
      <c r="E496" s="1" t="s">
        <v>195</v>
      </c>
      <c r="F496" s="1" t="s">
        <v>1442</v>
      </c>
      <c r="G496" s="1" t="s">
        <v>25</v>
      </c>
      <c r="H496" s="1">
        <v>8.0</v>
      </c>
      <c r="I496" s="1">
        <v>0.0</v>
      </c>
      <c r="J496" s="1">
        <v>4.0</v>
      </c>
      <c r="K496" s="1">
        <v>12.0</v>
      </c>
      <c r="L496" s="1">
        <v>15.0</v>
      </c>
      <c r="M496" s="1">
        <v>180.0</v>
      </c>
      <c r="N496" s="1" t="s">
        <v>21</v>
      </c>
      <c r="O496" s="1">
        <v>0.0</v>
      </c>
      <c r="P496" s="1" t="s">
        <v>1443</v>
      </c>
      <c r="Q496" s="1" t="str">
        <f t="shared" si="1"/>
        <v>x</v>
      </c>
      <c r="R496" s="1" t="str">
        <f t="shared" si="2"/>
        <v>x</v>
      </c>
      <c r="S496" s="1" t="str">
        <f t="shared" si="3"/>
        <v>x</v>
      </c>
      <c r="T496" s="1" t="str">
        <f t="shared" si="4"/>
        <v>OK</v>
      </c>
    </row>
    <row r="497" ht="15.75" customHeight="1">
      <c r="A497" s="1" t="s">
        <v>1444</v>
      </c>
      <c r="B497" s="1">
        <v>1.0000398E7</v>
      </c>
      <c r="C497" s="1" t="s">
        <v>21</v>
      </c>
      <c r="D497" s="1" t="s">
        <v>22</v>
      </c>
      <c r="E497" s="1" t="s">
        <v>544</v>
      </c>
      <c r="F497" s="1" t="s">
        <v>1445</v>
      </c>
      <c r="G497" s="1" t="s">
        <v>25</v>
      </c>
      <c r="H497" s="1">
        <v>120.0</v>
      </c>
      <c r="I497" s="1">
        <v>0.0</v>
      </c>
      <c r="J497" s="1">
        <v>0.0</v>
      </c>
      <c r="K497" s="1">
        <v>120.0</v>
      </c>
      <c r="L497" s="1">
        <v>1.5</v>
      </c>
      <c r="M497" s="1">
        <v>180.0</v>
      </c>
      <c r="N497" s="1" t="s">
        <v>21</v>
      </c>
      <c r="O497" s="1">
        <v>0.0</v>
      </c>
      <c r="P497" s="1" t="s">
        <v>1446</v>
      </c>
      <c r="Q497" s="1" t="str">
        <f t="shared" si="1"/>
        <v>x</v>
      </c>
      <c r="R497" s="1" t="str">
        <f t="shared" si="2"/>
        <v>x</v>
      </c>
      <c r="S497" s="1" t="str">
        <f t="shared" si="3"/>
        <v>x</v>
      </c>
      <c r="T497" s="1" t="str">
        <f t="shared" si="4"/>
        <v>OK</v>
      </c>
    </row>
    <row r="498" ht="15.75" customHeight="1">
      <c r="A498" s="1" t="s">
        <v>1447</v>
      </c>
      <c r="B498" s="1">
        <v>1.1246907E7</v>
      </c>
      <c r="C498" s="1" t="s">
        <v>21</v>
      </c>
      <c r="D498" s="1" t="s">
        <v>22</v>
      </c>
      <c r="E498" s="1" t="s">
        <v>164</v>
      </c>
      <c r="F498" s="1" t="s">
        <v>1448</v>
      </c>
      <c r="G498" s="1" t="s">
        <v>25</v>
      </c>
      <c r="H498" s="1">
        <v>2.0</v>
      </c>
      <c r="I498" s="1">
        <v>0.0</v>
      </c>
      <c r="J498" s="1">
        <v>0.0</v>
      </c>
      <c r="K498" s="1">
        <v>2.0</v>
      </c>
      <c r="L498" s="1">
        <v>88.95</v>
      </c>
      <c r="M498" s="1">
        <v>177.9</v>
      </c>
      <c r="N498" s="1" t="s">
        <v>21</v>
      </c>
      <c r="O498" s="1">
        <v>0.0</v>
      </c>
      <c r="P498" s="1" t="s">
        <v>1449</v>
      </c>
      <c r="Q498" s="1" t="str">
        <f t="shared" si="1"/>
        <v>x</v>
      </c>
      <c r="R498" s="1" t="str">
        <f t="shared" si="2"/>
        <v>x</v>
      </c>
      <c r="S498" s="1" t="str">
        <f t="shared" si="3"/>
        <v>x</v>
      </c>
      <c r="T498" s="1" t="str">
        <f t="shared" si="4"/>
        <v>OK</v>
      </c>
    </row>
    <row r="499" ht="15.75" customHeight="1">
      <c r="A499" s="1" t="s">
        <v>1450</v>
      </c>
      <c r="B499" s="1">
        <v>1.0340528E7</v>
      </c>
      <c r="C499" s="1" t="s">
        <v>21</v>
      </c>
      <c r="D499" s="1" t="s">
        <v>22</v>
      </c>
      <c r="E499" s="1" t="s">
        <v>129</v>
      </c>
      <c r="F499" s="1" t="s">
        <v>504</v>
      </c>
      <c r="G499" s="1" t="s">
        <v>25</v>
      </c>
      <c r="H499" s="1">
        <v>5.0</v>
      </c>
      <c r="I499" s="1">
        <v>0.0</v>
      </c>
      <c r="J499" s="1">
        <v>0.0</v>
      </c>
      <c r="K499" s="1">
        <v>5.0</v>
      </c>
      <c r="L499" s="1">
        <v>35.53</v>
      </c>
      <c r="M499" s="1">
        <v>177.65</v>
      </c>
      <c r="N499" s="1" t="s">
        <v>21</v>
      </c>
      <c r="O499" s="1">
        <v>0.0</v>
      </c>
      <c r="P499" s="1" t="s">
        <v>1451</v>
      </c>
      <c r="Q499" s="1" t="str">
        <f t="shared" si="1"/>
        <v>x</v>
      </c>
      <c r="R499" s="1" t="str">
        <f t="shared" si="2"/>
        <v>x</v>
      </c>
      <c r="S499" s="1" t="str">
        <f t="shared" si="3"/>
        <v>x</v>
      </c>
      <c r="T499" s="1" t="str">
        <f t="shared" si="4"/>
        <v>OK</v>
      </c>
    </row>
    <row r="500" ht="15.75" customHeight="1">
      <c r="A500" s="1" t="s">
        <v>1452</v>
      </c>
      <c r="B500" s="1">
        <v>1.0693756E7</v>
      </c>
      <c r="C500" s="1" t="s">
        <v>21</v>
      </c>
      <c r="D500" s="1" t="s">
        <v>22</v>
      </c>
      <c r="E500" s="1" t="s">
        <v>633</v>
      </c>
      <c r="F500" s="1" t="s">
        <v>1453</v>
      </c>
      <c r="G500" s="1" t="s">
        <v>25</v>
      </c>
      <c r="H500" s="1">
        <v>40.0</v>
      </c>
      <c r="I500" s="1">
        <v>0.0</v>
      </c>
      <c r="J500" s="1">
        <v>0.0</v>
      </c>
      <c r="K500" s="1">
        <v>40.0</v>
      </c>
      <c r="L500" s="1">
        <v>4.31</v>
      </c>
      <c r="M500" s="1">
        <v>172.4</v>
      </c>
      <c r="N500" s="1" t="s">
        <v>21</v>
      </c>
      <c r="O500" s="1">
        <v>0.0</v>
      </c>
      <c r="P500" s="1" t="s">
        <v>1454</v>
      </c>
      <c r="Q500" s="1" t="str">
        <f t="shared" si="1"/>
        <v>x</v>
      </c>
      <c r="R500" s="1" t="str">
        <f t="shared" si="2"/>
        <v>x</v>
      </c>
      <c r="S500" s="1" t="str">
        <f t="shared" si="3"/>
        <v>x</v>
      </c>
      <c r="T500" s="1" t="str">
        <f t="shared" si="4"/>
        <v>OK</v>
      </c>
    </row>
    <row r="501" ht="15.75" customHeight="1">
      <c r="A501" s="1" t="s">
        <v>1455</v>
      </c>
      <c r="B501" s="1">
        <v>1.00004E7</v>
      </c>
      <c r="C501" s="1" t="s">
        <v>21</v>
      </c>
      <c r="D501" s="1" t="s">
        <v>22</v>
      </c>
      <c r="E501" s="1" t="s">
        <v>544</v>
      </c>
      <c r="F501" s="1" t="s">
        <v>1390</v>
      </c>
      <c r="G501" s="1" t="s">
        <v>25</v>
      </c>
      <c r="H501" s="1">
        <v>34.0</v>
      </c>
      <c r="I501" s="1">
        <v>30.0</v>
      </c>
      <c r="J501" s="1">
        <v>42.0</v>
      </c>
      <c r="K501" s="1">
        <v>106.0</v>
      </c>
      <c r="L501" s="1">
        <v>1.61</v>
      </c>
      <c r="M501" s="1">
        <v>170.66</v>
      </c>
      <c r="N501" s="1" t="s">
        <v>21</v>
      </c>
      <c r="O501" s="1">
        <v>0.0</v>
      </c>
      <c r="P501" s="1" t="s">
        <v>1456</v>
      </c>
      <c r="Q501" s="1" t="str">
        <f t="shared" si="1"/>
        <v>x</v>
      </c>
      <c r="R501" s="1" t="str">
        <f t="shared" si="2"/>
        <v>x</v>
      </c>
      <c r="S501" s="1" t="str">
        <f t="shared" si="3"/>
        <v>x</v>
      </c>
      <c r="T501" s="1" t="str">
        <f t="shared" si="4"/>
        <v>OK</v>
      </c>
    </row>
    <row r="502" ht="15.75" customHeight="1">
      <c r="A502" s="1" t="s">
        <v>1457</v>
      </c>
      <c r="B502" s="1">
        <v>1.0874437E7</v>
      </c>
      <c r="C502" s="1" t="s">
        <v>21</v>
      </c>
      <c r="D502" s="1" t="s">
        <v>22</v>
      </c>
      <c r="E502" s="1" t="s">
        <v>129</v>
      </c>
      <c r="F502" s="1" t="s">
        <v>1458</v>
      </c>
      <c r="G502" s="1" t="s">
        <v>25</v>
      </c>
      <c r="H502" s="1">
        <v>6.0</v>
      </c>
      <c r="I502" s="1">
        <v>0.0</v>
      </c>
      <c r="J502" s="1">
        <v>0.0</v>
      </c>
      <c r="K502" s="1">
        <v>6.0</v>
      </c>
      <c r="L502" s="1">
        <v>27.92</v>
      </c>
      <c r="M502" s="1">
        <v>167.52</v>
      </c>
      <c r="N502" s="1" t="s">
        <v>21</v>
      </c>
      <c r="O502" s="1">
        <v>0.0</v>
      </c>
      <c r="P502" s="1" t="s">
        <v>1459</v>
      </c>
      <c r="Q502" s="1" t="str">
        <f t="shared" si="1"/>
        <v>x</v>
      </c>
      <c r="R502" s="1" t="str">
        <f t="shared" si="2"/>
        <v>x</v>
      </c>
      <c r="S502" s="1" t="str">
        <f t="shared" si="3"/>
        <v>x</v>
      </c>
      <c r="T502" s="1" t="str">
        <f t="shared" si="4"/>
        <v>OK</v>
      </c>
    </row>
    <row r="503" ht="15.75" customHeight="1">
      <c r="A503" s="1" t="s">
        <v>1460</v>
      </c>
      <c r="B503" s="1">
        <v>1.1420025E7</v>
      </c>
      <c r="C503" s="1" t="s">
        <v>21</v>
      </c>
      <c r="D503" s="1" t="s">
        <v>22</v>
      </c>
      <c r="E503" s="1" t="s">
        <v>231</v>
      </c>
      <c r="F503" s="1" t="s">
        <v>1461</v>
      </c>
      <c r="G503" s="1" t="s">
        <v>25</v>
      </c>
      <c r="H503" s="1">
        <v>32.0</v>
      </c>
      <c r="I503" s="1">
        <v>0.0</v>
      </c>
      <c r="J503" s="1">
        <v>0.0</v>
      </c>
      <c r="K503" s="1">
        <v>32.0</v>
      </c>
      <c r="L503" s="1">
        <v>5.23</v>
      </c>
      <c r="M503" s="1">
        <v>167.36</v>
      </c>
      <c r="N503" s="1" t="s">
        <v>21</v>
      </c>
      <c r="O503" s="1">
        <v>0.0</v>
      </c>
      <c r="P503" s="1" t="s">
        <v>1462</v>
      </c>
      <c r="Q503" s="1" t="str">
        <f t="shared" si="1"/>
        <v>x</v>
      </c>
      <c r="R503" s="1" t="str">
        <f t="shared" si="2"/>
        <v>x</v>
      </c>
      <c r="S503" s="1" t="str">
        <f t="shared" si="3"/>
        <v>x</v>
      </c>
      <c r="T503" s="1" t="str">
        <f t="shared" si="4"/>
        <v>OK</v>
      </c>
    </row>
    <row r="504" ht="15.75" customHeight="1">
      <c r="A504" s="1" t="s">
        <v>1463</v>
      </c>
      <c r="B504" s="1">
        <v>1.0292406E7</v>
      </c>
      <c r="C504" s="1" t="s">
        <v>21</v>
      </c>
      <c r="D504" s="1" t="s">
        <v>22</v>
      </c>
      <c r="E504" s="1" t="s">
        <v>231</v>
      </c>
      <c r="F504" s="1" t="s">
        <v>1329</v>
      </c>
      <c r="G504" s="1" t="s">
        <v>25</v>
      </c>
      <c r="H504" s="1">
        <v>15.0</v>
      </c>
      <c r="I504" s="1">
        <v>0.0</v>
      </c>
      <c r="J504" s="1">
        <v>0.0</v>
      </c>
      <c r="K504" s="1">
        <v>15.0</v>
      </c>
      <c r="L504" s="1">
        <v>10.96</v>
      </c>
      <c r="M504" s="1">
        <v>164.4</v>
      </c>
      <c r="N504" s="1" t="s">
        <v>21</v>
      </c>
      <c r="O504" s="1">
        <v>0.0</v>
      </c>
      <c r="P504" s="1" t="s">
        <v>1464</v>
      </c>
      <c r="Q504" s="1" t="str">
        <f t="shared" si="1"/>
        <v>x</v>
      </c>
      <c r="R504" s="1" t="str">
        <f t="shared" si="2"/>
        <v>x</v>
      </c>
      <c r="S504" s="1" t="str">
        <f t="shared" si="3"/>
        <v>x</v>
      </c>
      <c r="T504" s="1" t="str">
        <f t="shared" si="4"/>
        <v>OK</v>
      </c>
    </row>
    <row r="505" ht="15.75" customHeight="1">
      <c r="A505" s="1" t="s">
        <v>1465</v>
      </c>
      <c r="B505" s="1">
        <v>1.0001135E7</v>
      </c>
      <c r="C505" s="1" t="s">
        <v>21</v>
      </c>
      <c r="D505" s="1" t="s">
        <v>22</v>
      </c>
      <c r="E505" s="1" t="s">
        <v>1051</v>
      </c>
      <c r="F505" s="1" t="s">
        <v>1466</v>
      </c>
      <c r="G505" s="1" t="s">
        <v>25</v>
      </c>
      <c r="H505" s="1">
        <v>512.0</v>
      </c>
      <c r="I505" s="1">
        <v>950.0</v>
      </c>
      <c r="J505" s="1">
        <v>12.0</v>
      </c>
      <c r="K505" s="1">
        <v>1474.0</v>
      </c>
      <c r="L505" s="1">
        <v>0.11</v>
      </c>
      <c r="M505" s="1">
        <v>162.14</v>
      </c>
      <c r="N505" s="1" t="s">
        <v>21</v>
      </c>
      <c r="O505" s="1">
        <v>0.0</v>
      </c>
      <c r="P505" s="1" t="s">
        <v>1467</v>
      </c>
      <c r="Q505" s="1" t="str">
        <f t="shared" si="1"/>
        <v>x</v>
      </c>
      <c r="R505" s="1" t="str">
        <f t="shared" si="2"/>
        <v>x</v>
      </c>
      <c r="S505" s="1" t="str">
        <f t="shared" si="3"/>
        <v>x</v>
      </c>
      <c r="T505" s="1" t="str">
        <f t="shared" si="4"/>
        <v>OK</v>
      </c>
    </row>
    <row r="506" ht="15.75" customHeight="1">
      <c r="A506" s="1" t="s">
        <v>1468</v>
      </c>
      <c r="B506" s="1">
        <v>1.0000343E7</v>
      </c>
      <c r="C506" s="1" t="s">
        <v>21</v>
      </c>
      <c r="D506" s="1" t="s">
        <v>22</v>
      </c>
      <c r="E506" s="1" t="s">
        <v>633</v>
      </c>
      <c r="F506" s="1" t="s">
        <v>1469</v>
      </c>
      <c r="G506" s="1" t="s">
        <v>25</v>
      </c>
      <c r="H506" s="1">
        <v>40.0</v>
      </c>
      <c r="I506" s="1">
        <v>0.0</v>
      </c>
      <c r="J506" s="1">
        <v>0.0</v>
      </c>
      <c r="K506" s="1">
        <v>40.0</v>
      </c>
      <c r="L506" s="1">
        <v>4.04</v>
      </c>
      <c r="M506" s="1">
        <v>161.6</v>
      </c>
      <c r="N506" s="1" t="s">
        <v>21</v>
      </c>
      <c r="O506" s="1">
        <v>0.0</v>
      </c>
      <c r="P506" s="1" t="s">
        <v>1470</v>
      </c>
      <c r="Q506" s="1" t="str">
        <f t="shared" si="1"/>
        <v>x</v>
      </c>
      <c r="R506" s="1" t="str">
        <f t="shared" si="2"/>
        <v>x</v>
      </c>
      <c r="S506" s="1" t="str">
        <f t="shared" si="3"/>
        <v>x</v>
      </c>
      <c r="T506" s="1" t="str">
        <f t="shared" si="4"/>
        <v>OK</v>
      </c>
    </row>
    <row r="507" ht="15.75" customHeight="1">
      <c r="A507" s="1" t="s">
        <v>1471</v>
      </c>
      <c r="B507" s="1">
        <v>1.1185351E7</v>
      </c>
      <c r="C507" s="1" t="s">
        <v>21</v>
      </c>
      <c r="D507" s="1" t="s">
        <v>22</v>
      </c>
      <c r="E507" s="1" t="s">
        <v>544</v>
      </c>
      <c r="F507" s="1" t="s">
        <v>1472</v>
      </c>
      <c r="G507" s="1" t="s">
        <v>25</v>
      </c>
      <c r="H507" s="1">
        <v>82.0</v>
      </c>
      <c r="I507" s="1">
        <v>0.0</v>
      </c>
      <c r="J507" s="1">
        <v>0.0</v>
      </c>
      <c r="K507" s="1">
        <v>82.0</v>
      </c>
      <c r="L507" s="1">
        <v>1.96</v>
      </c>
      <c r="M507" s="1">
        <v>160.72</v>
      </c>
      <c r="N507" s="1" t="s">
        <v>21</v>
      </c>
      <c r="O507" s="1">
        <v>0.0</v>
      </c>
      <c r="P507" s="1" t="s">
        <v>1473</v>
      </c>
      <c r="Q507" s="1" t="str">
        <f t="shared" si="1"/>
        <v>x</v>
      </c>
      <c r="R507" s="1" t="str">
        <f t="shared" si="2"/>
        <v>x</v>
      </c>
      <c r="S507" s="1" t="str">
        <f t="shared" si="3"/>
        <v>x</v>
      </c>
      <c r="T507" s="1" t="str">
        <f t="shared" si="4"/>
        <v>OK</v>
      </c>
    </row>
    <row r="508" ht="15.75" customHeight="1">
      <c r="A508" s="1" t="s">
        <v>1474</v>
      </c>
      <c r="B508" s="1">
        <v>1.0872356E7</v>
      </c>
      <c r="C508" s="1" t="s">
        <v>21</v>
      </c>
      <c r="D508" s="1" t="s">
        <v>22</v>
      </c>
      <c r="E508" s="1" t="s">
        <v>785</v>
      </c>
      <c r="F508" s="1" t="s">
        <v>1475</v>
      </c>
      <c r="G508" s="1" t="s">
        <v>25</v>
      </c>
      <c r="H508" s="1">
        <v>340.0</v>
      </c>
      <c r="I508" s="1">
        <v>0.0</v>
      </c>
      <c r="J508" s="1">
        <v>0.0</v>
      </c>
      <c r="K508" s="1">
        <v>340.0</v>
      </c>
      <c r="L508" s="1">
        <v>0.46</v>
      </c>
      <c r="M508" s="1">
        <v>156.4</v>
      </c>
      <c r="N508" s="1" t="s">
        <v>21</v>
      </c>
      <c r="O508" s="1">
        <v>0.0</v>
      </c>
      <c r="P508" s="1" t="s">
        <v>1476</v>
      </c>
      <c r="Q508" s="1" t="str">
        <f t="shared" si="1"/>
        <v>x</v>
      </c>
      <c r="R508" s="1" t="str">
        <f t="shared" si="2"/>
        <v>x</v>
      </c>
      <c r="S508" s="1" t="str">
        <f t="shared" si="3"/>
        <v>x</v>
      </c>
      <c r="T508" s="1" t="str">
        <f t="shared" si="4"/>
        <v>OK</v>
      </c>
    </row>
    <row r="509" ht="15.75" customHeight="1">
      <c r="A509" s="1" t="s">
        <v>1477</v>
      </c>
      <c r="B509" s="1">
        <v>1.0000082E7</v>
      </c>
      <c r="C509" s="1" t="s">
        <v>21</v>
      </c>
      <c r="D509" s="1" t="s">
        <v>22</v>
      </c>
      <c r="E509" s="1" t="s">
        <v>544</v>
      </c>
      <c r="F509" s="1" t="s">
        <v>803</v>
      </c>
      <c r="G509" s="1" t="s">
        <v>25</v>
      </c>
      <c r="H509" s="1">
        <v>118.0</v>
      </c>
      <c r="I509" s="1">
        <v>12.0</v>
      </c>
      <c r="J509" s="1">
        <v>40.0</v>
      </c>
      <c r="K509" s="1">
        <v>170.0</v>
      </c>
      <c r="L509" s="1">
        <v>0.89</v>
      </c>
      <c r="M509" s="1">
        <v>151.3</v>
      </c>
      <c r="N509" s="1" t="s">
        <v>21</v>
      </c>
      <c r="O509" s="1">
        <v>0.0</v>
      </c>
      <c r="P509" s="1" t="s">
        <v>1478</v>
      </c>
      <c r="Q509" s="1" t="str">
        <f t="shared" si="1"/>
        <v>x</v>
      </c>
      <c r="R509" s="1" t="str">
        <f t="shared" si="2"/>
        <v>x</v>
      </c>
      <c r="S509" s="1" t="str">
        <f t="shared" si="3"/>
        <v>x</v>
      </c>
      <c r="T509" s="1" t="str">
        <f t="shared" si="4"/>
        <v>OK</v>
      </c>
    </row>
    <row r="510" ht="15.75" customHeight="1">
      <c r="A510" s="1" t="s">
        <v>1479</v>
      </c>
      <c r="B510" s="1">
        <v>1.0895074E7</v>
      </c>
      <c r="C510" s="1" t="s">
        <v>21</v>
      </c>
      <c r="D510" s="1" t="s">
        <v>22</v>
      </c>
      <c r="E510" s="1" t="s">
        <v>231</v>
      </c>
      <c r="F510" s="1" t="s">
        <v>1480</v>
      </c>
      <c r="G510" s="1" t="s">
        <v>25</v>
      </c>
      <c r="H510" s="1">
        <v>9.0</v>
      </c>
      <c r="I510" s="1">
        <v>0.0</v>
      </c>
      <c r="J510" s="1">
        <v>5.0</v>
      </c>
      <c r="K510" s="1">
        <v>14.0</v>
      </c>
      <c r="L510" s="1">
        <v>10.69</v>
      </c>
      <c r="M510" s="1">
        <v>149.66</v>
      </c>
      <c r="N510" s="1" t="s">
        <v>21</v>
      </c>
      <c r="O510" s="1">
        <v>0.0</v>
      </c>
      <c r="P510" s="1" t="s">
        <v>1481</v>
      </c>
      <c r="Q510" s="1" t="str">
        <f t="shared" si="1"/>
        <v>x</v>
      </c>
      <c r="R510" s="1" t="str">
        <f t="shared" si="2"/>
        <v>x</v>
      </c>
      <c r="S510" s="1" t="str">
        <f t="shared" si="3"/>
        <v>x</v>
      </c>
      <c r="T510" s="1" t="str">
        <f t="shared" si="4"/>
        <v>OK</v>
      </c>
    </row>
    <row r="511" ht="15.75" customHeight="1">
      <c r="A511" s="1" t="s">
        <v>1482</v>
      </c>
      <c r="B511" s="1">
        <v>1.0688026E7</v>
      </c>
      <c r="C511" s="1" t="s">
        <v>21</v>
      </c>
      <c r="D511" s="1" t="s">
        <v>22</v>
      </c>
      <c r="E511" s="1" t="s">
        <v>23</v>
      </c>
      <c r="F511" s="1" t="s">
        <v>1483</v>
      </c>
      <c r="G511" s="1" t="s">
        <v>25</v>
      </c>
      <c r="H511" s="1">
        <v>1.0</v>
      </c>
      <c r="I511" s="1">
        <v>0.0</v>
      </c>
      <c r="J511" s="1">
        <v>0.0</v>
      </c>
      <c r="K511" s="1">
        <v>1.0</v>
      </c>
      <c r="L511" s="1">
        <v>149.09</v>
      </c>
      <c r="M511" s="1">
        <v>149.09</v>
      </c>
      <c r="N511" s="1" t="s">
        <v>21</v>
      </c>
      <c r="O511" s="1">
        <v>0.0</v>
      </c>
      <c r="P511" s="1" t="s">
        <v>1484</v>
      </c>
      <c r="Q511" s="1" t="str">
        <f t="shared" si="1"/>
        <v>x</v>
      </c>
      <c r="R511" s="1" t="str">
        <f t="shared" si="2"/>
        <v>x</v>
      </c>
      <c r="S511" s="1" t="str">
        <f t="shared" si="3"/>
        <v>x</v>
      </c>
      <c r="T511" s="1" t="str">
        <f t="shared" si="4"/>
        <v>OK</v>
      </c>
    </row>
    <row r="512" ht="15.75" customHeight="1">
      <c r="A512" s="1" t="s">
        <v>1485</v>
      </c>
      <c r="B512" s="1">
        <v>1.1304628E7</v>
      </c>
      <c r="C512" s="1" t="s">
        <v>21</v>
      </c>
      <c r="D512" s="1" t="s">
        <v>22</v>
      </c>
      <c r="E512" s="1" t="s">
        <v>256</v>
      </c>
      <c r="F512" s="1" t="s">
        <v>514</v>
      </c>
      <c r="G512" s="1" t="s">
        <v>25</v>
      </c>
      <c r="H512" s="1">
        <v>65.0</v>
      </c>
      <c r="I512" s="1">
        <v>65.0</v>
      </c>
      <c r="J512" s="1">
        <v>65.0</v>
      </c>
      <c r="K512" s="1">
        <v>195.0</v>
      </c>
      <c r="L512" s="1">
        <v>0.73</v>
      </c>
      <c r="M512" s="1">
        <v>142.35</v>
      </c>
      <c r="N512" s="1" t="s">
        <v>21</v>
      </c>
      <c r="O512" s="1">
        <v>0.0</v>
      </c>
      <c r="P512" s="1" t="s">
        <v>1486</v>
      </c>
      <c r="Q512" s="1" t="str">
        <f t="shared" si="1"/>
        <v>x</v>
      </c>
      <c r="R512" s="1" t="str">
        <f t="shared" si="2"/>
        <v>x</v>
      </c>
      <c r="S512" s="1" t="str">
        <f t="shared" si="3"/>
        <v>x</v>
      </c>
      <c r="T512" s="1" t="str">
        <f t="shared" si="4"/>
        <v>OK</v>
      </c>
    </row>
    <row r="513" ht="15.75" customHeight="1">
      <c r="A513" s="1" t="s">
        <v>1487</v>
      </c>
      <c r="B513" s="1">
        <v>1.1185351E7</v>
      </c>
      <c r="C513" s="1" t="s">
        <v>21</v>
      </c>
      <c r="D513" s="1" t="s">
        <v>22</v>
      </c>
      <c r="E513" s="1" t="s">
        <v>544</v>
      </c>
      <c r="F513" s="1" t="s">
        <v>1472</v>
      </c>
      <c r="G513" s="1" t="s">
        <v>25</v>
      </c>
      <c r="H513" s="1">
        <v>24.0</v>
      </c>
      <c r="I513" s="1">
        <v>24.0</v>
      </c>
      <c r="J513" s="1">
        <v>24.0</v>
      </c>
      <c r="K513" s="1">
        <v>72.0</v>
      </c>
      <c r="L513" s="1">
        <v>1.96</v>
      </c>
      <c r="M513" s="1">
        <v>141.12</v>
      </c>
      <c r="N513" s="1" t="s">
        <v>21</v>
      </c>
      <c r="O513" s="1">
        <v>0.0</v>
      </c>
      <c r="P513" s="1" t="s">
        <v>1488</v>
      </c>
      <c r="Q513" s="1" t="str">
        <f t="shared" si="1"/>
        <v>x</v>
      </c>
      <c r="R513" s="1" t="str">
        <f t="shared" si="2"/>
        <v>x</v>
      </c>
      <c r="S513" s="1" t="str">
        <f t="shared" si="3"/>
        <v>x</v>
      </c>
      <c r="T513" s="1" t="str">
        <f t="shared" si="4"/>
        <v>OK</v>
      </c>
    </row>
    <row r="514" ht="15.75" customHeight="1">
      <c r="A514" s="1" t="s">
        <v>1489</v>
      </c>
      <c r="B514" s="1">
        <v>1.0405979E7</v>
      </c>
      <c r="C514" s="1" t="s">
        <v>21</v>
      </c>
      <c r="D514" s="1" t="s">
        <v>22</v>
      </c>
      <c r="E514" s="1" t="s">
        <v>129</v>
      </c>
      <c r="F514" s="1" t="s">
        <v>1490</v>
      </c>
      <c r="G514" s="1" t="s">
        <v>25</v>
      </c>
      <c r="H514" s="1">
        <v>4.0</v>
      </c>
      <c r="I514" s="1">
        <v>0.0</v>
      </c>
      <c r="J514" s="1">
        <v>4.0</v>
      </c>
      <c r="K514" s="1">
        <v>8.0</v>
      </c>
      <c r="L514" s="1">
        <v>17.54</v>
      </c>
      <c r="M514" s="1">
        <v>140.32</v>
      </c>
      <c r="N514" s="1" t="s">
        <v>21</v>
      </c>
      <c r="O514" s="1">
        <v>0.0</v>
      </c>
      <c r="P514" s="1" t="s">
        <v>1491</v>
      </c>
      <c r="Q514" s="1" t="str">
        <f t="shared" si="1"/>
        <v>x</v>
      </c>
      <c r="R514" s="1" t="str">
        <f t="shared" si="2"/>
        <v>x</v>
      </c>
      <c r="S514" s="1" t="str">
        <f t="shared" si="3"/>
        <v>x</v>
      </c>
      <c r="T514" s="1" t="str">
        <f t="shared" si="4"/>
        <v>OK</v>
      </c>
    </row>
    <row r="515" ht="15.75" customHeight="1">
      <c r="A515" s="1" t="s">
        <v>1492</v>
      </c>
      <c r="B515" s="1">
        <v>1.0752839E7</v>
      </c>
      <c r="C515" s="1" t="s">
        <v>21</v>
      </c>
      <c r="D515" s="1" t="s">
        <v>22</v>
      </c>
      <c r="E515" s="1" t="s">
        <v>785</v>
      </c>
      <c r="F515" s="1" t="s">
        <v>1136</v>
      </c>
      <c r="G515" s="1" t="s">
        <v>25</v>
      </c>
      <c r="H515" s="1">
        <v>0.0</v>
      </c>
      <c r="I515" s="1">
        <v>0.0</v>
      </c>
      <c r="J515" s="1">
        <v>264.0</v>
      </c>
      <c r="K515" s="1">
        <v>264.0</v>
      </c>
      <c r="L515" s="1">
        <v>0.5</v>
      </c>
      <c r="M515" s="1">
        <v>132.0</v>
      </c>
      <c r="N515" s="1" t="s">
        <v>21</v>
      </c>
      <c r="O515" s="1">
        <v>0.0</v>
      </c>
      <c r="P515" s="1" t="s">
        <v>1493</v>
      </c>
      <c r="Q515" s="1" t="str">
        <f t="shared" si="1"/>
        <v>x</v>
      </c>
      <c r="R515" s="1" t="str">
        <f t="shared" si="2"/>
        <v>x</v>
      </c>
      <c r="S515" s="1" t="str">
        <f t="shared" si="3"/>
        <v>x</v>
      </c>
      <c r="T515" s="1" t="str">
        <f t="shared" si="4"/>
        <v>OK</v>
      </c>
    </row>
    <row r="516" ht="15.75" customHeight="1">
      <c r="A516" s="1" t="s">
        <v>1494</v>
      </c>
      <c r="B516" s="1">
        <v>1.0000078E7</v>
      </c>
      <c r="C516" s="1" t="s">
        <v>21</v>
      </c>
      <c r="D516" s="1" t="s">
        <v>22</v>
      </c>
      <c r="E516" s="1" t="s">
        <v>1051</v>
      </c>
      <c r="F516" s="1" t="s">
        <v>1495</v>
      </c>
      <c r="G516" s="1" t="s">
        <v>25</v>
      </c>
      <c r="H516" s="1">
        <v>207.0</v>
      </c>
      <c r="I516" s="1">
        <v>697.0</v>
      </c>
      <c r="J516" s="1">
        <v>697.0</v>
      </c>
      <c r="K516" s="1">
        <v>1601.0</v>
      </c>
      <c r="L516" s="1">
        <v>0.08</v>
      </c>
      <c r="M516" s="1">
        <v>128.08</v>
      </c>
      <c r="N516" s="1" t="s">
        <v>21</v>
      </c>
      <c r="O516" s="1">
        <v>0.0</v>
      </c>
      <c r="P516" s="1" t="s">
        <v>1496</v>
      </c>
      <c r="Q516" s="1" t="str">
        <f t="shared" si="1"/>
        <v>x</v>
      </c>
      <c r="R516" s="1" t="str">
        <f t="shared" si="2"/>
        <v>x</v>
      </c>
      <c r="S516" s="1" t="str">
        <f t="shared" si="3"/>
        <v>x</v>
      </c>
      <c r="T516" s="1" t="str">
        <f t="shared" si="4"/>
        <v>OK</v>
      </c>
    </row>
    <row r="517" ht="15.75" customHeight="1">
      <c r="A517" s="1" t="s">
        <v>1497</v>
      </c>
      <c r="B517" s="1">
        <v>1.0538144E7</v>
      </c>
      <c r="C517" s="1" t="s">
        <v>21</v>
      </c>
      <c r="D517" s="1" t="s">
        <v>22</v>
      </c>
      <c r="E517" s="1" t="s">
        <v>633</v>
      </c>
      <c r="F517" s="1" t="s">
        <v>1498</v>
      </c>
      <c r="G517" s="1" t="s">
        <v>25</v>
      </c>
      <c r="H517" s="1">
        <v>40.0</v>
      </c>
      <c r="I517" s="1">
        <v>0.0</v>
      </c>
      <c r="J517" s="1">
        <v>0.0</v>
      </c>
      <c r="K517" s="1">
        <v>40.0</v>
      </c>
      <c r="L517" s="1">
        <v>3.19</v>
      </c>
      <c r="M517" s="1">
        <v>127.6</v>
      </c>
      <c r="N517" s="1" t="s">
        <v>21</v>
      </c>
      <c r="O517" s="1">
        <v>0.0</v>
      </c>
      <c r="P517" s="1" t="s">
        <v>1499</v>
      </c>
      <c r="Q517" s="1" t="str">
        <f t="shared" si="1"/>
        <v>x</v>
      </c>
      <c r="R517" s="1" t="str">
        <f t="shared" si="2"/>
        <v>x</v>
      </c>
      <c r="S517" s="1" t="str">
        <f t="shared" si="3"/>
        <v>x</v>
      </c>
      <c r="T517" s="1" t="str">
        <f t="shared" si="4"/>
        <v>OK</v>
      </c>
    </row>
    <row r="518" ht="15.75" customHeight="1">
      <c r="A518" s="1" t="s">
        <v>1500</v>
      </c>
      <c r="B518" s="1">
        <v>1.0871605E7</v>
      </c>
      <c r="C518" s="1" t="s">
        <v>21</v>
      </c>
      <c r="D518" s="1" t="s">
        <v>22</v>
      </c>
      <c r="E518" s="1" t="s">
        <v>544</v>
      </c>
      <c r="F518" s="1" t="s">
        <v>1501</v>
      </c>
      <c r="G518" s="1" t="s">
        <v>25</v>
      </c>
      <c r="H518" s="1">
        <v>0.0</v>
      </c>
      <c r="I518" s="1">
        <v>48.0</v>
      </c>
      <c r="J518" s="1">
        <v>48.0</v>
      </c>
      <c r="K518" s="1">
        <v>96.0</v>
      </c>
      <c r="L518" s="1">
        <v>1.31</v>
      </c>
      <c r="M518" s="1">
        <v>125.76</v>
      </c>
      <c r="N518" s="1" t="s">
        <v>21</v>
      </c>
      <c r="O518" s="1">
        <v>0.0</v>
      </c>
      <c r="P518" s="1" t="s">
        <v>1502</v>
      </c>
      <c r="Q518" s="1" t="str">
        <f t="shared" si="1"/>
        <v>x</v>
      </c>
      <c r="R518" s="1" t="str">
        <f t="shared" si="2"/>
        <v>x</v>
      </c>
      <c r="S518" s="1" t="str">
        <f t="shared" si="3"/>
        <v>x</v>
      </c>
      <c r="T518" s="1" t="str">
        <f t="shared" si="4"/>
        <v>OK</v>
      </c>
    </row>
    <row r="519" ht="15.75" customHeight="1">
      <c r="A519" s="1" t="s">
        <v>1503</v>
      </c>
      <c r="B519" s="1">
        <v>1.1176987E7</v>
      </c>
      <c r="C519" s="1" t="s">
        <v>21</v>
      </c>
      <c r="D519" s="1" t="s">
        <v>22</v>
      </c>
      <c r="E519" s="1" t="s">
        <v>56</v>
      </c>
      <c r="F519" s="1" t="s">
        <v>1504</v>
      </c>
      <c r="G519" s="1" t="s">
        <v>25</v>
      </c>
      <c r="H519" s="1">
        <v>1.0</v>
      </c>
      <c r="I519" s="1">
        <v>0.0</v>
      </c>
      <c r="J519" s="1">
        <v>0.0</v>
      </c>
      <c r="K519" s="1">
        <v>1.0</v>
      </c>
      <c r="L519" s="1">
        <v>122.02</v>
      </c>
      <c r="M519" s="1">
        <v>122.02</v>
      </c>
      <c r="N519" s="1" t="s">
        <v>21</v>
      </c>
      <c r="O519" s="1">
        <v>0.0</v>
      </c>
      <c r="P519" s="1" t="s">
        <v>1505</v>
      </c>
      <c r="Q519" s="1" t="str">
        <f t="shared" si="1"/>
        <v>x</v>
      </c>
      <c r="R519" s="1" t="str">
        <f t="shared" si="2"/>
        <v>x</v>
      </c>
      <c r="S519" s="1" t="str">
        <f t="shared" si="3"/>
        <v>x</v>
      </c>
      <c r="T519" s="1" t="str">
        <f t="shared" si="4"/>
        <v>OK</v>
      </c>
    </row>
    <row r="520" ht="15.75" customHeight="1">
      <c r="A520" s="1" t="s">
        <v>1506</v>
      </c>
      <c r="B520" s="1">
        <v>1.0872356E7</v>
      </c>
      <c r="C520" s="1" t="s">
        <v>21</v>
      </c>
      <c r="D520" s="1" t="s">
        <v>22</v>
      </c>
      <c r="E520" s="1" t="s">
        <v>785</v>
      </c>
      <c r="F520" s="1" t="s">
        <v>1475</v>
      </c>
      <c r="G520" s="1" t="s">
        <v>25</v>
      </c>
      <c r="H520" s="1">
        <v>0.0</v>
      </c>
      <c r="I520" s="1">
        <v>0.0</v>
      </c>
      <c r="J520" s="1">
        <v>264.0</v>
      </c>
      <c r="K520" s="1">
        <v>264.0</v>
      </c>
      <c r="L520" s="1">
        <v>0.46</v>
      </c>
      <c r="M520" s="1">
        <v>121.44</v>
      </c>
      <c r="N520" s="1" t="s">
        <v>21</v>
      </c>
      <c r="O520" s="1">
        <v>0.0</v>
      </c>
      <c r="P520" s="1" t="s">
        <v>1507</v>
      </c>
      <c r="Q520" s="1" t="str">
        <f t="shared" si="1"/>
        <v>x</v>
      </c>
      <c r="R520" s="1" t="str">
        <f t="shared" si="2"/>
        <v>x</v>
      </c>
      <c r="S520" s="1" t="str">
        <f t="shared" si="3"/>
        <v>x</v>
      </c>
      <c r="T520" s="1" t="str">
        <f t="shared" si="4"/>
        <v>OK</v>
      </c>
    </row>
    <row r="521" ht="15.75" customHeight="1">
      <c r="A521" s="1" t="s">
        <v>1508</v>
      </c>
      <c r="B521" s="1">
        <v>1.1879327E7</v>
      </c>
      <c r="C521" s="1" t="s">
        <v>21</v>
      </c>
      <c r="D521" s="1" t="s">
        <v>22</v>
      </c>
      <c r="E521" s="1" t="s">
        <v>36</v>
      </c>
      <c r="F521" s="1" t="s">
        <v>1509</v>
      </c>
      <c r="G521" s="1" t="s">
        <v>25</v>
      </c>
      <c r="H521" s="1">
        <v>2.0</v>
      </c>
      <c r="I521" s="1">
        <v>0.0</v>
      </c>
      <c r="J521" s="1">
        <v>0.0</v>
      </c>
      <c r="K521" s="1">
        <v>2.0</v>
      </c>
      <c r="L521" s="1">
        <v>60.61</v>
      </c>
      <c r="M521" s="1">
        <v>121.22</v>
      </c>
      <c r="N521" s="1" t="s">
        <v>21</v>
      </c>
      <c r="O521" s="1">
        <v>0.0</v>
      </c>
      <c r="P521" s="1" t="s">
        <v>1510</v>
      </c>
      <c r="Q521" s="1" t="str">
        <f t="shared" si="1"/>
        <v>x</v>
      </c>
      <c r="R521" s="1" t="str">
        <f t="shared" si="2"/>
        <v>x</v>
      </c>
      <c r="S521" s="1" t="str">
        <f t="shared" si="3"/>
        <v>x</v>
      </c>
      <c r="T521" s="1" t="str">
        <f t="shared" si="4"/>
        <v>OK</v>
      </c>
    </row>
    <row r="522" ht="15.75" customHeight="1">
      <c r="A522" s="1" t="s">
        <v>1511</v>
      </c>
      <c r="B522" s="1">
        <v>1.0295381E7</v>
      </c>
      <c r="C522" s="1" t="s">
        <v>21</v>
      </c>
      <c r="D522" s="1" t="s">
        <v>22</v>
      </c>
      <c r="E522" s="1" t="s">
        <v>738</v>
      </c>
      <c r="F522" s="1" t="s">
        <v>1512</v>
      </c>
      <c r="G522" s="1" t="s">
        <v>25</v>
      </c>
      <c r="H522" s="1">
        <v>50.0</v>
      </c>
      <c r="I522" s="1">
        <v>0.0</v>
      </c>
      <c r="J522" s="1">
        <v>0.0</v>
      </c>
      <c r="K522" s="1">
        <v>50.0</v>
      </c>
      <c r="L522" s="1">
        <v>2.38</v>
      </c>
      <c r="M522" s="1">
        <v>119.0</v>
      </c>
      <c r="N522" s="1" t="s">
        <v>21</v>
      </c>
      <c r="O522" s="1">
        <v>0.0</v>
      </c>
      <c r="P522" s="1" t="s">
        <v>1513</v>
      </c>
      <c r="Q522" s="1" t="str">
        <f t="shared" si="1"/>
        <v>x</v>
      </c>
      <c r="R522" s="1" t="str">
        <f t="shared" si="2"/>
        <v>x</v>
      </c>
      <c r="S522" s="1" t="str">
        <f t="shared" si="3"/>
        <v>x</v>
      </c>
      <c r="T522" s="1" t="str">
        <f t="shared" si="4"/>
        <v>OK</v>
      </c>
    </row>
    <row r="523" ht="15.75" customHeight="1">
      <c r="A523" s="1" t="s">
        <v>1514</v>
      </c>
      <c r="B523" s="1">
        <v>1.0000079E7</v>
      </c>
      <c r="C523" s="1" t="s">
        <v>21</v>
      </c>
      <c r="D523" s="1" t="s">
        <v>22</v>
      </c>
      <c r="E523" s="1" t="s">
        <v>1051</v>
      </c>
      <c r="F523" s="1" t="s">
        <v>1106</v>
      </c>
      <c r="G523" s="1" t="s">
        <v>25</v>
      </c>
      <c r="H523" s="1">
        <v>515.0</v>
      </c>
      <c r="I523" s="1">
        <v>0.0</v>
      </c>
      <c r="J523" s="1">
        <v>0.0</v>
      </c>
      <c r="K523" s="1">
        <v>515.0</v>
      </c>
      <c r="L523" s="1">
        <v>0.23</v>
      </c>
      <c r="M523" s="1">
        <v>118.45</v>
      </c>
      <c r="N523" s="1" t="s">
        <v>21</v>
      </c>
      <c r="O523" s="1">
        <v>0.0</v>
      </c>
      <c r="P523" s="1" t="s">
        <v>1515</v>
      </c>
      <c r="Q523" s="1" t="str">
        <f t="shared" si="1"/>
        <v>x</v>
      </c>
      <c r="R523" s="1" t="str">
        <f t="shared" si="2"/>
        <v>x</v>
      </c>
      <c r="S523" s="1" t="str">
        <f t="shared" si="3"/>
        <v>x</v>
      </c>
      <c r="T523" s="1" t="str">
        <f t="shared" si="4"/>
        <v>OK</v>
      </c>
    </row>
    <row r="524" ht="15.75" customHeight="1">
      <c r="A524" s="1" t="s">
        <v>1516</v>
      </c>
      <c r="B524" s="1">
        <v>1.0000338E7</v>
      </c>
      <c r="C524" s="1" t="s">
        <v>21</v>
      </c>
      <c r="D524" s="1" t="s">
        <v>22</v>
      </c>
      <c r="E524" s="1" t="s">
        <v>633</v>
      </c>
      <c r="F524" s="1" t="s">
        <v>1517</v>
      </c>
      <c r="G524" s="1" t="s">
        <v>25</v>
      </c>
      <c r="H524" s="1">
        <v>40.0</v>
      </c>
      <c r="I524" s="1">
        <v>0.0</v>
      </c>
      <c r="J524" s="1">
        <v>0.0</v>
      </c>
      <c r="K524" s="1">
        <v>40.0</v>
      </c>
      <c r="L524" s="1">
        <v>2.96</v>
      </c>
      <c r="M524" s="1">
        <v>118.4</v>
      </c>
      <c r="N524" s="1" t="s">
        <v>21</v>
      </c>
      <c r="O524" s="1">
        <v>0.0</v>
      </c>
      <c r="P524" s="1" t="s">
        <v>1518</v>
      </c>
      <c r="Q524" s="1" t="str">
        <f t="shared" si="1"/>
        <v>x</v>
      </c>
      <c r="R524" s="1" t="str">
        <f t="shared" si="2"/>
        <v>x</v>
      </c>
      <c r="S524" s="1" t="str">
        <f t="shared" si="3"/>
        <v>x</v>
      </c>
      <c r="T524" s="1" t="str">
        <f t="shared" si="4"/>
        <v>OK</v>
      </c>
    </row>
    <row r="525" ht="15.75" customHeight="1">
      <c r="A525" s="1" t="s">
        <v>1519</v>
      </c>
      <c r="B525" s="1">
        <v>1.1125072E7</v>
      </c>
      <c r="C525" s="1" t="s">
        <v>21</v>
      </c>
      <c r="D525" s="1" t="s">
        <v>22</v>
      </c>
      <c r="E525" s="1" t="s">
        <v>785</v>
      </c>
      <c r="F525" s="1" t="s">
        <v>1166</v>
      </c>
      <c r="G525" s="1" t="s">
        <v>25</v>
      </c>
      <c r="H525" s="1">
        <v>74.0</v>
      </c>
      <c r="I525" s="1">
        <v>114.0</v>
      </c>
      <c r="J525" s="1">
        <v>114.0</v>
      </c>
      <c r="K525" s="1">
        <v>302.0</v>
      </c>
      <c r="L525" s="1">
        <v>0.39</v>
      </c>
      <c r="M525" s="1">
        <v>117.78</v>
      </c>
      <c r="N525" s="1" t="s">
        <v>21</v>
      </c>
      <c r="O525" s="1">
        <v>0.0</v>
      </c>
      <c r="P525" s="1" t="s">
        <v>1520</v>
      </c>
      <c r="Q525" s="1" t="str">
        <f t="shared" si="1"/>
        <v>x</v>
      </c>
      <c r="R525" s="1" t="str">
        <f t="shared" si="2"/>
        <v>x</v>
      </c>
      <c r="S525" s="1" t="str">
        <f t="shared" si="3"/>
        <v>x</v>
      </c>
      <c r="T525" s="1" t="str">
        <f t="shared" si="4"/>
        <v>OK</v>
      </c>
    </row>
    <row r="526" ht="15.75" customHeight="1">
      <c r="A526" s="1" t="s">
        <v>1521</v>
      </c>
      <c r="B526" s="1">
        <v>1.0755946E7</v>
      </c>
      <c r="C526" s="1" t="s">
        <v>21</v>
      </c>
      <c r="D526" s="1" t="s">
        <v>22</v>
      </c>
      <c r="E526" s="1" t="s">
        <v>129</v>
      </c>
      <c r="F526" s="1" t="s">
        <v>1522</v>
      </c>
      <c r="G526" s="1" t="s">
        <v>25</v>
      </c>
      <c r="H526" s="1">
        <v>3.0</v>
      </c>
      <c r="I526" s="1">
        <v>0.0</v>
      </c>
      <c r="J526" s="1">
        <v>3.0</v>
      </c>
      <c r="K526" s="1">
        <v>6.0</v>
      </c>
      <c r="L526" s="1">
        <v>19.19</v>
      </c>
      <c r="M526" s="1">
        <v>115.14</v>
      </c>
      <c r="N526" s="1" t="s">
        <v>21</v>
      </c>
      <c r="O526" s="1">
        <v>0.0</v>
      </c>
      <c r="P526" s="1" t="s">
        <v>1523</v>
      </c>
      <c r="Q526" s="1" t="str">
        <f t="shared" si="1"/>
        <v>x</v>
      </c>
      <c r="R526" s="1" t="str">
        <f t="shared" si="2"/>
        <v>x</v>
      </c>
      <c r="S526" s="1" t="str">
        <f t="shared" si="3"/>
        <v>x</v>
      </c>
      <c r="T526" s="1" t="str">
        <f t="shared" si="4"/>
        <v>OK</v>
      </c>
    </row>
    <row r="527" ht="15.75" customHeight="1">
      <c r="A527" s="1" t="s">
        <v>1524</v>
      </c>
      <c r="B527" s="1">
        <v>1.082113E7</v>
      </c>
      <c r="C527" s="1" t="s">
        <v>21</v>
      </c>
      <c r="D527" s="1" t="s">
        <v>22</v>
      </c>
      <c r="E527" s="1" t="s">
        <v>56</v>
      </c>
      <c r="F527" s="1" t="s">
        <v>1525</v>
      </c>
      <c r="G527" s="1" t="s">
        <v>25</v>
      </c>
      <c r="H527" s="1">
        <v>1.0</v>
      </c>
      <c r="I527" s="1">
        <v>0.0</v>
      </c>
      <c r="J527" s="1">
        <v>0.0</v>
      </c>
      <c r="K527" s="1">
        <v>1.0</v>
      </c>
      <c r="L527" s="1">
        <v>112.25</v>
      </c>
      <c r="M527" s="1">
        <v>112.25</v>
      </c>
      <c r="N527" s="1" t="s">
        <v>21</v>
      </c>
      <c r="O527" s="1">
        <v>0.0</v>
      </c>
      <c r="P527" s="1" t="s">
        <v>1526</v>
      </c>
      <c r="Q527" s="1" t="str">
        <f t="shared" si="1"/>
        <v>x</v>
      </c>
      <c r="R527" s="1" t="str">
        <f t="shared" si="2"/>
        <v>x</v>
      </c>
      <c r="S527" s="1" t="str">
        <f t="shared" si="3"/>
        <v>x</v>
      </c>
      <c r="T527" s="1" t="str">
        <f t="shared" si="4"/>
        <v>OK</v>
      </c>
    </row>
    <row r="528" ht="15.75" customHeight="1">
      <c r="A528" s="1" t="s">
        <v>1527</v>
      </c>
      <c r="B528" s="1">
        <v>1.0169784E7</v>
      </c>
      <c r="C528" s="1" t="s">
        <v>21</v>
      </c>
      <c r="D528" s="1" t="s">
        <v>22</v>
      </c>
      <c r="E528" s="1" t="s">
        <v>231</v>
      </c>
      <c r="F528" s="1" t="s">
        <v>1528</v>
      </c>
      <c r="G528" s="1" t="s">
        <v>25</v>
      </c>
      <c r="H528" s="1">
        <v>8.0</v>
      </c>
      <c r="I528" s="1">
        <v>1.0</v>
      </c>
      <c r="J528" s="1">
        <v>6.0</v>
      </c>
      <c r="K528" s="1">
        <v>15.0</v>
      </c>
      <c r="L528" s="1">
        <v>7.19</v>
      </c>
      <c r="M528" s="1">
        <v>107.85</v>
      </c>
      <c r="N528" s="1" t="s">
        <v>21</v>
      </c>
      <c r="O528" s="1">
        <v>0.0</v>
      </c>
      <c r="P528" s="1" t="s">
        <v>1529</v>
      </c>
      <c r="Q528" s="1" t="str">
        <f t="shared" si="1"/>
        <v>x</v>
      </c>
      <c r="R528" s="1" t="str">
        <f t="shared" si="2"/>
        <v>x</v>
      </c>
      <c r="S528" s="1" t="str">
        <f t="shared" si="3"/>
        <v>x</v>
      </c>
      <c r="T528" s="1" t="str">
        <f t="shared" si="4"/>
        <v>OK</v>
      </c>
    </row>
    <row r="529" ht="15.75" customHeight="1">
      <c r="A529" s="1" t="s">
        <v>1530</v>
      </c>
      <c r="B529" s="1">
        <v>1.0693755E7</v>
      </c>
      <c r="C529" s="1" t="s">
        <v>21</v>
      </c>
      <c r="D529" s="1" t="s">
        <v>22</v>
      </c>
      <c r="E529" s="1" t="s">
        <v>633</v>
      </c>
      <c r="F529" s="1" t="s">
        <v>1531</v>
      </c>
      <c r="G529" s="1" t="s">
        <v>25</v>
      </c>
      <c r="H529" s="1">
        <v>40.0</v>
      </c>
      <c r="I529" s="1">
        <v>0.0</v>
      </c>
      <c r="J529" s="1">
        <v>0.0</v>
      </c>
      <c r="K529" s="1">
        <v>40.0</v>
      </c>
      <c r="L529" s="1">
        <v>2.69</v>
      </c>
      <c r="M529" s="1">
        <v>107.6</v>
      </c>
      <c r="N529" s="1" t="s">
        <v>21</v>
      </c>
      <c r="O529" s="1">
        <v>0.0</v>
      </c>
      <c r="P529" s="1" t="s">
        <v>1532</v>
      </c>
      <c r="Q529" s="1" t="str">
        <f t="shared" si="1"/>
        <v>x</v>
      </c>
      <c r="R529" s="1" t="str">
        <f t="shared" si="2"/>
        <v>x</v>
      </c>
      <c r="S529" s="1" t="str">
        <f t="shared" si="3"/>
        <v>x</v>
      </c>
      <c r="T529" s="1" t="str">
        <f t="shared" si="4"/>
        <v>OK</v>
      </c>
    </row>
    <row r="530" ht="15.75" customHeight="1">
      <c r="A530" s="1" t="s">
        <v>1533</v>
      </c>
      <c r="B530" s="1">
        <v>1.113688E7</v>
      </c>
      <c r="C530" s="1" t="s">
        <v>21</v>
      </c>
      <c r="D530" s="1" t="s">
        <v>22</v>
      </c>
      <c r="E530" s="1" t="s">
        <v>544</v>
      </c>
      <c r="F530" s="1" t="s">
        <v>1534</v>
      </c>
      <c r="G530" s="1" t="s">
        <v>25</v>
      </c>
      <c r="H530" s="1">
        <v>82.0</v>
      </c>
      <c r="I530" s="1">
        <v>0.0</v>
      </c>
      <c r="J530" s="1">
        <v>0.0</v>
      </c>
      <c r="K530" s="1">
        <v>82.0</v>
      </c>
      <c r="L530" s="1">
        <v>1.31</v>
      </c>
      <c r="M530" s="1">
        <v>107.42</v>
      </c>
      <c r="N530" s="1" t="s">
        <v>21</v>
      </c>
      <c r="O530" s="1">
        <v>0.0</v>
      </c>
      <c r="P530" s="1" t="s">
        <v>1535</v>
      </c>
      <c r="Q530" s="1" t="str">
        <f t="shared" si="1"/>
        <v>x</v>
      </c>
      <c r="R530" s="1" t="str">
        <f t="shared" si="2"/>
        <v>x</v>
      </c>
      <c r="S530" s="1" t="str">
        <f t="shared" si="3"/>
        <v>x</v>
      </c>
      <c r="T530" s="1" t="str">
        <f t="shared" si="4"/>
        <v>OK</v>
      </c>
    </row>
    <row r="531" ht="15.75" customHeight="1">
      <c r="A531" s="1" t="s">
        <v>1536</v>
      </c>
      <c r="B531" s="1">
        <v>1.0247398E7</v>
      </c>
      <c r="C531" s="1" t="s">
        <v>21</v>
      </c>
      <c r="D531" s="1" t="s">
        <v>22</v>
      </c>
      <c r="E531" s="1" t="s">
        <v>256</v>
      </c>
      <c r="F531" s="1" t="s">
        <v>469</v>
      </c>
      <c r="G531" s="1" t="s">
        <v>25</v>
      </c>
      <c r="H531" s="1">
        <v>0.0</v>
      </c>
      <c r="I531" s="1">
        <v>0.0</v>
      </c>
      <c r="J531" s="1">
        <v>132.0</v>
      </c>
      <c r="K531" s="1">
        <v>132.0</v>
      </c>
      <c r="L531" s="1">
        <v>0.81</v>
      </c>
      <c r="M531" s="1">
        <v>106.92</v>
      </c>
      <c r="N531" s="1" t="s">
        <v>21</v>
      </c>
      <c r="O531" s="1">
        <v>0.0</v>
      </c>
      <c r="P531" s="1" t="s">
        <v>1537</v>
      </c>
      <c r="Q531" s="1" t="str">
        <f t="shared" si="1"/>
        <v>x</v>
      </c>
      <c r="R531" s="1" t="str">
        <f t="shared" si="2"/>
        <v>x</v>
      </c>
      <c r="S531" s="1" t="str">
        <f t="shared" si="3"/>
        <v>x</v>
      </c>
      <c r="T531" s="1" t="str">
        <f t="shared" si="4"/>
        <v>OK</v>
      </c>
    </row>
    <row r="532" ht="15.75" customHeight="1">
      <c r="A532" s="1" t="s">
        <v>1538</v>
      </c>
      <c r="B532" s="1">
        <v>1.0873673E7</v>
      </c>
      <c r="C532" s="1" t="s">
        <v>21</v>
      </c>
      <c r="D532" s="1" t="s">
        <v>22</v>
      </c>
      <c r="E532" s="1" t="s">
        <v>513</v>
      </c>
      <c r="F532" s="1" t="s">
        <v>1274</v>
      </c>
      <c r="G532" s="1" t="s">
        <v>25</v>
      </c>
      <c r="H532" s="1">
        <v>164.0</v>
      </c>
      <c r="I532" s="1">
        <v>0.0</v>
      </c>
      <c r="J532" s="1">
        <v>0.0</v>
      </c>
      <c r="K532" s="1">
        <v>164.0</v>
      </c>
      <c r="L532" s="1">
        <v>0.65</v>
      </c>
      <c r="M532" s="1">
        <v>106.6</v>
      </c>
      <c r="N532" s="1" t="s">
        <v>21</v>
      </c>
      <c r="O532" s="1">
        <v>0.0</v>
      </c>
      <c r="P532" s="1" t="s">
        <v>1539</v>
      </c>
      <c r="Q532" s="1" t="str">
        <f t="shared" si="1"/>
        <v>x</v>
      </c>
      <c r="R532" s="1" t="str">
        <f t="shared" si="2"/>
        <v>x</v>
      </c>
      <c r="S532" s="1" t="str">
        <f t="shared" si="3"/>
        <v>x</v>
      </c>
      <c r="T532" s="1" t="str">
        <f t="shared" si="4"/>
        <v>OK</v>
      </c>
    </row>
    <row r="533" ht="15.75" customHeight="1">
      <c r="A533" s="1" t="s">
        <v>1540</v>
      </c>
      <c r="B533" s="1">
        <v>1.1420014E7</v>
      </c>
      <c r="C533" s="1" t="s">
        <v>21</v>
      </c>
      <c r="D533" s="1" t="s">
        <v>22</v>
      </c>
      <c r="E533" s="1" t="s">
        <v>633</v>
      </c>
      <c r="F533" s="1" t="s">
        <v>1541</v>
      </c>
      <c r="G533" s="1" t="s">
        <v>25</v>
      </c>
      <c r="H533" s="1">
        <v>36.0</v>
      </c>
      <c r="I533" s="1">
        <v>0.0</v>
      </c>
      <c r="J533" s="1">
        <v>0.0</v>
      </c>
      <c r="K533" s="1">
        <v>36.0</v>
      </c>
      <c r="L533" s="1">
        <v>2.96</v>
      </c>
      <c r="M533" s="1">
        <v>106.56</v>
      </c>
      <c r="N533" s="1" t="s">
        <v>21</v>
      </c>
      <c r="O533" s="1">
        <v>0.0</v>
      </c>
      <c r="P533" s="1" t="s">
        <v>1542</v>
      </c>
      <c r="Q533" s="1" t="str">
        <f t="shared" si="1"/>
        <v>x</v>
      </c>
      <c r="R533" s="1" t="str">
        <f t="shared" si="2"/>
        <v>x</v>
      </c>
      <c r="S533" s="1" t="str">
        <f t="shared" si="3"/>
        <v>x</v>
      </c>
      <c r="T533" s="1" t="str">
        <f t="shared" si="4"/>
        <v>OK</v>
      </c>
    </row>
    <row r="534" ht="15.75" customHeight="1">
      <c r="A534" s="1" t="s">
        <v>1543</v>
      </c>
      <c r="B534" s="1">
        <v>1.128834E7</v>
      </c>
      <c r="C534" s="1" t="s">
        <v>21</v>
      </c>
      <c r="D534" s="1" t="s">
        <v>22</v>
      </c>
      <c r="E534" s="1" t="s">
        <v>129</v>
      </c>
      <c r="F534" s="1" t="s">
        <v>1544</v>
      </c>
      <c r="G534" s="1" t="s">
        <v>25</v>
      </c>
      <c r="H534" s="1">
        <v>3.0</v>
      </c>
      <c r="I534" s="1">
        <v>0.0</v>
      </c>
      <c r="J534" s="1">
        <v>0.0</v>
      </c>
      <c r="K534" s="1">
        <v>3.0</v>
      </c>
      <c r="L534" s="1">
        <v>35.26</v>
      </c>
      <c r="M534" s="1">
        <v>105.78</v>
      </c>
      <c r="N534" s="1" t="s">
        <v>21</v>
      </c>
      <c r="O534" s="1">
        <v>0.0</v>
      </c>
      <c r="P534" s="1" t="s">
        <v>1545</v>
      </c>
      <c r="Q534" s="1" t="str">
        <f t="shared" si="1"/>
        <v>x</v>
      </c>
      <c r="R534" s="1" t="str">
        <f t="shared" si="2"/>
        <v>x</v>
      </c>
      <c r="S534" s="1" t="str">
        <f t="shared" si="3"/>
        <v>x</v>
      </c>
      <c r="T534" s="1" t="str">
        <f t="shared" si="4"/>
        <v>OK</v>
      </c>
    </row>
    <row r="535" ht="15.75" customHeight="1">
      <c r="A535" s="1" t="s">
        <v>1546</v>
      </c>
      <c r="B535" s="1">
        <v>1.0755944E7</v>
      </c>
      <c r="C535" s="1" t="s">
        <v>21</v>
      </c>
      <c r="D535" s="1" t="s">
        <v>22</v>
      </c>
      <c r="E535" s="1" t="s">
        <v>129</v>
      </c>
      <c r="F535" s="1" t="s">
        <v>1547</v>
      </c>
      <c r="G535" s="1" t="s">
        <v>25</v>
      </c>
      <c r="H535" s="1">
        <v>3.0</v>
      </c>
      <c r="I535" s="1">
        <v>0.0</v>
      </c>
      <c r="J535" s="1">
        <v>3.0</v>
      </c>
      <c r="K535" s="1">
        <v>6.0</v>
      </c>
      <c r="L535" s="1">
        <v>17.34</v>
      </c>
      <c r="M535" s="1">
        <v>104.04</v>
      </c>
      <c r="N535" s="1" t="s">
        <v>21</v>
      </c>
      <c r="O535" s="1">
        <v>0.0</v>
      </c>
      <c r="P535" s="1" t="s">
        <v>1548</v>
      </c>
      <c r="Q535" s="1" t="str">
        <f t="shared" si="1"/>
        <v>x</v>
      </c>
      <c r="R535" s="1" t="str">
        <f t="shared" si="2"/>
        <v>x</v>
      </c>
      <c r="S535" s="1" t="str">
        <f t="shared" si="3"/>
        <v>x</v>
      </c>
      <c r="T535" s="1" t="str">
        <f t="shared" si="4"/>
        <v>OK</v>
      </c>
    </row>
    <row r="536" ht="15.75" customHeight="1">
      <c r="A536" s="1" t="s">
        <v>1549</v>
      </c>
      <c r="B536" s="1">
        <v>1.1324514E7</v>
      </c>
      <c r="C536" s="1" t="s">
        <v>21</v>
      </c>
      <c r="D536" s="1" t="s">
        <v>22</v>
      </c>
      <c r="E536" s="1" t="s">
        <v>633</v>
      </c>
      <c r="F536" s="1" t="s">
        <v>1550</v>
      </c>
      <c r="G536" s="1" t="s">
        <v>25</v>
      </c>
      <c r="H536" s="1">
        <v>24.0</v>
      </c>
      <c r="I536" s="1">
        <v>0.0</v>
      </c>
      <c r="J536" s="1">
        <v>0.0</v>
      </c>
      <c r="K536" s="1">
        <v>24.0</v>
      </c>
      <c r="L536" s="1">
        <v>4.27</v>
      </c>
      <c r="M536" s="1">
        <v>102.48</v>
      </c>
      <c r="N536" s="1" t="s">
        <v>21</v>
      </c>
      <c r="O536" s="1">
        <v>0.0</v>
      </c>
      <c r="P536" s="1" t="s">
        <v>1551</v>
      </c>
      <c r="Q536" s="1" t="str">
        <f t="shared" si="1"/>
        <v>x</v>
      </c>
      <c r="R536" s="1" t="str">
        <f t="shared" si="2"/>
        <v>x</v>
      </c>
      <c r="S536" s="1" t="str">
        <f t="shared" si="3"/>
        <v>x</v>
      </c>
      <c r="T536" s="1" t="str">
        <f t="shared" si="4"/>
        <v>OK</v>
      </c>
    </row>
    <row r="537" ht="15.75" customHeight="1">
      <c r="A537" s="1" t="s">
        <v>1552</v>
      </c>
      <c r="B537" s="1">
        <v>1.1430348E7</v>
      </c>
      <c r="C537" s="1" t="s">
        <v>21</v>
      </c>
      <c r="D537" s="1" t="s">
        <v>22</v>
      </c>
      <c r="E537" s="1" t="s">
        <v>140</v>
      </c>
      <c r="F537" s="1" t="s">
        <v>624</v>
      </c>
      <c r="G537" s="1" t="s">
        <v>25</v>
      </c>
      <c r="H537" s="1">
        <v>2.0</v>
      </c>
      <c r="I537" s="1">
        <v>0.0</v>
      </c>
      <c r="J537" s="1">
        <v>0.0</v>
      </c>
      <c r="K537" s="1">
        <v>2.0</v>
      </c>
      <c r="L537" s="1">
        <v>50.92</v>
      </c>
      <c r="M537" s="1">
        <v>101.84</v>
      </c>
      <c r="N537" s="1" t="s">
        <v>21</v>
      </c>
      <c r="O537" s="1">
        <v>0.0</v>
      </c>
      <c r="P537" s="1" t="s">
        <v>1553</v>
      </c>
      <c r="Q537" s="1" t="str">
        <f t="shared" si="1"/>
        <v>x</v>
      </c>
      <c r="R537" s="1" t="str">
        <f t="shared" si="2"/>
        <v>x</v>
      </c>
      <c r="S537" s="1" t="str">
        <f t="shared" si="3"/>
        <v>x</v>
      </c>
      <c r="T537" s="1" t="str">
        <f t="shared" si="4"/>
        <v>OK</v>
      </c>
    </row>
    <row r="538" ht="15.75" customHeight="1">
      <c r="A538" s="1" t="s">
        <v>1554</v>
      </c>
      <c r="B538" s="1">
        <v>1.000008E7</v>
      </c>
      <c r="C538" s="1" t="s">
        <v>21</v>
      </c>
      <c r="D538" s="1" t="s">
        <v>22</v>
      </c>
      <c r="E538" s="1" t="s">
        <v>785</v>
      </c>
      <c r="F538" s="1" t="s">
        <v>1169</v>
      </c>
      <c r="G538" s="1" t="s">
        <v>25</v>
      </c>
      <c r="H538" s="1">
        <v>48.0</v>
      </c>
      <c r="I538" s="1">
        <v>68.0</v>
      </c>
      <c r="J538" s="1">
        <v>136.0</v>
      </c>
      <c r="K538" s="1">
        <v>252.0</v>
      </c>
      <c r="L538" s="1">
        <v>0.39</v>
      </c>
      <c r="M538" s="1">
        <v>98.28</v>
      </c>
      <c r="N538" s="1" t="s">
        <v>21</v>
      </c>
      <c r="O538" s="1">
        <v>0.0</v>
      </c>
      <c r="P538" s="1" t="s">
        <v>1555</v>
      </c>
      <c r="Q538" s="1" t="str">
        <f t="shared" si="1"/>
        <v>x</v>
      </c>
      <c r="R538" s="1" t="str">
        <f t="shared" si="2"/>
        <v>x</v>
      </c>
      <c r="S538" s="1" t="str">
        <f t="shared" si="3"/>
        <v>x</v>
      </c>
      <c r="T538" s="1" t="str">
        <f t="shared" si="4"/>
        <v>OK</v>
      </c>
    </row>
    <row r="539" ht="15.75" customHeight="1">
      <c r="A539" s="1" t="s">
        <v>1556</v>
      </c>
      <c r="B539" s="1">
        <v>1.0003997E7</v>
      </c>
      <c r="C539" s="1" t="s">
        <v>21</v>
      </c>
      <c r="D539" s="1" t="s">
        <v>22</v>
      </c>
      <c r="E539" s="1" t="s">
        <v>195</v>
      </c>
      <c r="F539" s="1" t="s">
        <v>1557</v>
      </c>
      <c r="G539" s="1" t="s">
        <v>25</v>
      </c>
      <c r="H539" s="1">
        <v>6.0</v>
      </c>
      <c r="I539" s="1">
        <v>0.0</v>
      </c>
      <c r="J539" s="1">
        <v>0.0</v>
      </c>
      <c r="K539" s="1">
        <v>6.0</v>
      </c>
      <c r="L539" s="1">
        <v>16.23</v>
      </c>
      <c r="M539" s="1">
        <v>97.38</v>
      </c>
      <c r="N539" s="1" t="s">
        <v>21</v>
      </c>
      <c r="O539" s="1">
        <v>0.0</v>
      </c>
      <c r="P539" s="1" t="s">
        <v>1558</v>
      </c>
      <c r="Q539" s="1" t="str">
        <f t="shared" si="1"/>
        <v>x</v>
      </c>
      <c r="R539" s="1" t="str">
        <f t="shared" si="2"/>
        <v>x</v>
      </c>
      <c r="S539" s="1" t="str">
        <f t="shared" si="3"/>
        <v>x</v>
      </c>
      <c r="T539" s="1" t="str">
        <f t="shared" si="4"/>
        <v>OK</v>
      </c>
    </row>
    <row r="540" ht="15.75" customHeight="1">
      <c r="A540" s="1" t="s">
        <v>1559</v>
      </c>
      <c r="B540" s="1">
        <v>1.0755945E7</v>
      </c>
      <c r="C540" s="1" t="s">
        <v>21</v>
      </c>
      <c r="D540" s="1" t="s">
        <v>22</v>
      </c>
      <c r="E540" s="1" t="s">
        <v>195</v>
      </c>
      <c r="F540" s="1" t="s">
        <v>1560</v>
      </c>
      <c r="G540" s="1" t="s">
        <v>25</v>
      </c>
      <c r="H540" s="1">
        <v>3.0</v>
      </c>
      <c r="I540" s="1">
        <v>0.0</v>
      </c>
      <c r="J540" s="1">
        <v>3.0</v>
      </c>
      <c r="K540" s="1">
        <v>6.0</v>
      </c>
      <c r="L540" s="1">
        <v>16.19</v>
      </c>
      <c r="M540" s="1">
        <v>97.14</v>
      </c>
      <c r="N540" s="1" t="s">
        <v>21</v>
      </c>
      <c r="O540" s="1">
        <v>0.0</v>
      </c>
      <c r="P540" s="1" t="s">
        <v>1561</v>
      </c>
      <c r="Q540" s="1" t="str">
        <f t="shared" si="1"/>
        <v>x</v>
      </c>
      <c r="R540" s="1" t="str">
        <f t="shared" si="2"/>
        <v>x</v>
      </c>
      <c r="S540" s="1" t="str">
        <f t="shared" si="3"/>
        <v>x</v>
      </c>
      <c r="T540" s="1" t="str">
        <f t="shared" si="4"/>
        <v>OK</v>
      </c>
    </row>
    <row r="541" ht="15.75" customHeight="1">
      <c r="A541" s="1" t="s">
        <v>1562</v>
      </c>
      <c r="B541" s="1">
        <v>1.113688E7</v>
      </c>
      <c r="C541" s="1" t="s">
        <v>21</v>
      </c>
      <c r="D541" s="1" t="s">
        <v>22</v>
      </c>
      <c r="E541" s="1" t="s">
        <v>544</v>
      </c>
      <c r="F541" s="1" t="s">
        <v>1534</v>
      </c>
      <c r="G541" s="1" t="s">
        <v>25</v>
      </c>
      <c r="H541" s="1">
        <v>24.0</v>
      </c>
      <c r="I541" s="1">
        <v>24.0</v>
      </c>
      <c r="J541" s="1">
        <v>24.0</v>
      </c>
      <c r="K541" s="1">
        <v>72.0</v>
      </c>
      <c r="L541" s="1">
        <v>1.31</v>
      </c>
      <c r="M541" s="1">
        <v>94.32</v>
      </c>
      <c r="N541" s="1" t="s">
        <v>21</v>
      </c>
      <c r="O541" s="1">
        <v>0.0</v>
      </c>
      <c r="P541" s="1" t="s">
        <v>1563</v>
      </c>
      <c r="Q541" s="1" t="str">
        <f t="shared" si="1"/>
        <v>x</v>
      </c>
      <c r="R541" s="1" t="str">
        <f t="shared" si="2"/>
        <v>x</v>
      </c>
      <c r="S541" s="1" t="str">
        <f t="shared" si="3"/>
        <v>x</v>
      </c>
      <c r="T541" s="1" t="str">
        <f t="shared" si="4"/>
        <v>OK</v>
      </c>
    </row>
    <row r="542" ht="15.75" customHeight="1">
      <c r="A542" s="1" t="s">
        <v>1564</v>
      </c>
      <c r="B542" s="1">
        <v>1.0000381E7</v>
      </c>
      <c r="C542" s="1" t="s">
        <v>21</v>
      </c>
      <c r="D542" s="1" t="s">
        <v>22</v>
      </c>
      <c r="E542" s="1" t="s">
        <v>513</v>
      </c>
      <c r="F542" s="1" t="s">
        <v>1565</v>
      </c>
      <c r="G542" s="1" t="s">
        <v>25</v>
      </c>
      <c r="H542" s="1">
        <v>43.0</v>
      </c>
      <c r="I542" s="1">
        <v>43.0</v>
      </c>
      <c r="J542" s="1">
        <v>43.0</v>
      </c>
      <c r="K542" s="1">
        <v>129.0</v>
      </c>
      <c r="L542" s="1">
        <v>0.69</v>
      </c>
      <c r="M542" s="1">
        <v>89.01</v>
      </c>
      <c r="N542" s="1" t="s">
        <v>21</v>
      </c>
      <c r="O542" s="1">
        <v>0.0</v>
      </c>
      <c r="P542" s="1" t="s">
        <v>1566</v>
      </c>
      <c r="Q542" s="1" t="str">
        <f t="shared" si="1"/>
        <v>x</v>
      </c>
      <c r="R542" s="1" t="str">
        <f t="shared" si="2"/>
        <v>x</v>
      </c>
      <c r="S542" s="1" t="str">
        <f t="shared" si="3"/>
        <v>x</v>
      </c>
      <c r="T542" s="1" t="str">
        <f t="shared" si="4"/>
        <v>OK</v>
      </c>
    </row>
    <row r="543" ht="15.75" customHeight="1">
      <c r="A543" s="1" t="s">
        <v>1567</v>
      </c>
      <c r="B543" s="1">
        <v>1.075299E7</v>
      </c>
      <c r="C543" s="1" t="s">
        <v>21</v>
      </c>
      <c r="D543" s="1" t="s">
        <v>22</v>
      </c>
      <c r="E543" s="1" t="s">
        <v>544</v>
      </c>
      <c r="F543" s="1" t="s">
        <v>812</v>
      </c>
      <c r="G543" s="1" t="s">
        <v>25</v>
      </c>
      <c r="H543" s="1">
        <v>40.0</v>
      </c>
      <c r="I543" s="1">
        <v>0.0</v>
      </c>
      <c r="J543" s="1">
        <v>0.0</v>
      </c>
      <c r="K543" s="1">
        <v>40.0</v>
      </c>
      <c r="L543" s="1">
        <v>2.11</v>
      </c>
      <c r="M543" s="1">
        <v>84.4</v>
      </c>
      <c r="N543" s="1" t="s">
        <v>21</v>
      </c>
      <c r="O543" s="1">
        <v>0.0</v>
      </c>
      <c r="P543" s="1" t="s">
        <v>1568</v>
      </c>
      <c r="Q543" s="1" t="str">
        <f t="shared" si="1"/>
        <v>x</v>
      </c>
      <c r="R543" s="1" t="str">
        <f t="shared" si="2"/>
        <v>x</v>
      </c>
      <c r="S543" s="1" t="str">
        <f t="shared" si="3"/>
        <v>x</v>
      </c>
      <c r="T543" s="1" t="str">
        <f t="shared" si="4"/>
        <v>OK</v>
      </c>
    </row>
    <row r="544" ht="15.75" customHeight="1">
      <c r="A544" s="1" t="s">
        <v>1569</v>
      </c>
      <c r="B544" s="1">
        <v>1.0392341E7</v>
      </c>
      <c r="C544" s="1" t="s">
        <v>21</v>
      </c>
      <c r="D544" s="1" t="s">
        <v>22</v>
      </c>
      <c r="E544" s="1" t="s">
        <v>633</v>
      </c>
      <c r="F544" s="1" t="s">
        <v>1095</v>
      </c>
      <c r="G544" s="1" t="s">
        <v>25</v>
      </c>
      <c r="H544" s="1">
        <v>20.0</v>
      </c>
      <c r="I544" s="1">
        <v>0.0</v>
      </c>
      <c r="J544" s="1">
        <v>0.0</v>
      </c>
      <c r="K544" s="1">
        <v>20.0</v>
      </c>
      <c r="L544" s="1">
        <v>4.0</v>
      </c>
      <c r="M544" s="1">
        <v>80.0</v>
      </c>
      <c r="N544" s="1" t="s">
        <v>21</v>
      </c>
      <c r="O544" s="1">
        <v>0.0</v>
      </c>
      <c r="P544" s="1" t="s">
        <v>1570</v>
      </c>
      <c r="Q544" s="1" t="str">
        <f t="shared" si="1"/>
        <v>x</v>
      </c>
      <c r="R544" s="1" t="str">
        <f t="shared" si="2"/>
        <v>x</v>
      </c>
      <c r="S544" s="1" t="str">
        <f t="shared" si="3"/>
        <v>x</v>
      </c>
      <c r="T544" s="1" t="str">
        <f t="shared" si="4"/>
        <v>OK</v>
      </c>
    </row>
    <row r="545" ht="15.75" customHeight="1">
      <c r="A545" s="1" t="s">
        <v>1571</v>
      </c>
      <c r="B545" s="1">
        <v>1.0872696E7</v>
      </c>
      <c r="C545" s="1" t="s">
        <v>21</v>
      </c>
      <c r="D545" s="1" t="s">
        <v>22</v>
      </c>
      <c r="E545" s="1" t="s">
        <v>544</v>
      </c>
      <c r="F545" s="1" t="s">
        <v>1572</v>
      </c>
      <c r="G545" s="1" t="s">
        <v>25</v>
      </c>
      <c r="H545" s="1">
        <v>42.0</v>
      </c>
      <c r="I545" s="1">
        <v>0.0</v>
      </c>
      <c r="J545" s="1">
        <v>0.0</v>
      </c>
      <c r="K545" s="1">
        <v>42.0</v>
      </c>
      <c r="L545" s="1">
        <v>1.89</v>
      </c>
      <c r="M545" s="1">
        <v>79.38</v>
      </c>
      <c r="N545" s="1" t="s">
        <v>21</v>
      </c>
      <c r="O545" s="1">
        <v>0.0</v>
      </c>
      <c r="P545" s="1" t="s">
        <v>1573</v>
      </c>
      <c r="Q545" s="1" t="str">
        <f t="shared" si="1"/>
        <v>x</v>
      </c>
      <c r="R545" s="1" t="str">
        <f t="shared" si="2"/>
        <v>x</v>
      </c>
      <c r="S545" s="1" t="str">
        <f t="shared" si="3"/>
        <v>x</v>
      </c>
      <c r="T545" s="1" t="str">
        <f t="shared" si="4"/>
        <v>OK</v>
      </c>
    </row>
    <row r="546" ht="15.75" customHeight="1">
      <c r="A546" s="1" t="s">
        <v>1574</v>
      </c>
      <c r="B546" s="1">
        <v>1.0000077E7</v>
      </c>
      <c r="C546" s="1" t="s">
        <v>21</v>
      </c>
      <c r="D546" s="1" t="s">
        <v>22</v>
      </c>
      <c r="E546" s="1" t="s">
        <v>1051</v>
      </c>
      <c r="F546" s="1" t="s">
        <v>1575</v>
      </c>
      <c r="G546" s="1" t="s">
        <v>25</v>
      </c>
      <c r="H546" s="1">
        <v>158.0</v>
      </c>
      <c r="I546" s="1">
        <v>810.0</v>
      </c>
      <c r="J546" s="1">
        <v>6.0</v>
      </c>
      <c r="K546" s="1">
        <v>974.0</v>
      </c>
      <c r="L546" s="1">
        <v>0.08</v>
      </c>
      <c r="M546" s="1">
        <v>77.92</v>
      </c>
      <c r="N546" s="1" t="s">
        <v>21</v>
      </c>
      <c r="O546" s="1">
        <v>0.0</v>
      </c>
      <c r="P546" s="1" t="s">
        <v>1576</v>
      </c>
      <c r="Q546" s="1" t="str">
        <f t="shared" si="1"/>
        <v>x</v>
      </c>
      <c r="R546" s="1" t="str">
        <f t="shared" si="2"/>
        <v>x</v>
      </c>
      <c r="S546" s="1" t="str">
        <f t="shared" si="3"/>
        <v>x</v>
      </c>
      <c r="T546" s="1" t="str">
        <f t="shared" si="4"/>
        <v>OK</v>
      </c>
    </row>
    <row r="547" ht="15.75" customHeight="1">
      <c r="A547" s="1" t="s">
        <v>1577</v>
      </c>
      <c r="B547" s="1">
        <v>1.000186E7</v>
      </c>
      <c r="C547" s="1" t="s">
        <v>21</v>
      </c>
      <c r="D547" s="1" t="s">
        <v>22</v>
      </c>
      <c r="E547" s="1" t="s">
        <v>785</v>
      </c>
      <c r="F547" s="1" t="s">
        <v>1283</v>
      </c>
      <c r="G547" s="1" t="s">
        <v>25</v>
      </c>
      <c r="H547" s="1">
        <v>240.0</v>
      </c>
      <c r="I547" s="1">
        <v>0.0</v>
      </c>
      <c r="J547" s="1">
        <v>0.0</v>
      </c>
      <c r="K547" s="1">
        <v>240.0</v>
      </c>
      <c r="L547" s="1">
        <v>0.31</v>
      </c>
      <c r="M547" s="1">
        <v>74.4</v>
      </c>
      <c r="N547" s="1" t="s">
        <v>21</v>
      </c>
      <c r="O547" s="1">
        <v>0.0</v>
      </c>
      <c r="P547" s="1" t="s">
        <v>1578</v>
      </c>
      <c r="Q547" s="1" t="str">
        <f t="shared" si="1"/>
        <v>x</v>
      </c>
      <c r="R547" s="1" t="str">
        <f t="shared" si="2"/>
        <v>x</v>
      </c>
      <c r="S547" s="1" t="str">
        <f t="shared" si="3"/>
        <v>x</v>
      </c>
      <c r="T547" s="1" t="str">
        <f t="shared" si="4"/>
        <v>OK</v>
      </c>
    </row>
    <row r="548" ht="15.75" customHeight="1">
      <c r="A548" s="1" t="s">
        <v>1579</v>
      </c>
      <c r="B548" s="1">
        <v>1.0001201E7</v>
      </c>
      <c r="C548" s="1" t="s">
        <v>21</v>
      </c>
      <c r="D548" s="1" t="s">
        <v>22</v>
      </c>
      <c r="E548" s="1" t="s">
        <v>544</v>
      </c>
      <c r="F548" s="1" t="s">
        <v>1580</v>
      </c>
      <c r="G548" s="1" t="s">
        <v>25</v>
      </c>
      <c r="H548" s="1">
        <v>20.0</v>
      </c>
      <c r="I548" s="1">
        <v>20.0</v>
      </c>
      <c r="J548" s="1">
        <v>0.0</v>
      </c>
      <c r="K548" s="1">
        <v>40.0</v>
      </c>
      <c r="L548" s="1">
        <v>1.81</v>
      </c>
      <c r="M548" s="1">
        <v>72.4</v>
      </c>
      <c r="N548" s="1" t="s">
        <v>21</v>
      </c>
      <c r="O548" s="1">
        <v>0.0</v>
      </c>
      <c r="P548" s="1" t="s">
        <v>1581</v>
      </c>
      <c r="Q548" s="1" t="str">
        <f t="shared" si="1"/>
        <v>x</v>
      </c>
      <c r="R548" s="1" t="str">
        <f t="shared" si="2"/>
        <v>x</v>
      </c>
      <c r="S548" s="1" t="str">
        <f t="shared" si="3"/>
        <v>x</v>
      </c>
      <c r="T548" s="1" t="str">
        <f t="shared" si="4"/>
        <v>OK</v>
      </c>
    </row>
    <row r="549" ht="15.75" customHeight="1">
      <c r="A549" s="1" t="s">
        <v>1582</v>
      </c>
      <c r="B549" s="1">
        <v>1.0004575E7</v>
      </c>
      <c r="C549" s="1" t="s">
        <v>21</v>
      </c>
      <c r="D549" s="1" t="s">
        <v>22</v>
      </c>
      <c r="E549" s="1" t="s">
        <v>620</v>
      </c>
      <c r="F549" s="1" t="s">
        <v>1583</v>
      </c>
      <c r="G549" s="1" t="s">
        <v>25</v>
      </c>
      <c r="H549" s="1">
        <v>15.0</v>
      </c>
      <c r="I549" s="1">
        <v>0.0</v>
      </c>
      <c r="J549" s="1">
        <v>0.0</v>
      </c>
      <c r="K549" s="1">
        <v>15.0</v>
      </c>
      <c r="L549" s="1">
        <v>4.73</v>
      </c>
      <c r="M549" s="1">
        <v>70.95</v>
      </c>
      <c r="N549" s="1" t="s">
        <v>21</v>
      </c>
      <c r="O549" s="1">
        <v>0.0</v>
      </c>
      <c r="P549" s="1" t="s">
        <v>1584</v>
      </c>
      <c r="Q549" s="1" t="str">
        <f t="shared" si="1"/>
        <v>x</v>
      </c>
      <c r="R549" s="1" t="str">
        <f t="shared" si="2"/>
        <v>x</v>
      </c>
      <c r="S549" s="1" t="str">
        <f t="shared" si="3"/>
        <v>x</v>
      </c>
      <c r="T549" s="1" t="str">
        <f t="shared" si="4"/>
        <v>OK</v>
      </c>
    </row>
    <row r="550" ht="15.75" customHeight="1">
      <c r="A550" s="1" t="s">
        <v>1585</v>
      </c>
      <c r="B550" s="1">
        <v>1.0124176E7</v>
      </c>
      <c r="C550" s="1" t="s">
        <v>21</v>
      </c>
      <c r="D550" s="1" t="s">
        <v>22</v>
      </c>
      <c r="E550" s="1" t="s">
        <v>231</v>
      </c>
      <c r="F550" s="1" t="s">
        <v>1586</v>
      </c>
      <c r="G550" s="1" t="s">
        <v>25</v>
      </c>
      <c r="H550" s="1">
        <v>4.0</v>
      </c>
      <c r="I550" s="1">
        <v>0.0</v>
      </c>
      <c r="J550" s="1">
        <v>4.0</v>
      </c>
      <c r="K550" s="1">
        <v>8.0</v>
      </c>
      <c r="L550" s="1">
        <v>8.08</v>
      </c>
      <c r="M550" s="1">
        <v>64.64</v>
      </c>
      <c r="N550" s="1" t="s">
        <v>21</v>
      </c>
      <c r="O550" s="1">
        <v>0.0</v>
      </c>
      <c r="P550" s="1" t="s">
        <v>1587</v>
      </c>
      <c r="Q550" s="1" t="str">
        <f t="shared" si="1"/>
        <v>x</v>
      </c>
      <c r="R550" s="1" t="str">
        <f t="shared" si="2"/>
        <v>x</v>
      </c>
      <c r="S550" s="1" t="str">
        <f t="shared" si="3"/>
        <v>x</v>
      </c>
      <c r="T550" s="1" t="str">
        <f t="shared" si="4"/>
        <v>OK</v>
      </c>
    </row>
    <row r="551" ht="15.75" customHeight="1">
      <c r="A551" s="1" t="s">
        <v>1588</v>
      </c>
      <c r="B551" s="1">
        <v>1.0001272E7</v>
      </c>
      <c r="C551" s="1" t="s">
        <v>21</v>
      </c>
      <c r="D551" s="1" t="s">
        <v>22</v>
      </c>
      <c r="E551" s="1" t="s">
        <v>785</v>
      </c>
      <c r="F551" s="1" t="s">
        <v>1589</v>
      </c>
      <c r="G551" s="1" t="s">
        <v>25</v>
      </c>
      <c r="H551" s="1">
        <v>0.0</v>
      </c>
      <c r="I551" s="1">
        <v>0.0</v>
      </c>
      <c r="J551" s="1">
        <v>132.0</v>
      </c>
      <c r="K551" s="1">
        <v>132.0</v>
      </c>
      <c r="L551" s="1">
        <v>0.46</v>
      </c>
      <c r="M551" s="1">
        <v>60.72</v>
      </c>
      <c r="N551" s="1" t="s">
        <v>21</v>
      </c>
      <c r="O551" s="1">
        <v>0.0</v>
      </c>
      <c r="P551" s="1" t="s">
        <v>1590</v>
      </c>
      <c r="Q551" s="1" t="str">
        <f t="shared" si="1"/>
        <v>x</v>
      </c>
      <c r="R551" s="1" t="str">
        <f t="shared" si="2"/>
        <v>x</v>
      </c>
      <c r="S551" s="1" t="str">
        <f t="shared" si="3"/>
        <v>x</v>
      </c>
      <c r="T551" s="1" t="str">
        <f t="shared" si="4"/>
        <v>OK</v>
      </c>
    </row>
    <row r="552" ht="15.75" customHeight="1">
      <c r="A552" s="1" t="s">
        <v>1591</v>
      </c>
      <c r="B552" s="1">
        <v>1.0000079E7</v>
      </c>
      <c r="C552" s="1" t="s">
        <v>21</v>
      </c>
      <c r="D552" s="1" t="s">
        <v>22</v>
      </c>
      <c r="E552" s="1" t="s">
        <v>1051</v>
      </c>
      <c r="F552" s="1" t="s">
        <v>1106</v>
      </c>
      <c r="G552" s="1" t="s">
        <v>25</v>
      </c>
      <c r="H552" s="1">
        <v>0.0</v>
      </c>
      <c r="I552" s="1">
        <v>130.0</v>
      </c>
      <c r="J552" s="1">
        <v>130.0</v>
      </c>
      <c r="K552" s="1">
        <v>260.0</v>
      </c>
      <c r="L552" s="1">
        <v>0.23</v>
      </c>
      <c r="M552" s="1">
        <v>59.8</v>
      </c>
      <c r="N552" s="1" t="s">
        <v>21</v>
      </c>
      <c r="O552" s="1">
        <v>0.0</v>
      </c>
      <c r="P552" s="1" t="s">
        <v>1592</v>
      </c>
      <c r="Q552" s="1" t="str">
        <f t="shared" si="1"/>
        <v>x</v>
      </c>
      <c r="R552" s="1" t="str">
        <f t="shared" si="2"/>
        <v>x</v>
      </c>
      <c r="S552" s="1" t="str">
        <f t="shared" si="3"/>
        <v>x</v>
      </c>
      <c r="T552" s="1" t="str">
        <f t="shared" si="4"/>
        <v>OK</v>
      </c>
    </row>
    <row r="553" ht="15.75" customHeight="1">
      <c r="A553" s="1" t="s">
        <v>1593</v>
      </c>
      <c r="B553" s="1">
        <v>1.0000381E7</v>
      </c>
      <c r="C553" s="1" t="s">
        <v>21</v>
      </c>
      <c r="D553" s="1" t="s">
        <v>22</v>
      </c>
      <c r="E553" s="1" t="s">
        <v>513</v>
      </c>
      <c r="F553" s="1" t="s">
        <v>1565</v>
      </c>
      <c r="G553" s="1" t="s">
        <v>25</v>
      </c>
      <c r="H553" s="1">
        <v>82.0</v>
      </c>
      <c r="I553" s="1">
        <v>0.0</v>
      </c>
      <c r="J553" s="1">
        <v>0.0</v>
      </c>
      <c r="K553" s="1">
        <v>82.0</v>
      </c>
      <c r="L553" s="1">
        <v>0.69</v>
      </c>
      <c r="M553" s="1">
        <v>56.58</v>
      </c>
      <c r="N553" s="1" t="s">
        <v>21</v>
      </c>
      <c r="O553" s="1">
        <v>0.0</v>
      </c>
      <c r="P553" s="1" t="s">
        <v>1594</v>
      </c>
      <c r="Q553" s="1" t="str">
        <f t="shared" si="1"/>
        <v>x</v>
      </c>
      <c r="R553" s="1" t="str">
        <f t="shared" si="2"/>
        <v>x</v>
      </c>
      <c r="S553" s="1" t="str">
        <f t="shared" si="3"/>
        <v>x</v>
      </c>
      <c r="T553" s="1" t="str">
        <f t="shared" si="4"/>
        <v>OK</v>
      </c>
    </row>
    <row r="554" ht="15.75" customHeight="1">
      <c r="A554" s="1" t="s">
        <v>1595</v>
      </c>
      <c r="B554" s="1">
        <v>1.0059482E7</v>
      </c>
      <c r="C554" s="1" t="s">
        <v>21</v>
      </c>
      <c r="D554" s="1" t="s">
        <v>22</v>
      </c>
      <c r="E554" s="1" t="s">
        <v>36</v>
      </c>
      <c r="F554" s="1" t="s">
        <v>1596</v>
      </c>
      <c r="G554" s="1" t="s">
        <v>25</v>
      </c>
      <c r="H554" s="1">
        <v>1.0</v>
      </c>
      <c r="I554" s="1">
        <v>0.0</v>
      </c>
      <c r="J554" s="1">
        <v>0.0</v>
      </c>
      <c r="K554" s="1">
        <v>1.0</v>
      </c>
      <c r="L554" s="1">
        <v>55.42</v>
      </c>
      <c r="M554" s="1">
        <v>55.42</v>
      </c>
      <c r="N554" s="1" t="s">
        <v>21</v>
      </c>
      <c r="O554" s="1">
        <v>0.0</v>
      </c>
      <c r="P554" s="1" t="s">
        <v>1597</v>
      </c>
      <c r="Q554" s="1" t="str">
        <f t="shared" si="1"/>
        <v>x</v>
      </c>
      <c r="R554" s="1" t="str">
        <f t="shared" si="2"/>
        <v>x</v>
      </c>
      <c r="S554" s="1" t="str">
        <f t="shared" si="3"/>
        <v>x</v>
      </c>
      <c r="T554" s="1" t="str">
        <f t="shared" si="4"/>
        <v>OK</v>
      </c>
    </row>
    <row r="555" ht="15.75" customHeight="1">
      <c r="A555" s="1" t="s">
        <v>1598</v>
      </c>
      <c r="B555" s="1">
        <v>1.0396893E7</v>
      </c>
      <c r="C555" s="1" t="s">
        <v>21</v>
      </c>
      <c r="D555" s="1" t="s">
        <v>22</v>
      </c>
      <c r="E555" s="1" t="s">
        <v>544</v>
      </c>
      <c r="F555" s="1" t="s">
        <v>1599</v>
      </c>
      <c r="G555" s="1" t="s">
        <v>25</v>
      </c>
      <c r="H555" s="1">
        <v>20.0</v>
      </c>
      <c r="I555" s="1">
        <v>20.0</v>
      </c>
      <c r="J555" s="1">
        <v>0.0</v>
      </c>
      <c r="K555" s="1">
        <v>40.0</v>
      </c>
      <c r="L555" s="1">
        <v>1.35</v>
      </c>
      <c r="M555" s="1">
        <v>54.0</v>
      </c>
      <c r="N555" s="1" t="s">
        <v>21</v>
      </c>
      <c r="O555" s="1">
        <v>0.0</v>
      </c>
      <c r="P555" s="1" t="s">
        <v>1600</v>
      </c>
      <c r="Q555" s="1" t="str">
        <f t="shared" si="1"/>
        <v>x</v>
      </c>
      <c r="R555" s="1" t="str">
        <f t="shared" si="2"/>
        <v>x</v>
      </c>
      <c r="S555" s="1" t="str">
        <f t="shared" si="3"/>
        <v>x</v>
      </c>
      <c r="T555" s="1" t="str">
        <f t="shared" si="4"/>
        <v>OK</v>
      </c>
    </row>
    <row r="556" ht="15.75" customHeight="1">
      <c r="A556" s="1" t="s">
        <v>1601</v>
      </c>
      <c r="B556" s="1">
        <v>1.0312021E7</v>
      </c>
      <c r="C556" s="1" t="s">
        <v>21</v>
      </c>
      <c r="D556" s="1" t="s">
        <v>22</v>
      </c>
      <c r="E556" s="1" t="s">
        <v>513</v>
      </c>
      <c r="F556" s="1" t="s">
        <v>1602</v>
      </c>
      <c r="G556" s="1" t="s">
        <v>25</v>
      </c>
      <c r="H556" s="1">
        <v>49.0</v>
      </c>
      <c r="I556" s="1">
        <v>0.0</v>
      </c>
      <c r="J556" s="1">
        <v>27.0</v>
      </c>
      <c r="K556" s="1">
        <v>76.0</v>
      </c>
      <c r="L556" s="1">
        <v>0.69</v>
      </c>
      <c r="M556" s="1">
        <v>52.44</v>
      </c>
      <c r="N556" s="1" t="s">
        <v>21</v>
      </c>
      <c r="O556" s="1">
        <v>0.0</v>
      </c>
      <c r="P556" s="1" t="s">
        <v>1603</v>
      </c>
      <c r="Q556" s="1" t="str">
        <f t="shared" si="1"/>
        <v>x</v>
      </c>
      <c r="R556" s="1" t="str">
        <f t="shared" si="2"/>
        <v>x</v>
      </c>
      <c r="S556" s="1" t="str">
        <f t="shared" si="3"/>
        <v>x</v>
      </c>
      <c r="T556" s="1" t="str">
        <f t="shared" si="4"/>
        <v>OK</v>
      </c>
    </row>
    <row r="557" ht="15.75" customHeight="1">
      <c r="A557" s="1" t="s">
        <v>1604</v>
      </c>
      <c r="B557" s="1">
        <v>1.0006287E7</v>
      </c>
      <c r="C557" s="1" t="s">
        <v>21</v>
      </c>
      <c r="D557" s="1" t="s">
        <v>22</v>
      </c>
      <c r="E557" s="1" t="s">
        <v>1051</v>
      </c>
      <c r="F557" s="1" t="s">
        <v>1605</v>
      </c>
      <c r="G557" s="1" t="s">
        <v>25</v>
      </c>
      <c r="H557" s="1">
        <v>64.0</v>
      </c>
      <c r="I557" s="1">
        <v>64.0</v>
      </c>
      <c r="J557" s="1">
        <v>64.0</v>
      </c>
      <c r="K557" s="1">
        <v>192.0</v>
      </c>
      <c r="L557" s="1">
        <v>0.27</v>
      </c>
      <c r="M557" s="1">
        <v>51.84</v>
      </c>
      <c r="N557" s="1" t="s">
        <v>21</v>
      </c>
      <c r="O557" s="1">
        <v>0.0</v>
      </c>
      <c r="P557" s="1" t="s">
        <v>1606</v>
      </c>
      <c r="Q557" s="1" t="str">
        <f t="shared" si="1"/>
        <v>x</v>
      </c>
      <c r="R557" s="1" t="str">
        <f t="shared" si="2"/>
        <v>x</v>
      </c>
      <c r="S557" s="1" t="str">
        <f t="shared" si="3"/>
        <v>x</v>
      </c>
      <c r="T557" s="1" t="str">
        <f t="shared" si="4"/>
        <v>OK</v>
      </c>
    </row>
    <row r="558" ht="15.75" customHeight="1">
      <c r="A558" s="1" t="s">
        <v>1607</v>
      </c>
      <c r="B558" s="1">
        <v>1.0001273E7</v>
      </c>
      <c r="C558" s="1" t="s">
        <v>21</v>
      </c>
      <c r="D558" s="1" t="s">
        <v>22</v>
      </c>
      <c r="E558" s="1" t="s">
        <v>785</v>
      </c>
      <c r="F558" s="1" t="s">
        <v>1608</v>
      </c>
      <c r="G558" s="1" t="s">
        <v>25</v>
      </c>
      <c r="H558" s="1">
        <v>0.0</v>
      </c>
      <c r="I558" s="1">
        <v>0.0</v>
      </c>
      <c r="J558" s="1">
        <v>132.0</v>
      </c>
      <c r="K558" s="1">
        <v>132.0</v>
      </c>
      <c r="L558" s="1">
        <v>0.39</v>
      </c>
      <c r="M558" s="1">
        <v>51.48</v>
      </c>
      <c r="N558" s="1" t="s">
        <v>21</v>
      </c>
      <c r="O558" s="1">
        <v>0.0</v>
      </c>
      <c r="P558" s="1" t="s">
        <v>1609</v>
      </c>
      <c r="Q558" s="1" t="str">
        <f t="shared" si="1"/>
        <v>x</v>
      </c>
      <c r="R558" s="1" t="str">
        <f t="shared" si="2"/>
        <v>x</v>
      </c>
      <c r="S558" s="1" t="str">
        <f t="shared" si="3"/>
        <v>x</v>
      </c>
      <c r="T558" s="1" t="str">
        <f t="shared" si="4"/>
        <v>OK</v>
      </c>
    </row>
    <row r="559" ht="15.75" customHeight="1">
      <c r="A559" s="1" t="s">
        <v>1610</v>
      </c>
      <c r="B559" s="1">
        <v>1.0414546E7</v>
      </c>
      <c r="C559" s="1" t="s">
        <v>21</v>
      </c>
      <c r="D559" s="1" t="s">
        <v>22</v>
      </c>
      <c r="E559" s="1" t="s">
        <v>231</v>
      </c>
      <c r="F559" s="1" t="s">
        <v>1611</v>
      </c>
      <c r="G559" s="1" t="s">
        <v>25</v>
      </c>
      <c r="H559" s="1">
        <v>3.0</v>
      </c>
      <c r="I559" s="1">
        <v>0.0</v>
      </c>
      <c r="J559" s="1">
        <v>3.0</v>
      </c>
      <c r="K559" s="1">
        <v>6.0</v>
      </c>
      <c r="L559" s="1">
        <v>8.31</v>
      </c>
      <c r="M559" s="1">
        <v>49.86</v>
      </c>
      <c r="N559" s="1" t="s">
        <v>21</v>
      </c>
      <c r="O559" s="1">
        <v>0.0</v>
      </c>
      <c r="P559" s="1" t="s">
        <v>1612</v>
      </c>
      <c r="Q559" s="1" t="str">
        <f t="shared" si="1"/>
        <v>x</v>
      </c>
      <c r="R559" s="1" t="str">
        <f t="shared" si="2"/>
        <v>x</v>
      </c>
      <c r="S559" s="1" t="str">
        <f t="shared" si="3"/>
        <v>x</v>
      </c>
      <c r="T559" s="1" t="str">
        <f t="shared" si="4"/>
        <v>OK</v>
      </c>
    </row>
    <row r="560" ht="15.75" customHeight="1">
      <c r="A560" s="1" t="s">
        <v>1613</v>
      </c>
      <c r="B560" s="1">
        <v>1.1174925E7</v>
      </c>
      <c r="C560" s="1" t="s">
        <v>21</v>
      </c>
      <c r="D560" s="1" t="s">
        <v>22</v>
      </c>
      <c r="E560" s="1" t="s">
        <v>129</v>
      </c>
      <c r="F560" s="1" t="s">
        <v>1614</v>
      </c>
      <c r="G560" s="1" t="s">
        <v>25</v>
      </c>
      <c r="H560" s="1">
        <v>1.0</v>
      </c>
      <c r="I560" s="1">
        <v>0.0</v>
      </c>
      <c r="J560" s="1">
        <v>1.0</v>
      </c>
      <c r="K560" s="1">
        <v>2.0</v>
      </c>
      <c r="L560" s="1">
        <v>23.5</v>
      </c>
      <c r="M560" s="1">
        <v>47.0</v>
      </c>
      <c r="N560" s="1" t="s">
        <v>21</v>
      </c>
      <c r="O560" s="1">
        <v>0.0</v>
      </c>
      <c r="P560" s="1" t="s">
        <v>1615</v>
      </c>
      <c r="Q560" s="1" t="str">
        <f t="shared" si="1"/>
        <v>x</v>
      </c>
      <c r="R560" s="1" t="str">
        <f t="shared" si="2"/>
        <v>x</v>
      </c>
      <c r="S560" s="1" t="str">
        <f t="shared" si="3"/>
        <v>x</v>
      </c>
      <c r="T560" s="1" t="str">
        <f t="shared" si="4"/>
        <v>OK</v>
      </c>
    </row>
    <row r="561" ht="15.75" customHeight="1">
      <c r="A561" s="1" t="s">
        <v>1616</v>
      </c>
      <c r="B561" s="1">
        <v>1.0294771E7</v>
      </c>
      <c r="C561" s="1" t="s">
        <v>21</v>
      </c>
      <c r="D561" s="1" t="s">
        <v>22</v>
      </c>
      <c r="E561" s="1" t="s">
        <v>129</v>
      </c>
      <c r="F561" s="1" t="s">
        <v>1617</v>
      </c>
      <c r="G561" s="1" t="s">
        <v>25</v>
      </c>
      <c r="H561" s="1">
        <v>2.0</v>
      </c>
      <c r="I561" s="1">
        <v>0.0</v>
      </c>
      <c r="J561" s="1">
        <v>0.0</v>
      </c>
      <c r="K561" s="1">
        <v>2.0</v>
      </c>
      <c r="L561" s="1">
        <v>23.0</v>
      </c>
      <c r="M561" s="1">
        <v>46.0</v>
      </c>
      <c r="N561" s="1" t="s">
        <v>21</v>
      </c>
      <c r="O561" s="1">
        <v>0.0</v>
      </c>
      <c r="P561" s="1" t="s">
        <v>1618</v>
      </c>
      <c r="Q561" s="1" t="str">
        <f t="shared" si="1"/>
        <v>x</v>
      </c>
      <c r="R561" s="1" t="str">
        <f t="shared" si="2"/>
        <v>x</v>
      </c>
      <c r="S561" s="1" t="str">
        <f t="shared" si="3"/>
        <v>x</v>
      </c>
      <c r="T561" s="1" t="str">
        <f t="shared" si="4"/>
        <v>OK</v>
      </c>
    </row>
    <row r="562" ht="15.75" customHeight="1">
      <c r="A562" s="1" t="s">
        <v>1619</v>
      </c>
      <c r="B562" s="1">
        <v>1.0274814E7</v>
      </c>
      <c r="C562" s="1" t="s">
        <v>21</v>
      </c>
      <c r="D562" s="1" t="s">
        <v>22</v>
      </c>
      <c r="E562" s="1" t="s">
        <v>140</v>
      </c>
      <c r="F562" s="1" t="s">
        <v>1620</v>
      </c>
      <c r="G562" s="1" t="s">
        <v>25</v>
      </c>
      <c r="H562" s="1">
        <v>1.0</v>
      </c>
      <c r="I562" s="1">
        <v>0.0</v>
      </c>
      <c r="J562" s="1">
        <v>0.0</v>
      </c>
      <c r="K562" s="1">
        <v>1.0</v>
      </c>
      <c r="L562" s="1">
        <v>45.72</v>
      </c>
      <c r="M562" s="1">
        <v>45.72</v>
      </c>
      <c r="N562" s="1" t="s">
        <v>21</v>
      </c>
      <c r="O562" s="1">
        <v>0.0</v>
      </c>
      <c r="P562" s="1" t="s">
        <v>1621</v>
      </c>
      <c r="Q562" s="1" t="str">
        <f t="shared" si="1"/>
        <v>x</v>
      </c>
      <c r="R562" s="1" t="str">
        <f t="shared" si="2"/>
        <v>x</v>
      </c>
      <c r="S562" s="1" t="str">
        <f t="shared" si="3"/>
        <v>x</v>
      </c>
      <c r="T562" s="1" t="str">
        <f t="shared" si="4"/>
        <v>OK</v>
      </c>
    </row>
    <row r="563" ht="15.75" customHeight="1">
      <c r="A563" s="1" t="s">
        <v>1622</v>
      </c>
      <c r="B563" s="1">
        <v>1.0000077E7</v>
      </c>
      <c r="C563" s="1" t="s">
        <v>21</v>
      </c>
      <c r="D563" s="1" t="s">
        <v>22</v>
      </c>
      <c r="E563" s="1" t="s">
        <v>1051</v>
      </c>
      <c r="F563" s="1" t="s">
        <v>1575</v>
      </c>
      <c r="G563" s="1" t="s">
        <v>25</v>
      </c>
      <c r="H563" s="1">
        <v>0.0</v>
      </c>
      <c r="I563" s="1">
        <v>0.0</v>
      </c>
      <c r="J563" s="1">
        <v>528.0</v>
      </c>
      <c r="K563" s="1">
        <v>528.0</v>
      </c>
      <c r="L563" s="1">
        <v>0.08</v>
      </c>
      <c r="M563" s="1">
        <v>42.24</v>
      </c>
      <c r="N563" s="1" t="s">
        <v>21</v>
      </c>
      <c r="O563" s="1">
        <v>0.0</v>
      </c>
      <c r="P563" s="1" t="s">
        <v>1623</v>
      </c>
      <c r="Q563" s="1" t="str">
        <f t="shared" si="1"/>
        <v>x</v>
      </c>
      <c r="R563" s="1" t="str">
        <f t="shared" si="2"/>
        <v>x</v>
      </c>
      <c r="S563" s="1" t="str">
        <f t="shared" si="3"/>
        <v>x</v>
      </c>
      <c r="T563" s="1" t="str">
        <f t="shared" si="4"/>
        <v>OK</v>
      </c>
    </row>
    <row r="564" ht="15.75" customHeight="1">
      <c r="A564" s="1" t="s">
        <v>1624</v>
      </c>
      <c r="B564" s="1">
        <v>1.0000449E7</v>
      </c>
      <c r="C564" s="1" t="s">
        <v>21</v>
      </c>
      <c r="D564" s="1" t="s">
        <v>22</v>
      </c>
      <c r="E564" s="1" t="s">
        <v>1051</v>
      </c>
      <c r="F564" s="1" t="s">
        <v>1372</v>
      </c>
      <c r="G564" s="1" t="s">
        <v>25</v>
      </c>
      <c r="H564" s="1">
        <v>0.0</v>
      </c>
      <c r="I564" s="1">
        <v>0.0</v>
      </c>
      <c r="J564" s="1">
        <v>528.0</v>
      </c>
      <c r="K564" s="1">
        <v>528.0</v>
      </c>
      <c r="L564" s="1">
        <v>0.08</v>
      </c>
      <c r="M564" s="1">
        <v>42.24</v>
      </c>
      <c r="N564" s="1" t="s">
        <v>21</v>
      </c>
      <c r="O564" s="1">
        <v>0.0</v>
      </c>
      <c r="P564" s="1" t="s">
        <v>1625</v>
      </c>
      <c r="Q564" s="1" t="str">
        <f t="shared" si="1"/>
        <v>x</v>
      </c>
      <c r="R564" s="1" t="str">
        <f t="shared" si="2"/>
        <v>x</v>
      </c>
      <c r="S564" s="1" t="str">
        <f t="shared" si="3"/>
        <v>x</v>
      </c>
      <c r="T564" s="1" t="str">
        <f t="shared" si="4"/>
        <v>OK</v>
      </c>
    </row>
    <row r="565" ht="15.75" customHeight="1">
      <c r="A565" s="1" t="s">
        <v>1626</v>
      </c>
      <c r="B565" s="1">
        <v>1.0026293E7</v>
      </c>
      <c r="C565" s="1" t="s">
        <v>21</v>
      </c>
      <c r="D565" s="1" t="s">
        <v>22</v>
      </c>
      <c r="E565" s="1" t="s">
        <v>231</v>
      </c>
      <c r="F565" s="1" t="s">
        <v>1627</v>
      </c>
      <c r="G565" s="1" t="s">
        <v>25</v>
      </c>
      <c r="H565" s="1">
        <v>3.0</v>
      </c>
      <c r="I565" s="1">
        <v>0.0</v>
      </c>
      <c r="J565" s="1">
        <v>3.0</v>
      </c>
      <c r="K565" s="1">
        <v>6.0</v>
      </c>
      <c r="L565" s="1">
        <v>7.0</v>
      </c>
      <c r="M565" s="1">
        <v>42.0</v>
      </c>
      <c r="N565" s="1" t="s">
        <v>21</v>
      </c>
      <c r="O565" s="1">
        <v>0.0</v>
      </c>
      <c r="P565" s="1" t="s">
        <v>1628</v>
      </c>
      <c r="Q565" s="1" t="str">
        <f t="shared" si="1"/>
        <v>x</v>
      </c>
      <c r="R565" s="1" t="str">
        <f t="shared" si="2"/>
        <v>x</v>
      </c>
      <c r="S565" s="1" t="str">
        <f t="shared" si="3"/>
        <v>x</v>
      </c>
      <c r="T565" s="1" t="str">
        <f t="shared" si="4"/>
        <v>OK</v>
      </c>
    </row>
    <row r="566" ht="15.75" customHeight="1">
      <c r="A566" s="1" t="s">
        <v>1629</v>
      </c>
      <c r="B566" s="1">
        <v>1.0291787E7</v>
      </c>
      <c r="C566" s="1" t="s">
        <v>21</v>
      </c>
      <c r="D566" s="1" t="s">
        <v>22</v>
      </c>
      <c r="E566" s="1" t="s">
        <v>544</v>
      </c>
      <c r="F566" s="1" t="s">
        <v>1630</v>
      </c>
      <c r="G566" s="1" t="s">
        <v>25</v>
      </c>
      <c r="H566" s="1">
        <v>35.0</v>
      </c>
      <c r="I566" s="1">
        <v>0.0</v>
      </c>
      <c r="J566" s="1">
        <v>0.0</v>
      </c>
      <c r="K566" s="1">
        <v>35.0</v>
      </c>
      <c r="L566" s="1">
        <v>1.19</v>
      </c>
      <c r="M566" s="1">
        <v>41.65</v>
      </c>
      <c r="N566" s="1" t="s">
        <v>21</v>
      </c>
      <c r="O566" s="1">
        <v>0.0</v>
      </c>
      <c r="P566" s="1" t="s">
        <v>1631</v>
      </c>
      <c r="Q566" s="1" t="str">
        <f t="shared" si="1"/>
        <v>x</v>
      </c>
      <c r="R566" s="1" t="str">
        <f t="shared" si="2"/>
        <v>x</v>
      </c>
      <c r="S566" s="1" t="str">
        <f t="shared" si="3"/>
        <v>x</v>
      </c>
      <c r="T566" s="1" t="str">
        <f t="shared" si="4"/>
        <v>OK</v>
      </c>
    </row>
    <row r="567" ht="15.75" customHeight="1">
      <c r="A567" s="1" t="s">
        <v>1632</v>
      </c>
      <c r="B567" s="1">
        <v>1.0269267E7</v>
      </c>
      <c r="C567" s="1" t="s">
        <v>21</v>
      </c>
      <c r="D567" s="1" t="s">
        <v>22</v>
      </c>
      <c r="E567" s="1" t="s">
        <v>140</v>
      </c>
      <c r="F567" s="1" t="s">
        <v>1633</v>
      </c>
      <c r="G567" s="1" t="s">
        <v>25</v>
      </c>
      <c r="H567" s="1">
        <v>1.0</v>
      </c>
      <c r="I567" s="1">
        <v>0.0</v>
      </c>
      <c r="J567" s="1">
        <v>0.0</v>
      </c>
      <c r="K567" s="1">
        <v>1.0</v>
      </c>
      <c r="L567" s="1">
        <v>40.73</v>
      </c>
      <c r="M567" s="1">
        <v>40.73</v>
      </c>
      <c r="N567" s="1" t="s">
        <v>21</v>
      </c>
      <c r="O567" s="1">
        <v>0.0</v>
      </c>
      <c r="P567" s="1" t="s">
        <v>1634</v>
      </c>
      <c r="Q567" s="1" t="str">
        <f t="shared" si="1"/>
        <v>x</v>
      </c>
      <c r="R567" s="1" t="str">
        <f t="shared" si="2"/>
        <v>x</v>
      </c>
      <c r="S567" s="1" t="str">
        <f t="shared" si="3"/>
        <v>x</v>
      </c>
      <c r="T567" s="1" t="str">
        <f t="shared" si="4"/>
        <v>OK</v>
      </c>
    </row>
    <row r="568" ht="15.75" customHeight="1">
      <c r="A568" s="1" t="s">
        <v>1635</v>
      </c>
      <c r="B568" s="1">
        <v>1.0182666E7</v>
      </c>
      <c r="C568" s="1" t="s">
        <v>21</v>
      </c>
      <c r="D568" s="1" t="s">
        <v>22</v>
      </c>
      <c r="E568" s="1" t="s">
        <v>231</v>
      </c>
      <c r="F568" s="1" t="s">
        <v>1636</v>
      </c>
      <c r="G568" s="1" t="s">
        <v>25</v>
      </c>
      <c r="H568" s="1">
        <v>3.0</v>
      </c>
      <c r="I568" s="1">
        <v>0.0</v>
      </c>
      <c r="J568" s="1">
        <v>3.0</v>
      </c>
      <c r="K568" s="1">
        <v>6.0</v>
      </c>
      <c r="L568" s="1">
        <v>6.73</v>
      </c>
      <c r="M568" s="1">
        <v>40.38</v>
      </c>
      <c r="N568" s="1" t="s">
        <v>21</v>
      </c>
      <c r="O568" s="1">
        <v>0.0</v>
      </c>
      <c r="P568" s="1" t="s">
        <v>1637</v>
      </c>
      <c r="Q568" s="1" t="str">
        <f t="shared" si="1"/>
        <v>x</v>
      </c>
      <c r="R568" s="1" t="str">
        <f t="shared" si="2"/>
        <v>x</v>
      </c>
      <c r="S568" s="1" t="str">
        <f t="shared" si="3"/>
        <v>x</v>
      </c>
      <c r="T568" s="1" t="str">
        <f t="shared" si="4"/>
        <v>OK</v>
      </c>
    </row>
    <row r="569" ht="15.75" customHeight="1">
      <c r="A569" s="1" t="s">
        <v>1638</v>
      </c>
      <c r="B569" s="1">
        <v>1.0022477E7</v>
      </c>
      <c r="C569" s="1" t="s">
        <v>21</v>
      </c>
      <c r="D569" s="1" t="s">
        <v>22</v>
      </c>
      <c r="E569" s="1" t="s">
        <v>1051</v>
      </c>
      <c r="F569" s="1" t="s">
        <v>1639</v>
      </c>
      <c r="G569" s="1" t="s">
        <v>25</v>
      </c>
      <c r="H569" s="1">
        <v>180.0</v>
      </c>
      <c r="I569" s="1">
        <v>300.0</v>
      </c>
      <c r="J569" s="1">
        <v>0.0</v>
      </c>
      <c r="K569" s="1">
        <v>480.0</v>
      </c>
      <c r="L569" s="1">
        <v>0.08</v>
      </c>
      <c r="M569" s="1">
        <v>38.4</v>
      </c>
      <c r="N569" s="1" t="s">
        <v>21</v>
      </c>
      <c r="O569" s="1">
        <v>0.0</v>
      </c>
      <c r="P569" s="1" t="s">
        <v>1640</v>
      </c>
      <c r="Q569" s="1" t="str">
        <f t="shared" si="1"/>
        <v>x</v>
      </c>
      <c r="R569" s="1" t="str">
        <f t="shared" si="2"/>
        <v>x</v>
      </c>
      <c r="S569" s="1" t="str">
        <f t="shared" si="3"/>
        <v>x</v>
      </c>
      <c r="T569" s="1" t="str">
        <f t="shared" si="4"/>
        <v>OK</v>
      </c>
    </row>
    <row r="570" ht="15.75" customHeight="1">
      <c r="A570" s="1" t="s">
        <v>1641</v>
      </c>
      <c r="B570" s="1">
        <v>1.0872356E7</v>
      </c>
      <c r="C570" s="1" t="s">
        <v>21</v>
      </c>
      <c r="D570" s="1" t="s">
        <v>22</v>
      </c>
      <c r="E570" s="1" t="s">
        <v>785</v>
      </c>
      <c r="F570" s="1" t="s">
        <v>1475</v>
      </c>
      <c r="G570" s="1" t="s">
        <v>25</v>
      </c>
      <c r="H570" s="1">
        <v>80.0</v>
      </c>
      <c r="I570" s="1">
        <v>0.0</v>
      </c>
      <c r="J570" s="1">
        <v>0.0</v>
      </c>
      <c r="K570" s="1">
        <v>80.0</v>
      </c>
      <c r="L570" s="1">
        <v>0.46</v>
      </c>
      <c r="M570" s="1">
        <v>36.8</v>
      </c>
      <c r="N570" s="1" t="s">
        <v>21</v>
      </c>
      <c r="O570" s="1">
        <v>0.0</v>
      </c>
      <c r="P570" s="1" t="s">
        <v>1642</v>
      </c>
      <c r="Q570" s="1" t="str">
        <f t="shared" si="1"/>
        <v>x</v>
      </c>
      <c r="R570" s="1" t="str">
        <f t="shared" si="2"/>
        <v>x</v>
      </c>
      <c r="S570" s="1" t="str">
        <f t="shared" si="3"/>
        <v>x</v>
      </c>
      <c r="T570" s="1" t="str">
        <f t="shared" si="4"/>
        <v>OK</v>
      </c>
    </row>
    <row r="571" ht="15.75" customHeight="1">
      <c r="A571" s="1" t="s">
        <v>1643</v>
      </c>
      <c r="B571" s="1">
        <v>1.1424318E7</v>
      </c>
      <c r="C571" s="1" t="s">
        <v>21</v>
      </c>
      <c r="D571" s="1" t="s">
        <v>22</v>
      </c>
      <c r="E571" s="1" t="s">
        <v>1051</v>
      </c>
      <c r="F571" s="1" t="s">
        <v>1644</v>
      </c>
      <c r="G571" s="1" t="s">
        <v>25</v>
      </c>
      <c r="H571" s="1">
        <v>86.0</v>
      </c>
      <c r="I571" s="1">
        <v>40.0</v>
      </c>
      <c r="J571" s="1">
        <v>6.0</v>
      </c>
      <c r="K571" s="1">
        <v>132.0</v>
      </c>
      <c r="L571" s="1">
        <v>0.27</v>
      </c>
      <c r="M571" s="1">
        <v>35.64</v>
      </c>
      <c r="N571" s="1" t="s">
        <v>21</v>
      </c>
      <c r="O571" s="1">
        <v>0.0</v>
      </c>
      <c r="P571" s="1" t="s">
        <v>1645</v>
      </c>
      <c r="Q571" s="1" t="str">
        <f t="shared" si="1"/>
        <v>x</v>
      </c>
      <c r="R571" s="1" t="str">
        <f t="shared" si="2"/>
        <v>x</v>
      </c>
      <c r="S571" s="1" t="str">
        <f t="shared" si="3"/>
        <v>x</v>
      </c>
      <c r="T571" s="1" t="str">
        <f t="shared" si="4"/>
        <v>OK</v>
      </c>
    </row>
    <row r="572" ht="15.75" customHeight="1">
      <c r="A572" s="1" t="s">
        <v>1646</v>
      </c>
      <c r="B572" s="1">
        <v>1.0871603E7</v>
      </c>
      <c r="C572" s="1" t="s">
        <v>21</v>
      </c>
      <c r="D572" s="1" t="s">
        <v>22</v>
      </c>
      <c r="E572" s="1" t="s">
        <v>1051</v>
      </c>
      <c r="F572" s="1" t="s">
        <v>1647</v>
      </c>
      <c r="G572" s="1" t="s">
        <v>25</v>
      </c>
      <c r="H572" s="1">
        <v>150.0</v>
      </c>
      <c r="I572" s="1">
        <v>0.0</v>
      </c>
      <c r="J572" s="1">
        <v>0.0</v>
      </c>
      <c r="K572" s="1">
        <v>150.0</v>
      </c>
      <c r="L572" s="1">
        <v>0.23</v>
      </c>
      <c r="M572" s="1">
        <v>34.5</v>
      </c>
      <c r="N572" s="1" t="s">
        <v>21</v>
      </c>
      <c r="O572" s="1">
        <v>0.0</v>
      </c>
      <c r="P572" s="1" t="s">
        <v>1648</v>
      </c>
      <c r="Q572" s="1" t="str">
        <f t="shared" si="1"/>
        <v>x</v>
      </c>
      <c r="R572" s="1" t="str">
        <f t="shared" si="2"/>
        <v>x</v>
      </c>
      <c r="S572" s="1" t="str">
        <f t="shared" si="3"/>
        <v>x</v>
      </c>
      <c r="T572" s="1" t="str">
        <f t="shared" si="4"/>
        <v>OK</v>
      </c>
    </row>
    <row r="573" ht="15.75" customHeight="1">
      <c r="A573" s="1" t="s">
        <v>1649</v>
      </c>
      <c r="B573" s="1">
        <v>1.0000079E7</v>
      </c>
      <c r="C573" s="1" t="s">
        <v>21</v>
      </c>
      <c r="D573" s="1" t="s">
        <v>22</v>
      </c>
      <c r="E573" s="1" t="s">
        <v>1051</v>
      </c>
      <c r="F573" s="1" t="s">
        <v>1106</v>
      </c>
      <c r="G573" s="1" t="s">
        <v>25</v>
      </c>
      <c r="H573" s="1">
        <v>0.0</v>
      </c>
      <c r="I573" s="1">
        <v>0.0</v>
      </c>
      <c r="J573" s="1">
        <v>132.0</v>
      </c>
      <c r="K573" s="1">
        <v>132.0</v>
      </c>
      <c r="L573" s="1">
        <v>0.23</v>
      </c>
      <c r="M573" s="1">
        <v>30.36</v>
      </c>
      <c r="N573" s="1" t="s">
        <v>21</v>
      </c>
      <c r="O573" s="1">
        <v>0.0</v>
      </c>
      <c r="P573" s="1" t="s">
        <v>1650</v>
      </c>
      <c r="Q573" s="1" t="str">
        <f t="shared" si="1"/>
        <v>x</v>
      </c>
      <c r="R573" s="1" t="str">
        <f t="shared" si="2"/>
        <v>x</v>
      </c>
      <c r="S573" s="1" t="str">
        <f t="shared" si="3"/>
        <v>x</v>
      </c>
      <c r="T573" s="1" t="str">
        <f t="shared" si="4"/>
        <v>OK</v>
      </c>
    </row>
    <row r="574" ht="15.75" customHeight="1">
      <c r="A574" s="1" t="s">
        <v>1651</v>
      </c>
      <c r="B574" s="1">
        <v>1.0294788E7</v>
      </c>
      <c r="C574" s="1" t="s">
        <v>21</v>
      </c>
      <c r="D574" s="1" t="s">
        <v>22</v>
      </c>
      <c r="E574" s="1" t="s">
        <v>195</v>
      </c>
      <c r="F574" s="1" t="s">
        <v>1652</v>
      </c>
      <c r="G574" s="1" t="s">
        <v>25</v>
      </c>
      <c r="H574" s="1">
        <v>2.0</v>
      </c>
      <c r="I574" s="1">
        <v>0.0</v>
      </c>
      <c r="J574" s="1">
        <v>0.0</v>
      </c>
      <c r="K574" s="1">
        <v>2.0</v>
      </c>
      <c r="L574" s="1">
        <v>14.57</v>
      </c>
      <c r="M574" s="1">
        <v>29.14</v>
      </c>
      <c r="N574" s="1" t="s">
        <v>21</v>
      </c>
      <c r="O574" s="1">
        <v>0.0</v>
      </c>
      <c r="P574" s="1" t="s">
        <v>1653</v>
      </c>
      <c r="Q574" s="1" t="str">
        <f t="shared" si="1"/>
        <v>x</v>
      </c>
      <c r="R574" s="1" t="str">
        <f t="shared" si="2"/>
        <v>x</v>
      </c>
      <c r="S574" s="1" t="str">
        <f t="shared" si="3"/>
        <v>x</v>
      </c>
      <c r="T574" s="1" t="str">
        <f t="shared" si="4"/>
        <v>OK</v>
      </c>
    </row>
    <row r="575" ht="15.75" customHeight="1">
      <c r="A575" s="1" t="s">
        <v>1654</v>
      </c>
      <c r="B575" s="1">
        <v>1.0000452E7</v>
      </c>
      <c r="C575" s="1" t="s">
        <v>21</v>
      </c>
      <c r="D575" s="1" t="s">
        <v>22</v>
      </c>
      <c r="E575" s="1" t="s">
        <v>1051</v>
      </c>
      <c r="F575" s="1" t="s">
        <v>1439</v>
      </c>
      <c r="G575" s="1" t="s">
        <v>25</v>
      </c>
      <c r="H575" s="1">
        <v>0.0</v>
      </c>
      <c r="I575" s="1">
        <v>0.0</v>
      </c>
      <c r="J575" s="1">
        <v>264.0</v>
      </c>
      <c r="K575" s="1">
        <v>264.0</v>
      </c>
      <c r="L575" s="1">
        <v>0.11</v>
      </c>
      <c r="M575" s="1">
        <v>29.04</v>
      </c>
      <c r="N575" s="1" t="s">
        <v>21</v>
      </c>
      <c r="O575" s="1">
        <v>0.0</v>
      </c>
      <c r="P575" s="1" t="s">
        <v>1655</v>
      </c>
      <c r="Q575" s="1" t="str">
        <f t="shared" si="1"/>
        <v>x</v>
      </c>
      <c r="R575" s="1" t="str">
        <f t="shared" si="2"/>
        <v>x</v>
      </c>
      <c r="S575" s="1" t="str">
        <f t="shared" si="3"/>
        <v>x</v>
      </c>
      <c r="T575" s="1" t="str">
        <f t="shared" si="4"/>
        <v>OK</v>
      </c>
    </row>
    <row r="576" ht="15.75" customHeight="1">
      <c r="A576" s="1" t="s">
        <v>1656</v>
      </c>
      <c r="B576" s="1">
        <v>1.0220577E7</v>
      </c>
      <c r="C576" s="1" t="s">
        <v>21</v>
      </c>
      <c r="D576" s="1" t="s">
        <v>22</v>
      </c>
      <c r="E576" s="1" t="s">
        <v>785</v>
      </c>
      <c r="F576" s="1" t="s">
        <v>1657</v>
      </c>
      <c r="G576" s="1" t="s">
        <v>25</v>
      </c>
      <c r="H576" s="1">
        <v>30.0</v>
      </c>
      <c r="I576" s="1">
        <v>0.0</v>
      </c>
      <c r="J576" s="1">
        <v>30.0</v>
      </c>
      <c r="K576" s="1">
        <v>60.0</v>
      </c>
      <c r="L576" s="1">
        <v>0.46</v>
      </c>
      <c r="M576" s="1">
        <v>27.6</v>
      </c>
      <c r="N576" s="1" t="s">
        <v>21</v>
      </c>
      <c r="O576" s="1">
        <v>0.0</v>
      </c>
      <c r="P576" s="1" t="s">
        <v>1658</v>
      </c>
      <c r="Q576" s="1" t="str">
        <f t="shared" si="1"/>
        <v>x</v>
      </c>
      <c r="R576" s="1" t="str">
        <f t="shared" si="2"/>
        <v>x</v>
      </c>
      <c r="S576" s="1" t="str">
        <f t="shared" si="3"/>
        <v>x</v>
      </c>
      <c r="T576" s="1" t="str">
        <f t="shared" si="4"/>
        <v>OK</v>
      </c>
    </row>
    <row r="577" ht="15.75" customHeight="1">
      <c r="A577" s="1" t="s">
        <v>1659</v>
      </c>
      <c r="B577" s="1">
        <v>1.0000029E7</v>
      </c>
      <c r="C577" s="1" t="s">
        <v>21</v>
      </c>
      <c r="D577" s="1" t="s">
        <v>22</v>
      </c>
      <c r="E577" s="1" t="s">
        <v>1051</v>
      </c>
      <c r="F577" s="1" t="s">
        <v>1660</v>
      </c>
      <c r="G577" s="1" t="s">
        <v>25</v>
      </c>
      <c r="H577" s="1">
        <v>340.0</v>
      </c>
      <c r="I577" s="1">
        <v>0.0</v>
      </c>
      <c r="J577" s="1">
        <v>0.0</v>
      </c>
      <c r="K577" s="1">
        <v>340.0</v>
      </c>
      <c r="L577" s="1">
        <v>0.08</v>
      </c>
      <c r="M577" s="1">
        <v>27.2</v>
      </c>
      <c r="N577" s="1" t="s">
        <v>21</v>
      </c>
      <c r="O577" s="1">
        <v>0.0</v>
      </c>
      <c r="P577" s="1" t="s">
        <v>1661</v>
      </c>
      <c r="Q577" s="1" t="str">
        <f t="shared" si="1"/>
        <v>x</v>
      </c>
      <c r="R577" s="1" t="str">
        <f t="shared" si="2"/>
        <v>x</v>
      </c>
      <c r="S577" s="1" t="str">
        <f t="shared" si="3"/>
        <v>x</v>
      </c>
      <c r="T577" s="1" t="str">
        <f t="shared" si="4"/>
        <v>OK</v>
      </c>
    </row>
    <row r="578" ht="15.75" customHeight="1">
      <c r="A578" s="1" t="s">
        <v>1662</v>
      </c>
      <c r="B578" s="1">
        <v>1.0000078E7</v>
      </c>
      <c r="C578" s="1" t="s">
        <v>21</v>
      </c>
      <c r="D578" s="1" t="s">
        <v>22</v>
      </c>
      <c r="E578" s="1" t="s">
        <v>1051</v>
      </c>
      <c r="F578" s="1" t="s">
        <v>1495</v>
      </c>
      <c r="G578" s="1" t="s">
        <v>25</v>
      </c>
      <c r="H578" s="1">
        <v>0.0</v>
      </c>
      <c r="I578" s="1">
        <v>0.0</v>
      </c>
      <c r="J578" s="1">
        <v>330.0</v>
      </c>
      <c r="K578" s="1">
        <v>330.0</v>
      </c>
      <c r="L578" s="1">
        <v>0.08</v>
      </c>
      <c r="M578" s="1">
        <v>26.4</v>
      </c>
      <c r="N578" s="1" t="s">
        <v>21</v>
      </c>
      <c r="O578" s="1">
        <v>0.0</v>
      </c>
      <c r="P578" s="1" t="s">
        <v>1663</v>
      </c>
      <c r="Q578" s="1" t="str">
        <f t="shared" si="1"/>
        <v>x</v>
      </c>
      <c r="R578" s="1" t="str">
        <f t="shared" si="2"/>
        <v>x</v>
      </c>
      <c r="S578" s="1" t="str">
        <f t="shared" si="3"/>
        <v>x</v>
      </c>
      <c r="T578" s="1" t="str">
        <f t="shared" si="4"/>
        <v>OK</v>
      </c>
    </row>
    <row r="579" ht="15.75" customHeight="1">
      <c r="A579" s="1" t="s">
        <v>1664</v>
      </c>
      <c r="B579" s="1">
        <v>1.1424677E7</v>
      </c>
      <c r="C579" s="1" t="s">
        <v>21</v>
      </c>
      <c r="D579" s="1" t="s">
        <v>22</v>
      </c>
      <c r="E579" s="1" t="s">
        <v>633</v>
      </c>
      <c r="F579" s="1" t="s">
        <v>1413</v>
      </c>
      <c r="G579" s="1" t="s">
        <v>25</v>
      </c>
      <c r="H579" s="1">
        <v>8.0</v>
      </c>
      <c r="I579" s="1">
        <v>0.0</v>
      </c>
      <c r="J579" s="1">
        <v>0.0</v>
      </c>
      <c r="K579" s="1">
        <v>8.0</v>
      </c>
      <c r="L579" s="1">
        <v>3.19</v>
      </c>
      <c r="M579" s="1">
        <v>25.52</v>
      </c>
      <c r="N579" s="1" t="s">
        <v>21</v>
      </c>
      <c r="O579" s="1">
        <v>0.0</v>
      </c>
      <c r="P579" s="1" t="s">
        <v>1665</v>
      </c>
      <c r="Q579" s="1" t="str">
        <f t="shared" si="1"/>
        <v>x</v>
      </c>
      <c r="R579" s="1" t="str">
        <f t="shared" si="2"/>
        <v>x</v>
      </c>
      <c r="S579" s="1" t="str">
        <f t="shared" si="3"/>
        <v>x</v>
      </c>
      <c r="T579" s="1" t="str">
        <f t="shared" si="4"/>
        <v>OK</v>
      </c>
    </row>
    <row r="580" ht="15.75" customHeight="1">
      <c r="A580" s="1" t="s">
        <v>1666</v>
      </c>
      <c r="B580" s="1">
        <v>1.0006287E7</v>
      </c>
      <c r="C580" s="1" t="s">
        <v>21</v>
      </c>
      <c r="D580" s="1" t="s">
        <v>22</v>
      </c>
      <c r="E580" s="1" t="s">
        <v>1667</v>
      </c>
      <c r="F580" s="1" t="s">
        <v>1605</v>
      </c>
      <c r="G580" s="1" t="s">
        <v>25</v>
      </c>
      <c r="H580" s="1">
        <v>92.0</v>
      </c>
      <c r="I580" s="1">
        <v>0.0</v>
      </c>
      <c r="J580" s="1">
        <v>0.0</v>
      </c>
      <c r="K580" s="1">
        <v>92.0</v>
      </c>
      <c r="L580" s="1">
        <v>0.27</v>
      </c>
      <c r="M580" s="1">
        <v>24.84</v>
      </c>
      <c r="N580" s="1" t="s">
        <v>21</v>
      </c>
      <c r="O580" s="1">
        <v>0.0</v>
      </c>
      <c r="P580" s="1" t="s">
        <v>1668</v>
      </c>
      <c r="Q580" s="1" t="str">
        <f t="shared" si="1"/>
        <v>x</v>
      </c>
      <c r="R580" s="1" t="str">
        <f t="shared" si="2"/>
        <v>x</v>
      </c>
      <c r="S580" s="1" t="str">
        <f t="shared" si="3"/>
        <v>x</v>
      </c>
      <c r="T580" s="1" t="str">
        <f t="shared" si="4"/>
        <v>OK</v>
      </c>
    </row>
    <row r="581" ht="15.75" customHeight="1">
      <c r="A581" s="1" t="s">
        <v>1669</v>
      </c>
      <c r="B581" s="1">
        <v>1.0149393E7</v>
      </c>
      <c r="C581" s="1" t="s">
        <v>21</v>
      </c>
      <c r="D581" s="1" t="s">
        <v>22</v>
      </c>
      <c r="E581" s="1" t="s">
        <v>195</v>
      </c>
      <c r="F581" s="1" t="s">
        <v>1398</v>
      </c>
      <c r="G581" s="1" t="s">
        <v>25</v>
      </c>
      <c r="H581" s="1">
        <v>2.0</v>
      </c>
      <c r="I581" s="1">
        <v>0.0</v>
      </c>
      <c r="J581" s="1">
        <v>0.0</v>
      </c>
      <c r="K581" s="1">
        <v>2.0</v>
      </c>
      <c r="L581" s="1">
        <v>12.34</v>
      </c>
      <c r="M581" s="1">
        <v>24.68</v>
      </c>
      <c r="N581" s="1" t="s">
        <v>21</v>
      </c>
      <c r="O581" s="1">
        <v>0.0</v>
      </c>
      <c r="P581" s="1" t="s">
        <v>1670</v>
      </c>
      <c r="Q581" s="1" t="str">
        <f t="shared" si="1"/>
        <v>x</v>
      </c>
      <c r="R581" s="1" t="str">
        <f t="shared" si="2"/>
        <v>x</v>
      </c>
      <c r="S581" s="1" t="str">
        <f t="shared" si="3"/>
        <v>x</v>
      </c>
      <c r="T581" s="1" t="str">
        <f t="shared" si="4"/>
        <v>OK</v>
      </c>
    </row>
    <row r="582" ht="15.75" customHeight="1">
      <c r="A582" s="1" t="s">
        <v>1671</v>
      </c>
      <c r="B582" s="1">
        <v>1.132052E7</v>
      </c>
      <c r="C582" s="1" t="s">
        <v>21</v>
      </c>
      <c r="D582" s="1" t="s">
        <v>22</v>
      </c>
      <c r="E582" s="1" t="s">
        <v>195</v>
      </c>
      <c r="F582" s="1" t="s">
        <v>1672</v>
      </c>
      <c r="G582" s="1" t="s">
        <v>25</v>
      </c>
      <c r="H582" s="1">
        <v>2.0</v>
      </c>
      <c r="I582" s="1">
        <v>0.0</v>
      </c>
      <c r="J582" s="1">
        <v>0.0</v>
      </c>
      <c r="K582" s="1">
        <v>2.0</v>
      </c>
      <c r="L582" s="1">
        <v>11.88</v>
      </c>
      <c r="M582" s="1">
        <v>23.76</v>
      </c>
      <c r="N582" s="1" t="s">
        <v>21</v>
      </c>
      <c r="O582" s="1">
        <v>0.0</v>
      </c>
      <c r="P582" s="1" t="s">
        <v>1673</v>
      </c>
      <c r="Q582" s="1" t="str">
        <f t="shared" si="1"/>
        <v>x</v>
      </c>
      <c r="R582" s="1" t="str">
        <f t="shared" si="2"/>
        <v>x</v>
      </c>
      <c r="S582" s="1" t="str">
        <f t="shared" si="3"/>
        <v>x</v>
      </c>
      <c r="T582" s="1" t="str">
        <f t="shared" si="4"/>
        <v>OK</v>
      </c>
    </row>
    <row r="583" ht="15.75" customHeight="1">
      <c r="A583" s="1" t="s">
        <v>1674</v>
      </c>
      <c r="B583" s="1">
        <v>1.0873673E7</v>
      </c>
      <c r="C583" s="1" t="s">
        <v>21</v>
      </c>
      <c r="D583" s="1" t="s">
        <v>22</v>
      </c>
      <c r="E583" s="1" t="s">
        <v>1675</v>
      </c>
      <c r="F583" s="1" t="s">
        <v>1274</v>
      </c>
      <c r="G583" s="1" t="s">
        <v>25</v>
      </c>
      <c r="H583" s="1">
        <v>12.0</v>
      </c>
      <c r="I583" s="1">
        <v>12.0</v>
      </c>
      <c r="J583" s="1">
        <v>12.0</v>
      </c>
      <c r="K583" s="1">
        <v>36.0</v>
      </c>
      <c r="L583" s="1">
        <v>0.65</v>
      </c>
      <c r="M583" s="1">
        <v>23.4</v>
      </c>
      <c r="N583" s="1" t="s">
        <v>21</v>
      </c>
      <c r="O583" s="1">
        <v>0.0</v>
      </c>
      <c r="P583" s="1" t="s">
        <v>1676</v>
      </c>
      <c r="Q583" s="1" t="str">
        <f t="shared" si="1"/>
        <v>x</v>
      </c>
      <c r="R583" s="1" t="str">
        <f t="shared" si="2"/>
        <v>x</v>
      </c>
      <c r="S583" s="1" t="str">
        <f t="shared" si="3"/>
        <v>x</v>
      </c>
      <c r="T583" s="1" t="str">
        <f t="shared" si="4"/>
        <v>OK</v>
      </c>
    </row>
    <row r="584" ht="15.75" customHeight="1">
      <c r="A584" s="1" t="s">
        <v>1677</v>
      </c>
      <c r="B584" s="1">
        <v>1.1308584E7</v>
      </c>
      <c r="C584" s="1">
        <v>1.000195E7</v>
      </c>
      <c r="D584" s="1" t="s">
        <v>22</v>
      </c>
      <c r="E584" s="1" t="s">
        <v>633</v>
      </c>
      <c r="F584" s="1" t="s">
        <v>1678</v>
      </c>
      <c r="G584" s="1" t="s">
        <v>25</v>
      </c>
      <c r="H584" s="1">
        <v>6.0</v>
      </c>
      <c r="I584" s="1">
        <v>0.0</v>
      </c>
      <c r="J584" s="1">
        <v>0.0</v>
      </c>
      <c r="K584" s="1">
        <v>6.0</v>
      </c>
      <c r="L584" s="1">
        <v>3.77</v>
      </c>
      <c r="M584" s="1">
        <v>22.62</v>
      </c>
      <c r="N584" s="1" t="s">
        <v>21</v>
      </c>
      <c r="O584" s="1">
        <v>0.0</v>
      </c>
      <c r="P584" s="1" t="s">
        <v>1679</v>
      </c>
      <c r="Q584" s="1" t="str">
        <f t="shared" si="1"/>
        <v>x</v>
      </c>
      <c r="R584" s="1" t="str">
        <f t="shared" si="2"/>
        <v>x</v>
      </c>
      <c r="S584" s="1" t="str">
        <f t="shared" si="3"/>
        <v>x</v>
      </c>
      <c r="T584" s="1" t="str">
        <f t="shared" si="4"/>
        <v>OK</v>
      </c>
    </row>
    <row r="585" ht="15.75" customHeight="1">
      <c r="A585" s="1" t="s">
        <v>1680</v>
      </c>
      <c r="B585" s="1">
        <v>1.0001205E7</v>
      </c>
      <c r="C585" s="1" t="s">
        <v>21</v>
      </c>
      <c r="D585" s="1" t="s">
        <v>22</v>
      </c>
      <c r="E585" s="1" t="s">
        <v>544</v>
      </c>
      <c r="F585" s="1" t="s">
        <v>1681</v>
      </c>
      <c r="G585" s="1" t="s">
        <v>25</v>
      </c>
      <c r="H585" s="1">
        <v>6.0</v>
      </c>
      <c r="I585" s="1">
        <v>0.0</v>
      </c>
      <c r="J585" s="1">
        <v>6.0</v>
      </c>
      <c r="K585" s="1">
        <v>12.0</v>
      </c>
      <c r="L585" s="1">
        <v>1.77</v>
      </c>
      <c r="M585" s="1">
        <v>21.24</v>
      </c>
      <c r="N585" s="1" t="s">
        <v>21</v>
      </c>
      <c r="O585" s="1">
        <v>0.0</v>
      </c>
      <c r="P585" s="1" t="s">
        <v>1682</v>
      </c>
      <c r="Q585" s="1" t="str">
        <f t="shared" si="1"/>
        <v>x</v>
      </c>
      <c r="R585" s="1" t="str">
        <f t="shared" si="2"/>
        <v>x</v>
      </c>
      <c r="S585" s="1" t="str">
        <f t="shared" si="3"/>
        <v>x</v>
      </c>
      <c r="T585" s="1" t="str">
        <f t="shared" si="4"/>
        <v>OK</v>
      </c>
    </row>
    <row r="586" ht="15.75" customHeight="1">
      <c r="A586" s="1" t="s">
        <v>1683</v>
      </c>
      <c r="B586" s="1">
        <v>1.1424317E7</v>
      </c>
      <c r="C586" s="1" t="s">
        <v>21</v>
      </c>
      <c r="D586" s="1" t="s">
        <v>22</v>
      </c>
      <c r="E586" s="1" t="s">
        <v>1051</v>
      </c>
      <c r="F586" s="1" t="s">
        <v>1684</v>
      </c>
      <c r="G586" s="1" t="s">
        <v>25</v>
      </c>
      <c r="H586" s="1">
        <v>0.0</v>
      </c>
      <c r="I586" s="1">
        <v>0.0</v>
      </c>
      <c r="J586" s="1">
        <v>132.0</v>
      </c>
      <c r="K586" s="1">
        <v>132.0</v>
      </c>
      <c r="L586" s="1">
        <v>0.15</v>
      </c>
      <c r="M586" s="1">
        <v>19.8</v>
      </c>
      <c r="N586" s="1" t="s">
        <v>21</v>
      </c>
      <c r="O586" s="1">
        <v>0.0</v>
      </c>
      <c r="P586" s="1" t="s">
        <v>1685</v>
      </c>
      <c r="Q586" s="1" t="str">
        <f t="shared" si="1"/>
        <v>x</v>
      </c>
      <c r="R586" s="1" t="str">
        <f t="shared" si="2"/>
        <v>x</v>
      </c>
      <c r="S586" s="1" t="str">
        <f t="shared" si="3"/>
        <v>x</v>
      </c>
      <c r="T586" s="1" t="str">
        <f t="shared" si="4"/>
        <v>OK</v>
      </c>
    </row>
    <row r="587" ht="15.75" customHeight="1">
      <c r="A587" s="1" t="s">
        <v>1686</v>
      </c>
      <c r="B587" s="1">
        <v>1.1420011E7</v>
      </c>
      <c r="C587" s="1" t="s">
        <v>21</v>
      </c>
      <c r="D587" s="1" t="s">
        <v>22</v>
      </c>
      <c r="E587" s="1" t="s">
        <v>738</v>
      </c>
      <c r="F587" s="1" t="s">
        <v>1687</v>
      </c>
      <c r="G587" s="1" t="s">
        <v>25</v>
      </c>
      <c r="H587" s="1">
        <v>8.0</v>
      </c>
      <c r="I587" s="1">
        <v>0.0</v>
      </c>
      <c r="J587" s="1">
        <v>0.0</v>
      </c>
      <c r="K587" s="1">
        <v>8.0</v>
      </c>
      <c r="L587" s="1">
        <v>2.46</v>
      </c>
      <c r="M587" s="1">
        <v>19.68</v>
      </c>
      <c r="N587" s="1" t="s">
        <v>21</v>
      </c>
      <c r="O587" s="1">
        <v>0.0</v>
      </c>
      <c r="P587" s="1" t="s">
        <v>1688</v>
      </c>
      <c r="Q587" s="1" t="str">
        <f t="shared" si="1"/>
        <v>x</v>
      </c>
      <c r="R587" s="1" t="str">
        <f t="shared" si="2"/>
        <v>x</v>
      </c>
      <c r="S587" s="1" t="str">
        <f t="shared" si="3"/>
        <v>x</v>
      </c>
      <c r="T587" s="1" t="str">
        <f t="shared" si="4"/>
        <v>OK</v>
      </c>
    </row>
    <row r="588" ht="15.75" customHeight="1">
      <c r="A588" s="1" t="s">
        <v>1689</v>
      </c>
      <c r="B588" s="1">
        <v>1.1884484E7</v>
      </c>
      <c r="C588" s="1" t="s">
        <v>21</v>
      </c>
      <c r="D588" s="1" t="s">
        <v>22</v>
      </c>
      <c r="E588" s="1" t="s">
        <v>231</v>
      </c>
      <c r="F588" s="1" t="s">
        <v>1690</v>
      </c>
      <c r="G588" s="1" t="s">
        <v>25</v>
      </c>
      <c r="H588" s="1">
        <v>2.0</v>
      </c>
      <c r="I588" s="1">
        <v>0.0</v>
      </c>
      <c r="J588" s="1">
        <v>0.0</v>
      </c>
      <c r="K588" s="1">
        <v>2.0</v>
      </c>
      <c r="L588" s="1">
        <v>9.77</v>
      </c>
      <c r="M588" s="1">
        <v>19.54</v>
      </c>
      <c r="N588" s="1" t="s">
        <v>21</v>
      </c>
      <c r="O588" s="1">
        <v>0.0</v>
      </c>
      <c r="P588" s="1" t="s">
        <v>1691</v>
      </c>
      <c r="Q588" s="1" t="str">
        <f t="shared" si="1"/>
        <v>x</v>
      </c>
      <c r="R588" s="1" t="str">
        <f t="shared" si="2"/>
        <v>x</v>
      </c>
      <c r="S588" s="1" t="str">
        <f t="shared" si="3"/>
        <v>x</v>
      </c>
      <c r="T588" s="1" t="str">
        <f t="shared" si="4"/>
        <v>OK</v>
      </c>
    </row>
    <row r="589" ht="15.75" customHeight="1">
      <c r="A589" s="1" t="s">
        <v>1692</v>
      </c>
      <c r="B589" s="1">
        <v>1.0032632E7</v>
      </c>
      <c r="C589" s="1" t="s">
        <v>21</v>
      </c>
      <c r="D589" s="1" t="s">
        <v>22</v>
      </c>
      <c r="E589" s="1" t="s">
        <v>544</v>
      </c>
      <c r="F589" s="1" t="s">
        <v>1693</v>
      </c>
      <c r="G589" s="1" t="s">
        <v>25</v>
      </c>
      <c r="H589" s="1">
        <v>18.0</v>
      </c>
      <c r="I589" s="1">
        <v>0.0</v>
      </c>
      <c r="J589" s="1">
        <v>0.0</v>
      </c>
      <c r="K589" s="1">
        <v>18.0</v>
      </c>
      <c r="L589" s="1">
        <v>1.04</v>
      </c>
      <c r="M589" s="1">
        <v>18.72</v>
      </c>
      <c r="N589" s="1" t="s">
        <v>21</v>
      </c>
      <c r="O589" s="1">
        <v>0.0</v>
      </c>
      <c r="P589" s="1" t="s">
        <v>1694</v>
      </c>
      <c r="Q589" s="1" t="str">
        <f t="shared" si="1"/>
        <v>x</v>
      </c>
      <c r="R589" s="1" t="str">
        <f t="shared" si="2"/>
        <v>x</v>
      </c>
      <c r="S589" s="1" t="str">
        <f t="shared" si="3"/>
        <v>x</v>
      </c>
      <c r="T589" s="1" t="str">
        <f t="shared" si="4"/>
        <v>OK</v>
      </c>
    </row>
    <row r="590" ht="15.75" customHeight="1">
      <c r="A590" s="1" t="s">
        <v>1695</v>
      </c>
      <c r="B590" s="1">
        <v>1.0001861E7</v>
      </c>
      <c r="C590" s="1" t="s">
        <v>21</v>
      </c>
      <c r="D590" s="1" t="s">
        <v>22</v>
      </c>
      <c r="E590" s="1" t="s">
        <v>1051</v>
      </c>
      <c r="F590" s="1" t="s">
        <v>1696</v>
      </c>
      <c r="G590" s="1" t="s">
        <v>25</v>
      </c>
      <c r="H590" s="1">
        <v>0.0</v>
      </c>
      <c r="I590" s="1">
        <v>0.0</v>
      </c>
      <c r="J590" s="1">
        <v>66.0</v>
      </c>
      <c r="K590" s="1">
        <v>66.0</v>
      </c>
      <c r="L590" s="1">
        <v>0.27</v>
      </c>
      <c r="M590" s="1">
        <v>17.82</v>
      </c>
      <c r="N590" s="1" t="s">
        <v>21</v>
      </c>
      <c r="O590" s="1">
        <v>0.0</v>
      </c>
      <c r="P590" s="1" t="s">
        <v>1697</v>
      </c>
      <c r="Q590" s="1" t="str">
        <f t="shared" si="1"/>
        <v>x</v>
      </c>
      <c r="R590" s="1" t="str">
        <f t="shared" si="2"/>
        <v>x</v>
      </c>
      <c r="S590" s="1" t="str">
        <f t="shared" si="3"/>
        <v>x</v>
      </c>
      <c r="T590" s="1" t="str">
        <f t="shared" si="4"/>
        <v>OK</v>
      </c>
    </row>
    <row r="591" ht="15.75" customHeight="1">
      <c r="A591" s="1" t="s">
        <v>1698</v>
      </c>
      <c r="B591" s="1">
        <v>1.1412554E7</v>
      </c>
      <c r="C591" s="1" t="s">
        <v>21</v>
      </c>
      <c r="D591" s="1" t="s">
        <v>22</v>
      </c>
      <c r="E591" s="1" t="s">
        <v>633</v>
      </c>
      <c r="F591" s="1" t="s">
        <v>1699</v>
      </c>
      <c r="G591" s="1" t="s">
        <v>25</v>
      </c>
      <c r="H591" s="1">
        <v>4.0</v>
      </c>
      <c r="I591" s="1">
        <v>0.0</v>
      </c>
      <c r="J591" s="1">
        <v>0.0</v>
      </c>
      <c r="K591" s="1">
        <v>4.0</v>
      </c>
      <c r="L591" s="1">
        <v>4.31</v>
      </c>
      <c r="M591" s="1">
        <v>17.24</v>
      </c>
      <c r="N591" s="1" t="s">
        <v>21</v>
      </c>
      <c r="O591" s="1">
        <v>0.0</v>
      </c>
      <c r="P591" s="1" t="s">
        <v>1700</v>
      </c>
      <c r="Q591" s="1" t="str">
        <f t="shared" si="1"/>
        <v>x</v>
      </c>
      <c r="R591" s="1" t="str">
        <f t="shared" si="2"/>
        <v>x</v>
      </c>
      <c r="S591" s="1" t="str">
        <f t="shared" si="3"/>
        <v>x</v>
      </c>
      <c r="T591" s="1" t="str">
        <f t="shared" si="4"/>
        <v>OK</v>
      </c>
    </row>
    <row r="592" ht="15.75" customHeight="1">
      <c r="A592" s="1" t="s">
        <v>1701</v>
      </c>
      <c r="B592" s="1">
        <v>1.0123834E7</v>
      </c>
      <c r="C592" s="1" t="s">
        <v>21</v>
      </c>
      <c r="D592" s="1" t="s">
        <v>22</v>
      </c>
      <c r="E592" s="1" t="s">
        <v>231</v>
      </c>
      <c r="F592" s="1" t="s">
        <v>1702</v>
      </c>
      <c r="G592" s="1" t="s">
        <v>25</v>
      </c>
      <c r="H592" s="1">
        <v>1.0</v>
      </c>
      <c r="I592" s="1">
        <v>0.0</v>
      </c>
      <c r="J592" s="1">
        <v>1.0</v>
      </c>
      <c r="K592" s="1">
        <v>2.0</v>
      </c>
      <c r="L592" s="1">
        <v>8.58</v>
      </c>
      <c r="M592" s="1">
        <v>17.16</v>
      </c>
      <c r="N592" s="1" t="s">
        <v>21</v>
      </c>
      <c r="O592" s="1">
        <v>0.0</v>
      </c>
      <c r="P592" s="1" t="s">
        <v>1703</v>
      </c>
      <c r="Q592" s="1" t="str">
        <f t="shared" si="1"/>
        <v>x</v>
      </c>
      <c r="R592" s="1" t="str">
        <f t="shared" si="2"/>
        <v>x</v>
      </c>
      <c r="S592" s="1" t="str">
        <f t="shared" si="3"/>
        <v>x</v>
      </c>
      <c r="T592" s="1" t="str">
        <f t="shared" si="4"/>
        <v>OK</v>
      </c>
    </row>
    <row r="593" ht="15.75" customHeight="1">
      <c r="A593" s="1" t="s">
        <v>1704</v>
      </c>
      <c r="B593" s="1">
        <v>1.0124175E7</v>
      </c>
      <c r="C593" s="1" t="s">
        <v>21</v>
      </c>
      <c r="D593" s="1" t="s">
        <v>22</v>
      </c>
      <c r="E593" s="1" t="s">
        <v>231</v>
      </c>
      <c r="F593" s="1" t="s">
        <v>1705</v>
      </c>
      <c r="G593" s="1" t="s">
        <v>25</v>
      </c>
      <c r="H593" s="1">
        <v>1.0</v>
      </c>
      <c r="I593" s="1">
        <v>0.0</v>
      </c>
      <c r="J593" s="1">
        <v>1.0</v>
      </c>
      <c r="K593" s="1">
        <v>2.0</v>
      </c>
      <c r="L593" s="1">
        <v>8.08</v>
      </c>
      <c r="M593" s="1">
        <v>16.16</v>
      </c>
      <c r="N593" s="1" t="s">
        <v>21</v>
      </c>
      <c r="O593" s="1">
        <v>0.0</v>
      </c>
      <c r="P593" s="1" t="s">
        <v>1706</v>
      </c>
      <c r="Q593" s="1" t="str">
        <f t="shared" si="1"/>
        <v>x</v>
      </c>
      <c r="R593" s="1" t="str">
        <f t="shared" si="2"/>
        <v>x</v>
      </c>
      <c r="S593" s="1" t="str">
        <f t="shared" si="3"/>
        <v>x</v>
      </c>
      <c r="T593" s="1" t="str">
        <f t="shared" si="4"/>
        <v>OK</v>
      </c>
    </row>
    <row r="594" ht="15.75" customHeight="1">
      <c r="A594" s="1" t="s">
        <v>1707</v>
      </c>
      <c r="B594" s="1">
        <v>1.0169788E7</v>
      </c>
      <c r="C594" s="1" t="s">
        <v>21</v>
      </c>
      <c r="D594" s="1" t="s">
        <v>22</v>
      </c>
      <c r="E594" s="1" t="s">
        <v>544</v>
      </c>
      <c r="F594" s="1" t="s">
        <v>1708</v>
      </c>
      <c r="G594" s="1" t="s">
        <v>25</v>
      </c>
      <c r="H594" s="1">
        <v>7.0</v>
      </c>
      <c r="I594" s="1">
        <v>0.0</v>
      </c>
      <c r="J594" s="1">
        <v>7.0</v>
      </c>
      <c r="K594" s="1">
        <v>14.0</v>
      </c>
      <c r="L594" s="1">
        <v>0.89</v>
      </c>
      <c r="M594" s="1">
        <v>12.46</v>
      </c>
      <c r="N594" s="1" t="s">
        <v>21</v>
      </c>
      <c r="O594" s="1">
        <v>0.0</v>
      </c>
      <c r="P594" s="1" t="s">
        <v>1709</v>
      </c>
      <c r="Q594" s="1" t="str">
        <f t="shared" si="1"/>
        <v>x</v>
      </c>
      <c r="R594" s="1" t="str">
        <f t="shared" si="2"/>
        <v>x</v>
      </c>
      <c r="S594" s="1" t="str">
        <f t="shared" si="3"/>
        <v>x</v>
      </c>
      <c r="T594" s="1" t="str">
        <f t="shared" si="4"/>
        <v>OK</v>
      </c>
    </row>
    <row r="595" ht="15.75" customHeight="1">
      <c r="A595" s="1" t="s">
        <v>1710</v>
      </c>
      <c r="B595" s="1">
        <v>1.0096799E7</v>
      </c>
      <c r="C595" s="1" t="s">
        <v>21</v>
      </c>
      <c r="D595" s="1" t="s">
        <v>22</v>
      </c>
      <c r="E595" s="1" t="s">
        <v>195</v>
      </c>
      <c r="F595" s="1" t="s">
        <v>1212</v>
      </c>
      <c r="G595" s="1" t="s">
        <v>25</v>
      </c>
      <c r="H595" s="1">
        <v>1.0</v>
      </c>
      <c r="I595" s="1">
        <v>0.0</v>
      </c>
      <c r="J595" s="1">
        <v>0.0</v>
      </c>
      <c r="K595" s="1">
        <v>1.0</v>
      </c>
      <c r="L595" s="1">
        <v>11.04</v>
      </c>
      <c r="M595" s="1">
        <v>11.04</v>
      </c>
      <c r="N595" s="1" t="s">
        <v>21</v>
      </c>
      <c r="O595" s="1">
        <v>0.0</v>
      </c>
      <c r="P595" s="1" t="s">
        <v>1711</v>
      </c>
      <c r="Q595" s="1" t="str">
        <f t="shared" si="1"/>
        <v>x</v>
      </c>
      <c r="R595" s="1" t="str">
        <f t="shared" si="2"/>
        <v>x</v>
      </c>
      <c r="S595" s="1" t="str">
        <f t="shared" si="3"/>
        <v>x</v>
      </c>
      <c r="T595" s="1" t="str">
        <f t="shared" si="4"/>
        <v>OK</v>
      </c>
    </row>
    <row r="596" ht="15.75" customHeight="1">
      <c r="A596" s="1" t="s">
        <v>1712</v>
      </c>
      <c r="B596" s="1">
        <v>1.0006287E7</v>
      </c>
      <c r="C596" s="1" t="s">
        <v>21</v>
      </c>
      <c r="D596" s="1" t="s">
        <v>22</v>
      </c>
      <c r="E596" s="1" t="s">
        <v>1667</v>
      </c>
      <c r="F596" s="1" t="s">
        <v>1605</v>
      </c>
      <c r="G596" s="1" t="s">
        <v>25</v>
      </c>
      <c r="H596" s="1">
        <v>40.0</v>
      </c>
      <c r="I596" s="1">
        <v>0.0</v>
      </c>
      <c r="J596" s="1">
        <v>0.0</v>
      </c>
      <c r="K596" s="1">
        <v>40.0</v>
      </c>
      <c r="L596" s="1">
        <v>0.27</v>
      </c>
      <c r="M596" s="1">
        <v>10.8</v>
      </c>
      <c r="N596" s="1" t="s">
        <v>21</v>
      </c>
      <c r="O596" s="1">
        <v>0.0</v>
      </c>
      <c r="P596" s="1" t="s">
        <v>1713</v>
      </c>
      <c r="Q596" s="1" t="str">
        <f t="shared" si="1"/>
        <v>x</v>
      </c>
      <c r="R596" s="1" t="str">
        <f t="shared" si="2"/>
        <v>x</v>
      </c>
      <c r="S596" s="1" t="str">
        <f t="shared" si="3"/>
        <v>x</v>
      </c>
      <c r="T596" s="1" t="str">
        <f t="shared" si="4"/>
        <v>OK</v>
      </c>
    </row>
    <row r="597" ht="15.75" customHeight="1">
      <c r="A597" s="1" t="s">
        <v>1714</v>
      </c>
      <c r="B597" s="1">
        <v>1.1420022E7</v>
      </c>
      <c r="C597" s="1" t="s">
        <v>21</v>
      </c>
      <c r="D597" s="1" t="s">
        <v>22</v>
      </c>
      <c r="E597" s="1" t="s">
        <v>738</v>
      </c>
      <c r="F597" s="1" t="s">
        <v>1715</v>
      </c>
      <c r="G597" s="1" t="s">
        <v>25</v>
      </c>
      <c r="H597" s="1">
        <v>4.0</v>
      </c>
      <c r="I597" s="1">
        <v>0.0</v>
      </c>
      <c r="J597" s="1">
        <v>0.0</v>
      </c>
      <c r="K597" s="1">
        <v>4.0</v>
      </c>
      <c r="L597" s="1">
        <v>2.31</v>
      </c>
      <c r="M597" s="1">
        <v>9.24</v>
      </c>
      <c r="N597" s="1" t="s">
        <v>21</v>
      </c>
      <c r="O597" s="1">
        <v>0.0</v>
      </c>
      <c r="P597" s="1" t="s">
        <v>1716</v>
      </c>
      <c r="Q597" s="1" t="str">
        <f t="shared" si="1"/>
        <v>x</v>
      </c>
      <c r="R597" s="1" t="str">
        <f t="shared" si="2"/>
        <v>x</v>
      </c>
      <c r="S597" s="1" t="str">
        <f t="shared" si="3"/>
        <v>x</v>
      </c>
      <c r="T597" s="1" t="str">
        <f t="shared" si="4"/>
        <v>OK</v>
      </c>
    </row>
    <row r="598" ht="15.75" customHeight="1">
      <c r="A598" s="1" t="s">
        <v>1717</v>
      </c>
      <c r="B598" s="1">
        <v>1.0000123E7</v>
      </c>
      <c r="C598" s="1" t="s">
        <v>21</v>
      </c>
      <c r="D598" s="1" t="s">
        <v>22</v>
      </c>
      <c r="E598" s="1" t="s">
        <v>544</v>
      </c>
      <c r="F598" s="1" t="s">
        <v>1404</v>
      </c>
      <c r="G598" s="1" t="s">
        <v>25</v>
      </c>
      <c r="H598" s="1">
        <v>10.0</v>
      </c>
      <c r="I598" s="1">
        <v>0.0</v>
      </c>
      <c r="J598" s="1">
        <v>0.0</v>
      </c>
      <c r="K598" s="1">
        <v>10.0</v>
      </c>
      <c r="L598" s="1">
        <v>0.89</v>
      </c>
      <c r="M598" s="1">
        <v>8.9</v>
      </c>
      <c r="N598" s="1" t="s">
        <v>21</v>
      </c>
      <c r="O598" s="1">
        <v>0.0</v>
      </c>
      <c r="P598" s="1" t="s">
        <v>1718</v>
      </c>
      <c r="Q598" s="1" t="str">
        <f t="shared" si="1"/>
        <v>x</v>
      </c>
      <c r="R598" s="1" t="str">
        <f t="shared" si="2"/>
        <v>x</v>
      </c>
      <c r="S598" s="1" t="str">
        <f t="shared" si="3"/>
        <v>x</v>
      </c>
      <c r="T598" s="1" t="str">
        <f t="shared" si="4"/>
        <v>OK</v>
      </c>
    </row>
    <row r="599" ht="15.75" customHeight="1">
      <c r="A599" s="1" t="s">
        <v>1719</v>
      </c>
      <c r="B599" s="1">
        <v>1.0001167E7</v>
      </c>
      <c r="C599" s="1" t="s">
        <v>21</v>
      </c>
      <c r="D599" s="1" t="s">
        <v>22</v>
      </c>
      <c r="E599" s="1" t="s">
        <v>1051</v>
      </c>
      <c r="F599" s="1" t="s">
        <v>1720</v>
      </c>
      <c r="G599" s="1" t="s">
        <v>25</v>
      </c>
      <c r="H599" s="1">
        <v>105.0</v>
      </c>
      <c r="I599" s="1">
        <v>0.0</v>
      </c>
      <c r="J599" s="1">
        <v>0.0</v>
      </c>
      <c r="K599" s="1">
        <v>105.0</v>
      </c>
      <c r="L599" s="1">
        <v>0.08</v>
      </c>
      <c r="M599" s="1">
        <v>8.4</v>
      </c>
      <c r="N599" s="1" t="s">
        <v>21</v>
      </c>
      <c r="O599" s="1">
        <v>0.0</v>
      </c>
      <c r="P599" s="1" t="s">
        <v>1721</v>
      </c>
      <c r="Q599" s="1" t="str">
        <f t="shared" si="1"/>
        <v>x</v>
      </c>
      <c r="R599" s="1" t="str">
        <f t="shared" si="2"/>
        <v>x</v>
      </c>
      <c r="S599" s="1" t="str">
        <f t="shared" si="3"/>
        <v>x</v>
      </c>
      <c r="T599" s="1" t="str">
        <f t="shared" si="4"/>
        <v>OK</v>
      </c>
    </row>
    <row r="600" ht="15.75" customHeight="1">
      <c r="A600" s="1" t="s">
        <v>1722</v>
      </c>
      <c r="B600" s="1">
        <v>1.1423011E7</v>
      </c>
      <c r="C600" s="1" t="s">
        <v>21</v>
      </c>
      <c r="D600" s="1" t="s">
        <v>22</v>
      </c>
      <c r="E600" s="1" t="s">
        <v>633</v>
      </c>
      <c r="F600" s="1" t="s">
        <v>1723</v>
      </c>
      <c r="G600" s="1" t="s">
        <v>25</v>
      </c>
      <c r="H600" s="1">
        <v>2.0</v>
      </c>
      <c r="I600" s="1">
        <v>0.0</v>
      </c>
      <c r="J600" s="1">
        <v>0.0</v>
      </c>
      <c r="K600" s="1">
        <v>2.0</v>
      </c>
      <c r="L600" s="1">
        <v>3.38</v>
      </c>
      <c r="M600" s="1">
        <v>6.76</v>
      </c>
      <c r="N600" s="1" t="s">
        <v>21</v>
      </c>
      <c r="O600" s="1">
        <v>0.0</v>
      </c>
      <c r="P600" s="1" t="s">
        <v>1724</v>
      </c>
      <c r="Q600" s="1" t="str">
        <f t="shared" si="1"/>
        <v>x</v>
      </c>
      <c r="R600" s="1" t="str">
        <f t="shared" si="2"/>
        <v>x</v>
      </c>
      <c r="S600" s="1" t="str">
        <f t="shared" si="3"/>
        <v>x</v>
      </c>
      <c r="T600" s="1" t="str">
        <f t="shared" si="4"/>
        <v>OK</v>
      </c>
    </row>
    <row r="601" ht="15.75" customHeight="1">
      <c r="A601" s="1" t="s">
        <v>1725</v>
      </c>
      <c r="B601" s="1">
        <v>1.00004E7</v>
      </c>
      <c r="C601" s="1" t="s">
        <v>21</v>
      </c>
      <c r="D601" s="1" t="s">
        <v>22</v>
      </c>
      <c r="E601" s="1" t="s">
        <v>544</v>
      </c>
      <c r="F601" s="1" t="s">
        <v>1390</v>
      </c>
      <c r="G601" s="1" t="s">
        <v>25</v>
      </c>
      <c r="H601" s="1">
        <v>4.0</v>
      </c>
      <c r="I601" s="1">
        <v>0.0</v>
      </c>
      <c r="J601" s="1">
        <v>0.0</v>
      </c>
      <c r="K601" s="1">
        <v>4.0</v>
      </c>
      <c r="L601" s="1">
        <v>1.61</v>
      </c>
      <c r="M601" s="1">
        <v>6.44</v>
      </c>
      <c r="N601" s="1" t="s">
        <v>21</v>
      </c>
      <c r="O601" s="1">
        <v>0.0</v>
      </c>
      <c r="P601" s="1" t="s">
        <v>1726</v>
      </c>
      <c r="Q601" s="1" t="str">
        <f t="shared" si="1"/>
        <v>x</v>
      </c>
      <c r="R601" s="1" t="str">
        <f t="shared" si="2"/>
        <v>x</v>
      </c>
      <c r="S601" s="1" t="str">
        <f t="shared" si="3"/>
        <v>x</v>
      </c>
      <c r="T601" s="1" t="str">
        <f t="shared" si="4"/>
        <v>OK</v>
      </c>
    </row>
    <row r="602" ht="15.75" customHeight="1">
      <c r="A602" s="1" t="s">
        <v>1727</v>
      </c>
      <c r="B602" s="1">
        <v>1.01091E7</v>
      </c>
      <c r="C602" s="1" t="s">
        <v>21</v>
      </c>
      <c r="D602" s="1" t="s">
        <v>22</v>
      </c>
      <c r="E602" s="1" t="s">
        <v>544</v>
      </c>
      <c r="F602" s="1" t="s">
        <v>1728</v>
      </c>
      <c r="G602" s="1" t="s">
        <v>25</v>
      </c>
      <c r="H602" s="1">
        <v>3.0</v>
      </c>
      <c r="I602" s="1">
        <v>0.0</v>
      </c>
      <c r="J602" s="1">
        <v>0.0</v>
      </c>
      <c r="K602" s="1">
        <v>3.0</v>
      </c>
      <c r="L602" s="1">
        <v>1.96</v>
      </c>
      <c r="M602" s="1">
        <v>5.88</v>
      </c>
      <c r="N602" s="1" t="s">
        <v>21</v>
      </c>
      <c r="O602" s="1">
        <v>0.0</v>
      </c>
      <c r="P602" s="1" t="s">
        <v>1729</v>
      </c>
      <c r="Q602" s="1" t="str">
        <f t="shared" si="1"/>
        <v>x</v>
      </c>
      <c r="R602" s="1" t="str">
        <f t="shared" si="2"/>
        <v>x</v>
      </c>
      <c r="S602" s="1" t="str">
        <f t="shared" si="3"/>
        <v>x</v>
      </c>
      <c r="T602" s="1" t="str">
        <f t="shared" si="4"/>
        <v>OK</v>
      </c>
    </row>
    <row r="603" ht="15.75" customHeight="1">
      <c r="A603" s="1" t="s">
        <v>1730</v>
      </c>
      <c r="B603" s="1">
        <v>1.1304628E7</v>
      </c>
      <c r="C603" s="1" t="s">
        <v>21</v>
      </c>
      <c r="D603" s="1" t="s">
        <v>22</v>
      </c>
      <c r="E603" s="1" t="s">
        <v>513</v>
      </c>
      <c r="F603" s="1" t="s">
        <v>514</v>
      </c>
      <c r="G603" s="1" t="s">
        <v>25</v>
      </c>
      <c r="H603" s="1">
        <v>8.0</v>
      </c>
      <c r="I603" s="1">
        <v>0.0</v>
      </c>
      <c r="J603" s="1">
        <v>0.0</v>
      </c>
      <c r="K603" s="1">
        <v>8.0</v>
      </c>
      <c r="L603" s="1">
        <v>0.73</v>
      </c>
      <c r="M603" s="1">
        <v>5.84</v>
      </c>
      <c r="N603" s="1" t="s">
        <v>21</v>
      </c>
      <c r="O603" s="1">
        <v>0.0</v>
      </c>
      <c r="P603" s="1" t="s">
        <v>1731</v>
      </c>
      <c r="Q603" s="1" t="str">
        <f t="shared" si="1"/>
        <v>x</v>
      </c>
      <c r="R603" s="1" t="str">
        <f t="shared" si="2"/>
        <v>x</v>
      </c>
      <c r="S603" s="1" t="str">
        <f t="shared" si="3"/>
        <v>x</v>
      </c>
      <c r="T603" s="1" t="str">
        <f t="shared" si="4"/>
        <v>OK</v>
      </c>
    </row>
    <row r="604" ht="15.75" customHeight="1">
      <c r="A604" s="1" t="s">
        <v>1732</v>
      </c>
      <c r="B604" s="1">
        <v>1.0001273E7</v>
      </c>
      <c r="C604" s="1" t="s">
        <v>21</v>
      </c>
      <c r="D604" s="1" t="s">
        <v>22</v>
      </c>
      <c r="E604" s="1" t="s">
        <v>785</v>
      </c>
      <c r="F604" s="1" t="s">
        <v>1608</v>
      </c>
      <c r="G604" s="1" t="s">
        <v>25</v>
      </c>
      <c r="H604" s="1">
        <v>12.0</v>
      </c>
      <c r="I604" s="1">
        <v>0.0</v>
      </c>
      <c r="J604" s="1">
        <v>0.0</v>
      </c>
      <c r="K604" s="1">
        <v>12.0</v>
      </c>
      <c r="L604" s="1">
        <v>0.39</v>
      </c>
      <c r="M604" s="1">
        <v>4.68</v>
      </c>
      <c r="N604" s="1" t="s">
        <v>21</v>
      </c>
      <c r="O604" s="1">
        <v>0.0</v>
      </c>
      <c r="P604" s="1" t="s">
        <v>1733</v>
      </c>
      <c r="Q604" s="1" t="str">
        <f t="shared" si="1"/>
        <v>x</v>
      </c>
      <c r="R604" s="1" t="str">
        <f t="shared" si="2"/>
        <v>x</v>
      </c>
      <c r="S604" s="1" t="str">
        <f t="shared" si="3"/>
        <v>x</v>
      </c>
      <c r="T604" s="1" t="str">
        <f t="shared" si="4"/>
        <v>OK</v>
      </c>
    </row>
    <row r="605" ht="15.75" customHeight="1">
      <c r="A605" s="1" t="s">
        <v>1734</v>
      </c>
      <c r="B605" s="1">
        <v>1.1318364E7</v>
      </c>
      <c r="C605" s="1" t="s">
        <v>21</v>
      </c>
      <c r="D605" s="1" t="s">
        <v>22</v>
      </c>
      <c r="E605" s="1" t="s">
        <v>785</v>
      </c>
      <c r="F605" s="1" t="s">
        <v>1735</v>
      </c>
      <c r="G605" s="1" t="s">
        <v>25</v>
      </c>
      <c r="H605" s="1">
        <v>12.0</v>
      </c>
      <c r="I605" s="1">
        <v>0.0</v>
      </c>
      <c r="J605" s="1">
        <v>0.0</v>
      </c>
      <c r="K605" s="1">
        <v>12.0</v>
      </c>
      <c r="L605" s="1">
        <v>0.31</v>
      </c>
      <c r="M605" s="1">
        <v>3.72</v>
      </c>
      <c r="N605" s="1" t="s">
        <v>21</v>
      </c>
      <c r="O605" s="1">
        <v>0.0</v>
      </c>
      <c r="P605" s="1" t="s">
        <v>1736</v>
      </c>
      <c r="Q605" s="1" t="str">
        <f t="shared" si="1"/>
        <v>x</v>
      </c>
      <c r="R605" s="1" t="str">
        <f t="shared" si="2"/>
        <v>x</v>
      </c>
      <c r="S605" s="1" t="str">
        <f t="shared" si="3"/>
        <v>x</v>
      </c>
      <c r="T605" s="1" t="str">
        <f t="shared" si="4"/>
        <v>OK</v>
      </c>
    </row>
    <row r="606" ht="15.75" customHeight="1">
      <c r="A606" s="1" t="s">
        <v>1737</v>
      </c>
      <c r="B606" s="1">
        <v>1.0001861E7</v>
      </c>
      <c r="C606" s="1" t="s">
        <v>21</v>
      </c>
      <c r="D606" s="1" t="s">
        <v>22</v>
      </c>
      <c r="E606" s="1" t="s">
        <v>1051</v>
      </c>
      <c r="F606" s="1" t="s">
        <v>1696</v>
      </c>
      <c r="G606" s="1" t="s">
        <v>25</v>
      </c>
      <c r="H606" s="1">
        <v>6.0</v>
      </c>
      <c r="I606" s="1">
        <v>0.0</v>
      </c>
      <c r="J606" s="1">
        <v>6.0</v>
      </c>
      <c r="K606" s="1">
        <v>12.0</v>
      </c>
      <c r="L606" s="1">
        <v>0.27</v>
      </c>
      <c r="M606" s="1">
        <v>3.24</v>
      </c>
      <c r="N606" s="1" t="s">
        <v>21</v>
      </c>
      <c r="O606" s="1">
        <v>0.0</v>
      </c>
      <c r="P606" s="1" t="s">
        <v>1738</v>
      </c>
      <c r="Q606" s="1" t="str">
        <f t="shared" si="1"/>
        <v>x</v>
      </c>
      <c r="R606" s="1" t="str">
        <f t="shared" si="2"/>
        <v>x</v>
      </c>
      <c r="S606" s="1" t="str">
        <f t="shared" si="3"/>
        <v>x</v>
      </c>
      <c r="T606" s="1" t="str">
        <f t="shared" si="4"/>
        <v>OK</v>
      </c>
    </row>
    <row r="607" ht="15.75" customHeight="1">
      <c r="A607" s="1" t="s">
        <v>1739</v>
      </c>
      <c r="B607" s="1">
        <v>1.0000571E7</v>
      </c>
      <c r="C607" s="1" t="s">
        <v>21</v>
      </c>
      <c r="D607" s="1" t="s">
        <v>22</v>
      </c>
      <c r="E607" s="1" t="s">
        <v>785</v>
      </c>
      <c r="F607" s="1" t="s">
        <v>1740</v>
      </c>
      <c r="G607" s="1" t="s">
        <v>25</v>
      </c>
      <c r="H607" s="1">
        <v>8.0</v>
      </c>
      <c r="I607" s="1">
        <v>0.0</v>
      </c>
      <c r="J607" s="1">
        <v>0.0</v>
      </c>
      <c r="K607" s="1">
        <v>8.0</v>
      </c>
      <c r="L607" s="1">
        <v>0.31</v>
      </c>
      <c r="M607" s="1">
        <v>2.48</v>
      </c>
      <c r="N607" s="1" t="s">
        <v>21</v>
      </c>
      <c r="O607" s="1">
        <v>0.0</v>
      </c>
      <c r="P607" s="1" t="s">
        <v>1741</v>
      </c>
      <c r="Q607" s="1" t="str">
        <f t="shared" si="1"/>
        <v>x</v>
      </c>
      <c r="R607" s="1" t="str">
        <f t="shared" si="2"/>
        <v>x</v>
      </c>
      <c r="S607" s="1" t="str">
        <f t="shared" si="3"/>
        <v>x</v>
      </c>
      <c r="T607" s="1" t="str">
        <f t="shared" si="4"/>
        <v>OK</v>
      </c>
    </row>
    <row r="608" ht="15.75" customHeight="1">
      <c r="A608" s="1" t="s">
        <v>1742</v>
      </c>
      <c r="B608" s="1">
        <v>1.0001177E7</v>
      </c>
      <c r="C608" s="1" t="s">
        <v>21</v>
      </c>
      <c r="D608" s="1" t="s">
        <v>22</v>
      </c>
      <c r="E608" s="1" t="s">
        <v>1051</v>
      </c>
      <c r="F608" s="1" t="s">
        <v>1743</v>
      </c>
      <c r="G608" s="1" t="s">
        <v>25</v>
      </c>
      <c r="H608" s="1">
        <v>18.0</v>
      </c>
      <c r="I608" s="1">
        <v>0.0</v>
      </c>
      <c r="J608" s="1">
        <v>0.0</v>
      </c>
      <c r="K608" s="1">
        <v>18.0</v>
      </c>
      <c r="L608" s="1">
        <v>0.11</v>
      </c>
      <c r="M608" s="1">
        <v>1.98</v>
      </c>
      <c r="N608" s="1" t="s">
        <v>21</v>
      </c>
      <c r="O608" s="1">
        <v>0.0</v>
      </c>
      <c r="P608" s="1" t="s">
        <v>1744</v>
      </c>
      <c r="Q608" s="1" t="str">
        <f t="shared" si="1"/>
        <v>x</v>
      </c>
      <c r="R608" s="1" t="str">
        <f t="shared" si="2"/>
        <v>x</v>
      </c>
      <c r="S608" s="1" t="str">
        <f t="shared" si="3"/>
        <v>x</v>
      </c>
      <c r="T608" s="1" t="str">
        <f t="shared" si="4"/>
        <v>OK</v>
      </c>
    </row>
    <row r="609" ht="15.75" customHeight="1">
      <c r="A609" s="1" t="s">
        <v>1745</v>
      </c>
      <c r="B609" s="1">
        <v>1.0871603E7</v>
      </c>
      <c r="C609" s="1" t="s">
        <v>21</v>
      </c>
      <c r="D609" s="1" t="s">
        <v>22</v>
      </c>
      <c r="E609" s="1" t="s">
        <v>1051</v>
      </c>
      <c r="F609" s="1" t="s">
        <v>1647</v>
      </c>
      <c r="G609" s="1" t="s">
        <v>25</v>
      </c>
      <c r="H609" s="1">
        <v>4.0</v>
      </c>
      <c r="I609" s="1">
        <v>0.0</v>
      </c>
      <c r="J609" s="1">
        <v>4.0</v>
      </c>
      <c r="K609" s="1">
        <v>8.0</v>
      </c>
      <c r="L609" s="1">
        <v>0.23</v>
      </c>
      <c r="M609" s="1">
        <v>1.84</v>
      </c>
      <c r="N609" s="1" t="s">
        <v>21</v>
      </c>
      <c r="O609" s="1">
        <v>0.0</v>
      </c>
      <c r="P609" s="1" t="s">
        <v>1746</v>
      </c>
      <c r="Q609" s="1" t="str">
        <f t="shared" si="1"/>
        <v>x</v>
      </c>
      <c r="R609" s="1" t="str">
        <f t="shared" si="2"/>
        <v>x</v>
      </c>
      <c r="S609" s="1" t="str">
        <f t="shared" si="3"/>
        <v>x</v>
      </c>
      <c r="T609" s="1" t="str">
        <f t="shared" si="4"/>
        <v>OK</v>
      </c>
    </row>
    <row r="610" ht="15.75" customHeight="1">
      <c r="A610" s="1" t="s">
        <v>1747</v>
      </c>
      <c r="B610" s="1">
        <v>1.0001175E7</v>
      </c>
      <c r="C610" s="1" t="s">
        <v>21</v>
      </c>
      <c r="D610" s="1" t="s">
        <v>22</v>
      </c>
      <c r="E610" s="1" t="s">
        <v>1051</v>
      </c>
      <c r="F610" s="1" t="s">
        <v>1748</v>
      </c>
      <c r="G610" s="1" t="s">
        <v>25</v>
      </c>
      <c r="H610" s="1">
        <v>18.0</v>
      </c>
      <c r="I610" s="1">
        <v>0.0</v>
      </c>
      <c r="J610" s="1">
        <v>0.0</v>
      </c>
      <c r="K610" s="1">
        <v>18.0</v>
      </c>
      <c r="L610" s="1">
        <v>0.08</v>
      </c>
      <c r="M610" s="1">
        <v>1.44</v>
      </c>
      <c r="N610" s="1" t="s">
        <v>21</v>
      </c>
      <c r="O610" s="1">
        <v>0.0</v>
      </c>
      <c r="P610" s="1" t="s">
        <v>1749</v>
      </c>
      <c r="Q610" s="1" t="str">
        <f t="shared" si="1"/>
        <v>x</v>
      </c>
      <c r="R610" s="1" t="str">
        <f t="shared" si="2"/>
        <v>x</v>
      </c>
      <c r="S610" s="1" t="str">
        <f t="shared" si="3"/>
        <v>x</v>
      </c>
      <c r="T610" s="1" t="str">
        <f t="shared" si="4"/>
        <v>OK</v>
      </c>
    </row>
    <row r="611" ht="15.75" customHeight="1">
      <c r="A611" s="1" t="s">
        <v>1750</v>
      </c>
      <c r="B611" s="1">
        <v>1.0000078E7</v>
      </c>
      <c r="C611" s="1" t="s">
        <v>21</v>
      </c>
      <c r="D611" s="1" t="s">
        <v>22</v>
      </c>
      <c r="E611" s="1" t="s">
        <v>1051</v>
      </c>
      <c r="F611" s="1" t="s">
        <v>1495</v>
      </c>
      <c r="G611" s="1" t="s">
        <v>25</v>
      </c>
      <c r="H611" s="1">
        <v>6.0</v>
      </c>
      <c r="I611" s="1">
        <v>0.0</v>
      </c>
      <c r="J611" s="1">
        <v>6.0</v>
      </c>
      <c r="K611" s="1">
        <v>12.0</v>
      </c>
      <c r="L611" s="1">
        <v>0.08</v>
      </c>
      <c r="M611" s="1">
        <v>0.96</v>
      </c>
      <c r="N611" s="1" t="s">
        <v>21</v>
      </c>
      <c r="O611" s="1">
        <v>0.0</v>
      </c>
      <c r="P611" s="1" t="s">
        <v>1751</v>
      </c>
      <c r="Q611" s="1" t="str">
        <f t="shared" si="1"/>
        <v>x</v>
      </c>
      <c r="R611" s="1" t="str">
        <f t="shared" si="2"/>
        <v>x</v>
      </c>
      <c r="S611" s="1" t="str">
        <f t="shared" si="3"/>
        <v>x</v>
      </c>
      <c r="T611" s="1" t="str">
        <f t="shared" si="4"/>
        <v>OK</v>
      </c>
    </row>
    <row r="612" ht="15.75" customHeight="1">
      <c r="A612" s="1" t="s">
        <v>1752</v>
      </c>
      <c r="B612" s="1">
        <v>1.1440603E7</v>
      </c>
      <c r="C612" s="1" t="s">
        <v>21</v>
      </c>
      <c r="D612" s="1" t="s">
        <v>22</v>
      </c>
      <c r="E612" s="1" t="s">
        <v>1051</v>
      </c>
      <c r="F612" s="1" t="s">
        <v>1753</v>
      </c>
      <c r="G612" s="1" t="s">
        <v>25</v>
      </c>
      <c r="H612" s="1">
        <v>6.0</v>
      </c>
      <c r="I612" s="1">
        <v>0.0</v>
      </c>
      <c r="J612" s="1">
        <v>0.0</v>
      </c>
      <c r="K612" s="1">
        <v>6.0</v>
      </c>
      <c r="L612" s="1">
        <v>0.11</v>
      </c>
      <c r="M612" s="1">
        <v>0.66</v>
      </c>
      <c r="N612" s="1" t="s">
        <v>21</v>
      </c>
      <c r="O612" s="1">
        <v>0.0</v>
      </c>
      <c r="P612" s="1" t="s">
        <v>1754</v>
      </c>
      <c r="Q612" s="1" t="str">
        <f t="shared" si="1"/>
        <v>x</v>
      </c>
      <c r="R612" s="1" t="str">
        <f t="shared" si="2"/>
        <v>x</v>
      </c>
      <c r="S612" s="1" t="str">
        <f t="shared" si="3"/>
        <v>x</v>
      </c>
      <c r="T612" s="1" t="str">
        <f t="shared" si="4"/>
        <v>OK</v>
      </c>
    </row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T$612">
    <sortState ref="A1:T612">
      <sortCondition descending="1" ref="M1:M612"/>
    </sortState>
  </autoFilter>
  <conditionalFormatting sqref="T2:T612">
    <cfRule type="cellIs" dxfId="0" priority="1" operator="equal">
      <formula>"NOK"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/>
    <pageSetUpPr fitToPage="1"/>
  </sheetPr>
  <sheetViews>
    <sheetView workbookViewId="0"/>
  </sheetViews>
  <sheetFormatPr customHeight="1" defaultColWidth="14.43" defaultRowHeight="15.0" outlineLevelRow="1"/>
  <cols>
    <col customWidth="1" min="1" max="1" width="6.71"/>
    <col customWidth="1" min="2" max="2" width="15.86"/>
    <col customWidth="1" min="3" max="3" width="52.57"/>
    <col customWidth="1" min="4" max="4" width="16.14"/>
    <col customWidth="1" min="5" max="5" width="17.0"/>
    <col customWidth="1" min="6" max="6" width="17.14"/>
    <col customWidth="1" min="7" max="7" width="16.43"/>
    <col customWidth="1" min="8" max="8" width="48.86"/>
    <col customWidth="1" min="9" max="9" width="50.86"/>
    <col customWidth="1" min="10" max="10" width="15.71"/>
    <col customWidth="1" min="11" max="11" width="17.29"/>
    <col customWidth="1" min="12" max="12" width="15.14"/>
    <col customWidth="1" min="13" max="13" width="17.14"/>
    <col customWidth="1" min="14" max="14" width="13.71"/>
    <col customWidth="1" min="15" max="16" width="9.0"/>
    <col customWidth="1" min="17" max="17" width="16.57"/>
    <col customWidth="1" min="18" max="18" width="66.57"/>
    <col customWidth="1" min="19" max="21" width="7.29"/>
    <col customWidth="1" min="22" max="22" width="13.71"/>
    <col customWidth="1" min="23" max="24" width="9.0"/>
    <col customWidth="1" min="25" max="25" width="17.57"/>
    <col customWidth="1" min="26" max="26" width="92.71"/>
    <col customWidth="1" min="27" max="27" width="5.0"/>
    <col customWidth="1" min="28" max="29" width="9.0"/>
    <col customWidth="1" min="30" max="30" width="12.57"/>
    <col customWidth="1" min="31" max="31" width="65.71"/>
    <col customWidth="1" min="32" max="32" width="9.29"/>
    <col customWidth="1" min="33" max="33" width="11.43"/>
  </cols>
  <sheetData>
    <row r="1">
      <c r="A1" s="2"/>
      <c r="B1" s="3" t="s">
        <v>1755</v>
      </c>
      <c r="C1" s="4"/>
      <c r="D1" s="5" t="s">
        <v>1756</v>
      </c>
      <c r="E1" s="6">
        <v>1.0</v>
      </c>
      <c r="F1" s="5" t="s">
        <v>1757</v>
      </c>
      <c r="G1" s="6">
        <v>6.96</v>
      </c>
      <c r="H1" s="7"/>
      <c r="I1" s="8"/>
      <c r="J1" s="4"/>
      <c r="L1" s="4"/>
      <c r="M1" s="4"/>
      <c r="N1" s="4"/>
      <c r="O1" s="4"/>
      <c r="P1" s="4"/>
      <c r="Q1" s="2"/>
      <c r="R1" s="4"/>
      <c r="S1" s="4"/>
      <c r="T1" s="4"/>
      <c r="U1" s="4"/>
      <c r="V1" s="4"/>
      <c r="W1" s="4"/>
      <c r="X1" s="4"/>
      <c r="Y1" s="9"/>
      <c r="Z1" s="4"/>
      <c r="AA1" s="4"/>
      <c r="AB1" s="4"/>
      <c r="AC1" s="4"/>
      <c r="AD1" s="9"/>
      <c r="AE1" s="4"/>
      <c r="AF1" s="4"/>
      <c r="AG1" s="4"/>
    </row>
    <row r="2">
      <c r="A2" s="10"/>
      <c r="B2" s="11" t="s">
        <v>1758</v>
      </c>
      <c r="C2" s="11" t="s">
        <v>1759</v>
      </c>
      <c r="D2" s="11">
        <v>2024.0</v>
      </c>
      <c r="E2" s="11">
        <f t="shared" ref="E2:F2" si="1">D2+1</f>
        <v>2025</v>
      </c>
      <c r="F2" s="11">
        <f t="shared" si="1"/>
        <v>2026</v>
      </c>
      <c r="G2" s="5" t="s">
        <v>1760</v>
      </c>
      <c r="H2" s="12" t="s">
        <v>1761</v>
      </c>
      <c r="I2" s="12" t="s">
        <v>1762</v>
      </c>
      <c r="J2" s="13"/>
      <c r="K2" s="14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</row>
    <row r="3">
      <c r="A3" s="15" t="s">
        <v>1763</v>
      </c>
      <c r="B3" s="3" t="s">
        <v>17</v>
      </c>
      <c r="C3" s="16" t="s">
        <v>1764</v>
      </c>
      <c r="D3" s="17">
        <f>'Recurrentes 24-26'!BK150 * Multiplicador</f>
        <v>5525563.558</v>
      </c>
      <c r="E3" s="17">
        <f>'Recurrentes 24-26'!BV150 * Multiplicador</f>
        <v>10060960.42</v>
      </c>
      <c r="F3" s="17">
        <f>'Recurrentes 24-26'!CG150 * Multiplicador</f>
        <v>10112763.42</v>
      </c>
      <c r="G3" s="18">
        <f t="shared" ref="G3:G8" si="2">SUM(D3:F3)</f>
        <v>25699287.4</v>
      </c>
      <c r="H3" s="7"/>
      <c r="I3" s="8"/>
      <c r="J3" s="2"/>
      <c r="K3" s="4"/>
      <c r="L3" s="4"/>
      <c r="M3" s="4"/>
      <c r="N3" s="4"/>
      <c r="O3" s="4"/>
      <c r="P3" s="4"/>
      <c r="Q3" s="2"/>
      <c r="R3" s="2"/>
      <c r="S3" s="4"/>
      <c r="T3" s="4"/>
      <c r="U3" s="4"/>
      <c r="V3" s="4"/>
      <c r="W3" s="4"/>
      <c r="X3" s="4"/>
      <c r="Y3" s="2"/>
      <c r="Z3" s="2"/>
      <c r="AA3" s="4"/>
      <c r="AB3" s="4"/>
      <c r="AC3" s="4"/>
      <c r="AD3" s="2"/>
      <c r="AE3" s="2"/>
      <c r="AF3" s="4"/>
      <c r="AG3" s="4"/>
    </row>
    <row r="4">
      <c r="A4" s="19"/>
      <c r="B4" s="20" t="s">
        <v>1765</v>
      </c>
      <c r="C4" s="21" t="s">
        <v>1766</v>
      </c>
      <c r="D4" s="22">
        <f>'No Recurrentes 24-26'!CW382 * Multiplicador</f>
        <v>3005807.266</v>
      </c>
      <c r="E4" s="22">
        <f>'No Recurrentes 24-26'!DH382 * Multiplicador</f>
        <v>5669676.83</v>
      </c>
      <c r="F4" s="22">
        <f>'No Recurrentes 24-26'!DS382 * Multiplicador</f>
        <v>2398247.986</v>
      </c>
      <c r="G4" s="18">
        <f t="shared" si="2"/>
        <v>11073732.08</v>
      </c>
      <c r="H4" s="7"/>
      <c r="I4" s="23"/>
      <c r="J4" s="4"/>
      <c r="K4" s="4"/>
      <c r="L4" s="4"/>
      <c r="M4" s="4"/>
      <c r="N4" s="4"/>
      <c r="O4" s="4"/>
      <c r="P4" s="4"/>
      <c r="Q4" s="24"/>
      <c r="R4" s="4"/>
      <c r="S4" s="4"/>
      <c r="T4" s="4"/>
      <c r="U4" s="4"/>
      <c r="V4" s="4"/>
      <c r="W4" s="4"/>
      <c r="X4" s="4"/>
      <c r="Y4" s="24"/>
      <c r="Z4" s="24"/>
      <c r="AA4" s="4"/>
      <c r="AB4" s="4"/>
      <c r="AC4" s="4"/>
      <c r="AD4" s="24"/>
      <c r="AE4" s="24"/>
      <c r="AF4" s="4"/>
      <c r="AG4" s="4"/>
    </row>
    <row r="5">
      <c r="A5" s="24"/>
      <c r="B5" s="24"/>
      <c r="C5" s="25" t="s">
        <v>1767</v>
      </c>
      <c r="D5" s="17">
        <f>'Rep Ovh Bal'!AY114 * Multiplicador</f>
        <v>7113959.098</v>
      </c>
      <c r="E5" s="17">
        <f>'Rep Ovh Bal'!AZ114 * Multiplicador</f>
        <v>5687854.958</v>
      </c>
      <c r="F5" s="17">
        <f>'Rep Ovh Bal'!BA114 * Multiplicador</f>
        <v>6646005.029</v>
      </c>
      <c r="G5" s="18">
        <f t="shared" si="2"/>
        <v>19447819.08</v>
      </c>
      <c r="H5" s="7"/>
      <c r="I5" s="23"/>
      <c r="J5" s="24"/>
      <c r="K5" s="4"/>
      <c r="L5" s="4"/>
      <c r="M5" s="4"/>
      <c r="N5" s="4"/>
      <c r="O5" s="4"/>
      <c r="P5" s="4"/>
      <c r="Q5" s="24"/>
      <c r="R5" s="24"/>
      <c r="S5" s="4"/>
      <c r="T5" s="4"/>
      <c r="U5" s="4"/>
      <c r="V5" s="4"/>
      <c r="W5" s="4"/>
      <c r="X5" s="4"/>
      <c r="Y5" s="24"/>
      <c r="Z5" s="24"/>
      <c r="AA5" s="4"/>
      <c r="AB5" s="4"/>
      <c r="AC5" s="4"/>
      <c r="AD5" s="4"/>
      <c r="AE5" s="4"/>
      <c r="AF5" s="4"/>
      <c r="AG5" s="4"/>
    </row>
    <row r="6">
      <c r="A6" s="24"/>
      <c r="B6" s="24"/>
      <c r="C6" s="25" t="s">
        <v>1768</v>
      </c>
      <c r="D6" s="26"/>
      <c r="E6" s="26"/>
      <c r="F6" s="17">
        <f>SUM('Pinzas Plateada'!S33:S34)*Multiplicador</f>
        <v>3512859.9</v>
      </c>
      <c r="G6" s="18">
        <f t="shared" si="2"/>
        <v>3512859.9</v>
      </c>
      <c r="H6" s="7"/>
      <c r="I6" s="7"/>
      <c r="J6" s="24"/>
      <c r="K6" s="4"/>
      <c r="L6" s="4"/>
      <c r="M6" s="4"/>
      <c r="N6" s="4"/>
      <c r="O6" s="4"/>
      <c r="P6" s="4"/>
      <c r="Q6" s="24"/>
      <c r="R6" s="24"/>
      <c r="S6" s="4"/>
      <c r="T6" s="4"/>
      <c r="U6" s="4"/>
      <c r="V6" s="4"/>
      <c r="W6" s="4"/>
      <c r="X6" s="4"/>
      <c r="Y6" s="24"/>
      <c r="Z6" s="24"/>
      <c r="AA6" s="4"/>
      <c r="AB6" s="4"/>
      <c r="AC6" s="4"/>
      <c r="AD6" s="4"/>
      <c r="AE6" s="4"/>
      <c r="AF6" s="4"/>
      <c r="AG6" s="4"/>
    </row>
    <row r="7">
      <c r="A7" s="27"/>
      <c r="B7" s="27" t="s">
        <v>79</v>
      </c>
      <c r="C7" s="28" t="s">
        <v>1769</v>
      </c>
      <c r="D7" s="17">
        <f>IFERROR(__xludf.DUMMYFUNCTION("IMPORTRANGE(""https://docs.google.com/spreadsheets/d/1PNX_owPqRGx3Mf6LScnR3fM35xhTCEvrrAu4bz3C13g"",""RESUMEN!C34"")*Multiplicador"),238455.2376)</f>
        <v>238455.2376</v>
      </c>
      <c r="E7" s="17">
        <f>IFERROR(__xludf.DUMMYFUNCTION("IMPORTRANGE(""https://docs.google.com/spreadsheets/d/1PNX_owPqRGx3Mf6LScnR3fM35xhTCEvrrAu4bz3C13g"",""RESUMEN!D34"")*Multiplicador"),544033.2719999999)</f>
        <v>544033.272</v>
      </c>
      <c r="F7" s="17">
        <f>IFERROR(__xludf.DUMMYFUNCTION("IMPORTRANGE(""https://docs.google.com/spreadsheets/d/1PNX_owPqRGx3Mf6LScnR3fM35xhTCEvrrAu4bz3C13g"",""RESUMEN!E34"")*Multiplicador"),566054.5728)</f>
        <v>566054.5728</v>
      </c>
      <c r="G7" s="18">
        <f t="shared" si="2"/>
        <v>1348543.082</v>
      </c>
      <c r="H7" s="7"/>
      <c r="I7" s="29" t="s">
        <v>1770</v>
      </c>
      <c r="J7" s="30" t="str">
        <f>IFERROR(__xludf.DUMMYFUNCTION("IMPORTRANGE(""https://docs.google.com/spreadsheets/d/1PNX_owPqRGx3Mf6LScnR3fM35xhTCEvrrAu4bz3C13g/edit#gid=1547332198"",""RESUMEN!F27"")"),"")</f>
        <v/>
      </c>
      <c r="K7" s="4"/>
      <c r="L7" s="4"/>
      <c r="M7" s="4"/>
      <c r="N7" s="4"/>
      <c r="O7" s="4"/>
      <c r="P7" s="4"/>
      <c r="Q7" s="24"/>
      <c r="R7" s="24"/>
      <c r="S7" s="4"/>
      <c r="T7" s="4"/>
      <c r="U7" s="4"/>
      <c r="V7" s="4"/>
      <c r="W7" s="4"/>
      <c r="X7" s="4"/>
      <c r="Y7" s="24"/>
      <c r="Z7" s="24"/>
      <c r="AA7" s="4"/>
      <c r="AB7" s="4"/>
      <c r="AC7" s="4"/>
      <c r="AD7" s="4"/>
      <c r="AE7" s="4"/>
      <c r="AF7" s="4"/>
      <c r="AG7" s="4"/>
    </row>
    <row r="8">
      <c r="A8" s="31"/>
      <c r="B8" s="32" t="s">
        <v>1771</v>
      </c>
      <c r="C8" s="28" t="s">
        <v>1772</v>
      </c>
      <c r="D8" s="33">
        <f>IFERROR(__xludf.DUMMYFUNCTION("IMPORTRANGE(""https://docs.google.com/spreadsheets/d/1SXWzkdT8kVSDoW1Ld9kXeavFM_VNKL3PXECM3OCbjuY"",""RESUMEN!E5"")"),6988341.816)</f>
        <v>6988341.816</v>
      </c>
      <c r="E8" s="33">
        <f>IFERROR(__xludf.DUMMYFUNCTION("IMPORTRANGE(""https://docs.google.com/spreadsheets/d/1SXWzkdT8kVSDoW1Ld9kXeavFM_VNKL3PXECM3OCbjuY"",""RESUMEN!F5"")"),4801811.184)</f>
        <v>4801811.184</v>
      </c>
      <c r="F8" s="33">
        <f>IFERROR(__xludf.DUMMYFUNCTION("IMPORTRANGE(""https://docs.google.com/spreadsheets/d/1SXWzkdT8kVSDoW1Ld9kXeavFM_VNKL3PXECM3OCbjuY"",""RESUMEN!G5"")"),5719777.764)</f>
        <v>5719777.764</v>
      </c>
      <c r="G8" s="34">
        <f t="shared" si="2"/>
        <v>17509930.76</v>
      </c>
      <c r="H8" s="35"/>
      <c r="I8" s="36" t="s">
        <v>1773</v>
      </c>
      <c r="J8" s="37"/>
      <c r="K8" s="4"/>
      <c r="L8" s="4"/>
      <c r="M8" s="4"/>
      <c r="N8" s="4"/>
      <c r="O8" s="4"/>
      <c r="P8" s="4"/>
      <c r="Q8" s="24"/>
      <c r="R8" s="24"/>
      <c r="S8" s="4"/>
      <c r="T8" s="4"/>
      <c r="U8" s="4"/>
      <c r="V8" s="4"/>
      <c r="W8" s="4"/>
      <c r="X8" s="4"/>
      <c r="Y8" s="24"/>
      <c r="Z8" s="24"/>
      <c r="AA8" s="4"/>
      <c r="AB8" s="4"/>
      <c r="AC8" s="4"/>
      <c r="AD8" s="4"/>
      <c r="AE8" s="4"/>
      <c r="AF8" s="4"/>
      <c r="AG8" s="4"/>
    </row>
    <row r="9">
      <c r="A9" s="38" t="s">
        <v>1774</v>
      </c>
      <c r="B9" s="24"/>
      <c r="C9" s="39" t="s">
        <v>1775</v>
      </c>
      <c r="D9" s="40">
        <f>'Recurrentes 24-26'!BK151</f>
        <v>0</v>
      </c>
      <c r="E9" s="40">
        <f>'Recurrentes 24-26'!BV151</f>
        <v>606432.2382</v>
      </c>
      <c r="F9" s="40">
        <f>'Recurrentes 24-26'!CG151</f>
        <v>606432.2382</v>
      </c>
      <c r="G9" s="41">
        <f>'Recurrentes 24-26'!CH151 * Multiplicador</f>
        <v>1212864.476</v>
      </c>
      <c r="H9" s="7"/>
      <c r="I9" s="23"/>
      <c r="J9" s="4"/>
      <c r="K9" s="4"/>
      <c r="L9" s="4"/>
      <c r="M9" s="4"/>
      <c r="N9" s="4"/>
      <c r="O9" s="4"/>
      <c r="P9" s="4"/>
      <c r="Q9" s="24"/>
      <c r="R9" s="4"/>
      <c r="S9" s="4"/>
      <c r="T9" s="4"/>
      <c r="U9" s="4"/>
      <c r="V9" s="4"/>
      <c r="W9" s="4"/>
      <c r="X9" s="4"/>
      <c r="Y9" s="24"/>
      <c r="Z9" s="24"/>
      <c r="AA9" s="4"/>
      <c r="AB9" s="4"/>
      <c r="AC9" s="4"/>
      <c r="AD9" s="24"/>
      <c r="AE9" s="24"/>
      <c r="AF9" s="4"/>
      <c r="AG9" s="4"/>
    </row>
    <row r="10">
      <c r="A10" s="24"/>
      <c r="B10" s="24"/>
      <c r="C10" s="14" t="s">
        <v>1776</v>
      </c>
      <c r="D10" s="42">
        <v>892538.01</v>
      </c>
      <c r="E10" s="40">
        <f>'No Recurrentes 24-26'!DH383</f>
        <v>1975711.755</v>
      </c>
      <c r="F10" s="40">
        <f>'No Recurrentes 24-26'!DS383</f>
        <v>686907.587</v>
      </c>
      <c r="G10" s="41">
        <f>'No Recurrentes 24-26'!DT383 * Multiplicador</f>
        <v>3337657.352</v>
      </c>
      <c r="H10" s="43"/>
      <c r="I10" s="23"/>
      <c r="J10" s="4"/>
      <c r="K10" s="4"/>
      <c r="L10" s="4"/>
      <c r="M10" s="4"/>
      <c r="N10" s="4"/>
      <c r="O10" s="4"/>
      <c r="P10" s="4"/>
      <c r="Q10" s="4"/>
      <c r="R10" s="24"/>
      <c r="S10" s="4"/>
      <c r="T10" s="4"/>
      <c r="U10" s="4"/>
      <c r="V10" s="4"/>
      <c r="W10" s="4"/>
      <c r="X10" s="4"/>
      <c r="Y10" s="24"/>
      <c r="Z10" s="24"/>
      <c r="AA10" s="4"/>
      <c r="AB10" s="4"/>
      <c r="AC10" s="4"/>
      <c r="AD10" s="4"/>
      <c r="AE10" s="4"/>
      <c r="AF10" s="4"/>
      <c r="AG10" s="4"/>
    </row>
    <row r="11">
      <c r="A11" s="24"/>
      <c r="B11" s="24"/>
      <c r="C11" s="32" t="s">
        <v>1777</v>
      </c>
      <c r="D11" s="40">
        <v>320000.0</v>
      </c>
      <c r="E11" s="40">
        <v>320000.0</v>
      </c>
      <c r="F11" s="40">
        <v>320000.0</v>
      </c>
      <c r="G11" s="41">
        <f t="shared" ref="G11:G12" si="3">SUM(D11:F11)</f>
        <v>960000</v>
      </c>
      <c r="H11" s="7"/>
      <c r="I11" s="44" t="s">
        <v>1778</v>
      </c>
      <c r="J11" s="45"/>
      <c r="K11" s="46"/>
      <c r="L11" s="4"/>
      <c r="M11" s="4"/>
      <c r="N11" s="4"/>
      <c r="O11" s="4"/>
      <c r="P11" s="4"/>
      <c r="Q11" s="24"/>
      <c r="R11" s="24"/>
      <c r="S11" s="4"/>
      <c r="T11" s="4"/>
      <c r="U11" s="4"/>
      <c r="V11" s="4"/>
      <c r="W11" s="4"/>
      <c r="X11" s="4"/>
      <c r="Y11" s="24"/>
      <c r="Z11" s="24"/>
      <c r="AA11" s="4"/>
      <c r="AB11" s="4"/>
      <c r="AC11" s="4"/>
      <c r="AD11" s="4"/>
      <c r="AE11" s="4"/>
      <c r="AF11" s="4"/>
      <c r="AG11" s="4"/>
    </row>
    <row r="12">
      <c r="A12" s="24"/>
      <c r="B12" s="24"/>
      <c r="C12" s="47" t="s">
        <v>1779</v>
      </c>
      <c r="D12" s="48">
        <f>IFERROR(__xludf.DUMMYFUNCTION("IMPORTRANGE(""https://docs.google.com/spreadsheets/d/1HG3KquQtp1atN0mYlqRK9pPvt4nLNwgA1p02VOUY9HE/edit#gid=0"",""Sheet1!x6"")"),217500.0)</f>
        <v>217500</v>
      </c>
      <c r="E12" s="48">
        <f>IFERROR(__xludf.DUMMYFUNCTION("IMPORTRANGE(""https://docs.google.com/spreadsheets/d/1HG3KquQtp1atN0mYlqRK9pPvt4nLNwgA1p02VOUY9HE/edit#gid=0"",""Sheet1!y6"")"),193000.0)</f>
        <v>193000</v>
      </c>
      <c r="F12" s="48">
        <f>IFERROR(__xludf.DUMMYFUNCTION("IMPORTRANGE(""https://docs.google.com/spreadsheets/d/1HG3KquQtp1atN0mYlqRK9pPvt4nLNwgA1p02VOUY9HE/edit#gid=0"",""Sheet1!z6"")"),50000.0)</f>
        <v>50000</v>
      </c>
      <c r="G12" s="34">
        <f t="shared" si="3"/>
        <v>460500</v>
      </c>
      <c r="H12" s="43"/>
      <c r="I12" s="49"/>
      <c r="J12" s="30"/>
      <c r="K12" s="4"/>
      <c r="L12" s="4"/>
      <c r="M12" s="4"/>
      <c r="N12" s="4"/>
      <c r="O12" s="4"/>
      <c r="P12" s="4"/>
      <c r="Q12" s="24"/>
      <c r="R12" s="24"/>
      <c r="S12" s="4"/>
      <c r="T12" s="4"/>
      <c r="U12" s="4"/>
      <c r="V12" s="4"/>
      <c r="W12" s="4"/>
      <c r="X12" s="4"/>
      <c r="Y12" s="24"/>
      <c r="Z12" s="24"/>
      <c r="AA12" s="4"/>
      <c r="AB12" s="4"/>
      <c r="AC12" s="4"/>
      <c r="AD12" s="4"/>
      <c r="AE12" s="4"/>
      <c r="AF12" s="4"/>
      <c r="AG12" s="4"/>
    </row>
    <row r="13">
      <c r="A13" s="24"/>
      <c r="B13" s="24"/>
      <c r="C13" s="50"/>
      <c r="D13" s="48"/>
      <c r="E13" s="48"/>
      <c r="F13" s="48"/>
      <c r="G13" s="34"/>
      <c r="H13" s="43"/>
      <c r="I13" s="49"/>
      <c r="J13" s="30"/>
      <c r="K13" s="4"/>
      <c r="L13" s="4"/>
      <c r="M13" s="4"/>
      <c r="N13" s="4"/>
      <c r="O13" s="4"/>
      <c r="P13" s="4"/>
      <c r="Q13" s="24"/>
      <c r="R13" s="24"/>
      <c r="S13" s="4"/>
      <c r="T13" s="4"/>
      <c r="U13" s="4"/>
      <c r="V13" s="4"/>
      <c r="W13" s="4"/>
      <c r="X13" s="4"/>
      <c r="Y13" s="24"/>
      <c r="Z13" s="24"/>
      <c r="AA13" s="4"/>
      <c r="AB13" s="4"/>
      <c r="AC13" s="4"/>
      <c r="AD13" s="4"/>
      <c r="AE13" s="4"/>
      <c r="AF13" s="4"/>
      <c r="AG13" s="4"/>
    </row>
    <row r="14">
      <c r="A14" s="24"/>
      <c r="B14" s="24"/>
      <c r="C14" s="50"/>
      <c r="D14" s="48">
        <f>IFERROR(__xludf.DUMMYFUNCTION("IMPORTRANGE(I14,""Resumen!u8"")"),59314.08)</f>
        <v>59314.08</v>
      </c>
      <c r="E14" s="48">
        <v>103558.99</v>
      </c>
      <c r="F14" s="48">
        <v>103558.99</v>
      </c>
      <c r="G14" s="34"/>
      <c r="H14" s="43"/>
      <c r="I14" s="29" t="s">
        <v>1780</v>
      </c>
      <c r="J14" s="30"/>
      <c r="K14" s="4"/>
      <c r="L14" s="4"/>
      <c r="M14" s="4"/>
      <c r="N14" s="4"/>
      <c r="O14" s="4"/>
      <c r="P14" s="4"/>
      <c r="Q14" s="24"/>
      <c r="R14" s="24"/>
      <c r="S14" s="4"/>
      <c r="T14" s="4"/>
      <c r="U14" s="4"/>
      <c r="V14" s="4"/>
      <c r="W14" s="4"/>
      <c r="X14" s="4"/>
      <c r="Y14" s="24"/>
      <c r="Z14" s="24"/>
      <c r="AA14" s="4"/>
      <c r="AB14" s="4"/>
      <c r="AC14" s="4"/>
      <c r="AD14" s="4"/>
      <c r="AE14" s="4"/>
      <c r="AF14" s="4"/>
      <c r="AG14" s="4"/>
    </row>
    <row r="15">
      <c r="A15" s="24"/>
      <c r="B15" s="24"/>
      <c r="C15" s="28" t="s">
        <v>1781</v>
      </c>
      <c r="D15" s="48">
        <f>IFERROR(__xludf.DUMMYFUNCTION("IMPORTRANGE(""https://docs.google.com/spreadsheets/d/1PNX_owPqRGx3Mf6LScnR3fM35xhTCEvrrAu4bz3C13g"",""RESUMEN!C33"")"),1263258.99675)</f>
        <v>1263258.997</v>
      </c>
      <c r="E15" s="48">
        <f>IFERROR(__xludf.DUMMYFUNCTION("IMPORTRANGE(""https://docs.google.com/spreadsheets/d/1PNX_owPqRGx3Mf6LScnR3fM35xhTCEvrrAu4bz3C13g"",""RESUMEN!D33"")"),1418235.51875)</f>
        <v>1418235.519</v>
      </c>
      <c r="F15" s="48">
        <f>IFERROR(__xludf.DUMMYFUNCTION("IMPORTRANGE(""https://docs.google.com/spreadsheets/d/1PNX_owPqRGx3Mf6LScnR3fM35xhTCEvrrAu4bz3C13g"",""RESUMEN!E33"")"),1442267.17265)</f>
        <v>1442267.173</v>
      </c>
      <c r="G15" s="34">
        <f t="shared" ref="G15:G16" si="4">SUM(D15:F15)</f>
        <v>4123761.688</v>
      </c>
      <c r="H15" s="35"/>
      <c r="I15" s="49"/>
      <c r="J15" s="24"/>
      <c r="K15" s="4"/>
      <c r="L15" s="4"/>
      <c r="M15" s="4"/>
      <c r="N15" s="4"/>
      <c r="O15" s="4"/>
      <c r="P15" s="4"/>
      <c r="Q15" s="24"/>
      <c r="R15" s="24"/>
      <c r="S15" s="4"/>
      <c r="T15" s="4"/>
      <c r="U15" s="4"/>
      <c r="V15" s="4"/>
      <c r="W15" s="4"/>
      <c r="X15" s="4"/>
      <c r="Y15" s="24"/>
      <c r="Z15" s="24"/>
      <c r="AA15" s="4"/>
      <c r="AB15" s="4"/>
      <c r="AC15" s="4"/>
      <c r="AD15" s="4"/>
      <c r="AE15" s="4"/>
      <c r="AF15" s="4"/>
      <c r="AG15" s="4"/>
    </row>
    <row r="16">
      <c r="A16" s="38"/>
      <c r="B16" s="38" t="s">
        <v>1782</v>
      </c>
      <c r="C16" s="28" t="s">
        <v>1783</v>
      </c>
      <c r="D16" s="48">
        <f>IFERROR(__xludf.DUMMYFUNCTION("IMPORTRANGE(I16,""RESUMEN!E32"")"),3585619.96)</f>
        <v>3585619.96</v>
      </c>
      <c r="E16" s="48">
        <f>IFERROR(__xludf.DUMMYFUNCTION("IMPORTRANGE(I16,""RESUMEN!F32"")"),6914496.65)</f>
        <v>6914496.65</v>
      </c>
      <c r="F16" s="48">
        <f>IFERROR(__xludf.DUMMYFUNCTION("IMPORTRANGE(I16,""RESUMEN!g32"")"),1.0179137015408E7)</f>
        <v>10179137.02</v>
      </c>
      <c r="G16" s="34">
        <f t="shared" si="4"/>
        <v>20679253.63</v>
      </c>
      <c r="H16" s="35"/>
      <c r="I16" s="36" t="s">
        <v>1784</v>
      </c>
      <c r="J16" s="24"/>
      <c r="K16" s="4"/>
      <c r="L16" s="4"/>
      <c r="M16" s="4"/>
      <c r="N16" s="4"/>
      <c r="O16" s="4"/>
      <c r="P16" s="4"/>
      <c r="Q16" s="24"/>
      <c r="R16" s="24"/>
      <c r="S16" s="4"/>
      <c r="T16" s="4"/>
      <c r="U16" s="4"/>
      <c r="V16" s="4"/>
      <c r="W16" s="4"/>
      <c r="X16" s="4"/>
      <c r="Y16" s="24"/>
      <c r="Z16" s="24"/>
      <c r="AA16" s="4"/>
      <c r="AB16" s="4"/>
      <c r="AC16" s="4"/>
      <c r="AD16" s="4"/>
      <c r="AE16" s="4"/>
      <c r="AF16" s="4"/>
      <c r="AG16" s="4"/>
    </row>
    <row r="17" ht="4.5" customHeight="1">
      <c r="A17" s="24"/>
      <c r="B17" s="24"/>
      <c r="C17" s="51"/>
      <c r="D17" s="52"/>
      <c r="E17" s="52"/>
      <c r="F17" s="52"/>
      <c r="G17" s="53"/>
      <c r="H17" s="7"/>
      <c r="I17" s="23"/>
      <c r="J17" s="24"/>
      <c r="K17" s="4"/>
      <c r="L17" s="4"/>
      <c r="M17" s="4"/>
      <c r="N17" s="4"/>
      <c r="O17" s="4"/>
      <c r="P17" s="4"/>
      <c r="Q17" s="24"/>
      <c r="R17" s="24"/>
      <c r="S17" s="4"/>
      <c r="T17" s="4"/>
      <c r="U17" s="4"/>
      <c r="V17" s="4"/>
      <c r="W17" s="4"/>
      <c r="X17" s="4"/>
      <c r="Y17" s="24"/>
      <c r="Z17" s="24"/>
      <c r="AA17" s="4"/>
      <c r="AB17" s="4"/>
      <c r="AC17" s="4"/>
      <c r="AD17" s="4"/>
      <c r="AE17" s="4"/>
      <c r="AF17" s="4"/>
      <c r="AG17" s="4"/>
    </row>
    <row r="18">
      <c r="A18" s="24"/>
      <c r="B18" s="24"/>
      <c r="C18" s="54" t="s">
        <v>1785</v>
      </c>
      <c r="D18" s="55">
        <f t="shared" ref="D18:G18" si="5">SUM(D3:D16)</f>
        <v>29210358.02</v>
      </c>
      <c r="E18" s="55">
        <f t="shared" si="5"/>
        <v>38295771.82</v>
      </c>
      <c r="F18" s="55">
        <f t="shared" si="5"/>
        <v>42344011.67</v>
      </c>
      <c r="G18" s="56">
        <f t="shared" si="5"/>
        <v>109366209.5</v>
      </c>
      <c r="H18" s="57"/>
      <c r="I18" s="7"/>
      <c r="J18" s="24"/>
      <c r="K18" s="4"/>
      <c r="L18" s="4"/>
      <c r="M18" s="4"/>
      <c r="N18" s="4"/>
      <c r="O18" s="4"/>
      <c r="P18" s="4"/>
      <c r="Q18" s="24"/>
      <c r="R18" s="24"/>
      <c r="S18" s="4"/>
      <c r="T18" s="4"/>
      <c r="U18" s="4"/>
      <c r="V18" s="4"/>
      <c r="W18" s="4"/>
      <c r="X18" s="4"/>
      <c r="Y18" s="24"/>
      <c r="Z18" s="24"/>
      <c r="AA18" s="4"/>
      <c r="AB18" s="4"/>
      <c r="AC18" s="4"/>
      <c r="AD18" s="4"/>
      <c r="AE18" s="4"/>
      <c r="AF18" s="4"/>
      <c r="AG18" s="4"/>
    </row>
    <row r="19">
      <c r="A19" s="24"/>
      <c r="B19" s="24"/>
      <c r="C19" s="4"/>
      <c r="D19" s="4"/>
      <c r="E19" s="4"/>
      <c r="F19" s="4"/>
      <c r="G19" s="4"/>
      <c r="H19" s="7"/>
      <c r="I19" s="23"/>
      <c r="J19" s="24"/>
      <c r="K19" s="4"/>
      <c r="L19" s="4"/>
      <c r="M19" s="4"/>
      <c r="N19" s="4"/>
      <c r="O19" s="4"/>
      <c r="P19" s="4"/>
      <c r="Q19" s="24"/>
      <c r="R19" s="24"/>
      <c r="S19" s="4"/>
      <c r="T19" s="4"/>
      <c r="U19" s="4"/>
      <c r="V19" s="4"/>
      <c r="W19" s="4"/>
      <c r="X19" s="4"/>
      <c r="Y19" s="24"/>
      <c r="Z19" s="24"/>
      <c r="AA19" s="4"/>
      <c r="AB19" s="4"/>
      <c r="AC19" s="4"/>
      <c r="AD19" s="4"/>
      <c r="AE19" s="4"/>
      <c r="AF19" s="4"/>
      <c r="AG19" s="4"/>
    </row>
    <row r="20">
      <c r="A20" s="24"/>
      <c r="B20" s="24"/>
      <c r="C20" s="38"/>
      <c r="D20" s="40"/>
      <c r="E20" s="40"/>
      <c r="F20" s="40"/>
      <c r="G20" s="4"/>
      <c r="H20" s="7"/>
      <c r="I20" s="23"/>
      <c r="J20" s="24"/>
      <c r="K20" s="4"/>
      <c r="L20" s="4"/>
      <c r="M20" s="4"/>
      <c r="N20" s="4"/>
      <c r="O20" s="4"/>
      <c r="P20" s="4"/>
      <c r="Q20" s="24"/>
      <c r="R20" s="24"/>
      <c r="S20" s="4"/>
      <c r="T20" s="4"/>
      <c r="U20" s="4"/>
      <c r="V20" s="4"/>
      <c r="W20" s="4"/>
      <c r="X20" s="4"/>
      <c r="Y20" s="24"/>
      <c r="Z20" s="24"/>
      <c r="AA20" s="4"/>
      <c r="AB20" s="4"/>
      <c r="AC20" s="4"/>
      <c r="AD20" s="4"/>
      <c r="AE20" s="4"/>
      <c r="AF20" s="4"/>
      <c r="AG20" s="4"/>
    </row>
    <row r="21" ht="4.5" customHeight="1">
      <c r="A21" s="24"/>
      <c r="B21" s="24"/>
      <c r="C21" s="51"/>
      <c r="D21" s="52"/>
      <c r="E21" s="52"/>
      <c r="F21" s="52"/>
      <c r="G21" s="52"/>
      <c r="H21" s="7"/>
      <c r="I21" s="23"/>
      <c r="J21" s="24"/>
      <c r="K21" s="4"/>
      <c r="L21" s="4"/>
      <c r="M21" s="4"/>
      <c r="N21" s="4"/>
      <c r="O21" s="4"/>
      <c r="P21" s="4"/>
      <c r="Q21" s="24"/>
      <c r="R21" s="24"/>
      <c r="S21" s="4"/>
      <c r="T21" s="4"/>
      <c r="U21" s="4"/>
      <c r="V21" s="4"/>
      <c r="W21" s="4"/>
      <c r="X21" s="4"/>
      <c r="Y21" s="24"/>
      <c r="Z21" s="24"/>
      <c r="AA21" s="4"/>
      <c r="AB21" s="4"/>
      <c r="AC21" s="4"/>
      <c r="AD21" s="4"/>
      <c r="AE21" s="4"/>
      <c r="AF21" s="4"/>
      <c r="AG21" s="4"/>
    </row>
    <row r="22" ht="15.75" customHeight="1">
      <c r="A22" s="24"/>
      <c r="B22" s="24"/>
      <c r="C22" s="14" t="s">
        <v>1786</v>
      </c>
      <c r="D22" s="17">
        <f t="shared" ref="D22:F22" si="6">SUM(D3:D7)</f>
        <v>15883785.16</v>
      </c>
      <c r="E22" s="17">
        <f t="shared" si="6"/>
        <v>21962525.48</v>
      </c>
      <c r="F22" s="17">
        <f t="shared" si="6"/>
        <v>23235930.91</v>
      </c>
      <c r="G22" s="17">
        <f t="shared" ref="G22:G23" si="8">SUM(D22:F22)</f>
        <v>61082241.54</v>
      </c>
      <c r="H22" s="7"/>
      <c r="I22" s="23"/>
      <c r="J22" s="24"/>
      <c r="K22" s="4"/>
      <c r="L22" s="4"/>
      <c r="M22" s="4"/>
      <c r="N22" s="4"/>
      <c r="O22" s="4"/>
      <c r="P22" s="4"/>
      <c r="Q22" s="24"/>
      <c r="R22" s="24"/>
      <c r="S22" s="4"/>
      <c r="T22" s="4"/>
      <c r="U22" s="4"/>
      <c r="V22" s="4"/>
      <c r="W22" s="4"/>
      <c r="X22" s="4"/>
      <c r="Y22" s="24"/>
      <c r="Z22" s="24"/>
      <c r="AA22" s="4"/>
      <c r="AB22" s="4"/>
      <c r="AC22" s="4"/>
      <c r="AD22" s="4"/>
      <c r="AE22" s="4"/>
      <c r="AF22" s="4"/>
      <c r="AG22" s="4"/>
    </row>
    <row r="23" ht="15.75" customHeight="1" collapsed="1">
      <c r="A23" s="24"/>
      <c r="B23" s="24"/>
      <c r="C23" s="38" t="s">
        <v>1787</v>
      </c>
      <c r="D23" s="17">
        <f t="shared" ref="D23:F23" si="7">D8</f>
        <v>6988341.816</v>
      </c>
      <c r="E23" s="17">
        <f t="shared" si="7"/>
        <v>4801811.184</v>
      </c>
      <c r="F23" s="17">
        <f t="shared" si="7"/>
        <v>5719777.764</v>
      </c>
      <c r="G23" s="17">
        <f t="shared" si="8"/>
        <v>17509930.76</v>
      </c>
      <c r="H23" s="7"/>
      <c r="I23" s="23"/>
      <c r="J23" s="24"/>
      <c r="K23" s="4"/>
      <c r="L23" s="4"/>
      <c r="M23" s="4"/>
      <c r="N23" s="4"/>
      <c r="O23" s="4"/>
      <c r="P23" s="4"/>
      <c r="Q23" s="24"/>
      <c r="R23" s="24"/>
      <c r="S23" s="4"/>
      <c r="T23" s="4"/>
      <c r="U23" s="4"/>
      <c r="V23" s="4"/>
      <c r="W23" s="4"/>
      <c r="X23" s="4"/>
      <c r="Y23" s="24"/>
      <c r="Z23" s="24"/>
      <c r="AA23" s="4"/>
      <c r="AB23" s="4"/>
      <c r="AC23" s="4"/>
      <c r="AD23" s="4"/>
      <c r="AE23" s="4"/>
      <c r="AF23" s="4"/>
      <c r="AG23" s="4"/>
    </row>
    <row r="24" ht="15.75" hidden="1" customHeight="1" outlineLevel="1">
      <c r="A24" s="24"/>
      <c r="B24" s="24"/>
      <c r="C24" s="38" t="s">
        <v>1788</v>
      </c>
      <c r="D24" s="58" t="str">
        <f>#REF!/D18</f>
        <v>#REF!</v>
      </c>
      <c r="E24" s="4"/>
      <c r="F24" s="4"/>
      <c r="G24" s="17" t="str">
        <f>G9+G10+#REF!+G15</f>
        <v>#REF!</v>
      </c>
      <c r="H24" s="7"/>
      <c r="I24" s="23"/>
      <c r="J24" s="24"/>
      <c r="K24" s="4"/>
      <c r="L24" s="4"/>
      <c r="M24" s="4"/>
      <c r="N24" s="4"/>
      <c r="O24" s="4"/>
      <c r="P24" s="4"/>
      <c r="Q24" s="24"/>
      <c r="R24" s="24"/>
      <c r="S24" s="4"/>
      <c r="T24" s="4"/>
      <c r="U24" s="4"/>
      <c r="V24" s="4"/>
      <c r="W24" s="4"/>
      <c r="X24" s="4"/>
      <c r="Y24" s="24"/>
      <c r="Z24" s="24"/>
      <c r="AA24" s="4"/>
      <c r="AB24" s="4"/>
      <c r="AC24" s="4"/>
      <c r="AD24" s="4"/>
      <c r="AE24" s="4"/>
      <c r="AF24" s="4"/>
      <c r="AG24" s="4"/>
    </row>
    <row r="25" ht="15.75" hidden="1" customHeight="1" outlineLevel="1">
      <c r="A25" s="4"/>
      <c r="B25" s="4"/>
      <c r="C25" s="54" t="s">
        <v>1789</v>
      </c>
      <c r="D25" s="4"/>
      <c r="E25" s="4"/>
      <c r="F25" s="4"/>
      <c r="G25" s="17">
        <f>G4+G5+G6+G8</f>
        <v>51544341.83</v>
      </c>
      <c r="H25" s="7"/>
      <c r="I25" s="23"/>
      <c r="J25" s="24"/>
      <c r="K25" s="4"/>
      <c r="L25" s="4"/>
      <c r="M25" s="4"/>
      <c r="N25" s="4"/>
      <c r="O25" s="4"/>
      <c r="P25" s="4"/>
      <c r="Q25" s="24"/>
      <c r="R25" s="24"/>
      <c r="S25" s="4"/>
      <c r="T25" s="4"/>
      <c r="U25" s="4"/>
      <c r="V25" s="4"/>
      <c r="W25" s="4"/>
      <c r="X25" s="4"/>
      <c r="Y25" s="24"/>
      <c r="Z25" s="24"/>
      <c r="AA25" s="4"/>
      <c r="AB25" s="4"/>
      <c r="AC25" s="4"/>
      <c r="AD25" s="4"/>
      <c r="AE25" s="4"/>
      <c r="AF25" s="4"/>
      <c r="AG25" s="4"/>
    </row>
    <row r="26" ht="15.75" hidden="1" customHeight="1" outlineLevel="1">
      <c r="A26" s="24"/>
      <c r="B26" s="24"/>
      <c r="C26" s="59" t="s">
        <v>1790</v>
      </c>
      <c r="D26" s="26">
        <v>4.3436538843399994E7</v>
      </c>
      <c r="E26" s="26">
        <v>3.3005019119199995E7</v>
      </c>
      <c r="F26" s="26">
        <v>4.30463774244E7</v>
      </c>
      <c r="G26" s="17" t="str">
        <f>G10+#REF!+G11+G16</f>
        <v>#REF!</v>
      </c>
      <c r="H26" s="7"/>
      <c r="I26" s="23"/>
      <c r="J26" s="4"/>
      <c r="K26" s="4"/>
      <c r="L26" s="4"/>
      <c r="M26" s="4"/>
      <c r="N26" s="4"/>
      <c r="O26" s="4"/>
      <c r="P26" s="4"/>
      <c r="Q26" s="24"/>
      <c r="R26" s="24"/>
      <c r="S26" s="4"/>
      <c r="T26" s="4"/>
      <c r="U26" s="4"/>
      <c r="V26" s="4"/>
      <c r="W26" s="4"/>
      <c r="X26" s="4"/>
      <c r="Y26" s="24"/>
      <c r="Z26" s="24"/>
      <c r="AA26" s="4"/>
      <c r="AB26" s="4"/>
      <c r="AC26" s="4"/>
      <c r="AD26" s="4"/>
      <c r="AE26" s="4"/>
      <c r="AF26" s="4"/>
      <c r="AG26" s="4"/>
    </row>
    <row r="27" ht="15.75" hidden="1" customHeight="1" outlineLevel="1">
      <c r="A27" s="24"/>
      <c r="B27" s="24"/>
      <c r="C27" s="59" t="s">
        <v>1791</v>
      </c>
      <c r="D27" s="26">
        <v>3.970536468522999E7</v>
      </c>
      <c r="E27" s="26">
        <v>2.9733064808319997E7</v>
      </c>
      <c r="F27" s="26">
        <v>3.894399358824E7</v>
      </c>
      <c r="G27" s="17">
        <f>G5+G6+G12+G17</f>
        <v>23421178.98</v>
      </c>
      <c r="H27" s="7"/>
      <c r="I27" s="23"/>
      <c r="J27" s="24"/>
      <c r="K27" s="4"/>
      <c r="L27" s="4"/>
      <c r="M27" s="4"/>
      <c r="N27" s="4"/>
      <c r="O27" s="4"/>
      <c r="P27" s="4"/>
      <c r="Q27" s="24"/>
      <c r="R27" s="24"/>
      <c r="S27" s="4"/>
      <c r="T27" s="4"/>
      <c r="U27" s="4"/>
      <c r="V27" s="4"/>
      <c r="W27" s="4"/>
      <c r="X27" s="4"/>
      <c r="Y27" s="24"/>
      <c r="Z27" s="24"/>
      <c r="AA27" s="4"/>
      <c r="AB27" s="4"/>
      <c r="AC27" s="4"/>
      <c r="AD27" s="4"/>
      <c r="AE27" s="4"/>
      <c r="AF27" s="4"/>
      <c r="AG27" s="4"/>
    </row>
    <row r="28" ht="4.5" hidden="1" customHeight="1" outlineLevel="1">
      <c r="A28" s="24"/>
      <c r="B28" s="24"/>
      <c r="C28" s="51"/>
      <c r="D28" s="52"/>
      <c r="E28" s="52"/>
      <c r="F28" s="52"/>
      <c r="G28" s="17" t="str">
        <f>#REF!+G11+G14+G18</f>
        <v>#REF!</v>
      </c>
      <c r="H28" s="7"/>
      <c r="I28" s="23"/>
      <c r="J28" s="24"/>
      <c r="K28" s="4"/>
      <c r="L28" s="4"/>
      <c r="M28" s="4"/>
      <c r="N28" s="4"/>
      <c r="O28" s="4"/>
      <c r="P28" s="4"/>
      <c r="Q28" s="24"/>
      <c r="R28" s="24"/>
      <c r="S28" s="4"/>
      <c r="T28" s="4"/>
      <c r="U28" s="4"/>
      <c r="V28" s="4"/>
      <c r="W28" s="4"/>
      <c r="X28" s="4"/>
      <c r="Y28" s="24"/>
      <c r="Z28" s="24"/>
      <c r="AA28" s="4"/>
      <c r="AB28" s="4"/>
      <c r="AC28" s="4"/>
      <c r="AD28" s="4"/>
      <c r="AE28" s="4"/>
      <c r="AF28" s="4"/>
      <c r="AG28" s="4"/>
    </row>
    <row r="29" ht="15.75" hidden="1" customHeight="1" outlineLevel="1">
      <c r="A29" s="24"/>
      <c r="B29" s="24"/>
      <c r="C29" s="60" t="s">
        <v>1792</v>
      </c>
      <c r="D29" s="26">
        <f t="shared" ref="D29:F29" si="9">D26-D27</f>
        <v>3731174.158</v>
      </c>
      <c r="E29" s="26">
        <f t="shared" si="9"/>
        <v>3271954.311</v>
      </c>
      <c r="F29" s="26">
        <f t="shared" si="9"/>
        <v>4102383.836</v>
      </c>
      <c r="G29" s="17">
        <f>G6+G12+G7+G19</f>
        <v>5321902.982</v>
      </c>
      <c r="H29" s="7"/>
      <c r="I29" s="23"/>
      <c r="J29" s="24"/>
      <c r="K29" s="4"/>
      <c r="L29" s="4"/>
      <c r="M29" s="4"/>
      <c r="N29" s="4"/>
      <c r="O29" s="4"/>
      <c r="P29" s="4"/>
      <c r="Q29" s="24"/>
      <c r="R29" s="24"/>
      <c r="S29" s="4"/>
      <c r="T29" s="4"/>
      <c r="U29" s="4"/>
      <c r="V29" s="4"/>
      <c r="W29" s="4"/>
      <c r="X29" s="4"/>
      <c r="Y29" s="24"/>
      <c r="Z29" s="24"/>
      <c r="AA29" s="4"/>
      <c r="AB29" s="4"/>
      <c r="AC29" s="4"/>
      <c r="AD29" s="4"/>
      <c r="AE29" s="4"/>
      <c r="AF29" s="4"/>
      <c r="AG29" s="4"/>
    </row>
    <row r="30" ht="15.75" hidden="1" customHeight="1" outlineLevel="1">
      <c r="A30" s="24"/>
      <c r="B30" s="24"/>
      <c r="C30" s="24"/>
      <c r="D30" s="26">
        <f>D3+D4+D5+200000</f>
        <v>15845329.92</v>
      </c>
      <c r="E30" s="26">
        <f>D30/6.97</f>
        <v>2273361.538</v>
      </c>
      <c r="F30" s="4"/>
      <c r="G30" s="17">
        <f>G11+G14+G15+G20</f>
        <v>5083761.688</v>
      </c>
      <c r="H30" s="7"/>
      <c r="I30" s="23"/>
      <c r="J30" s="24"/>
      <c r="K30" s="4"/>
      <c r="L30" s="4"/>
      <c r="M30" s="4"/>
      <c r="N30" s="4"/>
      <c r="O30" s="4"/>
      <c r="P30" s="4"/>
      <c r="Q30" s="24"/>
      <c r="R30" s="24"/>
      <c r="S30" s="4"/>
      <c r="T30" s="4"/>
      <c r="U30" s="4"/>
      <c r="V30" s="4"/>
      <c r="W30" s="4"/>
      <c r="X30" s="4"/>
      <c r="Y30" s="24"/>
      <c r="Z30" s="24"/>
      <c r="AA30" s="4"/>
      <c r="AB30" s="4"/>
      <c r="AC30" s="4"/>
      <c r="AD30" s="4"/>
      <c r="AE30" s="4"/>
      <c r="AF30" s="4"/>
      <c r="AG30" s="4"/>
    </row>
    <row r="31" ht="15.75" hidden="1" customHeight="1" outlineLevel="1">
      <c r="A31" s="24"/>
      <c r="B31" s="24"/>
      <c r="C31" s="24"/>
      <c r="D31" s="4">
        <f>D30*0.05</f>
        <v>792266.496</v>
      </c>
      <c r="E31" s="4"/>
      <c r="F31" s="4"/>
      <c r="G31" s="17">
        <f>G12+G7+G8+G21</f>
        <v>19318973.85</v>
      </c>
      <c r="H31" s="7"/>
      <c r="I31" s="23"/>
      <c r="J31" s="4"/>
      <c r="K31" s="4"/>
      <c r="L31" s="4"/>
      <c r="M31" s="4"/>
      <c r="N31" s="4"/>
      <c r="O31" s="4"/>
      <c r="P31" s="4"/>
      <c r="Q31" s="24"/>
      <c r="R31" s="24"/>
      <c r="S31" s="4"/>
      <c r="T31" s="4"/>
      <c r="U31" s="4"/>
      <c r="V31" s="4"/>
      <c r="W31" s="4"/>
      <c r="X31" s="4"/>
      <c r="Y31" s="24"/>
      <c r="Z31" s="24"/>
      <c r="AA31" s="4"/>
      <c r="AB31" s="4"/>
      <c r="AC31" s="4"/>
      <c r="AD31" s="4"/>
      <c r="AE31" s="4"/>
      <c r="AF31" s="4"/>
      <c r="AG31" s="4"/>
    </row>
    <row r="32" ht="15.75" hidden="1" customHeight="1" outlineLevel="1">
      <c r="A32" s="24"/>
      <c r="B32" s="24"/>
      <c r="C32" s="24"/>
      <c r="D32" s="4"/>
      <c r="E32" s="4"/>
      <c r="F32" s="4"/>
      <c r="G32" s="17" t="str">
        <f>G14+G15+G16+#REF!</f>
        <v>#REF!</v>
      </c>
      <c r="H32" s="7"/>
      <c r="I32" s="23"/>
      <c r="J32" s="24"/>
      <c r="K32" s="4"/>
      <c r="L32" s="4"/>
      <c r="M32" s="4"/>
      <c r="N32" s="4"/>
      <c r="O32" s="4"/>
      <c r="P32" s="4"/>
      <c r="Q32" s="24"/>
      <c r="R32" s="24"/>
      <c r="S32" s="4"/>
      <c r="T32" s="4"/>
      <c r="U32" s="4"/>
      <c r="V32" s="4"/>
      <c r="W32" s="4"/>
      <c r="X32" s="4"/>
      <c r="Y32" s="24"/>
      <c r="Z32" s="24"/>
      <c r="AA32" s="4"/>
      <c r="AB32" s="4"/>
      <c r="AC32" s="4"/>
      <c r="AD32" s="4"/>
      <c r="AE32" s="4"/>
      <c r="AF32" s="4"/>
      <c r="AG32" s="4"/>
    </row>
    <row r="33" ht="15.75" hidden="1" customHeight="1" outlineLevel="1">
      <c r="A33" s="24"/>
      <c r="B33" s="24"/>
      <c r="C33" s="24"/>
      <c r="D33" s="14">
        <v>3.6</v>
      </c>
      <c r="E33" s="14">
        <v>6.97</v>
      </c>
      <c r="F33" s="4">
        <f>E33*D33</f>
        <v>25.092</v>
      </c>
      <c r="G33" s="17">
        <f>G7+G8+G17+G22</f>
        <v>79940715.39</v>
      </c>
      <c r="H33" s="7"/>
      <c r="I33" s="23"/>
      <c r="J33" s="24"/>
      <c r="K33" s="4"/>
      <c r="L33" s="4"/>
      <c r="M33" s="4"/>
      <c r="N33" s="4"/>
      <c r="O33" s="4"/>
      <c r="P33" s="4"/>
      <c r="Q33" s="24"/>
      <c r="R33" s="24"/>
      <c r="S33" s="4"/>
      <c r="T33" s="4"/>
      <c r="U33" s="4"/>
      <c r="V33" s="4"/>
      <c r="W33" s="4"/>
      <c r="X33" s="4"/>
      <c r="Y33" s="24"/>
      <c r="Z33" s="24"/>
      <c r="AA33" s="4"/>
      <c r="AB33" s="4"/>
      <c r="AC33" s="4"/>
      <c r="AD33" s="4"/>
      <c r="AE33" s="4"/>
      <c r="AF33" s="4"/>
      <c r="AG33" s="4"/>
    </row>
    <row r="34" ht="15.75" hidden="1" customHeight="1" outlineLevel="1">
      <c r="A34" s="24"/>
      <c r="B34" s="24"/>
      <c r="C34" s="4"/>
      <c r="D34" s="14">
        <v>3591954.0</v>
      </c>
      <c r="E34" s="14">
        <f>D34*0.05</f>
        <v>179597.7</v>
      </c>
      <c r="F34" s="4"/>
      <c r="G34" s="17" t="str">
        <f>G15+G16+G18+G24</f>
        <v>#REF!</v>
      </c>
      <c r="H34" s="7"/>
      <c r="I34" s="23"/>
      <c r="J34" s="24"/>
      <c r="K34" s="4"/>
      <c r="L34" s="4"/>
      <c r="M34" s="4"/>
      <c r="N34" s="4"/>
      <c r="O34" s="4"/>
      <c r="P34" s="4"/>
      <c r="Q34" s="24"/>
      <c r="R34" s="24"/>
      <c r="S34" s="4"/>
      <c r="T34" s="4"/>
      <c r="U34" s="4"/>
      <c r="V34" s="4"/>
      <c r="W34" s="4"/>
      <c r="X34" s="4"/>
      <c r="Y34" s="24"/>
      <c r="Z34" s="24"/>
      <c r="AA34" s="4"/>
      <c r="AB34" s="4"/>
      <c r="AC34" s="4"/>
      <c r="AD34" s="4"/>
      <c r="AE34" s="4"/>
      <c r="AF34" s="4"/>
      <c r="AG34" s="4"/>
    </row>
    <row r="35" ht="15.75" hidden="1" customHeight="1" outlineLevel="1">
      <c r="A35" s="24"/>
      <c r="B35" s="24"/>
      <c r="C35" s="24"/>
      <c r="D35" s="4">
        <f>350000*6.97</f>
        <v>2439500</v>
      </c>
      <c r="E35" s="4"/>
      <c r="F35" s="4"/>
      <c r="G35" s="17">
        <f>G8+G17+G19+G25</f>
        <v>69054272.59</v>
      </c>
      <c r="H35" s="7"/>
      <c r="I35" s="23"/>
      <c r="J35" s="24"/>
      <c r="K35" s="4"/>
      <c r="L35" s="4"/>
      <c r="M35" s="4"/>
      <c r="N35" s="4"/>
      <c r="O35" s="4"/>
      <c r="P35" s="4"/>
      <c r="Q35" s="24"/>
      <c r="R35" s="24"/>
      <c r="S35" s="4"/>
      <c r="T35" s="4"/>
      <c r="U35" s="4"/>
      <c r="V35" s="4"/>
      <c r="W35" s="4"/>
      <c r="X35" s="4"/>
      <c r="Y35" s="24"/>
      <c r="Z35" s="4"/>
      <c r="AA35" s="4"/>
      <c r="AB35" s="4"/>
      <c r="AC35" s="4"/>
      <c r="AD35" s="4"/>
      <c r="AE35" s="4"/>
      <c r="AF35" s="4"/>
      <c r="AG35" s="4"/>
    </row>
    <row r="36" ht="15.75" customHeight="1">
      <c r="A36" s="24"/>
      <c r="B36" s="24"/>
      <c r="H36" s="7"/>
      <c r="I36" s="23"/>
      <c r="J36" s="24"/>
      <c r="K36" s="4"/>
      <c r="L36" s="4"/>
      <c r="M36" s="4"/>
      <c r="N36" s="4"/>
      <c r="O36" s="4"/>
      <c r="P36" s="4"/>
      <c r="Q36" s="24"/>
      <c r="R36" s="2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24"/>
      <c r="B37" s="24"/>
      <c r="C37" s="4"/>
      <c r="D37" s="4"/>
      <c r="E37" s="17"/>
      <c r="F37" s="4"/>
      <c r="G37" s="26"/>
      <c r="H37" s="61"/>
      <c r="I37" s="23"/>
      <c r="J37" s="26"/>
      <c r="K37" s="4"/>
      <c r="L37" s="4"/>
      <c r="M37" s="4"/>
      <c r="N37" s="4"/>
      <c r="O37" s="4"/>
      <c r="P37" s="4"/>
      <c r="Q37" s="24"/>
      <c r="R37" s="2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ht="15.75" customHeight="1">
      <c r="A38" s="24"/>
      <c r="B38" s="24"/>
      <c r="C38" s="4"/>
      <c r="D38" s="4"/>
      <c r="E38" s="17" t="s">
        <v>1793</v>
      </c>
      <c r="F38" s="26">
        <f>G3+G4+G5+G6+G7</f>
        <v>61082241.54</v>
      </c>
      <c r="G38" s="26">
        <v>6.13083759816E7</v>
      </c>
      <c r="H38" s="61" t="s">
        <v>1794</v>
      </c>
      <c r="I38" s="62">
        <f>G3+G4+G5+G6</f>
        <v>59733698.46</v>
      </c>
      <c r="J38" s="26"/>
      <c r="K38" s="4"/>
      <c r="L38" s="4"/>
      <c r="M38" s="4"/>
      <c r="N38" s="4"/>
      <c r="O38" s="4"/>
      <c r="P38" s="4"/>
      <c r="Q38" s="24"/>
      <c r="R38" s="2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ht="15.75" customHeight="1">
      <c r="A39" s="24"/>
      <c r="B39" s="24"/>
      <c r="C39" s="24"/>
      <c r="D39" s="4"/>
      <c r="E39" s="17" t="s">
        <v>1795</v>
      </c>
      <c r="F39" s="26">
        <f>F38/G1</f>
        <v>8776184.13</v>
      </c>
      <c r="G39" s="26">
        <v>8808674.71</v>
      </c>
      <c r="H39" s="61" t="s">
        <v>1796</v>
      </c>
      <c r="I39" s="62">
        <f>G7</f>
        <v>1348543.082</v>
      </c>
      <c r="J39" s="26"/>
      <c r="K39" s="4"/>
      <c r="L39" s="4"/>
      <c r="M39" s="4"/>
      <c r="N39" s="4"/>
      <c r="O39" s="4"/>
      <c r="P39" s="4"/>
      <c r="Q39" s="24"/>
      <c r="R39" s="2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ht="15.75" customHeight="1">
      <c r="A40" s="24"/>
      <c r="B40" s="24"/>
      <c r="C40" s="4"/>
      <c r="D40" s="4"/>
      <c r="E40" s="63" t="s">
        <v>1797</v>
      </c>
      <c r="F40" s="4"/>
      <c r="G40" s="4"/>
      <c r="H40" s="7"/>
      <c r="I40" s="62">
        <f>SUM(I38:I39)</f>
        <v>61082241.54</v>
      </c>
      <c r="J40" s="64">
        <v>6.133879995E7</v>
      </c>
      <c r="K40" s="4"/>
      <c r="L40" s="4"/>
      <c r="M40" s="4"/>
      <c r="N40" s="4"/>
      <c r="O40" s="4"/>
      <c r="P40" s="4"/>
      <c r="Q40" s="24"/>
      <c r="R40" s="2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24"/>
      <c r="B41" s="24"/>
      <c r="C41" s="65" t="s">
        <v>1798</v>
      </c>
      <c r="D41" s="4"/>
      <c r="E41" s="63"/>
      <c r="F41" s="4"/>
      <c r="G41" s="4"/>
      <c r="H41" s="7"/>
      <c r="I41" s="23"/>
      <c r="J41" s="66">
        <f>J40-I40</f>
        <v>256558.4052</v>
      </c>
      <c r="K41" s="4"/>
      <c r="L41" s="4"/>
      <c r="M41" s="4"/>
      <c r="N41" s="4"/>
      <c r="O41" s="4"/>
      <c r="P41" s="4"/>
      <c r="Q41" s="24"/>
      <c r="R41" s="2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ht="15.75" customHeight="1">
      <c r="A42" s="24"/>
      <c r="B42" s="24"/>
      <c r="C42" s="24"/>
      <c r="D42" s="4"/>
      <c r="E42" s="4"/>
      <c r="F42" s="4"/>
      <c r="G42" s="4"/>
      <c r="H42" s="7"/>
      <c r="I42" s="23"/>
      <c r="J42" s="24"/>
      <c r="K42" s="4"/>
      <c r="L42" s="4"/>
      <c r="M42" s="4"/>
      <c r="N42" s="4"/>
      <c r="O42" s="4"/>
      <c r="P42" s="4"/>
      <c r="Q42" s="24"/>
      <c r="R42" s="2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ht="15.75" customHeight="1">
      <c r="A43" s="24"/>
      <c r="B43" s="24"/>
      <c r="C43" s="38" t="s">
        <v>1799</v>
      </c>
      <c r="D43" s="4"/>
      <c r="E43" s="4"/>
      <c r="F43" s="4"/>
      <c r="G43" s="4"/>
      <c r="H43" s="7"/>
      <c r="I43" s="23"/>
      <c r="J43" s="24"/>
      <c r="K43" s="4"/>
      <c r="L43" s="4"/>
      <c r="M43" s="4"/>
      <c r="N43" s="4"/>
      <c r="O43" s="4"/>
      <c r="P43" s="4"/>
      <c r="Q43" s="24"/>
      <c r="R43" s="2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ht="15.75" customHeight="1">
      <c r="A44" s="24"/>
      <c r="B44" s="24"/>
      <c r="G44" s="67" t="s">
        <v>1804</v>
      </c>
      <c r="H44" s="68" t="s">
        <v>1761</v>
      </c>
      <c r="I44" s="68" t="s">
        <v>1805</v>
      </c>
      <c r="J44" s="69"/>
      <c r="K44" s="23"/>
      <c r="L44" s="24"/>
      <c r="M44" s="4"/>
      <c r="N44" s="4"/>
      <c r="O44" s="4"/>
      <c r="P44" s="4"/>
      <c r="Q44" s="4"/>
      <c r="R44" s="4"/>
      <c r="S44" s="24"/>
      <c r="T44" s="2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24"/>
      <c r="B45" s="24"/>
      <c r="G45" s="14" t="b">
        <v>1</v>
      </c>
      <c r="H45" s="7"/>
      <c r="I45" s="7"/>
      <c r="J45" s="7"/>
      <c r="K45" s="23"/>
      <c r="L45" s="24"/>
      <c r="M45" s="4"/>
      <c r="N45" s="4"/>
      <c r="O45" s="4"/>
      <c r="P45" s="4"/>
      <c r="Q45" s="4"/>
      <c r="R45" s="4"/>
      <c r="S45" s="24"/>
      <c r="T45" s="2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ht="15.75" customHeight="1">
      <c r="A46" s="24"/>
      <c r="B46" s="24"/>
      <c r="G46" s="14" t="b">
        <v>1</v>
      </c>
      <c r="H46" s="7"/>
      <c r="I46" s="7"/>
      <c r="J46" s="7"/>
      <c r="K46" s="23"/>
      <c r="L46" s="24"/>
      <c r="M46" s="4"/>
      <c r="N46" s="4"/>
      <c r="O46" s="4"/>
      <c r="P46" s="4"/>
      <c r="Q46" s="4"/>
      <c r="R46" s="4"/>
      <c r="S46" s="24"/>
      <c r="T46" s="2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ht="15.75" customHeight="1">
      <c r="A47" s="24"/>
      <c r="B47" s="24"/>
      <c r="G47" s="14" t="b">
        <v>1</v>
      </c>
      <c r="H47" s="7"/>
      <c r="I47" s="7"/>
      <c r="J47" s="7"/>
      <c r="K47" s="23"/>
      <c r="L47" s="24"/>
      <c r="M47" s="4"/>
      <c r="N47" s="4"/>
      <c r="O47" s="4"/>
      <c r="P47" s="4"/>
      <c r="Q47" s="4"/>
      <c r="R47" s="4"/>
      <c r="S47" s="24"/>
      <c r="T47" s="2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ht="15.75" customHeight="1">
      <c r="A48" s="24"/>
      <c r="B48" s="24"/>
      <c r="G48" s="14" t="b">
        <v>1</v>
      </c>
      <c r="H48" s="7"/>
      <c r="I48" s="7"/>
      <c r="J48" s="7"/>
      <c r="K48" s="23"/>
      <c r="L48" s="24"/>
      <c r="M48" s="4"/>
      <c r="N48" s="4"/>
      <c r="O48" s="4"/>
      <c r="P48" s="4"/>
      <c r="Q48" s="4"/>
      <c r="R48" s="4"/>
      <c r="S48" s="24"/>
      <c r="T48" s="2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24"/>
      <c r="B49" s="24"/>
      <c r="G49" s="14" t="b">
        <v>1</v>
      </c>
      <c r="H49" s="43"/>
      <c r="I49" s="7"/>
      <c r="J49" s="7"/>
      <c r="K49" s="23"/>
      <c r="L49" s="24"/>
      <c r="M49" s="4"/>
      <c r="N49" s="4"/>
      <c r="O49" s="4"/>
      <c r="P49" s="4"/>
      <c r="Q49" s="4"/>
      <c r="R49" s="4"/>
      <c r="S49" s="24"/>
      <c r="T49" s="2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ht="15.75" customHeight="1">
      <c r="A50" s="24"/>
      <c r="B50" s="24"/>
      <c r="G50" s="14" t="b">
        <v>1</v>
      </c>
      <c r="H50" s="7"/>
      <c r="I50" s="7"/>
      <c r="J50" s="7"/>
      <c r="K50" s="23"/>
      <c r="L50" s="24"/>
      <c r="M50" s="4"/>
      <c r="N50" s="4"/>
      <c r="O50" s="4"/>
      <c r="P50" s="4"/>
      <c r="Q50" s="4"/>
      <c r="R50" s="4"/>
      <c r="S50" s="24"/>
      <c r="T50" s="2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ht="15.75" customHeight="1">
      <c r="A51" s="24"/>
      <c r="B51" s="24"/>
      <c r="G51" s="14" t="b">
        <v>1</v>
      </c>
      <c r="H51" s="7"/>
      <c r="I51" s="7"/>
      <c r="J51" s="7"/>
      <c r="K51" s="23"/>
      <c r="L51" s="24"/>
      <c r="M51" s="4"/>
      <c r="N51" s="4"/>
      <c r="O51" s="4"/>
      <c r="P51" s="4"/>
      <c r="Q51" s="4"/>
      <c r="R51" s="4"/>
      <c r="S51" s="24"/>
      <c r="T51" s="2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ht="15.75" customHeight="1">
      <c r="A52" s="24"/>
      <c r="B52" s="24"/>
      <c r="G52" s="14" t="b">
        <v>1</v>
      </c>
      <c r="H52" s="7"/>
      <c r="I52" s="43" t="s">
        <v>1808</v>
      </c>
      <c r="J52" s="7"/>
      <c r="K52" s="23"/>
      <c r="L52" s="24"/>
      <c r="M52" s="4"/>
      <c r="N52" s="4"/>
      <c r="O52" s="4"/>
      <c r="P52" s="4"/>
      <c r="Q52" s="4"/>
      <c r="R52" s="4"/>
      <c r="S52" s="24"/>
      <c r="T52" s="2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24"/>
      <c r="B53" s="24"/>
      <c r="G53" s="14" t="b">
        <v>1</v>
      </c>
      <c r="H53" s="7"/>
      <c r="I53" s="43" t="s">
        <v>1809</v>
      </c>
      <c r="J53" s="7"/>
      <c r="K53" s="23"/>
      <c r="L53" s="24"/>
      <c r="M53" s="4"/>
      <c r="N53" s="4"/>
      <c r="O53" s="4"/>
      <c r="P53" s="4"/>
      <c r="Q53" s="4"/>
      <c r="R53" s="4"/>
      <c r="S53" s="24"/>
      <c r="T53" s="2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ht="15.75" customHeight="1">
      <c r="A54" s="24"/>
      <c r="B54" s="24"/>
      <c r="G54" s="14" t="b">
        <v>1</v>
      </c>
      <c r="H54" s="7"/>
      <c r="I54" s="7"/>
      <c r="J54" s="7"/>
      <c r="K54" s="23"/>
      <c r="L54" s="24"/>
      <c r="M54" s="4"/>
      <c r="N54" s="4"/>
      <c r="O54" s="4"/>
      <c r="P54" s="4"/>
      <c r="Q54" s="4"/>
      <c r="R54" s="4"/>
      <c r="S54" s="24"/>
      <c r="T54" s="2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ht="15.75" customHeight="1">
      <c r="A55" s="24"/>
      <c r="B55" s="24"/>
      <c r="G55" s="14" t="b">
        <v>1</v>
      </c>
      <c r="H55" s="43" t="s">
        <v>1811</v>
      </c>
      <c r="I55" s="43" t="s">
        <v>1812</v>
      </c>
      <c r="J55" s="7"/>
      <c r="K55" s="23"/>
      <c r="L55" s="24"/>
      <c r="M55" s="4"/>
      <c r="N55" s="4"/>
      <c r="O55" s="4"/>
      <c r="P55" s="4"/>
      <c r="Q55" s="4"/>
      <c r="R55" s="4"/>
      <c r="S55" s="24"/>
      <c r="T55" s="2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ht="15.75" customHeight="1">
      <c r="A56" s="24"/>
      <c r="B56" s="24"/>
      <c r="G56" s="14" t="b">
        <v>1</v>
      </c>
      <c r="H56" s="43" t="s">
        <v>1813</v>
      </c>
      <c r="I56" s="7"/>
      <c r="J56" s="7"/>
      <c r="K56" s="23"/>
      <c r="L56" s="4"/>
      <c r="M56" s="4"/>
      <c r="N56" s="4"/>
      <c r="O56" s="4"/>
      <c r="P56" s="4"/>
      <c r="Q56" s="4"/>
      <c r="R56" s="4"/>
      <c r="S56" s="24"/>
      <c r="T56" s="2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24"/>
      <c r="B57" s="24"/>
      <c r="G57" s="14" t="b">
        <v>1</v>
      </c>
      <c r="H57" s="7"/>
      <c r="I57" s="7"/>
      <c r="J57" s="7"/>
      <c r="K57" s="23"/>
      <c r="L57" s="24"/>
      <c r="M57" s="4"/>
      <c r="N57" s="4"/>
      <c r="O57" s="4"/>
      <c r="P57" s="4"/>
      <c r="Q57" s="4"/>
      <c r="R57" s="4"/>
      <c r="S57" s="24"/>
      <c r="T57" s="2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ht="15.75" customHeight="1">
      <c r="A58" s="24"/>
      <c r="B58" s="24"/>
      <c r="G58" s="14" t="b">
        <v>1</v>
      </c>
      <c r="H58" s="7"/>
      <c r="I58" s="7"/>
      <c r="J58" s="7"/>
      <c r="K58" s="23"/>
      <c r="L58" s="24"/>
      <c r="M58" s="4"/>
      <c r="N58" s="4"/>
      <c r="O58" s="4"/>
      <c r="P58" s="4"/>
      <c r="Q58" s="4"/>
      <c r="R58" s="4"/>
      <c r="S58" s="24"/>
      <c r="T58" s="2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ht="15.75" customHeight="1">
      <c r="A59" s="24"/>
      <c r="B59" s="24"/>
      <c r="G59" s="14" t="b">
        <v>1</v>
      </c>
      <c r="H59" s="43" t="s">
        <v>1814</v>
      </c>
      <c r="I59" s="7"/>
      <c r="J59" s="7"/>
      <c r="K59" s="23"/>
      <c r="L59" s="24"/>
      <c r="M59" s="4"/>
      <c r="N59" s="4"/>
      <c r="O59" s="4"/>
      <c r="P59" s="4"/>
      <c r="Q59" s="4"/>
      <c r="R59" s="4"/>
      <c r="S59" s="24"/>
      <c r="T59" s="2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ht="15.75" customHeight="1">
      <c r="A60" s="24"/>
      <c r="B60" s="24"/>
      <c r="G60" s="14" t="b">
        <v>1</v>
      </c>
      <c r="H60" s="7"/>
      <c r="I60" s="7"/>
      <c r="J60" s="7"/>
      <c r="K60" s="23"/>
      <c r="L60" s="24"/>
      <c r="M60" s="4"/>
      <c r="N60" s="4"/>
      <c r="O60" s="4"/>
      <c r="P60" s="4"/>
      <c r="Q60" s="4"/>
      <c r="R60" s="4"/>
      <c r="S60" s="24"/>
      <c r="T60" s="2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24"/>
      <c r="B61" s="24"/>
      <c r="G61" s="14" t="b">
        <v>1</v>
      </c>
      <c r="H61" s="43"/>
      <c r="I61" s="7"/>
      <c r="J61" s="7"/>
      <c r="K61" s="23"/>
      <c r="L61" s="24"/>
      <c r="M61" s="4"/>
      <c r="N61" s="4"/>
      <c r="O61" s="4"/>
      <c r="P61" s="4"/>
      <c r="Q61" s="4"/>
      <c r="R61" s="4"/>
      <c r="S61" s="24"/>
      <c r="T61" s="2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ht="15.75" customHeight="1">
      <c r="A62" s="24"/>
      <c r="B62" s="24"/>
      <c r="G62" s="14" t="b">
        <v>1</v>
      </c>
      <c r="H62" s="7"/>
      <c r="I62" s="7"/>
      <c r="J62" s="7"/>
      <c r="K62" s="23"/>
      <c r="L62" s="24"/>
      <c r="M62" s="4"/>
      <c r="N62" s="4"/>
      <c r="O62" s="4"/>
      <c r="P62" s="4"/>
      <c r="Q62" s="4"/>
      <c r="R62" s="4"/>
      <c r="S62" s="24"/>
      <c r="T62" s="2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ht="15.75" customHeight="1">
      <c r="A63" s="24"/>
      <c r="B63" s="24"/>
      <c r="G63" s="14" t="b">
        <v>1</v>
      </c>
      <c r="H63" s="7"/>
      <c r="I63" s="7"/>
      <c r="J63" s="7"/>
      <c r="K63" s="23"/>
      <c r="L63" s="24"/>
      <c r="M63" s="4"/>
      <c r="N63" s="4"/>
      <c r="O63" s="4"/>
      <c r="P63" s="4"/>
      <c r="Q63" s="4"/>
      <c r="R63" s="4"/>
      <c r="S63" s="24"/>
      <c r="T63" s="2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ht="15.75" customHeight="1">
      <c r="A64" s="24"/>
      <c r="B64" s="24"/>
      <c r="G64" s="14" t="b">
        <v>1</v>
      </c>
      <c r="H64" s="7"/>
      <c r="I64" s="7"/>
      <c r="J64" s="7"/>
      <c r="K64" s="23"/>
      <c r="L64" s="24"/>
      <c r="M64" s="4"/>
      <c r="N64" s="4"/>
      <c r="O64" s="4"/>
      <c r="P64" s="4"/>
      <c r="Q64" s="4"/>
      <c r="R64" s="4"/>
      <c r="S64" s="24"/>
      <c r="T64" s="2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ht="15.75" customHeight="1">
      <c r="A65" s="24"/>
      <c r="B65" s="24"/>
      <c r="G65" s="14" t="b">
        <v>1</v>
      </c>
      <c r="H65" s="7"/>
      <c r="I65" s="7"/>
      <c r="J65" s="7"/>
      <c r="K65" s="23"/>
      <c r="L65" s="24"/>
      <c r="M65" s="4"/>
      <c r="N65" s="4"/>
      <c r="O65" s="4"/>
      <c r="P65" s="4"/>
      <c r="Q65" s="4"/>
      <c r="R65" s="4"/>
      <c r="S65" s="24"/>
      <c r="T65" s="2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ht="15.75" customHeight="1">
      <c r="A66" s="24"/>
      <c r="B66" s="24"/>
      <c r="G66" s="14" t="b">
        <v>1</v>
      </c>
      <c r="H66" s="7"/>
      <c r="I66" s="7"/>
      <c r="J66" s="7"/>
      <c r="K66" s="23"/>
      <c r="L66" s="24"/>
      <c r="M66" s="4"/>
      <c r="N66" s="4"/>
      <c r="O66" s="4"/>
      <c r="P66" s="4"/>
      <c r="Q66" s="4"/>
      <c r="R66" s="4"/>
      <c r="S66" s="24"/>
      <c r="T66" s="2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ht="15.75" customHeight="1">
      <c r="A67" s="24"/>
      <c r="B67" s="24"/>
      <c r="G67" s="14" t="b">
        <v>1</v>
      </c>
      <c r="H67" s="7"/>
      <c r="I67" s="7"/>
      <c r="J67" s="7"/>
      <c r="K67" s="23"/>
      <c r="L67" s="24"/>
      <c r="M67" s="4"/>
      <c r="N67" s="4"/>
      <c r="O67" s="4"/>
      <c r="P67" s="4"/>
      <c r="Q67" s="4"/>
      <c r="R67" s="4"/>
      <c r="S67" s="24"/>
      <c r="T67" s="2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ht="15.75" customHeight="1">
      <c r="A68" s="24"/>
      <c r="B68" s="24"/>
      <c r="G68" s="14" t="b">
        <v>1</v>
      </c>
      <c r="H68" s="7"/>
      <c r="I68" s="7"/>
      <c r="J68" s="7"/>
      <c r="K68" s="23"/>
      <c r="L68" s="24"/>
      <c r="M68" s="4"/>
      <c r="N68" s="4"/>
      <c r="O68" s="4"/>
      <c r="P68" s="4"/>
      <c r="Q68" s="4"/>
      <c r="R68" s="4"/>
      <c r="S68" s="24"/>
      <c r="T68" s="2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ht="15.75" customHeight="1">
      <c r="A69" s="24"/>
      <c r="B69" s="24"/>
      <c r="G69" s="14" t="b">
        <v>1</v>
      </c>
      <c r="H69" s="7"/>
      <c r="I69" s="7"/>
      <c r="J69" s="7"/>
      <c r="K69" s="23"/>
      <c r="L69" s="24"/>
      <c r="M69" s="4"/>
      <c r="N69" s="4"/>
      <c r="O69" s="4"/>
      <c r="P69" s="4"/>
      <c r="Q69" s="4"/>
      <c r="R69" s="4"/>
      <c r="S69" s="24"/>
      <c r="T69" s="2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ht="15.75" customHeight="1">
      <c r="A70" s="24"/>
      <c r="B70" s="24"/>
      <c r="G70" s="26">
        <f>SUM(D70:F70)</f>
        <v>14278810.2</v>
      </c>
      <c r="H70" s="7"/>
      <c r="I70" s="23"/>
      <c r="J70" s="4"/>
      <c r="K70" s="4"/>
      <c r="L70" s="4"/>
      <c r="M70" s="4"/>
      <c r="N70" s="4"/>
      <c r="O70" s="4"/>
      <c r="P70" s="4"/>
      <c r="Q70" s="24"/>
      <c r="R70" s="2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ht="15.75" customHeight="1">
      <c r="A71" s="24"/>
      <c r="B71" s="24"/>
      <c r="C71" s="24"/>
      <c r="D71" s="4"/>
      <c r="E71" s="4"/>
      <c r="F71" s="4"/>
      <c r="G71" s="4"/>
      <c r="H71" s="7"/>
      <c r="I71" s="23"/>
      <c r="J71" s="24"/>
      <c r="K71" s="4"/>
      <c r="L71" s="4"/>
      <c r="M71" s="4"/>
      <c r="N71" s="4"/>
      <c r="O71" s="4"/>
      <c r="P71" s="4"/>
      <c r="Q71" s="24"/>
      <c r="R71" s="2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ht="15.75" customHeight="1">
      <c r="A72" s="24"/>
      <c r="B72" s="24"/>
      <c r="C72" s="38" t="s">
        <v>1816</v>
      </c>
      <c r="D72" s="4"/>
      <c r="E72" s="4"/>
      <c r="F72" s="4"/>
      <c r="G72" s="4"/>
      <c r="H72" s="35"/>
      <c r="I72" s="7"/>
      <c r="J72" s="24"/>
      <c r="K72" s="4"/>
      <c r="L72" s="4"/>
      <c r="M72" s="4"/>
      <c r="N72" s="4"/>
      <c r="O72" s="4"/>
      <c r="P72" s="4"/>
      <c r="Q72" s="24"/>
      <c r="R72" s="2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ht="15.75" customHeight="1">
      <c r="A73" s="24"/>
      <c r="B73" s="24"/>
      <c r="C73" s="24" t="s">
        <v>1800</v>
      </c>
      <c r="D73" s="4" t="s">
        <v>1801</v>
      </c>
      <c r="E73" s="4" t="s">
        <v>1802</v>
      </c>
      <c r="F73" s="4" t="s">
        <v>1803</v>
      </c>
      <c r="G73" s="4"/>
      <c r="H73" s="35"/>
      <c r="I73" s="23"/>
      <c r="J73" s="4"/>
      <c r="K73" s="4"/>
      <c r="L73" s="4"/>
      <c r="M73" s="4"/>
      <c r="N73" s="4"/>
      <c r="O73" s="4"/>
      <c r="P73" s="4"/>
      <c r="Q73" s="24"/>
      <c r="R73" s="2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ht="15.75" customHeight="1">
      <c r="A74" s="24"/>
      <c r="B74" s="24"/>
      <c r="C74" s="24" t="s">
        <v>46</v>
      </c>
      <c r="D74" s="26">
        <v>20626.1688</v>
      </c>
      <c r="E74" s="26">
        <v>220193.1024</v>
      </c>
      <c r="F74" s="26">
        <v>229806.9504</v>
      </c>
      <c r="G74" s="4"/>
      <c r="H74" s="7"/>
      <c r="I74" s="23"/>
      <c r="J74" s="24"/>
      <c r="K74" s="4"/>
      <c r="L74" s="4"/>
      <c r="M74" s="4"/>
      <c r="N74" s="4"/>
      <c r="O74" s="4"/>
      <c r="P74" s="4"/>
      <c r="Q74" s="24"/>
      <c r="R74" s="2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ht="15.75" customHeight="1">
      <c r="A75" s="24"/>
      <c r="B75" s="24"/>
      <c r="C75" s="24" t="s">
        <v>61</v>
      </c>
      <c r="D75" s="26">
        <v>0.0</v>
      </c>
      <c r="E75" s="26">
        <v>161844.56879999998</v>
      </c>
      <c r="F75" s="26">
        <v>181870.5768</v>
      </c>
      <c r="G75" s="4"/>
      <c r="H75" s="35"/>
      <c r="I75" s="23"/>
      <c r="J75" s="24"/>
      <c r="K75" s="4"/>
      <c r="L75" s="4"/>
      <c r="M75" s="4"/>
      <c r="N75" s="4"/>
      <c r="O75" s="4"/>
      <c r="P75" s="4"/>
      <c r="Q75" s="24"/>
      <c r="R75" s="2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ht="15.75" customHeight="1">
      <c r="A76" s="24"/>
      <c r="B76" s="24"/>
      <c r="C76" s="24" t="s">
        <v>213</v>
      </c>
      <c r="D76" s="26">
        <v>274568.17199999996</v>
      </c>
      <c r="E76" s="26">
        <v>22705.608</v>
      </c>
      <c r="F76" s="26">
        <v>22705.608</v>
      </c>
      <c r="G76" s="4"/>
      <c r="H76" s="35"/>
      <c r="I76" s="23"/>
      <c r="J76" s="24"/>
      <c r="K76" s="4"/>
      <c r="L76" s="4"/>
      <c r="M76" s="4"/>
      <c r="N76" s="4"/>
      <c r="O76" s="4"/>
      <c r="P76" s="4"/>
      <c r="Q76" s="24"/>
      <c r="R76" s="2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ht="15.75" customHeight="1">
      <c r="A77" s="24"/>
      <c r="B77" s="24"/>
      <c r="C77" s="24" t="s">
        <v>362</v>
      </c>
      <c r="D77" s="26">
        <v>0.0</v>
      </c>
      <c r="E77" s="26">
        <v>0.0</v>
      </c>
      <c r="F77" s="26">
        <v>0.0</v>
      </c>
      <c r="G77" s="4"/>
      <c r="H77" s="35"/>
      <c r="I77" s="23"/>
      <c r="J77" s="24"/>
      <c r="K77" s="4"/>
      <c r="L77" s="4"/>
      <c r="M77" s="4"/>
      <c r="N77" s="4"/>
      <c r="O77" s="4"/>
      <c r="P77" s="4"/>
      <c r="Q77" s="24"/>
      <c r="R77" s="2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ht="15.75" customHeight="1">
      <c r="A78" s="24"/>
      <c r="B78" s="24"/>
      <c r="C78" s="4" t="s">
        <v>52</v>
      </c>
      <c r="D78" s="26">
        <v>232057.25759999998</v>
      </c>
      <c r="E78" s="26">
        <v>1362048.3270000003</v>
      </c>
      <c r="F78" s="26">
        <v>1366442.2446000003</v>
      </c>
      <c r="G78" s="4"/>
      <c r="H78" s="7"/>
      <c r="I78" s="23"/>
      <c r="J78" s="24"/>
      <c r="K78" s="4"/>
      <c r="L78" s="4"/>
      <c r="M78" s="4"/>
      <c r="N78" s="4"/>
      <c r="O78" s="4"/>
      <c r="P78" s="4"/>
      <c r="Q78" s="24"/>
      <c r="R78" s="2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ht="15.75" customHeight="1">
      <c r="A79" s="24"/>
      <c r="B79" s="24"/>
      <c r="C79" s="24" t="s">
        <v>590</v>
      </c>
      <c r="D79" s="26">
        <v>2106.2352</v>
      </c>
      <c r="E79" s="26">
        <v>8929.1232</v>
      </c>
      <c r="F79" s="26">
        <v>8929.1232</v>
      </c>
      <c r="G79" s="4"/>
      <c r="H79" s="7"/>
      <c r="I79" s="23"/>
      <c r="J79" s="24"/>
      <c r="K79" s="4"/>
      <c r="L79" s="4"/>
      <c r="M79" s="4"/>
      <c r="N79" s="4"/>
      <c r="O79" s="4"/>
      <c r="P79" s="4"/>
      <c r="Q79" s="24"/>
      <c r="R79" s="2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ht="15.75" customHeight="1">
      <c r="A80" s="24"/>
      <c r="B80" s="24"/>
      <c r="C80" s="4" t="s">
        <v>785</v>
      </c>
      <c r="D80" s="26">
        <v>329350.95840000006</v>
      </c>
      <c r="E80" s="26">
        <v>513329.16240000003</v>
      </c>
      <c r="F80" s="26">
        <v>517548.17520000006</v>
      </c>
      <c r="G80" s="4"/>
      <c r="H80" s="7"/>
      <c r="I80" s="23"/>
      <c r="J80" s="4"/>
      <c r="K80" s="4"/>
      <c r="L80" s="4"/>
      <c r="M80" s="4"/>
      <c r="N80" s="4"/>
      <c r="O80" s="4"/>
      <c r="P80" s="4"/>
      <c r="Q80" s="24"/>
      <c r="R80" s="2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ht="15.75" customHeight="1">
      <c r="A81" s="24"/>
      <c r="B81" s="24"/>
      <c r="C81" s="4" t="s">
        <v>118</v>
      </c>
      <c r="D81" s="26">
        <v>648690.0959999999</v>
      </c>
      <c r="E81" s="26">
        <v>3163361.6208</v>
      </c>
      <c r="F81" s="26">
        <v>3171922.0032</v>
      </c>
      <c r="G81" s="4"/>
      <c r="H81" s="7"/>
      <c r="I81" s="23"/>
      <c r="J81" s="24"/>
      <c r="K81" s="4"/>
      <c r="L81" s="4"/>
      <c r="M81" s="4"/>
      <c r="N81" s="4"/>
      <c r="O81" s="4"/>
      <c r="P81" s="4"/>
      <c r="Q81" s="24"/>
      <c r="R81" s="2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ht="15.75" customHeight="1">
      <c r="A82" s="24"/>
      <c r="B82" s="24"/>
      <c r="C82" s="4" t="s">
        <v>56</v>
      </c>
      <c r="D82" s="26">
        <v>3684760.8336000005</v>
      </c>
      <c r="E82" s="26">
        <v>4912998.1584</v>
      </c>
      <c r="F82" s="26">
        <v>4914608.841600001</v>
      </c>
      <c r="G82" s="4"/>
      <c r="H82" s="7"/>
      <c r="I82" s="23"/>
      <c r="J82" s="24"/>
      <c r="K82" s="4"/>
      <c r="L82" s="4"/>
      <c r="M82" s="4"/>
      <c r="N82" s="4"/>
      <c r="O82" s="4"/>
      <c r="P82" s="4"/>
      <c r="Q82" s="24"/>
      <c r="R82" s="2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ht="15.75" customHeight="1">
      <c r="A83" s="24"/>
      <c r="B83" s="24"/>
      <c r="C83" s="4" t="s">
        <v>1215</v>
      </c>
      <c r="D83" s="26">
        <v>10239.552</v>
      </c>
      <c r="E83" s="26">
        <v>11092.848</v>
      </c>
      <c r="F83" s="26">
        <v>11092.848</v>
      </c>
      <c r="G83" s="4"/>
      <c r="H83" s="7"/>
      <c r="I83" s="23"/>
      <c r="J83" s="24"/>
      <c r="K83" s="4"/>
      <c r="L83" s="4"/>
      <c r="M83" s="4"/>
      <c r="N83" s="4"/>
      <c r="O83" s="4"/>
      <c r="P83" s="4"/>
      <c r="Q83" s="24"/>
      <c r="R83" s="2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ht="15.75" customHeight="1">
      <c r="A84" s="24"/>
      <c r="B84" s="24"/>
      <c r="C84" s="4" t="s">
        <v>150</v>
      </c>
      <c r="D84" s="26">
        <v>323164.284</v>
      </c>
      <c r="E84" s="26">
        <v>290890.1375999999</v>
      </c>
      <c r="F84" s="26">
        <v>294269.2871999999</v>
      </c>
      <c r="G84" s="4"/>
      <c r="H84" s="7"/>
      <c r="I84" s="23"/>
      <c r="J84" s="24"/>
      <c r="K84" s="4"/>
      <c r="L84" s="4"/>
      <c r="M84" s="4"/>
      <c r="N84" s="4"/>
      <c r="O84" s="4"/>
      <c r="P84" s="4"/>
      <c r="Q84" s="24"/>
      <c r="R84" s="2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ht="15.75" customHeight="1">
      <c r="A85" s="24"/>
      <c r="B85" s="24"/>
      <c r="C85" s="4" t="s">
        <v>1815</v>
      </c>
      <c r="D85" s="26">
        <v>5525563.557599997</v>
      </c>
      <c r="E85" s="26">
        <v>1.0667392656599998E7</v>
      </c>
      <c r="F85" s="26">
        <v>1.0719195658200001E7</v>
      </c>
      <c r="G85" s="26">
        <f>SUM(D85:F85)</f>
        <v>26912151.87</v>
      </c>
      <c r="H85" s="7"/>
      <c r="I85" s="23"/>
      <c r="J85" s="24"/>
      <c r="K85" s="4"/>
      <c r="L85" s="4"/>
      <c r="M85" s="4"/>
      <c r="N85" s="4"/>
      <c r="O85" s="4"/>
      <c r="P85" s="4"/>
      <c r="Q85" s="24"/>
      <c r="R85" s="2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ht="15.75" customHeight="1">
      <c r="A86" s="24"/>
      <c r="B86" s="24"/>
      <c r="C86" s="24"/>
      <c r="D86" s="4"/>
      <c r="E86" s="4"/>
      <c r="F86" s="4"/>
      <c r="G86" s="4"/>
      <c r="H86" s="7"/>
      <c r="I86" s="23"/>
      <c r="J86" s="24"/>
      <c r="K86" s="4"/>
      <c r="L86" s="4"/>
      <c r="M86" s="4"/>
      <c r="N86" s="4"/>
      <c r="O86" s="4"/>
      <c r="P86" s="4"/>
      <c r="Q86" s="24"/>
      <c r="R86" s="2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ht="15.75" customHeight="1">
      <c r="A87" s="24"/>
      <c r="B87" s="24"/>
      <c r="C87" s="24"/>
      <c r="D87" s="4"/>
      <c r="E87" s="4"/>
      <c r="F87" s="4"/>
      <c r="G87" s="4"/>
      <c r="H87" s="7"/>
      <c r="I87" s="23"/>
      <c r="J87" s="24"/>
      <c r="K87" s="4"/>
      <c r="L87" s="4"/>
      <c r="M87" s="4"/>
      <c r="N87" s="4"/>
      <c r="O87" s="4"/>
      <c r="P87" s="4"/>
      <c r="Q87" s="24"/>
      <c r="R87" s="2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ht="15.75" customHeight="1">
      <c r="A88" s="24"/>
      <c r="B88" s="24"/>
      <c r="C88" s="24"/>
      <c r="D88" s="4"/>
      <c r="E88" s="4"/>
      <c r="F88" s="4"/>
      <c r="G88" s="4"/>
      <c r="H88" s="7"/>
      <c r="I88" s="23"/>
      <c r="J88" s="24"/>
      <c r="K88" s="4"/>
      <c r="L88" s="4"/>
      <c r="M88" s="4"/>
      <c r="N88" s="4"/>
      <c r="O88" s="4"/>
      <c r="P88" s="4"/>
      <c r="Q88" s="24"/>
      <c r="R88" s="2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ht="15.75" customHeight="1">
      <c r="A89" s="24"/>
      <c r="B89" s="24"/>
      <c r="C89" s="24"/>
      <c r="D89" s="4"/>
      <c r="E89" s="4"/>
      <c r="F89" s="4"/>
      <c r="G89" s="4"/>
      <c r="H89" s="7"/>
      <c r="I89" s="23"/>
      <c r="J89" s="24"/>
      <c r="K89" s="4"/>
      <c r="L89" s="4"/>
      <c r="M89" s="4"/>
      <c r="N89" s="4"/>
      <c r="O89" s="4"/>
      <c r="P89" s="4"/>
      <c r="Q89" s="24"/>
      <c r="R89" s="2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ht="15.75" customHeight="1">
      <c r="A90" s="24"/>
      <c r="B90" s="24"/>
      <c r="C90" s="24"/>
      <c r="D90" s="4"/>
      <c r="E90" s="4"/>
      <c r="F90" s="4"/>
      <c r="G90" s="4"/>
      <c r="H90" s="7"/>
      <c r="I90" s="23"/>
      <c r="J90" s="24"/>
      <c r="K90" s="4"/>
      <c r="L90" s="4"/>
      <c r="M90" s="4"/>
      <c r="N90" s="4"/>
      <c r="O90" s="4"/>
      <c r="P90" s="4"/>
      <c r="Q90" s="24"/>
      <c r="R90" s="2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ht="15.75" customHeight="1">
      <c r="A91" s="24"/>
      <c r="B91" s="24"/>
      <c r="C91" s="24"/>
      <c r="D91" s="4"/>
      <c r="E91" s="4"/>
      <c r="F91" s="4"/>
      <c r="G91" s="4"/>
      <c r="H91" s="7"/>
      <c r="I91" s="23"/>
      <c r="J91" s="24"/>
      <c r="K91" s="4"/>
      <c r="L91" s="4"/>
      <c r="M91" s="4"/>
      <c r="N91" s="4"/>
      <c r="O91" s="4"/>
      <c r="P91" s="4"/>
      <c r="Q91" s="24"/>
      <c r="R91" s="2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ht="15.75" customHeight="1">
      <c r="A92" s="24"/>
      <c r="B92" s="24"/>
      <c r="C92" s="24"/>
      <c r="D92" s="4"/>
      <c r="E92" s="4"/>
      <c r="F92" s="4"/>
      <c r="G92" s="4"/>
      <c r="H92" s="7"/>
      <c r="I92" s="23"/>
      <c r="J92" s="24"/>
      <c r="K92" s="4"/>
      <c r="L92" s="4"/>
      <c r="M92" s="4"/>
      <c r="N92" s="4"/>
      <c r="O92" s="4"/>
      <c r="P92" s="4"/>
      <c r="Q92" s="24"/>
      <c r="R92" s="2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ht="15.75" customHeight="1">
      <c r="A93" s="24"/>
      <c r="B93" s="24"/>
      <c r="C93" s="24"/>
      <c r="D93" s="4"/>
      <c r="E93" s="70"/>
      <c r="F93" s="71" t="s">
        <v>1817</v>
      </c>
      <c r="G93" s="26">
        <f>SUM(G70:G92)</f>
        <v>41190962.08</v>
      </c>
      <c r="H93" s="7"/>
      <c r="I93" s="23"/>
      <c r="J93" s="24"/>
      <c r="K93" s="4"/>
      <c r="L93" s="4"/>
      <c r="M93" s="4"/>
      <c r="N93" s="4"/>
      <c r="O93" s="4"/>
      <c r="P93" s="4"/>
      <c r="Q93" s="24"/>
      <c r="R93" s="2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ht="15.75" customHeight="1">
      <c r="A94" s="24"/>
      <c r="B94" s="24"/>
      <c r="C94" s="24"/>
      <c r="D94" s="4"/>
      <c r="E94" s="4"/>
      <c r="F94" s="4"/>
      <c r="G94" s="4"/>
      <c r="H94" s="7"/>
      <c r="I94" s="23"/>
      <c r="J94" s="24"/>
      <c r="K94" s="4"/>
      <c r="L94" s="4"/>
      <c r="M94" s="4"/>
      <c r="N94" s="4"/>
      <c r="O94" s="4"/>
      <c r="P94" s="4"/>
      <c r="Q94" s="24"/>
      <c r="R94" s="2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ht="15.75" customHeight="1">
      <c r="A95" s="24"/>
      <c r="B95" s="24"/>
      <c r="C95" s="38" t="s">
        <v>1818</v>
      </c>
      <c r="D95" s="4"/>
      <c r="E95" s="4"/>
      <c r="F95" s="4"/>
      <c r="G95" s="4"/>
      <c r="H95" s="7"/>
      <c r="I95" s="35" t="s">
        <v>1819</v>
      </c>
      <c r="J95" s="4"/>
      <c r="K95" s="4"/>
      <c r="L95" s="4"/>
      <c r="M95" s="4"/>
      <c r="N95" s="4"/>
      <c r="O95" s="4"/>
      <c r="P95" s="4"/>
      <c r="Q95" s="24"/>
      <c r="R95" s="2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ht="15.75" customHeight="1">
      <c r="A96" s="24"/>
      <c r="B96" s="24"/>
      <c r="G96" s="67" t="s">
        <v>1820</v>
      </c>
      <c r="H96" s="68" t="s">
        <v>1821</v>
      </c>
      <c r="M96" s="67" t="s">
        <v>1820</v>
      </c>
      <c r="N96" s="4"/>
      <c r="O96" s="4"/>
      <c r="P96" s="4"/>
      <c r="Q96" s="24"/>
      <c r="R96" s="38" t="s">
        <v>1822</v>
      </c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ht="15.75" customHeight="1">
      <c r="A97" s="14" t="b">
        <v>0</v>
      </c>
      <c r="B97" s="14" t="b">
        <v>0</v>
      </c>
      <c r="G97" s="14"/>
      <c r="H97" s="7"/>
      <c r="M97" s="14"/>
      <c r="N97" s="4"/>
      <c r="O97" s="4"/>
      <c r="P97" s="4"/>
      <c r="Q97" s="24"/>
      <c r="R97" s="38" t="s">
        <v>1823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ht="15.75" customHeight="1">
      <c r="A98" s="14" t="b">
        <v>0</v>
      </c>
      <c r="B98" s="14" t="b">
        <v>0</v>
      </c>
      <c r="G98" s="14"/>
      <c r="H98" s="7"/>
      <c r="M98" s="14"/>
      <c r="N98" s="4"/>
      <c r="O98" s="4"/>
      <c r="P98" s="4"/>
      <c r="Q98" s="24"/>
      <c r="R98" s="14" t="s">
        <v>1824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ht="15.75" customHeight="1">
      <c r="A99" s="14" t="b">
        <v>0</v>
      </c>
      <c r="B99" s="14" t="b">
        <v>1</v>
      </c>
      <c r="G99" s="4"/>
      <c r="H99" s="72">
        <f t="shared" ref="H99:H119" si="10">SUM(D99:F99)</f>
        <v>397625.496</v>
      </c>
      <c r="M99" s="14"/>
      <c r="N99" s="4"/>
      <c r="O99" s="4"/>
      <c r="P99" s="4"/>
      <c r="Q99" s="24"/>
      <c r="R99" s="38" t="s">
        <v>1825</v>
      </c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ht="15.75" customHeight="1">
      <c r="A100" s="14" t="b">
        <v>0</v>
      </c>
      <c r="B100" s="14" t="b">
        <v>1</v>
      </c>
      <c r="G100" s="4"/>
      <c r="H100" s="72">
        <f t="shared" si="10"/>
        <v>15021.9072</v>
      </c>
      <c r="M100" s="14"/>
      <c r="N100" s="4"/>
      <c r="O100" s="4"/>
      <c r="P100" s="4"/>
      <c r="Q100" s="24"/>
      <c r="R100" s="38" t="s">
        <v>1826</v>
      </c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ht="15.75" customHeight="1">
      <c r="A101" s="14" t="b">
        <v>0</v>
      </c>
      <c r="B101" s="14" t="b">
        <v>1</v>
      </c>
      <c r="G101" s="4"/>
      <c r="H101" s="72">
        <f t="shared" si="10"/>
        <v>4819.6608</v>
      </c>
      <c r="M101" s="14"/>
      <c r="N101" s="4"/>
      <c r="O101" s="4"/>
      <c r="P101" s="4"/>
      <c r="Q101" s="24"/>
      <c r="R101" s="38" t="s">
        <v>1827</v>
      </c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ht="15.75" customHeight="1">
      <c r="A102" s="14" t="b">
        <v>0</v>
      </c>
      <c r="B102" s="14" t="b">
        <v>1</v>
      </c>
      <c r="G102" s="4"/>
      <c r="H102" s="72">
        <f t="shared" si="10"/>
        <v>18034.6824</v>
      </c>
      <c r="M102" s="4"/>
      <c r="N102" s="4"/>
      <c r="O102" s="4"/>
      <c r="P102" s="4"/>
      <c r="Q102" s="24"/>
      <c r="R102" s="2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ht="15.75" customHeight="1">
      <c r="A103" s="14" t="b">
        <v>0</v>
      </c>
      <c r="B103" s="14" t="b">
        <v>1</v>
      </c>
      <c r="G103" s="4"/>
      <c r="H103" s="72">
        <f t="shared" si="10"/>
        <v>160854.5088</v>
      </c>
      <c r="M103" s="73"/>
      <c r="N103" s="4"/>
      <c r="O103" s="4"/>
      <c r="P103" s="4"/>
      <c r="Q103" s="2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ht="15.75" customHeight="1">
      <c r="A104" s="14" t="b">
        <v>0</v>
      </c>
      <c r="B104" s="14" t="b">
        <v>1</v>
      </c>
      <c r="G104" s="4"/>
      <c r="H104" s="72">
        <f t="shared" si="10"/>
        <v>259172.7912</v>
      </c>
      <c r="M104" s="73">
        <f>SUM(J104:L104)</f>
        <v>3337657.352</v>
      </c>
      <c r="N104" s="4"/>
      <c r="O104" s="4"/>
      <c r="P104" s="4"/>
      <c r="Q104" s="24"/>
      <c r="R104" s="2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ht="15.75" customHeight="1">
      <c r="A105" s="14" t="b">
        <v>0</v>
      </c>
      <c r="B105" s="14" t="b">
        <v>1</v>
      </c>
      <c r="G105" s="4"/>
      <c r="H105" s="72">
        <f t="shared" si="10"/>
        <v>135559.7808</v>
      </c>
      <c r="I105" s="23"/>
      <c r="J105" s="4"/>
      <c r="K105" s="14"/>
      <c r="L105" s="14"/>
      <c r="M105" s="14"/>
      <c r="N105" s="4"/>
      <c r="O105" s="4"/>
      <c r="P105" s="4"/>
      <c r="Q105" s="24"/>
      <c r="R105" s="2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ht="15.75" customHeight="1">
      <c r="A106" s="14" t="b">
        <v>0</v>
      </c>
      <c r="B106" s="14" t="b">
        <v>1</v>
      </c>
      <c r="G106" s="4"/>
      <c r="H106" s="72">
        <f t="shared" si="10"/>
        <v>880365.4584</v>
      </c>
      <c r="I106" s="23"/>
      <c r="J106" s="4"/>
      <c r="K106" s="14"/>
      <c r="L106" s="14"/>
      <c r="M106" s="14"/>
      <c r="N106" s="4"/>
      <c r="O106" s="4"/>
      <c r="P106" s="4"/>
      <c r="Q106" s="2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ht="15.75" customHeight="1">
      <c r="A107" s="14" t="b">
        <v>0</v>
      </c>
      <c r="B107" s="14" t="b">
        <v>1</v>
      </c>
      <c r="G107" s="4"/>
      <c r="H107" s="72">
        <f t="shared" si="10"/>
        <v>159829.44</v>
      </c>
      <c r="I107" s="23"/>
      <c r="J107" s="4"/>
      <c r="K107" s="14"/>
      <c r="L107" s="14"/>
      <c r="M107" s="14"/>
      <c r="N107" s="4"/>
      <c r="O107" s="4"/>
      <c r="P107" s="4"/>
      <c r="Q107" s="24"/>
      <c r="R107" s="2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ht="15.75" customHeight="1">
      <c r="A108" s="14" t="b">
        <v>0</v>
      </c>
      <c r="B108" s="14" t="b">
        <v>1</v>
      </c>
      <c r="G108" s="4"/>
      <c r="H108" s="72">
        <f t="shared" si="10"/>
        <v>1043359.819</v>
      </c>
      <c r="I108" s="23"/>
      <c r="J108" s="4"/>
      <c r="K108" s="14"/>
      <c r="L108" s="14"/>
      <c r="M108" s="14"/>
      <c r="N108" s="4"/>
      <c r="O108" s="4"/>
      <c r="P108" s="4"/>
      <c r="Q108" s="24"/>
      <c r="R108" s="2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ht="15.75" customHeight="1">
      <c r="A109" s="14" t="b">
        <v>0</v>
      </c>
      <c r="B109" s="14" t="b">
        <v>1</v>
      </c>
      <c r="G109" s="4"/>
      <c r="H109" s="72">
        <f t="shared" si="10"/>
        <v>573813.6504</v>
      </c>
      <c r="I109" s="23"/>
      <c r="J109" s="4"/>
      <c r="K109" s="14"/>
      <c r="L109" s="14"/>
      <c r="M109" s="14"/>
      <c r="N109" s="4"/>
      <c r="O109" s="4"/>
      <c r="P109" s="4"/>
      <c r="Q109" s="2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ht="15.75" customHeight="1">
      <c r="A110" s="14" t="b">
        <v>0</v>
      </c>
      <c r="B110" s="14" t="b">
        <v>1</v>
      </c>
      <c r="G110" s="4"/>
      <c r="H110" s="72">
        <f t="shared" si="10"/>
        <v>29445.3936</v>
      </c>
      <c r="I110" s="23"/>
      <c r="J110" s="4"/>
      <c r="K110" s="14"/>
      <c r="L110" s="14"/>
      <c r="M110" s="1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ht="15.75" customHeight="1">
      <c r="A111" s="14" t="b">
        <v>0</v>
      </c>
      <c r="B111" s="14" t="b">
        <v>1</v>
      </c>
      <c r="G111" s="4"/>
      <c r="H111" s="72">
        <f t="shared" si="10"/>
        <v>3029070.23</v>
      </c>
      <c r="I111" s="23"/>
      <c r="J111" s="4"/>
      <c r="K111" s="14"/>
      <c r="L111" s="14"/>
      <c r="M111" s="1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ht="15.75" customHeight="1">
      <c r="A112" s="14" t="b">
        <v>0</v>
      </c>
      <c r="B112" s="14" t="b">
        <v>1</v>
      </c>
      <c r="G112" s="4"/>
      <c r="H112" s="72">
        <f t="shared" si="10"/>
        <v>2546030.014</v>
      </c>
      <c r="I112" s="23"/>
      <c r="J112" s="4"/>
      <c r="K112" s="14"/>
      <c r="L112" s="14"/>
      <c r="M112" s="1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ht="15.75" customHeight="1">
      <c r="A113" s="14" t="b">
        <v>0</v>
      </c>
      <c r="B113" s="14" t="b">
        <v>1</v>
      </c>
      <c r="G113" s="4"/>
      <c r="H113" s="72">
        <f t="shared" si="10"/>
        <v>118516.1328</v>
      </c>
      <c r="I113" s="23"/>
      <c r="J113" s="4"/>
      <c r="K113" s="14"/>
      <c r="L113" s="14"/>
      <c r="M113" s="1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ht="15.75" customHeight="1">
      <c r="A114" s="14" t="b">
        <v>0</v>
      </c>
      <c r="B114" s="14" t="b">
        <v>1</v>
      </c>
      <c r="G114" s="4"/>
      <c r="H114" s="72">
        <f t="shared" si="10"/>
        <v>1286344.834</v>
      </c>
      <c r="I114" s="23"/>
      <c r="J114" s="4"/>
      <c r="K114" s="14"/>
      <c r="L114" s="14"/>
      <c r="M114" s="1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ht="15.75" customHeight="1">
      <c r="A115" s="14" t="b">
        <v>0</v>
      </c>
      <c r="B115" s="14" t="b">
        <v>1</v>
      </c>
      <c r="G115" s="4"/>
      <c r="H115" s="72">
        <f t="shared" si="10"/>
        <v>64425.7968</v>
      </c>
      <c r="I115" s="23"/>
      <c r="J115" s="4"/>
      <c r="K115" s="14"/>
      <c r="L115" s="14"/>
      <c r="M115" s="1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ht="15.75" customHeight="1">
      <c r="A116" s="14" t="b">
        <v>0</v>
      </c>
      <c r="B116" s="14" t="b">
        <v>1</v>
      </c>
      <c r="G116" s="4"/>
      <c r="H116" s="72">
        <f t="shared" si="10"/>
        <v>138335.22</v>
      </c>
      <c r="I116" s="23"/>
      <c r="J116" s="4"/>
      <c r="K116" s="14"/>
      <c r="L116" s="14"/>
      <c r="M116" s="1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ht="15.75" customHeight="1">
      <c r="A117" s="14" t="b">
        <v>0</v>
      </c>
      <c r="B117" s="14" t="b">
        <v>1</v>
      </c>
      <c r="G117" s="4"/>
      <c r="H117" s="72">
        <f t="shared" si="10"/>
        <v>38799.4944</v>
      </c>
      <c r="I117" s="23"/>
      <c r="J117" s="4"/>
      <c r="K117" s="14"/>
      <c r="L117" s="14"/>
      <c r="M117" s="1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ht="15.75" customHeight="1">
      <c r="A118" s="14" t="b">
        <v>0</v>
      </c>
      <c r="B118" s="14" t="b">
        <v>1</v>
      </c>
      <c r="G118" s="4"/>
      <c r="H118" s="72">
        <f t="shared" si="10"/>
        <v>117293.052</v>
      </c>
      <c r="I118" s="23"/>
      <c r="J118" s="4"/>
      <c r="K118" s="14"/>
      <c r="L118" s="14"/>
      <c r="M118" s="1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ht="15.75" customHeight="1">
      <c r="A119" s="14" t="b">
        <v>0</v>
      </c>
      <c r="B119" s="14" t="b">
        <v>1</v>
      </c>
      <c r="G119" s="4"/>
      <c r="H119" s="72">
        <f t="shared" si="10"/>
        <v>57014.7192</v>
      </c>
      <c r="I119" s="23"/>
      <c r="J119" s="4"/>
      <c r="K119" s="14"/>
      <c r="L119" s="14"/>
      <c r="M119" s="1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ht="15.75" customHeight="1">
      <c r="A120" s="24"/>
      <c r="B120" s="24"/>
      <c r="G120" s="73">
        <f>SUM(D120:F120)</f>
        <v>11073732.08</v>
      </c>
      <c r="H120" s="7"/>
      <c r="I120" s="23"/>
      <c r="J120" s="4"/>
      <c r="K120" s="14"/>
      <c r="L120" s="1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ht="15.75" customHeight="1">
      <c r="A121" s="24"/>
      <c r="B121" s="24"/>
      <c r="C121" s="24"/>
      <c r="D121" s="4"/>
      <c r="E121" s="14"/>
      <c r="F121" s="14"/>
      <c r="G121" s="14"/>
      <c r="H121" s="7"/>
      <c r="I121" s="23"/>
      <c r="J121" s="4"/>
      <c r="K121" s="14"/>
      <c r="L121" s="14"/>
      <c r="M121" s="1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ht="15.75" customHeight="1">
      <c r="A122" s="24"/>
      <c r="B122" s="24"/>
      <c r="C122" s="24"/>
      <c r="D122" s="4"/>
      <c r="E122" s="4"/>
      <c r="F122" s="4"/>
      <c r="G122" s="4"/>
      <c r="H122" s="7"/>
      <c r="I122" s="23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ht="15.75" customHeight="1">
      <c r="A123" s="24"/>
      <c r="B123" s="24"/>
      <c r="C123" s="24"/>
      <c r="D123" s="4"/>
      <c r="E123" s="4"/>
      <c r="F123" s="4"/>
      <c r="G123" s="4"/>
      <c r="H123" s="7"/>
      <c r="I123" s="23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ht="15.75" customHeight="1">
      <c r="A124" s="24"/>
      <c r="B124" s="24"/>
      <c r="C124" s="38" t="s">
        <v>1829</v>
      </c>
      <c r="D124" s="4"/>
      <c r="E124" s="4"/>
      <c r="F124" s="4"/>
      <c r="G124" s="4"/>
      <c r="H124" s="7"/>
      <c r="I124" s="35" t="s">
        <v>1830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ht="15.75" customHeight="1">
      <c r="A125" s="24"/>
      <c r="B125" s="24"/>
      <c r="C125" s="24" t="s">
        <v>1800</v>
      </c>
      <c r="D125" s="4" t="s">
        <v>1801</v>
      </c>
      <c r="E125" s="4" t="s">
        <v>1802</v>
      </c>
      <c r="F125" s="4" t="s">
        <v>1803</v>
      </c>
      <c r="G125" s="4"/>
      <c r="H125" s="7"/>
      <c r="I125" s="23" t="s">
        <v>1800</v>
      </c>
      <c r="J125" s="4" t="s">
        <v>1801</v>
      </c>
      <c r="K125" s="4" t="s">
        <v>1802</v>
      </c>
      <c r="L125" s="4" t="s">
        <v>1803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ht="15.75" customHeight="1">
      <c r="A126" s="14" t="b">
        <v>0</v>
      </c>
      <c r="B126" s="14" t="b">
        <v>1</v>
      </c>
      <c r="C126" s="24" t="s">
        <v>46</v>
      </c>
      <c r="D126" s="26">
        <v>20626.1688</v>
      </c>
      <c r="E126" s="26">
        <v>220193.1024</v>
      </c>
      <c r="F126" s="26">
        <v>229806.9504</v>
      </c>
      <c r="G126" s="4"/>
      <c r="H126" s="72">
        <f t="shared" ref="H126:H142" si="11">SUM(D126:F126)</f>
        <v>470626.2216</v>
      </c>
      <c r="I126" s="23" t="s">
        <v>52</v>
      </c>
      <c r="J126" s="74">
        <v>0.0</v>
      </c>
      <c r="K126" s="74">
        <v>606432.2382</v>
      </c>
      <c r="L126" s="74">
        <v>606432.2382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ht="15.75" customHeight="1">
      <c r="A127" s="4" t="b">
        <v>0</v>
      </c>
      <c r="B127" s="4" t="b">
        <v>0</v>
      </c>
      <c r="C127" s="24" t="s">
        <v>61</v>
      </c>
      <c r="D127" s="26">
        <v>0.0</v>
      </c>
      <c r="E127" s="26">
        <v>161844.56879999998</v>
      </c>
      <c r="F127" s="26">
        <v>181870.5768</v>
      </c>
      <c r="G127" s="4"/>
      <c r="H127" s="72">
        <f t="shared" si="11"/>
        <v>343715.1456</v>
      </c>
      <c r="I127" s="23" t="s">
        <v>1815</v>
      </c>
      <c r="J127" s="74">
        <v>0.0</v>
      </c>
      <c r="K127" s="74">
        <v>606432.2382</v>
      </c>
      <c r="L127" s="74">
        <v>606432.2382</v>
      </c>
      <c r="M127" s="75">
        <f>SUM(J127:L127)</f>
        <v>1212864.476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ht="15.75" customHeight="1">
      <c r="A128" s="4" t="b">
        <v>0</v>
      </c>
      <c r="B128" s="4" t="b">
        <v>0</v>
      </c>
      <c r="C128" s="24" t="s">
        <v>213</v>
      </c>
      <c r="D128" s="26">
        <v>274568.17199999996</v>
      </c>
      <c r="E128" s="26">
        <v>22705.608</v>
      </c>
      <c r="F128" s="26">
        <v>22705.608</v>
      </c>
      <c r="G128" s="4"/>
      <c r="H128" s="72">
        <f t="shared" si="11"/>
        <v>319979.388</v>
      </c>
      <c r="I128" s="23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ht="15.75" customHeight="1">
      <c r="A129" s="4" t="b">
        <v>0</v>
      </c>
      <c r="B129" s="4" t="b">
        <v>0</v>
      </c>
      <c r="C129" s="24" t="s">
        <v>362</v>
      </c>
      <c r="D129" s="26">
        <v>0.0</v>
      </c>
      <c r="E129" s="26">
        <v>0.0</v>
      </c>
      <c r="F129" s="26">
        <v>0.0</v>
      </c>
      <c r="G129" s="4"/>
      <c r="H129" s="72">
        <f t="shared" si="11"/>
        <v>0</v>
      </c>
      <c r="I129" s="23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ht="15.75" customHeight="1">
      <c r="A130" s="14" t="b">
        <v>0</v>
      </c>
      <c r="B130" s="14" t="b">
        <v>1</v>
      </c>
      <c r="C130" s="4" t="s">
        <v>52</v>
      </c>
      <c r="D130" s="26">
        <v>232057.25759999998</v>
      </c>
      <c r="E130" s="26">
        <v>755616.0887999999</v>
      </c>
      <c r="F130" s="26">
        <v>760010.0064</v>
      </c>
      <c r="G130" s="4"/>
      <c r="H130" s="72">
        <f t="shared" si="11"/>
        <v>1747683.353</v>
      </c>
      <c r="I130" s="7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ht="15.75" customHeight="1">
      <c r="A131" s="14" t="b">
        <v>0</v>
      </c>
      <c r="B131" s="14" t="b">
        <v>1</v>
      </c>
      <c r="C131" s="24" t="s">
        <v>590</v>
      </c>
      <c r="D131" s="26">
        <v>2106.2352</v>
      </c>
      <c r="E131" s="26">
        <v>8929.1232</v>
      </c>
      <c r="F131" s="26">
        <v>8929.1232</v>
      </c>
      <c r="G131" s="4"/>
      <c r="H131" s="72">
        <f t="shared" si="11"/>
        <v>19964.4816</v>
      </c>
      <c r="I131" s="23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ht="15.75" customHeight="1">
      <c r="A132" s="4" t="b">
        <v>0</v>
      </c>
      <c r="B132" s="4" t="b">
        <v>0</v>
      </c>
      <c r="C132" s="4" t="s">
        <v>785</v>
      </c>
      <c r="D132" s="26">
        <v>329350.95840000006</v>
      </c>
      <c r="E132" s="26">
        <v>513329.16240000003</v>
      </c>
      <c r="F132" s="26">
        <v>517548.17520000006</v>
      </c>
      <c r="G132" s="4"/>
      <c r="H132" s="72">
        <f t="shared" si="11"/>
        <v>1360228.296</v>
      </c>
      <c r="I132" s="7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ht="15.75" customHeight="1">
      <c r="A133" s="4" t="b">
        <v>0</v>
      </c>
      <c r="B133" s="4" t="b">
        <v>0</v>
      </c>
      <c r="C133" s="4" t="s">
        <v>118</v>
      </c>
      <c r="D133" s="26">
        <v>648690.0959999999</v>
      </c>
      <c r="E133" s="26">
        <v>3163361.6208</v>
      </c>
      <c r="F133" s="26">
        <v>3171922.0032</v>
      </c>
      <c r="G133" s="4"/>
      <c r="H133" s="72">
        <f t="shared" si="11"/>
        <v>6983973.72</v>
      </c>
      <c r="I133" s="7"/>
      <c r="J133" s="4"/>
      <c r="K133" s="4"/>
      <c r="L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ht="15.75" customHeight="1">
      <c r="A134" s="4" t="b">
        <v>0</v>
      </c>
      <c r="B134" s="4" t="b">
        <v>0</v>
      </c>
      <c r="C134" s="4" t="s">
        <v>56</v>
      </c>
      <c r="D134" s="26">
        <v>3684760.8336000005</v>
      </c>
      <c r="E134" s="26">
        <v>4912998.1584</v>
      </c>
      <c r="F134" s="26">
        <v>4914608.841600001</v>
      </c>
      <c r="G134" s="4"/>
      <c r="H134" s="72">
        <f t="shared" si="11"/>
        <v>13512367.83</v>
      </c>
      <c r="I134" s="7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ht="15.75" customHeight="1">
      <c r="A135" s="14" t="b">
        <v>0</v>
      </c>
      <c r="B135" s="14" t="b">
        <v>1</v>
      </c>
      <c r="C135" s="4" t="s">
        <v>1215</v>
      </c>
      <c r="D135" s="26">
        <v>10239.552</v>
      </c>
      <c r="E135" s="26">
        <v>11092.848</v>
      </c>
      <c r="F135" s="26">
        <v>11092.848</v>
      </c>
      <c r="G135" s="4"/>
      <c r="H135" s="72">
        <f t="shared" si="11"/>
        <v>32425.248</v>
      </c>
      <c r="I135" s="7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ht="15.75" customHeight="1">
      <c r="A136" s="14" t="b">
        <v>0</v>
      </c>
      <c r="B136" s="14" t="b">
        <v>1</v>
      </c>
      <c r="C136" s="4" t="s">
        <v>150</v>
      </c>
      <c r="D136" s="26">
        <v>323164.284</v>
      </c>
      <c r="E136" s="26">
        <v>290890.1375999999</v>
      </c>
      <c r="F136" s="26">
        <v>294269.2871999999</v>
      </c>
      <c r="G136" s="4"/>
      <c r="H136" s="72">
        <f t="shared" si="11"/>
        <v>908323.7088</v>
      </c>
      <c r="I136" s="7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ht="15.75" customHeight="1">
      <c r="A137" s="14" t="b">
        <v>0</v>
      </c>
      <c r="B137" s="14" t="b">
        <v>1</v>
      </c>
      <c r="C137" s="4" t="s">
        <v>1815</v>
      </c>
      <c r="D137" s="26">
        <v>5525563.557599997</v>
      </c>
      <c r="E137" s="26">
        <v>1.0060960418399999E7</v>
      </c>
      <c r="F137" s="26">
        <v>1.0112763420000002E7</v>
      </c>
      <c r="G137" s="76">
        <f>SUM(D137:F137)</f>
        <v>25699287.4</v>
      </c>
      <c r="H137" s="72">
        <f t="shared" si="11"/>
        <v>25699287.4</v>
      </c>
      <c r="I137" s="7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ht="15.75" customHeight="1">
      <c r="A138" s="14" t="b">
        <v>0</v>
      </c>
      <c r="B138" s="14" t="b">
        <v>1</v>
      </c>
      <c r="C138" s="24"/>
      <c r="D138" s="4"/>
      <c r="E138" s="4"/>
      <c r="F138" s="4"/>
      <c r="G138" s="4"/>
      <c r="H138" s="43">
        <f t="shared" si="11"/>
        <v>0</v>
      </c>
      <c r="I138" s="2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ht="15.75" customHeight="1">
      <c r="A139" s="14" t="b">
        <v>0</v>
      </c>
      <c r="B139" s="14" t="b">
        <v>1</v>
      </c>
      <c r="C139" s="24"/>
      <c r="D139" s="4"/>
      <c r="E139" s="4"/>
      <c r="F139" s="4"/>
      <c r="G139" s="4"/>
      <c r="H139" s="43">
        <f t="shared" si="11"/>
        <v>0</v>
      </c>
      <c r="I139" s="23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ht="15.75" customHeight="1">
      <c r="A140" s="14" t="b">
        <v>0</v>
      </c>
      <c r="B140" s="14" t="b">
        <v>1</v>
      </c>
      <c r="C140" s="24"/>
      <c r="D140" s="4"/>
      <c r="E140" s="4"/>
      <c r="F140" s="4"/>
      <c r="G140" s="4"/>
      <c r="H140" s="43">
        <f t="shared" si="11"/>
        <v>0</v>
      </c>
      <c r="I140" s="23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ht="15.75" customHeight="1">
      <c r="A141" s="14" t="b">
        <v>0</v>
      </c>
      <c r="B141" s="14" t="b">
        <v>1</v>
      </c>
      <c r="C141" s="24"/>
      <c r="D141" s="4"/>
      <c r="E141" s="4"/>
      <c r="F141" s="4"/>
      <c r="G141" s="4"/>
      <c r="H141" s="43">
        <f t="shared" si="11"/>
        <v>0</v>
      </c>
      <c r="I141" s="23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ht="15.75" customHeight="1">
      <c r="A142" s="4" t="b">
        <v>0</v>
      </c>
      <c r="B142" s="4" t="b">
        <v>0</v>
      </c>
      <c r="C142" s="24"/>
      <c r="D142" s="4"/>
      <c r="E142" s="4"/>
      <c r="F142" s="4"/>
      <c r="G142" s="4"/>
      <c r="H142" s="43">
        <f t="shared" si="11"/>
        <v>0</v>
      </c>
      <c r="I142" s="23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ht="15.75" customHeight="1">
      <c r="A143" s="24"/>
      <c r="B143" s="24"/>
      <c r="C143" s="24"/>
      <c r="D143" s="4"/>
      <c r="E143" s="4"/>
      <c r="F143" s="4"/>
      <c r="G143" s="77">
        <f>SUM(D143:F143)</f>
        <v>0</v>
      </c>
      <c r="H143" s="7"/>
      <c r="I143" s="23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ht="15.75" customHeight="1">
      <c r="A144" s="24"/>
      <c r="B144" s="24"/>
      <c r="C144" s="24"/>
      <c r="D144" s="4"/>
      <c r="E144" s="4"/>
      <c r="F144" s="4"/>
      <c r="G144" s="4"/>
      <c r="H144" s="7"/>
      <c r="I144" s="23"/>
      <c r="J144" s="4"/>
      <c r="K144" s="70"/>
      <c r="L144" s="71" t="s">
        <v>1817</v>
      </c>
      <c r="M144" s="78">
        <f>SUM(G97:G143)+SUM(M97:M143)</f>
        <v>41323541.31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ht="15.75" customHeight="1">
      <c r="A145" s="24"/>
      <c r="B145" s="24"/>
      <c r="G145" s="4"/>
      <c r="H145" s="7"/>
      <c r="I145" s="7"/>
      <c r="J145" s="4"/>
      <c r="K145" s="4"/>
      <c r="L145" s="79"/>
      <c r="M145" s="26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ht="15.75" customHeight="1">
      <c r="A146" s="14" t="b">
        <v>0</v>
      </c>
      <c r="B146" s="14" t="b">
        <v>1</v>
      </c>
      <c r="G146" s="4"/>
      <c r="H146" s="72">
        <f t="shared" ref="H146:H148" si="12">SUM(D146:F146)</f>
        <v>19317764.66</v>
      </c>
      <c r="I146" s="23"/>
      <c r="J146" s="2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ht="15.75" customHeight="1">
      <c r="A147" s="14" t="b">
        <v>0</v>
      </c>
      <c r="B147" s="14" t="b">
        <v>1</v>
      </c>
      <c r="G147" s="4"/>
      <c r="H147" s="72">
        <f t="shared" si="12"/>
        <v>11928.3264</v>
      </c>
      <c r="I147" s="23"/>
      <c r="J147" s="24"/>
      <c r="K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ht="15.75" customHeight="1">
      <c r="A148" s="14" t="b">
        <v>0</v>
      </c>
      <c r="B148" s="14" t="b">
        <v>1</v>
      </c>
      <c r="G148" s="4"/>
      <c r="H148" s="72">
        <f t="shared" si="12"/>
        <v>118126.0944</v>
      </c>
      <c r="I148" s="23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ht="15.75" customHeight="1">
      <c r="A149" s="4"/>
      <c r="B149" s="4"/>
      <c r="G149" s="75">
        <f>SUM(D149:F149)</f>
        <v>19447819.08</v>
      </c>
      <c r="H149" s="80"/>
      <c r="I149" s="23"/>
      <c r="J149" s="2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ht="15.75" customHeight="1">
      <c r="A150" s="4"/>
      <c r="B150" s="4"/>
      <c r="C150" s="4"/>
      <c r="D150" s="4"/>
      <c r="E150" s="4"/>
      <c r="F150" s="4"/>
      <c r="G150" s="4"/>
      <c r="H150" s="7"/>
      <c r="I150" s="23"/>
      <c r="J150" s="2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ht="15.75" customHeight="1">
      <c r="A151" s="4"/>
      <c r="B151" s="4"/>
      <c r="C151" s="4"/>
      <c r="D151" s="4"/>
      <c r="E151" s="4"/>
      <c r="F151" s="4"/>
      <c r="G151" s="4"/>
      <c r="H151" s="7"/>
      <c r="I151" s="23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ht="15.75" customHeight="1">
      <c r="A152" s="4"/>
      <c r="B152" s="4"/>
      <c r="E152" s="4"/>
      <c r="F152" s="4"/>
      <c r="G152" s="4"/>
      <c r="H152" s="7"/>
      <c r="I152" s="23"/>
      <c r="J152" s="2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ht="15.75" customHeight="1">
      <c r="A153" s="14" t="b">
        <v>0</v>
      </c>
      <c r="B153" s="14" t="b">
        <v>1</v>
      </c>
      <c r="E153" s="4"/>
      <c r="F153" s="74"/>
      <c r="G153" s="4"/>
      <c r="H153" s="81">
        <f t="shared" ref="H153:H154" si="13">SUM(D153:F153)</f>
        <v>2273733.934</v>
      </c>
      <c r="I153" s="23"/>
      <c r="J153" s="2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ht="15.75" customHeight="1">
      <c r="A154" s="14" t="b">
        <v>0</v>
      </c>
      <c r="B154" s="14" t="b">
        <v>1</v>
      </c>
      <c r="E154" s="4"/>
      <c r="F154" s="74"/>
      <c r="G154" s="4"/>
      <c r="H154" s="81">
        <f t="shared" si="13"/>
        <v>1239125.966</v>
      </c>
      <c r="I154" s="23"/>
      <c r="J154" s="2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ht="15.75" customHeight="1">
      <c r="A155" s="4"/>
      <c r="B155" s="4"/>
      <c r="E155" s="4"/>
      <c r="F155" s="74"/>
      <c r="G155" s="75">
        <f>SUM(D155:F155)</f>
        <v>3512859.9</v>
      </c>
      <c r="H155" s="7"/>
      <c r="I155" s="23"/>
      <c r="J155" s="2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ht="15.75" customHeight="1">
      <c r="A156" s="4"/>
      <c r="B156" s="4"/>
      <c r="C156" s="4"/>
      <c r="D156" s="4"/>
      <c r="E156" s="4"/>
      <c r="F156" s="4"/>
      <c r="G156" s="4"/>
      <c r="H156" s="7"/>
      <c r="I156" s="23"/>
      <c r="J156" s="2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ht="15.75" customHeight="1">
      <c r="A157" s="4"/>
      <c r="B157" s="4"/>
      <c r="C157" s="14" t="s">
        <v>1827</v>
      </c>
      <c r="D157" s="26">
        <f t="shared" ref="D157:F157" si="14">D7</f>
        <v>238455.2376</v>
      </c>
      <c r="E157" s="26">
        <f t="shared" si="14"/>
        <v>544033.272</v>
      </c>
      <c r="F157" s="26">
        <f t="shared" si="14"/>
        <v>566054.5728</v>
      </c>
      <c r="G157" s="82">
        <f>SUM(D157:F157)</f>
        <v>1348543.082</v>
      </c>
      <c r="H157" s="83">
        <f>G157</f>
        <v>1348543.082</v>
      </c>
      <c r="I157" s="23"/>
      <c r="J157" s="2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ht="15.75" customHeight="1">
      <c r="A158" s="4"/>
      <c r="B158" s="4"/>
      <c r="C158" s="4"/>
      <c r="D158" s="4"/>
      <c r="E158" s="4"/>
      <c r="F158" s="4"/>
      <c r="G158" s="4"/>
      <c r="H158" s="7"/>
      <c r="I158" s="23"/>
      <c r="J158" s="2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ht="15.75" customHeight="1">
      <c r="A159" s="4"/>
      <c r="B159" s="4"/>
      <c r="C159" s="4"/>
      <c r="D159" s="4"/>
      <c r="E159" s="4"/>
      <c r="F159" s="84" t="s">
        <v>1835</v>
      </c>
      <c r="G159" s="85">
        <f>SUM(G97:G158)</f>
        <v>61082241.54</v>
      </c>
      <c r="H159" s="57">
        <f>SUM(H98:H158)</f>
        <v>86781528.94</v>
      </c>
      <c r="I159" s="23"/>
      <c r="J159" s="24"/>
      <c r="K159" s="4"/>
      <c r="L159" s="79" t="s">
        <v>1836</v>
      </c>
      <c r="M159" s="40">
        <f>SUM(M97:M143)</f>
        <v>4550521.828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ht="15.75" customHeight="1" collapsed="1">
      <c r="A160" s="4"/>
      <c r="B160" s="4"/>
      <c r="C160" s="4"/>
      <c r="D160" s="4"/>
      <c r="E160" s="4"/>
      <c r="F160" s="79" t="s">
        <v>1837</v>
      </c>
      <c r="G160" s="26">
        <f>G159/G1</f>
        <v>8776184.13</v>
      </c>
      <c r="H160" s="7"/>
      <c r="I160" s="23"/>
      <c r="J160" s="24"/>
      <c r="K160" s="4"/>
      <c r="L160" s="86" t="s">
        <v>1838</v>
      </c>
      <c r="M160" s="87">
        <f>M159+G159</f>
        <v>65632763.37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ht="15.75" hidden="1" customHeight="1" outlineLevel="1">
      <c r="A161" s="4"/>
      <c r="B161" s="4"/>
      <c r="C161" s="4"/>
      <c r="D161" s="4"/>
      <c r="E161" s="4"/>
      <c r="F161" s="10" t="s">
        <v>1839</v>
      </c>
      <c r="G161" s="57">
        <f>G160*0.85</f>
        <v>7459756.511</v>
      </c>
      <c r="H161" s="7"/>
      <c r="I161" s="23"/>
      <c r="J161" s="2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ht="15.75" hidden="1" customHeight="1" outlineLevel="1">
      <c r="A162" s="4"/>
      <c r="B162" s="4"/>
      <c r="C162" s="4"/>
      <c r="D162" s="4"/>
      <c r="E162" s="4"/>
      <c r="F162" s="4"/>
      <c r="G162" s="4"/>
      <c r="H162" s="7"/>
      <c r="I162" s="23"/>
      <c r="J162" s="2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ht="15.75" hidden="1" customHeight="1" outlineLevel="1">
      <c r="A163" s="4"/>
      <c r="B163" s="4"/>
      <c r="C163" s="4"/>
      <c r="D163" s="4"/>
      <c r="E163" s="4"/>
      <c r="F163" s="10" t="s">
        <v>1840</v>
      </c>
      <c r="G163" s="40">
        <v>9681692.55</v>
      </c>
      <c r="H163" s="7"/>
      <c r="I163" s="23"/>
      <c r="J163" s="2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ht="15.75" hidden="1" customHeight="1" outlineLevel="1">
      <c r="A164" s="4"/>
      <c r="B164" s="4"/>
      <c r="C164" s="4"/>
      <c r="D164" s="4"/>
      <c r="E164" s="4"/>
      <c r="F164" s="10" t="s">
        <v>1839</v>
      </c>
      <c r="G164" s="57">
        <f>G163*0.85</f>
        <v>8229438.668</v>
      </c>
      <c r="H164" s="7"/>
      <c r="I164" s="23"/>
      <c r="J164" s="2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ht="15.75" hidden="1" customHeight="1" outlineLevel="1">
      <c r="A165" s="4"/>
      <c r="B165" s="4"/>
      <c r="C165" s="4"/>
      <c r="D165" s="4"/>
      <c r="E165" s="4"/>
      <c r="F165" s="88">
        <v>0.1</v>
      </c>
      <c r="G165" s="57">
        <f>G164*0.1</f>
        <v>822943.8668</v>
      </c>
      <c r="H165" s="7"/>
      <c r="I165" s="23"/>
      <c r="J165" s="2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ht="15.75" hidden="1" customHeight="1" outlineLevel="1">
      <c r="A166" s="4"/>
      <c r="B166" s="4"/>
      <c r="C166" s="4"/>
      <c r="D166" s="4"/>
      <c r="E166" s="4"/>
      <c r="F166" s="4"/>
      <c r="G166" s="4"/>
      <c r="H166" s="7"/>
      <c r="I166" s="23"/>
      <c r="J166" s="2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ht="15.75" hidden="1" customHeight="1" outlineLevel="1">
      <c r="A167" s="4"/>
      <c r="B167" s="4"/>
      <c r="C167" s="4"/>
      <c r="D167" s="4"/>
      <c r="E167" s="4"/>
      <c r="F167" s="79" t="s">
        <v>1841</v>
      </c>
      <c r="G167" s="57">
        <f>G164-G165</f>
        <v>7406494.801</v>
      </c>
      <c r="H167" s="7"/>
      <c r="I167" s="23"/>
      <c r="J167" s="2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ht="15.75" hidden="1" customHeight="1" outlineLevel="1">
      <c r="A168" s="4"/>
      <c r="B168" s="4"/>
      <c r="C168" s="4"/>
      <c r="D168" s="4"/>
      <c r="E168" s="4"/>
      <c r="F168" s="4"/>
      <c r="G168" s="4"/>
      <c r="H168" s="7"/>
      <c r="I168" s="23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ht="15.75" hidden="1" customHeight="1" outlineLevel="1">
      <c r="A169" s="4"/>
      <c r="B169" s="4"/>
      <c r="C169" s="4"/>
      <c r="D169" s="4"/>
      <c r="E169" s="4"/>
      <c r="F169" s="89" t="s">
        <v>1842</v>
      </c>
      <c r="G169" s="26">
        <f>G163-G160</f>
        <v>905508.42</v>
      </c>
      <c r="H169" s="7"/>
      <c r="I169" s="23"/>
      <c r="J169" s="2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ht="15.75" hidden="1" customHeight="1" outlineLevel="1">
      <c r="A170" s="4"/>
      <c r="B170" s="4"/>
      <c r="C170" s="4"/>
      <c r="D170" s="4"/>
      <c r="E170" s="4"/>
      <c r="F170" s="4"/>
      <c r="G170" s="4"/>
      <c r="H170" s="7"/>
      <c r="I170" s="23"/>
      <c r="J170" s="2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</sheetData>
  <conditionalFormatting sqref="C1">
    <cfRule type="cellIs" dxfId="0" priority="1" operator="greaterThan">
      <formula>1</formula>
    </cfRule>
  </conditionalFormatting>
  <conditionalFormatting sqref="K1:K3">
    <cfRule type="cellIs" dxfId="0" priority="2" operator="greaterThan">
      <formula>2</formula>
    </cfRule>
  </conditionalFormatting>
  <conditionalFormatting sqref="K1:K3">
    <cfRule type="cellIs" dxfId="0" priority="3" operator="greaterThan">
      <formula>2</formula>
    </cfRule>
  </conditionalFormatting>
  <hyperlinks>
    <hyperlink r:id="rId7" location="gid=1296669025" ref="B1"/>
    <hyperlink display="Recurrentes" location="'Recurrentes 24-26'!A1" ref="B3"/>
    <hyperlink display="Recurrentes (TDB)" location="Resumen!C124" ref="C3"/>
    <hyperlink display="No Recurrentes" location="'No Recurrentes 24-26'!A1" ref="B4"/>
    <hyperlink display="No Recurrentes (TDB)" location="Resumen!C95" ref="C4"/>
    <hyperlink r:id="rId8" location="gid=1547332198" ref="B7"/>
    <hyperlink r:id="rId9" location="gid=1547332198" ref="I7"/>
    <hyperlink r:id="rId10" ref="B8"/>
    <hyperlink r:id="rId11" location="gid=1414493154" ref="I8"/>
    <hyperlink r:id="rId12" location="gid=335490190" ref="C11"/>
    <hyperlink r:id="rId13" location="gid=335490190" ref="I11"/>
    <hyperlink r:id="rId14" location="gid=0" ref="C12"/>
    <hyperlink r:id="rId15" location="gid=727394509" ref="I14"/>
    <hyperlink r:id="rId16" location="gid=1414493154" ref="I16"/>
  </hyperlinks>
  <printOptions/>
  <pageMargins bottom="0.75" footer="0.0" header="0.0" left="0.7" right="0.7" top="0.75"/>
  <pageSetup fitToWidth="0" orientation="portrait"/>
  <drawing r:id="rId17"/>
  <legacy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11.43"/>
    <col customWidth="1" min="2" max="2" width="69.86"/>
    <col customWidth="1" min="3" max="3" width="11.43"/>
    <col customWidth="1" min="4" max="4" width="22.14"/>
    <col customWidth="1" min="5" max="5" width="22.57"/>
    <col customWidth="1" min="6" max="6" width="63.14"/>
    <col customWidth="1" min="7" max="7" width="11.43"/>
    <col customWidth="1" min="8" max="8" width="20.71"/>
    <col customWidth="1" min="9" max="9" width="18.43"/>
    <col customWidth="1" min="10" max="10" width="19.0"/>
    <col customWidth="1" min="11" max="26" width="11.43"/>
  </cols>
  <sheetData>
    <row r="1">
      <c r="A1" s="90" t="s">
        <v>1843</v>
      </c>
      <c r="B1" s="91" t="s">
        <v>1844</v>
      </c>
      <c r="E1" s="92">
        <v>3.0</v>
      </c>
      <c r="F1" s="93">
        <v>4.0</v>
      </c>
      <c r="G1" s="1">
        <v>5.0</v>
      </c>
      <c r="H1" s="1">
        <v>6.0</v>
      </c>
      <c r="I1" s="1">
        <v>7.0</v>
      </c>
    </row>
    <row r="2">
      <c r="A2" s="94" t="s">
        <v>1845</v>
      </c>
      <c r="B2" s="90" t="s">
        <v>1846</v>
      </c>
      <c r="C2" s="90" t="s">
        <v>1847</v>
      </c>
      <c r="D2" s="90" t="s">
        <v>11</v>
      </c>
      <c r="E2" s="95" t="s">
        <v>1848</v>
      </c>
      <c r="F2" s="93"/>
      <c r="J2" s="1" t="s">
        <v>13</v>
      </c>
      <c r="K2" s="1" t="s">
        <v>1849</v>
      </c>
      <c r="L2" s="1" t="s">
        <v>1849</v>
      </c>
      <c r="M2" s="1">
        <v>6.97</v>
      </c>
    </row>
    <row r="3">
      <c r="A3" s="96" t="s">
        <v>1850</v>
      </c>
      <c r="B3" s="97" t="s">
        <v>1660</v>
      </c>
      <c r="C3" s="98" t="s">
        <v>25</v>
      </c>
      <c r="D3" s="99">
        <v>0.08</v>
      </c>
      <c r="E3" s="100">
        <v>0.07</v>
      </c>
      <c r="F3" s="93"/>
      <c r="H3" s="101"/>
      <c r="J3" s="1">
        <v>0.0</v>
      </c>
      <c r="K3" s="1">
        <v>0.0</v>
      </c>
      <c r="L3" s="1">
        <v>0.0</v>
      </c>
      <c r="M3" s="1">
        <v>0.0</v>
      </c>
    </row>
    <row r="4">
      <c r="A4" s="96" t="s">
        <v>1851</v>
      </c>
      <c r="B4" s="97" t="s">
        <v>1575</v>
      </c>
      <c r="C4" s="98" t="s">
        <v>25</v>
      </c>
      <c r="D4" s="99">
        <v>0.08</v>
      </c>
      <c r="E4" s="100">
        <v>0.07</v>
      </c>
      <c r="F4" s="93"/>
      <c r="H4" s="101"/>
      <c r="J4" s="1">
        <v>0.0</v>
      </c>
      <c r="K4" s="1">
        <v>0.0</v>
      </c>
      <c r="L4" s="1">
        <v>0.0</v>
      </c>
      <c r="M4" s="1">
        <v>0.0</v>
      </c>
    </row>
    <row r="5">
      <c r="A5" s="96" t="s">
        <v>1852</v>
      </c>
      <c r="B5" s="97" t="s">
        <v>1853</v>
      </c>
      <c r="C5" s="98" t="s">
        <v>25</v>
      </c>
      <c r="D5" s="99">
        <v>0.08</v>
      </c>
      <c r="E5" s="100">
        <v>0.07</v>
      </c>
      <c r="F5" s="93"/>
      <c r="H5" s="101"/>
      <c r="J5" s="1">
        <v>0.0</v>
      </c>
      <c r="K5" s="1">
        <v>0.0</v>
      </c>
      <c r="L5" s="1">
        <v>0.0</v>
      </c>
      <c r="M5" s="1">
        <v>0.0</v>
      </c>
    </row>
    <row r="6">
      <c r="A6" s="96" t="s">
        <v>1854</v>
      </c>
      <c r="B6" s="97" t="s">
        <v>1106</v>
      </c>
      <c r="C6" s="98" t="s">
        <v>25</v>
      </c>
      <c r="D6" s="99">
        <v>0.23</v>
      </c>
      <c r="E6" s="100">
        <v>0.2</v>
      </c>
      <c r="F6" s="93"/>
      <c r="H6" s="101"/>
      <c r="J6" s="1">
        <v>0.0</v>
      </c>
      <c r="K6" s="1">
        <v>0.0</v>
      </c>
      <c r="L6" s="1">
        <v>0.0</v>
      </c>
      <c r="M6" s="1">
        <v>0.0</v>
      </c>
    </row>
    <row r="7">
      <c r="A7" s="96" t="s">
        <v>1855</v>
      </c>
      <c r="B7" s="97" t="s">
        <v>1169</v>
      </c>
      <c r="C7" s="98" t="s">
        <v>25</v>
      </c>
      <c r="D7" s="99">
        <v>0.39</v>
      </c>
      <c r="E7" s="100">
        <v>0.33</v>
      </c>
      <c r="F7" s="93"/>
      <c r="H7" s="101"/>
      <c r="J7" s="1">
        <v>0.0</v>
      </c>
      <c r="K7" s="1">
        <v>0.0</v>
      </c>
      <c r="L7" s="1">
        <v>0.0</v>
      </c>
      <c r="M7" s="1">
        <v>0.0</v>
      </c>
    </row>
    <row r="8">
      <c r="A8" s="96" t="s">
        <v>1856</v>
      </c>
      <c r="B8" s="97" t="s">
        <v>803</v>
      </c>
      <c r="C8" s="98" t="s">
        <v>25</v>
      </c>
      <c r="D8" s="99">
        <v>0.89</v>
      </c>
      <c r="E8" s="100">
        <v>0.76</v>
      </c>
      <c r="F8" s="93"/>
      <c r="H8" s="101"/>
      <c r="J8" s="1">
        <v>0.0</v>
      </c>
      <c r="K8" s="1">
        <v>0.0</v>
      </c>
      <c r="L8" s="1">
        <v>0.0</v>
      </c>
      <c r="M8" s="1">
        <v>0.0</v>
      </c>
    </row>
    <row r="9">
      <c r="A9" s="96" t="s">
        <v>1857</v>
      </c>
      <c r="B9" s="97" t="s">
        <v>1219</v>
      </c>
      <c r="C9" s="98" t="s">
        <v>25</v>
      </c>
      <c r="D9" s="99">
        <v>1.89</v>
      </c>
      <c r="E9" s="100">
        <v>1.61</v>
      </c>
      <c r="F9" s="93"/>
      <c r="H9" s="101"/>
      <c r="J9" s="1">
        <v>0.0</v>
      </c>
      <c r="K9" s="1">
        <v>0.0</v>
      </c>
      <c r="L9" s="1">
        <v>0.0</v>
      </c>
      <c r="M9" s="1">
        <v>0.0</v>
      </c>
    </row>
    <row r="10">
      <c r="A10" s="96" t="s">
        <v>1858</v>
      </c>
      <c r="B10" s="97" t="s">
        <v>974</v>
      </c>
      <c r="C10" s="98" t="s">
        <v>25</v>
      </c>
      <c r="D10" s="99">
        <v>3.46</v>
      </c>
      <c r="E10" s="100">
        <v>2.94</v>
      </c>
      <c r="F10" s="93"/>
      <c r="H10" s="101"/>
      <c r="J10" s="1">
        <v>0.0</v>
      </c>
      <c r="K10" s="1">
        <v>0.0</v>
      </c>
      <c r="L10" s="1">
        <v>0.0</v>
      </c>
      <c r="M10" s="1">
        <v>0.0</v>
      </c>
    </row>
    <row r="11">
      <c r="A11" s="96" t="s">
        <v>1859</v>
      </c>
      <c r="B11" s="97" t="s">
        <v>649</v>
      </c>
      <c r="C11" s="98" t="s">
        <v>25</v>
      </c>
      <c r="D11" s="99">
        <v>7.54</v>
      </c>
      <c r="E11" s="100">
        <v>6.41</v>
      </c>
      <c r="F11" s="93"/>
      <c r="H11" s="101"/>
      <c r="J11" s="1">
        <v>0.0</v>
      </c>
      <c r="K11" s="1">
        <v>0.0</v>
      </c>
      <c r="L11" s="1">
        <v>0.0</v>
      </c>
      <c r="M11" s="1">
        <v>0.0</v>
      </c>
    </row>
    <row r="12">
      <c r="A12" s="96" t="s">
        <v>1860</v>
      </c>
      <c r="B12" s="97" t="s">
        <v>1861</v>
      </c>
      <c r="C12" s="98" t="s">
        <v>25</v>
      </c>
      <c r="D12" s="99">
        <v>0.89</v>
      </c>
      <c r="E12" s="100">
        <v>0.76</v>
      </c>
      <c r="F12" s="93"/>
      <c r="H12" s="101"/>
      <c r="J12" s="1">
        <v>0.0</v>
      </c>
      <c r="K12" s="1">
        <v>0.0</v>
      </c>
      <c r="L12" s="1">
        <v>0.0</v>
      </c>
      <c r="M12" s="1">
        <v>0.0</v>
      </c>
    </row>
    <row r="13">
      <c r="A13" s="96" t="s">
        <v>1862</v>
      </c>
      <c r="B13" s="97" t="s">
        <v>786</v>
      </c>
      <c r="C13" s="98" t="s">
        <v>25</v>
      </c>
      <c r="D13" s="99">
        <v>0.5</v>
      </c>
      <c r="E13" s="100">
        <v>0.43</v>
      </c>
      <c r="F13" s="93"/>
      <c r="H13" s="101"/>
      <c r="J13" s="1">
        <v>0.0</v>
      </c>
      <c r="K13" s="1">
        <v>0.0</v>
      </c>
      <c r="L13" s="1">
        <v>0.0</v>
      </c>
      <c r="M13" s="1">
        <v>0.0</v>
      </c>
    </row>
    <row r="14">
      <c r="A14" s="96" t="s">
        <v>1863</v>
      </c>
      <c r="B14" s="97" t="s">
        <v>1864</v>
      </c>
      <c r="C14" s="98" t="s">
        <v>25</v>
      </c>
      <c r="D14" s="99">
        <v>2.96</v>
      </c>
      <c r="E14" s="100">
        <v>2.52</v>
      </c>
      <c r="F14" s="93"/>
      <c r="H14" s="101"/>
      <c r="J14" s="1">
        <v>0.0</v>
      </c>
      <c r="K14" s="1">
        <v>0.0</v>
      </c>
      <c r="L14" s="1">
        <v>0.0</v>
      </c>
      <c r="M14" s="1">
        <v>0.0</v>
      </c>
    </row>
    <row r="15">
      <c r="A15" s="96" t="s">
        <v>1865</v>
      </c>
      <c r="B15" s="97" t="s">
        <v>1866</v>
      </c>
      <c r="C15" s="98" t="s">
        <v>25</v>
      </c>
      <c r="D15" s="99">
        <v>4.04</v>
      </c>
      <c r="E15" s="100">
        <v>3.43</v>
      </c>
      <c r="F15" s="93"/>
      <c r="H15" s="101"/>
      <c r="J15" s="1">
        <v>0.0</v>
      </c>
      <c r="K15" s="1">
        <v>0.0</v>
      </c>
      <c r="L15" s="1">
        <v>0.0</v>
      </c>
      <c r="M15" s="1">
        <v>0.0</v>
      </c>
    </row>
    <row r="16">
      <c r="A16" s="96" t="s">
        <v>1867</v>
      </c>
      <c r="B16" s="97" t="s">
        <v>1868</v>
      </c>
      <c r="C16" s="98" t="s">
        <v>25</v>
      </c>
      <c r="D16" s="99">
        <v>0.69</v>
      </c>
      <c r="E16" s="100">
        <v>0.59</v>
      </c>
      <c r="F16" s="93"/>
      <c r="H16" s="101"/>
      <c r="J16" s="1">
        <v>0.0</v>
      </c>
      <c r="K16" s="1">
        <v>0.0</v>
      </c>
      <c r="L16" s="1">
        <v>0.0</v>
      </c>
      <c r="M16" s="1">
        <v>0.0</v>
      </c>
    </row>
    <row r="17">
      <c r="A17" s="96" t="s">
        <v>1869</v>
      </c>
      <c r="B17" s="97" t="s">
        <v>1870</v>
      </c>
      <c r="C17" s="98" t="s">
        <v>25</v>
      </c>
      <c r="D17" s="99">
        <v>1.5</v>
      </c>
      <c r="E17" s="100">
        <v>1.28</v>
      </c>
      <c r="F17" s="93"/>
      <c r="H17" s="101"/>
      <c r="J17" s="1">
        <v>0.0</v>
      </c>
      <c r="K17" s="1">
        <v>0.0</v>
      </c>
      <c r="L17" s="1">
        <v>0.0</v>
      </c>
      <c r="M17" s="1">
        <v>0.0</v>
      </c>
    </row>
    <row r="18">
      <c r="A18" s="96" t="s">
        <v>1871</v>
      </c>
      <c r="B18" s="97" t="s">
        <v>1872</v>
      </c>
      <c r="C18" s="98" t="s">
        <v>25</v>
      </c>
      <c r="D18" s="99">
        <v>1.61</v>
      </c>
      <c r="E18" s="100">
        <v>1.37</v>
      </c>
      <c r="F18" s="93"/>
      <c r="H18" s="101"/>
      <c r="J18" s="1">
        <v>0.0</v>
      </c>
      <c r="K18" s="1">
        <v>0.0</v>
      </c>
      <c r="L18" s="1">
        <v>0.0</v>
      </c>
      <c r="M18" s="1">
        <v>0.0</v>
      </c>
    </row>
    <row r="19">
      <c r="A19" s="96" t="s">
        <v>1873</v>
      </c>
      <c r="B19" s="97" t="s">
        <v>1874</v>
      </c>
      <c r="C19" s="98" t="s">
        <v>25</v>
      </c>
      <c r="D19" s="99">
        <v>4.73</v>
      </c>
      <c r="E19" s="100">
        <v>4.02</v>
      </c>
      <c r="F19" s="93"/>
      <c r="H19" s="101"/>
      <c r="J19" s="1">
        <v>0.0</v>
      </c>
      <c r="K19" s="1">
        <v>0.0</v>
      </c>
      <c r="L19" s="1">
        <v>0.0</v>
      </c>
      <c r="M19" s="1">
        <v>0.0</v>
      </c>
    </row>
    <row r="20">
      <c r="A20" s="96" t="s">
        <v>1875</v>
      </c>
      <c r="B20" s="97" t="s">
        <v>1876</v>
      </c>
      <c r="C20" s="98" t="s">
        <v>25</v>
      </c>
      <c r="D20" s="99">
        <v>0.08</v>
      </c>
      <c r="E20" s="100">
        <v>0.07</v>
      </c>
      <c r="F20" s="93"/>
      <c r="H20" s="101"/>
      <c r="J20" s="1">
        <v>0.0</v>
      </c>
      <c r="K20" s="1">
        <v>0.0</v>
      </c>
      <c r="L20" s="1">
        <v>0.0</v>
      </c>
      <c r="M20" s="1">
        <v>0.0</v>
      </c>
    </row>
    <row r="21" ht="15.75" customHeight="1">
      <c r="A21" s="96" t="s">
        <v>1877</v>
      </c>
      <c r="B21" s="97" t="s">
        <v>1878</v>
      </c>
      <c r="C21" s="98" t="s">
        <v>25</v>
      </c>
      <c r="D21" s="99">
        <v>0.11</v>
      </c>
      <c r="E21" s="100">
        <v>0.09</v>
      </c>
      <c r="F21" s="93"/>
      <c r="H21" s="101"/>
      <c r="J21" s="1">
        <v>0.0</v>
      </c>
      <c r="K21" s="1">
        <v>0.0</v>
      </c>
      <c r="L21" s="1">
        <v>0.0</v>
      </c>
      <c r="M21" s="1">
        <v>0.0</v>
      </c>
    </row>
    <row r="22" ht="15.75" customHeight="1">
      <c r="A22" s="96" t="s">
        <v>1879</v>
      </c>
      <c r="B22" s="97" t="s">
        <v>1880</v>
      </c>
      <c r="C22" s="98" t="s">
        <v>25</v>
      </c>
      <c r="D22" s="99">
        <v>0.23</v>
      </c>
      <c r="E22" s="100">
        <v>0.2</v>
      </c>
      <c r="F22" s="93"/>
      <c r="H22" s="101"/>
      <c r="J22" s="1">
        <v>0.0</v>
      </c>
      <c r="K22" s="1">
        <v>0.0</v>
      </c>
      <c r="L22" s="1">
        <v>0.0</v>
      </c>
      <c r="M22" s="1">
        <v>0.0</v>
      </c>
    </row>
    <row r="23" ht="15.75" customHeight="1">
      <c r="A23" s="96" t="s">
        <v>1881</v>
      </c>
      <c r="B23" s="97" t="s">
        <v>1882</v>
      </c>
      <c r="C23" s="98" t="s">
        <v>25</v>
      </c>
      <c r="D23" s="99">
        <v>0.35</v>
      </c>
      <c r="E23" s="100">
        <v>0.3</v>
      </c>
      <c r="F23" s="93"/>
      <c r="H23" s="101"/>
      <c r="J23" s="1">
        <v>0.0</v>
      </c>
      <c r="K23" s="1">
        <v>0.0</v>
      </c>
      <c r="L23" s="1">
        <v>0.0</v>
      </c>
      <c r="M23" s="1">
        <v>0.0</v>
      </c>
    </row>
    <row r="24" ht="15.75" customHeight="1">
      <c r="A24" s="96" t="s">
        <v>1883</v>
      </c>
      <c r="B24" s="97" t="s">
        <v>1884</v>
      </c>
      <c r="C24" s="98" t="s">
        <v>25</v>
      </c>
      <c r="D24" s="99">
        <v>0.27</v>
      </c>
      <c r="E24" s="100">
        <v>0.23</v>
      </c>
      <c r="F24" s="93"/>
      <c r="H24" s="101"/>
      <c r="J24" s="1">
        <v>0.0</v>
      </c>
      <c r="K24" s="1">
        <v>0.0</v>
      </c>
      <c r="L24" s="1">
        <v>0.0</v>
      </c>
      <c r="M24" s="1">
        <v>0.0</v>
      </c>
    </row>
    <row r="25" ht="15.75" customHeight="1">
      <c r="A25" s="96" t="s">
        <v>1885</v>
      </c>
      <c r="B25" s="97" t="s">
        <v>1886</v>
      </c>
      <c r="C25" s="98" t="s">
        <v>25</v>
      </c>
      <c r="D25" s="99">
        <v>1.42</v>
      </c>
      <c r="E25" s="100">
        <v>1.21</v>
      </c>
      <c r="F25" s="93"/>
      <c r="H25" s="101"/>
      <c r="J25" s="1">
        <v>0.0</v>
      </c>
      <c r="K25" s="1">
        <v>0.0</v>
      </c>
      <c r="L25" s="1">
        <v>0.0</v>
      </c>
      <c r="M25" s="1">
        <v>0.0</v>
      </c>
    </row>
    <row r="26" ht="15.75" customHeight="1">
      <c r="A26" s="96" t="s">
        <v>1887</v>
      </c>
      <c r="B26" s="97" t="s">
        <v>1888</v>
      </c>
      <c r="C26" s="98" t="s">
        <v>25</v>
      </c>
      <c r="D26" s="99">
        <v>0.46</v>
      </c>
      <c r="E26" s="100">
        <v>0.39</v>
      </c>
      <c r="F26" s="93"/>
      <c r="H26" s="101"/>
      <c r="J26" s="1">
        <v>0.0</v>
      </c>
      <c r="K26" s="1">
        <v>0.0</v>
      </c>
      <c r="L26" s="1">
        <v>0.0</v>
      </c>
      <c r="M26" s="1">
        <v>0.0</v>
      </c>
    </row>
    <row r="27" ht="15.75" customHeight="1">
      <c r="A27" s="96" t="s">
        <v>1889</v>
      </c>
      <c r="B27" s="97" t="s">
        <v>1466</v>
      </c>
      <c r="C27" s="98" t="s">
        <v>25</v>
      </c>
      <c r="D27" s="99">
        <v>0.11</v>
      </c>
      <c r="E27" s="100">
        <v>0.09</v>
      </c>
      <c r="F27" s="93"/>
      <c r="H27" s="101"/>
      <c r="J27" s="1">
        <v>0.0</v>
      </c>
      <c r="K27" s="1">
        <v>0.0</v>
      </c>
      <c r="L27" s="1">
        <v>0.0</v>
      </c>
      <c r="M27" s="1">
        <v>0.0</v>
      </c>
    </row>
    <row r="28" ht="15.75" customHeight="1">
      <c r="A28" s="96" t="s">
        <v>1890</v>
      </c>
      <c r="B28" s="97" t="s">
        <v>1720</v>
      </c>
      <c r="C28" s="98" t="s">
        <v>25</v>
      </c>
      <c r="D28" s="99">
        <v>0.08</v>
      </c>
      <c r="E28" s="100">
        <v>0.07</v>
      </c>
      <c r="F28" s="93"/>
      <c r="H28" s="101"/>
      <c r="J28" s="1">
        <v>0.0</v>
      </c>
      <c r="K28" s="1">
        <v>0.0</v>
      </c>
      <c r="L28" s="1">
        <v>0.0</v>
      </c>
      <c r="M28" s="1">
        <v>0.0</v>
      </c>
    </row>
    <row r="29" ht="15.75" customHeight="1">
      <c r="A29" s="96" t="s">
        <v>1891</v>
      </c>
      <c r="B29" s="97" t="s">
        <v>1748</v>
      </c>
      <c r="C29" s="98" t="s">
        <v>25</v>
      </c>
      <c r="D29" s="99">
        <v>0.08</v>
      </c>
      <c r="E29" s="100">
        <v>0.07</v>
      </c>
      <c r="F29" s="93"/>
      <c r="H29" s="101"/>
      <c r="J29" s="1">
        <v>0.0</v>
      </c>
      <c r="K29" s="1">
        <v>0.0</v>
      </c>
      <c r="L29" s="1">
        <v>0.0</v>
      </c>
      <c r="M29" s="1">
        <v>0.0</v>
      </c>
    </row>
    <row r="30" ht="15.75" customHeight="1">
      <c r="A30" s="96" t="s">
        <v>1892</v>
      </c>
      <c r="B30" s="97" t="s">
        <v>1893</v>
      </c>
      <c r="C30" s="98" t="s">
        <v>25</v>
      </c>
      <c r="D30" s="99">
        <v>0.11</v>
      </c>
      <c r="E30" s="100">
        <v>0.09</v>
      </c>
      <c r="F30" s="93"/>
      <c r="H30" s="101"/>
      <c r="J30" s="1">
        <v>0.0</v>
      </c>
      <c r="K30" s="1">
        <v>0.0</v>
      </c>
      <c r="L30" s="1">
        <v>0.0</v>
      </c>
      <c r="M30" s="1">
        <v>0.0</v>
      </c>
    </row>
    <row r="31" ht="15.75" customHeight="1">
      <c r="A31" s="96" t="s">
        <v>1894</v>
      </c>
      <c r="B31" s="97" t="s">
        <v>1681</v>
      </c>
      <c r="C31" s="98" t="s">
        <v>25</v>
      </c>
      <c r="D31" s="99">
        <v>1.77</v>
      </c>
      <c r="E31" s="100">
        <v>1.5</v>
      </c>
      <c r="F31" s="93"/>
      <c r="H31" s="101"/>
      <c r="J31" s="1">
        <v>0.0</v>
      </c>
      <c r="K31" s="1">
        <v>0.0</v>
      </c>
      <c r="L31" s="1">
        <v>0.0</v>
      </c>
      <c r="M31" s="1">
        <v>0.0</v>
      </c>
    </row>
    <row r="32" ht="15.75" customHeight="1">
      <c r="A32" s="96" t="s">
        <v>1895</v>
      </c>
      <c r="B32" s="97" t="s">
        <v>1896</v>
      </c>
      <c r="C32" s="98" t="s">
        <v>25</v>
      </c>
      <c r="D32" s="99">
        <v>0.39</v>
      </c>
      <c r="E32" s="100">
        <v>0.33</v>
      </c>
      <c r="F32" s="93"/>
      <c r="H32" s="101"/>
      <c r="J32" s="1">
        <v>0.0</v>
      </c>
      <c r="K32" s="1">
        <v>0.0</v>
      </c>
      <c r="L32" s="1">
        <v>0.0</v>
      </c>
      <c r="M32" s="1">
        <v>0.0</v>
      </c>
    </row>
    <row r="33" ht="15.75" customHeight="1">
      <c r="A33" s="96" t="s">
        <v>1897</v>
      </c>
      <c r="B33" s="97" t="s">
        <v>1283</v>
      </c>
      <c r="C33" s="98" t="s">
        <v>25</v>
      </c>
      <c r="D33" s="99">
        <v>0.31</v>
      </c>
      <c r="E33" s="100">
        <v>0.26</v>
      </c>
      <c r="F33" s="93"/>
      <c r="H33" s="101"/>
      <c r="J33" s="1">
        <v>0.0</v>
      </c>
      <c r="K33" s="1">
        <v>0.0</v>
      </c>
      <c r="L33" s="1">
        <v>0.0</v>
      </c>
      <c r="M33" s="1">
        <v>0.0</v>
      </c>
    </row>
    <row r="34" ht="15.75" customHeight="1">
      <c r="A34" s="96" t="s">
        <v>1898</v>
      </c>
      <c r="B34" s="97" t="s">
        <v>1696</v>
      </c>
      <c r="C34" s="98" t="s">
        <v>25</v>
      </c>
      <c r="D34" s="99">
        <v>0.27</v>
      </c>
      <c r="E34" s="100">
        <v>0.23</v>
      </c>
      <c r="F34" s="93"/>
      <c r="H34" s="101"/>
      <c r="J34" s="1">
        <v>0.0</v>
      </c>
      <c r="K34" s="1">
        <v>0.0</v>
      </c>
      <c r="L34" s="1">
        <v>0.0</v>
      </c>
      <c r="M34" s="1">
        <v>0.0</v>
      </c>
    </row>
    <row r="35" ht="15.75" customHeight="1">
      <c r="A35" s="96" t="s">
        <v>1899</v>
      </c>
      <c r="B35" s="97" t="s">
        <v>1900</v>
      </c>
      <c r="C35" s="98" t="s">
        <v>25</v>
      </c>
      <c r="D35" s="99">
        <v>16.23</v>
      </c>
      <c r="E35" s="100">
        <v>13.8</v>
      </c>
      <c r="F35" s="93"/>
      <c r="H35" s="101"/>
      <c r="J35" s="1">
        <v>0.0</v>
      </c>
      <c r="K35" s="1">
        <v>0.0</v>
      </c>
      <c r="L35" s="1">
        <v>0.0</v>
      </c>
      <c r="M35" s="1">
        <v>0.0</v>
      </c>
    </row>
    <row r="36" ht="15.75" customHeight="1">
      <c r="A36" s="96" t="s">
        <v>1901</v>
      </c>
      <c r="B36" s="97" t="s">
        <v>980</v>
      </c>
      <c r="C36" s="98" t="s">
        <v>25</v>
      </c>
      <c r="D36" s="99">
        <v>17.11</v>
      </c>
      <c r="E36" s="100">
        <v>14.54</v>
      </c>
      <c r="F36" s="93"/>
      <c r="H36" s="101"/>
      <c r="J36" s="1">
        <v>0.0</v>
      </c>
      <c r="K36" s="1">
        <v>0.0</v>
      </c>
      <c r="L36" s="1">
        <v>0.0</v>
      </c>
      <c r="M36" s="1">
        <v>0.0</v>
      </c>
    </row>
    <row r="37" ht="15.75" customHeight="1">
      <c r="A37" s="96" t="s">
        <v>1902</v>
      </c>
      <c r="B37" s="97" t="s">
        <v>615</v>
      </c>
      <c r="C37" s="98" t="s">
        <v>25</v>
      </c>
      <c r="D37" s="99">
        <v>19.07</v>
      </c>
      <c r="E37" s="100">
        <v>16.21</v>
      </c>
      <c r="F37" s="93"/>
      <c r="H37" s="101"/>
      <c r="J37" s="1">
        <v>0.0</v>
      </c>
      <c r="K37" s="1">
        <v>0.0</v>
      </c>
      <c r="L37" s="1">
        <v>0.0</v>
      </c>
      <c r="M37" s="1">
        <v>0.0</v>
      </c>
    </row>
    <row r="38" ht="15.75" customHeight="1">
      <c r="A38" s="96" t="s">
        <v>1903</v>
      </c>
      <c r="B38" s="97" t="s">
        <v>1904</v>
      </c>
      <c r="C38" s="98" t="s">
        <v>25</v>
      </c>
      <c r="D38" s="99">
        <v>1.15</v>
      </c>
      <c r="E38" s="100">
        <v>0.98</v>
      </c>
      <c r="F38" s="93"/>
      <c r="H38" s="101"/>
      <c r="J38" s="1">
        <v>0.0</v>
      </c>
      <c r="K38" s="1">
        <v>0.0</v>
      </c>
      <c r="L38" s="1">
        <v>0.0</v>
      </c>
      <c r="M38" s="1">
        <v>0.0</v>
      </c>
    </row>
    <row r="39" ht="15.75" customHeight="1">
      <c r="A39" s="96" t="s">
        <v>1905</v>
      </c>
      <c r="B39" s="97" t="s">
        <v>1906</v>
      </c>
      <c r="C39" s="98" t="s">
        <v>25</v>
      </c>
      <c r="D39" s="99">
        <v>4.73</v>
      </c>
      <c r="E39" s="100">
        <v>4.02</v>
      </c>
      <c r="F39" s="93"/>
      <c r="H39" s="101"/>
      <c r="J39" s="1">
        <v>0.0</v>
      </c>
      <c r="K39" s="1">
        <v>0.0</v>
      </c>
      <c r="L39" s="1">
        <v>0.0</v>
      </c>
      <c r="M39" s="1">
        <v>0.0</v>
      </c>
    </row>
    <row r="40" ht="15.75" customHeight="1">
      <c r="A40" s="96" t="s">
        <v>1907</v>
      </c>
      <c r="B40" s="97" t="s">
        <v>1908</v>
      </c>
      <c r="C40" s="98" t="s">
        <v>25</v>
      </c>
      <c r="D40" s="99">
        <v>36.61</v>
      </c>
      <c r="E40" s="100">
        <v>31.12</v>
      </c>
      <c r="F40" s="93"/>
      <c r="H40" s="101"/>
      <c r="J40" s="1">
        <v>0.0</v>
      </c>
      <c r="K40" s="1">
        <v>0.0</v>
      </c>
      <c r="L40" s="1">
        <v>0.0</v>
      </c>
      <c r="M40" s="1">
        <v>0.0</v>
      </c>
    </row>
    <row r="41" ht="15.75" customHeight="1">
      <c r="A41" s="96" t="s">
        <v>1909</v>
      </c>
      <c r="B41" s="97" t="s">
        <v>961</v>
      </c>
      <c r="C41" s="98" t="s">
        <v>25</v>
      </c>
      <c r="D41" s="99">
        <v>1.69</v>
      </c>
      <c r="E41" s="100">
        <v>1.44</v>
      </c>
      <c r="F41" s="93"/>
      <c r="H41" s="101"/>
      <c r="J41" s="1">
        <v>0.0</v>
      </c>
      <c r="K41" s="1">
        <v>0.0</v>
      </c>
      <c r="L41" s="1">
        <v>0.0</v>
      </c>
      <c r="M41" s="1">
        <v>0.0</v>
      </c>
    </row>
    <row r="42" ht="15.75" customHeight="1">
      <c r="A42" s="96" t="s">
        <v>1910</v>
      </c>
      <c r="B42" s="97" t="s">
        <v>1109</v>
      </c>
      <c r="C42" s="98" t="s">
        <v>25</v>
      </c>
      <c r="D42" s="99">
        <v>2.46</v>
      </c>
      <c r="E42" s="100">
        <v>2.09</v>
      </c>
      <c r="F42" s="93"/>
      <c r="H42" s="101"/>
      <c r="J42" s="1">
        <v>0.0</v>
      </c>
      <c r="K42" s="1">
        <v>0.0</v>
      </c>
      <c r="L42" s="1">
        <v>0.0</v>
      </c>
      <c r="M42" s="1">
        <v>0.0</v>
      </c>
    </row>
    <row r="43" ht="15.75" customHeight="1">
      <c r="A43" s="96" t="s">
        <v>1911</v>
      </c>
      <c r="B43" s="97" t="s">
        <v>1912</v>
      </c>
      <c r="C43" s="98" t="s">
        <v>25</v>
      </c>
      <c r="D43" s="99">
        <v>0.27</v>
      </c>
      <c r="E43" s="100">
        <v>0.23</v>
      </c>
      <c r="F43" s="93"/>
      <c r="H43" s="101"/>
      <c r="J43" s="1">
        <v>0.0</v>
      </c>
      <c r="K43" s="1">
        <v>0.0</v>
      </c>
      <c r="L43" s="1">
        <v>0.0</v>
      </c>
      <c r="M43" s="1">
        <v>0.0</v>
      </c>
    </row>
    <row r="44" ht="15.75" customHeight="1">
      <c r="A44" s="96" t="s">
        <v>1913</v>
      </c>
      <c r="B44" s="97" t="s">
        <v>1914</v>
      </c>
      <c r="C44" s="98" t="s">
        <v>25</v>
      </c>
      <c r="D44" s="99">
        <v>1.61</v>
      </c>
      <c r="E44" s="100">
        <v>1.37</v>
      </c>
      <c r="F44" s="93"/>
      <c r="H44" s="101"/>
      <c r="J44" s="1">
        <v>0.0</v>
      </c>
      <c r="K44" s="1">
        <v>0.0</v>
      </c>
      <c r="L44" s="1">
        <v>0.0</v>
      </c>
      <c r="M44" s="1">
        <v>0.0</v>
      </c>
    </row>
    <row r="45" ht="15.75" customHeight="1">
      <c r="A45" s="96" t="s">
        <v>1915</v>
      </c>
      <c r="B45" s="97" t="s">
        <v>1916</v>
      </c>
      <c r="C45" s="98" t="s">
        <v>25</v>
      </c>
      <c r="D45" s="99">
        <v>0.81</v>
      </c>
      <c r="E45" s="100">
        <v>0.69</v>
      </c>
      <c r="F45" s="93"/>
      <c r="H45" s="101"/>
      <c r="J45" s="1">
        <v>0.0</v>
      </c>
      <c r="K45" s="1">
        <v>0.0</v>
      </c>
      <c r="L45" s="1">
        <v>0.0</v>
      </c>
      <c r="M45" s="1">
        <v>0.0</v>
      </c>
    </row>
    <row r="46" ht="15.75" customHeight="1">
      <c r="A46" s="96" t="s">
        <v>1917</v>
      </c>
      <c r="B46" s="97" t="s">
        <v>1918</v>
      </c>
      <c r="C46" s="98" t="s">
        <v>25</v>
      </c>
      <c r="D46" s="99">
        <v>38.92</v>
      </c>
      <c r="E46" s="100">
        <v>33.08</v>
      </c>
      <c r="F46" s="93"/>
      <c r="H46" s="101"/>
      <c r="J46" s="1">
        <v>0.0</v>
      </c>
      <c r="K46" s="1">
        <v>0.0</v>
      </c>
      <c r="L46" s="1">
        <v>0.0</v>
      </c>
      <c r="M46" s="1">
        <v>0.0</v>
      </c>
    </row>
    <row r="47" ht="15.75" customHeight="1">
      <c r="A47" s="96" t="s">
        <v>1919</v>
      </c>
      <c r="B47" s="97" t="s">
        <v>347</v>
      </c>
      <c r="C47" s="98" t="s">
        <v>25</v>
      </c>
      <c r="D47" s="99">
        <v>6.27</v>
      </c>
      <c r="E47" s="100">
        <v>5.33</v>
      </c>
      <c r="F47" s="93"/>
      <c r="H47" s="101"/>
      <c r="J47" s="1">
        <v>0.0</v>
      </c>
      <c r="K47" s="1">
        <v>0.0</v>
      </c>
      <c r="L47" s="1">
        <v>0.0</v>
      </c>
      <c r="M47" s="1">
        <v>0.0</v>
      </c>
    </row>
    <row r="48" ht="15.75" customHeight="1">
      <c r="A48" s="96" t="s">
        <v>1920</v>
      </c>
      <c r="B48" s="97" t="s">
        <v>1921</v>
      </c>
      <c r="C48" s="98" t="s">
        <v>25</v>
      </c>
      <c r="D48" s="99">
        <v>19.19</v>
      </c>
      <c r="E48" s="100">
        <v>16.31</v>
      </c>
      <c r="F48" s="93"/>
      <c r="H48" s="101"/>
      <c r="J48" s="1">
        <v>0.0</v>
      </c>
      <c r="K48" s="1">
        <v>0.0</v>
      </c>
      <c r="L48" s="1">
        <v>0.0</v>
      </c>
      <c r="M48" s="1">
        <v>0.0</v>
      </c>
    </row>
    <row r="49" ht="15.75" customHeight="1">
      <c r="A49" s="96" t="s">
        <v>1922</v>
      </c>
      <c r="B49" s="97" t="s">
        <v>286</v>
      </c>
      <c r="C49" s="98" t="s">
        <v>25</v>
      </c>
      <c r="D49" s="99">
        <v>2388.56</v>
      </c>
      <c r="E49" s="100">
        <v>2030.28</v>
      </c>
      <c r="F49" s="93"/>
      <c r="H49" s="101"/>
      <c r="J49" s="1">
        <v>0.0</v>
      </c>
      <c r="K49" s="1">
        <v>0.0</v>
      </c>
      <c r="L49" s="1">
        <v>0.0</v>
      </c>
      <c r="M49" s="1">
        <v>0.0</v>
      </c>
    </row>
    <row r="50" ht="15.75" customHeight="1">
      <c r="A50" s="96" t="s">
        <v>1923</v>
      </c>
      <c r="B50" s="97" t="s">
        <v>1924</v>
      </c>
      <c r="C50" s="98" t="s">
        <v>25</v>
      </c>
      <c r="D50" s="99">
        <v>93.56</v>
      </c>
      <c r="E50" s="100">
        <v>79.53</v>
      </c>
      <c r="F50" s="93"/>
      <c r="H50" s="101"/>
      <c r="J50" s="1">
        <v>0.0</v>
      </c>
      <c r="K50" s="1">
        <v>0.0</v>
      </c>
      <c r="L50" s="1">
        <v>0.0</v>
      </c>
      <c r="M50" s="1">
        <v>0.0</v>
      </c>
    </row>
    <row r="51" ht="15.75" customHeight="1">
      <c r="A51" s="96" t="s">
        <v>1925</v>
      </c>
      <c r="B51" s="97" t="s">
        <v>1387</v>
      </c>
      <c r="C51" s="98" t="s">
        <v>25</v>
      </c>
      <c r="D51" s="99">
        <v>1.73</v>
      </c>
      <c r="E51" s="100">
        <v>1.47</v>
      </c>
      <c r="F51" s="93"/>
      <c r="H51" s="101"/>
      <c r="J51" s="1">
        <v>0.0</v>
      </c>
      <c r="K51" s="1">
        <v>0.0</v>
      </c>
      <c r="L51" s="1">
        <v>0.0</v>
      </c>
      <c r="M51" s="1">
        <v>0.0</v>
      </c>
    </row>
    <row r="52" ht="15.75" customHeight="1">
      <c r="A52" s="96" t="s">
        <v>1926</v>
      </c>
      <c r="B52" s="97" t="s">
        <v>1927</v>
      </c>
      <c r="C52" s="98" t="s">
        <v>25</v>
      </c>
      <c r="D52" s="99">
        <v>5.34</v>
      </c>
      <c r="E52" s="100">
        <v>4.54</v>
      </c>
      <c r="F52" s="93"/>
      <c r="H52" s="101"/>
      <c r="J52" s="1">
        <v>0.0</v>
      </c>
      <c r="K52" s="1">
        <v>0.0</v>
      </c>
      <c r="L52" s="1">
        <v>0.0</v>
      </c>
      <c r="M52" s="1">
        <v>0.0</v>
      </c>
    </row>
    <row r="53" ht="15.75" customHeight="1">
      <c r="A53" s="96" t="s">
        <v>1928</v>
      </c>
      <c r="B53" s="97" t="s">
        <v>602</v>
      </c>
      <c r="C53" s="98" t="s">
        <v>25</v>
      </c>
      <c r="D53" s="99">
        <v>491.05</v>
      </c>
      <c r="E53" s="100">
        <v>417.39</v>
      </c>
      <c r="F53" s="93"/>
      <c r="H53" s="101"/>
      <c r="J53" s="1">
        <v>0.0</v>
      </c>
      <c r="K53" s="1">
        <v>0.0</v>
      </c>
      <c r="L53" s="1">
        <v>0.0</v>
      </c>
      <c r="M53" s="1">
        <v>0.0</v>
      </c>
    </row>
    <row r="54" ht="15.75" customHeight="1">
      <c r="A54" s="96" t="s">
        <v>1929</v>
      </c>
      <c r="B54" s="97" t="s">
        <v>735</v>
      </c>
      <c r="C54" s="98" t="s">
        <v>25</v>
      </c>
      <c r="D54" s="99">
        <v>91.06</v>
      </c>
      <c r="E54" s="100">
        <v>77.4</v>
      </c>
      <c r="F54" s="93"/>
      <c r="H54" s="101"/>
      <c r="J54" s="1">
        <v>0.0</v>
      </c>
      <c r="K54" s="1">
        <v>0.0</v>
      </c>
      <c r="L54" s="1">
        <v>0.0</v>
      </c>
      <c r="M54" s="1">
        <v>0.0</v>
      </c>
    </row>
    <row r="55" ht="15.75" customHeight="1">
      <c r="A55" s="96" t="s">
        <v>1930</v>
      </c>
      <c r="B55" s="97" t="s">
        <v>1639</v>
      </c>
      <c r="C55" s="98" t="s">
        <v>25</v>
      </c>
      <c r="D55" s="99">
        <v>0.08</v>
      </c>
      <c r="E55" s="100">
        <v>0.07</v>
      </c>
      <c r="F55" s="93"/>
      <c r="H55" s="101"/>
      <c r="J55" s="1">
        <v>0.0</v>
      </c>
      <c r="K55" s="1">
        <v>0.0</v>
      </c>
      <c r="L55" s="1">
        <v>0.0</v>
      </c>
      <c r="M55" s="1">
        <v>0.0</v>
      </c>
    </row>
    <row r="56" ht="15.75" customHeight="1">
      <c r="A56" s="96" t="s">
        <v>1931</v>
      </c>
      <c r="B56" s="97" t="s">
        <v>1932</v>
      </c>
      <c r="C56" s="98" t="s">
        <v>25</v>
      </c>
      <c r="D56" s="99">
        <v>7.0</v>
      </c>
      <c r="E56" s="100">
        <v>5.95</v>
      </c>
      <c r="F56" s="93"/>
      <c r="H56" s="101"/>
      <c r="J56" s="1">
        <v>0.0</v>
      </c>
      <c r="K56" s="1">
        <v>0.0</v>
      </c>
      <c r="L56" s="1">
        <v>0.0</v>
      </c>
      <c r="M56" s="1">
        <v>0.0</v>
      </c>
    </row>
    <row r="57" ht="15.75" customHeight="1">
      <c r="A57" s="96" t="s">
        <v>1933</v>
      </c>
      <c r="B57" s="97" t="s">
        <v>1934</v>
      </c>
      <c r="C57" s="98" t="s">
        <v>25</v>
      </c>
      <c r="D57" s="99">
        <v>20.42</v>
      </c>
      <c r="E57" s="100">
        <v>17.36</v>
      </c>
      <c r="F57" s="93"/>
      <c r="H57" s="101"/>
      <c r="J57" s="1">
        <v>0.0</v>
      </c>
      <c r="K57" s="1">
        <v>0.0</v>
      </c>
      <c r="L57" s="1">
        <v>0.0</v>
      </c>
      <c r="M57" s="1">
        <v>0.0</v>
      </c>
    </row>
    <row r="58" ht="15.75" customHeight="1">
      <c r="A58" s="96" t="s">
        <v>1935</v>
      </c>
      <c r="B58" s="97" t="s">
        <v>872</v>
      </c>
      <c r="C58" s="98" t="s">
        <v>25</v>
      </c>
      <c r="D58" s="99">
        <v>61.68</v>
      </c>
      <c r="E58" s="100">
        <v>52.43</v>
      </c>
      <c r="F58" s="93"/>
      <c r="H58" s="101"/>
      <c r="J58" s="1">
        <v>0.0</v>
      </c>
      <c r="K58" s="1">
        <v>0.0</v>
      </c>
      <c r="L58" s="1">
        <v>0.0</v>
      </c>
      <c r="M58" s="1">
        <v>0.0</v>
      </c>
    </row>
    <row r="59" ht="15.75" customHeight="1">
      <c r="A59" s="96" t="s">
        <v>1936</v>
      </c>
      <c r="B59" s="97" t="s">
        <v>1693</v>
      </c>
      <c r="C59" s="98" t="s">
        <v>25</v>
      </c>
      <c r="D59" s="99">
        <v>1.04</v>
      </c>
      <c r="E59" s="100">
        <v>0.88</v>
      </c>
      <c r="F59" s="93"/>
      <c r="H59" s="101"/>
      <c r="J59" s="1">
        <v>0.0</v>
      </c>
      <c r="K59" s="1">
        <v>0.0</v>
      </c>
      <c r="L59" s="1">
        <v>0.0</v>
      </c>
      <c r="M59" s="1">
        <v>0.0</v>
      </c>
    </row>
    <row r="60" ht="15.75" customHeight="1">
      <c r="A60" s="96" t="s">
        <v>1937</v>
      </c>
      <c r="B60" s="97" t="s">
        <v>1346</v>
      </c>
      <c r="C60" s="98" t="s">
        <v>25</v>
      </c>
      <c r="D60" s="99">
        <v>16.61</v>
      </c>
      <c r="E60" s="100">
        <v>14.12</v>
      </c>
      <c r="F60" s="93"/>
      <c r="H60" s="101"/>
      <c r="J60" s="1">
        <v>0.0</v>
      </c>
      <c r="K60" s="1">
        <v>0.0</v>
      </c>
      <c r="L60" s="1">
        <v>0.0</v>
      </c>
      <c r="M60" s="1">
        <v>0.0</v>
      </c>
    </row>
    <row r="61" ht="15.75" customHeight="1">
      <c r="A61" s="96" t="s">
        <v>1938</v>
      </c>
      <c r="B61" s="97" t="s">
        <v>936</v>
      </c>
      <c r="C61" s="98" t="s">
        <v>25</v>
      </c>
      <c r="D61" s="99">
        <v>484.16</v>
      </c>
      <c r="E61" s="100">
        <v>411.54</v>
      </c>
      <c r="F61" s="93"/>
      <c r="H61" s="101"/>
      <c r="J61" s="1">
        <v>0.0</v>
      </c>
      <c r="K61" s="1">
        <v>0.0</v>
      </c>
      <c r="L61" s="1">
        <v>0.0</v>
      </c>
      <c r="M61" s="1">
        <v>0.0</v>
      </c>
    </row>
    <row r="62" ht="15.75" customHeight="1">
      <c r="A62" s="96" t="s">
        <v>1939</v>
      </c>
      <c r="B62" s="97" t="s">
        <v>1296</v>
      </c>
      <c r="C62" s="98" t="s">
        <v>25</v>
      </c>
      <c r="D62" s="99">
        <v>30.11</v>
      </c>
      <c r="E62" s="100">
        <v>25.59</v>
      </c>
      <c r="F62" s="93"/>
      <c r="H62" s="101"/>
      <c r="J62" s="1">
        <v>0.0</v>
      </c>
      <c r="K62" s="1">
        <v>0.0</v>
      </c>
      <c r="L62" s="1">
        <v>0.0</v>
      </c>
      <c r="M62" s="1">
        <v>0.0</v>
      </c>
    </row>
    <row r="63" ht="15.75" customHeight="1">
      <c r="A63" s="96" t="s">
        <v>1940</v>
      </c>
      <c r="B63" s="97" t="s">
        <v>1941</v>
      </c>
      <c r="C63" s="98" t="s">
        <v>25</v>
      </c>
      <c r="D63" s="99">
        <v>1.96</v>
      </c>
      <c r="E63" s="100">
        <v>1.67</v>
      </c>
      <c r="F63" s="93"/>
      <c r="H63" s="101"/>
      <c r="J63" s="1">
        <v>0.0</v>
      </c>
      <c r="K63" s="1">
        <v>0.0</v>
      </c>
      <c r="L63" s="1">
        <v>0.0</v>
      </c>
      <c r="M63" s="1">
        <v>0.0</v>
      </c>
    </row>
    <row r="64" ht="15.75" customHeight="1">
      <c r="A64" s="96" t="s">
        <v>1942</v>
      </c>
      <c r="B64" s="97" t="s">
        <v>1943</v>
      </c>
      <c r="C64" s="98" t="s">
        <v>25</v>
      </c>
      <c r="D64" s="99">
        <v>131.21</v>
      </c>
      <c r="E64" s="100">
        <v>111.53</v>
      </c>
      <c r="F64" s="93"/>
      <c r="H64" s="101"/>
      <c r="J64" s="1">
        <v>0.0</v>
      </c>
      <c r="K64" s="1">
        <v>0.0</v>
      </c>
      <c r="L64" s="1">
        <v>0.0</v>
      </c>
      <c r="M64" s="1">
        <v>0.0</v>
      </c>
    </row>
    <row r="65" ht="15.75" customHeight="1">
      <c r="A65" s="96" t="s">
        <v>1944</v>
      </c>
      <c r="B65" s="97" t="s">
        <v>1945</v>
      </c>
      <c r="C65" s="98" t="s">
        <v>25</v>
      </c>
      <c r="D65" s="99">
        <v>55.42</v>
      </c>
      <c r="E65" s="100">
        <v>47.11</v>
      </c>
      <c r="F65" s="93"/>
      <c r="H65" s="101"/>
      <c r="J65" s="1">
        <v>0.0</v>
      </c>
      <c r="K65" s="1">
        <v>0.0</v>
      </c>
      <c r="L65" s="1">
        <v>0.0</v>
      </c>
      <c r="M65" s="1">
        <v>0.0</v>
      </c>
    </row>
    <row r="66" ht="15.75" customHeight="1">
      <c r="A66" s="96" t="s">
        <v>1946</v>
      </c>
      <c r="B66" s="97" t="s">
        <v>1947</v>
      </c>
      <c r="C66" s="98" t="s">
        <v>25</v>
      </c>
      <c r="D66" s="99">
        <v>289.31</v>
      </c>
      <c r="E66" s="100">
        <v>245.91</v>
      </c>
      <c r="F66" s="93"/>
      <c r="H66" s="101"/>
      <c r="J66" s="1">
        <v>0.0</v>
      </c>
      <c r="K66" s="1">
        <v>0.0</v>
      </c>
      <c r="L66" s="1">
        <v>0.0</v>
      </c>
      <c r="M66" s="1">
        <v>0.0</v>
      </c>
    </row>
    <row r="67" ht="15.75" customHeight="1">
      <c r="A67" s="96" t="s">
        <v>1948</v>
      </c>
      <c r="B67" s="97" t="s">
        <v>1949</v>
      </c>
      <c r="C67" s="98" t="s">
        <v>25</v>
      </c>
      <c r="D67" s="99">
        <v>99.68</v>
      </c>
      <c r="E67" s="100">
        <v>84.73</v>
      </c>
      <c r="F67" s="93"/>
      <c r="H67" s="101"/>
      <c r="J67" s="1">
        <v>0.0</v>
      </c>
      <c r="K67" s="1">
        <v>0.0</v>
      </c>
      <c r="L67" s="1">
        <v>0.0</v>
      </c>
      <c r="M67" s="1">
        <v>0.0</v>
      </c>
    </row>
    <row r="68" ht="15.75" customHeight="1">
      <c r="A68" s="96" t="s">
        <v>1950</v>
      </c>
      <c r="B68" s="97" t="s">
        <v>1008</v>
      </c>
      <c r="C68" s="98" t="s">
        <v>25</v>
      </c>
      <c r="D68" s="99">
        <v>10.04</v>
      </c>
      <c r="E68" s="100">
        <v>8.53</v>
      </c>
      <c r="F68" s="93"/>
      <c r="H68" s="101"/>
      <c r="J68" s="1">
        <v>0.0</v>
      </c>
      <c r="K68" s="1">
        <v>0.0</v>
      </c>
      <c r="L68" s="1">
        <v>0.0</v>
      </c>
      <c r="M68" s="1">
        <v>0.0</v>
      </c>
    </row>
    <row r="69" ht="15.75" customHeight="1">
      <c r="A69" s="96" t="s">
        <v>1951</v>
      </c>
      <c r="B69" s="97" t="s">
        <v>1042</v>
      </c>
      <c r="C69" s="98" t="s">
        <v>25</v>
      </c>
      <c r="D69" s="99">
        <v>9.81</v>
      </c>
      <c r="E69" s="100">
        <v>8.34</v>
      </c>
      <c r="F69" s="93"/>
      <c r="H69" s="101"/>
      <c r="J69" s="1">
        <v>0.0</v>
      </c>
      <c r="K69" s="1">
        <v>0.0</v>
      </c>
      <c r="L69" s="1">
        <v>0.0</v>
      </c>
      <c r="M69" s="1">
        <v>0.0</v>
      </c>
    </row>
    <row r="70" ht="15.75" customHeight="1">
      <c r="A70" s="96" t="s">
        <v>1952</v>
      </c>
      <c r="B70" s="97" t="s">
        <v>1953</v>
      </c>
      <c r="C70" s="98" t="s">
        <v>25</v>
      </c>
      <c r="D70" s="99">
        <v>55.84</v>
      </c>
      <c r="E70" s="100">
        <v>47.46</v>
      </c>
      <c r="F70" s="93"/>
      <c r="H70" s="101"/>
      <c r="J70" s="1">
        <v>0.0</v>
      </c>
      <c r="K70" s="1">
        <v>0.0</v>
      </c>
      <c r="L70" s="1">
        <v>0.0</v>
      </c>
      <c r="M70" s="1">
        <v>0.0</v>
      </c>
    </row>
    <row r="71" ht="15.75" customHeight="1">
      <c r="A71" s="96" t="s">
        <v>1954</v>
      </c>
      <c r="B71" s="97" t="s">
        <v>1955</v>
      </c>
      <c r="C71" s="98" t="s">
        <v>25</v>
      </c>
      <c r="D71" s="99">
        <v>8.11</v>
      </c>
      <c r="E71" s="100">
        <v>6.89</v>
      </c>
      <c r="F71" s="93"/>
      <c r="H71" s="101"/>
      <c r="J71" s="1">
        <v>0.0</v>
      </c>
      <c r="K71" s="1">
        <v>0.0</v>
      </c>
      <c r="L71" s="1">
        <v>0.0</v>
      </c>
      <c r="M71" s="1">
        <v>0.0</v>
      </c>
    </row>
    <row r="72" ht="15.75" customHeight="1">
      <c r="A72" s="96" t="s">
        <v>1956</v>
      </c>
      <c r="B72" s="97" t="s">
        <v>1957</v>
      </c>
      <c r="C72" s="98" t="s">
        <v>25</v>
      </c>
      <c r="D72" s="99">
        <v>13.42</v>
      </c>
      <c r="E72" s="100">
        <v>11.41</v>
      </c>
      <c r="F72" s="93"/>
      <c r="H72" s="101"/>
      <c r="J72" s="1">
        <v>0.0</v>
      </c>
      <c r="K72" s="1">
        <v>0.0</v>
      </c>
      <c r="L72" s="1">
        <v>0.0</v>
      </c>
      <c r="M72" s="1">
        <v>0.0</v>
      </c>
    </row>
    <row r="73" ht="15.75" customHeight="1">
      <c r="A73" s="96" t="s">
        <v>1958</v>
      </c>
      <c r="B73" s="97" t="s">
        <v>1959</v>
      </c>
      <c r="C73" s="98" t="s">
        <v>25</v>
      </c>
      <c r="D73" s="99">
        <v>17.54</v>
      </c>
      <c r="E73" s="100">
        <v>14.91</v>
      </c>
      <c r="F73" s="93"/>
      <c r="H73" s="101"/>
      <c r="J73" s="1">
        <v>0.0</v>
      </c>
      <c r="K73" s="1">
        <v>0.0</v>
      </c>
      <c r="L73" s="1">
        <v>0.0</v>
      </c>
      <c r="M73" s="1">
        <v>0.0</v>
      </c>
    </row>
    <row r="74" ht="15.75" customHeight="1">
      <c r="A74" s="96" t="s">
        <v>1960</v>
      </c>
      <c r="B74" s="97" t="s">
        <v>1961</v>
      </c>
      <c r="C74" s="98" t="s">
        <v>25</v>
      </c>
      <c r="D74" s="99">
        <v>153.06</v>
      </c>
      <c r="E74" s="100">
        <v>130.1</v>
      </c>
      <c r="F74" s="93"/>
      <c r="H74" s="101"/>
      <c r="J74" s="1">
        <v>0.0</v>
      </c>
      <c r="K74" s="1">
        <v>0.0</v>
      </c>
      <c r="L74" s="1">
        <v>0.0</v>
      </c>
      <c r="M74" s="1">
        <v>0.0</v>
      </c>
    </row>
    <row r="75" ht="15.75" customHeight="1">
      <c r="A75" s="96" t="s">
        <v>1962</v>
      </c>
      <c r="B75" s="97" t="s">
        <v>1963</v>
      </c>
      <c r="C75" s="98" t="s">
        <v>25</v>
      </c>
      <c r="D75" s="99">
        <v>87.22</v>
      </c>
      <c r="E75" s="100">
        <v>74.14</v>
      </c>
      <c r="F75" s="93"/>
      <c r="H75" s="101"/>
      <c r="J75" s="1">
        <v>0.0</v>
      </c>
      <c r="K75" s="1">
        <v>0.0</v>
      </c>
      <c r="L75" s="1">
        <v>0.0</v>
      </c>
      <c r="M75" s="1">
        <v>0.0</v>
      </c>
    </row>
    <row r="76" ht="15.75" customHeight="1">
      <c r="A76" s="96" t="s">
        <v>1964</v>
      </c>
      <c r="B76" s="97" t="s">
        <v>1965</v>
      </c>
      <c r="C76" s="98" t="s">
        <v>25</v>
      </c>
      <c r="D76" s="99">
        <v>1.23</v>
      </c>
      <c r="E76" s="100">
        <v>1.05</v>
      </c>
      <c r="F76" s="93"/>
      <c r="H76" s="101"/>
      <c r="J76" s="1">
        <v>0.0</v>
      </c>
      <c r="K76" s="1">
        <v>0.0</v>
      </c>
      <c r="L76" s="1">
        <v>0.0</v>
      </c>
      <c r="M76" s="1">
        <v>0.0</v>
      </c>
    </row>
    <row r="77" ht="15.75" customHeight="1">
      <c r="A77" s="96" t="s">
        <v>1966</v>
      </c>
      <c r="B77" s="97" t="s">
        <v>1967</v>
      </c>
      <c r="C77" s="98" t="s">
        <v>25</v>
      </c>
      <c r="D77" s="99">
        <v>11.04</v>
      </c>
      <c r="E77" s="100">
        <v>9.38</v>
      </c>
      <c r="F77" s="93"/>
      <c r="H77" s="101"/>
      <c r="J77" s="1">
        <v>0.0</v>
      </c>
      <c r="K77" s="1">
        <v>0.0</v>
      </c>
      <c r="L77" s="1">
        <v>0.0</v>
      </c>
      <c r="M77" s="1">
        <v>0.0</v>
      </c>
    </row>
    <row r="78" ht="15.75" customHeight="1">
      <c r="A78" s="96" t="s">
        <v>1968</v>
      </c>
      <c r="B78" s="97" t="s">
        <v>1969</v>
      </c>
      <c r="C78" s="98" t="s">
        <v>25</v>
      </c>
      <c r="D78" s="99">
        <v>7.31</v>
      </c>
      <c r="E78" s="100">
        <v>6.21</v>
      </c>
      <c r="F78" s="93"/>
      <c r="H78" s="101"/>
      <c r="J78" s="1">
        <v>0.0</v>
      </c>
      <c r="K78" s="1">
        <v>0.0</v>
      </c>
      <c r="L78" s="1">
        <v>0.0</v>
      </c>
      <c r="M78" s="1">
        <v>0.0</v>
      </c>
    </row>
    <row r="79" ht="15.75" customHeight="1">
      <c r="A79" s="96" t="s">
        <v>1970</v>
      </c>
      <c r="B79" s="97" t="s">
        <v>1198</v>
      </c>
      <c r="C79" s="98" t="s">
        <v>25</v>
      </c>
      <c r="D79" s="99">
        <v>692.48</v>
      </c>
      <c r="E79" s="100">
        <v>588.61</v>
      </c>
      <c r="F79" s="93"/>
      <c r="H79" s="101"/>
      <c r="J79" s="1">
        <v>0.0</v>
      </c>
      <c r="K79" s="1">
        <v>0.0</v>
      </c>
      <c r="L79" s="1">
        <v>0.0</v>
      </c>
      <c r="M79" s="1">
        <v>0.0</v>
      </c>
    </row>
    <row r="80" ht="15.75" customHeight="1">
      <c r="A80" s="96" t="s">
        <v>1971</v>
      </c>
      <c r="B80" s="97" t="s">
        <v>1972</v>
      </c>
      <c r="C80" s="98" t="s">
        <v>25</v>
      </c>
      <c r="D80" s="99">
        <v>1.96</v>
      </c>
      <c r="E80" s="100">
        <v>1.67</v>
      </c>
      <c r="F80" s="93"/>
      <c r="H80" s="101"/>
      <c r="J80" s="1">
        <v>0.0</v>
      </c>
      <c r="K80" s="1">
        <v>0.0</v>
      </c>
      <c r="L80" s="1">
        <v>0.0</v>
      </c>
      <c r="M80" s="1">
        <v>0.0</v>
      </c>
    </row>
    <row r="81" ht="15.75" customHeight="1">
      <c r="A81" s="96" t="s">
        <v>1973</v>
      </c>
      <c r="B81" s="97" t="s">
        <v>1974</v>
      </c>
      <c r="C81" s="98" t="s">
        <v>25</v>
      </c>
      <c r="D81" s="99">
        <v>8.58</v>
      </c>
      <c r="E81" s="100">
        <v>7.29</v>
      </c>
      <c r="F81" s="93"/>
      <c r="H81" s="101"/>
      <c r="J81" s="1">
        <v>0.0</v>
      </c>
      <c r="K81" s="1">
        <v>0.0</v>
      </c>
      <c r="L81" s="1">
        <v>0.0</v>
      </c>
      <c r="M81" s="1">
        <v>0.0</v>
      </c>
    </row>
    <row r="82" ht="15.75" customHeight="1">
      <c r="A82" s="96" t="s">
        <v>1975</v>
      </c>
      <c r="B82" s="97" t="s">
        <v>1976</v>
      </c>
      <c r="C82" s="98" t="s">
        <v>25</v>
      </c>
      <c r="D82" s="99">
        <v>8.08</v>
      </c>
      <c r="E82" s="100">
        <v>6.87</v>
      </c>
      <c r="F82" s="93"/>
      <c r="H82" s="101"/>
      <c r="J82" s="1">
        <v>0.0</v>
      </c>
      <c r="K82" s="1">
        <v>0.0</v>
      </c>
      <c r="L82" s="1">
        <v>0.0</v>
      </c>
      <c r="M82" s="1">
        <v>0.0</v>
      </c>
    </row>
    <row r="83" ht="15.75" customHeight="1">
      <c r="A83" s="96" t="s">
        <v>1977</v>
      </c>
      <c r="B83" s="97" t="s">
        <v>1586</v>
      </c>
      <c r="C83" s="98" t="s">
        <v>25</v>
      </c>
      <c r="D83" s="99">
        <v>8.08</v>
      </c>
      <c r="E83" s="100">
        <v>6.87</v>
      </c>
      <c r="F83" s="93"/>
      <c r="H83" s="101"/>
      <c r="J83" s="1">
        <v>0.0</v>
      </c>
      <c r="K83" s="1">
        <v>0.0</v>
      </c>
      <c r="L83" s="1">
        <v>0.0</v>
      </c>
      <c r="M83" s="1">
        <v>0.0</v>
      </c>
    </row>
    <row r="84" ht="15.75" customHeight="1">
      <c r="A84" s="96" t="s">
        <v>1978</v>
      </c>
      <c r="B84" s="97" t="s">
        <v>1071</v>
      </c>
      <c r="C84" s="98" t="s">
        <v>25</v>
      </c>
      <c r="D84" s="99">
        <v>22.04</v>
      </c>
      <c r="E84" s="100">
        <v>18.73</v>
      </c>
      <c r="F84" s="93"/>
      <c r="H84" s="101"/>
      <c r="J84" s="1">
        <v>0.0</v>
      </c>
      <c r="K84" s="1">
        <v>0.0</v>
      </c>
      <c r="L84" s="1">
        <v>0.0</v>
      </c>
      <c r="M84" s="1">
        <v>0.0</v>
      </c>
    </row>
    <row r="85" ht="15.75" customHeight="1">
      <c r="A85" s="96" t="s">
        <v>1979</v>
      </c>
      <c r="B85" s="97" t="s">
        <v>1980</v>
      </c>
      <c r="C85" s="98" t="s">
        <v>25</v>
      </c>
      <c r="D85" s="99">
        <v>12.34</v>
      </c>
      <c r="E85" s="100">
        <v>10.49</v>
      </c>
      <c r="F85" s="93"/>
      <c r="H85" s="101"/>
      <c r="J85" s="1">
        <v>0.0</v>
      </c>
      <c r="K85" s="1">
        <v>0.0</v>
      </c>
      <c r="L85" s="1">
        <v>0.0</v>
      </c>
      <c r="M85" s="1">
        <v>0.0</v>
      </c>
    </row>
    <row r="86" ht="15.75" customHeight="1">
      <c r="A86" s="96" t="s">
        <v>1981</v>
      </c>
      <c r="B86" s="97" t="s">
        <v>1982</v>
      </c>
      <c r="C86" s="98" t="s">
        <v>25</v>
      </c>
      <c r="D86" s="99">
        <v>488.32</v>
      </c>
      <c r="E86" s="100">
        <v>415.07</v>
      </c>
      <c r="F86" s="93"/>
      <c r="H86" s="101"/>
      <c r="J86" s="1" t="s">
        <v>915</v>
      </c>
      <c r="K86" s="1">
        <v>0.0</v>
      </c>
      <c r="L86" s="1">
        <v>0.0</v>
      </c>
      <c r="M86" s="1">
        <v>0.0</v>
      </c>
    </row>
    <row r="87" ht="15.75" customHeight="1">
      <c r="A87" s="96" t="s">
        <v>1983</v>
      </c>
      <c r="B87" s="97" t="s">
        <v>1984</v>
      </c>
      <c r="C87" s="98" t="s">
        <v>25</v>
      </c>
      <c r="D87" s="99">
        <v>4.0</v>
      </c>
      <c r="E87" s="100">
        <v>3.4</v>
      </c>
      <c r="F87" s="93"/>
      <c r="H87" s="101"/>
      <c r="J87" s="1">
        <v>0.0</v>
      </c>
      <c r="K87" s="1">
        <v>0.0</v>
      </c>
      <c r="L87" s="1">
        <v>0.0</v>
      </c>
      <c r="M87" s="1">
        <v>0.0</v>
      </c>
    </row>
    <row r="88" ht="15.75" customHeight="1">
      <c r="A88" s="96" t="s">
        <v>1985</v>
      </c>
      <c r="B88" s="97" t="s">
        <v>1179</v>
      </c>
      <c r="C88" s="98" t="s">
        <v>25</v>
      </c>
      <c r="D88" s="99">
        <v>9.15</v>
      </c>
      <c r="E88" s="100">
        <v>7.78</v>
      </c>
      <c r="F88" s="93"/>
      <c r="H88" s="101"/>
      <c r="J88" s="1">
        <v>0.0</v>
      </c>
      <c r="K88" s="1">
        <v>0.0</v>
      </c>
      <c r="L88" s="1">
        <v>0.0</v>
      </c>
      <c r="M88" s="1">
        <v>0.0</v>
      </c>
    </row>
    <row r="89" ht="15.75" customHeight="1">
      <c r="A89" s="96" t="s">
        <v>1986</v>
      </c>
      <c r="B89" s="97" t="s">
        <v>386</v>
      </c>
      <c r="C89" s="98" t="s">
        <v>25</v>
      </c>
      <c r="D89" s="99">
        <v>42.11</v>
      </c>
      <c r="E89" s="100">
        <v>35.79</v>
      </c>
      <c r="F89" s="93"/>
      <c r="H89" s="101"/>
      <c r="J89" s="1">
        <v>0.0</v>
      </c>
      <c r="K89" s="1">
        <v>0.0</v>
      </c>
      <c r="L89" s="1">
        <v>0.0</v>
      </c>
      <c r="M89" s="1">
        <v>0.0</v>
      </c>
    </row>
    <row r="90" ht="15.75" customHeight="1">
      <c r="A90" s="96" t="s">
        <v>1987</v>
      </c>
      <c r="B90" s="97" t="s">
        <v>1528</v>
      </c>
      <c r="C90" s="98" t="s">
        <v>25</v>
      </c>
      <c r="D90" s="99">
        <v>7.19</v>
      </c>
      <c r="E90" s="100">
        <v>6.11</v>
      </c>
      <c r="F90" s="93"/>
      <c r="H90" s="101"/>
      <c r="J90" s="1">
        <v>0.0</v>
      </c>
      <c r="K90" s="1">
        <v>0.0</v>
      </c>
      <c r="L90" s="1">
        <v>0.0</v>
      </c>
      <c r="M90" s="1">
        <v>0.0</v>
      </c>
    </row>
    <row r="91" ht="15.75" customHeight="1">
      <c r="A91" s="96" t="s">
        <v>1988</v>
      </c>
      <c r="B91" s="97" t="s">
        <v>1989</v>
      </c>
      <c r="C91" s="98" t="s">
        <v>25</v>
      </c>
      <c r="D91" s="99">
        <v>0.89</v>
      </c>
      <c r="E91" s="100">
        <v>0.76</v>
      </c>
      <c r="F91" s="93"/>
      <c r="H91" s="101"/>
      <c r="J91" s="1">
        <v>0.0</v>
      </c>
      <c r="K91" s="1">
        <v>0.0</v>
      </c>
      <c r="L91" s="1">
        <v>0.0</v>
      </c>
      <c r="M91" s="1">
        <v>0.0</v>
      </c>
    </row>
    <row r="92" ht="15.75" customHeight="1">
      <c r="A92" s="96" t="s">
        <v>1990</v>
      </c>
      <c r="B92" s="97" t="s">
        <v>1636</v>
      </c>
      <c r="C92" s="98" t="s">
        <v>25</v>
      </c>
      <c r="D92" s="99">
        <v>6.73</v>
      </c>
      <c r="E92" s="100">
        <v>5.72</v>
      </c>
      <c r="F92" s="93"/>
      <c r="H92" s="101"/>
      <c r="J92" s="1">
        <v>0.0</v>
      </c>
      <c r="K92" s="1">
        <v>0.0</v>
      </c>
      <c r="L92" s="1">
        <v>0.0</v>
      </c>
      <c r="M92" s="1">
        <v>0.0</v>
      </c>
    </row>
    <row r="93" ht="15.75" customHeight="1">
      <c r="A93" s="96" t="s">
        <v>1991</v>
      </c>
      <c r="B93" s="97" t="s">
        <v>196</v>
      </c>
      <c r="C93" s="98" t="s">
        <v>25</v>
      </c>
      <c r="D93" s="99">
        <v>13.23</v>
      </c>
      <c r="E93" s="100">
        <v>11.25</v>
      </c>
      <c r="F93" s="93"/>
      <c r="H93" s="101"/>
      <c r="J93" s="1">
        <v>0.0</v>
      </c>
      <c r="K93" s="1">
        <v>0.0</v>
      </c>
      <c r="L93" s="1">
        <v>0.0</v>
      </c>
      <c r="M93" s="1">
        <v>0.0</v>
      </c>
    </row>
    <row r="94" ht="15.75" customHeight="1">
      <c r="A94" s="96" t="s">
        <v>1992</v>
      </c>
      <c r="B94" s="97" t="s">
        <v>1993</v>
      </c>
      <c r="C94" s="98" t="s">
        <v>25</v>
      </c>
      <c r="D94" s="99">
        <v>16.65</v>
      </c>
      <c r="E94" s="100">
        <v>14.15</v>
      </c>
      <c r="F94" s="93"/>
      <c r="H94" s="101"/>
      <c r="J94" s="1">
        <v>0.0</v>
      </c>
      <c r="K94" s="1">
        <v>0.0</v>
      </c>
      <c r="L94" s="1">
        <v>0.0</v>
      </c>
      <c r="M94" s="1">
        <v>0.0</v>
      </c>
    </row>
    <row r="95" ht="15.75" customHeight="1">
      <c r="A95" s="96" t="s">
        <v>1994</v>
      </c>
      <c r="B95" s="97" t="s">
        <v>1995</v>
      </c>
      <c r="C95" s="98" t="s">
        <v>25</v>
      </c>
      <c r="D95" s="99">
        <v>566.84</v>
      </c>
      <c r="E95" s="100">
        <v>481.81</v>
      </c>
      <c r="F95" s="93"/>
      <c r="H95" s="101"/>
      <c r="J95" s="1">
        <v>0.0</v>
      </c>
      <c r="K95" s="1">
        <v>0.0</v>
      </c>
      <c r="L95" s="1">
        <v>0.0</v>
      </c>
      <c r="M95" s="1">
        <v>0.0</v>
      </c>
    </row>
    <row r="96" ht="15.75" customHeight="1">
      <c r="A96" s="96" t="s">
        <v>1996</v>
      </c>
      <c r="B96" s="97" t="s">
        <v>1997</v>
      </c>
      <c r="C96" s="98" t="s">
        <v>25</v>
      </c>
      <c r="D96" s="99">
        <v>784.35</v>
      </c>
      <c r="E96" s="100">
        <v>666.7</v>
      </c>
      <c r="F96" s="93"/>
      <c r="H96" s="101"/>
      <c r="J96" s="1">
        <v>0.0</v>
      </c>
      <c r="K96" s="1">
        <v>0.0</v>
      </c>
      <c r="L96" s="1">
        <v>0.0</v>
      </c>
      <c r="M96" s="1">
        <v>0.0</v>
      </c>
    </row>
    <row r="97" ht="15.75" customHeight="1">
      <c r="A97" s="96" t="s">
        <v>1998</v>
      </c>
      <c r="B97" s="97" t="s">
        <v>1999</v>
      </c>
      <c r="C97" s="98" t="s">
        <v>25</v>
      </c>
      <c r="D97" s="99">
        <v>26.92</v>
      </c>
      <c r="E97" s="100">
        <v>22.88</v>
      </c>
      <c r="F97" s="93"/>
      <c r="H97" s="101"/>
      <c r="J97" s="1">
        <v>0.0</v>
      </c>
      <c r="K97" s="1">
        <v>0.0</v>
      </c>
      <c r="L97" s="1">
        <v>0.0</v>
      </c>
      <c r="M97" s="1">
        <v>0.0</v>
      </c>
    </row>
    <row r="98" ht="15.75" customHeight="1">
      <c r="A98" s="96" t="s">
        <v>2000</v>
      </c>
      <c r="B98" s="97" t="s">
        <v>571</v>
      </c>
      <c r="C98" s="98" t="s">
        <v>25</v>
      </c>
      <c r="D98" s="99">
        <v>92.68</v>
      </c>
      <c r="E98" s="100">
        <v>78.78</v>
      </c>
      <c r="F98" s="93"/>
      <c r="H98" s="101"/>
      <c r="J98" s="1">
        <v>0.0</v>
      </c>
      <c r="K98" s="1">
        <v>0.0</v>
      </c>
      <c r="L98" s="1">
        <v>0.0</v>
      </c>
      <c r="M98" s="1">
        <v>0.0</v>
      </c>
    </row>
    <row r="99" ht="15.75" customHeight="1">
      <c r="A99" s="96" t="s">
        <v>2001</v>
      </c>
      <c r="B99" s="97" t="s">
        <v>1657</v>
      </c>
      <c r="C99" s="98" t="s">
        <v>25</v>
      </c>
      <c r="D99" s="99">
        <v>0.46</v>
      </c>
      <c r="E99" s="100">
        <v>0.39</v>
      </c>
      <c r="F99" s="93"/>
      <c r="H99" s="101"/>
      <c r="J99" s="1">
        <v>0.0</v>
      </c>
      <c r="K99" s="1">
        <v>0.0</v>
      </c>
      <c r="L99" s="1">
        <v>0.0</v>
      </c>
      <c r="M99" s="1">
        <v>0.0</v>
      </c>
    </row>
    <row r="100" ht="15.75" customHeight="1">
      <c r="A100" s="96" t="s">
        <v>2002</v>
      </c>
      <c r="B100" s="97" t="s">
        <v>398</v>
      </c>
      <c r="C100" s="98" t="s">
        <v>25</v>
      </c>
      <c r="D100" s="99">
        <v>123.37</v>
      </c>
      <c r="E100" s="100">
        <v>104.86</v>
      </c>
      <c r="F100" s="93"/>
      <c r="H100" s="101"/>
      <c r="J100" s="1">
        <v>0.0</v>
      </c>
      <c r="K100" s="1">
        <v>0.0</v>
      </c>
      <c r="L100" s="1">
        <v>0.0</v>
      </c>
      <c r="M100" s="1">
        <v>0.0</v>
      </c>
    </row>
    <row r="101" ht="15.75" customHeight="1">
      <c r="A101" s="96" t="s">
        <v>2003</v>
      </c>
      <c r="B101" s="97" t="s">
        <v>2004</v>
      </c>
      <c r="C101" s="98" t="s">
        <v>25</v>
      </c>
      <c r="D101" s="99">
        <v>83.87</v>
      </c>
      <c r="E101" s="100">
        <v>71.29</v>
      </c>
      <c r="F101" s="93"/>
      <c r="H101" s="101"/>
      <c r="J101" s="1">
        <v>0.0</v>
      </c>
      <c r="K101" s="1">
        <v>0.0</v>
      </c>
      <c r="L101" s="1">
        <v>0.0</v>
      </c>
      <c r="M101" s="1">
        <v>0.0</v>
      </c>
    </row>
    <row r="102" ht="15.75" customHeight="1">
      <c r="A102" s="96" t="s">
        <v>2005</v>
      </c>
      <c r="B102" s="97" t="s">
        <v>1098</v>
      </c>
      <c r="C102" s="98" t="s">
        <v>25</v>
      </c>
      <c r="D102" s="99">
        <v>4.69</v>
      </c>
      <c r="E102" s="100">
        <v>3.99</v>
      </c>
      <c r="F102" s="93"/>
      <c r="H102" s="101"/>
      <c r="J102" s="1">
        <v>0.0</v>
      </c>
      <c r="K102" s="1">
        <v>0.0</v>
      </c>
      <c r="L102" s="1">
        <v>0.0</v>
      </c>
      <c r="M102" s="1">
        <v>0.0</v>
      </c>
    </row>
    <row r="103" ht="15.75" customHeight="1">
      <c r="A103" s="96" t="s">
        <v>2006</v>
      </c>
      <c r="B103" s="97" t="s">
        <v>2007</v>
      </c>
      <c r="C103" s="98" t="s">
        <v>25</v>
      </c>
      <c r="D103" s="99">
        <v>0.81</v>
      </c>
      <c r="E103" s="100">
        <v>0.69</v>
      </c>
      <c r="F103" s="93"/>
      <c r="H103" s="101"/>
      <c r="J103" s="1">
        <v>0.0</v>
      </c>
      <c r="K103" s="1">
        <v>0.0</v>
      </c>
      <c r="L103" s="1">
        <v>0.0</v>
      </c>
      <c r="M103" s="1">
        <v>0.0</v>
      </c>
    </row>
    <row r="104" ht="15.75" customHeight="1">
      <c r="A104" s="96" t="s">
        <v>2008</v>
      </c>
      <c r="B104" s="97" t="s">
        <v>2009</v>
      </c>
      <c r="C104" s="98" t="s">
        <v>25</v>
      </c>
      <c r="D104" s="99">
        <v>3.08</v>
      </c>
      <c r="E104" s="100">
        <v>2.62</v>
      </c>
      <c r="F104" s="93"/>
      <c r="H104" s="101"/>
      <c r="J104" s="1">
        <v>0.0</v>
      </c>
      <c r="K104" s="1">
        <v>0.0</v>
      </c>
      <c r="L104" s="1">
        <v>0.0</v>
      </c>
      <c r="M104" s="1">
        <v>0.0</v>
      </c>
    </row>
    <row r="105" ht="15.75" customHeight="1">
      <c r="A105" s="96" t="s">
        <v>2010</v>
      </c>
      <c r="B105" s="97" t="s">
        <v>2011</v>
      </c>
      <c r="C105" s="98" t="s">
        <v>25</v>
      </c>
      <c r="D105" s="99">
        <v>7.31</v>
      </c>
      <c r="E105" s="100">
        <v>6.21</v>
      </c>
      <c r="F105" s="93"/>
      <c r="H105" s="101"/>
      <c r="J105" s="1">
        <v>0.0</v>
      </c>
      <c r="K105" s="1">
        <v>0.0</v>
      </c>
      <c r="L105" s="1">
        <v>0.0</v>
      </c>
      <c r="M105" s="1">
        <v>0.0</v>
      </c>
    </row>
    <row r="106" ht="15.75" customHeight="1">
      <c r="A106" s="96" t="s">
        <v>2012</v>
      </c>
      <c r="B106" s="97" t="s">
        <v>2013</v>
      </c>
      <c r="C106" s="98" t="s">
        <v>25</v>
      </c>
      <c r="D106" s="99">
        <v>100.41</v>
      </c>
      <c r="E106" s="100">
        <v>85.35</v>
      </c>
      <c r="F106" s="93"/>
      <c r="H106" s="101"/>
      <c r="J106" s="1">
        <v>0.0</v>
      </c>
      <c r="K106" s="1">
        <v>0.0</v>
      </c>
      <c r="L106" s="1">
        <v>0.0</v>
      </c>
      <c r="M106" s="1">
        <v>0.0</v>
      </c>
    </row>
    <row r="107" ht="15.75" customHeight="1">
      <c r="A107" s="96" t="s">
        <v>2014</v>
      </c>
      <c r="B107" s="97" t="s">
        <v>2015</v>
      </c>
      <c r="C107" s="98" t="s">
        <v>25</v>
      </c>
      <c r="D107" s="99">
        <v>1.96</v>
      </c>
      <c r="E107" s="100">
        <v>1.67</v>
      </c>
      <c r="F107" s="93"/>
      <c r="H107" s="101"/>
      <c r="J107" s="1">
        <v>0.0</v>
      </c>
      <c r="K107" s="1">
        <v>0.0</v>
      </c>
      <c r="L107" s="1">
        <v>0.0</v>
      </c>
      <c r="M107" s="1">
        <v>0.0</v>
      </c>
    </row>
    <row r="108" ht="15.75" customHeight="1">
      <c r="A108" s="96" t="s">
        <v>2016</v>
      </c>
      <c r="B108" s="97" t="s">
        <v>2017</v>
      </c>
      <c r="C108" s="98" t="s">
        <v>25</v>
      </c>
      <c r="D108" s="99">
        <v>40.73</v>
      </c>
      <c r="E108" s="100">
        <v>34.62</v>
      </c>
      <c r="F108" s="93"/>
      <c r="H108" s="101"/>
      <c r="J108" s="1">
        <v>0.0</v>
      </c>
      <c r="K108" s="1">
        <v>0.0</v>
      </c>
      <c r="L108" s="1">
        <v>0.0</v>
      </c>
      <c r="M108" s="1">
        <v>0.0</v>
      </c>
    </row>
    <row r="109" ht="15.75" customHeight="1">
      <c r="A109" s="96" t="s">
        <v>2018</v>
      </c>
      <c r="B109" s="97" t="s">
        <v>2019</v>
      </c>
      <c r="C109" s="98" t="s">
        <v>25</v>
      </c>
      <c r="D109" s="99">
        <v>3.81</v>
      </c>
      <c r="E109" s="100">
        <v>3.24</v>
      </c>
      <c r="F109" s="93"/>
      <c r="H109" s="101"/>
      <c r="J109" s="1">
        <v>0.0</v>
      </c>
      <c r="K109" s="1">
        <v>0.0</v>
      </c>
      <c r="L109" s="1">
        <v>0.0</v>
      </c>
      <c r="M109" s="1">
        <v>0.0</v>
      </c>
    </row>
    <row r="110" ht="15.75" customHeight="1">
      <c r="A110" s="96" t="s">
        <v>2020</v>
      </c>
      <c r="B110" s="97" t="s">
        <v>2021</v>
      </c>
      <c r="C110" s="98" t="s">
        <v>25</v>
      </c>
      <c r="D110" s="99">
        <v>10.04</v>
      </c>
      <c r="E110" s="100">
        <v>8.53</v>
      </c>
      <c r="F110" s="93"/>
      <c r="H110" s="101"/>
      <c r="J110" s="1">
        <v>0.0</v>
      </c>
      <c r="K110" s="1">
        <v>0.0</v>
      </c>
      <c r="L110" s="1">
        <v>0.0</v>
      </c>
      <c r="M110" s="1">
        <v>0.0</v>
      </c>
    </row>
    <row r="111" ht="15.75" customHeight="1">
      <c r="A111" s="96" t="s">
        <v>2022</v>
      </c>
      <c r="B111" s="97" t="s">
        <v>480</v>
      </c>
      <c r="C111" s="98" t="s">
        <v>25</v>
      </c>
      <c r="D111" s="99">
        <v>15.65</v>
      </c>
      <c r="E111" s="100">
        <v>13.3</v>
      </c>
      <c r="F111" s="93"/>
      <c r="H111" s="101"/>
      <c r="J111" s="1">
        <v>0.0</v>
      </c>
      <c r="K111" s="1">
        <v>0.0</v>
      </c>
      <c r="L111" s="1">
        <v>0.0</v>
      </c>
      <c r="M111" s="1">
        <v>0.0</v>
      </c>
    </row>
    <row r="112" ht="15.75" customHeight="1">
      <c r="A112" s="96" t="s">
        <v>2023</v>
      </c>
      <c r="B112" s="97" t="s">
        <v>2024</v>
      </c>
      <c r="C112" s="98" t="s">
        <v>25</v>
      </c>
      <c r="D112" s="99">
        <v>11.81</v>
      </c>
      <c r="E112" s="100">
        <v>10.04</v>
      </c>
      <c r="F112" s="93"/>
      <c r="H112" s="101"/>
      <c r="J112" s="1">
        <v>0.0</v>
      </c>
      <c r="K112" s="1">
        <v>0.0</v>
      </c>
      <c r="L112" s="1">
        <v>0.0</v>
      </c>
      <c r="M112" s="1">
        <v>0.0</v>
      </c>
    </row>
    <row r="113" ht="15.75" customHeight="1">
      <c r="A113" s="96" t="s">
        <v>2025</v>
      </c>
      <c r="B113" s="97" t="s">
        <v>2026</v>
      </c>
      <c r="C113" s="98" t="s">
        <v>25</v>
      </c>
      <c r="D113" s="99">
        <v>1.04</v>
      </c>
      <c r="E113" s="100">
        <v>0.88</v>
      </c>
      <c r="F113" s="93"/>
      <c r="H113" s="101"/>
      <c r="J113" s="1">
        <v>0.0</v>
      </c>
      <c r="K113" s="1">
        <v>0.0</v>
      </c>
      <c r="L113" s="1">
        <v>0.0</v>
      </c>
      <c r="M113" s="1">
        <v>0.0</v>
      </c>
    </row>
    <row r="114" ht="15.75" customHeight="1">
      <c r="A114" s="96" t="s">
        <v>2027</v>
      </c>
      <c r="B114" s="97" t="s">
        <v>2028</v>
      </c>
      <c r="C114" s="98" t="s">
        <v>25</v>
      </c>
      <c r="D114" s="99">
        <v>33.73</v>
      </c>
      <c r="E114" s="100">
        <v>28.67</v>
      </c>
      <c r="F114" s="93"/>
      <c r="H114" s="101"/>
      <c r="J114" s="1">
        <v>0.0</v>
      </c>
      <c r="K114" s="1">
        <v>0.0</v>
      </c>
      <c r="L114" s="1">
        <v>0.0</v>
      </c>
      <c r="M114" s="1">
        <v>0.0</v>
      </c>
    </row>
    <row r="115" ht="15.75" customHeight="1">
      <c r="A115" s="96" t="s">
        <v>2029</v>
      </c>
      <c r="B115" s="97" t="s">
        <v>260</v>
      </c>
      <c r="C115" s="98" t="s">
        <v>25</v>
      </c>
      <c r="D115" s="99">
        <v>274.62</v>
      </c>
      <c r="E115" s="100">
        <v>233.43</v>
      </c>
      <c r="F115" s="93"/>
      <c r="H115" s="101"/>
      <c r="J115" s="1">
        <v>0.0</v>
      </c>
      <c r="K115" s="1">
        <v>0.0</v>
      </c>
      <c r="L115" s="1">
        <v>0.0</v>
      </c>
      <c r="M115" s="1">
        <v>0.0</v>
      </c>
    </row>
    <row r="116" ht="15.75" customHeight="1">
      <c r="A116" s="96" t="s">
        <v>2030</v>
      </c>
      <c r="B116" s="97" t="s">
        <v>1256</v>
      </c>
      <c r="C116" s="98" t="s">
        <v>25</v>
      </c>
      <c r="D116" s="99">
        <v>16.0</v>
      </c>
      <c r="E116" s="100">
        <v>13.6</v>
      </c>
      <c r="F116" s="93"/>
      <c r="H116" s="101"/>
      <c r="J116" s="1">
        <v>0.0</v>
      </c>
      <c r="K116" s="1">
        <v>0.0</v>
      </c>
      <c r="L116" s="1">
        <v>0.0</v>
      </c>
      <c r="M116" s="1">
        <v>0.0</v>
      </c>
    </row>
    <row r="117" ht="15.75" customHeight="1">
      <c r="A117" s="96" t="s">
        <v>2031</v>
      </c>
      <c r="B117" s="97" t="s">
        <v>2032</v>
      </c>
      <c r="C117" s="98" t="s">
        <v>25</v>
      </c>
      <c r="D117" s="99">
        <v>25.5</v>
      </c>
      <c r="E117" s="100">
        <v>21.68</v>
      </c>
      <c r="F117" s="93"/>
      <c r="H117" s="101"/>
      <c r="J117" s="1">
        <v>0.0</v>
      </c>
      <c r="K117" s="1">
        <v>0.0</v>
      </c>
      <c r="L117" s="1">
        <v>0.0</v>
      </c>
      <c r="M117" s="1">
        <v>0.0</v>
      </c>
    </row>
    <row r="118" ht="15.75" customHeight="1">
      <c r="A118" s="96" t="s">
        <v>2033</v>
      </c>
      <c r="B118" s="97" t="s">
        <v>1630</v>
      </c>
      <c r="C118" s="98" t="s">
        <v>25</v>
      </c>
      <c r="D118" s="99">
        <v>1.19</v>
      </c>
      <c r="E118" s="100">
        <v>1.01</v>
      </c>
      <c r="F118" s="93"/>
      <c r="H118" s="101"/>
      <c r="J118" s="1">
        <v>0.0</v>
      </c>
      <c r="K118" s="1">
        <v>0.0</v>
      </c>
      <c r="L118" s="1">
        <v>0.0</v>
      </c>
      <c r="M118" s="1">
        <v>0.0</v>
      </c>
    </row>
    <row r="119" ht="15.75" customHeight="1">
      <c r="A119" s="96" t="s">
        <v>2034</v>
      </c>
      <c r="B119" s="97" t="s">
        <v>2035</v>
      </c>
      <c r="C119" s="98" t="s">
        <v>25</v>
      </c>
      <c r="D119" s="99">
        <v>10.96</v>
      </c>
      <c r="E119" s="100">
        <v>9.32</v>
      </c>
      <c r="F119" s="93"/>
      <c r="H119" s="101"/>
      <c r="J119" s="1">
        <v>0.0</v>
      </c>
      <c r="K119" s="1">
        <v>0.0</v>
      </c>
      <c r="L119" s="1">
        <v>0.0</v>
      </c>
      <c r="M119" s="1">
        <v>0.0</v>
      </c>
    </row>
    <row r="120" ht="15.75" customHeight="1">
      <c r="A120" s="96" t="s">
        <v>2036</v>
      </c>
      <c r="B120" s="97" t="s">
        <v>2037</v>
      </c>
      <c r="C120" s="98" t="s">
        <v>25</v>
      </c>
      <c r="D120" s="99">
        <v>47.38</v>
      </c>
      <c r="E120" s="100">
        <v>40.27</v>
      </c>
      <c r="F120" s="93"/>
      <c r="H120" s="101"/>
      <c r="J120" s="1">
        <v>0.0</v>
      </c>
      <c r="K120" s="1">
        <v>0.0</v>
      </c>
      <c r="L120" s="1">
        <v>0.0</v>
      </c>
      <c r="M120" s="1">
        <v>0.0</v>
      </c>
    </row>
    <row r="121" ht="15.75" customHeight="1">
      <c r="A121" s="96" t="s">
        <v>2038</v>
      </c>
      <c r="B121" s="97" t="s">
        <v>2039</v>
      </c>
      <c r="C121" s="98" t="s">
        <v>25</v>
      </c>
      <c r="D121" s="99">
        <v>23.0</v>
      </c>
      <c r="E121" s="100">
        <v>19.55</v>
      </c>
      <c r="F121" s="93"/>
      <c r="H121" s="101"/>
      <c r="J121" s="1">
        <v>0.0</v>
      </c>
      <c r="K121" s="1">
        <v>0.0</v>
      </c>
      <c r="L121" s="1">
        <v>0.0</v>
      </c>
      <c r="M121" s="1">
        <v>0.0</v>
      </c>
    </row>
    <row r="122" ht="15.75" customHeight="1">
      <c r="A122" s="96" t="s">
        <v>2040</v>
      </c>
      <c r="B122" s="97" t="s">
        <v>2041</v>
      </c>
      <c r="C122" s="98" t="s">
        <v>25</v>
      </c>
      <c r="D122" s="99">
        <v>14.57</v>
      </c>
      <c r="E122" s="100">
        <v>12.38</v>
      </c>
      <c r="F122" s="93"/>
      <c r="H122" s="101"/>
      <c r="J122" s="1">
        <v>0.0</v>
      </c>
      <c r="K122" s="1">
        <v>0.0</v>
      </c>
      <c r="L122" s="1">
        <v>0.0</v>
      </c>
      <c r="M122" s="1">
        <v>0.0</v>
      </c>
    </row>
    <row r="123" ht="15.75" customHeight="1">
      <c r="A123" s="96" t="s">
        <v>2042</v>
      </c>
      <c r="B123" s="97" t="s">
        <v>2043</v>
      </c>
      <c r="C123" s="98" t="s">
        <v>25</v>
      </c>
      <c r="D123" s="99">
        <v>2.38</v>
      </c>
      <c r="E123" s="100">
        <v>2.02</v>
      </c>
      <c r="F123" s="93"/>
      <c r="H123" s="101"/>
      <c r="J123" s="1">
        <v>0.0</v>
      </c>
      <c r="K123" s="1">
        <v>0.0</v>
      </c>
      <c r="L123" s="1">
        <v>0.0</v>
      </c>
      <c r="M123" s="1">
        <v>0.0</v>
      </c>
    </row>
    <row r="124" ht="15.75" customHeight="1">
      <c r="A124" s="96" t="s">
        <v>2044</v>
      </c>
      <c r="B124" s="97" t="s">
        <v>815</v>
      </c>
      <c r="C124" s="98" t="s">
        <v>25</v>
      </c>
      <c r="D124" s="99">
        <v>1078.24</v>
      </c>
      <c r="E124" s="100">
        <v>916.5</v>
      </c>
      <c r="F124" s="93"/>
      <c r="H124" s="101"/>
      <c r="J124" s="1">
        <v>0.0</v>
      </c>
      <c r="K124" s="1">
        <v>0.0</v>
      </c>
      <c r="L124" s="1">
        <v>0.0</v>
      </c>
      <c r="M124" s="1">
        <v>0.0</v>
      </c>
    </row>
    <row r="125" ht="15.75" customHeight="1">
      <c r="A125" s="96" t="s">
        <v>2045</v>
      </c>
      <c r="B125" s="97" t="s">
        <v>1228</v>
      </c>
      <c r="C125" s="98" t="s">
        <v>25</v>
      </c>
      <c r="D125" s="99">
        <v>100.87</v>
      </c>
      <c r="E125" s="100">
        <v>85.74</v>
      </c>
      <c r="F125" s="93"/>
      <c r="H125" s="101"/>
      <c r="J125" s="1">
        <v>0.0</v>
      </c>
      <c r="K125" s="1">
        <v>0.0</v>
      </c>
      <c r="L125" s="1">
        <v>0.0</v>
      </c>
      <c r="M125" s="1">
        <v>0.0</v>
      </c>
    </row>
    <row r="126" ht="15.75" customHeight="1">
      <c r="A126" s="96" t="s">
        <v>2046</v>
      </c>
      <c r="B126" s="97" t="s">
        <v>918</v>
      </c>
      <c r="C126" s="98" t="s">
        <v>25</v>
      </c>
      <c r="D126" s="99">
        <v>111.25</v>
      </c>
      <c r="E126" s="100">
        <v>94.56</v>
      </c>
      <c r="F126" s="93"/>
      <c r="H126" s="101"/>
      <c r="J126" s="1">
        <v>0.0</v>
      </c>
      <c r="K126" s="1">
        <v>0.0</v>
      </c>
      <c r="L126" s="1">
        <v>0.0</v>
      </c>
      <c r="M126" s="1">
        <v>0.0</v>
      </c>
    </row>
    <row r="127" ht="15.75" customHeight="1">
      <c r="A127" s="96" t="s">
        <v>2047</v>
      </c>
      <c r="B127" s="97" t="s">
        <v>891</v>
      </c>
      <c r="C127" s="98" t="s">
        <v>25</v>
      </c>
      <c r="D127" s="99">
        <v>120.56</v>
      </c>
      <c r="E127" s="100">
        <v>102.48</v>
      </c>
      <c r="F127" s="93"/>
      <c r="H127" s="101"/>
      <c r="J127" s="1">
        <v>0.0</v>
      </c>
      <c r="K127" s="1">
        <v>0.0</v>
      </c>
      <c r="L127" s="1">
        <v>0.0</v>
      </c>
      <c r="M127" s="1">
        <v>0.0</v>
      </c>
    </row>
    <row r="128" ht="15.75" customHeight="1">
      <c r="A128" s="96" t="s">
        <v>2048</v>
      </c>
      <c r="B128" s="97" t="s">
        <v>585</v>
      </c>
      <c r="C128" s="98" t="s">
        <v>25</v>
      </c>
      <c r="D128" s="99">
        <v>131.21</v>
      </c>
      <c r="E128" s="100">
        <v>111.53</v>
      </c>
      <c r="F128" s="93"/>
      <c r="H128" s="101"/>
      <c r="J128" s="1">
        <v>0.0</v>
      </c>
      <c r="K128" s="1">
        <v>0.0</v>
      </c>
      <c r="L128" s="1">
        <v>0.0</v>
      </c>
      <c r="M128" s="1">
        <v>0.0</v>
      </c>
    </row>
    <row r="129" ht="15.75" customHeight="1">
      <c r="A129" s="96" t="s">
        <v>2049</v>
      </c>
      <c r="B129" s="97" t="s">
        <v>806</v>
      </c>
      <c r="C129" s="98" t="s">
        <v>25</v>
      </c>
      <c r="D129" s="99">
        <v>141.79</v>
      </c>
      <c r="E129" s="100">
        <v>120.52</v>
      </c>
      <c r="F129" s="93"/>
      <c r="H129" s="101"/>
      <c r="J129" s="1">
        <v>0.0</v>
      </c>
      <c r="K129" s="1">
        <v>0.0</v>
      </c>
      <c r="L129" s="1">
        <v>0.0</v>
      </c>
      <c r="M129" s="1">
        <v>0.0</v>
      </c>
      <c r="P129" s="90">
        <v>288.0</v>
      </c>
      <c r="Q129" s="90">
        <v>100.0</v>
      </c>
    </row>
    <row r="130" ht="15.75" customHeight="1">
      <c r="A130" s="96" t="s">
        <v>2050</v>
      </c>
      <c r="B130" s="97" t="s">
        <v>2051</v>
      </c>
      <c r="C130" s="98" t="s">
        <v>25</v>
      </c>
      <c r="D130" s="99">
        <v>168.48</v>
      </c>
      <c r="E130" s="100">
        <v>143.21</v>
      </c>
      <c r="F130" s="93"/>
      <c r="H130" s="101"/>
      <c r="J130" s="1">
        <v>0.0</v>
      </c>
      <c r="K130" s="1">
        <v>0.0</v>
      </c>
      <c r="L130" s="1">
        <v>0.0</v>
      </c>
      <c r="M130" s="1">
        <v>0.0</v>
      </c>
      <c r="P130" s="90">
        <v>439.0</v>
      </c>
      <c r="Q130" s="1">
        <f>P130*Q129/P129</f>
        <v>152.4305556</v>
      </c>
    </row>
    <row r="131" ht="15.75" customHeight="1">
      <c r="A131" s="96" t="s">
        <v>2052</v>
      </c>
      <c r="B131" s="97" t="s">
        <v>2053</v>
      </c>
      <c r="C131" s="98" t="s">
        <v>25</v>
      </c>
      <c r="D131" s="99">
        <v>236.51</v>
      </c>
      <c r="E131" s="100">
        <v>201.03</v>
      </c>
      <c r="F131" s="93"/>
      <c r="H131" s="101"/>
      <c r="J131" s="1">
        <v>0.0</v>
      </c>
      <c r="K131" s="1">
        <v>0.0</v>
      </c>
      <c r="L131" s="1">
        <v>0.0</v>
      </c>
      <c r="M131" s="1">
        <v>0.0</v>
      </c>
    </row>
    <row r="132" ht="15.75" customHeight="1">
      <c r="A132" s="96" t="s">
        <v>2054</v>
      </c>
      <c r="B132" s="97" t="s">
        <v>851</v>
      </c>
      <c r="C132" s="98" t="s">
        <v>25</v>
      </c>
      <c r="D132" s="99">
        <v>223.35</v>
      </c>
      <c r="E132" s="100">
        <v>189.85</v>
      </c>
      <c r="F132" s="93"/>
      <c r="H132" s="101"/>
      <c r="J132" s="1">
        <v>0.0</v>
      </c>
      <c r="K132" s="1">
        <v>0.0</v>
      </c>
      <c r="L132" s="1">
        <v>0.0</v>
      </c>
      <c r="M132" s="1">
        <v>0.0</v>
      </c>
    </row>
    <row r="133" ht="15.75" customHeight="1">
      <c r="A133" s="96" t="s">
        <v>2055</v>
      </c>
      <c r="B133" s="97" t="s">
        <v>2056</v>
      </c>
      <c r="C133" s="98" t="s">
        <v>25</v>
      </c>
      <c r="D133" s="99">
        <v>41.53</v>
      </c>
      <c r="E133" s="100">
        <v>35.3</v>
      </c>
      <c r="F133" s="93"/>
      <c r="H133" s="101"/>
      <c r="J133" s="1">
        <v>0.0</v>
      </c>
      <c r="K133" s="1">
        <v>0.0</v>
      </c>
      <c r="L133" s="1">
        <v>0.0</v>
      </c>
      <c r="M133" s="1">
        <v>0.0</v>
      </c>
    </row>
    <row r="134" ht="15.75" customHeight="1">
      <c r="A134" s="96" t="s">
        <v>2057</v>
      </c>
      <c r="B134" s="97" t="s">
        <v>2058</v>
      </c>
      <c r="C134" s="98" t="s">
        <v>25</v>
      </c>
      <c r="D134" s="99">
        <v>430.79</v>
      </c>
      <c r="E134" s="100">
        <v>366.17</v>
      </c>
      <c r="F134" s="93"/>
      <c r="H134" s="101"/>
      <c r="J134" s="1">
        <v>0.0</v>
      </c>
      <c r="K134" s="1">
        <v>0.0</v>
      </c>
      <c r="L134" s="1">
        <v>0.0</v>
      </c>
      <c r="M134" s="1">
        <v>0.0</v>
      </c>
    </row>
    <row r="135" ht="15.75" customHeight="1">
      <c r="A135" s="96" t="s">
        <v>2059</v>
      </c>
      <c r="B135" s="97" t="s">
        <v>2060</v>
      </c>
      <c r="C135" s="98" t="s">
        <v>25</v>
      </c>
      <c r="D135" s="99">
        <v>0.69</v>
      </c>
      <c r="E135" s="100">
        <v>0.59</v>
      </c>
      <c r="F135" s="93"/>
      <c r="H135" s="101"/>
      <c r="J135" s="1">
        <v>0.0</v>
      </c>
      <c r="K135" s="1">
        <v>0.0</v>
      </c>
      <c r="L135" s="1">
        <v>0.0</v>
      </c>
      <c r="M135" s="1">
        <v>0.0</v>
      </c>
    </row>
    <row r="136" ht="15.75" customHeight="1">
      <c r="A136" s="96" t="s">
        <v>2061</v>
      </c>
      <c r="B136" s="97" t="s">
        <v>2062</v>
      </c>
      <c r="C136" s="98" t="s">
        <v>25</v>
      </c>
      <c r="D136" s="99">
        <v>145.09</v>
      </c>
      <c r="E136" s="100">
        <v>123.33</v>
      </c>
      <c r="F136" s="93"/>
      <c r="H136" s="101"/>
      <c r="J136" s="1">
        <v>0.0</v>
      </c>
      <c r="K136" s="1">
        <v>0.0</v>
      </c>
      <c r="L136" s="1">
        <v>0.0</v>
      </c>
      <c r="M136" s="1">
        <v>0.0</v>
      </c>
    </row>
    <row r="137" ht="15.75" customHeight="1">
      <c r="A137" s="96" t="s">
        <v>2063</v>
      </c>
      <c r="B137" s="97" t="s">
        <v>2064</v>
      </c>
      <c r="C137" s="98" t="s">
        <v>25</v>
      </c>
      <c r="D137" s="99">
        <v>64.26</v>
      </c>
      <c r="E137" s="100">
        <v>54.62</v>
      </c>
      <c r="F137" s="93"/>
      <c r="H137" s="101"/>
      <c r="J137" s="1">
        <v>0.0</v>
      </c>
      <c r="K137" s="1">
        <v>0.0</v>
      </c>
      <c r="L137" s="1">
        <v>0.0</v>
      </c>
      <c r="M137" s="1">
        <v>0.0</v>
      </c>
    </row>
    <row r="138" ht="15.75" customHeight="1">
      <c r="A138" s="96" t="s">
        <v>2065</v>
      </c>
      <c r="B138" s="97" t="s">
        <v>2066</v>
      </c>
      <c r="C138" s="98" t="s">
        <v>25</v>
      </c>
      <c r="D138" s="99">
        <v>1224.6</v>
      </c>
      <c r="E138" s="100">
        <v>1040.91</v>
      </c>
      <c r="F138" s="93"/>
      <c r="H138" s="101"/>
      <c r="J138" s="1">
        <v>0.0</v>
      </c>
      <c r="K138" s="1">
        <v>0.0</v>
      </c>
      <c r="L138" s="1">
        <v>0.0</v>
      </c>
      <c r="M138" s="1">
        <v>0.0</v>
      </c>
    </row>
    <row r="139" ht="15.75" customHeight="1">
      <c r="A139" s="96" t="s">
        <v>2067</v>
      </c>
      <c r="B139" s="97" t="s">
        <v>2068</v>
      </c>
      <c r="C139" s="98" t="s">
        <v>25</v>
      </c>
      <c r="D139" s="99">
        <v>35.53</v>
      </c>
      <c r="E139" s="100">
        <v>30.2</v>
      </c>
      <c r="F139" s="93"/>
      <c r="H139" s="101"/>
      <c r="J139" s="1">
        <v>0.0</v>
      </c>
      <c r="K139" s="1">
        <v>0.0</v>
      </c>
      <c r="L139" s="1">
        <v>0.0</v>
      </c>
      <c r="M139" s="1">
        <v>0.0</v>
      </c>
    </row>
    <row r="140" ht="15.75" customHeight="1">
      <c r="A140" s="96" t="s">
        <v>2069</v>
      </c>
      <c r="B140" s="97" t="s">
        <v>2070</v>
      </c>
      <c r="C140" s="98" t="s">
        <v>25</v>
      </c>
      <c r="D140" s="99">
        <v>414.9</v>
      </c>
      <c r="E140" s="100">
        <v>352.67</v>
      </c>
      <c r="F140" s="93"/>
      <c r="H140" s="101"/>
      <c r="J140" s="1">
        <v>0.0</v>
      </c>
      <c r="K140" s="1">
        <v>0.0</v>
      </c>
      <c r="L140" s="1">
        <v>0.0</v>
      </c>
      <c r="M140" s="1">
        <v>0.0</v>
      </c>
    </row>
    <row r="141" ht="15.75" customHeight="1">
      <c r="A141" s="96" t="s">
        <v>2071</v>
      </c>
      <c r="B141" s="97" t="s">
        <v>295</v>
      </c>
      <c r="C141" s="98" t="s">
        <v>25</v>
      </c>
      <c r="D141" s="99">
        <v>3313.85</v>
      </c>
      <c r="E141" s="100">
        <v>2816.77</v>
      </c>
      <c r="F141" s="93"/>
      <c r="H141" s="101"/>
      <c r="J141" s="1">
        <v>0.0</v>
      </c>
      <c r="K141" s="1">
        <v>0.0</v>
      </c>
      <c r="L141" s="1">
        <v>0.0</v>
      </c>
      <c r="M141" s="1">
        <v>0.0</v>
      </c>
    </row>
    <row r="142" ht="15.75" customHeight="1">
      <c r="A142" s="96" t="s">
        <v>2072</v>
      </c>
      <c r="B142" s="97" t="s">
        <v>630</v>
      </c>
      <c r="C142" s="98" t="s">
        <v>25</v>
      </c>
      <c r="D142" s="99">
        <v>100.29</v>
      </c>
      <c r="E142" s="100">
        <v>85.25</v>
      </c>
      <c r="F142" s="93"/>
      <c r="H142" s="101"/>
      <c r="J142" s="1">
        <v>0.0</v>
      </c>
      <c r="K142" s="1">
        <v>0.0</v>
      </c>
      <c r="L142" s="1">
        <v>0.0</v>
      </c>
      <c r="M142" s="1">
        <v>0.0</v>
      </c>
    </row>
    <row r="143" ht="15.75" customHeight="1">
      <c r="A143" s="96" t="s">
        <v>2073</v>
      </c>
      <c r="B143" s="97" t="s">
        <v>474</v>
      </c>
      <c r="C143" s="98" t="s">
        <v>25</v>
      </c>
      <c r="D143" s="99">
        <v>754.93</v>
      </c>
      <c r="E143" s="100">
        <v>641.69</v>
      </c>
      <c r="F143" s="93"/>
      <c r="H143" s="101"/>
      <c r="J143" s="1">
        <v>0.0</v>
      </c>
      <c r="K143" s="1">
        <v>0.0</v>
      </c>
      <c r="L143" s="1">
        <v>0.0</v>
      </c>
      <c r="M143" s="1">
        <v>0.0</v>
      </c>
    </row>
    <row r="144" ht="15.75" customHeight="1">
      <c r="A144" s="96" t="s">
        <v>2074</v>
      </c>
      <c r="B144" s="97" t="s">
        <v>2075</v>
      </c>
      <c r="C144" s="98" t="s">
        <v>25</v>
      </c>
      <c r="D144" s="99">
        <v>313.88</v>
      </c>
      <c r="E144" s="100">
        <v>266.8</v>
      </c>
      <c r="F144" s="93"/>
      <c r="H144" s="101"/>
      <c r="J144" s="1">
        <v>0.0</v>
      </c>
      <c r="K144" s="1">
        <v>0.0</v>
      </c>
      <c r="L144" s="1">
        <v>0.0</v>
      </c>
      <c r="M144" s="1">
        <v>0.0</v>
      </c>
    </row>
    <row r="145" ht="15.75" customHeight="1">
      <c r="A145" s="96" t="s">
        <v>2076</v>
      </c>
      <c r="B145" s="97" t="s">
        <v>921</v>
      </c>
      <c r="C145" s="98" t="s">
        <v>25</v>
      </c>
      <c r="D145" s="99">
        <v>94.95</v>
      </c>
      <c r="E145" s="100">
        <v>80.71</v>
      </c>
      <c r="F145" s="93"/>
      <c r="H145" s="101"/>
      <c r="J145" s="1">
        <v>0.0</v>
      </c>
      <c r="K145" s="1">
        <v>0.0</v>
      </c>
      <c r="L145" s="1">
        <v>0.0</v>
      </c>
      <c r="M145" s="1">
        <v>0.0</v>
      </c>
    </row>
    <row r="146" ht="15.75" customHeight="1">
      <c r="A146" s="96" t="s">
        <v>2077</v>
      </c>
      <c r="B146" s="97" t="s">
        <v>507</v>
      </c>
      <c r="C146" s="98" t="s">
        <v>25</v>
      </c>
      <c r="D146" s="99">
        <v>86.76</v>
      </c>
      <c r="E146" s="100">
        <v>73.75</v>
      </c>
      <c r="F146" s="93"/>
      <c r="H146" s="101"/>
      <c r="J146" s="1">
        <v>0.0</v>
      </c>
      <c r="K146" s="1">
        <v>0.0</v>
      </c>
      <c r="L146" s="1">
        <v>0.0</v>
      </c>
      <c r="M146" s="1">
        <v>0.0</v>
      </c>
    </row>
    <row r="147" ht="15.75" customHeight="1">
      <c r="A147" s="96" t="s">
        <v>2078</v>
      </c>
      <c r="B147" s="97" t="s">
        <v>2079</v>
      </c>
      <c r="C147" s="98" t="s">
        <v>25</v>
      </c>
      <c r="D147" s="99">
        <v>15.04</v>
      </c>
      <c r="E147" s="100">
        <v>12.78</v>
      </c>
      <c r="F147" s="93"/>
      <c r="H147" s="101"/>
      <c r="J147" s="1">
        <v>0.0</v>
      </c>
      <c r="K147" s="1">
        <v>0.0</v>
      </c>
      <c r="L147" s="1">
        <v>0.0</v>
      </c>
      <c r="M147" s="1">
        <v>0.0</v>
      </c>
    </row>
    <row r="148" ht="15.75" customHeight="1">
      <c r="A148" s="96" t="s">
        <v>2080</v>
      </c>
      <c r="B148" s="97" t="s">
        <v>2081</v>
      </c>
      <c r="C148" s="98" t="s">
        <v>25</v>
      </c>
      <c r="D148" s="99">
        <v>4.0</v>
      </c>
      <c r="E148" s="100">
        <v>3.4</v>
      </c>
      <c r="F148" s="93"/>
      <c r="H148" s="101"/>
      <c r="J148" s="1">
        <v>0.0</v>
      </c>
      <c r="K148" s="1">
        <v>0.0</v>
      </c>
      <c r="L148" s="1">
        <v>0.0</v>
      </c>
      <c r="M148" s="1">
        <v>0.0</v>
      </c>
    </row>
    <row r="149" ht="15.75" customHeight="1">
      <c r="A149" s="96" t="s">
        <v>2082</v>
      </c>
      <c r="B149" s="97" t="s">
        <v>2083</v>
      </c>
      <c r="C149" s="98" t="s">
        <v>25</v>
      </c>
      <c r="D149" s="99">
        <v>1.35</v>
      </c>
      <c r="E149" s="100">
        <v>1.15</v>
      </c>
      <c r="F149" s="93"/>
      <c r="H149" s="101"/>
      <c r="J149" s="1">
        <v>0.0</v>
      </c>
      <c r="K149" s="1">
        <v>0.0</v>
      </c>
      <c r="L149" s="1">
        <v>0.0</v>
      </c>
      <c r="M149" s="1">
        <v>0.0</v>
      </c>
    </row>
    <row r="150" ht="15.75" customHeight="1">
      <c r="A150" s="96" t="s">
        <v>2084</v>
      </c>
      <c r="B150" s="97" t="s">
        <v>2085</v>
      </c>
      <c r="C150" s="98" t="s">
        <v>25</v>
      </c>
      <c r="D150" s="99">
        <v>669.75</v>
      </c>
      <c r="E150" s="100">
        <v>569.29</v>
      </c>
      <c r="F150" s="93"/>
      <c r="H150" s="101"/>
      <c r="J150" s="1">
        <v>0.0</v>
      </c>
      <c r="K150" s="1">
        <v>0.0</v>
      </c>
      <c r="L150" s="1">
        <v>0.0</v>
      </c>
      <c r="M150" s="1">
        <v>0.0</v>
      </c>
    </row>
    <row r="151" ht="15.75" customHeight="1">
      <c r="A151" s="96" t="s">
        <v>2086</v>
      </c>
      <c r="B151" s="97" t="s">
        <v>2087</v>
      </c>
      <c r="C151" s="98" t="s">
        <v>25</v>
      </c>
      <c r="D151" s="99">
        <v>17.54</v>
      </c>
      <c r="E151" s="100">
        <v>14.91</v>
      </c>
      <c r="F151" s="93"/>
      <c r="H151" s="101"/>
      <c r="J151" s="1">
        <v>0.0</v>
      </c>
      <c r="K151" s="1">
        <v>0.0</v>
      </c>
      <c r="L151" s="1">
        <v>0.0</v>
      </c>
      <c r="M151" s="1">
        <v>0.0</v>
      </c>
    </row>
    <row r="152" ht="15.75" customHeight="1">
      <c r="A152" s="96" t="s">
        <v>2088</v>
      </c>
      <c r="B152" s="97" t="s">
        <v>2089</v>
      </c>
      <c r="C152" s="98" t="s">
        <v>25</v>
      </c>
      <c r="D152" s="99">
        <v>8.31</v>
      </c>
      <c r="E152" s="100">
        <v>7.06</v>
      </c>
      <c r="F152" s="93"/>
      <c r="H152" s="101"/>
      <c r="J152" s="1">
        <v>0.0</v>
      </c>
      <c r="K152" s="1">
        <v>0.0</v>
      </c>
      <c r="L152" s="1">
        <v>0.0</v>
      </c>
      <c r="M152" s="1">
        <v>0.0</v>
      </c>
    </row>
    <row r="153" ht="15.75" customHeight="1">
      <c r="A153" s="96" t="s">
        <v>2090</v>
      </c>
      <c r="B153" s="97" t="s">
        <v>2091</v>
      </c>
      <c r="C153" s="98" t="s">
        <v>25</v>
      </c>
      <c r="D153" s="99">
        <v>7.92</v>
      </c>
      <c r="E153" s="100">
        <v>6.73</v>
      </c>
      <c r="F153" s="93"/>
      <c r="H153" s="101"/>
      <c r="J153" s="1">
        <v>0.0</v>
      </c>
      <c r="K153" s="1">
        <v>0.0</v>
      </c>
      <c r="L153" s="1">
        <v>0.0</v>
      </c>
      <c r="M153" s="1">
        <v>0.0</v>
      </c>
    </row>
    <row r="154" ht="15.75" customHeight="1">
      <c r="A154" s="96" t="s">
        <v>2092</v>
      </c>
      <c r="B154" s="97" t="s">
        <v>2093</v>
      </c>
      <c r="C154" s="98" t="s">
        <v>25</v>
      </c>
      <c r="D154" s="99">
        <v>9.31</v>
      </c>
      <c r="E154" s="100">
        <v>7.91</v>
      </c>
      <c r="F154" s="93"/>
      <c r="H154" s="101"/>
      <c r="J154" s="1">
        <v>0.0</v>
      </c>
      <c r="K154" s="1">
        <v>0.0</v>
      </c>
      <c r="L154" s="1">
        <v>0.0</v>
      </c>
      <c r="M154" s="1">
        <v>0.0</v>
      </c>
    </row>
    <row r="155" ht="15.75" customHeight="1">
      <c r="A155" s="96" t="s">
        <v>2094</v>
      </c>
      <c r="B155" s="97" t="s">
        <v>2095</v>
      </c>
      <c r="C155" s="98" t="s">
        <v>25</v>
      </c>
      <c r="D155" s="99">
        <v>401.33</v>
      </c>
      <c r="E155" s="100">
        <v>341.13</v>
      </c>
      <c r="F155" s="93"/>
      <c r="H155" s="101"/>
      <c r="J155" s="1">
        <v>0.0</v>
      </c>
      <c r="K155" s="1">
        <v>0.0</v>
      </c>
      <c r="L155" s="1">
        <v>0.0</v>
      </c>
      <c r="M155" s="1">
        <v>0.0</v>
      </c>
    </row>
    <row r="156" ht="15.75" customHeight="1">
      <c r="A156" s="96" t="s">
        <v>2096</v>
      </c>
      <c r="B156" s="97" t="s">
        <v>2097</v>
      </c>
      <c r="C156" s="98" t="s">
        <v>25</v>
      </c>
      <c r="D156" s="99">
        <v>317.23</v>
      </c>
      <c r="E156" s="100">
        <v>269.65</v>
      </c>
      <c r="F156" s="93"/>
      <c r="H156" s="101"/>
      <c r="J156" s="1">
        <v>0.0</v>
      </c>
      <c r="K156" s="1">
        <v>0.0</v>
      </c>
      <c r="L156" s="1">
        <v>0.0</v>
      </c>
      <c r="M156" s="1">
        <v>0.0</v>
      </c>
    </row>
    <row r="157" ht="15.75" customHeight="1">
      <c r="A157" s="96" t="s">
        <v>2098</v>
      </c>
      <c r="B157" s="97" t="s">
        <v>2099</v>
      </c>
      <c r="C157" s="98" t="s">
        <v>25</v>
      </c>
      <c r="D157" s="99">
        <v>133.56</v>
      </c>
      <c r="E157" s="100">
        <v>113.53</v>
      </c>
      <c r="F157" s="93"/>
      <c r="H157" s="101"/>
      <c r="J157" s="1">
        <v>0.0</v>
      </c>
      <c r="K157" s="1">
        <v>0.0</v>
      </c>
      <c r="L157" s="1">
        <v>0.0</v>
      </c>
      <c r="M157" s="1">
        <v>0.0</v>
      </c>
    </row>
    <row r="158" ht="15.75" customHeight="1">
      <c r="A158" s="96" t="s">
        <v>2100</v>
      </c>
      <c r="B158" s="97" t="s">
        <v>2101</v>
      </c>
      <c r="C158" s="98" t="s">
        <v>25</v>
      </c>
      <c r="D158" s="99">
        <v>9.92</v>
      </c>
      <c r="E158" s="100">
        <v>8.43</v>
      </c>
      <c r="F158" s="93"/>
      <c r="H158" s="101"/>
      <c r="J158" s="1">
        <v>0.0</v>
      </c>
      <c r="K158" s="1">
        <v>0.0</v>
      </c>
      <c r="L158" s="1">
        <v>0.0</v>
      </c>
      <c r="M158" s="1">
        <v>0.0</v>
      </c>
    </row>
    <row r="159" ht="15.75" customHeight="1">
      <c r="A159" s="96" t="s">
        <v>2102</v>
      </c>
      <c r="B159" s="97" t="s">
        <v>2103</v>
      </c>
      <c r="C159" s="98" t="s">
        <v>25</v>
      </c>
      <c r="D159" s="99">
        <v>536.31</v>
      </c>
      <c r="E159" s="100">
        <v>455.86</v>
      </c>
      <c r="F159" s="93"/>
      <c r="H159" s="101"/>
      <c r="J159" s="1">
        <v>0.0</v>
      </c>
      <c r="K159" s="1">
        <v>0.0</v>
      </c>
      <c r="L159" s="1">
        <v>0.0</v>
      </c>
      <c r="M159" s="1">
        <v>0.0</v>
      </c>
    </row>
    <row r="160" ht="15.75" customHeight="1">
      <c r="A160" s="96" t="s">
        <v>2104</v>
      </c>
      <c r="B160" s="97" t="s">
        <v>2105</v>
      </c>
      <c r="C160" s="98" t="s">
        <v>25</v>
      </c>
      <c r="D160" s="99">
        <v>38.57</v>
      </c>
      <c r="E160" s="100">
        <v>32.78</v>
      </c>
      <c r="F160" s="93"/>
      <c r="H160" s="101"/>
      <c r="J160" s="1">
        <v>0.0</v>
      </c>
      <c r="K160" s="1">
        <v>0.0</v>
      </c>
      <c r="L160" s="1">
        <v>0.0</v>
      </c>
      <c r="M160" s="1">
        <v>0.0</v>
      </c>
    </row>
    <row r="161" ht="15.75" customHeight="1">
      <c r="A161" s="96" t="s">
        <v>2106</v>
      </c>
      <c r="B161" s="97" t="s">
        <v>2107</v>
      </c>
      <c r="C161" s="98" t="s">
        <v>25</v>
      </c>
      <c r="D161" s="99">
        <v>156.21</v>
      </c>
      <c r="E161" s="100">
        <v>132.78</v>
      </c>
      <c r="F161" s="93"/>
      <c r="H161" s="101"/>
      <c r="J161" s="1">
        <v>0.0</v>
      </c>
      <c r="K161" s="1">
        <v>0.0</v>
      </c>
      <c r="L161" s="1">
        <v>0.0</v>
      </c>
      <c r="M161" s="1">
        <v>0.0</v>
      </c>
    </row>
    <row r="162" ht="15.75" customHeight="1">
      <c r="A162" s="96" t="s">
        <v>2108</v>
      </c>
      <c r="B162" s="97" t="s">
        <v>2109</v>
      </c>
      <c r="C162" s="98" t="s">
        <v>25</v>
      </c>
      <c r="D162" s="99">
        <v>275.0</v>
      </c>
      <c r="E162" s="100">
        <v>233.75</v>
      </c>
      <c r="F162" s="93"/>
      <c r="H162" s="101"/>
      <c r="J162" s="1">
        <v>0.0</v>
      </c>
      <c r="K162" s="1">
        <v>0.0</v>
      </c>
      <c r="L162" s="1">
        <v>0.0</v>
      </c>
      <c r="M162" s="1">
        <v>0.0</v>
      </c>
    </row>
    <row r="163" ht="15.75" customHeight="1">
      <c r="A163" s="96" t="s">
        <v>2110</v>
      </c>
      <c r="B163" s="97" t="s">
        <v>2111</v>
      </c>
      <c r="C163" s="98" t="s">
        <v>25</v>
      </c>
      <c r="D163" s="99">
        <v>571.27</v>
      </c>
      <c r="E163" s="100">
        <v>485.58</v>
      </c>
      <c r="F163" s="93"/>
      <c r="H163" s="101"/>
      <c r="J163" s="1">
        <v>0.0</v>
      </c>
      <c r="K163" s="1">
        <v>0.0</v>
      </c>
      <c r="L163" s="1">
        <v>0.0</v>
      </c>
      <c r="M163" s="1">
        <v>0.0</v>
      </c>
    </row>
    <row r="164" ht="15.75" customHeight="1">
      <c r="A164" s="96" t="s">
        <v>2112</v>
      </c>
      <c r="B164" s="97" t="s">
        <v>2113</v>
      </c>
      <c r="C164" s="98" t="s">
        <v>25</v>
      </c>
      <c r="D164" s="99">
        <v>41.96</v>
      </c>
      <c r="E164" s="100">
        <v>35.67</v>
      </c>
      <c r="F164" s="93"/>
      <c r="H164" s="101"/>
      <c r="J164" s="1">
        <v>0.0</v>
      </c>
      <c r="K164" s="1">
        <v>0.0</v>
      </c>
      <c r="L164" s="1">
        <v>0.0</v>
      </c>
      <c r="M164" s="1">
        <v>0.0</v>
      </c>
    </row>
    <row r="165" ht="15.75" customHeight="1">
      <c r="A165" s="96" t="s">
        <v>2114</v>
      </c>
      <c r="B165" s="97" t="s">
        <v>2115</v>
      </c>
      <c r="C165" s="98" t="s">
        <v>25</v>
      </c>
      <c r="D165" s="99">
        <v>225.16</v>
      </c>
      <c r="E165" s="100">
        <v>191.39</v>
      </c>
      <c r="F165" s="93"/>
      <c r="H165" s="101"/>
      <c r="J165" s="1">
        <v>0.0</v>
      </c>
      <c r="K165" s="1">
        <v>0.0</v>
      </c>
      <c r="L165" s="1">
        <v>0.0</v>
      </c>
      <c r="M165" s="1">
        <v>0.0</v>
      </c>
    </row>
    <row r="166" ht="15.75" customHeight="1">
      <c r="A166" s="96" t="s">
        <v>2116</v>
      </c>
      <c r="B166" s="97" t="s">
        <v>2117</v>
      </c>
      <c r="C166" s="98" t="s">
        <v>25</v>
      </c>
      <c r="D166" s="99">
        <v>4601.21</v>
      </c>
      <c r="E166" s="100">
        <v>3911.03</v>
      </c>
      <c r="F166" s="93"/>
      <c r="H166" s="101"/>
      <c r="J166" s="1">
        <v>0.0</v>
      </c>
      <c r="K166" s="1">
        <v>0.0</v>
      </c>
      <c r="L166" s="1">
        <v>0.0</v>
      </c>
      <c r="M166" s="1">
        <v>0.0</v>
      </c>
    </row>
    <row r="167" ht="15.75" customHeight="1">
      <c r="A167" s="96" t="s">
        <v>2118</v>
      </c>
      <c r="B167" s="97" t="s">
        <v>2119</v>
      </c>
      <c r="C167" s="98" t="s">
        <v>25</v>
      </c>
      <c r="D167" s="99">
        <v>2507.54</v>
      </c>
      <c r="E167" s="100">
        <v>2131.41</v>
      </c>
      <c r="F167" s="93"/>
      <c r="H167" s="101"/>
      <c r="J167" s="1">
        <v>0.0</v>
      </c>
      <c r="K167" s="1">
        <v>0.0</v>
      </c>
      <c r="L167" s="1">
        <v>0.0</v>
      </c>
      <c r="M167" s="1">
        <v>0.0</v>
      </c>
    </row>
    <row r="168" ht="15.75" customHeight="1">
      <c r="A168" s="96" t="s">
        <v>2120</v>
      </c>
      <c r="B168" s="97" t="s">
        <v>2121</v>
      </c>
      <c r="C168" s="98" t="s">
        <v>25</v>
      </c>
      <c r="D168" s="99">
        <v>53.07</v>
      </c>
      <c r="E168" s="100">
        <v>45.11</v>
      </c>
      <c r="F168" s="93"/>
      <c r="H168" s="101"/>
      <c r="J168" s="1">
        <v>0.0</v>
      </c>
      <c r="K168" s="1">
        <v>0.0</v>
      </c>
      <c r="L168" s="1">
        <v>0.0</v>
      </c>
      <c r="M168" s="1">
        <v>0.0</v>
      </c>
    </row>
    <row r="169" ht="15.75" customHeight="1">
      <c r="A169" s="96" t="s">
        <v>2122</v>
      </c>
      <c r="B169" s="97" t="s">
        <v>2123</v>
      </c>
      <c r="C169" s="98" t="s">
        <v>25</v>
      </c>
      <c r="D169" s="99">
        <v>72.41</v>
      </c>
      <c r="E169" s="100">
        <v>61.55</v>
      </c>
      <c r="F169" s="93"/>
      <c r="H169" s="101"/>
      <c r="J169" s="1">
        <v>0.0</v>
      </c>
      <c r="K169" s="1">
        <v>0.0</v>
      </c>
      <c r="L169" s="1">
        <v>0.0</v>
      </c>
      <c r="M169" s="1">
        <v>0.0</v>
      </c>
    </row>
    <row r="170" ht="15.75" customHeight="1">
      <c r="A170" s="96" t="s">
        <v>2124</v>
      </c>
      <c r="B170" s="97" t="s">
        <v>2125</v>
      </c>
      <c r="C170" s="98" t="s">
        <v>25</v>
      </c>
      <c r="D170" s="99">
        <v>432.48</v>
      </c>
      <c r="E170" s="100">
        <v>367.61</v>
      </c>
      <c r="F170" s="93"/>
      <c r="H170" s="101"/>
      <c r="J170" s="1">
        <v>0.0</v>
      </c>
      <c r="K170" s="1">
        <v>0.0</v>
      </c>
      <c r="L170" s="1">
        <v>0.0</v>
      </c>
      <c r="M170" s="1">
        <v>0.0</v>
      </c>
    </row>
    <row r="171" ht="15.75" customHeight="1">
      <c r="A171" s="96" t="s">
        <v>2126</v>
      </c>
      <c r="B171" s="97" t="s">
        <v>2127</v>
      </c>
      <c r="C171" s="98" t="s">
        <v>25</v>
      </c>
      <c r="D171" s="99">
        <v>90.49</v>
      </c>
      <c r="E171" s="100">
        <v>76.92</v>
      </c>
      <c r="F171" s="93"/>
      <c r="H171" s="101"/>
      <c r="J171" s="1">
        <v>0.0</v>
      </c>
      <c r="K171" s="1">
        <v>0.0</v>
      </c>
      <c r="L171" s="1">
        <v>0.0</v>
      </c>
      <c r="M171" s="1">
        <v>0.0</v>
      </c>
    </row>
    <row r="172" ht="15.75" customHeight="1">
      <c r="A172" s="96" t="s">
        <v>2128</v>
      </c>
      <c r="B172" s="97" t="s">
        <v>2129</v>
      </c>
      <c r="C172" s="98" t="s">
        <v>25</v>
      </c>
      <c r="D172" s="99">
        <v>40.61</v>
      </c>
      <c r="E172" s="100">
        <v>34.52</v>
      </c>
      <c r="F172" s="93"/>
      <c r="H172" s="101"/>
      <c r="J172" s="1">
        <v>0.0</v>
      </c>
      <c r="K172" s="1">
        <v>0.0</v>
      </c>
      <c r="L172" s="1">
        <v>0.0</v>
      </c>
      <c r="M172" s="1">
        <v>0.0</v>
      </c>
    </row>
    <row r="173" ht="15.75" customHeight="1">
      <c r="A173" s="96" t="s">
        <v>2130</v>
      </c>
      <c r="B173" s="97" t="s">
        <v>2131</v>
      </c>
      <c r="C173" s="98" t="s">
        <v>25</v>
      </c>
      <c r="D173" s="99">
        <v>40.65</v>
      </c>
      <c r="E173" s="100">
        <v>34.55</v>
      </c>
      <c r="F173" s="93"/>
      <c r="H173" s="101"/>
      <c r="J173" s="1" t="s">
        <v>417</v>
      </c>
      <c r="K173" s="1">
        <v>0.0</v>
      </c>
      <c r="L173" s="1">
        <v>0.0</v>
      </c>
      <c r="M173" s="1">
        <v>0.0</v>
      </c>
    </row>
    <row r="174" ht="15.75" customHeight="1">
      <c r="A174" s="96" t="s">
        <v>2132</v>
      </c>
      <c r="B174" s="97" t="s">
        <v>2133</v>
      </c>
      <c r="C174" s="98" t="s">
        <v>25</v>
      </c>
      <c r="D174" s="99">
        <v>3.04</v>
      </c>
      <c r="E174" s="100">
        <v>2.58</v>
      </c>
      <c r="F174" s="93"/>
      <c r="H174" s="101"/>
      <c r="J174" s="1">
        <v>0.0</v>
      </c>
      <c r="K174" s="1">
        <v>0.0</v>
      </c>
      <c r="L174" s="1">
        <v>0.0</v>
      </c>
      <c r="M174" s="1">
        <v>0.0</v>
      </c>
    </row>
    <row r="175" ht="15.75" customHeight="1">
      <c r="A175" s="96" t="s">
        <v>2134</v>
      </c>
      <c r="B175" s="97" t="s">
        <v>2135</v>
      </c>
      <c r="C175" s="98" t="s">
        <v>25</v>
      </c>
      <c r="D175" s="99">
        <v>5.0</v>
      </c>
      <c r="E175" s="100">
        <v>4.25</v>
      </c>
      <c r="F175" s="93"/>
      <c r="H175" s="101"/>
      <c r="J175" s="1">
        <v>0.0</v>
      </c>
      <c r="K175" s="1">
        <v>0.0</v>
      </c>
      <c r="L175" s="1">
        <v>0.0</v>
      </c>
      <c r="M175" s="1">
        <v>0.0</v>
      </c>
    </row>
    <row r="176" ht="15.75" customHeight="1">
      <c r="A176" s="96" t="s">
        <v>2136</v>
      </c>
      <c r="B176" s="97" t="s">
        <v>2137</v>
      </c>
      <c r="C176" s="98" t="s">
        <v>25</v>
      </c>
      <c r="D176" s="99">
        <v>19.34</v>
      </c>
      <c r="E176" s="100">
        <v>16.44</v>
      </c>
      <c r="F176" s="93"/>
      <c r="H176" s="101"/>
      <c r="J176" s="1">
        <v>0.0</v>
      </c>
      <c r="K176" s="1">
        <v>0.0</v>
      </c>
      <c r="L176" s="1">
        <v>0.0</v>
      </c>
      <c r="M176" s="1">
        <v>0.0</v>
      </c>
    </row>
    <row r="177" ht="15.75" customHeight="1">
      <c r="A177" s="96" t="s">
        <v>2138</v>
      </c>
      <c r="B177" s="97" t="s">
        <v>2139</v>
      </c>
      <c r="C177" s="98" t="s">
        <v>25</v>
      </c>
      <c r="D177" s="99">
        <v>11.11</v>
      </c>
      <c r="E177" s="100">
        <v>9.44</v>
      </c>
      <c r="F177" s="93"/>
      <c r="H177" s="101"/>
      <c r="J177" s="1">
        <v>0.0</v>
      </c>
      <c r="K177" s="1">
        <v>0.0</v>
      </c>
      <c r="L177" s="1">
        <v>0.0</v>
      </c>
      <c r="M177" s="1">
        <v>0.0</v>
      </c>
    </row>
    <row r="178" ht="15.75" customHeight="1">
      <c r="A178" s="96" t="s">
        <v>2140</v>
      </c>
      <c r="B178" s="97" t="s">
        <v>2141</v>
      </c>
      <c r="C178" s="98" t="s">
        <v>25</v>
      </c>
      <c r="D178" s="99">
        <v>54.3</v>
      </c>
      <c r="E178" s="100">
        <v>46.16</v>
      </c>
      <c r="F178" s="93"/>
      <c r="H178" s="101"/>
      <c r="J178" s="1">
        <v>0.0</v>
      </c>
      <c r="K178" s="1">
        <v>0.0</v>
      </c>
      <c r="L178" s="1">
        <v>0.0</v>
      </c>
      <c r="M178" s="1">
        <v>0.0</v>
      </c>
    </row>
    <row r="179" ht="15.75" customHeight="1">
      <c r="A179" s="96" t="s">
        <v>2142</v>
      </c>
      <c r="B179" s="97" t="s">
        <v>1112</v>
      </c>
      <c r="C179" s="98" t="s">
        <v>25</v>
      </c>
      <c r="D179" s="99">
        <v>125.6</v>
      </c>
      <c r="E179" s="100">
        <v>106.76</v>
      </c>
      <c r="F179" s="93"/>
      <c r="H179" s="101"/>
      <c r="J179" s="1">
        <v>0.0</v>
      </c>
      <c r="K179" s="1">
        <v>0.0</v>
      </c>
      <c r="L179" s="1">
        <v>0.0</v>
      </c>
      <c r="M179" s="1">
        <v>0.0</v>
      </c>
    </row>
    <row r="180" ht="15.75" customHeight="1">
      <c r="A180" s="96" t="s">
        <v>2143</v>
      </c>
      <c r="B180" s="97" t="s">
        <v>2144</v>
      </c>
      <c r="C180" s="98" t="s">
        <v>25</v>
      </c>
      <c r="D180" s="99">
        <v>3.35</v>
      </c>
      <c r="E180" s="100">
        <v>2.85</v>
      </c>
      <c r="F180" s="93"/>
      <c r="H180" s="101"/>
      <c r="J180" s="1">
        <v>0.0</v>
      </c>
      <c r="K180" s="1">
        <v>0.0</v>
      </c>
      <c r="L180" s="1">
        <v>0.0</v>
      </c>
      <c r="M180" s="1">
        <v>0.0</v>
      </c>
    </row>
    <row r="181" ht="15.75" customHeight="1">
      <c r="A181" s="96" t="s">
        <v>2145</v>
      </c>
      <c r="B181" s="97" t="s">
        <v>37</v>
      </c>
      <c r="C181" s="98" t="s">
        <v>25</v>
      </c>
      <c r="D181" s="99">
        <v>62.07</v>
      </c>
      <c r="E181" s="100">
        <v>52.76</v>
      </c>
      <c r="F181" s="93"/>
      <c r="H181" s="101"/>
      <c r="J181" s="1">
        <v>0.0</v>
      </c>
      <c r="K181" s="1">
        <v>0.0</v>
      </c>
      <c r="L181" s="1">
        <v>0.0</v>
      </c>
      <c r="M181" s="1">
        <v>0.0</v>
      </c>
    </row>
    <row r="182" ht="15.75" customHeight="1">
      <c r="A182" s="96" t="s">
        <v>2146</v>
      </c>
      <c r="B182" s="97" t="s">
        <v>130</v>
      </c>
      <c r="C182" s="98" t="s">
        <v>25</v>
      </c>
      <c r="D182" s="99">
        <v>28.61</v>
      </c>
      <c r="E182" s="100">
        <v>24.32</v>
      </c>
      <c r="F182" s="93"/>
      <c r="H182" s="101"/>
      <c r="J182" s="1">
        <v>0.0</v>
      </c>
      <c r="K182" s="1">
        <v>0.0</v>
      </c>
      <c r="L182" s="1">
        <v>0.0</v>
      </c>
      <c r="M182" s="1">
        <v>0.0</v>
      </c>
    </row>
    <row r="183" ht="15.75" customHeight="1">
      <c r="A183" s="96" t="s">
        <v>2147</v>
      </c>
      <c r="B183" s="97" t="s">
        <v>486</v>
      </c>
      <c r="C183" s="98" t="s">
        <v>25</v>
      </c>
      <c r="D183" s="99">
        <v>279.15</v>
      </c>
      <c r="E183" s="100">
        <v>237.28</v>
      </c>
      <c r="F183" s="93"/>
      <c r="H183" s="101"/>
      <c r="J183" s="1">
        <v>0.0</v>
      </c>
      <c r="K183" s="1">
        <v>0.0</v>
      </c>
      <c r="L183" s="1">
        <v>0.0</v>
      </c>
      <c r="M183" s="1">
        <v>0.0</v>
      </c>
    </row>
    <row r="184" ht="15.75" customHeight="1">
      <c r="A184" s="96" t="s">
        <v>2148</v>
      </c>
      <c r="B184" s="97" t="s">
        <v>73</v>
      </c>
      <c r="C184" s="98" t="s">
        <v>25</v>
      </c>
      <c r="D184" s="99">
        <v>205.63</v>
      </c>
      <c r="E184" s="100">
        <v>174.79</v>
      </c>
      <c r="F184" s="93"/>
      <c r="H184" s="101"/>
      <c r="J184" s="1">
        <v>0.0</v>
      </c>
      <c r="K184" s="1">
        <v>0.0</v>
      </c>
      <c r="L184" s="1">
        <v>0.0</v>
      </c>
      <c r="M184" s="1">
        <v>0.0</v>
      </c>
    </row>
    <row r="185" ht="15.75" customHeight="1">
      <c r="A185" s="96" t="s">
        <v>2149</v>
      </c>
      <c r="B185" s="97" t="s">
        <v>1299</v>
      </c>
      <c r="C185" s="98" t="s">
        <v>25</v>
      </c>
      <c r="D185" s="99">
        <v>1.27</v>
      </c>
      <c r="E185" s="100">
        <v>1.08</v>
      </c>
      <c r="F185" s="93"/>
      <c r="H185" s="101"/>
      <c r="J185" s="1">
        <v>0.0</v>
      </c>
      <c r="K185" s="1">
        <v>0.0</v>
      </c>
      <c r="L185" s="1">
        <v>0.0</v>
      </c>
      <c r="M185" s="1">
        <v>0.0</v>
      </c>
    </row>
    <row r="186" ht="15.75" customHeight="1">
      <c r="A186" s="96" t="s">
        <v>2150</v>
      </c>
      <c r="B186" s="97" t="s">
        <v>862</v>
      </c>
      <c r="C186" s="98" t="s">
        <v>25</v>
      </c>
      <c r="D186" s="99">
        <v>3.42</v>
      </c>
      <c r="E186" s="100">
        <v>2.91</v>
      </c>
      <c r="F186" s="93"/>
      <c r="H186" s="101"/>
      <c r="J186" s="1">
        <v>0.0</v>
      </c>
      <c r="K186" s="1">
        <v>0.0</v>
      </c>
      <c r="L186" s="1">
        <v>0.0</v>
      </c>
      <c r="M186" s="1">
        <v>0.0</v>
      </c>
    </row>
    <row r="187" ht="15.75" customHeight="1">
      <c r="A187" s="96" t="s">
        <v>2151</v>
      </c>
      <c r="B187" s="97" t="s">
        <v>2152</v>
      </c>
      <c r="C187" s="98" t="s">
        <v>25</v>
      </c>
      <c r="D187" s="99">
        <v>1401.81</v>
      </c>
      <c r="E187" s="100">
        <v>1191.54</v>
      </c>
      <c r="F187" s="93"/>
      <c r="H187" s="101"/>
      <c r="J187" s="1">
        <v>0.0</v>
      </c>
      <c r="K187" s="1">
        <v>0.0</v>
      </c>
      <c r="L187" s="1">
        <v>0.0</v>
      </c>
      <c r="M187" s="1">
        <v>0.0</v>
      </c>
    </row>
    <row r="188" ht="15.75" customHeight="1">
      <c r="A188" s="96" t="s">
        <v>2153</v>
      </c>
      <c r="B188" s="97" t="s">
        <v>2154</v>
      </c>
      <c r="C188" s="98" t="s">
        <v>25</v>
      </c>
      <c r="D188" s="99">
        <v>1426.88</v>
      </c>
      <c r="E188" s="100">
        <v>1212.85</v>
      </c>
      <c r="F188" s="93"/>
      <c r="H188" s="101"/>
      <c r="J188" s="1">
        <v>0.0</v>
      </c>
      <c r="K188" s="1">
        <v>0.0</v>
      </c>
      <c r="L188" s="1">
        <v>0.0</v>
      </c>
      <c r="M188" s="1">
        <v>0.0</v>
      </c>
    </row>
    <row r="189" ht="15.75" customHeight="1">
      <c r="A189" s="96" t="s">
        <v>2155</v>
      </c>
      <c r="B189" s="97" t="s">
        <v>901</v>
      </c>
      <c r="C189" s="98" t="s">
        <v>25</v>
      </c>
      <c r="D189" s="99">
        <v>20.23</v>
      </c>
      <c r="E189" s="100">
        <v>17.2</v>
      </c>
      <c r="F189" s="93"/>
      <c r="H189" s="101"/>
      <c r="J189" s="1">
        <v>0.0</v>
      </c>
      <c r="K189" s="1">
        <v>0.0</v>
      </c>
      <c r="L189" s="1">
        <v>0.0</v>
      </c>
      <c r="M189" s="1">
        <v>0.0</v>
      </c>
    </row>
    <row r="190" ht="15.75" customHeight="1">
      <c r="A190" s="96" t="s">
        <v>2156</v>
      </c>
      <c r="B190" s="97" t="s">
        <v>877</v>
      </c>
      <c r="C190" s="98" t="s">
        <v>25</v>
      </c>
      <c r="D190" s="99">
        <v>23.34</v>
      </c>
      <c r="E190" s="100">
        <v>19.84</v>
      </c>
      <c r="F190" s="93"/>
      <c r="H190" s="101"/>
      <c r="J190" s="1">
        <v>0.0</v>
      </c>
      <c r="K190" s="1">
        <v>0.0</v>
      </c>
      <c r="L190" s="1">
        <v>0.0</v>
      </c>
      <c r="M190" s="1">
        <v>0.0</v>
      </c>
    </row>
    <row r="191" ht="15.75" customHeight="1">
      <c r="A191" s="96" t="s">
        <v>2157</v>
      </c>
      <c r="B191" s="97" t="s">
        <v>489</v>
      </c>
      <c r="C191" s="98" t="s">
        <v>25</v>
      </c>
      <c r="D191" s="99">
        <v>58.61</v>
      </c>
      <c r="E191" s="100">
        <v>49.82</v>
      </c>
      <c r="F191" s="93"/>
      <c r="H191" s="101"/>
      <c r="J191" s="1">
        <v>0.0</v>
      </c>
      <c r="K191" s="1">
        <v>0.0</v>
      </c>
      <c r="L191" s="1">
        <v>0.0</v>
      </c>
      <c r="M191" s="1">
        <v>0.0</v>
      </c>
    </row>
    <row r="192" ht="15.75" customHeight="1">
      <c r="A192" s="96" t="s">
        <v>2158</v>
      </c>
      <c r="B192" s="97" t="s">
        <v>2159</v>
      </c>
      <c r="C192" s="98" t="s">
        <v>25</v>
      </c>
      <c r="D192" s="99">
        <v>2.85</v>
      </c>
      <c r="E192" s="100">
        <v>2.42</v>
      </c>
      <c r="F192" s="93"/>
      <c r="H192" s="101"/>
      <c r="J192" s="1">
        <v>0.0</v>
      </c>
      <c r="K192" s="1">
        <v>0.0</v>
      </c>
      <c r="L192" s="1">
        <v>0.0</v>
      </c>
      <c r="M192" s="1">
        <v>0.0</v>
      </c>
    </row>
    <row r="193" ht="15.75" customHeight="1">
      <c r="A193" s="96" t="s">
        <v>2160</v>
      </c>
      <c r="B193" s="97" t="s">
        <v>1356</v>
      </c>
      <c r="C193" s="98" t="s">
        <v>25</v>
      </c>
      <c r="D193" s="99">
        <v>0.65</v>
      </c>
      <c r="E193" s="100">
        <v>0.55</v>
      </c>
      <c r="F193" s="93"/>
      <c r="H193" s="101"/>
      <c r="J193" s="1">
        <v>0.0</v>
      </c>
      <c r="K193" s="1">
        <v>0.0</v>
      </c>
      <c r="L193" s="1">
        <v>0.0</v>
      </c>
      <c r="M193" s="1">
        <v>0.0</v>
      </c>
    </row>
    <row r="194" ht="15.75" customHeight="1">
      <c r="A194" s="96" t="s">
        <v>2161</v>
      </c>
      <c r="B194" s="97" t="s">
        <v>2162</v>
      </c>
      <c r="C194" s="98" t="s">
        <v>25</v>
      </c>
      <c r="D194" s="99">
        <v>412.67</v>
      </c>
      <c r="E194" s="100">
        <v>350.77</v>
      </c>
      <c r="F194" s="93"/>
      <c r="H194" s="101"/>
      <c r="J194" s="1">
        <v>0.0</v>
      </c>
      <c r="K194" s="1">
        <v>0.0</v>
      </c>
      <c r="L194" s="1">
        <v>0.0</v>
      </c>
      <c r="M194" s="1">
        <v>0.0</v>
      </c>
    </row>
    <row r="195" ht="15.75" customHeight="1">
      <c r="A195" s="96" t="s">
        <v>2163</v>
      </c>
      <c r="B195" s="97" t="s">
        <v>1498</v>
      </c>
      <c r="C195" s="98" t="s">
        <v>25</v>
      </c>
      <c r="D195" s="99">
        <v>3.19</v>
      </c>
      <c r="E195" s="100">
        <v>2.71</v>
      </c>
      <c r="F195" s="93"/>
      <c r="H195" s="101"/>
      <c r="J195" s="1">
        <v>0.0</v>
      </c>
      <c r="K195" s="1">
        <v>0.0</v>
      </c>
      <c r="L195" s="1">
        <v>0.0</v>
      </c>
      <c r="M195" s="1">
        <v>0.0</v>
      </c>
    </row>
    <row r="196" ht="15.75" customHeight="1">
      <c r="A196" s="96" t="s">
        <v>2164</v>
      </c>
      <c r="B196" s="97" t="s">
        <v>57</v>
      </c>
      <c r="C196" s="98" t="s">
        <v>25</v>
      </c>
      <c r="D196" s="99">
        <v>124.41</v>
      </c>
      <c r="E196" s="100">
        <v>105.75</v>
      </c>
      <c r="F196" s="93"/>
      <c r="H196" s="101"/>
      <c r="J196" s="1">
        <v>0.0</v>
      </c>
      <c r="K196" s="1">
        <v>0.0</v>
      </c>
      <c r="L196" s="1">
        <v>0.0</v>
      </c>
      <c r="M196" s="1">
        <v>0.0</v>
      </c>
    </row>
    <row r="197" ht="15.75" customHeight="1">
      <c r="A197" s="96" t="s">
        <v>2165</v>
      </c>
      <c r="B197" s="97" t="s">
        <v>2166</v>
      </c>
      <c r="C197" s="98" t="s">
        <v>25</v>
      </c>
      <c r="D197" s="99">
        <v>603.26</v>
      </c>
      <c r="E197" s="100">
        <v>512.77</v>
      </c>
      <c r="F197" s="93"/>
      <c r="H197" s="101"/>
      <c r="J197" s="1">
        <v>0.0</v>
      </c>
      <c r="K197" s="1">
        <v>0.0</v>
      </c>
      <c r="L197" s="1">
        <v>0.0</v>
      </c>
      <c r="M197" s="1">
        <v>0.0</v>
      </c>
    </row>
    <row r="198" ht="15.75" customHeight="1">
      <c r="A198" s="96" t="s">
        <v>2167</v>
      </c>
      <c r="B198" s="97" t="s">
        <v>2168</v>
      </c>
      <c r="C198" s="98" t="s">
        <v>25</v>
      </c>
      <c r="D198" s="99">
        <v>50.42</v>
      </c>
      <c r="E198" s="100">
        <v>42.86</v>
      </c>
      <c r="F198" s="93"/>
      <c r="H198" s="101"/>
      <c r="J198" s="1">
        <v>0.0</v>
      </c>
      <c r="K198" s="1">
        <v>0.0</v>
      </c>
      <c r="L198" s="1">
        <v>0.0</v>
      </c>
      <c r="M198" s="1">
        <v>0.0</v>
      </c>
    </row>
    <row r="199" ht="15.75" customHeight="1">
      <c r="A199" s="96" t="s">
        <v>2169</v>
      </c>
      <c r="B199" s="97" t="s">
        <v>383</v>
      </c>
      <c r="C199" s="98" t="s">
        <v>25</v>
      </c>
      <c r="D199" s="99">
        <v>8.54</v>
      </c>
      <c r="E199" s="100">
        <v>7.26</v>
      </c>
      <c r="F199" s="93"/>
      <c r="H199" s="101"/>
      <c r="J199" s="1">
        <v>0.0</v>
      </c>
      <c r="K199" s="1">
        <v>0.0</v>
      </c>
      <c r="L199" s="1">
        <v>0.0</v>
      </c>
      <c r="M199" s="1">
        <v>0.0</v>
      </c>
    </row>
    <row r="200" ht="15.75" customHeight="1">
      <c r="A200" s="96" t="s">
        <v>2170</v>
      </c>
      <c r="B200" s="97" t="s">
        <v>1234</v>
      </c>
      <c r="C200" s="98" t="s">
        <v>25</v>
      </c>
      <c r="D200" s="99">
        <v>2.96</v>
      </c>
      <c r="E200" s="100">
        <v>2.52</v>
      </c>
      <c r="F200" s="93"/>
      <c r="H200" s="101"/>
      <c r="J200" s="1">
        <v>0.0</v>
      </c>
      <c r="K200" s="1">
        <v>0.0</v>
      </c>
      <c r="L200" s="1">
        <v>0.0</v>
      </c>
      <c r="M200" s="1">
        <v>0.0</v>
      </c>
    </row>
    <row r="201" ht="15.75" customHeight="1">
      <c r="A201" s="96" t="s">
        <v>2171</v>
      </c>
      <c r="B201" s="97" t="s">
        <v>2172</v>
      </c>
      <c r="C201" s="98" t="s">
        <v>25</v>
      </c>
      <c r="D201" s="99">
        <v>94.87</v>
      </c>
      <c r="E201" s="100">
        <v>80.64</v>
      </c>
      <c r="F201" s="93"/>
      <c r="H201" s="101"/>
      <c r="J201" s="1">
        <v>0.0</v>
      </c>
      <c r="K201" s="1">
        <v>0.0</v>
      </c>
      <c r="L201" s="1">
        <v>0.0</v>
      </c>
      <c r="M201" s="1">
        <v>0.0</v>
      </c>
    </row>
    <row r="202" ht="15.75" customHeight="1">
      <c r="A202" s="96" t="s">
        <v>2173</v>
      </c>
      <c r="B202" s="97" t="s">
        <v>2174</v>
      </c>
      <c r="C202" s="98" t="s">
        <v>25</v>
      </c>
      <c r="D202" s="99">
        <v>81.41</v>
      </c>
      <c r="E202" s="100">
        <v>69.2</v>
      </c>
      <c r="F202" s="93"/>
      <c r="H202" s="101"/>
      <c r="J202" s="1">
        <v>0.0</v>
      </c>
      <c r="K202" s="1">
        <v>0.0</v>
      </c>
      <c r="L202" s="1">
        <v>0.0</v>
      </c>
      <c r="M202" s="1">
        <v>0.0</v>
      </c>
    </row>
    <row r="203" ht="15.75" customHeight="1">
      <c r="A203" s="96" t="s">
        <v>2175</v>
      </c>
      <c r="B203" s="97" t="s">
        <v>2176</v>
      </c>
      <c r="C203" s="98" t="s">
        <v>25</v>
      </c>
      <c r="D203" s="99">
        <v>27.03</v>
      </c>
      <c r="E203" s="100">
        <v>22.98</v>
      </c>
      <c r="F203" s="93"/>
      <c r="H203" s="101"/>
      <c r="J203" s="1">
        <v>0.0</v>
      </c>
      <c r="K203" s="1">
        <v>0.0</v>
      </c>
      <c r="L203" s="1">
        <v>0.0</v>
      </c>
      <c r="M203" s="1">
        <v>0.0</v>
      </c>
    </row>
    <row r="204" ht="15.75" customHeight="1">
      <c r="A204" s="96" t="s">
        <v>2177</v>
      </c>
      <c r="B204" s="97" t="s">
        <v>144</v>
      </c>
      <c r="C204" s="98" t="s">
        <v>25</v>
      </c>
      <c r="D204" s="99">
        <v>22.77</v>
      </c>
      <c r="E204" s="100">
        <v>19.35</v>
      </c>
      <c r="F204" s="93"/>
      <c r="H204" s="101"/>
      <c r="J204" s="1">
        <v>0.0</v>
      </c>
      <c r="K204" s="1">
        <v>0.0</v>
      </c>
      <c r="L204" s="1">
        <v>0.0</v>
      </c>
      <c r="M204" s="1">
        <v>0.0</v>
      </c>
    </row>
    <row r="205" ht="15.75" customHeight="1">
      <c r="A205" s="96" t="s">
        <v>2178</v>
      </c>
      <c r="B205" s="97" t="s">
        <v>2179</v>
      </c>
      <c r="C205" s="98" t="s">
        <v>25</v>
      </c>
      <c r="D205" s="99">
        <v>5.61</v>
      </c>
      <c r="E205" s="100">
        <v>4.77</v>
      </c>
      <c r="F205" s="93"/>
      <c r="H205" s="101"/>
      <c r="J205" s="1">
        <v>0.0</v>
      </c>
      <c r="K205" s="1">
        <v>0.0</v>
      </c>
      <c r="L205" s="1">
        <v>0.0</v>
      </c>
      <c r="M205" s="1">
        <v>0.0</v>
      </c>
    </row>
    <row r="206" ht="15.75" customHeight="1">
      <c r="A206" s="96" t="s">
        <v>2180</v>
      </c>
      <c r="B206" s="97" t="s">
        <v>2181</v>
      </c>
      <c r="C206" s="98" t="s">
        <v>25</v>
      </c>
      <c r="D206" s="99">
        <v>2796.23</v>
      </c>
      <c r="E206" s="100">
        <v>2376.8</v>
      </c>
      <c r="F206" s="93"/>
      <c r="H206" s="101"/>
      <c r="J206" s="1">
        <v>0.0</v>
      </c>
      <c r="K206" s="1">
        <v>0.0</v>
      </c>
      <c r="L206" s="1">
        <v>0.0</v>
      </c>
      <c r="M206" s="1">
        <v>0.0</v>
      </c>
    </row>
    <row r="207" ht="15.75" customHeight="1">
      <c r="A207" s="96" t="s">
        <v>2182</v>
      </c>
      <c r="B207" s="97" t="s">
        <v>2183</v>
      </c>
      <c r="C207" s="98" t="s">
        <v>25</v>
      </c>
      <c r="D207" s="99">
        <v>45.03</v>
      </c>
      <c r="E207" s="100">
        <v>38.28</v>
      </c>
      <c r="F207" s="93"/>
      <c r="H207" s="101"/>
      <c r="J207" s="1">
        <v>0.0</v>
      </c>
      <c r="K207" s="1">
        <v>0.0</v>
      </c>
      <c r="L207" s="1">
        <v>0.0</v>
      </c>
      <c r="M207" s="1">
        <v>0.0</v>
      </c>
    </row>
    <row r="208" ht="15.75" customHeight="1">
      <c r="A208" s="96" t="s">
        <v>2184</v>
      </c>
      <c r="B208" s="97" t="s">
        <v>780</v>
      </c>
      <c r="C208" s="98" t="s">
        <v>25</v>
      </c>
      <c r="D208" s="99">
        <v>14.96</v>
      </c>
      <c r="E208" s="100">
        <v>12.72</v>
      </c>
      <c r="F208" s="93"/>
      <c r="H208" s="101"/>
      <c r="J208" s="1">
        <v>0.0</v>
      </c>
      <c r="K208" s="1">
        <v>0.0</v>
      </c>
      <c r="L208" s="1">
        <v>0.0</v>
      </c>
      <c r="M208" s="1">
        <v>0.0</v>
      </c>
    </row>
    <row r="209" ht="15.75" customHeight="1">
      <c r="A209" s="96" t="s">
        <v>2185</v>
      </c>
      <c r="B209" s="97" t="s">
        <v>222</v>
      </c>
      <c r="C209" s="98" t="s">
        <v>25</v>
      </c>
      <c r="D209" s="99">
        <v>194.51</v>
      </c>
      <c r="E209" s="100">
        <v>165.33</v>
      </c>
      <c r="F209" s="93"/>
      <c r="H209" s="101"/>
      <c r="J209" s="1">
        <v>0.0</v>
      </c>
      <c r="K209" s="1">
        <v>0.0</v>
      </c>
      <c r="L209" s="1">
        <v>0.0</v>
      </c>
      <c r="M209" s="1">
        <v>0.0</v>
      </c>
    </row>
    <row r="210" ht="15.75" customHeight="1">
      <c r="A210" s="96" t="s">
        <v>2186</v>
      </c>
      <c r="B210" s="97" t="s">
        <v>2187</v>
      </c>
      <c r="C210" s="98" t="s">
        <v>25</v>
      </c>
      <c r="D210" s="99">
        <v>1.0</v>
      </c>
      <c r="E210" s="100">
        <v>0.85</v>
      </c>
      <c r="F210" s="93"/>
      <c r="H210" s="101"/>
      <c r="J210" s="1">
        <v>0.0</v>
      </c>
      <c r="K210" s="1">
        <v>0.0</v>
      </c>
      <c r="L210" s="1">
        <v>0.0</v>
      </c>
      <c r="M210" s="1">
        <v>0.0</v>
      </c>
    </row>
    <row r="211" ht="15.75" customHeight="1">
      <c r="A211" s="96" t="s">
        <v>2188</v>
      </c>
      <c r="B211" s="97" t="s">
        <v>2189</v>
      </c>
      <c r="C211" s="98" t="s">
        <v>25</v>
      </c>
      <c r="D211" s="99">
        <v>293.73</v>
      </c>
      <c r="E211" s="100">
        <v>249.67</v>
      </c>
      <c r="F211" s="93"/>
      <c r="H211" s="101"/>
      <c r="J211" s="1">
        <v>0.0</v>
      </c>
      <c r="K211" s="1">
        <v>0.0</v>
      </c>
      <c r="L211" s="1">
        <v>0.0</v>
      </c>
      <c r="M211" s="1">
        <v>0.0</v>
      </c>
    </row>
    <row r="212" ht="15.75" customHeight="1">
      <c r="A212" s="96" t="s">
        <v>2190</v>
      </c>
      <c r="B212" s="97" t="s">
        <v>483</v>
      </c>
      <c r="C212" s="98" t="s">
        <v>25</v>
      </c>
      <c r="D212" s="99">
        <v>1677.65</v>
      </c>
      <c r="E212" s="100">
        <v>1426.0</v>
      </c>
      <c r="F212" s="93"/>
      <c r="H212" s="101"/>
      <c r="J212" s="1">
        <v>0.0</v>
      </c>
      <c r="K212" s="1">
        <v>0.0</v>
      </c>
      <c r="L212" s="1">
        <v>0.0</v>
      </c>
      <c r="M212" s="1">
        <v>0.0</v>
      </c>
    </row>
    <row r="213" ht="15.75" customHeight="1">
      <c r="A213" s="96" t="s">
        <v>2191</v>
      </c>
      <c r="B213" s="97" t="s">
        <v>375</v>
      </c>
      <c r="C213" s="98" t="s">
        <v>25</v>
      </c>
      <c r="D213" s="99">
        <v>35.34</v>
      </c>
      <c r="E213" s="100">
        <v>30.04</v>
      </c>
      <c r="F213" s="93"/>
      <c r="H213" s="101"/>
      <c r="J213" s="1">
        <v>0.0</v>
      </c>
      <c r="K213" s="1">
        <v>0.0</v>
      </c>
      <c r="L213" s="1">
        <v>0.0</v>
      </c>
      <c r="M213" s="1">
        <v>0.0</v>
      </c>
    </row>
    <row r="214" ht="15.75" customHeight="1">
      <c r="A214" s="96" t="s">
        <v>2192</v>
      </c>
      <c r="B214" s="97" t="s">
        <v>2193</v>
      </c>
      <c r="C214" s="98" t="s">
        <v>25</v>
      </c>
      <c r="D214" s="99">
        <v>33.92</v>
      </c>
      <c r="E214" s="100">
        <v>28.83</v>
      </c>
      <c r="F214" s="93"/>
      <c r="H214" s="101"/>
      <c r="J214" s="1">
        <v>0.0</v>
      </c>
      <c r="K214" s="1">
        <v>0.0</v>
      </c>
      <c r="L214" s="1">
        <v>0.0</v>
      </c>
      <c r="M214" s="1">
        <v>0.0</v>
      </c>
    </row>
    <row r="215" ht="15.75" customHeight="1">
      <c r="A215" s="96" t="s">
        <v>2194</v>
      </c>
      <c r="B215" s="97" t="s">
        <v>2195</v>
      </c>
      <c r="C215" s="98" t="s">
        <v>25</v>
      </c>
      <c r="D215" s="99">
        <v>149.09</v>
      </c>
      <c r="E215" s="100">
        <v>126.73</v>
      </c>
      <c r="F215" s="93"/>
      <c r="H215" s="101"/>
      <c r="J215" s="1">
        <v>0.0</v>
      </c>
      <c r="K215" s="1">
        <v>0.0</v>
      </c>
      <c r="L215" s="1">
        <v>0.0</v>
      </c>
      <c r="M215" s="1">
        <v>0.0</v>
      </c>
    </row>
    <row r="216" ht="15.75" customHeight="1">
      <c r="A216" s="96" t="s">
        <v>2196</v>
      </c>
      <c r="B216" s="97" t="s">
        <v>1416</v>
      </c>
      <c r="C216" s="98" t="s">
        <v>25</v>
      </c>
      <c r="D216" s="99">
        <v>2.58</v>
      </c>
      <c r="E216" s="100">
        <v>2.19</v>
      </c>
      <c r="F216" s="93"/>
      <c r="H216" s="101"/>
      <c r="J216" s="1">
        <v>0.0</v>
      </c>
      <c r="K216" s="1">
        <v>0.0</v>
      </c>
      <c r="L216" s="1">
        <v>0.0</v>
      </c>
      <c r="M216" s="1">
        <v>0.0</v>
      </c>
    </row>
    <row r="217" ht="15.75" customHeight="1">
      <c r="A217" s="96" t="s">
        <v>2197</v>
      </c>
      <c r="B217" s="97" t="s">
        <v>670</v>
      </c>
      <c r="C217" s="98" t="s">
        <v>25</v>
      </c>
      <c r="D217" s="99">
        <v>4972.78</v>
      </c>
      <c r="E217" s="100">
        <v>4226.86</v>
      </c>
      <c r="F217" s="93"/>
      <c r="H217" s="101"/>
      <c r="J217" s="1">
        <v>0.0</v>
      </c>
      <c r="K217" s="1">
        <v>0.0</v>
      </c>
      <c r="L217" s="1">
        <v>0.0</v>
      </c>
      <c r="M217" s="1">
        <v>0.0</v>
      </c>
    </row>
    <row r="218" ht="15.75" customHeight="1">
      <c r="A218" s="96" t="s">
        <v>2198</v>
      </c>
      <c r="B218" s="97" t="s">
        <v>2199</v>
      </c>
      <c r="C218" s="98" t="s">
        <v>25</v>
      </c>
      <c r="D218" s="99">
        <v>12708.5</v>
      </c>
      <c r="E218" s="100">
        <v>10802.23</v>
      </c>
      <c r="F218" s="93"/>
      <c r="H218" s="101"/>
      <c r="J218" s="1">
        <v>0.0</v>
      </c>
      <c r="K218" s="1">
        <v>0.0</v>
      </c>
      <c r="L218" s="1">
        <v>0.0</v>
      </c>
      <c r="M218" s="1">
        <v>0.0</v>
      </c>
    </row>
    <row r="219" ht="15.75" customHeight="1">
      <c r="A219" s="96" t="s">
        <v>2200</v>
      </c>
      <c r="B219" s="97" t="s">
        <v>2201</v>
      </c>
      <c r="C219" s="98" t="s">
        <v>25</v>
      </c>
      <c r="D219" s="99">
        <v>141.17</v>
      </c>
      <c r="E219" s="100">
        <v>119.99</v>
      </c>
      <c r="F219" s="93"/>
      <c r="H219" s="101"/>
      <c r="J219" s="1">
        <v>0.0</v>
      </c>
      <c r="K219" s="1">
        <v>0.0</v>
      </c>
      <c r="L219" s="1">
        <v>0.0</v>
      </c>
      <c r="M219" s="1">
        <v>0.0</v>
      </c>
    </row>
    <row r="220" ht="15.75" customHeight="1">
      <c r="A220" s="96" t="s">
        <v>2202</v>
      </c>
      <c r="B220" s="97" t="s">
        <v>1531</v>
      </c>
      <c r="C220" s="98" t="s">
        <v>25</v>
      </c>
      <c r="D220" s="99">
        <v>2.69</v>
      </c>
      <c r="E220" s="100">
        <v>2.29</v>
      </c>
      <c r="F220" s="93"/>
      <c r="H220" s="101"/>
      <c r="J220" s="1">
        <v>0.0</v>
      </c>
      <c r="K220" s="1">
        <v>0.0</v>
      </c>
      <c r="L220" s="1">
        <v>0.0</v>
      </c>
      <c r="M220" s="1">
        <v>0.0</v>
      </c>
    </row>
    <row r="221" ht="15.75" customHeight="1">
      <c r="A221" s="96" t="s">
        <v>2203</v>
      </c>
      <c r="B221" s="97" t="s">
        <v>1453</v>
      </c>
      <c r="C221" s="98" t="s">
        <v>25</v>
      </c>
      <c r="D221" s="99">
        <v>4.31</v>
      </c>
      <c r="E221" s="100">
        <v>3.66</v>
      </c>
      <c r="F221" s="93"/>
      <c r="H221" s="101"/>
      <c r="J221" s="1">
        <v>0.0</v>
      </c>
      <c r="K221" s="1">
        <v>0.0</v>
      </c>
      <c r="L221" s="1">
        <v>0.0</v>
      </c>
      <c r="M221" s="1">
        <v>0.0</v>
      </c>
    </row>
    <row r="222" ht="15.75" customHeight="1">
      <c r="A222" s="96" t="s">
        <v>2204</v>
      </c>
      <c r="B222" s="97" t="s">
        <v>2205</v>
      </c>
      <c r="C222" s="98" t="s">
        <v>25</v>
      </c>
      <c r="D222" s="99">
        <v>49.22</v>
      </c>
      <c r="E222" s="100">
        <v>41.84</v>
      </c>
      <c r="F222" s="93"/>
      <c r="H222" s="101"/>
      <c r="J222" s="1">
        <v>0.0</v>
      </c>
      <c r="K222" s="1">
        <v>0.0</v>
      </c>
      <c r="L222" s="1">
        <v>0.0</v>
      </c>
      <c r="M222" s="1">
        <v>0.0</v>
      </c>
    </row>
    <row r="223" ht="15.75" customHeight="1">
      <c r="A223" s="96" t="s">
        <v>2206</v>
      </c>
      <c r="B223" s="97" t="s">
        <v>745</v>
      </c>
      <c r="C223" s="98" t="s">
        <v>25</v>
      </c>
      <c r="D223" s="99">
        <v>36.46</v>
      </c>
      <c r="E223" s="100">
        <v>30.99</v>
      </c>
      <c r="F223" s="93"/>
      <c r="H223" s="101"/>
      <c r="J223" s="1">
        <v>0.0</v>
      </c>
      <c r="K223" s="1">
        <v>0.0</v>
      </c>
      <c r="L223" s="1">
        <v>0.0</v>
      </c>
      <c r="M223" s="1">
        <v>0.0</v>
      </c>
    </row>
    <row r="224" ht="15.75" customHeight="1">
      <c r="A224" s="96" t="s">
        <v>2207</v>
      </c>
      <c r="B224" s="97" t="s">
        <v>463</v>
      </c>
      <c r="C224" s="98" t="s">
        <v>25</v>
      </c>
      <c r="D224" s="99">
        <v>102.95</v>
      </c>
      <c r="E224" s="100">
        <v>87.51</v>
      </c>
      <c r="F224" s="93"/>
      <c r="H224" s="101"/>
      <c r="J224" s="1">
        <v>0.0</v>
      </c>
      <c r="K224" s="1">
        <v>0.0</v>
      </c>
      <c r="L224" s="1">
        <v>0.0</v>
      </c>
      <c r="M224" s="1">
        <v>0.0</v>
      </c>
    </row>
    <row r="225" ht="15.75" customHeight="1">
      <c r="A225" s="96" t="s">
        <v>2208</v>
      </c>
      <c r="B225" s="97" t="s">
        <v>2209</v>
      </c>
      <c r="C225" s="98" t="s">
        <v>25</v>
      </c>
      <c r="D225" s="99">
        <v>437.86</v>
      </c>
      <c r="E225" s="100">
        <v>372.18</v>
      </c>
      <c r="F225" s="93"/>
      <c r="H225" s="101"/>
      <c r="J225" s="1">
        <v>0.0</v>
      </c>
      <c r="K225" s="1">
        <v>0.0</v>
      </c>
      <c r="L225" s="1">
        <v>0.0</v>
      </c>
      <c r="M225" s="1">
        <v>0.0</v>
      </c>
    </row>
    <row r="226" ht="15.75" customHeight="1">
      <c r="A226" s="96" t="s">
        <v>2210</v>
      </c>
      <c r="B226" s="97" t="s">
        <v>2211</v>
      </c>
      <c r="C226" s="98" t="s">
        <v>25</v>
      </c>
      <c r="D226" s="99">
        <v>30.65</v>
      </c>
      <c r="E226" s="100">
        <v>26.05</v>
      </c>
      <c r="F226" s="93"/>
      <c r="H226" s="101"/>
      <c r="J226" s="1">
        <v>0.0</v>
      </c>
      <c r="K226" s="1">
        <v>0.0</v>
      </c>
      <c r="L226" s="1">
        <v>0.0</v>
      </c>
      <c r="M226" s="1">
        <v>0.0</v>
      </c>
    </row>
    <row r="227" ht="15.75" customHeight="1">
      <c r="A227" s="96" t="s">
        <v>2212</v>
      </c>
      <c r="B227" s="97" t="s">
        <v>1160</v>
      </c>
      <c r="C227" s="98" t="s">
        <v>25</v>
      </c>
      <c r="D227" s="99">
        <v>32.92</v>
      </c>
      <c r="E227" s="100">
        <v>27.98</v>
      </c>
      <c r="F227" s="93"/>
      <c r="H227" s="101"/>
      <c r="J227" s="1">
        <v>0.0</v>
      </c>
      <c r="K227" s="1">
        <v>0.0</v>
      </c>
      <c r="L227" s="1">
        <v>0.0</v>
      </c>
      <c r="M227" s="1">
        <v>0.0</v>
      </c>
    </row>
    <row r="228" ht="15.75" customHeight="1">
      <c r="A228" s="96" t="s">
        <v>2213</v>
      </c>
      <c r="B228" s="97" t="s">
        <v>774</v>
      </c>
      <c r="C228" s="98" t="s">
        <v>25</v>
      </c>
      <c r="D228" s="99">
        <v>2.04</v>
      </c>
      <c r="E228" s="100">
        <v>1.73</v>
      </c>
      <c r="F228" s="93"/>
      <c r="H228" s="101"/>
      <c r="J228" s="1">
        <v>0.0</v>
      </c>
      <c r="K228" s="1">
        <v>0.0</v>
      </c>
      <c r="L228" s="1">
        <v>0.0</v>
      </c>
      <c r="M228" s="1">
        <v>0.0</v>
      </c>
    </row>
    <row r="229" ht="15.75" customHeight="1">
      <c r="A229" s="96" t="s">
        <v>2214</v>
      </c>
      <c r="B229" s="97" t="s">
        <v>1136</v>
      </c>
      <c r="C229" s="98" t="s">
        <v>25</v>
      </c>
      <c r="D229" s="99">
        <v>0.5</v>
      </c>
      <c r="E229" s="100">
        <v>0.43</v>
      </c>
      <c r="F229" s="93"/>
      <c r="H229" s="101"/>
      <c r="J229" s="1">
        <v>0.0</v>
      </c>
      <c r="K229" s="1">
        <v>0.0</v>
      </c>
      <c r="L229" s="1">
        <v>0.0</v>
      </c>
      <c r="M229" s="1">
        <v>0.0</v>
      </c>
    </row>
    <row r="230" ht="15.75" customHeight="1">
      <c r="A230" s="96" t="s">
        <v>2215</v>
      </c>
      <c r="B230" s="97" t="s">
        <v>812</v>
      </c>
      <c r="C230" s="98" t="s">
        <v>25</v>
      </c>
      <c r="D230" s="99">
        <v>2.11</v>
      </c>
      <c r="E230" s="100">
        <v>1.79</v>
      </c>
      <c r="F230" s="93"/>
      <c r="H230" s="101"/>
      <c r="J230" s="1">
        <v>0.0</v>
      </c>
      <c r="K230" s="1">
        <v>0.0</v>
      </c>
      <c r="L230" s="1">
        <v>0.0</v>
      </c>
      <c r="M230" s="1">
        <v>0.0</v>
      </c>
    </row>
    <row r="231" ht="15.75" customHeight="1">
      <c r="A231" s="96" t="s">
        <v>2216</v>
      </c>
      <c r="B231" s="97" t="s">
        <v>2217</v>
      </c>
      <c r="C231" s="98" t="s">
        <v>25</v>
      </c>
      <c r="D231" s="99">
        <v>406.68</v>
      </c>
      <c r="E231" s="100">
        <v>345.68</v>
      </c>
      <c r="F231" s="93"/>
      <c r="H231" s="101"/>
      <c r="J231" s="1">
        <v>0.0</v>
      </c>
      <c r="K231" s="1">
        <v>0.0</v>
      </c>
      <c r="L231" s="1">
        <v>0.0</v>
      </c>
      <c r="M231" s="1">
        <v>0.0</v>
      </c>
    </row>
    <row r="232" ht="15.75" customHeight="1">
      <c r="A232" s="96" t="s">
        <v>2218</v>
      </c>
      <c r="B232" s="97" t="s">
        <v>2219</v>
      </c>
      <c r="C232" s="98" t="s">
        <v>25</v>
      </c>
      <c r="D232" s="99">
        <v>30.57</v>
      </c>
      <c r="E232" s="100">
        <v>25.98</v>
      </c>
      <c r="F232" s="93"/>
      <c r="H232" s="101"/>
      <c r="J232" s="1">
        <v>0.0</v>
      </c>
      <c r="K232" s="1">
        <v>0.0</v>
      </c>
      <c r="L232" s="1">
        <v>0.0</v>
      </c>
      <c r="M232" s="1">
        <v>0.0</v>
      </c>
    </row>
    <row r="233" ht="15.75" customHeight="1">
      <c r="A233" s="96" t="s">
        <v>2220</v>
      </c>
      <c r="B233" s="97" t="s">
        <v>2221</v>
      </c>
      <c r="C233" s="98" t="s">
        <v>25</v>
      </c>
      <c r="D233" s="99">
        <v>73.57</v>
      </c>
      <c r="E233" s="100">
        <v>62.53</v>
      </c>
      <c r="F233" s="93"/>
      <c r="H233" s="101"/>
      <c r="J233" s="1">
        <v>0.0</v>
      </c>
      <c r="K233" s="1">
        <v>0.0</v>
      </c>
      <c r="L233" s="1">
        <v>0.0</v>
      </c>
      <c r="M233" s="1">
        <v>0.0</v>
      </c>
    </row>
    <row r="234" ht="15.75" customHeight="1">
      <c r="A234" s="96" t="s">
        <v>2222</v>
      </c>
      <c r="B234" s="97" t="s">
        <v>2223</v>
      </c>
      <c r="C234" s="98" t="s">
        <v>25</v>
      </c>
      <c r="D234" s="99">
        <v>56.07</v>
      </c>
      <c r="E234" s="100">
        <v>47.66</v>
      </c>
      <c r="F234" s="93"/>
      <c r="H234" s="101"/>
      <c r="J234" s="1">
        <v>0.0</v>
      </c>
      <c r="K234" s="1">
        <v>0.0</v>
      </c>
      <c r="L234" s="1">
        <v>0.0</v>
      </c>
      <c r="M234" s="1">
        <v>0.0</v>
      </c>
    </row>
    <row r="235" ht="15.75" customHeight="1">
      <c r="A235" s="96" t="s">
        <v>2224</v>
      </c>
      <c r="B235" s="97" t="s">
        <v>2225</v>
      </c>
      <c r="C235" s="98" t="s">
        <v>25</v>
      </c>
      <c r="D235" s="99">
        <v>17.34</v>
      </c>
      <c r="E235" s="100">
        <v>14.74</v>
      </c>
      <c r="F235" s="93"/>
      <c r="H235" s="101"/>
      <c r="J235" s="1">
        <v>0.0</v>
      </c>
      <c r="K235" s="1">
        <v>0.0</v>
      </c>
      <c r="L235" s="1">
        <v>0.0</v>
      </c>
      <c r="M235" s="1">
        <v>0.0</v>
      </c>
    </row>
    <row r="236" ht="15.75" customHeight="1">
      <c r="A236" s="96" t="s">
        <v>2226</v>
      </c>
      <c r="B236" s="97" t="s">
        <v>2227</v>
      </c>
      <c r="C236" s="98" t="s">
        <v>25</v>
      </c>
      <c r="D236" s="99">
        <v>16.19</v>
      </c>
      <c r="E236" s="100">
        <v>13.76</v>
      </c>
      <c r="F236" s="93"/>
      <c r="H236" s="101"/>
      <c r="J236" s="1">
        <v>0.0</v>
      </c>
      <c r="K236" s="1">
        <v>0.0</v>
      </c>
      <c r="L236" s="1">
        <v>0.0</v>
      </c>
      <c r="M236" s="1">
        <v>0.0</v>
      </c>
    </row>
    <row r="237" ht="15.75" customHeight="1">
      <c r="A237" s="96" t="s">
        <v>2228</v>
      </c>
      <c r="B237" s="97" t="s">
        <v>2229</v>
      </c>
      <c r="C237" s="98" t="s">
        <v>25</v>
      </c>
      <c r="D237" s="99">
        <v>19.19</v>
      </c>
      <c r="E237" s="100">
        <v>16.31</v>
      </c>
      <c r="F237" s="93"/>
      <c r="H237" s="101"/>
      <c r="J237" s="1">
        <v>0.0</v>
      </c>
      <c r="K237" s="1">
        <v>0.0</v>
      </c>
      <c r="L237" s="1">
        <v>0.0</v>
      </c>
      <c r="M237" s="1">
        <v>0.0</v>
      </c>
    </row>
    <row r="238" ht="15.75" customHeight="1">
      <c r="A238" s="96" t="s">
        <v>2230</v>
      </c>
      <c r="B238" s="97" t="s">
        <v>1176</v>
      </c>
      <c r="C238" s="98" t="s">
        <v>25</v>
      </c>
      <c r="D238" s="99">
        <v>125.37</v>
      </c>
      <c r="E238" s="100">
        <v>106.56</v>
      </c>
      <c r="F238" s="93"/>
      <c r="H238" s="101"/>
      <c r="J238" s="1">
        <v>0.0</v>
      </c>
      <c r="K238" s="1">
        <v>0.0</v>
      </c>
      <c r="L238" s="1">
        <v>0.0</v>
      </c>
      <c r="M238" s="1">
        <v>0.0</v>
      </c>
    </row>
    <row r="239" ht="15.75" customHeight="1">
      <c r="A239" s="96" t="s">
        <v>2231</v>
      </c>
      <c r="B239" s="97" t="s">
        <v>1302</v>
      </c>
      <c r="C239" s="98" t="s">
        <v>25</v>
      </c>
      <c r="D239" s="99">
        <v>71.14</v>
      </c>
      <c r="E239" s="100">
        <v>60.47</v>
      </c>
      <c r="F239" s="93"/>
      <c r="H239" s="101"/>
      <c r="J239" s="1">
        <v>0.0</v>
      </c>
      <c r="K239" s="1">
        <v>0.0</v>
      </c>
      <c r="L239" s="1">
        <v>0.0</v>
      </c>
      <c r="M239" s="1">
        <v>0.0</v>
      </c>
    </row>
    <row r="240" ht="15.75" customHeight="1">
      <c r="A240" s="96" t="s">
        <v>2232</v>
      </c>
      <c r="B240" s="97" t="s">
        <v>1144</v>
      </c>
      <c r="C240" s="98" t="s">
        <v>25</v>
      </c>
      <c r="D240" s="99">
        <v>140.17</v>
      </c>
      <c r="E240" s="100">
        <v>119.14</v>
      </c>
      <c r="F240" s="93"/>
      <c r="H240" s="101"/>
      <c r="J240" s="1">
        <v>0.0</v>
      </c>
      <c r="K240" s="1">
        <v>0.0</v>
      </c>
      <c r="L240" s="1">
        <v>0.0</v>
      </c>
      <c r="M240" s="1">
        <v>0.0</v>
      </c>
    </row>
    <row r="241" ht="15.75" customHeight="1">
      <c r="A241" s="96" t="s">
        <v>2233</v>
      </c>
      <c r="B241" s="97" t="s">
        <v>2234</v>
      </c>
      <c r="C241" s="98" t="s">
        <v>25</v>
      </c>
      <c r="D241" s="99">
        <v>33.65</v>
      </c>
      <c r="E241" s="100">
        <v>28.6</v>
      </c>
      <c r="F241" s="93"/>
      <c r="H241" s="101"/>
      <c r="J241" s="1">
        <v>0.0</v>
      </c>
      <c r="K241" s="1">
        <v>0.0</v>
      </c>
      <c r="L241" s="1">
        <v>0.0</v>
      </c>
      <c r="M241" s="1">
        <v>0.0</v>
      </c>
    </row>
    <row r="242" ht="15.75" customHeight="1">
      <c r="A242" s="96" t="s">
        <v>2235</v>
      </c>
      <c r="B242" s="97" t="s">
        <v>2236</v>
      </c>
      <c r="C242" s="98" t="s">
        <v>25</v>
      </c>
      <c r="D242" s="99">
        <v>109.72</v>
      </c>
      <c r="E242" s="100">
        <v>93.26</v>
      </c>
      <c r="F242" s="93"/>
      <c r="H242" s="101"/>
      <c r="J242" s="1">
        <v>0.0</v>
      </c>
      <c r="K242" s="1">
        <v>0.0</v>
      </c>
      <c r="L242" s="1">
        <v>0.0</v>
      </c>
      <c r="M242" s="1">
        <v>0.0</v>
      </c>
    </row>
    <row r="243" ht="15.75" customHeight="1">
      <c r="A243" s="96" t="s">
        <v>2237</v>
      </c>
      <c r="B243" s="97" t="s">
        <v>2238</v>
      </c>
      <c r="C243" s="98" t="s">
        <v>25</v>
      </c>
      <c r="D243" s="99">
        <v>244.2</v>
      </c>
      <c r="E243" s="100">
        <v>207.57</v>
      </c>
      <c r="F243" s="93"/>
      <c r="H243" s="101"/>
      <c r="J243" s="1">
        <v>0.0</v>
      </c>
      <c r="K243" s="1">
        <v>0.0</v>
      </c>
      <c r="L243" s="1">
        <v>0.0</v>
      </c>
      <c r="M243" s="1">
        <v>0.0</v>
      </c>
    </row>
    <row r="244" ht="15.75" customHeight="1">
      <c r="A244" s="96" t="s">
        <v>2239</v>
      </c>
      <c r="B244" s="97" t="s">
        <v>2240</v>
      </c>
      <c r="C244" s="98" t="s">
        <v>25</v>
      </c>
      <c r="D244" s="99">
        <v>144.09</v>
      </c>
      <c r="E244" s="100">
        <v>122.48</v>
      </c>
      <c r="F244" s="93"/>
      <c r="H244" s="101"/>
      <c r="J244" s="1">
        <v>0.0</v>
      </c>
      <c r="K244" s="1">
        <v>0.0</v>
      </c>
      <c r="L244" s="1">
        <v>0.0</v>
      </c>
      <c r="M244" s="1">
        <v>0.0</v>
      </c>
    </row>
    <row r="245" ht="15.75" customHeight="1">
      <c r="A245" s="96" t="s">
        <v>2241</v>
      </c>
      <c r="B245" s="97" t="s">
        <v>693</v>
      </c>
      <c r="C245" s="98" t="s">
        <v>25</v>
      </c>
      <c r="D245" s="99">
        <v>1185.38</v>
      </c>
      <c r="E245" s="100">
        <v>1007.57</v>
      </c>
      <c r="F245" s="93"/>
      <c r="H245" s="101"/>
      <c r="J245" s="1">
        <v>0.0</v>
      </c>
      <c r="K245" s="1">
        <v>0.0</v>
      </c>
      <c r="L245" s="1">
        <v>0.0</v>
      </c>
      <c r="M245" s="1">
        <v>0.0</v>
      </c>
    </row>
    <row r="246" ht="15.75" customHeight="1">
      <c r="A246" s="96" t="s">
        <v>2242</v>
      </c>
      <c r="B246" s="97" t="s">
        <v>429</v>
      </c>
      <c r="C246" s="98" t="s">
        <v>25</v>
      </c>
      <c r="D246" s="99">
        <v>12845.69</v>
      </c>
      <c r="E246" s="100">
        <v>10918.84</v>
      </c>
      <c r="F246" s="93"/>
      <c r="H246" s="101"/>
      <c r="J246" s="1">
        <v>0.0</v>
      </c>
      <c r="K246" s="1">
        <v>0.0</v>
      </c>
      <c r="L246" s="1">
        <v>0.0</v>
      </c>
      <c r="M246" s="1">
        <v>0.0</v>
      </c>
    </row>
    <row r="247" ht="15.75" customHeight="1">
      <c r="A247" s="96" t="s">
        <v>2243</v>
      </c>
      <c r="B247" s="97" t="s">
        <v>530</v>
      </c>
      <c r="C247" s="98" t="s">
        <v>25</v>
      </c>
      <c r="D247" s="99">
        <v>8341.04</v>
      </c>
      <c r="E247" s="100">
        <v>7089.88</v>
      </c>
      <c r="F247" s="93"/>
      <c r="H247" s="101"/>
      <c r="J247" s="1">
        <v>0.0</v>
      </c>
      <c r="K247" s="1">
        <v>0.0</v>
      </c>
      <c r="L247" s="1">
        <v>0.0</v>
      </c>
      <c r="M247" s="1">
        <v>0.0</v>
      </c>
    </row>
    <row r="248" ht="15.75" customHeight="1">
      <c r="A248" s="96" t="s">
        <v>2244</v>
      </c>
      <c r="B248" s="97" t="s">
        <v>533</v>
      </c>
      <c r="C248" s="98" t="s">
        <v>25</v>
      </c>
      <c r="D248" s="99">
        <v>8199.26</v>
      </c>
      <c r="E248" s="100">
        <v>6969.37</v>
      </c>
      <c r="F248" s="93"/>
      <c r="H248" s="101"/>
      <c r="J248" s="1">
        <v>0.0</v>
      </c>
      <c r="K248" s="1">
        <v>0.0</v>
      </c>
      <c r="L248" s="1">
        <v>0.0</v>
      </c>
      <c r="M248" s="1">
        <v>0.0</v>
      </c>
    </row>
    <row r="249" ht="15.75" customHeight="1">
      <c r="A249" s="96" t="s">
        <v>2245</v>
      </c>
      <c r="B249" s="97" t="s">
        <v>2246</v>
      </c>
      <c r="C249" s="98" t="s">
        <v>25</v>
      </c>
      <c r="D249" s="99">
        <v>2.42</v>
      </c>
      <c r="E249" s="100">
        <v>2.06</v>
      </c>
      <c r="F249" s="93"/>
      <c r="H249" s="101"/>
      <c r="J249" s="1">
        <v>0.0</v>
      </c>
      <c r="K249" s="1">
        <v>0.0</v>
      </c>
      <c r="L249" s="1">
        <v>0.0</v>
      </c>
      <c r="M249" s="1">
        <v>0.0</v>
      </c>
    </row>
    <row r="250" ht="15.75" customHeight="1">
      <c r="A250" s="96" t="s">
        <v>2247</v>
      </c>
      <c r="B250" s="97" t="s">
        <v>2248</v>
      </c>
      <c r="C250" s="98" t="s">
        <v>25</v>
      </c>
      <c r="D250" s="99">
        <v>112.25</v>
      </c>
      <c r="E250" s="100">
        <v>95.41</v>
      </c>
      <c r="F250" s="93"/>
      <c r="H250" s="101"/>
      <c r="J250" s="1">
        <v>0.0</v>
      </c>
      <c r="K250" s="1">
        <v>0.0</v>
      </c>
      <c r="L250" s="1">
        <v>0.0</v>
      </c>
      <c r="M250" s="1">
        <v>0.0</v>
      </c>
    </row>
    <row r="251" ht="15.75" customHeight="1">
      <c r="A251" s="96" t="s">
        <v>2249</v>
      </c>
      <c r="B251" s="97" t="s">
        <v>1022</v>
      </c>
      <c r="C251" s="98" t="s">
        <v>25</v>
      </c>
      <c r="D251" s="99">
        <v>17.88</v>
      </c>
      <c r="E251" s="100">
        <v>15.2</v>
      </c>
      <c r="F251" s="93"/>
      <c r="H251" s="101"/>
      <c r="J251" s="1">
        <v>0.0</v>
      </c>
      <c r="K251" s="1">
        <v>0.0</v>
      </c>
      <c r="L251" s="1">
        <v>0.0</v>
      </c>
      <c r="M251" s="1">
        <v>0.0</v>
      </c>
    </row>
    <row r="252" ht="15.75" customHeight="1">
      <c r="A252" s="96" t="s">
        <v>2250</v>
      </c>
      <c r="B252" s="97" t="s">
        <v>1068</v>
      </c>
      <c r="C252" s="98" t="s">
        <v>25</v>
      </c>
      <c r="D252" s="99">
        <v>14.31</v>
      </c>
      <c r="E252" s="100">
        <v>12.16</v>
      </c>
      <c r="F252" s="93"/>
      <c r="H252" s="101"/>
      <c r="J252" s="1">
        <v>0.0</v>
      </c>
      <c r="K252" s="1">
        <v>0.0</v>
      </c>
      <c r="L252" s="1">
        <v>0.0</v>
      </c>
      <c r="M252" s="1">
        <v>0.0</v>
      </c>
    </row>
    <row r="253" ht="15.75" customHeight="1">
      <c r="A253" s="96" t="s">
        <v>2251</v>
      </c>
      <c r="B253" s="97" t="s">
        <v>2252</v>
      </c>
      <c r="C253" s="98" t="s">
        <v>25</v>
      </c>
      <c r="D253" s="99">
        <v>448.71</v>
      </c>
      <c r="E253" s="100">
        <v>381.4</v>
      </c>
      <c r="F253" s="93"/>
      <c r="H253" s="101"/>
      <c r="J253" s="1">
        <v>0.0</v>
      </c>
      <c r="K253" s="1">
        <v>0.0</v>
      </c>
      <c r="L253" s="1">
        <v>0.0</v>
      </c>
      <c r="M253" s="1">
        <v>0.0</v>
      </c>
    </row>
    <row r="254" ht="15.75" customHeight="1">
      <c r="A254" s="96" t="s">
        <v>2253</v>
      </c>
      <c r="B254" s="97" t="s">
        <v>2254</v>
      </c>
      <c r="C254" s="98" t="s">
        <v>25</v>
      </c>
      <c r="D254" s="99">
        <v>32.26</v>
      </c>
      <c r="E254" s="100">
        <v>27.42</v>
      </c>
      <c r="F254" s="93"/>
      <c r="H254" s="101"/>
      <c r="J254" s="1">
        <v>0.0</v>
      </c>
      <c r="K254" s="1">
        <v>0.0</v>
      </c>
      <c r="L254" s="1">
        <v>0.0</v>
      </c>
      <c r="M254" s="1">
        <v>0.0</v>
      </c>
    </row>
    <row r="255" ht="15.75" customHeight="1">
      <c r="A255" s="96" t="s">
        <v>2255</v>
      </c>
      <c r="B255" s="97" t="s">
        <v>2256</v>
      </c>
      <c r="C255" s="98" t="s">
        <v>25</v>
      </c>
      <c r="D255" s="99">
        <v>15.0</v>
      </c>
      <c r="E255" s="100">
        <v>12.75</v>
      </c>
      <c r="F255" s="93"/>
      <c r="H255" s="101"/>
      <c r="J255" s="1">
        <v>0.0</v>
      </c>
      <c r="K255" s="1">
        <v>0.0</v>
      </c>
      <c r="L255" s="1">
        <v>0.0</v>
      </c>
      <c r="M255" s="1">
        <v>0.0</v>
      </c>
    </row>
    <row r="256" ht="15.75" customHeight="1">
      <c r="A256" s="96" t="s">
        <v>2257</v>
      </c>
      <c r="B256" s="97" t="s">
        <v>1013</v>
      </c>
      <c r="C256" s="98" t="s">
        <v>25</v>
      </c>
      <c r="D256" s="99">
        <v>35.57</v>
      </c>
      <c r="E256" s="100">
        <v>30.23</v>
      </c>
      <c r="F256" s="93"/>
      <c r="H256" s="101"/>
      <c r="J256" s="1">
        <v>0.0</v>
      </c>
      <c r="K256" s="1">
        <v>0.0</v>
      </c>
      <c r="L256" s="1">
        <v>0.0</v>
      </c>
      <c r="M256" s="1">
        <v>0.0</v>
      </c>
    </row>
    <row r="257" ht="15.75" customHeight="1">
      <c r="A257" s="96" t="s">
        <v>2258</v>
      </c>
      <c r="B257" s="97" t="s">
        <v>2259</v>
      </c>
      <c r="C257" s="98" t="s">
        <v>25</v>
      </c>
      <c r="D257" s="99">
        <v>2251.0</v>
      </c>
      <c r="E257" s="100">
        <v>1913.35</v>
      </c>
      <c r="F257" s="93"/>
      <c r="H257" s="101"/>
      <c r="J257" s="1">
        <v>0.0</v>
      </c>
      <c r="K257" s="1">
        <v>0.0</v>
      </c>
      <c r="L257" s="1">
        <v>0.0</v>
      </c>
      <c r="M257" s="1">
        <v>0.0</v>
      </c>
    </row>
    <row r="258" ht="15.75" customHeight="1">
      <c r="A258" s="96" t="s">
        <v>2260</v>
      </c>
      <c r="B258" s="97" t="s">
        <v>2261</v>
      </c>
      <c r="C258" s="98" t="s">
        <v>25</v>
      </c>
      <c r="D258" s="99">
        <v>1700.84</v>
      </c>
      <c r="E258" s="100">
        <v>1445.71</v>
      </c>
      <c r="F258" s="93"/>
      <c r="H258" s="101"/>
      <c r="J258" s="1">
        <v>0.0</v>
      </c>
      <c r="K258" s="1">
        <v>0.0</v>
      </c>
      <c r="L258" s="1">
        <v>0.0</v>
      </c>
      <c r="M258" s="1">
        <v>0.0</v>
      </c>
    </row>
    <row r="259" ht="15.75" customHeight="1">
      <c r="A259" s="96" t="s">
        <v>2262</v>
      </c>
      <c r="B259" s="97" t="s">
        <v>527</v>
      </c>
      <c r="C259" s="98" t="s">
        <v>25</v>
      </c>
      <c r="D259" s="99">
        <v>23.0</v>
      </c>
      <c r="E259" s="100">
        <v>19.55</v>
      </c>
      <c r="F259" s="93"/>
      <c r="H259" s="101"/>
      <c r="J259" s="1">
        <v>0.0</v>
      </c>
      <c r="K259" s="1">
        <v>0.0</v>
      </c>
      <c r="L259" s="1">
        <v>0.0</v>
      </c>
      <c r="M259" s="1">
        <v>0.0</v>
      </c>
    </row>
    <row r="260" ht="15.75" customHeight="1">
      <c r="A260" s="96" t="s">
        <v>2263</v>
      </c>
      <c r="B260" s="97" t="s">
        <v>423</v>
      </c>
      <c r="C260" s="98" t="s">
        <v>25</v>
      </c>
      <c r="D260" s="99">
        <v>26.07</v>
      </c>
      <c r="E260" s="100">
        <v>22.16</v>
      </c>
      <c r="F260" s="93"/>
      <c r="H260" s="101"/>
      <c r="J260" s="1">
        <v>0.0</v>
      </c>
      <c r="K260" s="1">
        <v>0.0</v>
      </c>
      <c r="L260" s="1">
        <v>0.0</v>
      </c>
      <c r="M260" s="1">
        <v>0.0</v>
      </c>
    </row>
    <row r="261" ht="15.75" customHeight="1">
      <c r="A261" s="96" t="s">
        <v>2264</v>
      </c>
      <c r="B261" s="97" t="s">
        <v>1647</v>
      </c>
      <c r="C261" s="98" t="s">
        <v>25</v>
      </c>
      <c r="D261" s="99">
        <v>0.23</v>
      </c>
      <c r="E261" s="100">
        <v>0.2</v>
      </c>
      <c r="F261" s="93"/>
      <c r="H261" s="101"/>
      <c r="J261" s="1">
        <v>0.0</v>
      </c>
      <c r="K261" s="1">
        <v>0.0</v>
      </c>
      <c r="L261" s="1">
        <v>0.0</v>
      </c>
      <c r="M261" s="1">
        <v>0.0</v>
      </c>
    </row>
    <row r="262" ht="15.75" customHeight="1">
      <c r="A262" s="96" t="s">
        <v>2265</v>
      </c>
      <c r="B262" s="97" t="s">
        <v>1501</v>
      </c>
      <c r="C262" s="98" t="s">
        <v>25</v>
      </c>
      <c r="D262" s="99">
        <v>1.31</v>
      </c>
      <c r="E262" s="100">
        <v>1.11</v>
      </c>
      <c r="F262" s="93"/>
      <c r="H262" s="101"/>
      <c r="J262" s="1">
        <v>0.0</v>
      </c>
      <c r="K262" s="1">
        <v>0.0</v>
      </c>
      <c r="L262" s="1">
        <v>0.0</v>
      </c>
      <c r="M262" s="1">
        <v>0.0</v>
      </c>
    </row>
    <row r="263" ht="15.75" customHeight="1">
      <c r="A263" s="96" t="s">
        <v>2266</v>
      </c>
      <c r="B263" s="97" t="s">
        <v>1475</v>
      </c>
      <c r="C263" s="98" t="s">
        <v>25</v>
      </c>
      <c r="D263" s="99">
        <v>0.46</v>
      </c>
      <c r="E263" s="100">
        <v>0.39</v>
      </c>
      <c r="F263" s="93"/>
      <c r="H263" s="101"/>
      <c r="J263" s="1">
        <v>0.0</v>
      </c>
      <c r="K263" s="1">
        <v>0.0</v>
      </c>
      <c r="L263" s="1">
        <v>0.0</v>
      </c>
      <c r="M263" s="1">
        <v>0.0</v>
      </c>
    </row>
    <row r="264" ht="15.75" customHeight="1">
      <c r="A264" s="96" t="s">
        <v>2267</v>
      </c>
      <c r="B264" s="97" t="s">
        <v>1572</v>
      </c>
      <c r="C264" s="98" t="s">
        <v>25</v>
      </c>
      <c r="D264" s="99">
        <v>1.89</v>
      </c>
      <c r="E264" s="100">
        <v>1.61</v>
      </c>
      <c r="F264" s="93"/>
      <c r="H264" s="101"/>
      <c r="J264" s="1">
        <v>0.0</v>
      </c>
      <c r="K264" s="1">
        <v>0.0</v>
      </c>
      <c r="L264" s="1">
        <v>0.0</v>
      </c>
      <c r="M264" s="1">
        <v>0.0</v>
      </c>
    </row>
    <row r="265" ht="15.75" customHeight="1">
      <c r="A265" s="96" t="s">
        <v>2268</v>
      </c>
      <c r="B265" s="97" t="s">
        <v>289</v>
      </c>
      <c r="C265" s="98" t="s">
        <v>25</v>
      </c>
      <c r="D265" s="99">
        <v>485.51</v>
      </c>
      <c r="E265" s="100">
        <v>412.68</v>
      </c>
      <c r="F265" s="93"/>
      <c r="H265" s="101"/>
      <c r="J265" s="1">
        <v>0.0</v>
      </c>
      <c r="K265" s="1">
        <v>0.0</v>
      </c>
      <c r="L265" s="1">
        <v>0.0</v>
      </c>
      <c r="M265" s="1">
        <v>0.0</v>
      </c>
    </row>
    <row r="266" ht="15.75" customHeight="1">
      <c r="A266" s="96" t="s">
        <v>2269</v>
      </c>
      <c r="B266" s="97" t="s">
        <v>1274</v>
      </c>
      <c r="C266" s="98" t="s">
        <v>25</v>
      </c>
      <c r="D266" s="99">
        <v>0.65</v>
      </c>
      <c r="E266" s="100">
        <v>0.55</v>
      </c>
      <c r="F266" s="93"/>
      <c r="H266" s="101"/>
      <c r="J266" s="1">
        <v>0.0</v>
      </c>
      <c r="K266" s="1">
        <v>0.0</v>
      </c>
      <c r="L266" s="1">
        <v>0.0</v>
      </c>
      <c r="M266" s="1">
        <v>0.0</v>
      </c>
    </row>
    <row r="267" ht="15.75" customHeight="1">
      <c r="A267" s="96" t="s">
        <v>2270</v>
      </c>
      <c r="B267" s="97" t="s">
        <v>2271</v>
      </c>
      <c r="C267" s="98" t="s">
        <v>25</v>
      </c>
      <c r="D267" s="99">
        <v>27.92</v>
      </c>
      <c r="E267" s="100">
        <v>23.73</v>
      </c>
      <c r="F267" s="93"/>
      <c r="H267" s="101"/>
      <c r="J267" s="1">
        <v>0.0</v>
      </c>
      <c r="K267" s="1">
        <v>0.0</v>
      </c>
      <c r="L267" s="1">
        <v>0.0</v>
      </c>
      <c r="M267" s="1">
        <v>0.0</v>
      </c>
    </row>
    <row r="268" ht="15.75" customHeight="1">
      <c r="A268" s="96" t="s">
        <v>2272</v>
      </c>
      <c r="B268" s="97" t="s">
        <v>1025</v>
      </c>
      <c r="C268" s="98" t="s">
        <v>25</v>
      </c>
      <c r="D268" s="99">
        <v>132.6</v>
      </c>
      <c r="E268" s="100">
        <v>112.71</v>
      </c>
      <c r="F268" s="93"/>
      <c r="H268" s="101"/>
      <c r="J268" s="1">
        <v>0.0</v>
      </c>
      <c r="K268" s="1">
        <v>0.0</v>
      </c>
      <c r="L268" s="1">
        <v>0.0</v>
      </c>
      <c r="M268" s="1">
        <v>0.0</v>
      </c>
    </row>
    <row r="269" ht="15.75" customHeight="1">
      <c r="A269" s="96" t="s">
        <v>2273</v>
      </c>
      <c r="B269" s="97" t="s">
        <v>2274</v>
      </c>
      <c r="C269" s="98" t="s">
        <v>25</v>
      </c>
      <c r="D269" s="99">
        <v>25.3</v>
      </c>
      <c r="E269" s="100">
        <v>21.51</v>
      </c>
      <c r="F269" s="93"/>
      <c r="H269" s="101"/>
      <c r="J269" s="1">
        <v>0.0</v>
      </c>
      <c r="K269" s="1">
        <v>0.0</v>
      </c>
      <c r="L269" s="1">
        <v>0.0</v>
      </c>
      <c r="M269" s="1">
        <v>0.0</v>
      </c>
    </row>
    <row r="270" ht="15.75" customHeight="1">
      <c r="A270" s="96" t="s">
        <v>2275</v>
      </c>
      <c r="B270" s="97" t="s">
        <v>2276</v>
      </c>
      <c r="C270" s="98" t="s">
        <v>25</v>
      </c>
      <c r="D270" s="99">
        <v>532.66</v>
      </c>
      <c r="E270" s="100">
        <v>452.76</v>
      </c>
      <c r="F270" s="93"/>
      <c r="H270" s="101"/>
      <c r="J270" s="1">
        <v>0.0</v>
      </c>
      <c r="K270" s="1">
        <v>0.0</v>
      </c>
      <c r="L270" s="1">
        <v>0.0</v>
      </c>
      <c r="M270" s="1">
        <v>0.0</v>
      </c>
    </row>
    <row r="271" ht="15.75" customHeight="1">
      <c r="A271" s="96" t="s">
        <v>2277</v>
      </c>
      <c r="B271" s="97" t="s">
        <v>2278</v>
      </c>
      <c r="C271" s="98" t="s">
        <v>25</v>
      </c>
      <c r="D271" s="99">
        <v>10.69</v>
      </c>
      <c r="E271" s="100">
        <v>9.09</v>
      </c>
      <c r="F271" s="93"/>
      <c r="H271" s="101"/>
      <c r="J271" s="1">
        <v>0.0</v>
      </c>
      <c r="K271" s="1">
        <v>0.0</v>
      </c>
      <c r="L271" s="1">
        <v>0.0</v>
      </c>
      <c r="M271" s="1">
        <v>0.0</v>
      </c>
    </row>
    <row r="272" ht="15.75" customHeight="1">
      <c r="A272" s="96" t="s">
        <v>2279</v>
      </c>
      <c r="B272" s="97" t="s">
        <v>366</v>
      </c>
      <c r="C272" s="98" t="s">
        <v>25</v>
      </c>
      <c r="D272" s="99">
        <v>219.47</v>
      </c>
      <c r="E272" s="100">
        <v>186.55</v>
      </c>
      <c r="F272" s="93"/>
      <c r="H272" s="101"/>
      <c r="J272" s="1">
        <v>0.0</v>
      </c>
      <c r="K272" s="1">
        <v>0.0</v>
      </c>
      <c r="L272" s="1">
        <v>0.0</v>
      </c>
      <c r="M272" s="1">
        <v>0.0</v>
      </c>
    </row>
    <row r="273" ht="15.75" customHeight="1">
      <c r="A273" s="96" t="s">
        <v>2280</v>
      </c>
      <c r="B273" s="97" t="s">
        <v>795</v>
      </c>
      <c r="C273" s="98" t="s">
        <v>25</v>
      </c>
      <c r="D273" s="99">
        <v>384.33</v>
      </c>
      <c r="E273" s="100">
        <v>326.68</v>
      </c>
      <c r="F273" s="93"/>
      <c r="H273" s="101"/>
      <c r="J273" s="1">
        <v>0.0</v>
      </c>
      <c r="K273" s="1">
        <v>0.0</v>
      </c>
      <c r="L273" s="1">
        <v>0.0</v>
      </c>
      <c r="M273" s="1">
        <v>0.0</v>
      </c>
    </row>
    <row r="274" ht="15.75" customHeight="1">
      <c r="A274" s="96" t="s">
        <v>2281</v>
      </c>
      <c r="B274" s="97" t="s">
        <v>2282</v>
      </c>
      <c r="C274" s="98" t="s">
        <v>25</v>
      </c>
      <c r="D274" s="99">
        <v>179.05</v>
      </c>
      <c r="E274" s="100">
        <v>152.19</v>
      </c>
      <c r="F274" s="93"/>
      <c r="H274" s="101"/>
      <c r="J274" s="1">
        <v>0.0</v>
      </c>
      <c r="K274" s="1">
        <v>0.0</v>
      </c>
      <c r="L274" s="1">
        <v>0.0</v>
      </c>
      <c r="M274" s="1">
        <v>0.0</v>
      </c>
    </row>
    <row r="275" ht="15.75" customHeight="1">
      <c r="A275" s="96" t="s">
        <v>2283</v>
      </c>
      <c r="B275" s="97" t="s">
        <v>2284</v>
      </c>
      <c r="C275" s="98" t="s">
        <v>25</v>
      </c>
      <c r="D275" s="99">
        <v>57.11</v>
      </c>
      <c r="E275" s="100">
        <v>48.54</v>
      </c>
      <c r="F275" s="93"/>
      <c r="H275" s="101"/>
      <c r="J275" s="1">
        <v>0.0</v>
      </c>
      <c r="K275" s="1">
        <v>0.0</v>
      </c>
      <c r="L275" s="1">
        <v>0.0</v>
      </c>
      <c r="M275" s="1">
        <v>0.0</v>
      </c>
    </row>
    <row r="276" ht="15.75" customHeight="1">
      <c r="A276" s="96" t="s">
        <v>2285</v>
      </c>
      <c r="B276" s="97" t="s">
        <v>2286</v>
      </c>
      <c r="C276" s="98" t="s">
        <v>25</v>
      </c>
      <c r="D276" s="99">
        <v>547.46</v>
      </c>
      <c r="E276" s="100">
        <v>465.34</v>
      </c>
      <c r="F276" s="93"/>
      <c r="H276" s="101"/>
      <c r="J276" s="1">
        <v>0.0</v>
      </c>
      <c r="K276" s="1">
        <v>0.0</v>
      </c>
      <c r="L276" s="1">
        <v>0.0</v>
      </c>
      <c r="M276" s="1">
        <v>0.0</v>
      </c>
    </row>
    <row r="277" ht="15.75" customHeight="1">
      <c r="A277" s="96" t="s">
        <v>2287</v>
      </c>
      <c r="B277" s="97" t="s">
        <v>609</v>
      </c>
      <c r="C277" s="98" t="s">
        <v>25</v>
      </c>
      <c r="D277" s="99">
        <v>547.19</v>
      </c>
      <c r="E277" s="100">
        <v>465.11</v>
      </c>
      <c r="F277" s="93"/>
      <c r="H277" s="101"/>
      <c r="J277" s="1">
        <v>0.0</v>
      </c>
      <c r="K277" s="1">
        <v>0.0</v>
      </c>
      <c r="L277" s="1">
        <v>0.0</v>
      </c>
      <c r="M277" s="1">
        <v>0.0</v>
      </c>
    </row>
    <row r="278" ht="15.75" customHeight="1">
      <c r="A278" s="96" t="s">
        <v>2288</v>
      </c>
      <c r="B278" s="97" t="s">
        <v>1343</v>
      </c>
      <c r="C278" s="98" t="s">
        <v>25</v>
      </c>
      <c r="D278" s="99">
        <v>184.9</v>
      </c>
      <c r="E278" s="100">
        <v>157.17</v>
      </c>
      <c r="F278" s="93"/>
      <c r="H278" s="101"/>
      <c r="J278" s="1">
        <v>0.0</v>
      </c>
      <c r="K278" s="1">
        <v>0.0</v>
      </c>
      <c r="L278" s="1">
        <v>0.0</v>
      </c>
      <c r="M278" s="1">
        <v>0.0</v>
      </c>
    </row>
    <row r="279" ht="15.75" customHeight="1">
      <c r="A279" s="96" t="s">
        <v>2289</v>
      </c>
      <c r="B279" s="97" t="s">
        <v>2290</v>
      </c>
      <c r="C279" s="98" t="s">
        <v>25</v>
      </c>
      <c r="D279" s="99">
        <v>95.87</v>
      </c>
      <c r="E279" s="100">
        <v>81.49</v>
      </c>
      <c r="F279" s="93"/>
      <c r="H279" s="101"/>
      <c r="J279" s="1">
        <v>0.0</v>
      </c>
      <c r="K279" s="1">
        <v>0.0</v>
      </c>
      <c r="L279" s="1">
        <v>0.0</v>
      </c>
      <c r="M279" s="1">
        <v>0.0</v>
      </c>
    </row>
    <row r="280" ht="15.75" customHeight="1">
      <c r="A280" s="96" t="s">
        <v>2291</v>
      </c>
      <c r="B280" s="97" t="s">
        <v>2292</v>
      </c>
      <c r="C280" s="98" t="s">
        <v>25</v>
      </c>
      <c r="D280" s="99">
        <v>100.26</v>
      </c>
      <c r="E280" s="100">
        <v>85.22</v>
      </c>
      <c r="F280" s="93"/>
      <c r="H280" s="101"/>
      <c r="J280" s="1">
        <v>0.0</v>
      </c>
      <c r="K280" s="1">
        <v>0.0</v>
      </c>
      <c r="L280" s="1">
        <v>0.0</v>
      </c>
      <c r="M280" s="1">
        <v>0.0</v>
      </c>
    </row>
    <row r="281" ht="15.75" customHeight="1">
      <c r="A281" s="96" t="s">
        <v>2293</v>
      </c>
      <c r="B281" s="97" t="s">
        <v>2294</v>
      </c>
      <c r="C281" s="98" t="s">
        <v>25</v>
      </c>
      <c r="D281" s="99">
        <v>95.6</v>
      </c>
      <c r="E281" s="100">
        <v>81.26</v>
      </c>
      <c r="F281" s="93"/>
      <c r="H281" s="101"/>
      <c r="J281" s="1">
        <v>0.0</v>
      </c>
      <c r="K281" s="1">
        <v>0.0</v>
      </c>
      <c r="L281" s="1">
        <v>0.0</v>
      </c>
      <c r="M281" s="1">
        <v>0.0</v>
      </c>
    </row>
    <row r="282" ht="15.75" customHeight="1">
      <c r="A282" s="96" t="s">
        <v>2295</v>
      </c>
      <c r="B282" s="97" t="s">
        <v>1060</v>
      </c>
      <c r="C282" s="98" t="s">
        <v>25</v>
      </c>
      <c r="D282" s="99">
        <v>25.92</v>
      </c>
      <c r="E282" s="100">
        <v>22.03</v>
      </c>
      <c r="F282" s="93"/>
      <c r="H282" s="101"/>
      <c r="J282" s="1">
        <v>0.0</v>
      </c>
      <c r="K282" s="1">
        <v>0.0</v>
      </c>
      <c r="L282" s="1">
        <v>0.0</v>
      </c>
      <c r="M282" s="1">
        <v>0.0</v>
      </c>
    </row>
    <row r="283" ht="15.75" customHeight="1">
      <c r="A283" s="96" t="s">
        <v>2296</v>
      </c>
      <c r="B283" s="97" t="s">
        <v>2297</v>
      </c>
      <c r="C283" s="98" t="s">
        <v>25</v>
      </c>
      <c r="D283" s="99">
        <v>23.0</v>
      </c>
      <c r="E283" s="100">
        <v>19.55</v>
      </c>
      <c r="F283" s="93"/>
      <c r="H283" s="101"/>
      <c r="J283" s="1">
        <v>0.0</v>
      </c>
      <c r="K283" s="1">
        <v>0.0</v>
      </c>
      <c r="L283" s="1">
        <v>0.0</v>
      </c>
      <c r="M283" s="1">
        <v>0.0</v>
      </c>
    </row>
    <row r="284" ht="15.75" customHeight="1">
      <c r="A284" s="96" t="s">
        <v>2298</v>
      </c>
      <c r="B284" s="97" t="s">
        <v>994</v>
      </c>
      <c r="C284" s="98" t="s">
        <v>25</v>
      </c>
      <c r="D284" s="99">
        <v>1604.45</v>
      </c>
      <c r="E284" s="100">
        <v>1363.78</v>
      </c>
      <c r="F284" s="93"/>
      <c r="H284" s="101"/>
      <c r="J284" s="1">
        <v>0.0</v>
      </c>
      <c r="K284" s="1">
        <v>0.0</v>
      </c>
      <c r="L284" s="1">
        <v>0.0</v>
      </c>
      <c r="M284" s="1">
        <v>0.0</v>
      </c>
    </row>
    <row r="285" ht="15.75" customHeight="1">
      <c r="A285" s="96" t="s">
        <v>2299</v>
      </c>
      <c r="B285" s="97" t="s">
        <v>2300</v>
      </c>
      <c r="C285" s="98" t="s">
        <v>25</v>
      </c>
      <c r="D285" s="99">
        <v>19.34</v>
      </c>
      <c r="E285" s="100">
        <v>16.44</v>
      </c>
      <c r="F285" s="93"/>
      <c r="H285" s="101"/>
      <c r="J285" s="1">
        <v>0.0</v>
      </c>
      <c r="K285" s="1">
        <v>0.0</v>
      </c>
      <c r="L285" s="1">
        <v>0.0</v>
      </c>
      <c r="M285" s="1">
        <v>0.0</v>
      </c>
    </row>
    <row r="286" ht="15.75" customHeight="1">
      <c r="A286" s="96" t="s">
        <v>2301</v>
      </c>
      <c r="B286" s="97" t="s">
        <v>344</v>
      </c>
      <c r="C286" s="98" t="s">
        <v>25</v>
      </c>
      <c r="D286" s="99">
        <v>66.8</v>
      </c>
      <c r="E286" s="100">
        <v>56.78</v>
      </c>
      <c r="F286" s="93"/>
      <c r="H286" s="101"/>
      <c r="J286" s="1">
        <v>0.0</v>
      </c>
      <c r="K286" s="1">
        <v>0.0</v>
      </c>
      <c r="L286" s="1">
        <v>0.0</v>
      </c>
      <c r="M286" s="1">
        <v>0.0</v>
      </c>
    </row>
    <row r="287" ht="15.75" customHeight="1">
      <c r="A287" s="96" t="s">
        <v>2302</v>
      </c>
      <c r="B287" s="97" t="s">
        <v>1209</v>
      </c>
      <c r="C287" s="98" t="s">
        <v>25</v>
      </c>
      <c r="D287" s="99">
        <v>66.72</v>
      </c>
      <c r="E287" s="100">
        <v>56.71</v>
      </c>
      <c r="F287" s="93"/>
      <c r="H287" s="101"/>
      <c r="J287" s="1">
        <v>0.0</v>
      </c>
      <c r="K287" s="1">
        <v>0.0</v>
      </c>
      <c r="L287" s="1">
        <v>0.0</v>
      </c>
      <c r="M287" s="1">
        <v>0.0</v>
      </c>
    </row>
    <row r="288" ht="15.75" customHeight="1">
      <c r="A288" s="96" t="s">
        <v>2303</v>
      </c>
      <c r="B288" s="97" t="s">
        <v>432</v>
      </c>
      <c r="C288" s="98" t="s">
        <v>25</v>
      </c>
      <c r="D288" s="99">
        <v>1068.24</v>
      </c>
      <c r="E288" s="100">
        <v>908.0</v>
      </c>
      <c r="F288" s="93"/>
      <c r="H288" s="101"/>
      <c r="J288" s="1">
        <v>0.0</v>
      </c>
      <c r="K288" s="1">
        <v>0.0</v>
      </c>
      <c r="L288" s="1">
        <v>0.0</v>
      </c>
      <c r="M288" s="1">
        <v>0.0</v>
      </c>
    </row>
    <row r="289" ht="15.75" customHeight="1">
      <c r="A289" s="96" t="s">
        <v>2304</v>
      </c>
      <c r="B289" s="97" t="s">
        <v>2305</v>
      </c>
      <c r="C289" s="98" t="s">
        <v>25</v>
      </c>
      <c r="D289" s="99">
        <v>268.12</v>
      </c>
      <c r="E289" s="100">
        <v>227.9</v>
      </c>
      <c r="F289" s="93"/>
      <c r="H289" s="101"/>
      <c r="J289" s="1">
        <v>0.0</v>
      </c>
      <c r="K289" s="1">
        <v>0.0</v>
      </c>
      <c r="L289" s="1">
        <v>0.0</v>
      </c>
      <c r="M289" s="1">
        <v>0.0</v>
      </c>
    </row>
    <row r="290" ht="15.75" customHeight="1">
      <c r="A290" s="96" t="s">
        <v>2306</v>
      </c>
      <c r="B290" s="97" t="s">
        <v>888</v>
      </c>
      <c r="C290" s="98" t="s">
        <v>25</v>
      </c>
      <c r="D290" s="99">
        <v>183.97</v>
      </c>
      <c r="E290" s="100">
        <v>156.37</v>
      </c>
      <c r="F290" s="93"/>
      <c r="H290" s="101"/>
      <c r="J290" s="1">
        <v>0.0</v>
      </c>
      <c r="K290" s="1">
        <v>0.0</v>
      </c>
      <c r="L290" s="1">
        <v>0.0</v>
      </c>
      <c r="M290" s="1">
        <v>0.0</v>
      </c>
    </row>
    <row r="291" ht="15.75" customHeight="1">
      <c r="A291" s="96" t="s">
        <v>2307</v>
      </c>
      <c r="B291" s="97" t="s">
        <v>271</v>
      </c>
      <c r="C291" s="98" t="s">
        <v>25</v>
      </c>
      <c r="D291" s="99">
        <v>13.69</v>
      </c>
      <c r="E291" s="100">
        <v>11.64</v>
      </c>
      <c r="F291" s="93"/>
      <c r="H291" s="101"/>
      <c r="J291" s="1">
        <v>0.0</v>
      </c>
      <c r="K291" s="1">
        <v>0.0</v>
      </c>
      <c r="L291" s="1">
        <v>0.0</v>
      </c>
      <c r="M291" s="1">
        <v>0.0</v>
      </c>
    </row>
    <row r="292" ht="15.75" customHeight="1">
      <c r="A292" s="96" t="s">
        <v>2308</v>
      </c>
      <c r="B292" s="97" t="s">
        <v>335</v>
      </c>
      <c r="C292" s="98" t="s">
        <v>25</v>
      </c>
      <c r="D292" s="99">
        <v>1945.19</v>
      </c>
      <c r="E292" s="100">
        <v>1653.41</v>
      </c>
      <c r="F292" s="93"/>
      <c r="H292" s="101"/>
      <c r="J292" s="1">
        <v>0.0</v>
      </c>
      <c r="K292" s="1">
        <v>0.0</v>
      </c>
      <c r="L292" s="1">
        <v>0.0</v>
      </c>
      <c r="M292" s="1">
        <v>0.0</v>
      </c>
    </row>
    <row r="293" ht="15.75" customHeight="1">
      <c r="A293" s="96" t="s">
        <v>2309</v>
      </c>
      <c r="B293" s="97" t="s">
        <v>442</v>
      </c>
      <c r="C293" s="98" t="s">
        <v>25</v>
      </c>
      <c r="D293" s="99">
        <v>2022.65</v>
      </c>
      <c r="E293" s="100">
        <v>1719.25</v>
      </c>
      <c r="F293" s="93"/>
      <c r="H293" s="101"/>
      <c r="J293" s="1">
        <v>0.0</v>
      </c>
      <c r="K293" s="1">
        <v>0.0</v>
      </c>
      <c r="L293" s="1">
        <v>0.0</v>
      </c>
      <c r="M293" s="1">
        <v>0.0</v>
      </c>
    </row>
    <row r="294" ht="15.75" customHeight="1">
      <c r="A294" s="96" t="s">
        <v>2310</v>
      </c>
      <c r="B294" s="97" t="s">
        <v>2311</v>
      </c>
      <c r="C294" s="98" t="s">
        <v>25</v>
      </c>
      <c r="D294" s="99">
        <v>0.39</v>
      </c>
      <c r="E294" s="100">
        <v>0.33</v>
      </c>
      <c r="F294" s="93"/>
      <c r="H294" s="101"/>
      <c r="J294" s="1">
        <v>0.0</v>
      </c>
      <c r="K294" s="1">
        <v>0.0</v>
      </c>
      <c r="L294" s="1">
        <v>0.0</v>
      </c>
      <c r="M294" s="1">
        <v>0.0</v>
      </c>
    </row>
    <row r="295" ht="15.75" customHeight="1">
      <c r="A295" s="96" t="s">
        <v>2312</v>
      </c>
      <c r="B295" s="97" t="s">
        <v>637</v>
      </c>
      <c r="C295" s="98" t="s">
        <v>25</v>
      </c>
      <c r="D295" s="99">
        <v>11.57</v>
      </c>
      <c r="E295" s="100">
        <v>9.83</v>
      </c>
      <c r="F295" s="93"/>
      <c r="H295" s="101"/>
      <c r="J295" s="1">
        <v>0.0</v>
      </c>
      <c r="K295" s="1">
        <v>0.0</v>
      </c>
      <c r="L295" s="1">
        <v>0.0</v>
      </c>
      <c r="M295" s="1">
        <v>0.0</v>
      </c>
    </row>
    <row r="296" ht="15.75" customHeight="1">
      <c r="A296" s="96" t="s">
        <v>2313</v>
      </c>
      <c r="B296" s="97" t="s">
        <v>798</v>
      </c>
      <c r="C296" s="98" t="s">
        <v>25</v>
      </c>
      <c r="D296" s="99">
        <v>172.21</v>
      </c>
      <c r="E296" s="100">
        <v>146.38</v>
      </c>
      <c r="F296" s="93"/>
      <c r="H296" s="101"/>
      <c r="J296" s="1">
        <v>0.0</v>
      </c>
      <c r="K296" s="1">
        <v>0.0</v>
      </c>
      <c r="L296" s="1">
        <v>0.0</v>
      </c>
      <c r="M296" s="1">
        <v>0.0</v>
      </c>
    </row>
    <row r="297" ht="15.75" customHeight="1">
      <c r="A297" s="96" t="s">
        <v>2314</v>
      </c>
      <c r="B297" s="97" t="s">
        <v>1240</v>
      </c>
      <c r="C297" s="98" t="s">
        <v>25</v>
      </c>
      <c r="D297" s="99">
        <v>288.42</v>
      </c>
      <c r="E297" s="100">
        <v>245.16</v>
      </c>
      <c r="F297" s="93"/>
      <c r="H297" s="101"/>
      <c r="J297" s="1">
        <v>0.0</v>
      </c>
      <c r="K297" s="1">
        <v>0.0</v>
      </c>
      <c r="L297" s="1">
        <v>0.0</v>
      </c>
      <c r="M297" s="1">
        <v>0.0</v>
      </c>
    </row>
    <row r="298" ht="15.75" customHeight="1">
      <c r="A298" s="96" t="s">
        <v>2315</v>
      </c>
      <c r="B298" s="97" t="s">
        <v>536</v>
      </c>
      <c r="C298" s="98" t="s">
        <v>25</v>
      </c>
      <c r="D298" s="99">
        <v>2730.59</v>
      </c>
      <c r="E298" s="100">
        <v>2321.0</v>
      </c>
      <c r="F298" s="93"/>
      <c r="H298" s="101"/>
      <c r="J298" s="1">
        <v>0.0</v>
      </c>
      <c r="K298" s="1">
        <v>0.0</v>
      </c>
      <c r="L298" s="1">
        <v>0.0</v>
      </c>
      <c r="M298" s="1">
        <v>0.0</v>
      </c>
    </row>
    <row r="299" ht="15.75" customHeight="1">
      <c r="A299" s="96" t="s">
        <v>2316</v>
      </c>
      <c r="B299" s="97" t="s">
        <v>1534</v>
      </c>
      <c r="C299" s="98" t="s">
        <v>25</v>
      </c>
      <c r="D299" s="99">
        <v>1.31</v>
      </c>
      <c r="E299" s="100">
        <v>1.11</v>
      </c>
      <c r="F299" s="93"/>
      <c r="H299" s="101"/>
      <c r="J299" s="1">
        <v>0.0</v>
      </c>
      <c r="K299" s="1">
        <v>0.0</v>
      </c>
      <c r="L299" s="1">
        <v>0.0</v>
      </c>
      <c r="M299" s="1">
        <v>0.0</v>
      </c>
    </row>
    <row r="300" ht="15.75" customHeight="1">
      <c r="A300" s="96" t="s">
        <v>2317</v>
      </c>
      <c r="B300" s="97" t="s">
        <v>833</v>
      </c>
      <c r="C300" s="98" t="s">
        <v>25</v>
      </c>
      <c r="D300" s="99">
        <v>5.61</v>
      </c>
      <c r="E300" s="100">
        <v>4.77</v>
      </c>
      <c r="F300" s="93"/>
      <c r="H300" s="101"/>
      <c r="J300" s="1">
        <v>0.0</v>
      </c>
      <c r="K300" s="1">
        <v>0.0</v>
      </c>
      <c r="L300" s="1">
        <v>0.0</v>
      </c>
      <c r="M300" s="1">
        <v>0.0</v>
      </c>
    </row>
    <row r="301" ht="15.75" customHeight="1">
      <c r="A301" s="96" t="s">
        <v>2318</v>
      </c>
      <c r="B301" s="97" t="s">
        <v>356</v>
      </c>
      <c r="C301" s="98" t="s">
        <v>25</v>
      </c>
      <c r="D301" s="99">
        <v>7.69</v>
      </c>
      <c r="E301" s="100">
        <v>6.54</v>
      </c>
      <c r="F301" s="93"/>
      <c r="H301" s="101"/>
      <c r="J301" s="1">
        <v>0.0</v>
      </c>
      <c r="K301" s="1">
        <v>0.0</v>
      </c>
      <c r="L301" s="1">
        <v>0.0</v>
      </c>
      <c r="M301" s="1">
        <v>0.0</v>
      </c>
    </row>
    <row r="302" ht="15.75" customHeight="1">
      <c r="A302" s="96" t="s">
        <v>2319</v>
      </c>
      <c r="B302" s="97" t="s">
        <v>836</v>
      </c>
      <c r="C302" s="98" t="s">
        <v>25</v>
      </c>
      <c r="D302" s="99">
        <v>3.0</v>
      </c>
      <c r="E302" s="100">
        <v>2.55</v>
      </c>
      <c r="F302" s="93"/>
      <c r="H302" s="101"/>
      <c r="J302" s="1">
        <v>0.0</v>
      </c>
      <c r="K302" s="1">
        <v>0.0</v>
      </c>
      <c r="L302" s="1">
        <v>0.0</v>
      </c>
      <c r="M302" s="1">
        <v>0.0</v>
      </c>
    </row>
    <row r="303" ht="15.75" customHeight="1">
      <c r="A303" s="96" t="s">
        <v>2320</v>
      </c>
      <c r="B303" s="97" t="s">
        <v>1332</v>
      </c>
      <c r="C303" s="98" t="s">
        <v>25</v>
      </c>
      <c r="D303" s="99">
        <v>1.54</v>
      </c>
      <c r="E303" s="100">
        <v>1.31</v>
      </c>
      <c r="F303" s="93"/>
      <c r="H303" s="101"/>
      <c r="J303" s="1">
        <v>0.0</v>
      </c>
      <c r="K303" s="1">
        <v>0.0</v>
      </c>
      <c r="L303" s="1">
        <v>0.0</v>
      </c>
      <c r="M303" s="1">
        <v>0.0</v>
      </c>
    </row>
    <row r="304" ht="15.75" customHeight="1">
      <c r="A304" s="96" t="s">
        <v>2321</v>
      </c>
      <c r="B304" s="97" t="s">
        <v>1074</v>
      </c>
      <c r="C304" s="98" t="s">
        <v>25</v>
      </c>
      <c r="D304" s="99">
        <v>2.19</v>
      </c>
      <c r="E304" s="100">
        <v>1.86</v>
      </c>
      <c r="F304" s="93"/>
      <c r="H304" s="101"/>
      <c r="J304" s="1">
        <v>0.0</v>
      </c>
      <c r="K304" s="1">
        <v>0.0</v>
      </c>
      <c r="L304" s="1">
        <v>0.0</v>
      </c>
      <c r="M304" s="1">
        <v>0.0</v>
      </c>
    </row>
    <row r="305" ht="15.75" customHeight="1">
      <c r="A305" s="96" t="s">
        <v>2322</v>
      </c>
      <c r="B305" s="97" t="s">
        <v>652</v>
      </c>
      <c r="C305" s="98" t="s">
        <v>25</v>
      </c>
      <c r="D305" s="99">
        <v>601.46</v>
      </c>
      <c r="E305" s="100">
        <v>511.24</v>
      </c>
      <c r="F305" s="93"/>
      <c r="H305" s="101"/>
      <c r="J305" s="1">
        <v>0.0</v>
      </c>
      <c r="K305" s="1">
        <v>0.0</v>
      </c>
      <c r="L305" s="1">
        <v>0.0</v>
      </c>
      <c r="M305" s="1">
        <v>0.0</v>
      </c>
    </row>
    <row r="306" ht="15.75" customHeight="1">
      <c r="A306" s="96" t="s">
        <v>2323</v>
      </c>
      <c r="B306" s="97" t="s">
        <v>705</v>
      </c>
      <c r="C306" s="98" t="s">
        <v>25</v>
      </c>
      <c r="D306" s="99">
        <v>4564.72</v>
      </c>
      <c r="E306" s="100">
        <v>3880.01</v>
      </c>
      <c r="F306" s="93"/>
      <c r="H306" s="101"/>
      <c r="J306" s="1">
        <v>0.0</v>
      </c>
      <c r="K306" s="1">
        <v>0.0</v>
      </c>
      <c r="L306" s="1">
        <v>0.0</v>
      </c>
      <c r="M306" s="1">
        <v>0.0</v>
      </c>
    </row>
    <row r="307" ht="15.75" customHeight="1">
      <c r="A307" s="96" t="s">
        <v>2324</v>
      </c>
      <c r="B307" s="97" t="s">
        <v>2325</v>
      </c>
      <c r="C307" s="98" t="s">
        <v>25</v>
      </c>
      <c r="D307" s="99">
        <v>394.79</v>
      </c>
      <c r="E307" s="100">
        <v>335.57</v>
      </c>
      <c r="F307" s="93"/>
      <c r="H307" s="101"/>
      <c r="J307" s="1">
        <v>0.0</v>
      </c>
      <c r="K307" s="1">
        <v>0.0</v>
      </c>
      <c r="L307" s="1">
        <v>0.0</v>
      </c>
      <c r="M307" s="1">
        <v>0.0</v>
      </c>
    </row>
    <row r="308" ht="15.75" customHeight="1">
      <c r="A308" s="96" t="s">
        <v>2326</v>
      </c>
      <c r="B308" s="97" t="s">
        <v>2327</v>
      </c>
      <c r="C308" s="98" t="s">
        <v>25</v>
      </c>
      <c r="D308" s="99">
        <v>106.68</v>
      </c>
      <c r="E308" s="100">
        <v>90.68</v>
      </c>
      <c r="F308" s="93"/>
      <c r="H308" s="101"/>
      <c r="J308" s="1">
        <v>0.0</v>
      </c>
      <c r="K308" s="1">
        <v>0.0</v>
      </c>
      <c r="L308" s="1">
        <v>0.0</v>
      </c>
      <c r="M308" s="1">
        <v>0.0</v>
      </c>
    </row>
    <row r="309" ht="15.75" customHeight="1">
      <c r="A309" s="96" t="s">
        <v>2328</v>
      </c>
      <c r="B309" s="97" t="s">
        <v>510</v>
      </c>
      <c r="C309" s="98" t="s">
        <v>25</v>
      </c>
      <c r="D309" s="99">
        <v>1333.7</v>
      </c>
      <c r="E309" s="100">
        <v>1133.65</v>
      </c>
      <c r="F309" s="93"/>
      <c r="H309" s="101"/>
      <c r="J309" s="1">
        <v>0.0</v>
      </c>
      <c r="K309" s="1">
        <v>0.0</v>
      </c>
      <c r="L309" s="1">
        <v>0.0</v>
      </c>
      <c r="M309" s="1">
        <v>0.0</v>
      </c>
    </row>
    <row r="310" ht="15.75" customHeight="1">
      <c r="A310" s="96" t="s">
        <v>2329</v>
      </c>
      <c r="B310" s="97" t="s">
        <v>2330</v>
      </c>
      <c r="C310" s="98" t="s">
        <v>25</v>
      </c>
      <c r="D310" s="99">
        <v>10.31</v>
      </c>
      <c r="E310" s="100">
        <v>8.76</v>
      </c>
      <c r="F310" s="93"/>
      <c r="H310" s="101"/>
      <c r="J310" s="1">
        <v>0.0</v>
      </c>
      <c r="K310" s="1">
        <v>0.0</v>
      </c>
      <c r="L310" s="1">
        <v>0.0</v>
      </c>
      <c r="M310" s="1">
        <v>0.0</v>
      </c>
    </row>
    <row r="311" ht="15.75" customHeight="1">
      <c r="A311" s="96" t="s">
        <v>2331</v>
      </c>
      <c r="B311" s="97" t="s">
        <v>2332</v>
      </c>
      <c r="C311" s="98" t="s">
        <v>25</v>
      </c>
      <c r="D311" s="99">
        <v>10.31</v>
      </c>
      <c r="E311" s="100">
        <v>8.76</v>
      </c>
      <c r="F311" s="93"/>
      <c r="H311" s="101"/>
      <c r="J311" s="1">
        <v>0.0</v>
      </c>
      <c r="K311" s="1">
        <v>0.0</v>
      </c>
      <c r="L311" s="1">
        <v>0.0</v>
      </c>
      <c r="M311" s="1">
        <v>0.0</v>
      </c>
    </row>
    <row r="312" ht="15.75" customHeight="1">
      <c r="A312" s="96" t="s">
        <v>2333</v>
      </c>
      <c r="B312" s="97" t="s">
        <v>1133</v>
      </c>
      <c r="C312" s="98" t="s">
        <v>25</v>
      </c>
      <c r="D312" s="99">
        <v>8.84</v>
      </c>
      <c r="E312" s="100">
        <v>7.51</v>
      </c>
      <c r="F312" s="93"/>
      <c r="H312" s="101"/>
      <c r="J312" s="1">
        <v>0.0</v>
      </c>
      <c r="K312" s="1">
        <v>0.0</v>
      </c>
      <c r="L312" s="1">
        <v>0.0</v>
      </c>
      <c r="M312" s="1">
        <v>0.0</v>
      </c>
    </row>
    <row r="313" ht="15.75" customHeight="1">
      <c r="A313" s="96" t="s">
        <v>2334</v>
      </c>
      <c r="B313" s="97" t="s">
        <v>2335</v>
      </c>
      <c r="C313" s="98" t="s">
        <v>25</v>
      </c>
      <c r="D313" s="99">
        <v>133.91</v>
      </c>
      <c r="E313" s="100">
        <v>113.82</v>
      </c>
      <c r="F313" s="93"/>
      <c r="H313" s="101"/>
      <c r="J313" s="1">
        <v>0.0</v>
      </c>
      <c r="K313" s="1">
        <v>0.0</v>
      </c>
      <c r="L313" s="1">
        <v>0.0</v>
      </c>
      <c r="M313" s="1">
        <v>0.0</v>
      </c>
    </row>
    <row r="314" ht="15.75" customHeight="1">
      <c r="A314" s="96" t="s">
        <v>2336</v>
      </c>
      <c r="B314" s="97" t="s">
        <v>2337</v>
      </c>
      <c r="C314" s="98" t="s">
        <v>25</v>
      </c>
      <c r="D314" s="99">
        <v>133.91</v>
      </c>
      <c r="E314" s="100">
        <v>113.82</v>
      </c>
      <c r="F314" s="93"/>
      <c r="H314" s="101"/>
      <c r="J314" s="1">
        <v>0.0</v>
      </c>
      <c r="K314" s="1">
        <v>0.0</v>
      </c>
      <c r="L314" s="1">
        <v>0.0</v>
      </c>
      <c r="M314" s="1">
        <v>0.0</v>
      </c>
    </row>
    <row r="315" ht="15.75" customHeight="1">
      <c r="A315" s="96" t="s">
        <v>2338</v>
      </c>
      <c r="B315" s="97" t="s">
        <v>2339</v>
      </c>
      <c r="C315" s="98" t="s">
        <v>25</v>
      </c>
      <c r="D315" s="99">
        <v>23.5</v>
      </c>
      <c r="E315" s="100">
        <v>19.98</v>
      </c>
      <c r="F315" s="93"/>
      <c r="H315" s="101"/>
      <c r="J315" s="1">
        <v>0.0</v>
      </c>
      <c r="K315" s="1">
        <v>0.0</v>
      </c>
      <c r="L315" s="1">
        <v>0.0</v>
      </c>
      <c r="M315" s="1">
        <v>0.0</v>
      </c>
    </row>
    <row r="316" ht="15.75" customHeight="1">
      <c r="A316" s="96" t="s">
        <v>2340</v>
      </c>
      <c r="B316" s="97" t="s">
        <v>154</v>
      </c>
      <c r="C316" s="98" t="s">
        <v>25</v>
      </c>
      <c r="D316" s="99">
        <v>60.15</v>
      </c>
      <c r="E316" s="100">
        <v>51.13</v>
      </c>
      <c r="F316" s="93"/>
      <c r="H316" s="101"/>
      <c r="J316" s="1">
        <v>0.0</v>
      </c>
      <c r="K316" s="1">
        <v>0.0</v>
      </c>
      <c r="L316" s="1">
        <v>0.0</v>
      </c>
      <c r="M316" s="1">
        <v>0.0</v>
      </c>
    </row>
    <row r="317" ht="15.75" customHeight="1">
      <c r="A317" s="96" t="s">
        <v>2341</v>
      </c>
      <c r="B317" s="97" t="s">
        <v>298</v>
      </c>
      <c r="C317" s="98" t="s">
        <v>25</v>
      </c>
      <c r="D317" s="99">
        <v>91.03</v>
      </c>
      <c r="E317" s="100">
        <v>77.38</v>
      </c>
      <c r="F317" s="93"/>
      <c r="H317" s="101"/>
      <c r="J317" s="1">
        <v>0.0</v>
      </c>
      <c r="K317" s="1">
        <v>0.0</v>
      </c>
      <c r="L317" s="1">
        <v>0.0</v>
      </c>
      <c r="M317" s="1">
        <v>0.0</v>
      </c>
    </row>
    <row r="318" ht="15.75" customHeight="1">
      <c r="A318" s="96" t="s">
        <v>2342</v>
      </c>
      <c r="B318" s="97" t="s">
        <v>1472</v>
      </c>
      <c r="C318" s="98" t="s">
        <v>25</v>
      </c>
      <c r="D318" s="99">
        <v>1.96</v>
      </c>
      <c r="E318" s="100">
        <v>1.67</v>
      </c>
      <c r="F318" s="93"/>
      <c r="H318" s="101"/>
      <c r="J318" s="1">
        <v>0.0</v>
      </c>
      <c r="K318" s="1">
        <v>0.0</v>
      </c>
      <c r="L318" s="1">
        <v>0.0</v>
      </c>
      <c r="M318" s="1">
        <v>0.0</v>
      </c>
    </row>
    <row r="319" ht="15.75" customHeight="1">
      <c r="A319" s="96" t="s">
        <v>2343</v>
      </c>
      <c r="B319" s="97" t="s">
        <v>659</v>
      </c>
      <c r="C319" s="98" t="s">
        <v>25</v>
      </c>
      <c r="D319" s="99">
        <v>2560.69</v>
      </c>
      <c r="E319" s="100">
        <v>2176.59</v>
      </c>
      <c r="F319" s="93"/>
      <c r="H319" s="101"/>
      <c r="J319" s="1">
        <v>0.0</v>
      </c>
      <c r="K319" s="1">
        <v>0.0</v>
      </c>
      <c r="L319" s="1">
        <v>0.0</v>
      </c>
      <c r="M319" s="1">
        <v>0.0</v>
      </c>
    </row>
    <row r="320" ht="15.75" customHeight="1">
      <c r="A320" s="96" t="s">
        <v>2344</v>
      </c>
      <c r="B320" s="97" t="s">
        <v>699</v>
      </c>
      <c r="C320" s="98" t="s">
        <v>25</v>
      </c>
      <c r="D320" s="99">
        <v>2326.18</v>
      </c>
      <c r="E320" s="100">
        <v>1977.25</v>
      </c>
      <c r="F320" s="93"/>
      <c r="H320" s="101"/>
      <c r="J320" s="1">
        <v>0.0</v>
      </c>
      <c r="K320" s="1">
        <v>0.0</v>
      </c>
      <c r="L320" s="1">
        <v>0.0</v>
      </c>
      <c r="M320" s="1">
        <v>0.0</v>
      </c>
    </row>
    <row r="321" ht="15.75" customHeight="1">
      <c r="A321" s="96" t="s">
        <v>2345</v>
      </c>
      <c r="B321" s="97" t="s">
        <v>192</v>
      </c>
      <c r="C321" s="98" t="s">
        <v>25</v>
      </c>
      <c r="D321" s="99">
        <v>999.86</v>
      </c>
      <c r="E321" s="100">
        <v>849.88</v>
      </c>
      <c r="F321" s="93"/>
      <c r="H321" s="101"/>
      <c r="J321" s="1">
        <v>0.0</v>
      </c>
      <c r="K321" s="1">
        <v>0.0</v>
      </c>
      <c r="L321" s="1">
        <v>0.0</v>
      </c>
      <c r="M321" s="1">
        <v>0.0</v>
      </c>
    </row>
    <row r="322" ht="15.75" customHeight="1">
      <c r="A322" s="96" t="s">
        <v>2346</v>
      </c>
      <c r="B322" s="97" t="s">
        <v>2347</v>
      </c>
      <c r="C322" s="98" t="s">
        <v>25</v>
      </c>
      <c r="D322" s="99">
        <v>88.95</v>
      </c>
      <c r="E322" s="100">
        <v>75.61</v>
      </c>
      <c r="F322" s="93"/>
      <c r="H322" s="101"/>
      <c r="J322" s="1">
        <v>0.0</v>
      </c>
      <c r="K322" s="1">
        <v>0.0</v>
      </c>
      <c r="L322" s="1">
        <v>0.0</v>
      </c>
      <c r="M322" s="1">
        <v>0.0</v>
      </c>
    </row>
    <row r="323" ht="15.75" customHeight="1">
      <c r="A323" s="96" t="s">
        <v>2348</v>
      </c>
      <c r="B323" s="97" t="s">
        <v>2349</v>
      </c>
      <c r="C323" s="98" t="s">
        <v>25</v>
      </c>
      <c r="D323" s="99">
        <v>265.0</v>
      </c>
      <c r="E323" s="100">
        <v>225.25</v>
      </c>
      <c r="F323" s="93"/>
      <c r="H323" s="101"/>
      <c r="J323" s="1">
        <v>0.0</v>
      </c>
      <c r="K323" s="1">
        <v>0.0</v>
      </c>
      <c r="L323" s="1">
        <v>0.0</v>
      </c>
      <c r="M323" s="1">
        <v>0.0</v>
      </c>
    </row>
    <row r="324" ht="15.75" customHeight="1">
      <c r="A324" s="96" t="s">
        <v>2350</v>
      </c>
      <c r="B324" s="97" t="s">
        <v>2351</v>
      </c>
      <c r="C324" s="98" t="s">
        <v>25</v>
      </c>
      <c r="D324" s="99">
        <v>174.17</v>
      </c>
      <c r="E324" s="100">
        <v>148.04</v>
      </c>
      <c r="F324" s="93"/>
      <c r="H324" s="101"/>
      <c r="J324" s="1">
        <v>0.0</v>
      </c>
      <c r="K324" s="1">
        <v>0.0</v>
      </c>
      <c r="L324" s="1">
        <v>0.0</v>
      </c>
      <c r="M324" s="1">
        <v>0.0</v>
      </c>
    </row>
    <row r="325" ht="15.75" customHeight="1">
      <c r="A325" s="96" t="s">
        <v>2352</v>
      </c>
      <c r="B325" s="97" t="s">
        <v>2353</v>
      </c>
      <c r="C325" s="98" t="s">
        <v>25</v>
      </c>
      <c r="D325" s="99">
        <v>205.2</v>
      </c>
      <c r="E325" s="100">
        <v>174.42</v>
      </c>
      <c r="F325" s="93"/>
      <c r="H325" s="101"/>
      <c r="J325" s="1">
        <v>0.0</v>
      </c>
      <c r="K325" s="1">
        <v>0.0</v>
      </c>
      <c r="L325" s="1">
        <v>0.0</v>
      </c>
      <c r="M325" s="1">
        <v>0.0</v>
      </c>
    </row>
    <row r="326" ht="15.75" customHeight="1">
      <c r="A326" s="96" t="s">
        <v>2354</v>
      </c>
      <c r="B326" s="97" t="s">
        <v>2355</v>
      </c>
      <c r="C326" s="98" t="s">
        <v>25</v>
      </c>
      <c r="D326" s="99">
        <v>354.14</v>
      </c>
      <c r="E326" s="100">
        <v>301.02</v>
      </c>
      <c r="F326" s="93"/>
      <c r="H326" s="101"/>
      <c r="J326" s="1">
        <v>0.0</v>
      </c>
      <c r="K326" s="1">
        <v>0.0</v>
      </c>
      <c r="L326" s="1">
        <v>0.0</v>
      </c>
      <c r="M326" s="1">
        <v>0.0</v>
      </c>
    </row>
    <row r="327" ht="15.75" customHeight="1">
      <c r="A327" s="96" t="s">
        <v>2356</v>
      </c>
      <c r="B327" s="97" t="s">
        <v>2357</v>
      </c>
      <c r="C327" s="98" t="s">
        <v>25</v>
      </c>
      <c r="D327" s="99">
        <v>266.77</v>
      </c>
      <c r="E327" s="100">
        <v>226.75</v>
      </c>
      <c r="F327" s="93"/>
      <c r="H327" s="101"/>
      <c r="J327" s="1">
        <v>0.0</v>
      </c>
      <c r="K327" s="1">
        <v>0.0</v>
      </c>
      <c r="L327" s="1">
        <v>0.0</v>
      </c>
      <c r="M327" s="1">
        <v>0.0</v>
      </c>
    </row>
    <row r="328" ht="15.75" customHeight="1">
      <c r="A328" s="96" t="s">
        <v>2358</v>
      </c>
      <c r="B328" s="97" t="s">
        <v>1544</v>
      </c>
      <c r="C328" s="98" t="s">
        <v>25</v>
      </c>
      <c r="D328" s="99">
        <v>35.26</v>
      </c>
      <c r="E328" s="100">
        <v>29.97</v>
      </c>
      <c r="F328" s="93"/>
      <c r="H328" s="101"/>
      <c r="J328" s="1">
        <v>0.0</v>
      </c>
      <c r="K328" s="1">
        <v>0.0</v>
      </c>
      <c r="L328" s="1">
        <v>0.0</v>
      </c>
      <c r="M328" s="1">
        <v>0.0</v>
      </c>
    </row>
    <row r="329" ht="15.75" customHeight="1">
      <c r="A329" s="96" t="s">
        <v>2359</v>
      </c>
      <c r="B329" s="97" t="s">
        <v>2360</v>
      </c>
      <c r="C329" s="98" t="s">
        <v>25</v>
      </c>
      <c r="D329" s="99">
        <v>0.73</v>
      </c>
      <c r="E329" s="100">
        <v>0.62</v>
      </c>
      <c r="F329" s="93"/>
      <c r="H329" s="101"/>
      <c r="J329" s="1">
        <v>0.0</v>
      </c>
      <c r="K329" s="1">
        <v>0.0</v>
      </c>
      <c r="L329" s="1">
        <v>0.0</v>
      </c>
      <c r="M329" s="1">
        <v>0.0</v>
      </c>
    </row>
    <row r="330" ht="15.75" customHeight="1">
      <c r="A330" s="96" t="s">
        <v>2361</v>
      </c>
      <c r="B330" s="97" t="s">
        <v>1678</v>
      </c>
      <c r="C330" s="98" t="s">
        <v>25</v>
      </c>
      <c r="D330" s="99">
        <v>3.77</v>
      </c>
      <c r="E330" s="100">
        <v>3.2</v>
      </c>
      <c r="F330" s="93"/>
      <c r="H330" s="101"/>
      <c r="J330" s="1">
        <v>0.0</v>
      </c>
      <c r="K330" s="1">
        <v>0.0</v>
      </c>
      <c r="L330" s="1">
        <v>0.0</v>
      </c>
      <c r="M330" s="1">
        <v>0.0</v>
      </c>
    </row>
    <row r="331" ht="15.75" customHeight="1">
      <c r="A331" s="96" t="s">
        <v>2362</v>
      </c>
      <c r="B331" s="97" t="s">
        <v>2363</v>
      </c>
      <c r="C331" s="98" t="s">
        <v>25</v>
      </c>
      <c r="D331" s="99">
        <v>2573.57</v>
      </c>
      <c r="E331" s="100">
        <v>2187.53</v>
      </c>
      <c r="F331" s="93"/>
      <c r="H331" s="101"/>
      <c r="J331" s="1">
        <v>0.0</v>
      </c>
      <c r="K331" s="1">
        <v>0.0</v>
      </c>
      <c r="L331" s="1">
        <v>0.0</v>
      </c>
      <c r="M331" s="1">
        <v>0.0</v>
      </c>
    </row>
    <row r="332" ht="15.75" customHeight="1">
      <c r="A332" s="96" t="s">
        <v>2364</v>
      </c>
      <c r="B332" s="97" t="s">
        <v>2365</v>
      </c>
      <c r="C332" s="98" t="s">
        <v>25</v>
      </c>
      <c r="D332" s="99">
        <v>231.51</v>
      </c>
      <c r="E332" s="100">
        <v>196.78</v>
      </c>
      <c r="F332" s="93"/>
      <c r="H332" s="101"/>
      <c r="J332" s="1">
        <v>0.0</v>
      </c>
      <c r="K332" s="1">
        <v>0.0</v>
      </c>
      <c r="L332" s="1">
        <v>0.0</v>
      </c>
      <c r="M332" s="1">
        <v>0.0</v>
      </c>
    </row>
    <row r="333" ht="15.75" customHeight="1">
      <c r="A333" s="96" t="s">
        <v>2366</v>
      </c>
      <c r="B333" s="97" t="s">
        <v>596</v>
      </c>
      <c r="C333" s="98" t="s">
        <v>25</v>
      </c>
      <c r="D333" s="99">
        <v>26.11</v>
      </c>
      <c r="E333" s="100">
        <v>22.19</v>
      </c>
      <c r="F333" s="93"/>
      <c r="H333" s="101"/>
      <c r="J333" s="1">
        <v>0.0</v>
      </c>
      <c r="K333" s="1">
        <v>0.0</v>
      </c>
      <c r="L333" s="1">
        <v>0.0</v>
      </c>
      <c r="M333" s="1">
        <v>0.0</v>
      </c>
    </row>
    <row r="334" ht="15.75" customHeight="1">
      <c r="A334" s="96" t="s">
        <v>2367</v>
      </c>
      <c r="B334" s="97" t="s">
        <v>2368</v>
      </c>
      <c r="C334" s="98" t="s">
        <v>25</v>
      </c>
      <c r="D334" s="99">
        <v>1233.52</v>
      </c>
      <c r="E334" s="100">
        <v>1048.49</v>
      </c>
      <c r="F334" s="93"/>
      <c r="H334" s="101"/>
      <c r="J334" s="1">
        <v>0.0</v>
      </c>
      <c r="K334" s="1">
        <v>0.0</v>
      </c>
      <c r="L334" s="1">
        <v>0.0</v>
      </c>
      <c r="M334" s="1">
        <v>0.0</v>
      </c>
    </row>
    <row r="335" ht="15.75" customHeight="1">
      <c r="A335" s="96" t="s">
        <v>2369</v>
      </c>
      <c r="B335" s="97" t="s">
        <v>2370</v>
      </c>
      <c r="C335" s="98" t="s">
        <v>25</v>
      </c>
      <c r="D335" s="99">
        <v>0.31</v>
      </c>
      <c r="E335" s="100">
        <v>0.26</v>
      </c>
      <c r="F335" s="93"/>
      <c r="H335" s="101"/>
      <c r="J335" s="1">
        <v>0.0</v>
      </c>
      <c r="K335" s="1">
        <v>0.0</v>
      </c>
      <c r="L335" s="1">
        <v>0.0</v>
      </c>
      <c r="M335" s="1">
        <v>0.0</v>
      </c>
    </row>
    <row r="336" ht="15.75" customHeight="1">
      <c r="A336" s="96" t="s">
        <v>2371</v>
      </c>
      <c r="B336" s="97" t="s">
        <v>2372</v>
      </c>
      <c r="C336" s="98" t="s">
        <v>25</v>
      </c>
      <c r="D336" s="99">
        <v>4345.36</v>
      </c>
      <c r="E336" s="100">
        <v>3693.56</v>
      </c>
      <c r="F336" s="93"/>
      <c r="H336" s="101"/>
      <c r="J336" s="1">
        <v>0.0</v>
      </c>
      <c r="K336" s="1">
        <v>0.0</v>
      </c>
      <c r="L336" s="1">
        <v>0.0</v>
      </c>
      <c r="M336" s="1">
        <v>0.0</v>
      </c>
    </row>
    <row r="337" ht="15.75" customHeight="1">
      <c r="A337" s="96" t="s">
        <v>2373</v>
      </c>
      <c r="B337" s="97" t="s">
        <v>2374</v>
      </c>
      <c r="C337" s="98" t="s">
        <v>25</v>
      </c>
      <c r="D337" s="99">
        <v>1661.89</v>
      </c>
      <c r="E337" s="100">
        <v>1412.61</v>
      </c>
      <c r="F337" s="93"/>
      <c r="H337" s="101"/>
      <c r="J337" s="1">
        <v>0.0</v>
      </c>
      <c r="K337" s="1">
        <v>0.0</v>
      </c>
      <c r="L337" s="1">
        <v>0.0</v>
      </c>
      <c r="M337" s="1">
        <v>0.0</v>
      </c>
    </row>
    <row r="338" ht="15.75" customHeight="1">
      <c r="A338" s="96" t="s">
        <v>2375</v>
      </c>
      <c r="B338" s="97" t="s">
        <v>1672</v>
      </c>
      <c r="C338" s="98" t="s">
        <v>25</v>
      </c>
      <c r="D338" s="99">
        <v>11.88</v>
      </c>
      <c r="E338" s="100">
        <v>10.1</v>
      </c>
      <c r="F338" s="93"/>
      <c r="H338" s="101"/>
      <c r="J338" s="1">
        <v>0.0</v>
      </c>
      <c r="K338" s="1">
        <v>0.0</v>
      </c>
      <c r="L338" s="1">
        <v>0.0</v>
      </c>
      <c r="M338" s="1">
        <v>0.0</v>
      </c>
    </row>
    <row r="339" ht="15.75" customHeight="1">
      <c r="A339" s="96" t="s">
        <v>2376</v>
      </c>
      <c r="B339" s="97" t="s">
        <v>1550</v>
      </c>
      <c r="C339" s="98" t="s">
        <v>25</v>
      </c>
      <c r="D339" s="99">
        <v>4.27</v>
      </c>
      <c r="E339" s="100">
        <v>3.63</v>
      </c>
      <c r="F339" s="93"/>
      <c r="H339" s="101"/>
      <c r="J339" s="1">
        <v>0.0</v>
      </c>
      <c r="K339" s="1">
        <v>0.0</v>
      </c>
      <c r="L339" s="1">
        <v>0.0</v>
      </c>
      <c r="M339" s="1">
        <v>0.0</v>
      </c>
    </row>
    <row r="340" ht="15.75" customHeight="1">
      <c r="A340" s="96" t="s">
        <v>2377</v>
      </c>
      <c r="B340" s="97" t="s">
        <v>1204</v>
      </c>
      <c r="C340" s="98" t="s">
        <v>25</v>
      </c>
      <c r="D340" s="99">
        <v>335.34</v>
      </c>
      <c r="E340" s="100">
        <v>285.04</v>
      </c>
      <c r="F340" s="93"/>
      <c r="H340" s="101"/>
      <c r="J340" s="1">
        <v>0.0</v>
      </c>
      <c r="K340" s="1">
        <v>0.0</v>
      </c>
      <c r="L340" s="1">
        <v>0.0</v>
      </c>
      <c r="M340" s="1">
        <v>0.0</v>
      </c>
    </row>
    <row r="341" ht="15.75" customHeight="1">
      <c r="A341" s="96" t="s">
        <v>2378</v>
      </c>
      <c r="B341" s="97" t="s">
        <v>248</v>
      </c>
      <c r="C341" s="98" t="s">
        <v>25</v>
      </c>
      <c r="D341" s="99">
        <v>93.64</v>
      </c>
      <c r="E341" s="100">
        <v>79.59</v>
      </c>
      <c r="F341" s="93"/>
      <c r="H341" s="101"/>
      <c r="J341" s="1">
        <v>0.0</v>
      </c>
      <c r="K341" s="1">
        <v>0.0</v>
      </c>
      <c r="L341" s="1">
        <v>0.0</v>
      </c>
      <c r="M341" s="1">
        <v>0.0</v>
      </c>
    </row>
    <row r="342" ht="15.75" customHeight="1">
      <c r="A342" s="96" t="s">
        <v>2379</v>
      </c>
      <c r="B342" s="97" t="s">
        <v>436</v>
      </c>
      <c r="C342" s="98" t="s">
        <v>25</v>
      </c>
      <c r="D342" s="99">
        <v>206.05</v>
      </c>
      <c r="E342" s="100">
        <v>175.14</v>
      </c>
      <c r="F342" s="93"/>
      <c r="H342" s="101"/>
      <c r="J342" s="1">
        <v>0.0</v>
      </c>
      <c r="K342" s="1">
        <v>0.0</v>
      </c>
      <c r="L342" s="1">
        <v>0.0</v>
      </c>
      <c r="M342" s="1">
        <v>0.0</v>
      </c>
    </row>
    <row r="343" ht="15.75" customHeight="1">
      <c r="A343" s="96" t="s">
        <v>2380</v>
      </c>
      <c r="B343" s="97" t="s">
        <v>165</v>
      </c>
      <c r="C343" s="98" t="s">
        <v>25</v>
      </c>
      <c r="D343" s="99">
        <v>91.95</v>
      </c>
      <c r="E343" s="100">
        <v>78.16</v>
      </c>
      <c r="F343" s="93"/>
      <c r="H343" s="101"/>
      <c r="J343" s="1">
        <v>0.0</v>
      </c>
      <c r="K343" s="1">
        <v>0.0</v>
      </c>
      <c r="L343" s="1">
        <v>0.0</v>
      </c>
      <c r="M343" s="1">
        <v>0.0</v>
      </c>
    </row>
    <row r="344" ht="15.75" customHeight="1">
      <c r="A344" s="96" t="s">
        <v>2381</v>
      </c>
      <c r="B344" s="97" t="s">
        <v>1000</v>
      </c>
      <c r="C344" s="98" t="s">
        <v>25</v>
      </c>
      <c r="D344" s="99">
        <v>74.03</v>
      </c>
      <c r="E344" s="100">
        <v>62.93</v>
      </c>
      <c r="F344" s="93"/>
      <c r="H344" s="101"/>
      <c r="J344" s="1">
        <v>0.0</v>
      </c>
      <c r="K344" s="1">
        <v>0.0</v>
      </c>
      <c r="L344" s="1">
        <v>0.0</v>
      </c>
      <c r="M344" s="1">
        <v>0.0</v>
      </c>
    </row>
    <row r="345" ht="15.75" customHeight="1">
      <c r="A345" s="96" t="s">
        <v>2382</v>
      </c>
      <c r="B345" s="97" t="s">
        <v>2383</v>
      </c>
      <c r="C345" s="98" t="s">
        <v>25</v>
      </c>
      <c r="D345" s="99">
        <v>1713.84</v>
      </c>
      <c r="E345" s="100">
        <v>1456.76</v>
      </c>
      <c r="F345" s="93"/>
      <c r="H345" s="101"/>
      <c r="J345" s="1">
        <v>0.0</v>
      </c>
      <c r="K345" s="1">
        <v>0.0</v>
      </c>
      <c r="L345" s="1">
        <v>0.0</v>
      </c>
      <c r="M345" s="1">
        <v>0.0</v>
      </c>
    </row>
    <row r="346" ht="15.75" customHeight="1">
      <c r="A346" s="96" t="s">
        <v>2384</v>
      </c>
      <c r="B346" s="97" t="s">
        <v>2385</v>
      </c>
      <c r="C346" s="98" t="s">
        <v>25</v>
      </c>
      <c r="D346" s="99">
        <v>414.02</v>
      </c>
      <c r="E346" s="100">
        <v>351.92</v>
      </c>
      <c r="F346" s="93"/>
      <c r="H346" s="101"/>
      <c r="J346" s="1">
        <v>0.0</v>
      </c>
      <c r="K346" s="1">
        <v>0.0</v>
      </c>
      <c r="L346" s="1">
        <v>0.0</v>
      </c>
      <c r="M346" s="1">
        <v>0.0</v>
      </c>
    </row>
    <row r="347" ht="15.75" customHeight="1">
      <c r="A347" s="96" t="s">
        <v>2386</v>
      </c>
      <c r="B347" s="97" t="s">
        <v>2387</v>
      </c>
      <c r="C347" s="98" t="s">
        <v>25</v>
      </c>
      <c r="D347" s="99">
        <v>342.26</v>
      </c>
      <c r="E347" s="100">
        <v>290.92</v>
      </c>
      <c r="F347" s="93"/>
      <c r="H347" s="101"/>
      <c r="J347" s="1">
        <v>0.0</v>
      </c>
      <c r="K347" s="1">
        <v>0.0</v>
      </c>
      <c r="L347" s="1">
        <v>0.0</v>
      </c>
      <c r="M347" s="1">
        <v>0.0</v>
      </c>
    </row>
    <row r="348" ht="15.75" customHeight="1">
      <c r="A348" s="96" t="s">
        <v>2388</v>
      </c>
      <c r="B348" s="97" t="s">
        <v>1699</v>
      </c>
      <c r="C348" s="98" t="s">
        <v>25</v>
      </c>
      <c r="D348" s="99">
        <v>4.31</v>
      </c>
      <c r="E348" s="100">
        <v>3.66</v>
      </c>
      <c r="F348" s="93"/>
      <c r="H348" s="101"/>
      <c r="J348" s="1">
        <v>0.0</v>
      </c>
      <c r="K348" s="1">
        <v>0.0</v>
      </c>
      <c r="L348" s="1">
        <v>0.0</v>
      </c>
      <c r="M348" s="1">
        <v>0.0</v>
      </c>
    </row>
    <row r="349" ht="15.75" customHeight="1">
      <c r="A349" s="96" t="s">
        <v>2389</v>
      </c>
      <c r="B349" s="97" t="s">
        <v>372</v>
      </c>
      <c r="C349" s="98" t="s">
        <v>25</v>
      </c>
      <c r="D349" s="99">
        <v>257.23</v>
      </c>
      <c r="E349" s="100">
        <v>218.65</v>
      </c>
      <c r="F349" s="93"/>
      <c r="H349" s="101"/>
      <c r="J349" s="1">
        <v>0.0</v>
      </c>
      <c r="K349" s="1">
        <v>0.0</v>
      </c>
      <c r="L349" s="1">
        <v>0.0</v>
      </c>
      <c r="M349" s="1">
        <v>0.0</v>
      </c>
    </row>
    <row r="350" ht="15.75" customHeight="1">
      <c r="A350" s="96" t="s">
        <v>2390</v>
      </c>
      <c r="B350" s="97" t="s">
        <v>1687</v>
      </c>
      <c r="C350" s="98" t="s">
        <v>25</v>
      </c>
      <c r="D350" s="99">
        <v>2.46</v>
      </c>
      <c r="E350" s="100">
        <v>2.09</v>
      </c>
      <c r="F350" s="93"/>
      <c r="H350" s="101"/>
      <c r="J350" s="1">
        <v>0.0</v>
      </c>
      <c r="K350" s="1">
        <v>0.0</v>
      </c>
      <c r="L350" s="1">
        <v>0.0</v>
      </c>
      <c r="M350" s="1">
        <v>0.0</v>
      </c>
    </row>
    <row r="351" ht="15.75" customHeight="1">
      <c r="A351" s="96" t="s">
        <v>2391</v>
      </c>
      <c r="B351" s="97" t="s">
        <v>1541</v>
      </c>
      <c r="C351" s="98" t="s">
        <v>25</v>
      </c>
      <c r="D351" s="99">
        <v>2.96</v>
      </c>
      <c r="E351" s="100">
        <v>2.52</v>
      </c>
      <c r="F351" s="93"/>
      <c r="H351" s="101"/>
      <c r="J351" s="1">
        <v>0.0</v>
      </c>
      <c r="K351" s="1">
        <v>0.0</v>
      </c>
      <c r="L351" s="1">
        <v>0.0</v>
      </c>
      <c r="M351" s="1">
        <v>0.0</v>
      </c>
    </row>
    <row r="352" ht="15.75" customHeight="1">
      <c r="A352" s="96" t="s">
        <v>2392</v>
      </c>
      <c r="B352" s="97" t="s">
        <v>1715</v>
      </c>
      <c r="C352" s="98" t="s">
        <v>25</v>
      </c>
      <c r="D352" s="99">
        <v>2.31</v>
      </c>
      <c r="E352" s="100">
        <v>1.96</v>
      </c>
      <c r="F352" s="93"/>
      <c r="H352" s="101"/>
      <c r="J352" s="1">
        <v>0.0</v>
      </c>
      <c r="K352" s="1">
        <v>0.0</v>
      </c>
      <c r="L352" s="1">
        <v>0.0</v>
      </c>
      <c r="M352" s="1">
        <v>0.0</v>
      </c>
    </row>
    <row r="353" ht="15.75" customHeight="1">
      <c r="A353" s="96" t="s">
        <v>2393</v>
      </c>
      <c r="B353" s="97" t="s">
        <v>1461</v>
      </c>
      <c r="C353" s="98" t="s">
        <v>25</v>
      </c>
      <c r="D353" s="99">
        <v>5.23</v>
      </c>
      <c r="E353" s="100">
        <v>4.45</v>
      </c>
      <c r="F353" s="93"/>
      <c r="H353" s="101"/>
      <c r="J353" s="1">
        <v>0.0</v>
      </c>
      <c r="K353" s="1">
        <v>0.0</v>
      </c>
      <c r="L353" s="1">
        <v>0.0</v>
      </c>
      <c r="M353" s="1">
        <v>0.0</v>
      </c>
    </row>
    <row r="354" ht="15.75" customHeight="1">
      <c r="A354" s="96" t="s">
        <v>2394</v>
      </c>
      <c r="B354" s="97" t="s">
        <v>1723</v>
      </c>
      <c r="C354" s="98" t="s">
        <v>25</v>
      </c>
      <c r="D354" s="99">
        <v>3.38</v>
      </c>
      <c r="E354" s="100">
        <v>2.87</v>
      </c>
      <c r="F354" s="93"/>
      <c r="H354" s="101"/>
      <c r="J354" s="1">
        <v>0.0</v>
      </c>
      <c r="K354" s="1">
        <v>0.0</v>
      </c>
      <c r="L354" s="1">
        <v>0.0</v>
      </c>
      <c r="M354" s="1">
        <v>0.0</v>
      </c>
    </row>
    <row r="355" ht="15.75" customHeight="1">
      <c r="A355" s="96" t="s">
        <v>2395</v>
      </c>
      <c r="B355" s="97" t="s">
        <v>1644</v>
      </c>
      <c r="C355" s="98" t="s">
        <v>25</v>
      </c>
      <c r="D355" s="99">
        <v>0.27</v>
      </c>
      <c r="E355" s="100">
        <v>0.23</v>
      </c>
      <c r="F355" s="93"/>
      <c r="H355" s="101"/>
      <c r="J355" s="1">
        <v>0.0</v>
      </c>
      <c r="K355" s="1">
        <v>0.0</v>
      </c>
      <c r="L355" s="1">
        <v>0.0</v>
      </c>
      <c r="M355" s="1">
        <v>0.0</v>
      </c>
    </row>
    <row r="356" ht="15.75" customHeight="1">
      <c r="A356" s="96" t="s">
        <v>2396</v>
      </c>
      <c r="B356" s="97" t="s">
        <v>1261</v>
      </c>
      <c r="C356" s="98" t="s">
        <v>25</v>
      </c>
      <c r="D356" s="99">
        <v>1.69</v>
      </c>
      <c r="E356" s="100">
        <v>1.44</v>
      </c>
      <c r="F356" s="93"/>
      <c r="H356" s="101"/>
      <c r="J356" s="1">
        <v>0.0</v>
      </c>
      <c r="K356" s="1">
        <v>0.0</v>
      </c>
      <c r="L356" s="1">
        <v>0.0</v>
      </c>
      <c r="M356" s="1">
        <v>0.0</v>
      </c>
    </row>
    <row r="357" ht="15.75" customHeight="1">
      <c r="A357" s="96" t="s">
        <v>2397</v>
      </c>
      <c r="B357" s="97" t="s">
        <v>1413</v>
      </c>
      <c r="C357" s="98" t="s">
        <v>25</v>
      </c>
      <c r="D357" s="99">
        <v>3.19</v>
      </c>
      <c r="E357" s="100">
        <v>2.71</v>
      </c>
      <c r="F357" s="93"/>
      <c r="H357" s="101"/>
      <c r="J357" s="1">
        <v>0.0</v>
      </c>
      <c r="K357" s="1">
        <v>0.0</v>
      </c>
      <c r="L357" s="1">
        <v>0.0</v>
      </c>
      <c r="M357" s="1">
        <v>0.0</v>
      </c>
    </row>
    <row r="358" ht="15.75" customHeight="1">
      <c r="A358" s="96" t="s">
        <v>2398</v>
      </c>
      <c r="B358" s="97" t="s">
        <v>1153</v>
      </c>
      <c r="C358" s="98" t="s">
        <v>25</v>
      </c>
      <c r="D358" s="99">
        <v>7.31</v>
      </c>
      <c r="E358" s="100">
        <v>6.21</v>
      </c>
      <c r="F358" s="93"/>
      <c r="H358" s="101"/>
      <c r="J358" s="1">
        <v>0.0</v>
      </c>
      <c r="K358" s="1">
        <v>0.0</v>
      </c>
      <c r="L358" s="1">
        <v>0.0</v>
      </c>
      <c r="M358" s="1">
        <v>0.0</v>
      </c>
    </row>
    <row r="359" ht="15.75" customHeight="1">
      <c r="A359" s="96" t="s">
        <v>2399</v>
      </c>
      <c r="B359" s="97" t="s">
        <v>238</v>
      </c>
      <c r="C359" s="98" t="s">
        <v>25</v>
      </c>
      <c r="D359" s="99">
        <v>132.02</v>
      </c>
      <c r="E359" s="100">
        <v>112.22</v>
      </c>
      <c r="F359" s="93"/>
      <c r="H359" s="101"/>
      <c r="J359" s="1">
        <v>0.0</v>
      </c>
      <c r="K359" s="1">
        <v>0.0</v>
      </c>
      <c r="L359" s="1">
        <v>0.0</v>
      </c>
      <c r="M359" s="1">
        <v>0.0</v>
      </c>
    </row>
    <row r="360" ht="15.75" customHeight="1">
      <c r="A360" s="96" t="s">
        <v>2400</v>
      </c>
      <c r="B360" s="97" t="s">
        <v>450</v>
      </c>
      <c r="C360" s="98" t="s">
        <v>25</v>
      </c>
      <c r="D360" s="99">
        <v>70.99</v>
      </c>
      <c r="E360" s="100">
        <v>60.34</v>
      </c>
      <c r="F360" s="93"/>
      <c r="H360" s="101"/>
      <c r="J360" s="1">
        <v>0.0</v>
      </c>
      <c r="K360" s="1">
        <v>0.0</v>
      </c>
      <c r="L360" s="1">
        <v>0.0</v>
      </c>
      <c r="M360" s="1">
        <v>0.0</v>
      </c>
    </row>
    <row r="361" ht="15.75" customHeight="1">
      <c r="A361" s="96" t="s">
        <v>2401</v>
      </c>
      <c r="B361" s="97" t="s">
        <v>151</v>
      </c>
      <c r="C361" s="98" t="s">
        <v>25</v>
      </c>
      <c r="D361" s="99">
        <v>107.64</v>
      </c>
      <c r="E361" s="100">
        <v>91.49</v>
      </c>
      <c r="F361" s="93"/>
      <c r="H361" s="101"/>
      <c r="J361" s="1">
        <v>0.0</v>
      </c>
      <c r="K361" s="1">
        <v>0.0</v>
      </c>
      <c r="L361" s="1">
        <v>0.0</v>
      </c>
      <c r="M361" s="1">
        <v>0.0</v>
      </c>
    </row>
    <row r="362" ht="15.75" customHeight="1">
      <c r="A362" s="96" t="s">
        <v>2402</v>
      </c>
      <c r="B362" s="97" t="s">
        <v>624</v>
      </c>
      <c r="C362" s="98" t="s">
        <v>25</v>
      </c>
      <c r="D362" s="99">
        <v>50.92</v>
      </c>
      <c r="E362" s="100">
        <v>43.28</v>
      </c>
      <c r="F362" s="93"/>
      <c r="H362" s="101"/>
      <c r="J362" s="1">
        <v>0.0</v>
      </c>
      <c r="K362" s="1">
        <v>0.0</v>
      </c>
      <c r="L362" s="1">
        <v>0.0</v>
      </c>
      <c r="M362" s="1">
        <v>0.0</v>
      </c>
    </row>
    <row r="363" ht="15.75" customHeight="1">
      <c r="A363" s="96" t="s">
        <v>2403</v>
      </c>
      <c r="B363" s="97" t="s">
        <v>182</v>
      </c>
      <c r="C363" s="98" t="s">
        <v>25</v>
      </c>
      <c r="D363" s="99">
        <v>115.48</v>
      </c>
      <c r="E363" s="100">
        <v>98.16</v>
      </c>
      <c r="F363" s="93"/>
      <c r="H363" s="101"/>
      <c r="J363" s="1">
        <v>0.0</v>
      </c>
      <c r="K363" s="1">
        <v>0.0</v>
      </c>
      <c r="L363" s="1">
        <v>0.0</v>
      </c>
      <c r="M363" s="1">
        <v>0.0</v>
      </c>
    </row>
    <row r="364" ht="15.75" customHeight="1">
      <c r="A364" s="96" t="s">
        <v>2404</v>
      </c>
      <c r="B364" s="97" t="s">
        <v>103</v>
      </c>
      <c r="C364" s="98" t="s">
        <v>25</v>
      </c>
      <c r="D364" s="99">
        <v>79.33</v>
      </c>
      <c r="E364" s="100">
        <v>67.43</v>
      </c>
      <c r="F364" s="93"/>
      <c r="H364" s="101"/>
      <c r="J364" s="1">
        <v>0.0</v>
      </c>
      <c r="K364" s="1">
        <v>0.0</v>
      </c>
      <c r="L364" s="1">
        <v>0.0</v>
      </c>
      <c r="M364" s="1">
        <v>0.0</v>
      </c>
    </row>
    <row r="365" ht="15.75" customHeight="1">
      <c r="A365" s="96" t="s">
        <v>2405</v>
      </c>
      <c r="B365" s="97" t="s">
        <v>789</v>
      </c>
      <c r="C365" s="98" t="s">
        <v>25</v>
      </c>
      <c r="D365" s="99">
        <v>45.99</v>
      </c>
      <c r="E365" s="100">
        <v>39.09</v>
      </c>
      <c r="F365" s="93"/>
      <c r="H365" s="101"/>
      <c r="J365" s="1">
        <v>0.0</v>
      </c>
      <c r="K365" s="1">
        <v>0.0</v>
      </c>
      <c r="L365" s="1">
        <v>0.0</v>
      </c>
      <c r="M365" s="1">
        <v>0.0</v>
      </c>
    </row>
    <row r="366" ht="15.75" customHeight="1">
      <c r="A366" s="96" t="s">
        <v>2406</v>
      </c>
      <c r="B366" s="97" t="s">
        <v>2407</v>
      </c>
      <c r="C366" s="98" t="s">
        <v>25</v>
      </c>
      <c r="D366" s="99">
        <v>333.26</v>
      </c>
      <c r="E366" s="100">
        <v>283.27</v>
      </c>
      <c r="F366" s="93"/>
      <c r="H366" s="101"/>
      <c r="J366" s="1">
        <v>0.0</v>
      </c>
      <c r="K366" s="1">
        <v>0.0</v>
      </c>
      <c r="L366" s="1">
        <v>0.0</v>
      </c>
      <c r="M366" s="1">
        <v>0.0</v>
      </c>
    </row>
    <row r="367" ht="15.75" customHeight="1">
      <c r="A367" s="96" t="s">
        <v>2408</v>
      </c>
      <c r="B367" s="97" t="s">
        <v>2409</v>
      </c>
      <c r="C367" s="98" t="s">
        <v>25</v>
      </c>
      <c r="D367" s="99">
        <v>103.49</v>
      </c>
      <c r="E367" s="100">
        <v>87.97</v>
      </c>
      <c r="F367" s="93"/>
      <c r="H367" s="101"/>
      <c r="J367" s="1">
        <v>0.0</v>
      </c>
      <c r="K367" s="1">
        <v>0.0</v>
      </c>
      <c r="L367" s="1">
        <v>0.0</v>
      </c>
      <c r="M367" s="1">
        <v>0.0</v>
      </c>
    </row>
    <row r="368" ht="15.75" customHeight="1">
      <c r="A368" s="96" t="s">
        <v>2410</v>
      </c>
      <c r="B368" s="97" t="s">
        <v>2411</v>
      </c>
      <c r="C368" s="98" t="s">
        <v>25</v>
      </c>
      <c r="D368" s="99">
        <v>226.93</v>
      </c>
      <c r="E368" s="100">
        <v>192.89</v>
      </c>
      <c r="F368" s="93"/>
      <c r="H368" s="101"/>
      <c r="J368" s="1">
        <v>0.0</v>
      </c>
      <c r="K368" s="1">
        <v>0.0</v>
      </c>
      <c r="L368" s="1">
        <v>0.0</v>
      </c>
      <c r="M368" s="1">
        <v>0.0</v>
      </c>
    </row>
    <row r="369" ht="15.75" customHeight="1">
      <c r="A369" s="96" t="s">
        <v>2412</v>
      </c>
      <c r="B369" s="97" t="s">
        <v>1422</v>
      </c>
      <c r="C369" s="98" t="s">
        <v>25</v>
      </c>
      <c r="D369" s="99">
        <v>66.72</v>
      </c>
      <c r="E369" s="100">
        <v>56.71</v>
      </c>
      <c r="F369" s="93"/>
      <c r="H369" s="101"/>
      <c r="J369" s="1">
        <v>0.0</v>
      </c>
      <c r="K369" s="1">
        <v>0.0</v>
      </c>
      <c r="L369" s="1">
        <v>0.0</v>
      </c>
      <c r="M369" s="1">
        <v>0.0</v>
      </c>
    </row>
    <row r="370" ht="15.75" customHeight="1">
      <c r="A370" s="96" t="s">
        <v>2413</v>
      </c>
      <c r="B370" s="97" t="s">
        <v>2414</v>
      </c>
      <c r="C370" s="98" t="s">
        <v>25</v>
      </c>
      <c r="D370" s="99">
        <v>416.02</v>
      </c>
      <c r="E370" s="100">
        <v>353.62</v>
      </c>
      <c r="F370" s="93"/>
      <c r="H370" s="101"/>
      <c r="J370" s="1">
        <v>0.0</v>
      </c>
      <c r="K370" s="1">
        <v>0.0</v>
      </c>
      <c r="L370" s="1">
        <v>0.0</v>
      </c>
      <c r="M370" s="1">
        <v>0.0</v>
      </c>
    </row>
    <row r="371" ht="15.75" customHeight="1">
      <c r="A371" s="96" t="s">
        <v>2415</v>
      </c>
      <c r="B371" s="97" t="s">
        <v>2416</v>
      </c>
      <c r="C371" s="98" t="s">
        <v>25</v>
      </c>
      <c r="D371" s="99">
        <v>0.11</v>
      </c>
      <c r="E371" s="100">
        <v>0.09</v>
      </c>
      <c r="F371" s="93"/>
      <c r="H371" s="101"/>
      <c r="J371" s="1">
        <v>0.0</v>
      </c>
      <c r="K371" s="1">
        <v>0.0</v>
      </c>
      <c r="L371" s="1">
        <v>0.0</v>
      </c>
      <c r="M371" s="1">
        <v>0.0</v>
      </c>
    </row>
    <row r="372" ht="15.75" customHeight="1">
      <c r="A372" s="96" t="s">
        <v>2417</v>
      </c>
      <c r="B372" s="97" t="s">
        <v>702</v>
      </c>
      <c r="C372" s="98" t="s">
        <v>25</v>
      </c>
      <c r="D372" s="99">
        <v>22.8</v>
      </c>
      <c r="E372" s="100">
        <v>19.38</v>
      </c>
      <c r="F372" s="93"/>
      <c r="H372" s="101"/>
      <c r="J372" s="1">
        <v>0.0</v>
      </c>
      <c r="K372" s="1">
        <v>0.0</v>
      </c>
      <c r="L372" s="1">
        <v>0.0</v>
      </c>
      <c r="M372" s="1">
        <v>0.0</v>
      </c>
    </row>
    <row r="373" ht="15.75" customHeight="1">
      <c r="A373" s="96" t="s">
        <v>2418</v>
      </c>
      <c r="B373" s="97" t="s">
        <v>2419</v>
      </c>
      <c r="C373" s="98" t="s">
        <v>25</v>
      </c>
      <c r="D373" s="99">
        <v>24.27</v>
      </c>
      <c r="E373" s="100">
        <v>20.63</v>
      </c>
      <c r="F373" s="93"/>
      <c r="H373" s="101"/>
      <c r="J373" s="1">
        <v>0.0</v>
      </c>
      <c r="K373" s="1">
        <v>0.0</v>
      </c>
      <c r="L373" s="1">
        <v>0.0</v>
      </c>
      <c r="M373" s="1">
        <v>0.0</v>
      </c>
    </row>
    <row r="374" ht="15.75" customHeight="1">
      <c r="A374" s="96" t="s">
        <v>2420</v>
      </c>
      <c r="B374" s="97" t="s">
        <v>2421</v>
      </c>
      <c r="C374" s="98" t="s">
        <v>25</v>
      </c>
      <c r="D374" s="99">
        <v>6.0</v>
      </c>
      <c r="E374" s="100">
        <v>5.1</v>
      </c>
      <c r="F374" s="93"/>
      <c r="H374" s="101"/>
      <c r="J374" s="1">
        <v>0.0</v>
      </c>
      <c r="K374" s="1">
        <v>0.0</v>
      </c>
      <c r="L374" s="1">
        <v>0.0</v>
      </c>
      <c r="M374" s="1">
        <v>0.0</v>
      </c>
    </row>
    <row r="375" ht="15.75" customHeight="1">
      <c r="A375" s="96" t="s">
        <v>2422</v>
      </c>
      <c r="B375" s="97" t="s">
        <v>1382</v>
      </c>
      <c r="C375" s="98" t="s">
        <v>25</v>
      </c>
      <c r="D375" s="99">
        <v>18.23</v>
      </c>
      <c r="E375" s="100">
        <v>15.5</v>
      </c>
      <c r="F375" s="93"/>
      <c r="H375" s="101"/>
      <c r="J375" s="1">
        <v>0.0</v>
      </c>
      <c r="K375" s="1">
        <v>0.0</v>
      </c>
      <c r="L375" s="1">
        <v>0.0</v>
      </c>
      <c r="M375" s="1">
        <v>0.0</v>
      </c>
    </row>
    <row r="376" ht="15.75" customHeight="1">
      <c r="A376" s="96" t="s">
        <v>2423</v>
      </c>
      <c r="B376" s="97" t="s">
        <v>848</v>
      </c>
      <c r="C376" s="98" t="s">
        <v>25</v>
      </c>
      <c r="D376" s="99">
        <v>2681.4</v>
      </c>
      <c r="E376" s="100">
        <v>2279.19</v>
      </c>
      <c r="F376" s="93"/>
      <c r="H376" s="101"/>
      <c r="J376" s="1">
        <v>0.0</v>
      </c>
      <c r="K376" s="1">
        <v>0.0</v>
      </c>
      <c r="L376" s="1">
        <v>0.0</v>
      </c>
      <c r="M376" s="1">
        <v>0.0</v>
      </c>
    </row>
    <row r="377" ht="15.75" customHeight="1">
      <c r="A377" s="96" t="s">
        <v>2424</v>
      </c>
      <c r="B377" s="97" t="s">
        <v>655</v>
      </c>
      <c r="C377" s="98" t="s">
        <v>25</v>
      </c>
      <c r="D377" s="99">
        <v>2625.33</v>
      </c>
      <c r="E377" s="100">
        <v>2231.53</v>
      </c>
      <c r="F377" s="93"/>
      <c r="H377" s="101"/>
      <c r="J377" s="1">
        <v>0.0</v>
      </c>
      <c r="K377" s="1">
        <v>0.0</v>
      </c>
      <c r="L377" s="1">
        <v>0.0</v>
      </c>
      <c r="M377" s="1">
        <v>0.0</v>
      </c>
    </row>
    <row r="378" ht="15.75" customHeight="1">
      <c r="A378" s="96" t="s">
        <v>2425</v>
      </c>
      <c r="B378" s="97" t="s">
        <v>2426</v>
      </c>
      <c r="C378" s="98" t="s">
        <v>25</v>
      </c>
      <c r="D378" s="99">
        <v>998.02</v>
      </c>
      <c r="E378" s="100">
        <v>848.32</v>
      </c>
      <c r="F378" s="93"/>
      <c r="H378" s="101"/>
      <c r="J378" s="1">
        <v>0.0</v>
      </c>
      <c r="K378" s="1">
        <v>0.0</v>
      </c>
      <c r="L378" s="1">
        <v>0.0</v>
      </c>
      <c r="M378" s="1">
        <v>0.0</v>
      </c>
    </row>
    <row r="379" ht="15.75" customHeight="1">
      <c r="A379" s="96" t="s">
        <v>2427</v>
      </c>
      <c r="B379" s="97" t="s">
        <v>316</v>
      </c>
      <c r="C379" s="98" t="s">
        <v>25</v>
      </c>
      <c r="D379" s="99">
        <v>302.61</v>
      </c>
      <c r="E379" s="100">
        <v>257.22</v>
      </c>
      <c r="F379" s="93"/>
      <c r="H379" s="101"/>
      <c r="J379" s="1">
        <v>0.0</v>
      </c>
      <c r="K379" s="1">
        <v>0.0</v>
      </c>
      <c r="L379" s="1">
        <v>0.0</v>
      </c>
      <c r="M379" s="1">
        <v>0.0</v>
      </c>
    </row>
    <row r="380" ht="15.75" customHeight="1">
      <c r="A380" s="96" t="s">
        <v>2428</v>
      </c>
      <c r="B380" s="97" t="s">
        <v>1030</v>
      </c>
      <c r="C380" s="98" t="s">
        <v>25</v>
      </c>
      <c r="D380" s="99">
        <v>354.76</v>
      </c>
      <c r="E380" s="100">
        <v>301.55</v>
      </c>
      <c r="F380" s="93"/>
      <c r="H380" s="101"/>
      <c r="J380" s="1">
        <v>0.0</v>
      </c>
      <c r="K380" s="1">
        <v>0.0</v>
      </c>
      <c r="L380" s="1">
        <v>0.0</v>
      </c>
      <c r="M380" s="1">
        <v>0.0</v>
      </c>
    </row>
    <row r="381" ht="15.75" customHeight="1">
      <c r="A381" s="96" t="s">
        <v>2429</v>
      </c>
      <c r="B381" s="97" t="s">
        <v>2430</v>
      </c>
      <c r="C381" s="98" t="s">
        <v>25</v>
      </c>
      <c r="D381" s="99">
        <v>447.44</v>
      </c>
      <c r="E381" s="100">
        <v>380.32</v>
      </c>
      <c r="F381" s="93"/>
      <c r="H381" s="101"/>
      <c r="J381" s="1">
        <v>0.0</v>
      </c>
      <c r="K381" s="1">
        <v>0.0</v>
      </c>
      <c r="L381" s="1">
        <v>0.0</v>
      </c>
      <c r="M381" s="1">
        <v>0.0</v>
      </c>
    </row>
    <row r="382" ht="15.75" customHeight="1">
      <c r="A382" s="96" t="s">
        <v>2431</v>
      </c>
      <c r="B382" s="97" t="s">
        <v>2432</v>
      </c>
      <c r="C382" s="98" t="s">
        <v>25</v>
      </c>
      <c r="D382" s="99">
        <v>1200.64</v>
      </c>
      <c r="E382" s="100">
        <v>1020.54</v>
      </c>
      <c r="F382" s="93"/>
      <c r="H382" s="101"/>
      <c r="J382" s="1">
        <v>0.0</v>
      </c>
      <c r="K382" s="1">
        <v>0.0</v>
      </c>
      <c r="L382" s="1">
        <v>0.0</v>
      </c>
      <c r="M382" s="1">
        <v>0.0</v>
      </c>
    </row>
    <row r="383" ht="15.75" customHeight="1">
      <c r="A383" s="96" t="s">
        <v>2433</v>
      </c>
      <c r="B383" s="97" t="s">
        <v>109</v>
      </c>
      <c r="C383" s="98" t="s">
        <v>25</v>
      </c>
      <c r="D383" s="99">
        <v>663.33</v>
      </c>
      <c r="E383" s="100">
        <v>563.83</v>
      </c>
      <c r="F383" s="93"/>
      <c r="H383" s="101"/>
      <c r="J383" s="1">
        <v>0.0</v>
      </c>
      <c r="K383" s="1">
        <v>0.0</v>
      </c>
      <c r="L383" s="1">
        <v>0.0</v>
      </c>
      <c r="M383" s="1">
        <v>0.0</v>
      </c>
    </row>
    <row r="384" ht="15.75" customHeight="1">
      <c r="A384" s="96" t="s">
        <v>2434</v>
      </c>
      <c r="B384" s="97" t="s">
        <v>205</v>
      </c>
      <c r="C384" s="98" t="s">
        <v>25</v>
      </c>
      <c r="D384" s="99">
        <v>1116.96</v>
      </c>
      <c r="E384" s="100">
        <v>949.42</v>
      </c>
      <c r="F384" s="93"/>
      <c r="H384" s="101"/>
      <c r="J384" s="1">
        <v>0.0</v>
      </c>
      <c r="K384" s="1">
        <v>0.0</v>
      </c>
      <c r="L384" s="1">
        <v>0.0</v>
      </c>
      <c r="M384" s="1">
        <v>0.0</v>
      </c>
    </row>
    <row r="385" ht="15.75" customHeight="1">
      <c r="A385" s="96" t="s">
        <v>2435</v>
      </c>
      <c r="B385" s="97" t="s">
        <v>53</v>
      </c>
      <c r="C385" s="98" t="s">
        <v>25</v>
      </c>
      <c r="D385" s="99">
        <v>985.59</v>
      </c>
      <c r="E385" s="100">
        <v>837.75</v>
      </c>
      <c r="F385" s="93"/>
      <c r="H385" s="101"/>
      <c r="J385" s="1">
        <v>0.0</v>
      </c>
      <c r="K385" s="1">
        <v>0.0</v>
      </c>
      <c r="L385" s="1">
        <v>0.0</v>
      </c>
      <c r="M385" s="1">
        <v>0.0</v>
      </c>
    </row>
    <row r="386" ht="15.75" customHeight="1">
      <c r="A386" s="96" t="s">
        <v>2436</v>
      </c>
      <c r="B386" s="97" t="s">
        <v>115</v>
      </c>
      <c r="C386" s="98" t="s">
        <v>25</v>
      </c>
      <c r="D386" s="99">
        <v>763.82</v>
      </c>
      <c r="E386" s="100">
        <v>649.25</v>
      </c>
      <c r="F386" s="93"/>
      <c r="H386" s="101"/>
      <c r="J386" s="1">
        <v>0.0</v>
      </c>
      <c r="K386" s="1">
        <v>0.0</v>
      </c>
      <c r="L386" s="1">
        <v>0.0</v>
      </c>
      <c r="M386" s="1">
        <v>0.0</v>
      </c>
    </row>
    <row r="387" ht="15.75" customHeight="1">
      <c r="A387" s="96" t="s">
        <v>2437</v>
      </c>
      <c r="B387" s="97" t="s">
        <v>157</v>
      </c>
      <c r="C387" s="98" t="s">
        <v>25</v>
      </c>
      <c r="D387" s="99">
        <v>728.67</v>
      </c>
      <c r="E387" s="100">
        <v>619.37</v>
      </c>
      <c r="F387" s="93"/>
      <c r="H387" s="101"/>
      <c r="J387" s="1">
        <v>0.0</v>
      </c>
      <c r="K387" s="1">
        <v>0.0</v>
      </c>
      <c r="L387" s="1">
        <v>0.0</v>
      </c>
      <c r="M387" s="1">
        <v>0.0</v>
      </c>
    </row>
    <row r="388" ht="15.75" customHeight="1">
      <c r="A388" s="96" t="s">
        <v>2438</v>
      </c>
      <c r="B388" s="97" t="s">
        <v>274</v>
      </c>
      <c r="C388" s="98" t="s">
        <v>25</v>
      </c>
      <c r="D388" s="99">
        <v>549.81</v>
      </c>
      <c r="E388" s="100">
        <v>467.34</v>
      </c>
      <c r="F388" s="93"/>
      <c r="H388" s="101"/>
      <c r="J388" s="1">
        <v>0.0</v>
      </c>
      <c r="K388" s="1">
        <v>0.0</v>
      </c>
      <c r="L388" s="1">
        <v>0.0</v>
      </c>
      <c r="M388" s="1">
        <v>0.0</v>
      </c>
    </row>
    <row r="389" ht="15.75" customHeight="1">
      <c r="A389" s="96" t="s">
        <v>2439</v>
      </c>
      <c r="B389" s="97" t="s">
        <v>70</v>
      </c>
      <c r="C389" s="98" t="s">
        <v>25</v>
      </c>
      <c r="D389" s="99">
        <v>1470.72</v>
      </c>
      <c r="E389" s="100">
        <v>1250.11</v>
      </c>
      <c r="F389" s="93"/>
      <c r="H389" s="101"/>
      <c r="J389" s="1">
        <v>0.0</v>
      </c>
      <c r="K389" s="1">
        <v>0.0</v>
      </c>
      <c r="L389" s="1">
        <v>0.0</v>
      </c>
      <c r="M389" s="1">
        <v>0.0</v>
      </c>
    </row>
    <row r="390" ht="15.75" customHeight="1">
      <c r="A390" s="96" t="s">
        <v>2440</v>
      </c>
      <c r="B390" s="97" t="s">
        <v>90</v>
      </c>
      <c r="C390" s="98" t="s">
        <v>25</v>
      </c>
      <c r="D390" s="99">
        <v>718.44</v>
      </c>
      <c r="E390" s="100">
        <v>610.67</v>
      </c>
      <c r="F390" s="93"/>
      <c r="H390" s="101"/>
      <c r="J390" s="1">
        <v>0.0</v>
      </c>
      <c r="K390" s="1">
        <v>0.0</v>
      </c>
      <c r="L390" s="1">
        <v>0.0</v>
      </c>
      <c r="M390" s="1">
        <v>0.0</v>
      </c>
    </row>
    <row r="391" ht="15.75" customHeight="1">
      <c r="A391" s="96" t="s">
        <v>2441</v>
      </c>
      <c r="B391" s="97" t="s">
        <v>137</v>
      </c>
      <c r="C391" s="98" t="s">
        <v>25</v>
      </c>
      <c r="D391" s="99">
        <v>605.49</v>
      </c>
      <c r="E391" s="100">
        <v>514.67</v>
      </c>
      <c r="F391" s="93"/>
      <c r="H391" s="101"/>
      <c r="J391" s="1">
        <v>0.0</v>
      </c>
      <c r="K391" s="1">
        <v>0.0</v>
      </c>
      <c r="L391" s="1">
        <v>0.0</v>
      </c>
      <c r="M391" s="1">
        <v>0.0</v>
      </c>
    </row>
    <row r="392" ht="15.75" customHeight="1">
      <c r="A392" s="96" t="s">
        <v>2442</v>
      </c>
      <c r="B392" s="97" t="s">
        <v>176</v>
      </c>
      <c r="C392" s="98" t="s">
        <v>25</v>
      </c>
      <c r="D392" s="99">
        <v>922.87</v>
      </c>
      <c r="E392" s="100">
        <v>784.44</v>
      </c>
      <c r="F392" s="93"/>
      <c r="H392" s="101"/>
      <c r="J392" s="1">
        <v>0.0</v>
      </c>
      <c r="K392" s="1">
        <v>0.0</v>
      </c>
      <c r="L392" s="1">
        <v>0.0</v>
      </c>
      <c r="M392" s="1">
        <v>0.0</v>
      </c>
    </row>
    <row r="393" ht="15.75" customHeight="1">
      <c r="A393" s="96" t="s">
        <v>2443</v>
      </c>
      <c r="B393" s="97" t="s">
        <v>395</v>
      </c>
      <c r="C393" s="98" t="s">
        <v>25</v>
      </c>
      <c r="D393" s="99">
        <v>267.89</v>
      </c>
      <c r="E393" s="100">
        <v>227.71</v>
      </c>
      <c r="F393" s="93"/>
      <c r="H393" s="101"/>
      <c r="J393" s="1">
        <v>0.0</v>
      </c>
      <c r="K393" s="1">
        <v>0.0</v>
      </c>
      <c r="L393" s="1">
        <v>0.0</v>
      </c>
      <c r="M393" s="1">
        <v>0.0</v>
      </c>
    </row>
    <row r="394" ht="15.75" customHeight="1">
      <c r="A394" s="96" t="s">
        <v>2444</v>
      </c>
      <c r="B394" s="97" t="s">
        <v>517</v>
      </c>
      <c r="C394" s="98" t="s">
        <v>25</v>
      </c>
      <c r="D394" s="99">
        <v>881.38</v>
      </c>
      <c r="E394" s="100">
        <v>749.17</v>
      </c>
      <c r="F394" s="93"/>
      <c r="H394" s="101"/>
      <c r="J394" s="1">
        <v>0.0</v>
      </c>
      <c r="K394" s="1">
        <v>0.0</v>
      </c>
      <c r="L394" s="1">
        <v>0.0</v>
      </c>
      <c r="M394" s="1">
        <v>0.0</v>
      </c>
    </row>
    <row r="395" ht="15.75" customHeight="1">
      <c r="A395" s="96" t="s">
        <v>2445</v>
      </c>
      <c r="B395" s="97" t="s">
        <v>2446</v>
      </c>
      <c r="C395" s="98" t="s">
        <v>25</v>
      </c>
      <c r="D395" s="99">
        <v>762.51</v>
      </c>
      <c r="E395" s="100">
        <v>648.13</v>
      </c>
      <c r="F395" s="93"/>
      <c r="H395" s="101"/>
      <c r="J395" s="1">
        <v>0.0</v>
      </c>
      <c r="K395" s="1">
        <v>0.0</v>
      </c>
      <c r="L395" s="1">
        <v>0.0</v>
      </c>
      <c r="M395" s="1">
        <v>0.0</v>
      </c>
    </row>
    <row r="396" ht="15.75" customHeight="1">
      <c r="A396" s="96" t="s">
        <v>2447</v>
      </c>
      <c r="B396" s="97" t="s">
        <v>93</v>
      </c>
      <c r="C396" s="98" t="s">
        <v>25</v>
      </c>
      <c r="D396" s="99">
        <v>409.98</v>
      </c>
      <c r="E396" s="100">
        <v>348.48</v>
      </c>
      <c r="F396" s="93"/>
      <c r="H396" s="101"/>
      <c r="J396" s="1">
        <v>0.0</v>
      </c>
      <c r="K396" s="1">
        <v>0.0</v>
      </c>
      <c r="L396" s="1">
        <v>0.0</v>
      </c>
      <c r="M396" s="1">
        <v>0.0</v>
      </c>
    </row>
    <row r="397" ht="15.75" customHeight="1">
      <c r="A397" s="96" t="s">
        <v>2448</v>
      </c>
      <c r="B397" s="97" t="s">
        <v>2449</v>
      </c>
      <c r="C397" s="98" t="s">
        <v>25</v>
      </c>
      <c r="D397" s="99">
        <v>2389.29</v>
      </c>
      <c r="E397" s="100">
        <v>2030.9</v>
      </c>
      <c r="F397" s="93"/>
      <c r="H397" s="101"/>
      <c r="J397" s="1">
        <v>0.0</v>
      </c>
      <c r="K397" s="1">
        <v>0.0</v>
      </c>
      <c r="L397" s="1">
        <v>0.0</v>
      </c>
      <c r="M397" s="1">
        <v>0.0</v>
      </c>
    </row>
    <row r="398" ht="15.75" customHeight="1">
      <c r="A398" s="96" t="s">
        <v>2450</v>
      </c>
      <c r="B398" s="97" t="s">
        <v>2451</v>
      </c>
      <c r="C398" s="98" t="s">
        <v>25</v>
      </c>
      <c r="D398" s="99">
        <v>179.13</v>
      </c>
      <c r="E398" s="100">
        <v>152.26</v>
      </c>
      <c r="F398" s="93"/>
      <c r="H398" s="101"/>
      <c r="J398" s="1">
        <v>0.0</v>
      </c>
      <c r="K398" s="1">
        <v>0.0</v>
      </c>
      <c r="L398" s="1">
        <v>0.0</v>
      </c>
      <c r="M398" s="1">
        <v>0.0</v>
      </c>
    </row>
    <row r="399" ht="15.75" customHeight="1">
      <c r="A399" s="96" t="s">
        <v>2452</v>
      </c>
      <c r="B399" s="97" t="s">
        <v>931</v>
      </c>
      <c r="C399" s="98" t="s">
        <v>25</v>
      </c>
      <c r="D399" s="99">
        <v>323.96</v>
      </c>
      <c r="E399" s="100">
        <v>275.37</v>
      </c>
      <c r="F399" s="93"/>
      <c r="H399" s="101"/>
      <c r="J399" s="1">
        <v>0.0</v>
      </c>
      <c r="K399" s="1">
        <v>0.0</v>
      </c>
      <c r="L399" s="1">
        <v>0.0</v>
      </c>
      <c r="M399" s="1">
        <v>0.0</v>
      </c>
    </row>
    <row r="400" ht="15.75" customHeight="1">
      <c r="A400" s="96" t="s">
        <v>2453</v>
      </c>
      <c r="B400" s="97" t="s">
        <v>646</v>
      </c>
      <c r="C400" s="98" t="s">
        <v>25</v>
      </c>
      <c r="D400" s="99">
        <v>2757.54</v>
      </c>
      <c r="E400" s="100">
        <v>2343.91</v>
      </c>
      <c r="F400" s="93"/>
      <c r="H400" s="101"/>
      <c r="J400" s="1">
        <v>0.0</v>
      </c>
      <c r="K400" s="1">
        <v>0.0</v>
      </c>
      <c r="L400" s="1">
        <v>0.0</v>
      </c>
      <c r="M400" s="1">
        <v>0.0</v>
      </c>
    </row>
    <row r="401" ht="15.75" customHeight="1">
      <c r="A401" s="96" t="s">
        <v>2454</v>
      </c>
      <c r="B401" s="97" t="s">
        <v>401</v>
      </c>
      <c r="C401" s="98" t="s">
        <v>25</v>
      </c>
      <c r="D401" s="99">
        <v>106.68</v>
      </c>
      <c r="E401" s="100">
        <v>90.68</v>
      </c>
      <c r="F401" s="93"/>
      <c r="H401" s="101"/>
      <c r="J401" s="1">
        <v>0.0</v>
      </c>
      <c r="K401" s="1">
        <v>0.0</v>
      </c>
      <c r="L401" s="1">
        <v>0.0</v>
      </c>
      <c r="M401" s="1">
        <v>0.0</v>
      </c>
    </row>
    <row r="402" ht="15.75" customHeight="1">
      <c r="A402" s="96" t="s">
        <v>2455</v>
      </c>
      <c r="B402" s="97" t="s">
        <v>2456</v>
      </c>
      <c r="C402" s="98" t="s">
        <v>25</v>
      </c>
      <c r="D402" s="99">
        <v>936.37</v>
      </c>
      <c r="E402" s="100">
        <v>795.91</v>
      </c>
      <c r="F402" s="93"/>
      <c r="H402" s="101"/>
      <c r="J402" s="1">
        <v>0.0</v>
      </c>
      <c r="K402" s="1">
        <v>0.0</v>
      </c>
      <c r="L402" s="1">
        <v>0.0</v>
      </c>
      <c r="M402" s="1">
        <v>0.0</v>
      </c>
    </row>
    <row r="403" ht="15.75" customHeight="1">
      <c r="A403" s="96" t="s">
        <v>2457</v>
      </c>
      <c r="B403" s="97" t="s">
        <v>1005</v>
      </c>
      <c r="C403" s="98" t="s">
        <v>25</v>
      </c>
      <c r="D403" s="99">
        <v>382.91</v>
      </c>
      <c r="E403" s="100">
        <v>325.47</v>
      </c>
      <c r="F403" s="93"/>
      <c r="H403" s="101"/>
      <c r="J403" s="1">
        <v>0.0</v>
      </c>
      <c r="K403" s="1">
        <v>0.0</v>
      </c>
      <c r="L403" s="1">
        <v>0.0</v>
      </c>
      <c r="M403" s="1">
        <v>0.0</v>
      </c>
    </row>
    <row r="404" ht="15.75" customHeight="1">
      <c r="A404" s="96" t="s">
        <v>2458</v>
      </c>
      <c r="B404" s="97" t="s">
        <v>244</v>
      </c>
      <c r="C404" s="98" t="s">
        <v>25</v>
      </c>
      <c r="D404" s="99">
        <v>325.03</v>
      </c>
      <c r="E404" s="100">
        <v>276.28</v>
      </c>
      <c r="F404" s="93"/>
      <c r="H404" s="101"/>
      <c r="J404" s="1">
        <v>0.0</v>
      </c>
      <c r="K404" s="1">
        <v>0.0</v>
      </c>
      <c r="L404" s="1">
        <v>0.0</v>
      </c>
      <c r="M404" s="1">
        <v>0.0</v>
      </c>
    </row>
    <row r="405" ht="15.75" customHeight="1">
      <c r="A405" s="96" t="s">
        <v>2459</v>
      </c>
      <c r="B405" s="97" t="s">
        <v>662</v>
      </c>
      <c r="C405" s="98" t="s">
        <v>25</v>
      </c>
      <c r="D405" s="99">
        <v>1705.53</v>
      </c>
      <c r="E405" s="100">
        <v>1449.7</v>
      </c>
      <c r="F405" s="93"/>
      <c r="H405" s="101"/>
      <c r="J405" s="1">
        <v>0.0</v>
      </c>
      <c r="K405" s="1">
        <v>0.0</v>
      </c>
      <c r="L405" s="1">
        <v>0.0</v>
      </c>
      <c r="M405" s="1">
        <v>0.0</v>
      </c>
    </row>
    <row r="406" ht="15.75" customHeight="1">
      <c r="A406" s="96" t="s">
        <v>2460</v>
      </c>
      <c r="B406" s="97" t="s">
        <v>809</v>
      </c>
      <c r="C406" s="98" t="s">
        <v>25</v>
      </c>
      <c r="D406" s="99">
        <v>282.77</v>
      </c>
      <c r="E406" s="100">
        <v>240.35</v>
      </c>
      <c r="F406" s="93"/>
      <c r="H406" s="101"/>
      <c r="J406" s="1">
        <v>0.0</v>
      </c>
      <c r="K406" s="1">
        <v>0.0</v>
      </c>
      <c r="L406" s="1">
        <v>0.0</v>
      </c>
      <c r="M406" s="1">
        <v>0.0</v>
      </c>
    </row>
    <row r="407" ht="15.75" customHeight="1">
      <c r="A407" s="96" t="s">
        <v>2461</v>
      </c>
      <c r="B407" s="97" t="s">
        <v>2462</v>
      </c>
      <c r="C407" s="98" t="s">
        <v>25</v>
      </c>
      <c r="D407" s="99">
        <v>34.19</v>
      </c>
      <c r="E407" s="100">
        <v>29.06</v>
      </c>
      <c r="F407" s="93"/>
      <c r="H407" s="101"/>
      <c r="J407" s="1">
        <v>0.0</v>
      </c>
      <c r="K407" s="1">
        <v>0.0</v>
      </c>
      <c r="L407" s="1">
        <v>0.0</v>
      </c>
      <c r="M407" s="1">
        <v>0.0</v>
      </c>
    </row>
    <row r="408" ht="15.75" customHeight="1">
      <c r="A408" s="96" t="s">
        <v>2463</v>
      </c>
      <c r="B408" s="97" t="s">
        <v>2464</v>
      </c>
      <c r="C408" s="98" t="s">
        <v>25</v>
      </c>
      <c r="D408" s="99">
        <v>473.94</v>
      </c>
      <c r="E408" s="100">
        <v>402.85</v>
      </c>
      <c r="F408" s="93"/>
      <c r="H408" s="101"/>
      <c r="J408" s="1">
        <v>0.0</v>
      </c>
      <c r="K408" s="1">
        <v>0.0</v>
      </c>
      <c r="L408" s="1">
        <v>0.0</v>
      </c>
      <c r="M408" s="1">
        <v>0.0</v>
      </c>
    </row>
    <row r="409" ht="15.75" customHeight="1">
      <c r="A409" s="96" t="s">
        <v>2465</v>
      </c>
      <c r="B409" s="97" t="s">
        <v>2466</v>
      </c>
      <c r="C409" s="98" t="s">
        <v>25</v>
      </c>
      <c r="D409" s="99">
        <v>159.94</v>
      </c>
      <c r="E409" s="100">
        <v>135.95</v>
      </c>
      <c r="F409" s="93"/>
      <c r="H409" s="101"/>
      <c r="J409" s="1">
        <v>0.0</v>
      </c>
      <c r="K409" s="1">
        <v>0.0</v>
      </c>
      <c r="L409" s="1">
        <v>0.0</v>
      </c>
      <c r="M409" s="1">
        <v>0.0</v>
      </c>
    </row>
    <row r="410" ht="15.75" customHeight="1">
      <c r="A410" s="96" t="s">
        <v>2467</v>
      </c>
      <c r="B410" s="97" t="s">
        <v>792</v>
      </c>
      <c r="C410" s="98" t="s">
        <v>25</v>
      </c>
      <c r="D410" s="99">
        <v>26.23</v>
      </c>
      <c r="E410" s="100">
        <v>22.3</v>
      </c>
      <c r="F410" s="93"/>
      <c r="H410" s="101"/>
      <c r="J410" s="1">
        <v>0.0</v>
      </c>
      <c r="K410" s="1">
        <v>0.0</v>
      </c>
      <c r="L410" s="1">
        <v>0.0</v>
      </c>
      <c r="M410" s="1">
        <v>0.0</v>
      </c>
    </row>
    <row r="411" ht="15.75" customHeight="1">
      <c r="A411" s="96" t="s">
        <v>2468</v>
      </c>
      <c r="B411" s="97" t="s">
        <v>682</v>
      </c>
      <c r="C411" s="98" t="s">
        <v>25</v>
      </c>
      <c r="D411" s="99">
        <v>37.07</v>
      </c>
      <c r="E411" s="100">
        <v>31.51</v>
      </c>
      <c r="F411" s="93"/>
      <c r="H411" s="101"/>
      <c r="J411" s="1">
        <v>0.0</v>
      </c>
      <c r="K411" s="1">
        <v>0.0</v>
      </c>
      <c r="L411" s="1">
        <v>0.0</v>
      </c>
      <c r="M411" s="1">
        <v>0.0</v>
      </c>
    </row>
    <row r="412" ht="15.75" customHeight="1">
      <c r="A412" s="96" t="s">
        <v>2469</v>
      </c>
      <c r="B412" s="97" t="s">
        <v>2470</v>
      </c>
      <c r="C412" s="98" t="s">
        <v>25</v>
      </c>
      <c r="D412" s="99">
        <v>2804.61</v>
      </c>
      <c r="E412" s="100">
        <v>2383.92</v>
      </c>
      <c r="F412" s="93"/>
      <c r="H412" s="101"/>
      <c r="J412" s="1">
        <v>0.0</v>
      </c>
      <c r="K412" s="1">
        <v>0.0</v>
      </c>
      <c r="L412" s="1">
        <v>0.0</v>
      </c>
      <c r="M412" s="1">
        <v>0.0</v>
      </c>
    </row>
    <row r="413" ht="15.75" customHeight="1">
      <c r="A413" s="96" t="s">
        <v>2471</v>
      </c>
      <c r="B413" s="97" t="s">
        <v>2472</v>
      </c>
      <c r="C413" s="98" t="s">
        <v>25</v>
      </c>
      <c r="D413" s="99">
        <v>9.77</v>
      </c>
      <c r="E413" s="100">
        <v>8.3</v>
      </c>
      <c r="F413" s="93"/>
      <c r="H413" s="101"/>
      <c r="J413" s="1">
        <v>0.0</v>
      </c>
      <c r="K413" s="1">
        <v>0.0</v>
      </c>
      <c r="L413" s="1">
        <v>0.0</v>
      </c>
      <c r="M413" s="1">
        <v>0.0</v>
      </c>
    </row>
    <row r="414" ht="15.75" customHeight="1">
      <c r="A414" s="96" t="s">
        <v>2473</v>
      </c>
      <c r="B414" s="97" t="s">
        <v>2474</v>
      </c>
      <c r="C414" s="98" t="s">
        <v>25</v>
      </c>
      <c r="D414" s="99">
        <v>357.72</v>
      </c>
      <c r="E414" s="100">
        <v>304.06</v>
      </c>
      <c r="F414" s="93"/>
      <c r="H414" s="101"/>
      <c r="J414" s="1">
        <v>0.0</v>
      </c>
      <c r="K414" s="1">
        <v>0.0</v>
      </c>
      <c r="L414" s="1">
        <v>0.0</v>
      </c>
      <c r="M414" s="1">
        <v>0.0</v>
      </c>
    </row>
    <row r="415" ht="15.75" customHeight="1">
      <c r="A415" s="96" t="s">
        <v>2475</v>
      </c>
      <c r="B415" s="97" t="s">
        <v>729</v>
      </c>
      <c r="C415" s="98" t="s">
        <v>25</v>
      </c>
      <c r="D415" s="99">
        <v>280.08</v>
      </c>
      <c r="E415" s="100">
        <v>238.07</v>
      </c>
      <c r="F415" s="93"/>
      <c r="H415" s="101"/>
      <c r="J415" s="1">
        <v>0.0</v>
      </c>
      <c r="K415" s="1">
        <v>0.0</v>
      </c>
      <c r="L415" s="1">
        <v>0.0</v>
      </c>
      <c r="M415" s="1">
        <v>0.0</v>
      </c>
    </row>
    <row r="416" ht="15.75" customHeight="1">
      <c r="A416" s="96" t="s">
        <v>2476</v>
      </c>
      <c r="B416" s="97" t="s">
        <v>40</v>
      </c>
      <c r="C416" s="98" t="s">
        <v>25</v>
      </c>
      <c r="D416" s="99">
        <v>191.97</v>
      </c>
      <c r="E416" s="100">
        <v>163.17</v>
      </c>
      <c r="F416" s="93"/>
      <c r="H416" s="101"/>
      <c r="J416" s="1">
        <v>0.0</v>
      </c>
      <c r="K416" s="1">
        <v>0.0</v>
      </c>
      <c r="L416" s="1">
        <v>0.0</v>
      </c>
      <c r="M416" s="1">
        <v>0.0</v>
      </c>
    </row>
    <row r="417" ht="15.75" customHeight="1">
      <c r="A417" s="96" t="s">
        <v>2477</v>
      </c>
      <c r="B417" s="97" t="s">
        <v>2478</v>
      </c>
      <c r="C417" s="98" t="s">
        <v>25</v>
      </c>
      <c r="D417" s="99">
        <v>529.85</v>
      </c>
      <c r="E417" s="100">
        <v>450.37</v>
      </c>
      <c r="F417" s="93"/>
      <c r="H417" s="101"/>
      <c r="J417" s="1">
        <v>0.0</v>
      </c>
      <c r="K417" s="1">
        <v>0.0</v>
      </c>
      <c r="L417" s="1">
        <v>0.0</v>
      </c>
      <c r="M417" s="1">
        <v>0.0</v>
      </c>
    </row>
    <row r="418" ht="15.75" customHeight="1">
      <c r="A418" s="96" t="s">
        <v>2479</v>
      </c>
      <c r="B418" s="97" t="s">
        <v>2480</v>
      </c>
      <c r="C418" s="98" t="s">
        <v>25</v>
      </c>
      <c r="D418" s="99">
        <v>65.03</v>
      </c>
      <c r="E418" s="100">
        <v>55.28</v>
      </c>
      <c r="F418" s="93"/>
      <c r="H418" s="101"/>
      <c r="J418" s="1">
        <v>0.0</v>
      </c>
      <c r="K418" s="1">
        <v>0.0</v>
      </c>
      <c r="L418" s="1">
        <v>0.0</v>
      </c>
      <c r="M418" s="1">
        <v>0.0</v>
      </c>
    </row>
    <row r="419" ht="15.75" customHeight="1">
      <c r="A419" s="96" t="s">
        <v>2481</v>
      </c>
      <c r="B419" s="97" t="s">
        <v>2482</v>
      </c>
      <c r="C419" s="98" t="s">
        <v>25</v>
      </c>
      <c r="D419" s="99">
        <v>3779.06</v>
      </c>
      <c r="E419" s="100">
        <v>3212.2</v>
      </c>
      <c r="F419" s="93"/>
      <c r="H419" s="101"/>
      <c r="J419" s="1">
        <v>0.0</v>
      </c>
      <c r="K419" s="1">
        <v>0.0</v>
      </c>
      <c r="L419" s="1">
        <v>0.0</v>
      </c>
      <c r="M419" s="1">
        <v>0.0</v>
      </c>
    </row>
    <row r="420" ht="15.75" customHeight="1">
      <c r="A420" s="96" t="s">
        <v>2483</v>
      </c>
      <c r="B420" s="97" t="s">
        <v>426</v>
      </c>
      <c r="C420" s="98" t="s">
        <v>25</v>
      </c>
      <c r="D420" s="99">
        <v>3223.6</v>
      </c>
      <c r="E420" s="100">
        <v>2740.06</v>
      </c>
      <c r="F420" s="93"/>
      <c r="H420" s="101"/>
      <c r="J420" s="1">
        <v>0.0</v>
      </c>
      <c r="K420" s="1">
        <v>0.0</v>
      </c>
      <c r="L420" s="1">
        <v>0.0</v>
      </c>
      <c r="M420" s="1">
        <v>0.0</v>
      </c>
    </row>
    <row r="421" ht="15.75" customHeight="1">
      <c r="A421" s="102" t="s">
        <v>865</v>
      </c>
      <c r="B421" s="97" t="s">
        <v>2484</v>
      </c>
      <c r="C421" s="98" t="s">
        <v>25</v>
      </c>
      <c r="D421" s="99">
        <v>839.54</v>
      </c>
      <c r="E421" s="100">
        <v>713.61</v>
      </c>
      <c r="F421" s="93"/>
      <c r="H421" s="101"/>
      <c r="J421" s="1">
        <v>0.0</v>
      </c>
      <c r="K421" s="1">
        <v>0.0</v>
      </c>
      <c r="L421" s="1">
        <v>0.0</v>
      </c>
      <c r="M421" s="1">
        <v>0.0</v>
      </c>
    </row>
    <row r="422" ht="15.75" customHeight="1">
      <c r="A422" s="102" t="s">
        <v>60</v>
      </c>
      <c r="B422" s="97" t="s">
        <v>62</v>
      </c>
      <c r="C422" s="98" t="s">
        <v>25</v>
      </c>
      <c r="D422" s="99">
        <v>2937.98</v>
      </c>
      <c r="E422" s="100">
        <v>2497.28</v>
      </c>
      <c r="F422" s="93"/>
      <c r="H422" s="101"/>
      <c r="J422" s="1">
        <v>0.0</v>
      </c>
      <c r="K422" s="1">
        <v>0.0</v>
      </c>
      <c r="L422" s="1">
        <v>0.0</v>
      </c>
      <c r="M422" s="1">
        <v>0.0</v>
      </c>
    </row>
    <row r="423" ht="15.75" customHeight="1">
      <c r="A423" s="102" t="s">
        <v>567</v>
      </c>
      <c r="B423" s="97" t="s">
        <v>2485</v>
      </c>
      <c r="C423" s="98" t="s">
        <v>25</v>
      </c>
      <c r="D423" s="99">
        <v>69.03</v>
      </c>
      <c r="E423" s="100">
        <v>58.68</v>
      </c>
      <c r="F423" s="93"/>
      <c r="H423" s="101"/>
      <c r="J423" s="1">
        <v>0.0</v>
      </c>
      <c r="K423" s="1">
        <v>0.0</v>
      </c>
      <c r="L423" s="1">
        <v>0.0</v>
      </c>
      <c r="M423" s="1">
        <v>0.0</v>
      </c>
    </row>
    <row r="424" ht="15.75" customHeight="1">
      <c r="A424" s="103"/>
      <c r="D424" s="104"/>
      <c r="E424" s="92"/>
      <c r="F424" s="93"/>
      <c r="H424" s="101"/>
      <c r="J424" s="1">
        <v>0.0</v>
      </c>
      <c r="K424" s="1">
        <v>0.0</v>
      </c>
      <c r="L424" s="1">
        <v>0.0</v>
      </c>
      <c r="M424" s="1">
        <v>0.0</v>
      </c>
    </row>
    <row r="425" ht="15.75" customHeight="1">
      <c r="A425" s="103"/>
      <c r="D425" s="104"/>
      <c r="E425" s="92"/>
      <c r="F425" s="93"/>
      <c r="H425" s="101"/>
      <c r="J425" s="1">
        <v>0.0</v>
      </c>
      <c r="K425" s="1">
        <v>0.0</v>
      </c>
      <c r="L425" s="1">
        <v>0.0</v>
      </c>
      <c r="M425" s="1">
        <v>0.0</v>
      </c>
    </row>
    <row r="426" ht="15.75" customHeight="1">
      <c r="A426" s="103"/>
      <c r="D426" s="104"/>
      <c r="E426" s="92"/>
      <c r="F426" s="93"/>
      <c r="H426" s="101"/>
      <c r="J426" s="1">
        <v>0.0</v>
      </c>
      <c r="K426" s="1">
        <v>0.0</v>
      </c>
      <c r="L426" s="1">
        <v>0.0</v>
      </c>
      <c r="M426" s="1">
        <v>0.0</v>
      </c>
    </row>
    <row r="427" ht="15.75" customHeight="1">
      <c r="A427" s="103"/>
      <c r="D427" s="104"/>
      <c r="E427" s="92"/>
      <c r="F427" s="93"/>
      <c r="H427" s="101"/>
      <c r="J427" s="1">
        <v>0.0</v>
      </c>
      <c r="K427" s="1">
        <v>0.0</v>
      </c>
      <c r="L427" s="1">
        <v>0.0</v>
      </c>
      <c r="M427" s="1">
        <v>0.0</v>
      </c>
    </row>
    <row r="428" ht="15.75" customHeight="1">
      <c r="A428" s="103"/>
      <c r="D428" s="104"/>
      <c r="E428" s="92"/>
      <c r="F428" s="93"/>
      <c r="H428" s="101"/>
      <c r="J428" s="1">
        <v>0.0</v>
      </c>
      <c r="K428" s="1">
        <v>0.0</v>
      </c>
      <c r="L428" s="1">
        <v>0.0</v>
      </c>
      <c r="M428" s="1">
        <v>0.0</v>
      </c>
    </row>
    <row r="429" ht="15.75" customHeight="1">
      <c r="A429" s="103"/>
      <c r="D429" s="104"/>
      <c r="E429" s="92"/>
      <c r="F429" s="93"/>
      <c r="H429" s="101"/>
      <c r="J429" s="1">
        <v>0.0</v>
      </c>
      <c r="K429" s="1">
        <v>0.0</v>
      </c>
      <c r="L429" s="1">
        <v>0.0</v>
      </c>
      <c r="M429" s="1">
        <v>0.0</v>
      </c>
    </row>
    <row r="430" ht="15.75" customHeight="1">
      <c r="A430" s="103"/>
      <c r="D430" s="104"/>
      <c r="E430" s="92"/>
      <c r="F430" s="93"/>
      <c r="H430" s="101"/>
      <c r="J430" s="1">
        <v>0.0</v>
      </c>
      <c r="K430" s="1">
        <v>0.0</v>
      </c>
      <c r="L430" s="1">
        <v>0.0</v>
      </c>
      <c r="M430" s="1">
        <v>0.0</v>
      </c>
    </row>
    <row r="431" ht="15.75" customHeight="1">
      <c r="A431" s="103"/>
      <c r="D431" s="104"/>
      <c r="E431" s="92"/>
      <c r="F431" s="93"/>
      <c r="H431" s="101"/>
      <c r="J431" s="1">
        <v>0.0</v>
      </c>
      <c r="K431" s="1">
        <v>0.0</v>
      </c>
      <c r="L431" s="1">
        <v>0.0</v>
      </c>
      <c r="M431" s="1">
        <v>0.0</v>
      </c>
    </row>
    <row r="432" ht="15.75" customHeight="1">
      <c r="A432" s="103"/>
      <c r="D432" s="104"/>
      <c r="E432" s="92"/>
      <c r="F432" s="93"/>
      <c r="H432" s="101"/>
      <c r="J432" s="1">
        <v>0.0</v>
      </c>
      <c r="K432" s="1">
        <v>0.0</v>
      </c>
      <c r="L432" s="1">
        <v>0.0</v>
      </c>
      <c r="M432" s="1">
        <v>0.0</v>
      </c>
    </row>
    <row r="433" ht="15.75" customHeight="1">
      <c r="A433" s="103"/>
      <c r="D433" s="104"/>
      <c r="E433" s="92"/>
      <c r="F433" s="93"/>
      <c r="H433" s="101"/>
      <c r="J433" s="1">
        <v>0.0</v>
      </c>
      <c r="K433" s="1">
        <v>0.0</v>
      </c>
      <c r="L433" s="1">
        <v>0.0</v>
      </c>
      <c r="M433" s="1">
        <v>0.0</v>
      </c>
    </row>
    <row r="434" ht="15.75" customHeight="1">
      <c r="A434" s="103"/>
      <c r="D434" s="104"/>
      <c r="E434" s="92"/>
      <c r="F434" s="93"/>
      <c r="H434" s="101"/>
      <c r="J434" s="1">
        <v>0.0</v>
      </c>
      <c r="K434" s="1">
        <v>0.0</v>
      </c>
      <c r="L434" s="1">
        <v>0.0</v>
      </c>
      <c r="M434" s="1">
        <v>0.0</v>
      </c>
    </row>
    <row r="435" ht="15.75" customHeight="1">
      <c r="A435" s="103"/>
      <c r="D435" s="104"/>
      <c r="E435" s="92"/>
      <c r="F435" s="93"/>
      <c r="H435" s="101"/>
      <c r="J435" s="1">
        <v>0.0</v>
      </c>
      <c r="K435" s="1">
        <v>0.0</v>
      </c>
      <c r="L435" s="1">
        <v>0.0</v>
      </c>
      <c r="M435" s="1">
        <v>0.0</v>
      </c>
    </row>
    <row r="436" ht="15.75" customHeight="1">
      <c r="A436" s="103"/>
      <c r="E436" s="92"/>
      <c r="F436" s="93"/>
      <c r="H436" s="101"/>
      <c r="J436" s="1">
        <v>0.0</v>
      </c>
      <c r="K436" s="1">
        <v>0.0</v>
      </c>
      <c r="L436" s="1">
        <v>0.0</v>
      </c>
      <c r="M436" s="1">
        <v>0.0</v>
      </c>
    </row>
    <row r="437" ht="15.75" customHeight="1">
      <c r="A437" s="103"/>
      <c r="E437" s="92"/>
      <c r="F437" s="93"/>
      <c r="H437" s="101"/>
      <c r="J437" s="1">
        <v>0.0</v>
      </c>
      <c r="K437" s="1">
        <v>0.0</v>
      </c>
      <c r="L437" s="1">
        <v>0.0</v>
      </c>
      <c r="M437" s="1">
        <v>0.0</v>
      </c>
    </row>
    <row r="438" ht="15.75" customHeight="1">
      <c r="A438" s="103"/>
      <c r="E438" s="92"/>
      <c r="F438" s="93"/>
      <c r="H438" s="101"/>
      <c r="J438" s="1">
        <v>0.0</v>
      </c>
      <c r="K438" s="1">
        <v>0.0</v>
      </c>
      <c r="L438" s="1">
        <v>0.0</v>
      </c>
      <c r="M438" s="1">
        <v>0.0</v>
      </c>
    </row>
    <row r="439" ht="15.75" customHeight="1">
      <c r="E439" s="92"/>
      <c r="F439" s="93"/>
      <c r="G439" s="103" t="s">
        <v>2486</v>
      </c>
      <c r="H439" s="1" t="str">
        <f>VLOOKUP(G439,CotizacionTDB,4,FALSE())</f>
        <v>#N/A</v>
      </c>
      <c r="J439" s="1">
        <v>0.0</v>
      </c>
      <c r="K439" s="1">
        <v>0.0</v>
      </c>
      <c r="L439" s="1">
        <v>0.0</v>
      </c>
      <c r="M439" s="1">
        <v>0.0</v>
      </c>
    </row>
    <row r="440" ht="15.75" customHeight="1">
      <c r="A440" s="103"/>
      <c r="E440" s="92"/>
      <c r="F440" s="93"/>
      <c r="H440" s="101"/>
      <c r="J440" s="1">
        <v>0.0</v>
      </c>
      <c r="K440" s="1">
        <v>0.0</v>
      </c>
      <c r="L440" s="1">
        <v>0.0</v>
      </c>
      <c r="M440" s="1">
        <v>0.0</v>
      </c>
    </row>
    <row r="441" ht="15.75" customHeight="1">
      <c r="A441" s="103"/>
      <c r="E441" s="92"/>
      <c r="F441" s="93"/>
      <c r="H441" s="101"/>
      <c r="J441" s="1">
        <v>0.0</v>
      </c>
      <c r="K441" s="1">
        <v>0.0</v>
      </c>
      <c r="L441" s="1">
        <v>0.0</v>
      </c>
      <c r="M441" s="1">
        <v>0.0</v>
      </c>
    </row>
    <row r="442" ht="15.75" customHeight="1">
      <c r="A442" s="103"/>
      <c r="E442" s="92"/>
      <c r="F442" s="93"/>
      <c r="H442" s="101"/>
      <c r="J442" s="1">
        <v>0.0</v>
      </c>
      <c r="K442" s="1">
        <v>0.0</v>
      </c>
      <c r="L442" s="1">
        <v>0.0</v>
      </c>
      <c r="M442" s="1">
        <v>0.0</v>
      </c>
    </row>
    <row r="443" ht="15.75" customHeight="1">
      <c r="A443" s="103"/>
      <c r="E443" s="92"/>
      <c r="F443" s="93"/>
      <c r="H443" s="101"/>
      <c r="J443" s="1">
        <v>0.0</v>
      </c>
      <c r="K443" s="1">
        <v>0.0</v>
      </c>
      <c r="L443" s="1">
        <v>0.0</v>
      </c>
      <c r="M443" s="1">
        <v>0.0</v>
      </c>
    </row>
    <row r="444" ht="15.75" customHeight="1">
      <c r="A444" s="103"/>
      <c r="E444" s="92"/>
      <c r="F444" s="93"/>
      <c r="H444" s="101"/>
      <c r="J444" s="1">
        <v>0.0</v>
      </c>
      <c r="K444" s="1">
        <v>0.0</v>
      </c>
      <c r="L444" s="1">
        <v>0.0</v>
      </c>
      <c r="M444" s="1">
        <v>0.0</v>
      </c>
    </row>
    <row r="445" ht="15.75" customHeight="1">
      <c r="A445" s="103"/>
      <c r="E445" s="92"/>
      <c r="F445" s="93"/>
      <c r="H445" s="101"/>
      <c r="J445" s="1">
        <v>0.0</v>
      </c>
      <c r="K445" s="1">
        <v>0.0</v>
      </c>
      <c r="L445" s="1">
        <v>0.0</v>
      </c>
      <c r="M445" s="1">
        <v>0.0</v>
      </c>
    </row>
    <row r="446" ht="15.75" customHeight="1">
      <c r="A446" s="103"/>
      <c r="E446" s="92"/>
      <c r="F446" s="93"/>
      <c r="H446" s="101"/>
      <c r="J446" s="1">
        <v>0.0</v>
      </c>
      <c r="K446" s="1">
        <v>0.0</v>
      </c>
      <c r="L446" s="1">
        <v>0.0</v>
      </c>
      <c r="M446" s="1">
        <v>0.0</v>
      </c>
    </row>
    <row r="447" ht="15.75" customHeight="1">
      <c r="A447" s="103"/>
      <c r="E447" s="92"/>
      <c r="F447" s="93"/>
      <c r="H447" s="101"/>
      <c r="J447" s="1">
        <v>0.0</v>
      </c>
      <c r="K447" s="1">
        <v>0.0</v>
      </c>
      <c r="L447" s="1">
        <v>0.0</v>
      </c>
      <c r="M447" s="1">
        <v>0.0</v>
      </c>
    </row>
    <row r="448" ht="15.75" customHeight="1">
      <c r="A448" s="103"/>
      <c r="E448" s="92"/>
      <c r="F448" s="93"/>
      <c r="H448" s="101"/>
      <c r="J448" s="1">
        <v>0.0</v>
      </c>
      <c r="K448" s="1">
        <v>0.0</v>
      </c>
      <c r="L448" s="1">
        <v>0.0</v>
      </c>
      <c r="M448" s="1">
        <v>0.0</v>
      </c>
    </row>
    <row r="449" ht="15.75" customHeight="1">
      <c r="A449" s="103"/>
      <c r="E449" s="92"/>
      <c r="F449" s="93"/>
      <c r="H449" s="101"/>
      <c r="J449" s="1">
        <v>0.0</v>
      </c>
      <c r="K449" s="1">
        <v>0.0</v>
      </c>
      <c r="L449" s="1">
        <v>0.0</v>
      </c>
      <c r="M449" s="1">
        <v>0.0</v>
      </c>
    </row>
    <row r="450" ht="15.75" customHeight="1">
      <c r="A450" s="103"/>
      <c r="E450" s="92"/>
      <c r="F450" s="93"/>
      <c r="H450" s="101"/>
      <c r="J450" s="1">
        <v>0.0</v>
      </c>
      <c r="K450" s="1">
        <v>0.0</v>
      </c>
      <c r="L450" s="1">
        <v>0.0</v>
      </c>
      <c r="M450" s="1">
        <v>0.0</v>
      </c>
    </row>
    <row r="451" ht="15.75" customHeight="1">
      <c r="A451" s="103"/>
      <c r="E451" s="92"/>
      <c r="F451" s="93"/>
      <c r="H451" s="101"/>
      <c r="J451" s="1">
        <v>0.0</v>
      </c>
      <c r="K451" s="1">
        <v>0.0</v>
      </c>
      <c r="L451" s="1">
        <v>0.0</v>
      </c>
      <c r="M451" s="1">
        <v>0.0</v>
      </c>
    </row>
    <row r="452" ht="15.75" customHeight="1">
      <c r="A452" s="103"/>
      <c r="E452" s="92"/>
      <c r="F452" s="93"/>
      <c r="H452" s="101"/>
      <c r="J452" s="1">
        <v>0.0</v>
      </c>
      <c r="K452" s="1">
        <v>0.0</v>
      </c>
      <c r="L452" s="1">
        <v>0.0</v>
      </c>
      <c r="M452" s="1">
        <v>0.0</v>
      </c>
    </row>
    <row r="453" ht="15.75" customHeight="1">
      <c r="A453" s="103"/>
      <c r="E453" s="92"/>
      <c r="F453" s="93"/>
      <c r="H453" s="101"/>
      <c r="J453" s="1">
        <v>0.0</v>
      </c>
      <c r="K453" s="1">
        <v>0.0</v>
      </c>
      <c r="L453" s="1">
        <v>0.0</v>
      </c>
      <c r="M453" s="1">
        <v>0.0</v>
      </c>
    </row>
    <row r="454" ht="15.75" customHeight="1">
      <c r="A454" s="103"/>
      <c r="E454" s="92"/>
      <c r="F454" s="93"/>
      <c r="H454" s="101"/>
      <c r="J454" s="1">
        <v>0.0</v>
      </c>
      <c r="K454" s="1">
        <v>0.0</v>
      </c>
      <c r="L454" s="1">
        <v>0.0</v>
      </c>
      <c r="M454" s="1">
        <v>0.0</v>
      </c>
    </row>
    <row r="455" ht="15.75" customHeight="1">
      <c r="A455" s="103"/>
      <c r="E455" s="92"/>
      <c r="F455" s="93"/>
      <c r="H455" s="101"/>
      <c r="J455" s="1">
        <v>0.0</v>
      </c>
      <c r="K455" s="1">
        <v>0.0</v>
      </c>
      <c r="L455" s="1">
        <v>0.0</v>
      </c>
      <c r="M455" s="1">
        <v>0.0</v>
      </c>
    </row>
    <row r="456" ht="15.75" customHeight="1">
      <c r="A456" s="103"/>
      <c r="E456" s="92"/>
      <c r="F456" s="93"/>
      <c r="H456" s="101"/>
      <c r="J456" s="1">
        <v>0.0</v>
      </c>
      <c r="K456" s="1">
        <v>0.0</v>
      </c>
      <c r="L456" s="1">
        <v>0.0</v>
      </c>
      <c r="M456" s="1">
        <v>0.0</v>
      </c>
    </row>
    <row r="457" ht="15.75" customHeight="1">
      <c r="A457" s="103"/>
      <c r="E457" s="92"/>
      <c r="F457" s="93"/>
      <c r="H457" s="101"/>
      <c r="J457" s="1">
        <v>0.0</v>
      </c>
      <c r="K457" s="1">
        <v>0.0</v>
      </c>
      <c r="L457" s="1">
        <v>0.0</v>
      </c>
      <c r="M457" s="1">
        <v>0.0</v>
      </c>
    </row>
    <row r="458" ht="15.75" customHeight="1">
      <c r="A458" s="103"/>
      <c r="E458" s="93"/>
      <c r="F458" s="93"/>
      <c r="H458" s="101"/>
      <c r="N458" s="1" t="s">
        <v>2487</v>
      </c>
    </row>
    <row r="459" ht="15.75" customHeight="1">
      <c r="A459" s="103" t="s">
        <v>2488</v>
      </c>
      <c r="B459" s="1">
        <v>0.0</v>
      </c>
      <c r="C459" s="1">
        <v>0.0</v>
      </c>
      <c r="D459" s="1">
        <v>0.0</v>
      </c>
      <c r="E459" s="93">
        <v>0.0</v>
      </c>
      <c r="F459" s="93">
        <v>0.0</v>
      </c>
      <c r="G459" s="1">
        <v>0.0</v>
      </c>
      <c r="H459" s="10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</row>
    <row r="460" ht="15.75" customHeight="1">
      <c r="A460" s="103" t="s">
        <v>2488</v>
      </c>
      <c r="B460" s="1">
        <v>0.0</v>
      </c>
      <c r="C460" s="1">
        <v>0.0</v>
      </c>
      <c r="D460" s="1">
        <v>0.0</v>
      </c>
      <c r="E460" s="93">
        <v>0.0</v>
      </c>
      <c r="F460" s="93">
        <v>0.0</v>
      </c>
      <c r="G460" s="1">
        <v>0.0</v>
      </c>
      <c r="H460" s="10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</row>
    <row r="461" ht="15.75" customHeight="1">
      <c r="A461" s="103" t="s">
        <v>2488</v>
      </c>
      <c r="B461" s="1">
        <v>0.0</v>
      </c>
      <c r="C461" s="1">
        <v>0.0</v>
      </c>
      <c r="D461" s="1">
        <v>0.0</v>
      </c>
      <c r="E461" s="93">
        <v>0.0</v>
      </c>
      <c r="F461" s="93">
        <v>0.0</v>
      </c>
      <c r="G461" s="1">
        <v>0.0</v>
      </c>
      <c r="H461" s="10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</row>
    <row r="462" ht="15.75" customHeight="1">
      <c r="A462" s="103" t="s">
        <v>2488</v>
      </c>
      <c r="B462" s="1">
        <v>0.0</v>
      </c>
      <c r="C462" s="1">
        <v>0.0</v>
      </c>
      <c r="D462" s="1">
        <v>0.0</v>
      </c>
      <c r="E462" s="93">
        <v>0.0</v>
      </c>
      <c r="F462" s="93">
        <v>0.0</v>
      </c>
      <c r="G462" s="1">
        <v>0.0</v>
      </c>
      <c r="H462" s="10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</row>
    <row r="463" ht="15.75" customHeight="1">
      <c r="A463" s="103" t="s">
        <v>2488</v>
      </c>
      <c r="B463" s="1">
        <v>0.0</v>
      </c>
      <c r="C463" s="1">
        <v>0.0</v>
      </c>
      <c r="D463" s="1">
        <v>0.0</v>
      </c>
      <c r="E463" s="93">
        <v>0.0</v>
      </c>
      <c r="F463" s="93">
        <v>0.0</v>
      </c>
      <c r="G463" s="1">
        <v>0.0</v>
      </c>
      <c r="H463" s="10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</row>
    <row r="464" ht="15.75" customHeight="1">
      <c r="A464" s="103" t="s">
        <v>2488</v>
      </c>
      <c r="B464" s="1">
        <v>0.0</v>
      </c>
      <c r="C464" s="1">
        <v>0.0</v>
      </c>
      <c r="D464" s="1">
        <v>0.0</v>
      </c>
      <c r="E464" s="93">
        <v>0.0</v>
      </c>
      <c r="F464" s="93">
        <v>0.0</v>
      </c>
      <c r="G464" s="1">
        <v>0.0</v>
      </c>
      <c r="H464" s="10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</row>
    <row r="465" ht="15.75" customHeight="1">
      <c r="A465" s="103" t="s">
        <v>2488</v>
      </c>
      <c r="B465" s="1">
        <v>0.0</v>
      </c>
      <c r="C465" s="1">
        <v>0.0</v>
      </c>
      <c r="D465" s="1">
        <v>0.0</v>
      </c>
      <c r="E465" s="93">
        <v>0.0</v>
      </c>
      <c r="F465" s="93">
        <v>0.0</v>
      </c>
      <c r="G465" s="1">
        <v>0.0</v>
      </c>
      <c r="H465" s="10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</row>
    <row r="466" ht="15.75" customHeight="1">
      <c r="A466" s="103" t="s">
        <v>2488</v>
      </c>
      <c r="B466" s="1">
        <v>0.0</v>
      </c>
      <c r="C466" s="1">
        <v>0.0</v>
      </c>
      <c r="D466" s="1">
        <v>0.0</v>
      </c>
      <c r="E466" s="93">
        <v>0.0</v>
      </c>
      <c r="F466" s="93">
        <v>0.0</v>
      </c>
      <c r="G466" s="1">
        <v>0.0</v>
      </c>
      <c r="H466" s="10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</row>
    <row r="467" ht="15.75" customHeight="1">
      <c r="A467" s="103" t="s">
        <v>2488</v>
      </c>
      <c r="B467" s="1">
        <v>0.0</v>
      </c>
      <c r="C467" s="1">
        <v>0.0</v>
      </c>
      <c r="D467" s="1">
        <v>0.0</v>
      </c>
      <c r="E467" s="93">
        <v>0.0</v>
      </c>
      <c r="F467" s="93">
        <v>0.0</v>
      </c>
      <c r="G467" s="1">
        <v>0.0</v>
      </c>
      <c r="H467" s="10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</row>
    <row r="468" ht="15.75" customHeight="1">
      <c r="A468" s="103" t="s">
        <v>2488</v>
      </c>
      <c r="B468" s="1">
        <v>0.0</v>
      </c>
      <c r="C468" s="1">
        <v>0.0</v>
      </c>
      <c r="D468" s="1">
        <v>0.0</v>
      </c>
      <c r="E468" s="93">
        <v>0.0</v>
      </c>
      <c r="F468" s="93">
        <v>0.0</v>
      </c>
      <c r="G468" s="1">
        <v>0.0</v>
      </c>
      <c r="H468" s="10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</row>
    <row r="469" ht="15.75" customHeight="1">
      <c r="A469" s="103" t="s">
        <v>2488</v>
      </c>
      <c r="B469" s="1">
        <v>0.0</v>
      </c>
      <c r="C469" s="1">
        <v>0.0</v>
      </c>
      <c r="D469" s="1">
        <v>0.0</v>
      </c>
      <c r="E469" s="93">
        <v>0.0</v>
      </c>
      <c r="F469" s="93">
        <v>0.0</v>
      </c>
      <c r="G469" s="1">
        <v>0.0</v>
      </c>
      <c r="H469" s="10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</row>
    <row r="470" ht="15.75" customHeight="1">
      <c r="A470" s="103" t="s">
        <v>2488</v>
      </c>
      <c r="B470" s="1">
        <v>0.0</v>
      </c>
      <c r="C470" s="1">
        <v>0.0</v>
      </c>
      <c r="D470" s="1">
        <v>0.0</v>
      </c>
      <c r="E470" s="93">
        <v>0.0</v>
      </c>
      <c r="F470" s="93">
        <v>0.0</v>
      </c>
      <c r="G470" s="1">
        <v>0.0</v>
      </c>
      <c r="H470" s="10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</row>
    <row r="471" ht="15.75" customHeight="1">
      <c r="A471" s="103" t="s">
        <v>2488</v>
      </c>
      <c r="B471" s="1">
        <v>0.0</v>
      </c>
      <c r="C471" s="1">
        <v>0.0</v>
      </c>
      <c r="D471" s="1">
        <v>0.0</v>
      </c>
      <c r="E471" s="93">
        <v>0.0</v>
      </c>
      <c r="F471" s="93">
        <v>0.0</v>
      </c>
      <c r="G471" s="1">
        <v>0.0</v>
      </c>
      <c r="H471" s="10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</row>
    <row r="472" ht="15.75" customHeight="1">
      <c r="A472" s="103" t="s">
        <v>2488</v>
      </c>
      <c r="B472" s="1">
        <v>0.0</v>
      </c>
      <c r="C472" s="1">
        <v>0.0</v>
      </c>
      <c r="D472" s="1">
        <v>0.0</v>
      </c>
      <c r="E472" s="93">
        <v>0.0</v>
      </c>
      <c r="F472" s="93">
        <v>0.0</v>
      </c>
      <c r="G472" s="1">
        <v>0.0</v>
      </c>
      <c r="H472" s="10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</row>
    <row r="473" ht="15.75" customHeight="1">
      <c r="A473" s="103" t="s">
        <v>2488</v>
      </c>
      <c r="B473" s="1">
        <v>0.0</v>
      </c>
      <c r="C473" s="1">
        <v>0.0</v>
      </c>
      <c r="D473" s="1">
        <v>0.0</v>
      </c>
      <c r="E473" s="93">
        <v>0.0</v>
      </c>
      <c r="F473" s="93">
        <v>0.0</v>
      </c>
      <c r="G473" s="1">
        <v>0.0</v>
      </c>
      <c r="H473" s="10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</row>
    <row r="474" ht="15.75" customHeight="1">
      <c r="A474" s="103" t="s">
        <v>2488</v>
      </c>
      <c r="B474" s="1">
        <v>0.0</v>
      </c>
      <c r="C474" s="1">
        <v>0.0</v>
      </c>
      <c r="D474" s="1">
        <v>0.0</v>
      </c>
      <c r="E474" s="93">
        <v>0.0</v>
      </c>
      <c r="F474" s="93">
        <v>0.0</v>
      </c>
      <c r="G474" s="1">
        <v>0.0</v>
      </c>
      <c r="H474" s="10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</row>
    <row r="475" ht="15.75" customHeight="1">
      <c r="A475" s="103" t="s">
        <v>2488</v>
      </c>
      <c r="B475" s="1">
        <v>0.0</v>
      </c>
      <c r="C475" s="1">
        <v>0.0</v>
      </c>
      <c r="D475" s="1">
        <v>0.0</v>
      </c>
      <c r="E475" s="93">
        <v>0.0</v>
      </c>
      <c r="F475" s="93">
        <v>0.0</v>
      </c>
      <c r="G475" s="1">
        <v>0.0</v>
      </c>
      <c r="H475" s="10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</row>
    <row r="476" ht="15.75" customHeight="1">
      <c r="A476" s="103" t="s">
        <v>2488</v>
      </c>
      <c r="B476" s="1">
        <v>0.0</v>
      </c>
      <c r="C476" s="1">
        <v>0.0</v>
      </c>
      <c r="D476" s="1">
        <v>0.0</v>
      </c>
      <c r="E476" s="93">
        <v>0.0</v>
      </c>
      <c r="F476" s="93">
        <v>0.0</v>
      </c>
      <c r="G476" s="1">
        <v>0.0</v>
      </c>
      <c r="H476" s="10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</row>
    <row r="477" ht="15.75" customHeight="1">
      <c r="A477" s="103" t="s">
        <v>2488</v>
      </c>
      <c r="B477" s="1">
        <v>0.0</v>
      </c>
      <c r="C477" s="1">
        <v>0.0</v>
      </c>
      <c r="D477" s="1">
        <v>0.0</v>
      </c>
      <c r="E477" s="93">
        <v>0.0</v>
      </c>
      <c r="F477" s="93">
        <v>0.0</v>
      </c>
      <c r="G477" s="1">
        <v>0.0</v>
      </c>
      <c r="H477" s="10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</row>
    <row r="478" ht="15.75" customHeight="1">
      <c r="A478" s="103" t="s">
        <v>2488</v>
      </c>
      <c r="B478" s="1">
        <v>0.0</v>
      </c>
      <c r="C478" s="1">
        <v>0.0</v>
      </c>
      <c r="D478" s="1">
        <v>0.0</v>
      </c>
      <c r="E478" s="93">
        <v>0.0</v>
      </c>
      <c r="F478" s="93">
        <v>0.0</v>
      </c>
      <c r="G478" s="1">
        <v>0.0</v>
      </c>
      <c r="H478" s="10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</row>
    <row r="479" ht="15.75" customHeight="1">
      <c r="A479" s="103" t="s">
        <v>2488</v>
      </c>
      <c r="B479" s="1">
        <v>0.0</v>
      </c>
      <c r="C479" s="1">
        <v>0.0</v>
      </c>
      <c r="D479" s="1">
        <v>0.0</v>
      </c>
      <c r="E479" s="93">
        <v>0.0</v>
      </c>
      <c r="F479" s="93">
        <v>0.0</v>
      </c>
      <c r="G479" s="1">
        <v>0.0</v>
      </c>
      <c r="H479" s="10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</row>
    <row r="480" ht="15.75" customHeight="1">
      <c r="A480" s="103" t="s">
        <v>2488</v>
      </c>
      <c r="B480" s="1">
        <v>0.0</v>
      </c>
      <c r="C480" s="1">
        <v>0.0</v>
      </c>
      <c r="D480" s="1">
        <v>0.0</v>
      </c>
      <c r="E480" s="93">
        <v>0.0</v>
      </c>
      <c r="F480" s="93">
        <v>0.0</v>
      </c>
      <c r="G480" s="1">
        <v>0.0</v>
      </c>
      <c r="H480" s="10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</row>
    <row r="481" ht="15.75" customHeight="1">
      <c r="A481" s="103" t="s">
        <v>2488</v>
      </c>
      <c r="B481" s="1">
        <v>0.0</v>
      </c>
      <c r="C481" s="1">
        <v>0.0</v>
      </c>
      <c r="D481" s="1">
        <v>0.0</v>
      </c>
      <c r="E481" s="93">
        <v>0.0</v>
      </c>
      <c r="F481" s="93">
        <v>0.0</v>
      </c>
      <c r="G481" s="1">
        <v>0.0</v>
      </c>
      <c r="H481" s="10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</row>
    <row r="482" ht="15.75" customHeight="1">
      <c r="A482" s="103" t="s">
        <v>2488</v>
      </c>
      <c r="B482" s="1">
        <v>0.0</v>
      </c>
      <c r="C482" s="1">
        <v>0.0</v>
      </c>
      <c r="D482" s="1">
        <v>0.0</v>
      </c>
      <c r="E482" s="93">
        <v>0.0</v>
      </c>
      <c r="F482" s="93">
        <v>0.0</v>
      </c>
      <c r="G482" s="1">
        <v>0.0</v>
      </c>
      <c r="H482" s="10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</row>
    <row r="483" ht="15.75" customHeight="1">
      <c r="A483" s="103" t="s">
        <v>2488</v>
      </c>
      <c r="B483" s="1">
        <v>0.0</v>
      </c>
      <c r="C483" s="1">
        <v>0.0</v>
      </c>
      <c r="D483" s="1">
        <v>0.0</v>
      </c>
      <c r="E483" s="93">
        <v>0.0</v>
      </c>
      <c r="F483" s="93">
        <v>0.0</v>
      </c>
      <c r="G483" s="1">
        <v>0.0</v>
      </c>
      <c r="H483" s="10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</row>
    <row r="484" ht="15.75" customHeight="1">
      <c r="A484" s="103" t="s">
        <v>2488</v>
      </c>
      <c r="B484" s="1">
        <v>0.0</v>
      </c>
      <c r="C484" s="1">
        <v>0.0</v>
      </c>
      <c r="D484" s="1">
        <v>0.0</v>
      </c>
      <c r="E484" s="93">
        <v>0.0</v>
      </c>
      <c r="F484" s="93">
        <v>0.0</v>
      </c>
      <c r="G484" s="1">
        <v>0.0</v>
      </c>
      <c r="H484" s="10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</row>
    <row r="485" ht="15.75" customHeight="1">
      <c r="A485" s="103" t="s">
        <v>2488</v>
      </c>
      <c r="B485" s="1">
        <v>0.0</v>
      </c>
      <c r="C485" s="1">
        <v>0.0</v>
      </c>
      <c r="D485" s="1">
        <v>0.0</v>
      </c>
      <c r="E485" s="93">
        <v>0.0</v>
      </c>
      <c r="F485" s="93">
        <v>0.0</v>
      </c>
      <c r="G485" s="1">
        <v>0.0</v>
      </c>
      <c r="H485" s="10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</row>
    <row r="486" ht="15.75" customHeight="1">
      <c r="A486" s="103" t="s">
        <v>2488</v>
      </c>
      <c r="B486" s="1">
        <v>0.0</v>
      </c>
      <c r="C486" s="1">
        <v>0.0</v>
      </c>
      <c r="D486" s="1">
        <v>0.0</v>
      </c>
      <c r="E486" s="93">
        <v>0.0</v>
      </c>
      <c r="F486" s="93">
        <v>0.0</v>
      </c>
      <c r="G486" s="1">
        <v>0.0</v>
      </c>
      <c r="H486" s="10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</row>
    <row r="487" ht="15.75" customHeight="1">
      <c r="A487" s="103" t="s">
        <v>2488</v>
      </c>
      <c r="B487" s="1">
        <v>0.0</v>
      </c>
      <c r="C487" s="1">
        <v>0.0</v>
      </c>
      <c r="D487" s="1">
        <v>0.0</v>
      </c>
      <c r="E487" s="93">
        <v>0.0</v>
      </c>
      <c r="F487" s="93">
        <v>0.0</v>
      </c>
      <c r="G487" s="1">
        <v>0.0</v>
      </c>
      <c r="H487" s="10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</row>
    <row r="488" ht="15.75" customHeight="1">
      <c r="A488" s="103" t="s">
        <v>2488</v>
      </c>
      <c r="B488" s="1">
        <v>0.0</v>
      </c>
      <c r="C488" s="1">
        <v>0.0</v>
      </c>
      <c r="D488" s="1">
        <v>0.0</v>
      </c>
      <c r="E488" s="93">
        <v>0.0</v>
      </c>
      <c r="F488" s="93">
        <v>0.0</v>
      </c>
      <c r="G488" s="1">
        <v>0.0</v>
      </c>
      <c r="H488" s="10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</row>
    <row r="489" ht="15.75" customHeight="1">
      <c r="A489" s="103" t="s">
        <v>2488</v>
      </c>
      <c r="B489" s="1">
        <v>0.0</v>
      </c>
      <c r="C489" s="1">
        <v>0.0</v>
      </c>
      <c r="D489" s="1">
        <v>0.0</v>
      </c>
      <c r="E489" s="93">
        <v>0.0</v>
      </c>
      <c r="F489" s="93">
        <v>0.0</v>
      </c>
      <c r="G489" s="1">
        <v>0.0</v>
      </c>
      <c r="H489" s="10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</row>
    <row r="490" ht="15.75" customHeight="1">
      <c r="A490" s="103" t="s">
        <v>2488</v>
      </c>
      <c r="B490" s="1">
        <v>0.0</v>
      </c>
      <c r="C490" s="1">
        <v>0.0</v>
      </c>
      <c r="D490" s="1">
        <v>0.0</v>
      </c>
      <c r="E490" s="93">
        <v>0.0</v>
      </c>
      <c r="F490" s="93">
        <v>0.0</v>
      </c>
      <c r="G490" s="1">
        <v>0.0</v>
      </c>
      <c r="H490" s="10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</row>
    <row r="491" ht="15.75" customHeight="1">
      <c r="A491" s="103" t="s">
        <v>2488</v>
      </c>
      <c r="B491" s="1">
        <v>0.0</v>
      </c>
      <c r="C491" s="1">
        <v>0.0</v>
      </c>
      <c r="D491" s="1">
        <v>0.0</v>
      </c>
      <c r="E491" s="93">
        <v>0.0</v>
      </c>
      <c r="F491" s="93">
        <v>0.0</v>
      </c>
      <c r="G491" s="1">
        <v>0.0</v>
      </c>
      <c r="H491" s="10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</row>
    <row r="492" ht="15.75" customHeight="1">
      <c r="A492" s="103" t="s">
        <v>2488</v>
      </c>
      <c r="B492" s="1">
        <v>0.0</v>
      </c>
      <c r="C492" s="1">
        <v>0.0</v>
      </c>
      <c r="D492" s="1">
        <v>0.0</v>
      </c>
      <c r="E492" s="93">
        <v>0.0</v>
      </c>
      <c r="F492" s="93">
        <v>0.0</v>
      </c>
      <c r="G492" s="1">
        <v>0.0</v>
      </c>
      <c r="H492" s="10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</row>
    <row r="493" ht="15.75" customHeight="1">
      <c r="A493" s="103" t="s">
        <v>2488</v>
      </c>
      <c r="B493" s="1">
        <v>0.0</v>
      </c>
      <c r="C493" s="1">
        <v>0.0</v>
      </c>
      <c r="D493" s="1">
        <v>0.0</v>
      </c>
      <c r="E493" s="93">
        <v>0.0</v>
      </c>
      <c r="F493" s="93">
        <v>0.0</v>
      </c>
      <c r="G493" s="1">
        <v>0.0</v>
      </c>
      <c r="H493" s="10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</row>
    <row r="494" ht="15.75" customHeight="1">
      <c r="A494" s="103" t="s">
        <v>2488</v>
      </c>
      <c r="B494" s="1">
        <v>0.0</v>
      </c>
      <c r="C494" s="1">
        <v>0.0</v>
      </c>
      <c r="D494" s="1">
        <v>0.0</v>
      </c>
      <c r="E494" s="93">
        <v>0.0</v>
      </c>
      <c r="F494" s="93">
        <v>0.0</v>
      </c>
      <c r="G494" s="1">
        <v>0.0</v>
      </c>
      <c r="H494" s="10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</row>
    <row r="495" ht="15.75" customHeight="1">
      <c r="A495" s="103" t="s">
        <v>2488</v>
      </c>
      <c r="B495" s="1">
        <v>0.0</v>
      </c>
      <c r="C495" s="1">
        <v>0.0</v>
      </c>
      <c r="D495" s="1">
        <v>0.0</v>
      </c>
      <c r="E495" s="93">
        <v>0.0</v>
      </c>
      <c r="F495" s="93">
        <v>0.0</v>
      </c>
      <c r="G495" s="1">
        <v>0.0</v>
      </c>
      <c r="H495" s="10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</row>
    <row r="496" ht="15.75" customHeight="1">
      <c r="A496" s="103" t="s">
        <v>2488</v>
      </c>
      <c r="B496" s="1">
        <v>0.0</v>
      </c>
      <c r="C496" s="1">
        <v>0.0</v>
      </c>
      <c r="D496" s="1">
        <v>0.0</v>
      </c>
      <c r="E496" s="93">
        <v>0.0</v>
      </c>
      <c r="F496" s="93">
        <v>0.0</v>
      </c>
      <c r="G496" s="1">
        <v>0.0</v>
      </c>
      <c r="H496" s="10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</row>
    <row r="497" ht="15.75" customHeight="1">
      <c r="A497" s="103" t="s">
        <v>2488</v>
      </c>
      <c r="B497" s="1">
        <v>0.0</v>
      </c>
      <c r="C497" s="1">
        <v>0.0</v>
      </c>
      <c r="D497" s="1">
        <v>0.0</v>
      </c>
      <c r="E497" s="93">
        <v>0.0</v>
      </c>
      <c r="F497" s="93">
        <v>0.0</v>
      </c>
      <c r="G497" s="1">
        <v>0.0</v>
      </c>
      <c r="H497" s="10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</row>
    <row r="498" ht="15.75" customHeight="1">
      <c r="A498" s="103" t="s">
        <v>2488</v>
      </c>
      <c r="B498" s="1">
        <v>0.0</v>
      </c>
      <c r="C498" s="1">
        <v>0.0</v>
      </c>
      <c r="D498" s="1">
        <v>0.0</v>
      </c>
      <c r="E498" s="93">
        <v>0.0</v>
      </c>
      <c r="F498" s="93">
        <v>0.0</v>
      </c>
      <c r="G498" s="1">
        <v>0.0</v>
      </c>
      <c r="H498" s="10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</row>
    <row r="499" ht="15.75" customHeight="1">
      <c r="A499" s="103" t="s">
        <v>2488</v>
      </c>
      <c r="B499" s="1">
        <v>0.0</v>
      </c>
      <c r="C499" s="1">
        <v>0.0</v>
      </c>
      <c r="D499" s="1">
        <v>0.0</v>
      </c>
      <c r="E499" s="93">
        <v>0.0</v>
      </c>
      <c r="F499" s="93">
        <v>0.0</v>
      </c>
      <c r="G499" s="1">
        <v>0.0</v>
      </c>
      <c r="H499" s="10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</row>
    <row r="500" ht="15.75" customHeight="1">
      <c r="A500" s="103" t="s">
        <v>2488</v>
      </c>
      <c r="B500" s="1">
        <v>0.0</v>
      </c>
      <c r="C500" s="1">
        <v>0.0</v>
      </c>
      <c r="D500" s="1">
        <v>0.0</v>
      </c>
      <c r="E500" s="93">
        <v>0.0</v>
      </c>
      <c r="F500" s="93">
        <v>0.0</v>
      </c>
      <c r="G500" s="1">
        <v>0.0</v>
      </c>
      <c r="H500" s="10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</row>
    <row r="501" ht="15.75" customHeight="1">
      <c r="A501" s="103" t="s">
        <v>2488</v>
      </c>
      <c r="B501" s="1">
        <v>0.0</v>
      </c>
      <c r="C501" s="1">
        <v>0.0</v>
      </c>
      <c r="D501" s="1">
        <v>0.0</v>
      </c>
      <c r="E501" s="93">
        <v>0.0</v>
      </c>
      <c r="F501" s="93">
        <v>0.0</v>
      </c>
      <c r="G501" s="1">
        <v>0.0</v>
      </c>
      <c r="H501" s="10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</row>
    <row r="502" ht="15.75" customHeight="1">
      <c r="A502" s="103" t="s">
        <v>2488</v>
      </c>
      <c r="B502" s="1">
        <v>0.0</v>
      </c>
      <c r="C502" s="1">
        <v>0.0</v>
      </c>
      <c r="D502" s="1">
        <v>0.0</v>
      </c>
      <c r="E502" s="93">
        <v>0.0</v>
      </c>
      <c r="F502" s="93">
        <v>0.0</v>
      </c>
      <c r="G502" s="1">
        <v>0.0</v>
      </c>
      <c r="H502" s="10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</row>
    <row r="503" ht="15.75" customHeight="1">
      <c r="A503" s="103" t="s">
        <v>2488</v>
      </c>
      <c r="B503" s="1">
        <v>0.0</v>
      </c>
      <c r="C503" s="1">
        <v>0.0</v>
      </c>
      <c r="D503" s="1">
        <v>0.0</v>
      </c>
      <c r="E503" s="93">
        <v>0.0</v>
      </c>
      <c r="F503" s="93">
        <v>0.0</v>
      </c>
      <c r="G503" s="1">
        <v>0.0</v>
      </c>
      <c r="H503" s="10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</row>
    <row r="504" ht="15.75" customHeight="1">
      <c r="A504" s="103" t="s">
        <v>2488</v>
      </c>
      <c r="B504" s="1">
        <v>0.0</v>
      </c>
      <c r="C504" s="1">
        <v>0.0</v>
      </c>
      <c r="D504" s="1">
        <v>0.0</v>
      </c>
      <c r="E504" s="93">
        <v>0.0</v>
      </c>
      <c r="F504" s="93">
        <v>0.0</v>
      </c>
      <c r="G504" s="1">
        <v>0.0</v>
      </c>
      <c r="H504" s="10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</row>
    <row r="505" ht="15.75" customHeight="1">
      <c r="A505" s="103" t="s">
        <v>2488</v>
      </c>
      <c r="B505" s="1">
        <v>0.0</v>
      </c>
      <c r="C505" s="1">
        <v>0.0</v>
      </c>
      <c r="D505" s="1">
        <v>0.0</v>
      </c>
      <c r="E505" s="93">
        <v>0.0</v>
      </c>
      <c r="F505" s="93">
        <v>0.0</v>
      </c>
      <c r="G505" s="1">
        <v>0.0</v>
      </c>
      <c r="H505" s="10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</row>
    <row r="506" ht="15.75" customHeight="1">
      <c r="A506" s="103" t="s">
        <v>2488</v>
      </c>
      <c r="B506" s="1">
        <v>0.0</v>
      </c>
      <c r="C506" s="1">
        <v>0.0</v>
      </c>
      <c r="D506" s="1">
        <v>0.0</v>
      </c>
      <c r="E506" s="93">
        <v>0.0</v>
      </c>
      <c r="F506" s="93">
        <v>0.0</v>
      </c>
      <c r="G506" s="1">
        <v>0.0</v>
      </c>
      <c r="H506" s="10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</row>
    <row r="507" ht="15.75" customHeight="1">
      <c r="A507" s="103" t="s">
        <v>2488</v>
      </c>
      <c r="B507" s="1">
        <v>0.0</v>
      </c>
      <c r="C507" s="1">
        <v>0.0</v>
      </c>
      <c r="D507" s="1">
        <v>0.0</v>
      </c>
      <c r="E507" s="93">
        <v>0.0</v>
      </c>
      <c r="F507" s="93">
        <v>0.0</v>
      </c>
      <c r="G507" s="1">
        <v>0.0</v>
      </c>
      <c r="H507" s="10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</row>
    <row r="508" ht="15.75" customHeight="1">
      <c r="A508" s="103" t="s">
        <v>2488</v>
      </c>
      <c r="B508" s="1">
        <v>0.0</v>
      </c>
      <c r="C508" s="1">
        <v>0.0</v>
      </c>
      <c r="D508" s="1">
        <v>0.0</v>
      </c>
      <c r="E508" s="93">
        <v>0.0</v>
      </c>
      <c r="F508" s="93">
        <v>0.0</v>
      </c>
      <c r="G508" s="1">
        <v>0.0</v>
      </c>
      <c r="H508" s="10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</row>
    <row r="509" ht="15.75" customHeight="1">
      <c r="A509" s="103" t="s">
        <v>2488</v>
      </c>
      <c r="B509" s="1">
        <v>0.0</v>
      </c>
      <c r="C509" s="1">
        <v>0.0</v>
      </c>
      <c r="D509" s="1">
        <v>0.0</v>
      </c>
      <c r="E509" s="93">
        <v>0.0</v>
      </c>
      <c r="F509" s="93">
        <v>0.0</v>
      </c>
      <c r="G509" s="1">
        <v>0.0</v>
      </c>
      <c r="H509" s="10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</row>
    <row r="510" ht="15.75" customHeight="1">
      <c r="A510" s="103" t="s">
        <v>2488</v>
      </c>
      <c r="B510" s="1">
        <v>0.0</v>
      </c>
      <c r="C510" s="1">
        <v>0.0</v>
      </c>
      <c r="D510" s="1">
        <v>0.0</v>
      </c>
      <c r="E510" s="93">
        <v>0.0</v>
      </c>
      <c r="F510" s="93">
        <v>0.0</v>
      </c>
      <c r="G510" s="1">
        <v>0.0</v>
      </c>
      <c r="H510" s="10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</row>
    <row r="511" ht="15.75" customHeight="1">
      <c r="A511" s="103" t="s">
        <v>2488</v>
      </c>
      <c r="B511" s="1">
        <v>0.0</v>
      </c>
      <c r="C511" s="1">
        <v>0.0</v>
      </c>
      <c r="D511" s="1">
        <v>0.0</v>
      </c>
      <c r="E511" s="93">
        <v>0.0</v>
      </c>
      <c r="F511" s="93">
        <v>0.0</v>
      </c>
      <c r="G511" s="1">
        <v>0.0</v>
      </c>
      <c r="H511" s="10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</row>
    <row r="512" ht="15.75" customHeight="1">
      <c r="A512" s="103" t="s">
        <v>2488</v>
      </c>
      <c r="B512" s="1">
        <v>0.0</v>
      </c>
      <c r="C512" s="1">
        <v>0.0</v>
      </c>
      <c r="D512" s="1">
        <v>0.0</v>
      </c>
      <c r="E512" s="93">
        <v>0.0</v>
      </c>
      <c r="F512" s="93">
        <v>0.0</v>
      </c>
      <c r="G512" s="1">
        <v>0.0</v>
      </c>
      <c r="H512" s="10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</row>
    <row r="513" ht="15.75" customHeight="1">
      <c r="A513" s="103" t="s">
        <v>2488</v>
      </c>
      <c r="B513" s="1">
        <v>0.0</v>
      </c>
      <c r="C513" s="1">
        <v>0.0</v>
      </c>
      <c r="D513" s="1">
        <v>0.0</v>
      </c>
      <c r="E513" s="93">
        <v>0.0</v>
      </c>
      <c r="F513" s="93">
        <v>0.0</v>
      </c>
      <c r="G513" s="1">
        <v>0.0</v>
      </c>
      <c r="H513" s="10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</row>
    <row r="514" ht="15.75" customHeight="1">
      <c r="A514" s="103" t="s">
        <v>2488</v>
      </c>
      <c r="B514" s="1">
        <v>0.0</v>
      </c>
      <c r="C514" s="1">
        <v>0.0</v>
      </c>
      <c r="D514" s="1">
        <v>0.0</v>
      </c>
      <c r="E514" s="93">
        <v>0.0</v>
      </c>
      <c r="F514" s="93">
        <v>0.0</v>
      </c>
      <c r="G514" s="1">
        <v>0.0</v>
      </c>
      <c r="H514" s="10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</row>
    <row r="515" ht="15.75" customHeight="1">
      <c r="A515" s="103" t="s">
        <v>2488</v>
      </c>
      <c r="B515" s="1">
        <v>0.0</v>
      </c>
      <c r="C515" s="1">
        <v>0.0</v>
      </c>
      <c r="D515" s="1">
        <v>0.0</v>
      </c>
      <c r="E515" s="93">
        <v>0.0</v>
      </c>
      <c r="F515" s="93">
        <v>0.0</v>
      </c>
      <c r="G515" s="1">
        <v>0.0</v>
      </c>
      <c r="H515" s="10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</row>
    <row r="516" ht="15.75" customHeight="1">
      <c r="A516" s="103" t="s">
        <v>2488</v>
      </c>
      <c r="B516" s="1">
        <v>0.0</v>
      </c>
      <c r="C516" s="1">
        <v>0.0</v>
      </c>
      <c r="D516" s="1">
        <v>0.0</v>
      </c>
      <c r="E516" s="93">
        <v>0.0</v>
      </c>
      <c r="F516" s="93">
        <v>0.0</v>
      </c>
      <c r="G516" s="1">
        <v>0.0</v>
      </c>
      <c r="H516" s="10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</row>
    <row r="517" ht="15.75" customHeight="1">
      <c r="A517" s="103" t="s">
        <v>2488</v>
      </c>
      <c r="B517" s="1">
        <v>0.0</v>
      </c>
      <c r="C517" s="1">
        <v>0.0</v>
      </c>
      <c r="D517" s="1">
        <v>0.0</v>
      </c>
      <c r="E517" s="93">
        <v>0.0</v>
      </c>
      <c r="F517" s="93">
        <v>0.0</v>
      </c>
      <c r="G517" s="1">
        <v>0.0</v>
      </c>
      <c r="H517" s="10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</row>
    <row r="518" ht="15.75" customHeight="1">
      <c r="A518" s="103" t="s">
        <v>2488</v>
      </c>
      <c r="B518" s="1">
        <v>0.0</v>
      </c>
      <c r="C518" s="1">
        <v>0.0</v>
      </c>
      <c r="D518" s="1">
        <v>0.0</v>
      </c>
      <c r="E518" s="93">
        <v>0.0</v>
      </c>
      <c r="F518" s="93">
        <v>0.0</v>
      </c>
      <c r="G518" s="1">
        <v>0.0</v>
      </c>
      <c r="H518" s="10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</row>
    <row r="519" ht="15.75" customHeight="1">
      <c r="A519" s="103" t="s">
        <v>2488</v>
      </c>
      <c r="B519" s="1">
        <v>0.0</v>
      </c>
      <c r="C519" s="1">
        <v>0.0</v>
      </c>
      <c r="D519" s="1">
        <v>0.0</v>
      </c>
      <c r="E519" s="93">
        <v>0.0</v>
      </c>
      <c r="F519" s="93">
        <v>0.0</v>
      </c>
      <c r="G519" s="1">
        <v>0.0</v>
      </c>
      <c r="H519" s="10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</row>
    <row r="520" ht="15.75" customHeight="1">
      <c r="A520" s="103" t="s">
        <v>2488</v>
      </c>
      <c r="B520" s="1">
        <v>0.0</v>
      </c>
      <c r="C520" s="1">
        <v>0.0</v>
      </c>
      <c r="D520" s="1">
        <v>0.0</v>
      </c>
      <c r="E520" s="93">
        <v>0.0</v>
      </c>
      <c r="F520" s="93">
        <v>0.0</v>
      </c>
      <c r="G520" s="1">
        <v>0.0</v>
      </c>
      <c r="H520" s="10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</row>
    <row r="521" ht="15.75" customHeight="1">
      <c r="A521" s="103" t="s">
        <v>2488</v>
      </c>
      <c r="B521" s="1">
        <v>0.0</v>
      </c>
      <c r="C521" s="1">
        <v>0.0</v>
      </c>
      <c r="D521" s="1">
        <v>0.0</v>
      </c>
      <c r="E521" s="93">
        <v>0.0</v>
      </c>
      <c r="F521" s="93">
        <v>0.0</v>
      </c>
      <c r="G521" s="1">
        <v>0.0</v>
      </c>
      <c r="H521" s="10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</row>
    <row r="522" ht="15.75" customHeight="1">
      <c r="A522" s="103" t="s">
        <v>2488</v>
      </c>
      <c r="B522" s="1">
        <v>0.0</v>
      </c>
      <c r="C522" s="1">
        <v>0.0</v>
      </c>
      <c r="D522" s="1">
        <v>0.0</v>
      </c>
      <c r="E522" s="93">
        <v>0.0</v>
      </c>
      <c r="F522" s="93">
        <v>0.0</v>
      </c>
      <c r="G522" s="1">
        <v>0.0</v>
      </c>
      <c r="H522" s="10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</row>
    <row r="523" ht="15.75" customHeight="1">
      <c r="A523" s="103" t="s">
        <v>2488</v>
      </c>
      <c r="B523" s="1">
        <v>0.0</v>
      </c>
      <c r="C523" s="1">
        <v>0.0</v>
      </c>
      <c r="D523" s="1">
        <v>0.0</v>
      </c>
      <c r="E523" s="93">
        <v>0.0</v>
      </c>
      <c r="F523" s="93">
        <v>0.0</v>
      </c>
      <c r="G523" s="1">
        <v>0.0</v>
      </c>
      <c r="H523" s="10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</row>
    <row r="524" ht="15.75" customHeight="1">
      <c r="A524" s="103" t="s">
        <v>2488</v>
      </c>
      <c r="B524" s="1">
        <v>0.0</v>
      </c>
      <c r="C524" s="1">
        <v>0.0</v>
      </c>
      <c r="D524" s="1">
        <v>0.0</v>
      </c>
      <c r="E524" s="93">
        <v>0.0</v>
      </c>
      <c r="F524" s="93">
        <v>0.0</v>
      </c>
      <c r="G524" s="1">
        <v>0.0</v>
      </c>
      <c r="H524" s="10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</row>
    <row r="525" ht="15.75" customHeight="1">
      <c r="A525" s="103" t="s">
        <v>2488</v>
      </c>
      <c r="B525" s="1">
        <v>0.0</v>
      </c>
      <c r="C525" s="1">
        <v>0.0</v>
      </c>
      <c r="D525" s="1">
        <v>0.0</v>
      </c>
      <c r="E525" s="93">
        <v>0.0</v>
      </c>
      <c r="F525" s="93">
        <v>0.0</v>
      </c>
      <c r="G525" s="1">
        <v>0.0</v>
      </c>
      <c r="H525" s="10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</row>
    <row r="526" ht="15.75" customHeight="1">
      <c r="A526" s="103" t="s">
        <v>2488</v>
      </c>
      <c r="B526" s="1">
        <v>0.0</v>
      </c>
      <c r="C526" s="1">
        <v>0.0</v>
      </c>
      <c r="D526" s="1">
        <v>0.0</v>
      </c>
      <c r="E526" s="93">
        <v>0.0</v>
      </c>
      <c r="F526" s="93">
        <v>0.0</v>
      </c>
      <c r="G526" s="1">
        <v>0.0</v>
      </c>
      <c r="H526" s="10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</row>
    <row r="527" ht="15.75" customHeight="1">
      <c r="A527" s="103" t="s">
        <v>2488</v>
      </c>
      <c r="B527" s="1">
        <v>0.0</v>
      </c>
      <c r="C527" s="1">
        <v>0.0</v>
      </c>
      <c r="D527" s="1">
        <v>0.0</v>
      </c>
      <c r="E527" s="93">
        <v>0.0</v>
      </c>
      <c r="F527" s="93">
        <v>0.0</v>
      </c>
      <c r="G527" s="1">
        <v>0.0</v>
      </c>
      <c r="H527" s="10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</row>
    <row r="528" ht="15.75" customHeight="1">
      <c r="A528" s="103" t="s">
        <v>2488</v>
      </c>
      <c r="B528" s="1">
        <v>0.0</v>
      </c>
      <c r="C528" s="1">
        <v>0.0</v>
      </c>
      <c r="D528" s="1">
        <v>0.0</v>
      </c>
      <c r="E528" s="93">
        <v>0.0</v>
      </c>
      <c r="F528" s="93">
        <v>0.0</v>
      </c>
      <c r="G528" s="1">
        <v>0.0</v>
      </c>
      <c r="H528" s="10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</row>
    <row r="529" ht="15.75" customHeight="1">
      <c r="A529" s="103" t="s">
        <v>2488</v>
      </c>
      <c r="B529" s="1">
        <v>0.0</v>
      </c>
      <c r="C529" s="1">
        <v>0.0</v>
      </c>
      <c r="D529" s="1">
        <v>0.0</v>
      </c>
      <c r="E529" s="93">
        <v>0.0</v>
      </c>
      <c r="F529" s="93">
        <v>0.0</v>
      </c>
      <c r="G529" s="1">
        <v>0.0</v>
      </c>
      <c r="H529" s="10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</row>
    <row r="530" ht="15.75" customHeight="1">
      <c r="A530" s="103" t="s">
        <v>2488</v>
      </c>
      <c r="B530" s="1">
        <v>0.0</v>
      </c>
      <c r="C530" s="1">
        <v>0.0</v>
      </c>
      <c r="D530" s="1">
        <v>0.0</v>
      </c>
      <c r="E530" s="93">
        <v>0.0</v>
      </c>
      <c r="F530" s="93">
        <v>0.0</v>
      </c>
      <c r="G530" s="1">
        <v>0.0</v>
      </c>
      <c r="H530" s="10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</row>
    <row r="531" ht="15.75" customHeight="1">
      <c r="A531" s="103" t="s">
        <v>2488</v>
      </c>
      <c r="B531" s="1">
        <v>0.0</v>
      </c>
      <c r="C531" s="1">
        <v>0.0</v>
      </c>
      <c r="D531" s="1">
        <v>0.0</v>
      </c>
      <c r="E531" s="93">
        <v>0.0</v>
      </c>
      <c r="F531" s="93">
        <v>0.0</v>
      </c>
      <c r="G531" s="1">
        <v>0.0</v>
      </c>
      <c r="H531" s="10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</row>
    <row r="532" ht="15.75" customHeight="1">
      <c r="A532" s="103" t="s">
        <v>2488</v>
      </c>
      <c r="B532" s="1">
        <v>0.0</v>
      </c>
      <c r="C532" s="1">
        <v>0.0</v>
      </c>
      <c r="D532" s="1">
        <v>0.0</v>
      </c>
      <c r="E532" s="93">
        <v>0.0</v>
      </c>
      <c r="F532" s="93">
        <v>0.0</v>
      </c>
      <c r="G532" s="1">
        <v>0.0</v>
      </c>
      <c r="H532" s="10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</row>
    <row r="533" ht="15.75" customHeight="1">
      <c r="A533" s="103" t="s">
        <v>2488</v>
      </c>
      <c r="B533" s="1">
        <v>0.0</v>
      </c>
      <c r="C533" s="1">
        <v>0.0</v>
      </c>
      <c r="D533" s="1">
        <v>0.0</v>
      </c>
      <c r="E533" s="93">
        <v>0.0</v>
      </c>
      <c r="F533" s="93">
        <v>0.0</v>
      </c>
      <c r="G533" s="1">
        <v>0.0</v>
      </c>
      <c r="H533" s="10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</row>
    <row r="534" ht="15.75" customHeight="1">
      <c r="A534" s="103" t="s">
        <v>2488</v>
      </c>
      <c r="B534" s="1">
        <v>0.0</v>
      </c>
      <c r="C534" s="1">
        <v>0.0</v>
      </c>
      <c r="D534" s="1">
        <v>0.0</v>
      </c>
      <c r="E534" s="93">
        <v>0.0</v>
      </c>
      <c r="F534" s="93">
        <v>0.0</v>
      </c>
      <c r="G534" s="1">
        <v>0.0</v>
      </c>
      <c r="H534" s="10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</row>
    <row r="535" ht="15.75" customHeight="1">
      <c r="A535" s="103" t="s">
        <v>2488</v>
      </c>
      <c r="B535" s="1">
        <v>0.0</v>
      </c>
      <c r="C535" s="1">
        <v>0.0</v>
      </c>
      <c r="D535" s="1">
        <v>0.0</v>
      </c>
      <c r="E535" s="93">
        <v>0.0</v>
      </c>
      <c r="F535" s="93">
        <v>0.0</v>
      </c>
      <c r="G535" s="1">
        <v>0.0</v>
      </c>
      <c r="H535" s="10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</row>
    <row r="536" ht="15.75" customHeight="1">
      <c r="A536" s="103" t="s">
        <v>2488</v>
      </c>
      <c r="B536" s="1">
        <v>0.0</v>
      </c>
      <c r="C536" s="1">
        <v>0.0</v>
      </c>
      <c r="D536" s="1">
        <v>0.0</v>
      </c>
      <c r="E536" s="93">
        <v>0.0</v>
      </c>
      <c r="F536" s="93">
        <v>0.0</v>
      </c>
      <c r="G536" s="1">
        <v>0.0</v>
      </c>
      <c r="H536" s="10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</row>
    <row r="537" ht="15.75" customHeight="1">
      <c r="A537" s="103"/>
      <c r="E537" s="93"/>
      <c r="F537" s="93"/>
      <c r="H537" s="101"/>
    </row>
    <row r="538" ht="15.75" customHeight="1">
      <c r="A538" s="103"/>
      <c r="E538" s="93"/>
      <c r="F538" s="93"/>
      <c r="H538" s="101"/>
    </row>
    <row r="539" ht="15.75" customHeight="1">
      <c r="A539" s="103"/>
      <c r="E539" s="93"/>
      <c r="F539" s="93"/>
      <c r="H539" s="101"/>
    </row>
    <row r="540" ht="15.75" customHeight="1">
      <c r="A540" s="103"/>
      <c r="E540" s="93"/>
      <c r="F540" s="93"/>
      <c r="H540" s="101"/>
    </row>
    <row r="541" ht="15.75" customHeight="1">
      <c r="A541" s="103"/>
      <c r="E541" s="93"/>
      <c r="F541" s="93"/>
      <c r="H541" s="101"/>
    </row>
    <row r="542" ht="15.75" customHeight="1">
      <c r="A542" s="103"/>
      <c r="E542" s="93"/>
      <c r="F542" s="93"/>
      <c r="H542" s="101"/>
    </row>
    <row r="543" ht="15.75" customHeight="1">
      <c r="A543" s="103"/>
      <c r="E543" s="93"/>
      <c r="F543" s="93"/>
      <c r="H543" s="101"/>
    </row>
    <row r="544" ht="15.75" customHeight="1">
      <c r="A544" s="103"/>
      <c r="E544" s="93"/>
      <c r="F544" s="93"/>
      <c r="H544" s="101"/>
    </row>
    <row r="545" ht="15.75" customHeight="1">
      <c r="A545" s="103"/>
      <c r="E545" s="93"/>
      <c r="F545" s="93"/>
      <c r="H545" s="101"/>
    </row>
    <row r="546" ht="15.75" customHeight="1">
      <c r="A546" s="103"/>
      <c r="E546" s="93"/>
      <c r="F546" s="93"/>
      <c r="H546" s="101"/>
    </row>
    <row r="547" ht="15.75" customHeight="1">
      <c r="A547" s="103"/>
      <c r="E547" s="93"/>
      <c r="F547" s="93"/>
      <c r="H547" s="101"/>
    </row>
    <row r="548" ht="15.75" customHeight="1">
      <c r="A548" s="103"/>
      <c r="E548" s="93"/>
      <c r="F548" s="93"/>
      <c r="H548" s="101"/>
    </row>
    <row r="549" ht="15.75" customHeight="1">
      <c r="A549" s="103"/>
      <c r="E549" s="93"/>
      <c r="F549" s="93"/>
      <c r="H549" s="101"/>
    </row>
    <row r="550" ht="15.75" customHeight="1">
      <c r="A550" s="103"/>
      <c r="E550" s="93"/>
      <c r="F550" s="93"/>
      <c r="H550" s="101"/>
    </row>
    <row r="551" ht="15.75" customHeight="1">
      <c r="A551" s="103"/>
      <c r="E551" s="93"/>
      <c r="F551" s="93"/>
      <c r="H551" s="101"/>
    </row>
    <row r="552" ht="15.75" customHeight="1">
      <c r="A552" s="103"/>
      <c r="E552" s="93"/>
      <c r="F552" s="93"/>
      <c r="H552" s="101"/>
    </row>
    <row r="553" ht="15.75" customHeight="1">
      <c r="A553" s="103"/>
      <c r="E553" s="93"/>
      <c r="F553" s="93"/>
      <c r="H553" s="101"/>
    </row>
    <row r="554" ht="15.75" customHeight="1">
      <c r="A554" s="103"/>
      <c r="E554" s="93"/>
      <c r="F554" s="93"/>
      <c r="H554" s="101"/>
    </row>
    <row r="555" ht="15.75" customHeight="1">
      <c r="A555" s="103"/>
      <c r="E555" s="93"/>
      <c r="F555" s="93"/>
    </row>
    <row r="556" ht="15.75" customHeight="1">
      <c r="A556" s="103"/>
      <c r="E556" s="93"/>
      <c r="F556" s="93"/>
    </row>
    <row r="557" ht="15.75" customHeight="1">
      <c r="A557" s="103"/>
      <c r="E557" s="93"/>
      <c r="F557" s="93"/>
    </row>
    <row r="558" ht="15.75" customHeight="1">
      <c r="A558" s="103"/>
      <c r="E558" s="93"/>
      <c r="F558" s="93"/>
    </row>
    <row r="559" ht="15.75" customHeight="1">
      <c r="A559" s="103"/>
      <c r="E559" s="93"/>
      <c r="F559" s="93"/>
    </row>
    <row r="560" ht="15.75" customHeight="1">
      <c r="A560" s="103"/>
      <c r="E560" s="93"/>
      <c r="F560" s="93"/>
    </row>
    <row r="561" ht="15.75" customHeight="1">
      <c r="A561" s="103"/>
      <c r="E561" s="93"/>
      <c r="F561" s="93"/>
    </row>
    <row r="562" ht="15.75" customHeight="1">
      <c r="A562" s="103"/>
      <c r="E562" s="93"/>
      <c r="F562" s="93"/>
    </row>
    <row r="563" ht="15.75" customHeight="1">
      <c r="A563" s="103"/>
      <c r="E563" s="93"/>
      <c r="F563" s="93"/>
    </row>
    <row r="564" ht="15.75" customHeight="1">
      <c r="A564" s="103"/>
      <c r="E564" s="93"/>
      <c r="F564" s="93"/>
    </row>
    <row r="565" ht="15.75" customHeight="1">
      <c r="A565" s="103"/>
      <c r="E565" s="93"/>
      <c r="F565" s="93"/>
    </row>
    <row r="566" ht="15.75" customHeight="1">
      <c r="A566" s="103"/>
      <c r="E566" s="93"/>
      <c r="F566" s="93"/>
    </row>
    <row r="567" ht="15.75" customHeight="1">
      <c r="A567" s="103"/>
      <c r="E567" s="93"/>
      <c r="F567" s="93"/>
    </row>
    <row r="568" ht="15.75" customHeight="1">
      <c r="A568" s="103"/>
      <c r="E568" s="93"/>
      <c r="F568" s="93"/>
    </row>
    <row r="569" ht="15.75" customHeight="1">
      <c r="A569" s="103"/>
      <c r="E569" s="93"/>
      <c r="F569" s="93"/>
    </row>
    <row r="570" ht="15.75" customHeight="1">
      <c r="A570" s="103"/>
      <c r="E570" s="93"/>
      <c r="F570" s="93"/>
    </row>
    <row r="571" ht="15.75" customHeight="1">
      <c r="A571" s="103"/>
      <c r="E571" s="93"/>
      <c r="F571" s="93"/>
    </row>
    <row r="572" ht="15.75" customHeight="1">
      <c r="A572" s="103"/>
      <c r="E572" s="93"/>
      <c r="F572" s="93"/>
    </row>
    <row r="573" ht="15.75" customHeight="1">
      <c r="A573" s="103"/>
      <c r="E573" s="93"/>
      <c r="F573" s="93"/>
    </row>
    <row r="574" ht="15.75" customHeight="1">
      <c r="A574" s="103"/>
      <c r="E574" s="93"/>
      <c r="F574" s="93"/>
    </row>
    <row r="575" ht="15.75" customHeight="1">
      <c r="A575" s="103"/>
      <c r="E575" s="93"/>
      <c r="F575" s="93"/>
    </row>
    <row r="576" ht="15.75" customHeight="1">
      <c r="A576" s="103"/>
      <c r="E576" s="93"/>
      <c r="F576" s="93"/>
    </row>
    <row r="577" ht="15.75" customHeight="1">
      <c r="A577" s="103"/>
      <c r="E577" s="93"/>
      <c r="F577" s="93"/>
    </row>
    <row r="578" ht="15.75" customHeight="1">
      <c r="A578" s="103"/>
      <c r="E578" s="93"/>
      <c r="F578" s="93"/>
    </row>
    <row r="579" ht="15.75" customHeight="1">
      <c r="A579" s="103"/>
      <c r="E579" s="93"/>
      <c r="F579" s="93"/>
    </row>
    <row r="580" ht="15.75" customHeight="1">
      <c r="A580" s="103"/>
      <c r="E580" s="93"/>
      <c r="F580" s="93"/>
    </row>
    <row r="581" ht="15.75" customHeight="1">
      <c r="A581" s="103"/>
      <c r="E581" s="93"/>
      <c r="F581" s="93"/>
    </row>
    <row r="582" ht="15.75" customHeight="1">
      <c r="A582" s="103"/>
      <c r="E582" s="93"/>
      <c r="F582" s="93"/>
    </row>
    <row r="583" ht="15.75" customHeight="1">
      <c r="A583" s="103"/>
      <c r="E583" s="93"/>
      <c r="F583" s="93"/>
    </row>
    <row r="584" ht="15.75" customHeight="1">
      <c r="A584" s="103"/>
      <c r="E584" s="93"/>
      <c r="F584" s="93"/>
    </row>
    <row r="585" ht="15.75" customHeight="1">
      <c r="A585" s="103"/>
      <c r="E585" s="93"/>
      <c r="F585" s="93"/>
    </row>
    <row r="586" ht="15.75" customHeight="1">
      <c r="A586" s="103"/>
      <c r="E586" s="93"/>
      <c r="F586" s="93"/>
    </row>
    <row r="587" ht="15.75" customHeight="1">
      <c r="A587" s="103"/>
      <c r="E587" s="93"/>
      <c r="F587" s="93"/>
    </row>
    <row r="588" ht="15.75" customHeight="1">
      <c r="A588" s="103"/>
      <c r="E588" s="93"/>
      <c r="F588" s="93"/>
    </row>
    <row r="589" ht="15.75" customHeight="1">
      <c r="A589" s="103"/>
      <c r="E589" s="93"/>
      <c r="F589" s="93"/>
    </row>
    <row r="590" ht="15.75" customHeight="1">
      <c r="A590" s="103"/>
      <c r="E590" s="93"/>
      <c r="F590" s="93"/>
    </row>
    <row r="591" ht="15.75" customHeight="1">
      <c r="A591" s="103"/>
      <c r="E591" s="93"/>
      <c r="F591" s="93"/>
    </row>
    <row r="592" ht="15.75" customHeight="1">
      <c r="A592" s="103"/>
      <c r="E592" s="93"/>
      <c r="F592" s="93"/>
    </row>
    <row r="593" ht="15.75" customHeight="1">
      <c r="A593" s="103"/>
      <c r="E593" s="93"/>
      <c r="F593" s="93"/>
    </row>
    <row r="594" ht="15.75" customHeight="1">
      <c r="A594" s="103"/>
      <c r="E594" s="93"/>
      <c r="F594" s="93"/>
    </row>
    <row r="595" ht="15.75" customHeight="1">
      <c r="A595" s="103"/>
      <c r="E595" s="93"/>
      <c r="F595" s="93"/>
    </row>
    <row r="596" ht="15.75" customHeight="1">
      <c r="A596" s="103"/>
      <c r="E596" s="93"/>
      <c r="F596" s="93"/>
    </row>
    <row r="597" ht="15.75" customHeight="1">
      <c r="A597" s="103"/>
      <c r="E597" s="93"/>
      <c r="F597" s="93"/>
    </row>
    <row r="598" ht="15.75" customHeight="1">
      <c r="A598" s="103"/>
      <c r="E598" s="93"/>
      <c r="F598" s="93"/>
    </row>
    <row r="599" ht="15.75" customHeight="1">
      <c r="A599" s="103"/>
      <c r="E599" s="93"/>
      <c r="F599" s="93"/>
    </row>
    <row r="600" ht="15.75" customHeight="1">
      <c r="A600" s="103"/>
      <c r="E600" s="93"/>
      <c r="F600" s="93"/>
    </row>
    <row r="601" ht="15.75" customHeight="1">
      <c r="A601" s="103"/>
      <c r="E601" s="93"/>
      <c r="F601" s="93"/>
    </row>
    <row r="602" ht="15.75" customHeight="1">
      <c r="A602" s="103"/>
      <c r="E602" s="93"/>
      <c r="F602" s="93"/>
    </row>
    <row r="603" ht="15.75" customHeight="1">
      <c r="A603" s="103"/>
      <c r="E603" s="93"/>
      <c r="F603" s="93"/>
    </row>
    <row r="604" ht="15.75" customHeight="1">
      <c r="A604" s="103"/>
      <c r="E604" s="93"/>
      <c r="F604" s="93"/>
    </row>
    <row r="605" ht="15.75" customHeight="1">
      <c r="A605" s="103"/>
      <c r="E605" s="93"/>
      <c r="F605" s="93"/>
    </row>
    <row r="606" ht="15.75" customHeight="1">
      <c r="A606" s="103"/>
      <c r="E606" s="93"/>
      <c r="F606" s="93"/>
    </row>
    <row r="607" ht="15.75" customHeight="1">
      <c r="A607" s="103"/>
      <c r="E607" s="93"/>
      <c r="F607" s="93"/>
    </row>
    <row r="608" ht="15.75" customHeight="1">
      <c r="A608" s="103"/>
      <c r="E608" s="93"/>
      <c r="F608" s="93"/>
    </row>
    <row r="609" ht="15.75" customHeight="1">
      <c r="A609" s="103"/>
      <c r="E609" s="93"/>
      <c r="F609" s="93"/>
    </row>
    <row r="610" ht="15.75" customHeight="1">
      <c r="A610" s="103"/>
      <c r="E610" s="93"/>
      <c r="F610" s="93"/>
    </row>
    <row r="611" ht="15.75" customHeight="1">
      <c r="A611" s="103"/>
      <c r="E611" s="93"/>
      <c r="F611" s="93"/>
    </row>
    <row r="612" ht="15.75" customHeight="1">
      <c r="A612" s="103"/>
      <c r="E612" s="93"/>
      <c r="F612" s="93"/>
    </row>
    <row r="613" ht="15.75" customHeight="1">
      <c r="A613" s="103"/>
      <c r="E613" s="93"/>
      <c r="F613" s="93"/>
    </row>
    <row r="614" ht="15.75" customHeight="1">
      <c r="A614" s="103"/>
      <c r="E614" s="93"/>
      <c r="F614" s="93"/>
    </row>
    <row r="615" ht="15.75" customHeight="1">
      <c r="A615" s="103"/>
      <c r="E615" s="93"/>
      <c r="F615" s="93"/>
    </row>
    <row r="616" ht="15.75" customHeight="1">
      <c r="A616" s="103"/>
      <c r="E616" s="93"/>
      <c r="F616" s="93"/>
    </row>
    <row r="617" ht="15.75" customHeight="1">
      <c r="A617" s="103"/>
      <c r="E617" s="93"/>
      <c r="F617" s="93"/>
    </row>
    <row r="618" ht="15.75" customHeight="1">
      <c r="A618" s="103"/>
      <c r="E618" s="93"/>
      <c r="F618" s="93"/>
    </row>
    <row r="619" ht="15.75" customHeight="1">
      <c r="A619" s="103"/>
      <c r="E619" s="93"/>
      <c r="F619" s="93"/>
    </row>
    <row r="620" ht="15.75" customHeight="1">
      <c r="A620" s="103"/>
      <c r="E620" s="93"/>
      <c r="F620" s="93"/>
    </row>
    <row r="621" ht="15.75" customHeight="1">
      <c r="A621" s="103"/>
      <c r="E621" s="93"/>
      <c r="F621" s="93"/>
    </row>
    <row r="622" ht="15.75" customHeight="1">
      <c r="A622" s="103"/>
      <c r="E622" s="93"/>
      <c r="F622" s="93"/>
    </row>
    <row r="623" ht="15.75" customHeight="1">
      <c r="A623" s="103"/>
      <c r="E623" s="93"/>
      <c r="F623" s="93"/>
    </row>
    <row r="624" ht="15.75" customHeight="1">
      <c r="A624" s="103"/>
      <c r="E624" s="93"/>
      <c r="F624" s="93"/>
    </row>
    <row r="625" ht="15.75" customHeight="1">
      <c r="A625" s="103"/>
      <c r="E625" s="93"/>
      <c r="F625" s="93"/>
    </row>
    <row r="626" ht="15.75" customHeight="1">
      <c r="A626" s="103"/>
      <c r="E626" s="93"/>
      <c r="F626" s="93"/>
    </row>
    <row r="627" ht="15.75" customHeight="1">
      <c r="A627" s="103"/>
      <c r="E627" s="93"/>
      <c r="F627" s="93"/>
    </row>
    <row r="628" ht="15.75" customHeight="1">
      <c r="A628" s="103"/>
      <c r="E628" s="93"/>
      <c r="F628" s="93"/>
    </row>
    <row r="629" ht="15.75" customHeight="1">
      <c r="A629" s="103"/>
      <c r="E629" s="93"/>
      <c r="F629" s="93"/>
    </row>
    <row r="630" ht="15.75" customHeight="1">
      <c r="A630" s="103"/>
      <c r="E630" s="93"/>
      <c r="F630" s="93"/>
    </row>
    <row r="631" ht="15.75" customHeight="1">
      <c r="A631" s="103"/>
      <c r="E631" s="93"/>
      <c r="F631" s="93"/>
    </row>
    <row r="632" ht="15.75" customHeight="1">
      <c r="A632" s="103"/>
      <c r="E632" s="93"/>
      <c r="F632" s="93"/>
    </row>
    <row r="633" ht="15.75" customHeight="1">
      <c r="A633" s="103"/>
      <c r="E633" s="93"/>
      <c r="F633" s="93"/>
    </row>
    <row r="634" ht="15.75" customHeight="1">
      <c r="A634" s="103"/>
      <c r="E634" s="93"/>
      <c r="F634" s="93"/>
    </row>
    <row r="635" ht="15.75" customHeight="1">
      <c r="A635" s="103"/>
      <c r="E635" s="93"/>
      <c r="F635" s="93"/>
    </row>
    <row r="636" ht="15.75" customHeight="1">
      <c r="A636" s="103"/>
      <c r="E636" s="93"/>
      <c r="F636" s="93"/>
    </row>
    <row r="637" ht="15.75" customHeight="1">
      <c r="A637" s="103"/>
      <c r="E637" s="93"/>
      <c r="F637" s="93"/>
    </row>
    <row r="638" ht="15.75" customHeight="1">
      <c r="A638" s="103"/>
      <c r="E638" s="93"/>
      <c r="F638" s="93"/>
    </row>
    <row r="639" ht="15.75" customHeight="1">
      <c r="A639" s="103"/>
      <c r="E639" s="93"/>
      <c r="F639" s="93"/>
    </row>
    <row r="640" ht="15.75" customHeight="1">
      <c r="A640" s="103"/>
      <c r="E640" s="93"/>
      <c r="F640" s="93"/>
    </row>
    <row r="641" ht="15.75" customHeight="1">
      <c r="A641" s="103"/>
      <c r="E641" s="93"/>
      <c r="F641" s="93"/>
    </row>
    <row r="642" ht="15.75" customHeight="1">
      <c r="A642" s="103"/>
      <c r="E642" s="93"/>
      <c r="F642" s="93"/>
    </row>
    <row r="643" ht="15.75" customHeight="1">
      <c r="A643" s="103"/>
      <c r="E643" s="93"/>
      <c r="F643" s="93"/>
    </row>
    <row r="644" ht="15.75" customHeight="1">
      <c r="A644" s="103"/>
      <c r="E644" s="93"/>
      <c r="F644" s="93"/>
    </row>
    <row r="645" ht="15.75" customHeight="1">
      <c r="A645" s="103"/>
      <c r="E645" s="93"/>
      <c r="F645" s="93"/>
    </row>
    <row r="646" ht="15.75" customHeight="1">
      <c r="A646" s="103"/>
      <c r="E646" s="93"/>
      <c r="F646" s="93"/>
    </row>
    <row r="647" ht="15.75" customHeight="1">
      <c r="A647" s="103"/>
      <c r="E647" s="93"/>
      <c r="F647" s="93"/>
    </row>
    <row r="648" ht="15.75" customHeight="1">
      <c r="A648" s="103"/>
      <c r="E648" s="93"/>
      <c r="F648" s="93"/>
    </row>
    <row r="649" ht="15.75" customHeight="1">
      <c r="A649" s="103"/>
      <c r="E649" s="93"/>
      <c r="F649" s="93"/>
    </row>
    <row r="650" ht="15.75" customHeight="1">
      <c r="A650" s="103"/>
      <c r="E650" s="93"/>
      <c r="F650" s="93"/>
    </row>
    <row r="651" ht="15.75" customHeight="1">
      <c r="A651" s="103"/>
      <c r="E651" s="93"/>
      <c r="F651" s="93"/>
    </row>
    <row r="652" ht="15.75" customHeight="1">
      <c r="A652" s="103"/>
      <c r="E652" s="93"/>
      <c r="F652" s="93"/>
    </row>
    <row r="653" ht="15.75" customHeight="1">
      <c r="A653" s="103"/>
      <c r="E653" s="93"/>
      <c r="F653" s="93"/>
    </row>
    <row r="654" ht="15.75" customHeight="1">
      <c r="A654" s="103"/>
      <c r="E654" s="93"/>
      <c r="F654" s="93"/>
    </row>
    <row r="655" ht="15.75" customHeight="1">
      <c r="A655" s="103"/>
      <c r="E655" s="93"/>
      <c r="F655" s="93"/>
    </row>
    <row r="656" ht="15.75" customHeight="1">
      <c r="A656" s="103"/>
      <c r="E656" s="93"/>
      <c r="F656" s="93"/>
    </row>
    <row r="657" ht="15.75" customHeight="1">
      <c r="A657" s="103"/>
      <c r="E657" s="93"/>
      <c r="F657" s="93"/>
    </row>
    <row r="658" ht="15.75" customHeight="1">
      <c r="A658" s="103"/>
      <c r="E658" s="93"/>
      <c r="F658" s="93"/>
    </row>
    <row r="659" ht="15.75" customHeight="1">
      <c r="A659" s="103"/>
      <c r="E659" s="93"/>
      <c r="F659" s="93"/>
    </row>
    <row r="660" ht="15.75" customHeight="1">
      <c r="A660" s="103"/>
      <c r="E660" s="93"/>
      <c r="F660" s="93"/>
    </row>
    <row r="661" ht="15.75" customHeight="1">
      <c r="A661" s="103"/>
      <c r="E661" s="93"/>
      <c r="F661" s="93"/>
    </row>
    <row r="662" ht="15.75" customHeight="1">
      <c r="A662" s="103"/>
      <c r="E662" s="93"/>
      <c r="F662" s="93"/>
    </row>
    <row r="663" ht="15.75" customHeight="1">
      <c r="A663" s="103"/>
      <c r="E663" s="93"/>
      <c r="F663" s="93"/>
    </row>
    <row r="664" ht="15.75" customHeight="1">
      <c r="A664" s="103"/>
      <c r="E664" s="93"/>
      <c r="F664" s="93"/>
    </row>
    <row r="665" ht="15.75" customHeight="1">
      <c r="A665" s="103"/>
      <c r="E665" s="93"/>
      <c r="F665" s="93"/>
    </row>
    <row r="666" ht="15.75" customHeight="1">
      <c r="A666" s="103"/>
      <c r="E666" s="93"/>
      <c r="F666" s="93"/>
    </row>
    <row r="667" ht="15.75" customHeight="1">
      <c r="A667" s="103"/>
      <c r="E667" s="93"/>
      <c r="F667" s="93"/>
    </row>
    <row r="668" ht="15.75" customHeight="1">
      <c r="A668" s="103"/>
      <c r="E668" s="93"/>
      <c r="F668" s="93"/>
    </row>
    <row r="669" ht="15.75" customHeight="1">
      <c r="A669" s="103"/>
      <c r="E669" s="93"/>
      <c r="F669" s="93"/>
    </row>
    <row r="670" ht="15.75" customHeight="1">
      <c r="A670" s="103"/>
      <c r="E670" s="93"/>
      <c r="F670" s="93"/>
    </row>
    <row r="671" ht="15.75" customHeight="1">
      <c r="A671" s="103"/>
      <c r="E671" s="93"/>
      <c r="F671" s="93"/>
    </row>
    <row r="672" ht="15.75" customHeight="1">
      <c r="A672" s="103"/>
      <c r="E672" s="93"/>
      <c r="F672" s="93"/>
    </row>
    <row r="673" ht="15.75" customHeight="1">
      <c r="A673" s="103"/>
      <c r="E673" s="93"/>
      <c r="F673" s="93"/>
    </row>
    <row r="674" ht="15.75" customHeight="1">
      <c r="A674" s="103"/>
      <c r="E674" s="93"/>
      <c r="F674" s="93"/>
    </row>
    <row r="675" ht="15.75" customHeight="1">
      <c r="A675" s="103"/>
      <c r="E675" s="93"/>
      <c r="F675" s="93"/>
    </row>
    <row r="676" ht="15.75" customHeight="1">
      <c r="A676" s="103"/>
      <c r="E676" s="93"/>
      <c r="F676" s="93"/>
    </row>
    <row r="677" ht="15.75" customHeight="1">
      <c r="A677" s="103"/>
      <c r="E677" s="93"/>
      <c r="F677" s="93"/>
    </row>
    <row r="678" ht="15.75" customHeight="1">
      <c r="A678" s="103"/>
      <c r="E678" s="93"/>
      <c r="F678" s="93"/>
    </row>
    <row r="679" ht="15.75" customHeight="1">
      <c r="A679" s="103"/>
      <c r="E679" s="93"/>
      <c r="F679" s="93"/>
    </row>
    <row r="680" ht="15.75" customHeight="1">
      <c r="A680" s="103"/>
      <c r="E680" s="93"/>
      <c r="F680" s="93"/>
    </row>
    <row r="681" ht="15.75" customHeight="1">
      <c r="A681" s="103"/>
      <c r="E681" s="93"/>
      <c r="F681" s="93"/>
    </row>
    <row r="682" ht="15.75" customHeight="1">
      <c r="A682" s="103"/>
      <c r="E682" s="93"/>
      <c r="F682" s="93"/>
    </row>
    <row r="683" ht="15.75" customHeight="1">
      <c r="A683" s="103"/>
      <c r="E683" s="93"/>
      <c r="F683" s="93"/>
    </row>
    <row r="684" ht="15.75" customHeight="1">
      <c r="A684" s="103"/>
      <c r="E684" s="93"/>
      <c r="F684" s="93"/>
    </row>
    <row r="685" ht="15.75" customHeight="1">
      <c r="A685" s="103"/>
      <c r="E685" s="93"/>
      <c r="F685" s="93"/>
    </row>
    <row r="686" ht="15.75" customHeight="1">
      <c r="A686" s="103"/>
      <c r="E686" s="93"/>
      <c r="F686" s="93"/>
    </row>
    <row r="687" ht="15.75" customHeight="1">
      <c r="A687" s="103"/>
      <c r="E687" s="93"/>
      <c r="F687" s="93"/>
    </row>
    <row r="688" ht="15.75" customHeight="1">
      <c r="A688" s="103"/>
      <c r="E688" s="93"/>
      <c r="F688" s="93"/>
    </row>
    <row r="689" ht="15.75" customHeight="1">
      <c r="A689" s="103"/>
      <c r="E689" s="93"/>
      <c r="F689" s="93"/>
    </row>
    <row r="690" ht="15.75" customHeight="1">
      <c r="A690" s="103"/>
      <c r="E690" s="93"/>
      <c r="F690" s="93"/>
    </row>
    <row r="691" ht="15.75" customHeight="1">
      <c r="A691" s="103"/>
      <c r="E691" s="93"/>
      <c r="F691" s="93"/>
    </row>
    <row r="692" ht="15.75" customHeight="1">
      <c r="A692" s="103"/>
      <c r="E692" s="93"/>
      <c r="F692" s="93"/>
    </row>
    <row r="693" ht="15.75" customHeight="1">
      <c r="A693" s="103"/>
      <c r="E693" s="93"/>
      <c r="F693" s="93"/>
    </row>
    <row r="694" ht="15.75" customHeight="1">
      <c r="A694" s="103"/>
      <c r="E694" s="93"/>
      <c r="F694" s="93"/>
    </row>
    <row r="695" ht="15.75" customHeight="1">
      <c r="A695" s="103"/>
      <c r="E695" s="93"/>
      <c r="F695" s="93"/>
    </row>
    <row r="696" ht="15.75" customHeight="1">
      <c r="A696" s="103"/>
      <c r="E696" s="93"/>
      <c r="F696" s="93"/>
    </row>
    <row r="697" ht="15.75" customHeight="1">
      <c r="A697" s="103"/>
      <c r="E697" s="93"/>
      <c r="F697" s="93"/>
    </row>
    <row r="698" ht="15.75" customHeight="1">
      <c r="A698" s="103"/>
      <c r="E698" s="93"/>
      <c r="F698" s="93"/>
    </row>
    <row r="699" ht="15.75" customHeight="1">
      <c r="A699" s="103"/>
      <c r="E699" s="93"/>
      <c r="F699" s="93"/>
    </row>
    <row r="700" ht="15.75" customHeight="1">
      <c r="A700" s="103"/>
      <c r="E700" s="93"/>
      <c r="F700" s="93"/>
    </row>
    <row r="701" ht="15.75" customHeight="1">
      <c r="A701" s="103"/>
      <c r="E701" s="93"/>
      <c r="F701" s="93"/>
    </row>
    <row r="702" ht="15.75" customHeight="1">
      <c r="A702" s="103"/>
      <c r="E702" s="93"/>
      <c r="F702" s="93"/>
    </row>
    <row r="703" ht="15.75" customHeight="1">
      <c r="A703" s="103"/>
      <c r="E703" s="93"/>
      <c r="F703" s="93"/>
    </row>
    <row r="704" ht="15.75" customHeight="1">
      <c r="A704" s="103"/>
      <c r="E704" s="93"/>
      <c r="F704" s="93"/>
    </row>
    <row r="705" ht="15.75" customHeight="1">
      <c r="A705" s="103"/>
      <c r="E705" s="93"/>
      <c r="F705" s="93"/>
    </row>
    <row r="706" ht="15.75" customHeight="1">
      <c r="A706" s="103"/>
      <c r="E706" s="93"/>
      <c r="F706" s="93"/>
    </row>
    <row r="707" ht="15.75" customHeight="1">
      <c r="A707" s="103"/>
      <c r="E707" s="93"/>
      <c r="F707" s="93"/>
    </row>
    <row r="708" ht="15.75" customHeight="1">
      <c r="A708" s="103"/>
      <c r="E708" s="93"/>
      <c r="F708" s="93"/>
    </row>
    <row r="709" ht="15.75" customHeight="1">
      <c r="A709" s="103"/>
      <c r="E709" s="93"/>
      <c r="F709" s="93"/>
    </row>
    <row r="710" ht="15.75" customHeight="1">
      <c r="A710" s="103"/>
      <c r="E710" s="93"/>
      <c r="F710" s="93"/>
    </row>
    <row r="711" ht="15.75" customHeight="1">
      <c r="A711" s="103"/>
      <c r="E711" s="93"/>
      <c r="F711" s="93"/>
    </row>
    <row r="712" ht="15.75" customHeight="1">
      <c r="A712" s="103"/>
      <c r="E712" s="93"/>
      <c r="F712" s="93"/>
    </row>
    <row r="713" ht="15.75" customHeight="1">
      <c r="A713" s="103"/>
      <c r="E713" s="93"/>
      <c r="F713" s="93"/>
    </row>
    <row r="714" ht="15.75" customHeight="1">
      <c r="A714" s="103"/>
      <c r="E714" s="93"/>
      <c r="F714" s="93"/>
    </row>
    <row r="715" ht="15.75" customHeight="1">
      <c r="A715" s="103"/>
      <c r="E715" s="93"/>
      <c r="F715" s="93"/>
    </row>
    <row r="716" ht="15.75" customHeight="1">
      <c r="A716" s="103"/>
      <c r="E716" s="93"/>
      <c r="F716" s="93"/>
    </row>
    <row r="717" ht="15.75" customHeight="1">
      <c r="A717" s="103"/>
      <c r="E717" s="93"/>
      <c r="F717" s="93"/>
    </row>
    <row r="718" ht="15.75" customHeight="1">
      <c r="A718" s="103"/>
      <c r="E718" s="93"/>
      <c r="F718" s="93"/>
    </row>
    <row r="719" ht="15.75" customHeight="1">
      <c r="A719" s="103"/>
      <c r="E719" s="93"/>
      <c r="F719" s="93"/>
    </row>
    <row r="720" ht="15.75" customHeight="1">
      <c r="A720" s="103"/>
      <c r="E720" s="93"/>
      <c r="F720" s="93"/>
    </row>
    <row r="721" ht="15.75" customHeight="1">
      <c r="A721" s="103"/>
      <c r="E721" s="93"/>
      <c r="F721" s="93"/>
    </row>
    <row r="722" ht="15.75" customHeight="1">
      <c r="A722" s="103"/>
      <c r="E722" s="93"/>
      <c r="F722" s="93"/>
    </row>
    <row r="723" ht="15.75" customHeight="1">
      <c r="A723" s="103"/>
      <c r="E723" s="93"/>
      <c r="F723" s="93"/>
    </row>
    <row r="724" ht="15.75" customHeight="1">
      <c r="A724" s="103"/>
      <c r="E724" s="93"/>
      <c r="F724" s="93"/>
    </row>
    <row r="725" ht="15.75" customHeight="1">
      <c r="A725" s="103"/>
      <c r="E725" s="93"/>
      <c r="F725" s="93"/>
    </row>
    <row r="726" ht="15.75" customHeight="1">
      <c r="A726" s="103"/>
      <c r="E726" s="93"/>
      <c r="F726" s="93"/>
    </row>
    <row r="727" ht="15.75" customHeight="1">
      <c r="A727" s="103"/>
      <c r="E727" s="93"/>
      <c r="F727" s="93"/>
    </row>
    <row r="728" ht="15.75" customHeight="1">
      <c r="A728" s="103"/>
      <c r="E728" s="93"/>
      <c r="F728" s="93"/>
    </row>
    <row r="729" ht="15.75" customHeight="1">
      <c r="A729" s="103"/>
      <c r="E729" s="93"/>
      <c r="F729" s="93"/>
    </row>
    <row r="730" ht="15.75" customHeight="1">
      <c r="A730" s="103"/>
      <c r="E730" s="93"/>
      <c r="F730" s="93"/>
    </row>
    <row r="731" ht="15.75" customHeight="1">
      <c r="A731" s="103"/>
      <c r="E731" s="93"/>
      <c r="F731" s="93"/>
    </row>
    <row r="732" ht="15.75" customHeight="1">
      <c r="A732" s="103"/>
      <c r="E732" s="93"/>
      <c r="F732" s="93"/>
    </row>
    <row r="733" ht="15.75" customHeight="1">
      <c r="A733" s="103"/>
      <c r="E733" s="93"/>
      <c r="F733" s="93"/>
    </row>
    <row r="734" ht="15.75" customHeight="1">
      <c r="A734" s="103"/>
      <c r="E734" s="93"/>
      <c r="F734" s="93"/>
    </row>
    <row r="735" ht="15.75" customHeight="1">
      <c r="A735" s="103"/>
      <c r="E735" s="93"/>
      <c r="F735" s="93"/>
    </row>
    <row r="736" ht="15.75" customHeight="1">
      <c r="A736" s="103"/>
      <c r="E736" s="93"/>
      <c r="F736" s="93"/>
    </row>
    <row r="737" ht="15.75" customHeight="1">
      <c r="A737" s="103"/>
      <c r="E737" s="93"/>
      <c r="F737" s="93"/>
    </row>
    <row r="738" ht="15.75" customHeight="1">
      <c r="A738" s="103"/>
      <c r="E738" s="93"/>
      <c r="F738" s="93"/>
    </row>
    <row r="739" ht="15.75" customHeight="1">
      <c r="A739" s="103"/>
      <c r="E739" s="93"/>
      <c r="F739" s="93"/>
    </row>
    <row r="740" ht="15.75" customHeight="1">
      <c r="A740" s="103"/>
      <c r="E740" s="93"/>
      <c r="F740" s="93"/>
    </row>
    <row r="741" ht="15.75" customHeight="1">
      <c r="A741" s="103"/>
      <c r="E741" s="93"/>
      <c r="F741" s="93"/>
    </row>
    <row r="742" ht="15.75" customHeight="1">
      <c r="A742" s="103"/>
      <c r="E742" s="93"/>
      <c r="F742" s="93"/>
    </row>
    <row r="743" ht="15.75" customHeight="1">
      <c r="A743" s="103"/>
      <c r="E743" s="93"/>
      <c r="F743" s="93"/>
    </row>
    <row r="744" ht="15.75" customHeight="1">
      <c r="A744" s="103"/>
      <c r="E744" s="93"/>
      <c r="F744" s="93"/>
    </row>
    <row r="745" ht="15.75" customHeight="1">
      <c r="A745" s="103"/>
      <c r="E745" s="93"/>
      <c r="F745" s="93"/>
    </row>
    <row r="746" ht="15.75" customHeight="1">
      <c r="A746" s="103"/>
      <c r="E746" s="93"/>
      <c r="F746" s="93"/>
    </row>
    <row r="747" ht="15.75" customHeight="1">
      <c r="A747" s="103"/>
      <c r="E747" s="93"/>
      <c r="F747" s="93"/>
    </row>
    <row r="748" ht="15.75" customHeight="1">
      <c r="A748" s="103"/>
      <c r="E748" s="93"/>
      <c r="F748" s="93"/>
    </row>
    <row r="749" ht="15.75" customHeight="1">
      <c r="A749" s="103"/>
      <c r="E749" s="93"/>
      <c r="F749" s="93"/>
    </row>
    <row r="750" ht="15.75" customHeight="1">
      <c r="A750" s="103"/>
      <c r="E750" s="93"/>
      <c r="F750" s="93"/>
    </row>
    <row r="751" ht="15.75" customHeight="1">
      <c r="A751" s="103"/>
      <c r="E751" s="93"/>
      <c r="F751" s="93"/>
    </row>
    <row r="752" ht="15.75" customHeight="1">
      <c r="A752" s="103"/>
      <c r="E752" s="93"/>
      <c r="F752" s="93"/>
    </row>
    <row r="753" ht="15.75" customHeight="1">
      <c r="A753" s="103"/>
      <c r="E753" s="93"/>
      <c r="F753" s="93"/>
    </row>
    <row r="754" ht="15.75" customHeight="1">
      <c r="A754" s="103"/>
      <c r="E754" s="93"/>
      <c r="F754" s="93"/>
    </row>
    <row r="755" ht="15.75" customHeight="1">
      <c r="A755" s="103"/>
      <c r="E755" s="93"/>
      <c r="F755" s="93"/>
    </row>
    <row r="756" ht="15.75" customHeight="1">
      <c r="A756" s="103"/>
      <c r="E756" s="93"/>
      <c r="F756" s="93"/>
    </row>
    <row r="757" ht="15.75" customHeight="1">
      <c r="A757" s="103"/>
      <c r="E757" s="93"/>
      <c r="F757" s="93"/>
    </row>
    <row r="758" ht="15.75" customHeight="1">
      <c r="A758" s="103"/>
      <c r="E758" s="93"/>
      <c r="F758" s="93"/>
    </row>
    <row r="759" ht="15.75" customHeight="1">
      <c r="A759" s="103"/>
      <c r="E759" s="93"/>
      <c r="F759" s="93"/>
    </row>
    <row r="760" ht="15.75" customHeight="1">
      <c r="A760" s="103"/>
      <c r="E760" s="93"/>
      <c r="F760" s="93"/>
    </row>
    <row r="761" ht="15.75" customHeight="1">
      <c r="A761" s="103"/>
      <c r="E761" s="93"/>
      <c r="F761" s="93"/>
    </row>
    <row r="762" ht="15.75" customHeight="1">
      <c r="A762" s="103"/>
      <c r="E762" s="93"/>
      <c r="F762" s="93"/>
    </row>
    <row r="763" ht="15.75" customHeight="1">
      <c r="A763" s="103"/>
      <c r="E763" s="93"/>
      <c r="F763" s="93"/>
    </row>
    <row r="764" ht="15.75" customHeight="1">
      <c r="A764" s="103"/>
      <c r="E764" s="93"/>
      <c r="F764" s="93"/>
    </row>
    <row r="765" ht="15.75" customHeight="1">
      <c r="A765" s="103"/>
      <c r="E765" s="93"/>
      <c r="F765" s="93"/>
    </row>
    <row r="766" ht="15.75" customHeight="1">
      <c r="A766" s="103"/>
      <c r="E766" s="93"/>
      <c r="F766" s="93"/>
    </row>
    <row r="767" ht="15.75" customHeight="1">
      <c r="A767" s="103"/>
      <c r="E767" s="93"/>
      <c r="F767" s="93"/>
    </row>
    <row r="768" ht="15.75" customHeight="1">
      <c r="A768" s="103"/>
      <c r="E768" s="93"/>
      <c r="F768" s="93"/>
    </row>
    <row r="769" ht="15.75" customHeight="1">
      <c r="A769" s="103"/>
      <c r="E769" s="93"/>
      <c r="F769" s="93"/>
    </row>
    <row r="770" ht="15.75" customHeight="1">
      <c r="A770" s="103"/>
      <c r="E770" s="93"/>
      <c r="F770" s="93"/>
    </row>
    <row r="771" ht="15.75" customHeight="1">
      <c r="A771" s="103"/>
      <c r="E771" s="93"/>
      <c r="F771" s="93"/>
    </row>
    <row r="772" ht="15.75" customHeight="1">
      <c r="A772" s="103"/>
      <c r="E772" s="93"/>
      <c r="F772" s="93"/>
    </row>
    <row r="773" ht="15.75" customHeight="1">
      <c r="A773" s="103"/>
      <c r="E773" s="93"/>
      <c r="F773" s="93"/>
    </row>
    <row r="774" ht="15.75" customHeight="1">
      <c r="A774" s="103"/>
      <c r="E774" s="93"/>
      <c r="F774" s="93"/>
    </row>
    <row r="775" ht="15.75" customHeight="1">
      <c r="A775" s="103"/>
      <c r="E775" s="93"/>
      <c r="F775" s="93"/>
    </row>
    <row r="776" ht="15.75" customHeight="1">
      <c r="A776" s="103"/>
      <c r="E776" s="93"/>
      <c r="F776" s="93"/>
    </row>
    <row r="777" ht="15.75" customHeight="1">
      <c r="A777" s="103"/>
      <c r="E777" s="93"/>
      <c r="F777" s="93"/>
    </row>
    <row r="778" ht="15.75" customHeight="1">
      <c r="A778" s="103"/>
      <c r="E778" s="93"/>
      <c r="F778" s="93"/>
    </row>
    <row r="779" ht="15.75" customHeight="1">
      <c r="A779" s="103"/>
      <c r="E779" s="93"/>
      <c r="F779" s="93"/>
    </row>
    <row r="780" ht="15.75" customHeight="1">
      <c r="A780" s="103"/>
      <c r="E780" s="93"/>
      <c r="F780" s="93"/>
    </row>
    <row r="781" ht="15.75" customHeight="1">
      <c r="A781" s="103"/>
      <c r="E781" s="93"/>
      <c r="F781" s="93"/>
    </row>
    <row r="782" ht="15.75" customHeight="1">
      <c r="A782" s="103"/>
      <c r="E782" s="93"/>
      <c r="F782" s="93"/>
    </row>
    <row r="783" ht="15.75" customHeight="1">
      <c r="A783" s="103"/>
      <c r="E783" s="93"/>
      <c r="F783" s="93"/>
    </row>
    <row r="784" ht="15.75" customHeight="1">
      <c r="A784" s="103"/>
      <c r="E784" s="93"/>
      <c r="F784" s="93"/>
    </row>
    <row r="785" ht="15.75" customHeight="1">
      <c r="A785" s="103"/>
      <c r="E785" s="93"/>
      <c r="F785" s="93"/>
    </row>
    <row r="786" ht="15.75" customHeight="1">
      <c r="A786" s="103"/>
      <c r="E786" s="93"/>
      <c r="F786" s="93"/>
    </row>
    <row r="787" ht="15.75" customHeight="1">
      <c r="A787" s="103"/>
      <c r="E787" s="93"/>
      <c r="F787" s="93"/>
    </row>
    <row r="788" ht="15.75" customHeight="1">
      <c r="A788" s="103"/>
      <c r="E788" s="93"/>
      <c r="F788" s="93"/>
    </row>
    <row r="789" ht="15.75" customHeight="1">
      <c r="A789" s="103"/>
      <c r="E789" s="93"/>
      <c r="F789" s="93"/>
    </row>
    <row r="790" ht="15.75" customHeight="1">
      <c r="A790" s="103"/>
      <c r="E790" s="93"/>
      <c r="F790" s="93"/>
    </row>
    <row r="791" ht="15.75" customHeight="1">
      <c r="A791" s="103"/>
      <c r="E791" s="93"/>
      <c r="F791" s="93"/>
    </row>
    <row r="792" ht="15.75" customHeight="1">
      <c r="A792" s="103"/>
      <c r="E792" s="93"/>
      <c r="F792" s="93"/>
    </row>
    <row r="793" ht="15.75" customHeight="1">
      <c r="A793" s="103"/>
      <c r="E793" s="93"/>
      <c r="F793" s="93"/>
    </row>
    <row r="794" ht="15.75" customHeight="1">
      <c r="A794" s="103"/>
      <c r="E794" s="93"/>
      <c r="F794" s="93"/>
    </row>
    <row r="795" ht="15.75" customHeight="1">
      <c r="A795" s="103"/>
      <c r="E795" s="93"/>
      <c r="F795" s="93"/>
    </row>
    <row r="796" ht="15.75" customHeight="1">
      <c r="A796" s="103"/>
      <c r="E796" s="93"/>
      <c r="F796" s="93"/>
    </row>
    <row r="797" ht="15.75" customHeight="1">
      <c r="A797" s="103"/>
      <c r="E797" s="93"/>
      <c r="F797" s="93"/>
    </row>
    <row r="798" ht="15.75" customHeight="1">
      <c r="A798" s="103"/>
      <c r="E798" s="93"/>
      <c r="F798" s="93"/>
    </row>
    <row r="799" ht="15.75" customHeight="1">
      <c r="A799" s="103"/>
      <c r="E799" s="93"/>
      <c r="F799" s="93"/>
    </row>
    <row r="800" ht="15.75" customHeight="1">
      <c r="A800" s="103"/>
      <c r="E800" s="93"/>
      <c r="F800" s="93"/>
    </row>
    <row r="801" ht="15.75" customHeight="1">
      <c r="A801" s="103"/>
      <c r="E801" s="93"/>
      <c r="F801" s="93"/>
    </row>
    <row r="802" ht="15.75" customHeight="1">
      <c r="A802" s="103"/>
      <c r="E802" s="93"/>
      <c r="F802" s="93"/>
    </row>
    <row r="803" ht="15.75" customHeight="1">
      <c r="A803" s="103"/>
      <c r="E803" s="93"/>
      <c r="F803" s="93"/>
    </row>
    <row r="804" ht="15.75" customHeight="1">
      <c r="A804" s="103"/>
      <c r="E804" s="93"/>
      <c r="F804" s="93"/>
    </row>
    <row r="805" ht="15.75" customHeight="1">
      <c r="A805" s="103"/>
      <c r="E805" s="93"/>
      <c r="F805" s="93"/>
    </row>
    <row r="806" ht="15.75" customHeight="1">
      <c r="A806" s="103"/>
      <c r="E806" s="93"/>
      <c r="F806" s="93"/>
    </row>
    <row r="807" ht="15.75" customHeight="1">
      <c r="A807" s="103"/>
      <c r="E807" s="93"/>
      <c r="F807" s="93"/>
    </row>
    <row r="808" ht="15.75" customHeight="1">
      <c r="A808" s="103"/>
      <c r="E808" s="93"/>
      <c r="F808" s="93"/>
    </row>
    <row r="809" ht="15.75" customHeight="1">
      <c r="A809" s="103"/>
      <c r="E809" s="93"/>
      <c r="F809" s="93"/>
    </row>
    <row r="810" ht="15.75" customHeight="1">
      <c r="A810" s="103"/>
      <c r="E810" s="93"/>
      <c r="F810" s="93"/>
    </row>
    <row r="811" ht="15.75" customHeight="1">
      <c r="A811" s="103"/>
      <c r="E811" s="93"/>
      <c r="F811" s="93"/>
    </row>
    <row r="812" ht="15.75" customHeight="1">
      <c r="A812" s="103"/>
      <c r="E812" s="93"/>
      <c r="F812" s="93"/>
    </row>
    <row r="813" ht="15.75" customHeight="1">
      <c r="A813" s="103"/>
      <c r="E813" s="93"/>
      <c r="F813" s="93"/>
    </row>
    <row r="814" ht="15.75" customHeight="1">
      <c r="A814" s="103"/>
      <c r="E814" s="93"/>
      <c r="F814" s="93"/>
    </row>
    <row r="815" ht="15.75" customHeight="1">
      <c r="A815" s="103"/>
      <c r="E815" s="93"/>
      <c r="F815" s="93"/>
    </row>
    <row r="816" ht="15.75" customHeight="1">
      <c r="A816" s="103"/>
      <c r="E816" s="93"/>
      <c r="F816" s="93"/>
    </row>
    <row r="817" ht="15.75" customHeight="1">
      <c r="A817" s="103"/>
      <c r="E817" s="93"/>
      <c r="F817" s="93"/>
    </row>
    <row r="818" ht="15.75" customHeight="1">
      <c r="A818" s="103"/>
      <c r="E818" s="93"/>
      <c r="F818" s="93"/>
    </row>
    <row r="819" ht="15.75" customHeight="1">
      <c r="A819" s="103"/>
      <c r="E819" s="93"/>
      <c r="F819" s="93"/>
    </row>
    <row r="820" ht="15.75" customHeight="1">
      <c r="A820" s="103"/>
      <c r="E820" s="93"/>
      <c r="F820" s="93"/>
    </row>
    <row r="821" ht="15.75" customHeight="1">
      <c r="A821" s="103"/>
      <c r="E821" s="93"/>
      <c r="F821" s="93"/>
    </row>
    <row r="822" ht="15.75" customHeight="1">
      <c r="A822" s="103"/>
      <c r="E822" s="93"/>
      <c r="F822" s="93"/>
    </row>
    <row r="823" ht="15.75" customHeight="1">
      <c r="A823" s="103"/>
      <c r="E823" s="93"/>
      <c r="F823" s="93"/>
    </row>
    <row r="824" ht="15.75" customHeight="1">
      <c r="A824" s="103"/>
      <c r="E824" s="93"/>
      <c r="F824" s="93"/>
    </row>
    <row r="825" ht="15.75" customHeight="1">
      <c r="A825" s="103"/>
      <c r="E825" s="93"/>
      <c r="F825" s="93"/>
    </row>
    <row r="826" ht="15.75" customHeight="1">
      <c r="A826" s="103"/>
      <c r="E826" s="93"/>
      <c r="F826" s="93"/>
    </row>
    <row r="827" ht="15.75" customHeight="1">
      <c r="A827" s="103"/>
      <c r="E827" s="93"/>
      <c r="F827" s="93"/>
    </row>
    <row r="828" ht="15.75" customHeight="1">
      <c r="A828" s="103"/>
      <c r="E828" s="93"/>
      <c r="F828" s="93"/>
    </row>
    <row r="829" ht="15.75" customHeight="1">
      <c r="A829" s="103"/>
      <c r="E829" s="93"/>
      <c r="F829" s="93"/>
    </row>
    <row r="830" ht="15.75" customHeight="1">
      <c r="A830" s="103"/>
      <c r="E830" s="93"/>
      <c r="F830" s="93"/>
    </row>
    <row r="831" ht="15.75" customHeight="1">
      <c r="A831" s="103"/>
      <c r="E831" s="93"/>
      <c r="F831" s="93"/>
    </row>
    <row r="832" ht="15.75" customHeight="1">
      <c r="A832" s="103"/>
      <c r="E832" s="93"/>
      <c r="F832" s="93"/>
    </row>
    <row r="833" ht="15.75" customHeight="1">
      <c r="A833" s="103"/>
      <c r="E833" s="93"/>
      <c r="F833" s="93"/>
    </row>
    <row r="834" ht="15.75" customHeight="1">
      <c r="A834" s="103"/>
      <c r="E834" s="93"/>
      <c r="F834" s="93"/>
    </row>
    <row r="835" ht="15.75" customHeight="1">
      <c r="A835" s="103"/>
      <c r="E835" s="93"/>
      <c r="F835" s="93"/>
    </row>
    <row r="836" ht="15.75" customHeight="1">
      <c r="A836" s="103"/>
      <c r="E836" s="93"/>
      <c r="F836" s="93"/>
    </row>
    <row r="837" ht="15.75" customHeight="1">
      <c r="A837" s="103"/>
      <c r="E837" s="93"/>
      <c r="F837" s="93"/>
    </row>
    <row r="838" ht="15.75" customHeight="1">
      <c r="A838" s="103"/>
      <c r="E838" s="93"/>
      <c r="F838" s="93"/>
    </row>
    <row r="839" ht="15.75" customHeight="1">
      <c r="A839" s="103"/>
      <c r="E839" s="93"/>
      <c r="F839" s="93"/>
    </row>
    <row r="840" ht="15.75" customHeight="1">
      <c r="A840" s="103"/>
      <c r="E840" s="93"/>
      <c r="F840" s="93"/>
    </row>
    <row r="841" ht="15.75" customHeight="1">
      <c r="A841" s="103"/>
      <c r="E841" s="93"/>
      <c r="F841" s="93"/>
    </row>
    <row r="842" ht="15.75" customHeight="1">
      <c r="A842" s="103"/>
      <c r="E842" s="93"/>
      <c r="F842" s="93"/>
    </row>
    <row r="843" ht="15.75" customHeight="1">
      <c r="A843" s="103"/>
      <c r="E843" s="93"/>
      <c r="F843" s="93"/>
    </row>
    <row r="844" ht="15.75" customHeight="1">
      <c r="A844" s="103"/>
      <c r="E844" s="93"/>
      <c r="F844" s="93"/>
    </row>
    <row r="845" ht="15.75" customHeight="1">
      <c r="A845" s="103"/>
      <c r="E845" s="93"/>
      <c r="F845" s="93"/>
    </row>
    <row r="846" ht="15.75" customHeight="1">
      <c r="A846" s="103"/>
      <c r="E846" s="93"/>
      <c r="F846" s="93"/>
    </row>
    <row r="847" ht="15.75" customHeight="1">
      <c r="A847" s="103"/>
      <c r="E847" s="93"/>
      <c r="F847" s="93"/>
    </row>
    <row r="848" ht="15.75" customHeight="1">
      <c r="A848" s="103"/>
      <c r="E848" s="93"/>
      <c r="F848" s="93"/>
    </row>
    <row r="849" ht="15.75" customHeight="1">
      <c r="A849" s="103"/>
      <c r="E849" s="93"/>
      <c r="F849" s="93"/>
    </row>
    <row r="850" ht="15.75" customHeight="1">
      <c r="A850" s="103"/>
      <c r="E850" s="93"/>
      <c r="F850" s="93"/>
    </row>
    <row r="851" ht="15.75" customHeight="1">
      <c r="A851" s="103"/>
      <c r="E851" s="93"/>
      <c r="F851" s="93"/>
    </row>
    <row r="852" ht="15.75" customHeight="1">
      <c r="A852" s="103"/>
      <c r="E852" s="93"/>
      <c r="F852" s="93"/>
    </row>
    <row r="853" ht="15.75" customHeight="1">
      <c r="A853" s="103"/>
      <c r="E853" s="93"/>
      <c r="F853" s="93"/>
    </row>
    <row r="854" ht="15.75" customHeight="1">
      <c r="A854" s="103"/>
      <c r="E854" s="93"/>
      <c r="F854" s="93"/>
    </row>
    <row r="855" ht="15.75" customHeight="1">
      <c r="A855" s="103"/>
      <c r="E855" s="93"/>
      <c r="F855" s="93"/>
    </row>
    <row r="856" ht="15.75" customHeight="1">
      <c r="A856" s="103"/>
      <c r="E856" s="93"/>
      <c r="F856" s="93"/>
    </row>
    <row r="857" ht="15.75" customHeight="1">
      <c r="A857" s="103"/>
      <c r="E857" s="93"/>
      <c r="F857" s="93"/>
    </row>
    <row r="858" ht="15.75" customHeight="1">
      <c r="A858" s="103"/>
      <c r="E858" s="93"/>
      <c r="F858" s="93"/>
    </row>
    <row r="859" ht="15.75" customHeight="1">
      <c r="A859" s="103"/>
      <c r="E859" s="93"/>
      <c r="F859" s="93"/>
    </row>
    <row r="860" ht="15.75" customHeight="1">
      <c r="A860" s="103"/>
      <c r="E860" s="93"/>
      <c r="F860" s="93"/>
    </row>
    <row r="861" ht="15.75" customHeight="1">
      <c r="A861" s="103"/>
      <c r="E861" s="93"/>
      <c r="F861" s="93"/>
    </row>
    <row r="862" ht="15.75" customHeight="1">
      <c r="A862" s="103"/>
      <c r="E862" s="93"/>
      <c r="F862" s="93"/>
    </row>
    <row r="863" ht="15.75" customHeight="1">
      <c r="A863" s="103"/>
      <c r="E863" s="93"/>
      <c r="F863" s="93"/>
    </row>
    <row r="864" ht="15.75" customHeight="1">
      <c r="A864" s="103"/>
      <c r="E864" s="93"/>
      <c r="F864" s="93"/>
    </row>
    <row r="865" ht="15.75" customHeight="1">
      <c r="A865" s="103"/>
      <c r="E865" s="93"/>
      <c r="F865" s="93"/>
    </row>
    <row r="866" ht="15.75" customHeight="1">
      <c r="A866" s="103"/>
      <c r="E866" s="93"/>
      <c r="F866" s="93"/>
    </row>
    <row r="867" ht="15.75" customHeight="1">
      <c r="A867" s="103"/>
      <c r="E867" s="93"/>
      <c r="F867" s="93"/>
    </row>
    <row r="868" ht="15.75" customHeight="1">
      <c r="A868" s="103"/>
      <c r="E868" s="93"/>
      <c r="F868" s="93"/>
    </row>
    <row r="869" ht="15.75" customHeight="1">
      <c r="A869" s="103"/>
      <c r="E869" s="93"/>
      <c r="F869" s="93"/>
    </row>
    <row r="870" ht="15.75" customHeight="1">
      <c r="A870" s="103"/>
      <c r="E870" s="93"/>
      <c r="F870" s="93"/>
    </row>
    <row r="871" ht="15.75" customHeight="1">
      <c r="A871" s="103"/>
      <c r="E871" s="93"/>
      <c r="F871" s="93"/>
    </row>
    <row r="872" ht="15.75" customHeight="1">
      <c r="A872" s="103"/>
      <c r="E872" s="93"/>
      <c r="F872" s="93"/>
    </row>
    <row r="873" ht="15.75" customHeight="1">
      <c r="A873" s="103"/>
      <c r="E873" s="93"/>
      <c r="F873" s="93"/>
    </row>
    <row r="874" ht="15.75" customHeight="1">
      <c r="A874" s="103"/>
      <c r="E874" s="93"/>
      <c r="F874" s="93"/>
    </row>
    <row r="875" ht="15.75" customHeight="1">
      <c r="A875" s="103"/>
      <c r="E875" s="93"/>
      <c r="F875" s="93"/>
    </row>
    <row r="876" ht="15.75" customHeight="1">
      <c r="A876" s="103"/>
      <c r="E876" s="93"/>
      <c r="F876" s="93"/>
    </row>
    <row r="877" ht="15.75" customHeight="1">
      <c r="A877" s="103"/>
      <c r="E877" s="93"/>
      <c r="F877" s="93"/>
    </row>
    <row r="878" ht="15.75" customHeight="1">
      <c r="A878" s="103"/>
      <c r="E878" s="93"/>
      <c r="F878" s="93"/>
    </row>
    <row r="879" ht="15.75" customHeight="1">
      <c r="A879" s="103"/>
      <c r="E879" s="93"/>
      <c r="F879" s="93"/>
    </row>
    <row r="880" ht="15.75" customHeight="1">
      <c r="A880" s="103"/>
      <c r="E880" s="93"/>
      <c r="F880" s="93"/>
    </row>
    <row r="881" ht="15.75" customHeight="1">
      <c r="A881" s="103"/>
      <c r="E881" s="93"/>
      <c r="F881" s="93"/>
    </row>
    <row r="882" ht="15.75" customHeight="1">
      <c r="A882" s="103"/>
      <c r="E882" s="93"/>
      <c r="F882" s="93"/>
    </row>
    <row r="883" ht="15.75" customHeight="1">
      <c r="A883" s="103"/>
      <c r="E883" s="93"/>
      <c r="F883" s="93"/>
    </row>
    <row r="884" ht="15.75" customHeight="1">
      <c r="A884" s="103"/>
      <c r="E884" s="93"/>
      <c r="F884" s="93"/>
    </row>
    <row r="885" ht="15.75" customHeight="1">
      <c r="A885" s="103"/>
      <c r="E885" s="93"/>
      <c r="F885" s="93"/>
    </row>
    <row r="886" ht="15.75" customHeight="1">
      <c r="A886" s="103"/>
      <c r="E886" s="93"/>
      <c r="F886" s="93"/>
    </row>
    <row r="887" ht="15.75" customHeight="1">
      <c r="A887" s="103"/>
      <c r="E887" s="93"/>
      <c r="F887" s="93"/>
    </row>
    <row r="888" ht="15.75" customHeight="1">
      <c r="A888" s="103"/>
      <c r="E888" s="93"/>
      <c r="F888" s="93"/>
    </row>
    <row r="889" ht="15.75" customHeight="1">
      <c r="A889" s="103"/>
      <c r="E889" s="93"/>
      <c r="F889" s="93"/>
    </row>
    <row r="890" ht="15.75" customHeight="1">
      <c r="A890" s="103"/>
      <c r="E890" s="93"/>
      <c r="F890" s="93"/>
    </row>
    <row r="891" ht="15.75" customHeight="1">
      <c r="A891" s="103"/>
      <c r="E891" s="93"/>
      <c r="F891" s="93"/>
    </row>
    <row r="892" ht="15.75" customHeight="1">
      <c r="A892" s="103"/>
      <c r="E892" s="93"/>
      <c r="F892" s="93"/>
    </row>
    <row r="893" ht="15.75" customHeight="1">
      <c r="A893" s="103"/>
      <c r="E893" s="93"/>
      <c r="F893" s="93"/>
    </row>
    <row r="894" ht="15.75" customHeight="1">
      <c r="A894" s="103"/>
      <c r="E894" s="93"/>
      <c r="F894" s="93"/>
    </row>
    <row r="895" ht="15.75" customHeight="1">
      <c r="A895" s="103"/>
      <c r="E895" s="93"/>
      <c r="F895" s="93"/>
    </row>
    <row r="896" ht="15.75" customHeight="1">
      <c r="A896" s="103"/>
      <c r="E896" s="93"/>
      <c r="F896" s="93"/>
    </row>
    <row r="897" ht="15.75" customHeight="1">
      <c r="A897" s="103"/>
      <c r="E897" s="93"/>
      <c r="F897" s="93"/>
    </row>
    <row r="898" ht="15.75" customHeight="1">
      <c r="A898" s="103"/>
      <c r="E898" s="93"/>
      <c r="F898" s="93"/>
    </row>
    <row r="899" ht="15.75" customHeight="1">
      <c r="A899" s="103"/>
      <c r="E899" s="93"/>
      <c r="F899" s="93"/>
    </row>
    <row r="900" ht="15.75" customHeight="1">
      <c r="A900" s="103"/>
      <c r="E900" s="93"/>
      <c r="F900" s="93"/>
    </row>
    <row r="901" ht="15.75" customHeight="1">
      <c r="A901" s="103"/>
      <c r="E901" s="93"/>
      <c r="F901" s="93"/>
    </row>
    <row r="902" ht="15.75" customHeight="1">
      <c r="A902" s="103"/>
      <c r="E902" s="93"/>
      <c r="F902" s="93"/>
    </row>
    <row r="903" ht="15.75" customHeight="1">
      <c r="A903" s="103"/>
      <c r="E903" s="93"/>
      <c r="F903" s="93"/>
    </row>
    <row r="904" ht="15.75" customHeight="1">
      <c r="A904" s="103"/>
      <c r="E904" s="93"/>
      <c r="F904" s="93"/>
    </row>
    <row r="905" ht="15.75" customHeight="1">
      <c r="A905" s="103"/>
      <c r="E905" s="93"/>
      <c r="F905" s="93"/>
    </row>
    <row r="906" ht="15.75" customHeight="1">
      <c r="A906" s="103"/>
      <c r="E906" s="93"/>
      <c r="F906" s="93"/>
    </row>
    <row r="907" ht="15.75" customHeight="1">
      <c r="A907" s="103"/>
      <c r="E907" s="93"/>
      <c r="F907" s="93"/>
    </row>
    <row r="908" ht="15.75" customHeight="1">
      <c r="A908" s="103"/>
      <c r="E908" s="93"/>
      <c r="F908" s="93"/>
    </row>
    <row r="909" ht="15.75" customHeight="1">
      <c r="A909" s="103"/>
      <c r="E909" s="93"/>
      <c r="F909" s="93"/>
    </row>
    <row r="910" ht="15.75" customHeight="1">
      <c r="A910" s="103"/>
      <c r="E910" s="93"/>
      <c r="F910" s="93"/>
    </row>
    <row r="911" ht="15.75" customHeight="1">
      <c r="A911" s="103"/>
      <c r="E911" s="93"/>
      <c r="F911" s="93"/>
    </row>
    <row r="912" ht="15.75" customHeight="1">
      <c r="A912" s="103"/>
      <c r="E912" s="93"/>
      <c r="F912" s="93"/>
    </row>
    <row r="913" ht="15.75" customHeight="1">
      <c r="A913" s="103"/>
      <c r="E913" s="93"/>
      <c r="F913" s="93"/>
    </row>
    <row r="914" ht="15.75" customHeight="1">
      <c r="A914" s="103"/>
      <c r="E914" s="93"/>
      <c r="F914" s="93"/>
    </row>
    <row r="915" ht="15.75" customHeight="1">
      <c r="A915" s="103"/>
      <c r="E915" s="93"/>
      <c r="F915" s="93"/>
    </row>
    <row r="916" ht="15.75" customHeight="1">
      <c r="A916" s="103"/>
      <c r="E916" s="93"/>
      <c r="F916" s="93"/>
    </row>
    <row r="917" ht="15.75" customHeight="1">
      <c r="A917" s="103"/>
      <c r="E917" s="93"/>
      <c r="F917" s="93"/>
    </row>
    <row r="918" ht="15.75" customHeight="1">
      <c r="A918" s="103"/>
      <c r="E918" s="93"/>
      <c r="F918" s="93"/>
    </row>
    <row r="919" ht="15.75" customHeight="1">
      <c r="A919" s="103"/>
      <c r="E919" s="93"/>
      <c r="F919" s="93"/>
    </row>
    <row r="920" ht="15.75" customHeight="1">
      <c r="A920" s="103"/>
      <c r="E920" s="93"/>
      <c r="F920" s="93"/>
    </row>
    <row r="921" ht="15.75" customHeight="1">
      <c r="A921" s="103"/>
      <c r="E921" s="93"/>
      <c r="F921" s="93"/>
    </row>
    <row r="922" ht="15.75" customHeight="1">
      <c r="A922" s="103"/>
      <c r="E922" s="93"/>
      <c r="F922" s="93"/>
    </row>
    <row r="923" ht="15.75" customHeight="1">
      <c r="A923" s="103"/>
      <c r="E923" s="93"/>
      <c r="F923" s="93"/>
    </row>
    <row r="924" ht="15.75" customHeight="1">
      <c r="A924" s="103"/>
      <c r="E924" s="93"/>
      <c r="F924" s="93"/>
    </row>
    <row r="925" ht="15.75" customHeight="1">
      <c r="A925" s="103"/>
      <c r="E925" s="93"/>
      <c r="F925" s="93"/>
    </row>
    <row r="926" ht="15.75" customHeight="1">
      <c r="A926" s="103"/>
      <c r="E926" s="93"/>
      <c r="F926" s="93"/>
    </row>
    <row r="927" ht="15.75" customHeight="1">
      <c r="A927" s="103"/>
      <c r="E927" s="93"/>
      <c r="F927" s="93"/>
    </row>
    <row r="928" ht="15.75" customHeight="1">
      <c r="A928" s="103"/>
      <c r="E928" s="93"/>
      <c r="F928" s="93"/>
    </row>
    <row r="929" ht="15.75" customHeight="1">
      <c r="A929" s="103"/>
      <c r="E929" s="93"/>
      <c r="F929" s="93"/>
    </row>
    <row r="930" ht="15.75" customHeight="1">
      <c r="A930" s="103"/>
      <c r="E930" s="93"/>
      <c r="F930" s="93"/>
    </row>
    <row r="931" ht="15.75" customHeight="1">
      <c r="A931" s="103"/>
      <c r="E931" s="93"/>
      <c r="F931" s="93"/>
    </row>
    <row r="932" ht="15.75" customHeight="1">
      <c r="A932" s="103"/>
      <c r="E932" s="93"/>
      <c r="F932" s="93"/>
    </row>
    <row r="933" ht="15.75" customHeight="1">
      <c r="A933" s="103"/>
      <c r="E933" s="93"/>
      <c r="F933" s="93"/>
    </row>
    <row r="934" ht="15.75" customHeight="1">
      <c r="A934" s="103"/>
      <c r="E934" s="93"/>
      <c r="F934" s="93"/>
    </row>
    <row r="935" ht="15.75" customHeight="1">
      <c r="A935" s="103"/>
      <c r="E935" s="93"/>
      <c r="F935" s="93"/>
    </row>
    <row r="936" ht="15.75" customHeight="1">
      <c r="A936" s="103"/>
      <c r="E936" s="93"/>
      <c r="F936" s="93"/>
    </row>
    <row r="937" ht="15.75" customHeight="1">
      <c r="A937" s="103"/>
      <c r="E937" s="93"/>
      <c r="F937" s="93"/>
    </row>
    <row r="938" ht="15.75" customHeight="1">
      <c r="A938" s="103"/>
      <c r="E938" s="93"/>
      <c r="F938" s="93"/>
    </row>
    <row r="939" ht="15.75" customHeight="1">
      <c r="A939" s="103"/>
      <c r="E939" s="93"/>
      <c r="F939" s="93"/>
    </row>
    <row r="940" ht="15.75" customHeight="1">
      <c r="A940" s="103"/>
      <c r="E940" s="93"/>
      <c r="F940" s="93"/>
    </row>
    <row r="941" ht="15.75" customHeight="1">
      <c r="A941" s="103"/>
      <c r="E941" s="93"/>
      <c r="F941" s="93"/>
    </row>
    <row r="942" ht="15.75" customHeight="1">
      <c r="A942" s="103"/>
      <c r="E942" s="93"/>
      <c r="F942" s="93"/>
    </row>
    <row r="943" ht="15.75" customHeight="1">
      <c r="A943" s="103"/>
      <c r="E943" s="93"/>
      <c r="F943" s="93"/>
    </row>
    <row r="944" ht="15.75" customHeight="1">
      <c r="A944" s="103"/>
      <c r="E944" s="93"/>
      <c r="F944" s="93"/>
    </row>
    <row r="945" ht="15.75" customHeight="1">
      <c r="A945" s="103"/>
      <c r="E945" s="93"/>
      <c r="F945" s="93"/>
    </row>
    <row r="946" ht="15.75" customHeight="1">
      <c r="A946" s="103"/>
      <c r="E946" s="93"/>
      <c r="F946" s="93"/>
    </row>
    <row r="947" ht="15.75" customHeight="1">
      <c r="A947" s="103"/>
      <c r="E947" s="93"/>
      <c r="F947" s="93"/>
    </row>
    <row r="948" ht="15.75" customHeight="1">
      <c r="A948" s="103"/>
      <c r="E948" s="93"/>
      <c r="F948" s="93"/>
    </row>
    <row r="949" ht="15.75" customHeight="1">
      <c r="A949" s="103"/>
      <c r="E949" s="93"/>
      <c r="F949" s="93"/>
    </row>
    <row r="950" ht="15.75" customHeight="1">
      <c r="A950" s="103"/>
      <c r="E950" s="93"/>
      <c r="F950" s="93"/>
    </row>
    <row r="951" ht="15.75" customHeight="1">
      <c r="A951" s="103"/>
      <c r="E951" s="93"/>
      <c r="F951" s="93"/>
    </row>
    <row r="952" ht="15.75" customHeight="1">
      <c r="A952" s="103"/>
      <c r="E952" s="93"/>
      <c r="F952" s="93"/>
    </row>
    <row r="953" ht="15.75" customHeight="1">
      <c r="A953" s="103"/>
      <c r="E953" s="93"/>
      <c r="F953" s="93"/>
    </row>
    <row r="954" ht="15.75" customHeight="1">
      <c r="A954" s="103"/>
      <c r="E954" s="93"/>
      <c r="F954" s="93"/>
    </row>
    <row r="955" ht="15.75" customHeight="1">
      <c r="A955" s="103"/>
      <c r="E955" s="93"/>
      <c r="F955" s="93"/>
    </row>
    <row r="956" ht="15.75" customHeight="1">
      <c r="A956" s="103"/>
      <c r="E956" s="93"/>
      <c r="F956" s="93"/>
    </row>
    <row r="957" ht="15.75" customHeight="1">
      <c r="A957" s="103"/>
      <c r="E957" s="93"/>
      <c r="F957" s="93"/>
    </row>
    <row r="958" ht="15.75" customHeight="1">
      <c r="A958" s="103"/>
      <c r="E958" s="93"/>
      <c r="F958" s="93"/>
    </row>
    <row r="959" ht="15.75" customHeight="1">
      <c r="A959" s="103"/>
      <c r="E959" s="93"/>
      <c r="F959" s="93"/>
    </row>
    <row r="960" ht="15.75" customHeight="1">
      <c r="A960" s="103"/>
      <c r="E960" s="93"/>
      <c r="F960" s="93"/>
    </row>
    <row r="961" ht="15.75" customHeight="1">
      <c r="A961" s="103"/>
      <c r="E961" s="93"/>
      <c r="F961" s="93"/>
    </row>
    <row r="962" ht="15.75" customHeight="1">
      <c r="A962" s="103"/>
      <c r="E962" s="93"/>
      <c r="F962" s="93"/>
    </row>
    <row r="963" ht="15.75" customHeight="1">
      <c r="A963" s="103"/>
      <c r="E963" s="93"/>
      <c r="F963" s="93"/>
    </row>
    <row r="964" ht="15.75" customHeight="1">
      <c r="A964" s="103"/>
      <c r="E964" s="93"/>
      <c r="F964" s="93"/>
    </row>
    <row r="965" ht="15.75" customHeight="1">
      <c r="A965" s="103"/>
      <c r="E965" s="93"/>
      <c r="F965" s="93"/>
    </row>
    <row r="966" ht="15.75" customHeight="1">
      <c r="A966" s="103"/>
      <c r="E966" s="93"/>
      <c r="F966" s="93"/>
    </row>
    <row r="967" ht="15.75" customHeight="1">
      <c r="A967" s="103"/>
      <c r="E967" s="93"/>
      <c r="F967" s="93"/>
    </row>
    <row r="968" ht="15.75" customHeight="1">
      <c r="A968" s="103"/>
      <c r="E968" s="93"/>
      <c r="F968" s="93"/>
    </row>
    <row r="969" ht="15.75" customHeight="1">
      <c r="A969" s="103"/>
      <c r="E969" s="93"/>
      <c r="F969" s="93"/>
    </row>
    <row r="970" ht="15.75" customHeight="1">
      <c r="A970" s="103"/>
      <c r="E970" s="93"/>
      <c r="F970" s="93"/>
    </row>
    <row r="971" ht="15.75" customHeight="1">
      <c r="A971" s="103"/>
      <c r="E971" s="93"/>
      <c r="F971" s="93"/>
    </row>
    <row r="972" ht="15.75" customHeight="1">
      <c r="A972" s="103"/>
      <c r="E972" s="93"/>
      <c r="F972" s="93"/>
    </row>
    <row r="973" ht="15.75" customHeight="1">
      <c r="A973" s="103"/>
      <c r="E973" s="93"/>
      <c r="F973" s="93"/>
    </row>
    <row r="974" ht="15.75" customHeight="1">
      <c r="A974" s="103"/>
      <c r="E974" s="93"/>
      <c r="F974" s="93"/>
    </row>
    <row r="975" ht="15.75" customHeight="1">
      <c r="A975" s="103"/>
      <c r="E975" s="93"/>
      <c r="F975" s="93"/>
    </row>
    <row r="976" ht="15.75" customHeight="1">
      <c r="A976" s="103"/>
      <c r="E976" s="93"/>
      <c r="F976" s="93"/>
    </row>
    <row r="977" ht="15.75" customHeight="1">
      <c r="A977" s="103"/>
      <c r="E977" s="93"/>
      <c r="F977" s="93"/>
    </row>
    <row r="978" ht="15.75" customHeight="1">
      <c r="A978" s="103"/>
      <c r="E978" s="93"/>
      <c r="F978" s="93"/>
    </row>
    <row r="979" ht="15.75" customHeight="1">
      <c r="A979" s="103"/>
      <c r="E979" s="93"/>
      <c r="F979" s="93"/>
    </row>
    <row r="980" ht="15.75" customHeight="1">
      <c r="A980" s="103"/>
      <c r="E980" s="93"/>
      <c r="F980" s="93"/>
    </row>
    <row r="981" ht="15.75" customHeight="1">
      <c r="A981" s="103"/>
      <c r="E981" s="93"/>
      <c r="F981" s="93"/>
    </row>
    <row r="982" ht="15.75" customHeight="1">
      <c r="A982" s="103"/>
      <c r="E982" s="93"/>
      <c r="F982" s="93"/>
    </row>
    <row r="983" ht="15.75" customHeight="1">
      <c r="A983" s="103"/>
      <c r="E983" s="93"/>
      <c r="F983" s="93"/>
    </row>
    <row r="984" ht="15.75" customHeight="1">
      <c r="A984" s="103"/>
      <c r="E984" s="93"/>
      <c r="F984" s="93"/>
    </row>
    <row r="985" ht="15.75" customHeight="1">
      <c r="A985" s="103"/>
      <c r="E985" s="93"/>
      <c r="F985" s="93"/>
    </row>
    <row r="986" ht="15.75" customHeight="1">
      <c r="A986" s="103"/>
      <c r="E986" s="93"/>
      <c r="F986" s="93"/>
    </row>
    <row r="987" ht="15.75" customHeight="1">
      <c r="A987" s="103"/>
      <c r="E987" s="93"/>
      <c r="F987" s="93"/>
    </row>
    <row r="988" ht="15.75" customHeight="1">
      <c r="A988" s="103"/>
      <c r="E988" s="93"/>
      <c r="F988" s="93"/>
    </row>
    <row r="989" ht="15.75" customHeight="1">
      <c r="A989" s="103"/>
      <c r="E989" s="93"/>
      <c r="F989" s="93"/>
    </row>
    <row r="990" ht="15.75" customHeight="1">
      <c r="A990" s="103"/>
      <c r="E990" s="93"/>
      <c r="F990" s="93"/>
    </row>
    <row r="991" ht="15.75" customHeight="1">
      <c r="A991" s="103"/>
      <c r="E991" s="93"/>
      <c r="F991" s="93"/>
    </row>
    <row r="992" ht="15.75" customHeight="1">
      <c r="A992" s="103"/>
      <c r="E992" s="93"/>
      <c r="F992" s="93"/>
    </row>
    <row r="993" ht="15.75" customHeight="1">
      <c r="A993" s="103"/>
      <c r="E993" s="93"/>
      <c r="F993" s="93"/>
    </row>
    <row r="994" ht="15.75" customHeight="1">
      <c r="A994" s="103"/>
      <c r="E994" s="93"/>
      <c r="F994" s="93"/>
    </row>
    <row r="995" ht="15.75" customHeight="1">
      <c r="A995" s="103"/>
      <c r="E995" s="93"/>
      <c r="F995" s="93"/>
    </row>
    <row r="996" ht="15.75" customHeight="1">
      <c r="A996" s="103"/>
      <c r="E996" s="93"/>
      <c r="F996" s="93"/>
    </row>
    <row r="997" ht="15.75" customHeight="1">
      <c r="A997" s="103"/>
      <c r="E997" s="93"/>
      <c r="F997" s="93"/>
    </row>
    <row r="998" ht="15.75" customHeight="1">
      <c r="A998" s="103"/>
      <c r="E998" s="93"/>
      <c r="F998" s="93"/>
    </row>
    <row r="999" ht="15.75" customHeight="1">
      <c r="A999" s="103"/>
      <c r="E999" s="93"/>
      <c r="F999" s="93"/>
    </row>
    <row r="1000" ht="15.75" customHeight="1">
      <c r="A1000" s="103"/>
      <c r="E1000" s="93"/>
      <c r="F1000" s="93"/>
    </row>
  </sheetData>
  <autoFilter ref="$A$2:$M$536"/>
  <hyperlinks>
    <hyperlink r:id="rId1" location="gid=1618543835" ref="B1"/>
  </hyperlinks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2" max="2" width="17.14"/>
    <col customWidth="1" min="5" max="5" width="29.29"/>
    <col hidden="1" min="9" max="20" width="14.43"/>
    <col customWidth="1" min="23" max="23" width="17.57"/>
    <col hidden="1" min="24" max="26" width="14.43"/>
  </cols>
  <sheetData>
    <row r="1">
      <c r="A1" s="105">
        <v>45392.0</v>
      </c>
      <c r="G1" s="106"/>
      <c r="H1" s="106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8"/>
      <c r="T1" s="107"/>
      <c r="U1" s="109"/>
      <c r="V1" s="106"/>
      <c r="W1" s="106"/>
      <c r="X1" s="108"/>
      <c r="Y1" s="106"/>
    </row>
    <row r="2">
      <c r="A2" s="110" t="s">
        <v>2489</v>
      </c>
      <c r="F2" s="108"/>
      <c r="G2" s="106"/>
      <c r="H2" s="106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6"/>
      <c r="W2" s="106"/>
      <c r="X2" s="108"/>
      <c r="Y2" s="108"/>
    </row>
    <row r="3">
      <c r="A3" s="111" t="s">
        <v>2490</v>
      </c>
      <c r="F3" s="108"/>
      <c r="G3" s="112" t="s">
        <v>2491</v>
      </c>
      <c r="H3" s="107"/>
      <c r="I3" s="113" t="s">
        <v>2492</v>
      </c>
      <c r="U3" s="107"/>
      <c r="V3" s="106"/>
      <c r="W3" s="106"/>
      <c r="X3" s="108"/>
      <c r="Y3" s="108"/>
    </row>
    <row r="4">
      <c r="A4" s="114"/>
      <c r="B4" s="114"/>
      <c r="C4" s="114"/>
      <c r="D4" s="114"/>
      <c r="E4" s="114"/>
      <c r="F4" s="115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6"/>
      <c r="V4" s="117"/>
      <c r="W4" s="117"/>
      <c r="X4" s="115"/>
      <c r="Y4" s="115"/>
    </row>
    <row r="5">
      <c r="A5" s="118" t="s">
        <v>0</v>
      </c>
      <c r="B5" s="118" t="s">
        <v>2493</v>
      </c>
      <c r="C5" s="118" t="s">
        <v>2494</v>
      </c>
      <c r="D5" s="118" t="s">
        <v>2495</v>
      </c>
      <c r="E5" s="118" t="s">
        <v>2496</v>
      </c>
      <c r="F5" s="119" t="s">
        <v>2497</v>
      </c>
      <c r="G5" s="118" t="s">
        <v>2498</v>
      </c>
      <c r="H5" s="120" t="s">
        <v>2499</v>
      </c>
      <c r="I5" s="120" t="s">
        <v>2500</v>
      </c>
      <c r="J5" s="120" t="s">
        <v>2501</v>
      </c>
      <c r="K5" s="120" t="s">
        <v>2502</v>
      </c>
      <c r="L5" s="120" t="s">
        <v>2503</v>
      </c>
      <c r="M5" s="120" t="s">
        <v>2504</v>
      </c>
      <c r="N5" s="120" t="s">
        <v>2505</v>
      </c>
      <c r="O5" s="120" t="s">
        <v>2506</v>
      </c>
      <c r="P5" s="120" t="s">
        <v>2507</v>
      </c>
      <c r="Q5" s="120" t="s">
        <v>2508</v>
      </c>
      <c r="R5" s="120" t="s">
        <v>2509</v>
      </c>
      <c r="S5" s="120" t="s">
        <v>2510</v>
      </c>
      <c r="T5" s="120" t="s">
        <v>2511</v>
      </c>
      <c r="U5" s="120" t="s">
        <v>2512</v>
      </c>
      <c r="V5" s="121" t="s">
        <v>2513</v>
      </c>
      <c r="W5" s="121" t="s">
        <v>2514</v>
      </c>
      <c r="X5" s="122"/>
      <c r="Y5" s="122"/>
    </row>
    <row r="6">
      <c r="A6" s="123"/>
      <c r="B6" s="124"/>
      <c r="C6" s="124"/>
      <c r="D6" s="124"/>
      <c r="E6" s="125" t="s">
        <v>2515</v>
      </c>
      <c r="F6" s="126">
        <v>1790261.93</v>
      </c>
      <c r="G6" s="124"/>
      <c r="H6" s="127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9"/>
      <c r="V6" s="130">
        <v>34110.0</v>
      </c>
      <c r="W6" s="131" t="s">
        <v>2516</v>
      </c>
      <c r="X6" s="132"/>
      <c r="Y6" s="133"/>
    </row>
    <row r="7">
      <c r="A7" s="134"/>
      <c r="B7" s="135"/>
      <c r="C7" s="135"/>
      <c r="D7" s="135"/>
      <c r="E7" s="135"/>
      <c r="F7" s="126">
        <v>19731.2</v>
      </c>
      <c r="G7" s="135"/>
      <c r="H7" s="135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36"/>
      <c r="V7" s="130">
        <v>34200.0</v>
      </c>
      <c r="W7" s="135"/>
      <c r="X7" s="132"/>
      <c r="Y7" s="132"/>
    </row>
    <row r="8">
      <c r="A8" s="134"/>
      <c r="B8" s="135"/>
      <c r="C8" s="135"/>
      <c r="D8" s="135"/>
      <c r="E8" s="135"/>
      <c r="F8" s="126">
        <v>160400.3</v>
      </c>
      <c r="G8" s="135"/>
      <c r="H8" s="135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9"/>
      <c r="V8" s="130">
        <v>34300.0</v>
      </c>
      <c r="W8" s="135"/>
      <c r="X8" s="132"/>
      <c r="Y8" s="132"/>
    </row>
    <row r="9">
      <c r="A9" s="134"/>
      <c r="B9" s="135"/>
      <c r="C9" s="135"/>
      <c r="D9" s="135"/>
      <c r="E9" s="135"/>
      <c r="F9" s="126">
        <v>2536.88</v>
      </c>
      <c r="G9" s="135"/>
      <c r="H9" s="135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36"/>
      <c r="V9" s="130">
        <v>34800.0</v>
      </c>
      <c r="W9" s="135"/>
      <c r="X9" s="132"/>
      <c r="Y9" s="132"/>
    </row>
    <row r="10">
      <c r="A10" s="134"/>
      <c r="B10" s="135"/>
      <c r="C10" s="135"/>
      <c r="D10" s="135"/>
      <c r="E10" s="135"/>
      <c r="F10" s="126">
        <v>975005.84</v>
      </c>
      <c r="G10" s="135"/>
      <c r="H10" s="135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36"/>
      <c r="V10" s="130">
        <v>39700.0</v>
      </c>
      <c r="W10" s="135"/>
      <c r="X10" s="132"/>
      <c r="Y10" s="132"/>
    </row>
    <row r="11">
      <c r="A11" s="137"/>
      <c r="B11" s="138"/>
      <c r="C11" s="138"/>
      <c r="D11" s="138"/>
      <c r="E11" s="138"/>
      <c r="F11" s="126">
        <v>2.569432047E7</v>
      </c>
      <c r="G11" s="138"/>
      <c r="H11" s="13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36"/>
      <c r="V11" s="130">
        <v>39800.0</v>
      </c>
      <c r="W11" s="138"/>
      <c r="X11" s="132"/>
      <c r="Y11" s="132"/>
    </row>
    <row r="12">
      <c r="A12" s="139"/>
      <c r="B12" s="140"/>
      <c r="C12" s="140"/>
      <c r="D12" s="140"/>
      <c r="E12" s="141" t="s">
        <v>2517</v>
      </c>
      <c r="F12" s="126">
        <v>3.2215087E7</v>
      </c>
      <c r="G12" s="140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36"/>
      <c r="V12" s="130">
        <v>24120.0</v>
      </c>
      <c r="W12" s="130" t="s">
        <v>2518</v>
      </c>
      <c r="X12" s="132"/>
      <c r="Y12" s="132"/>
    </row>
    <row r="13">
      <c r="A13" s="142" t="s">
        <v>2519</v>
      </c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38"/>
      <c r="X13" s="144"/>
      <c r="Y13" s="144"/>
    </row>
    <row r="14">
      <c r="A14" s="145">
        <v>1.0</v>
      </c>
      <c r="B14" s="146" t="s">
        <v>2520</v>
      </c>
      <c r="C14" s="147" t="s">
        <v>2521</v>
      </c>
      <c r="D14" s="146" t="s">
        <v>2522</v>
      </c>
      <c r="E14" s="148" t="s">
        <v>2523</v>
      </c>
      <c r="F14" s="149">
        <v>6998382.54</v>
      </c>
      <c r="G14" s="150" t="s">
        <v>2503</v>
      </c>
      <c r="H14" s="151" t="s">
        <v>2504</v>
      </c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3">
        <f>F14</f>
        <v>6998382.54</v>
      </c>
      <c r="T14" s="152"/>
      <c r="U14" s="154" t="s">
        <v>2524</v>
      </c>
      <c r="V14" s="147">
        <v>24120.0</v>
      </c>
      <c r="W14" s="155" t="b">
        <v>1</v>
      </c>
      <c r="X14" s="156"/>
      <c r="Y14" s="144"/>
    </row>
    <row r="15">
      <c r="A15" s="157">
        <v>2.0</v>
      </c>
      <c r="B15" s="158" t="s">
        <v>2520</v>
      </c>
      <c r="C15" s="159" t="s">
        <v>2521</v>
      </c>
      <c r="D15" s="158" t="s">
        <v>2525</v>
      </c>
      <c r="E15" s="160" t="s">
        <v>2526</v>
      </c>
      <c r="F15" s="161">
        <v>2313238.52</v>
      </c>
      <c r="G15" s="162" t="s">
        <v>2503</v>
      </c>
      <c r="H15" s="163" t="s">
        <v>2504</v>
      </c>
      <c r="I15" s="164"/>
      <c r="J15" s="164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5"/>
      <c r="V15" s="166">
        <v>34300.0</v>
      </c>
      <c r="W15" s="159" t="b">
        <v>1</v>
      </c>
      <c r="X15" s="156"/>
      <c r="Y15" s="144"/>
    </row>
    <row r="16">
      <c r="A16" s="134"/>
      <c r="B16" s="135"/>
      <c r="C16" s="135"/>
      <c r="D16" s="135"/>
      <c r="E16" s="135"/>
      <c r="F16" s="161">
        <v>958625.63</v>
      </c>
      <c r="G16" s="135"/>
      <c r="H16" s="135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5"/>
      <c r="V16" s="166">
        <v>39700.0</v>
      </c>
      <c r="W16" s="135"/>
      <c r="X16" s="156"/>
      <c r="Y16" s="144"/>
    </row>
    <row r="17">
      <c r="A17" s="134"/>
      <c r="B17" s="135"/>
      <c r="C17" s="135"/>
      <c r="D17" s="135"/>
      <c r="E17" s="135"/>
      <c r="F17" s="161">
        <v>1.447136359E7</v>
      </c>
      <c r="G17" s="135"/>
      <c r="H17" s="135"/>
      <c r="I17" s="164"/>
      <c r="J17" s="164"/>
      <c r="K17" s="164"/>
      <c r="L17" s="164"/>
      <c r="M17" s="164"/>
      <c r="N17" s="164"/>
      <c r="O17" s="164"/>
      <c r="P17" s="164"/>
      <c r="Q17" s="164"/>
      <c r="R17" s="164"/>
      <c r="S17" s="164"/>
      <c r="T17" s="164"/>
      <c r="U17" s="165"/>
      <c r="V17" s="166">
        <v>39800.0</v>
      </c>
      <c r="W17" s="135"/>
      <c r="X17" s="167"/>
      <c r="Y17" s="168"/>
    </row>
    <row r="18">
      <c r="A18" s="134"/>
      <c r="B18" s="135"/>
      <c r="C18" s="135"/>
      <c r="D18" s="135"/>
      <c r="E18" s="135"/>
      <c r="F18" s="161">
        <v>422.17</v>
      </c>
      <c r="G18" s="135"/>
      <c r="H18" s="135"/>
      <c r="I18" s="164"/>
      <c r="J18" s="164"/>
      <c r="K18" s="164"/>
      <c r="L18" s="164"/>
      <c r="M18" s="164"/>
      <c r="N18" s="164"/>
      <c r="O18" s="164"/>
      <c r="P18" s="164"/>
      <c r="Q18" s="164"/>
      <c r="R18" s="164"/>
      <c r="S18" s="164"/>
      <c r="T18" s="164"/>
      <c r="U18" s="165"/>
      <c r="V18" s="166">
        <v>34200.0</v>
      </c>
      <c r="W18" s="135"/>
      <c r="X18" s="167"/>
      <c r="Y18" s="168"/>
    </row>
    <row r="19">
      <c r="A19" s="134"/>
      <c r="B19" s="135"/>
      <c r="C19" s="135"/>
      <c r="D19" s="135"/>
      <c r="E19" s="135"/>
      <c r="F19" s="161">
        <v>4826.59</v>
      </c>
      <c r="G19" s="135"/>
      <c r="H19" s="135"/>
      <c r="I19" s="164"/>
      <c r="J19" s="164"/>
      <c r="K19" s="164"/>
      <c r="L19" s="164"/>
      <c r="M19" s="164"/>
      <c r="N19" s="164"/>
      <c r="O19" s="164"/>
      <c r="P19" s="164"/>
      <c r="Q19" s="164"/>
      <c r="R19" s="164"/>
      <c r="S19" s="164"/>
      <c r="T19" s="164"/>
      <c r="U19" s="169"/>
      <c r="V19" s="170">
        <v>34800.0</v>
      </c>
      <c r="W19" s="135"/>
      <c r="X19" s="167"/>
      <c r="Y19" s="168"/>
    </row>
    <row r="20">
      <c r="A20" s="137"/>
      <c r="B20" s="138"/>
      <c r="C20" s="138"/>
      <c r="D20" s="138"/>
      <c r="E20" s="138"/>
      <c r="F20" s="161">
        <v>233829.84</v>
      </c>
      <c r="G20" s="138"/>
      <c r="H20" s="138"/>
      <c r="I20" s="164"/>
      <c r="J20" s="171" t="s">
        <v>2527</v>
      </c>
      <c r="K20" s="164"/>
      <c r="L20" s="164"/>
      <c r="M20" s="171">
        <v>920300.0</v>
      </c>
      <c r="N20" s="164"/>
      <c r="O20" s="164"/>
      <c r="P20" s="164"/>
      <c r="Q20" s="164"/>
      <c r="R20" s="164"/>
      <c r="S20" s="164"/>
      <c r="T20" s="164"/>
      <c r="U20" s="172" t="s">
        <v>2524</v>
      </c>
      <c r="V20" s="166">
        <v>34110.0</v>
      </c>
      <c r="W20" s="138"/>
      <c r="X20" s="173"/>
      <c r="Y20" s="174"/>
    </row>
    <row r="21">
      <c r="A21" s="175">
        <v>3.0</v>
      </c>
      <c r="B21" s="176" t="s">
        <v>2520</v>
      </c>
      <c r="C21" s="170" t="s">
        <v>2521</v>
      </c>
      <c r="D21" s="177" t="s">
        <v>2522</v>
      </c>
      <c r="E21" s="178" t="s">
        <v>2528</v>
      </c>
      <c r="F21" s="161">
        <v>1831718.7</v>
      </c>
      <c r="G21" s="179" t="s">
        <v>2505</v>
      </c>
      <c r="H21" s="171" t="s">
        <v>2506</v>
      </c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72">
        <v>45325.0</v>
      </c>
      <c r="V21" s="166">
        <v>24120.0</v>
      </c>
      <c r="W21" s="169"/>
      <c r="X21" s="173"/>
      <c r="Y21" s="180"/>
    </row>
    <row r="22">
      <c r="A22" s="175">
        <v>3.0</v>
      </c>
      <c r="B22" s="177" t="s">
        <v>2520</v>
      </c>
      <c r="C22" s="170" t="s">
        <v>2529</v>
      </c>
      <c r="D22" s="177" t="s">
        <v>2525</v>
      </c>
      <c r="E22" s="178" t="s">
        <v>2530</v>
      </c>
      <c r="F22" s="161">
        <v>216000.0</v>
      </c>
      <c r="G22" s="181" t="s">
        <v>2503</v>
      </c>
      <c r="H22" s="171" t="s">
        <v>2504</v>
      </c>
      <c r="I22" s="164"/>
      <c r="J22" s="171" t="s">
        <v>2531</v>
      </c>
      <c r="K22" s="164"/>
      <c r="L22" s="164"/>
      <c r="M22" s="182">
        <f>F22</f>
        <v>216000</v>
      </c>
      <c r="N22" s="164"/>
      <c r="O22" s="164"/>
      <c r="P22" s="164"/>
      <c r="Q22" s="164"/>
      <c r="R22" s="164"/>
      <c r="S22" s="164"/>
      <c r="T22" s="164"/>
      <c r="U22" s="170" t="s">
        <v>2524</v>
      </c>
      <c r="V22" s="170">
        <v>39800.0</v>
      </c>
      <c r="W22" s="170" t="b">
        <v>0</v>
      </c>
      <c r="X22" s="173"/>
      <c r="Y22" s="174"/>
    </row>
    <row r="23">
      <c r="A23" s="175">
        <v>4.0</v>
      </c>
      <c r="B23" s="176" t="s">
        <v>2520</v>
      </c>
      <c r="C23" s="166" t="s">
        <v>2521</v>
      </c>
      <c r="D23" s="176" t="s">
        <v>2522</v>
      </c>
      <c r="E23" s="178" t="s">
        <v>2532</v>
      </c>
      <c r="F23" s="161">
        <v>1760000.0</v>
      </c>
      <c r="G23" s="179" t="s">
        <v>2503</v>
      </c>
      <c r="H23" s="171" t="s">
        <v>2503</v>
      </c>
      <c r="I23" s="164"/>
      <c r="J23" s="171" t="s">
        <v>2533</v>
      </c>
      <c r="K23" s="164"/>
      <c r="L23" s="171">
        <f>F23/2</f>
        <v>880000</v>
      </c>
      <c r="M23" s="164"/>
      <c r="N23" s="164"/>
      <c r="O23" s="164"/>
      <c r="P23" s="164"/>
      <c r="Q23" s="164"/>
      <c r="R23" s="164"/>
      <c r="S23" s="164"/>
      <c r="T23" s="171">
        <f>F23/2</f>
        <v>880000</v>
      </c>
      <c r="U23" s="172" t="s">
        <v>2524</v>
      </c>
      <c r="V23" s="166">
        <v>24120.0</v>
      </c>
      <c r="W23" s="183"/>
      <c r="X23" s="173"/>
      <c r="Y23" s="174"/>
    </row>
    <row r="24">
      <c r="A24" s="175">
        <v>5.0</v>
      </c>
      <c r="B24" s="176" t="s">
        <v>2520</v>
      </c>
      <c r="C24" s="166" t="s">
        <v>2534</v>
      </c>
      <c r="D24" s="176" t="s">
        <v>2522</v>
      </c>
      <c r="E24" s="176" t="s">
        <v>2535</v>
      </c>
      <c r="F24" s="161">
        <v>43300.0</v>
      </c>
      <c r="G24" s="179" t="s">
        <v>2505</v>
      </c>
      <c r="H24" s="171" t="s">
        <v>2506</v>
      </c>
      <c r="I24" s="164"/>
      <c r="J24" s="171" t="s">
        <v>2536</v>
      </c>
      <c r="K24" s="164"/>
      <c r="L24" s="164"/>
      <c r="M24" s="164"/>
      <c r="N24" s="164"/>
      <c r="O24" s="171" t="str">
        <f>'PAC Marzo-Abril'!$F22/2</f>
        <v>#REF!</v>
      </c>
      <c r="P24" s="164"/>
      <c r="Q24" s="171" t="str">
        <f>'PAC Marzo-Abril'!$F22/2</f>
        <v>#REF!</v>
      </c>
      <c r="R24" s="164"/>
      <c r="S24" s="164"/>
      <c r="T24" s="164"/>
      <c r="U24" s="172" t="s">
        <v>2524</v>
      </c>
      <c r="V24" s="166">
        <v>24120.0</v>
      </c>
      <c r="W24" s="183"/>
      <c r="X24" s="156"/>
      <c r="Y24" s="174"/>
    </row>
    <row r="25">
      <c r="A25" s="175">
        <v>6.0</v>
      </c>
      <c r="B25" s="176" t="s">
        <v>2520</v>
      </c>
      <c r="C25" s="166" t="s">
        <v>2521</v>
      </c>
      <c r="D25" s="176" t="s">
        <v>2522</v>
      </c>
      <c r="E25" s="176" t="s">
        <v>2537</v>
      </c>
      <c r="F25" s="161">
        <v>223065.88</v>
      </c>
      <c r="G25" s="179" t="s">
        <v>2506</v>
      </c>
      <c r="H25" s="171" t="s">
        <v>2507</v>
      </c>
      <c r="I25" s="164"/>
      <c r="J25" s="171" t="s">
        <v>2538</v>
      </c>
      <c r="K25" s="164"/>
      <c r="L25" s="171" t="str">
        <f t="shared" ref="L25:N25" si="1">'PAC Marzo-Abril'!$F23/3</f>
        <v>#REF!</v>
      </c>
      <c r="M25" s="171" t="str">
        <f t="shared" si="1"/>
        <v>#REF!</v>
      </c>
      <c r="N25" s="171" t="str">
        <f t="shared" si="1"/>
        <v>#REF!</v>
      </c>
      <c r="O25" s="164"/>
      <c r="P25" s="164"/>
      <c r="Q25" s="164"/>
      <c r="R25" s="164"/>
      <c r="S25" s="164"/>
      <c r="T25" s="164"/>
      <c r="U25" s="172" t="s">
        <v>2524</v>
      </c>
      <c r="V25" s="166" t="s">
        <v>2539</v>
      </c>
      <c r="W25" s="183"/>
      <c r="X25" s="173"/>
      <c r="Y25" s="174"/>
    </row>
    <row r="26">
      <c r="A26" s="175">
        <v>7.0</v>
      </c>
      <c r="B26" s="176" t="s">
        <v>2520</v>
      </c>
      <c r="C26" s="166" t="s">
        <v>2521</v>
      </c>
      <c r="D26" s="176" t="s">
        <v>2522</v>
      </c>
      <c r="E26" s="176" t="s">
        <v>2540</v>
      </c>
      <c r="F26" s="161">
        <v>1687087.15</v>
      </c>
      <c r="G26" s="179" t="s">
        <v>2504</v>
      </c>
      <c r="H26" s="171" t="s">
        <v>2505</v>
      </c>
      <c r="I26" s="164"/>
      <c r="J26" s="171" t="s">
        <v>2541</v>
      </c>
      <c r="K26" s="164"/>
      <c r="L26" s="164"/>
      <c r="M26" s="164"/>
      <c r="N26" s="171">
        <v>95053.375</v>
      </c>
      <c r="O26" s="171">
        <v>95053.375</v>
      </c>
      <c r="P26" s="171">
        <v>95053.375</v>
      </c>
      <c r="Q26" s="171">
        <v>95053.375</v>
      </c>
      <c r="R26" s="171">
        <v>95053.375</v>
      </c>
      <c r="S26" s="171">
        <v>95053.375</v>
      </c>
      <c r="T26" s="171">
        <f>95053.375*2</f>
        <v>190106.75</v>
      </c>
      <c r="U26" s="172" t="s">
        <v>2524</v>
      </c>
      <c r="V26" s="166" t="s">
        <v>2539</v>
      </c>
      <c r="W26" s="183"/>
      <c r="X26" s="173"/>
      <c r="Y26" s="174"/>
    </row>
    <row r="27">
      <c r="A27" s="175">
        <v>8.0</v>
      </c>
      <c r="B27" s="176" t="s">
        <v>2520</v>
      </c>
      <c r="C27" s="166" t="s">
        <v>2521</v>
      </c>
      <c r="D27" s="176" t="s">
        <v>2522</v>
      </c>
      <c r="E27" s="176" t="s">
        <v>2542</v>
      </c>
      <c r="F27" s="161">
        <v>901952.8</v>
      </c>
      <c r="G27" s="179" t="s">
        <v>2505</v>
      </c>
      <c r="H27" s="171" t="s">
        <v>2506</v>
      </c>
      <c r="I27" s="164"/>
      <c r="J27" s="171" t="s">
        <v>2543</v>
      </c>
      <c r="K27" s="164"/>
      <c r="L27" s="171">
        <v>112100.0</v>
      </c>
      <c r="M27" s="171">
        <v>112100.0</v>
      </c>
      <c r="N27" s="171">
        <v>121933.34</v>
      </c>
      <c r="O27" s="171">
        <v>121933.33</v>
      </c>
      <c r="P27" s="171">
        <v>121933.33</v>
      </c>
      <c r="Q27" s="171">
        <v>153400.0</v>
      </c>
      <c r="R27" s="171">
        <v>153400.0</v>
      </c>
      <c r="S27" s="164"/>
      <c r="T27" s="164"/>
      <c r="U27" s="172" t="s">
        <v>2524</v>
      </c>
      <c r="V27" s="166" t="s">
        <v>2539</v>
      </c>
      <c r="W27" s="183"/>
      <c r="X27" s="173"/>
      <c r="Y27" s="174"/>
    </row>
    <row r="28">
      <c r="A28" s="175">
        <v>9.0</v>
      </c>
      <c r="B28" s="177" t="s">
        <v>2520</v>
      </c>
      <c r="C28" s="170" t="s">
        <v>2534</v>
      </c>
      <c r="D28" s="177" t="s">
        <v>2522</v>
      </c>
      <c r="E28" s="177" t="s">
        <v>2544</v>
      </c>
      <c r="F28" s="161">
        <v>130000.0</v>
      </c>
      <c r="G28" s="179" t="s">
        <v>2500</v>
      </c>
      <c r="H28" s="171" t="s">
        <v>2501</v>
      </c>
      <c r="I28" s="164"/>
      <c r="J28" s="171" t="s">
        <v>2545</v>
      </c>
      <c r="K28" s="171">
        <v>32500.0</v>
      </c>
      <c r="L28" s="164"/>
      <c r="M28" s="164"/>
      <c r="N28" s="171">
        <v>32500.0</v>
      </c>
      <c r="O28" s="164"/>
      <c r="P28" s="164"/>
      <c r="Q28" s="171">
        <v>32500.0</v>
      </c>
      <c r="R28" s="164"/>
      <c r="S28" s="164"/>
      <c r="T28" s="171">
        <v>32500.0</v>
      </c>
      <c r="U28" s="170" t="s">
        <v>2524</v>
      </c>
      <c r="V28" s="166">
        <v>24120.0</v>
      </c>
      <c r="W28" s="183"/>
      <c r="X28" s="173"/>
      <c r="Y28" s="174"/>
    </row>
    <row r="29">
      <c r="A29" s="175">
        <v>10.0</v>
      </c>
      <c r="B29" s="177" t="s">
        <v>2520</v>
      </c>
      <c r="C29" s="170" t="s">
        <v>2534</v>
      </c>
      <c r="D29" s="177" t="s">
        <v>2522</v>
      </c>
      <c r="E29" s="184" t="s">
        <v>2546</v>
      </c>
      <c r="F29" s="161">
        <v>80000.0</v>
      </c>
      <c r="G29" s="179" t="s">
        <v>2504</v>
      </c>
      <c r="H29" s="171" t="s">
        <v>2505</v>
      </c>
      <c r="I29" s="164"/>
      <c r="J29" s="171" t="s">
        <v>2547</v>
      </c>
      <c r="K29" s="171">
        <v>30000.0</v>
      </c>
      <c r="L29" s="164"/>
      <c r="M29" s="164"/>
      <c r="N29" s="171">
        <v>30000.0</v>
      </c>
      <c r="O29" s="164"/>
      <c r="P29" s="164"/>
      <c r="Q29" s="171">
        <v>30000.0</v>
      </c>
      <c r="R29" s="164"/>
      <c r="S29" s="164"/>
      <c r="T29" s="171">
        <v>30000.0</v>
      </c>
      <c r="U29" s="170" t="s">
        <v>2524</v>
      </c>
      <c r="V29" s="166">
        <v>24120.0</v>
      </c>
      <c r="W29" s="169"/>
      <c r="X29" s="173"/>
      <c r="Y29" s="174"/>
    </row>
    <row r="30">
      <c r="A30" s="175">
        <v>11.0</v>
      </c>
      <c r="B30" s="176" t="s">
        <v>2520</v>
      </c>
      <c r="C30" s="166" t="s">
        <v>2534</v>
      </c>
      <c r="D30" s="176" t="s">
        <v>2522</v>
      </c>
      <c r="E30" s="185" t="s">
        <v>2548</v>
      </c>
      <c r="F30" s="161">
        <v>175000.0</v>
      </c>
      <c r="G30" s="179" t="s">
        <v>2503</v>
      </c>
      <c r="H30" s="171" t="s">
        <v>2504</v>
      </c>
      <c r="I30" s="164"/>
      <c r="J30" s="171" t="s">
        <v>2549</v>
      </c>
      <c r="K30" s="164"/>
      <c r="L30" s="164"/>
      <c r="M30" s="164"/>
      <c r="N30" s="171">
        <v>176000.0</v>
      </c>
      <c r="O30" s="164"/>
      <c r="P30" s="164"/>
      <c r="Q30" s="164"/>
      <c r="R30" s="171">
        <v>176000.0</v>
      </c>
      <c r="S30" s="164"/>
      <c r="T30" s="164"/>
      <c r="U30" s="186" t="s">
        <v>2524</v>
      </c>
      <c r="V30" s="166">
        <v>24120.0</v>
      </c>
      <c r="W30" s="183"/>
      <c r="X30" s="173"/>
      <c r="Y30" s="174"/>
    </row>
    <row r="31">
      <c r="A31" s="157">
        <v>12.0</v>
      </c>
      <c r="B31" s="158" t="s">
        <v>2520</v>
      </c>
      <c r="C31" s="187"/>
      <c r="D31" s="158" t="s">
        <v>2522</v>
      </c>
      <c r="E31" s="158" t="s">
        <v>2550</v>
      </c>
      <c r="F31" s="188">
        <v>50000.0</v>
      </c>
      <c r="G31" s="187"/>
      <c r="H31" s="189"/>
      <c r="I31" s="164"/>
      <c r="J31" s="171" t="s">
        <v>2551</v>
      </c>
      <c r="K31" s="164"/>
      <c r="L31" s="164"/>
      <c r="M31" s="171">
        <v>40000.0</v>
      </c>
      <c r="N31" s="164"/>
      <c r="O31" s="164"/>
      <c r="P31" s="164"/>
      <c r="Q31" s="164"/>
      <c r="R31" s="164"/>
      <c r="S31" s="164"/>
      <c r="T31" s="164"/>
      <c r="U31" s="186" t="s">
        <v>2524</v>
      </c>
      <c r="V31" s="159">
        <v>24120.0</v>
      </c>
      <c r="W31" s="187"/>
      <c r="X31" s="190"/>
      <c r="Y31" s="174"/>
    </row>
    <row r="32">
      <c r="A32" s="137"/>
      <c r="B32" s="138"/>
      <c r="C32" s="138"/>
      <c r="D32" s="138"/>
      <c r="E32" s="138"/>
      <c r="F32" s="138"/>
      <c r="G32" s="138"/>
      <c r="H32" s="138"/>
      <c r="I32" s="164"/>
      <c r="J32" s="171" t="s">
        <v>2552</v>
      </c>
      <c r="K32" s="164"/>
      <c r="L32" s="164"/>
      <c r="M32" s="171">
        <v>10000.0</v>
      </c>
      <c r="N32" s="164"/>
      <c r="O32" s="164"/>
      <c r="P32" s="164"/>
      <c r="Q32" s="164"/>
      <c r="R32" s="164"/>
      <c r="S32" s="164"/>
      <c r="T32" s="164"/>
      <c r="U32" s="183"/>
      <c r="V32" s="138"/>
      <c r="W32" s="138"/>
      <c r="X32" s="173"/>
      <c r="Y32" s="174"/>
    </row>
    <row r="33">
      <c r="A33" s="175">
        <v>13.0</v>
      </c>
      <c r="B33" s="176" t="s">
        <v>2520</v>
      </c>
      <c r="C33" s="170" t="s">
        <v>2521</v>
      </c>
      <c r="D33" s="177" t="s">
        <v>2525</v>
      </c>
      <c r="E33" s="178" t="s">
        <v>2553</v>
      </c>
      <c r="F33" s="161">
        <v>950000.0</v>
      </c>
      <c r="G33" s="181" t="s">
        <v>2503</v>
      </c>
      <c r="H33" s="171" t="s">
        <v>2504</v>
      </c>
      <c r="I33" s="171" t="s">
        <v>2554</v>
      </c>
      <c r="J33" s="164"/>
      <c r="K33" s="182">
        <f>F33</f>
        <v>950000</v>
      </c>
      <c r="L33" s="164"/>
      <c r="M33" s="164"/>
      <c r="N33" s="164"/>
      <c r="O33" s="164"/>
      <c r="P33" s="164"/>
      <c r="Q33" s="164"/>
      <c r="R33" s="164"/>
      <c r="S33" s="164"/>
      <c r="T33" s="164"/>
      <c r="U33" s="172" t="s">
        <v>2524</v>
      </c>
      <c r="V33" s="170">
        <v>34110.0</v>
      </c>
      <c r="W33" s="166" t="b">
        <v>1</v>
      </c>
      <c r="X33" s="173"/>
      <c r="Y33" s="174"/>
    </row>
    <row r="34">
      <c r="A34" s="175">
        <v>14.0</v>
      </c>
      <c r="B34" s="176" t="s">
        <v>2520</v>
      </c>
      <c r="C34" s="166" t="s">
        <v>2529</v>
      </c>
      <c r="D34" s="176" t="s">
        <v>2525</v>
      </c>
      <c r="E34" s="178" t="s">
        <v>2555</v>
      </c>
      <c r="F34" s="191">
        <v>345000.0</v>
      </c>
      <c r="G34" s="181" t="s">
        <v>2504</v>
      </c>
      <c r="H34" s="171" t="s">
        <v>2505</v>
      </c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72">
        <v>45325.0</v>
      </c>
      <c r="V34" s="170">
        <v>34110.0</v>
      </c>
      <c r="W34" s="170" t="b">
        <v>1</v>
      </c>
      <c r="X34" s="173"/>
      <c r="Y34" s="174"/>
    </row>
    <row r="35">
      <c r="A35" s="175">
        <v>15.0</v>
      </c>
      <c r="B35" s="176" t="s">
        <v>2520</v>
      </c>
      <c r="C35" s="166" t="s">
        <v>2556</v>
      </c>
      <c r="D35" s="176" t="s">
        <v>2525</v>
      </c>
      <c r="E35" s="176" t="s">
        <v>2557</v>
      </c>
      <c r="F35" s="161">
        <v>55800.0</v>
      </c>
      <c r="G35" s="181" t="s">
        <v>2504</v>
      </c>
      <c r="H35" s="171" t="s">
        <v>2505</v>
      </c>
      <c r="I35" s="164"/>
      <c r="J35" s="164"/>
      <c r="K35" s="164"/>
      <c r="L35" s="164"/>
      <c r="M35" s="164"/>
      <c r="N35" s="164"/>
      <c r="O35" s="182">
        <f>F35</f>
        <v>55800</v>
      </c>
      <c r="P35" s="164"/>
      <c r="Q35" s="164"/>
      <c r="R35" s="164"/>
      <c r="S35" s="164"/>
      <c r="T35" s="164"/>
      <c r="U35" s="170" t="s">
        <v>2524</v>
      </c>
      <c r="V35" s="166">
        <v>34110.0</v>
      </c>
      <c r="W35" s="183"/>
      <c r="X35" s="156"/>
      <c r="Y35" s="174"/>
    </row>
    <row r="36">
      <c r="A36" s="175">
        <v>16.0</v>
      </c>
      <c r="B36" s="176" t="s">
        <v>2520</v>
      </c>
      <c r="C36" s="166" t="s">
        <v>2534</v>
      </c>
      <c r="D36" s="176" t="s">
        <v>2525</v>
      </c>
      <c r="E36" s="178" t="s">
        <v>2558</v>
      </c>
      <c r="F36" s="161">
        <v>60000.0</v>
      </c>
      <c r="G36" s="181" t="s">
        <v>2503</v>
      </c>
      <c r="H36" s="171" t="s">
        <v>2504</v>
      </c>
      <c r="I36" s="164"/>
      <c r="J36" s="171" t="s">
        <v>2559</v>
      </c>
      <c r="K36" s="164"/>
      <c r="L36" s="182">
        <f>F36</f>
        <v>60000</v>
      </c>
      <c r="M36" s="164"/>
      <c r="N36" s="164"/>
      <c r="O36" s="164"/>
      <c r="P36" s="164"/>
      <c r="Q36" s="164"/>
      <c r="R36" s="164"/>
      <c r="S36" s="164"/>
      <c r="T36" s="164"/>
      <c r="U36" s="170" t="s">
        <v>2524</v>
      </c>
      <c r="V36" s="166">
        <v>39100.0</v>
      </c>
      <c r="W36" s="169"/>
      <c r="X36" s="173"/>
      <c r="Y36" s="174"/>
    </row>
    <row r="37">
      <c r="A37" s="175">
        <v>17.0</v>
      </c>
      <c r="B37" s="176" t="s">
        <v>2520</v>
      </c>
      <c r="C37" s="166" t="s">
        <v>2560</v>
      </c>
      <c r="D37" s="176" t="s">
        <v>2525</v>
      </c>
      <c r="E37" s="176" t="s">
        <v>2561</v>
      </c>
      <c r="F37" s="193">
        <v>50000.0</v>
      </c>
      <c r="G37" s="181" t="s">
        <v>2502</v>
      </c>
      <c r="H37" s="171" t="s">
        <v>2503</v>
      </c>
      <c r="I37" s="194"/>
      <c r="J37" s="195" t="s">
        <v>2562</v>
      </c>
      <c r="K37" s="164"/>
      <c r="L37" s="164"/>
      <c r="M37" s="164"/>
      <c r="N37" s="164"/>
      <c r="O37" s="164"/>
      <c r="P37" s="164"/>
      <c r="Q37" s="171">
        <f>F37</f>
        <v>50000</v>
      </c>
      <c r="R37" s="164"/>
      <c r="S37" s="164"/>
      <c r="T37" s="164"/>
      <c r="U37" s="170" t="s">
        <v>2524</v>
      </c>
      <c r="V37" s="166">
        <v>34200.0</v>
      </c>
      <c r="W37" s="169"/>
      <c r="X37" s="173"/>
      <c r="Y37" s="174"/>
    </row>
    <row r="38">
      <c r="A38" s="175">
        <v>18.0</v>
      </c>
      <c r="B38" s="176" t="s">
        <v>2520</v>
      </c>
      <c r="C38" s="166" t="s">
        <v>2560</v>
      </c>
      <c r="D38" s="176" t="s">
        <v>2525</v>
      </c>
      <c r="E38" s="178" t="s">
        <v>2563</v>
      </c>
      <c r="F38" s="193">
        <v>30000.0</v>
      </c>
      <c r="G38" s="181" t="s">
        <v>2504</v>
      </c>
      <c r="H38" s="171" t="s">
        <v>2505</v>
      </c>
      <c r="I38" s="164"/>
      <c r="J38" s="171" t="s">
        <v>2564</v>
      </c>
      <c r="K38" s="171">
        <f>F38</f>
        <v>30000</v>
      </c>
      <c r="L38" s="164"/>
      <c r="M38" s="164"/>
      <c r="N38" s="164"/>
      <c r="O38" s="164"/>
      <c r="P38" s="164"/>
      <c r="Q38" s="164"/>
      <c r="R38" s="164"/>
      <c r="S38" s="164"/>
      <c r="T38" s="164"/>
      <c r="U38" s="170" t="s">
        <v>2524</v>
      </c>
      <c r="V38" s="166">
        <v>39700.0</v>
      </c>
      <c r="W38" s="183"/>
      <c r="X38" s="173"/>
      <c r="Y38" s="174"/>
    </row>
    <row r="39">
      <c r="A39" s="157">
        <v>19.0</v>
      </c>
      <c r="B39" s="158" t="s">
        <v>2520</v>
      </c>
      <c r="C39" s="158" t="s">
        <v>2529</v>
      </c>
      <c r="D39" s="158" t="s">
        <v>2525</v>
      </c>
      <c r="E39" s="160" t="s">
        <v>2565</v>
      </c>
      <c r="F39" s="193">
        <v>52000.0</v>
      </c>
      <c r="G39" s="196" t="s">
        <v>2503</v>
      </c>
      <c r="H39" s="163" t="s">
        <v>2504</v>
      </c>
      <c r="I39" s="164"/>
      <c r="J39" s="171" t="s">
        <v>2566</v>
      </c>
      <c r="K39" s="171" t="str">
        <f t="shared" ref="K39:T39" si="2">'PAC Marzo-Abril'!$F39/11</f>
        <v>#REF!</v>
      </c>
      <c r="L39" s="171" t="str">
        <f t="shared" si="2"/>
        <v>#REF!</v>
      </c>
      <c r="M39" s="171" t="str">
        <f t="shared" si="2"/>
        <v>#REF!</v>
      </c>
      <c r="N39" s="171" t="str">
        <f t="shared" si="2"/>
        <v>#REF!</v>
      </c>
      <c r="O39" s="171" t="str">
        <f t="shared" si="2"/>
        <v>#REF!</v>
      </c>
      <c r="P39" s="171" t="str">
        <f t="shared" si="2"/>
        <v>#REF!</v>
      </c>
      <c r="Q39" s="171" t="str">
        <f t="shared" si="2"/>
        <v>#REF!</v>
      </c>
      <c r="R39" s="171" t="str">
        <f t="shared" si="2"/>
        <v>#REF!</v>
      </c>
      <c r="S39" s="171" t="str">
        <f t="shared" si="2"/>
        <v>#REF!</v>
      </c>
      <c r="T39" s="171" t="str">
        <f t="shared" si="2"/>
        <v>#REF!</v>
      </c>
      <c r="U39" s="170" t="s">
        <v>2524</v>
      </c>
      <c r="V39" s="166">
        <v>39700.0</v>
      </c>
      <c r="W39" s="170" t="b">
        <v>0</v>
      </c>
      <c r="X39" s="173"/>
      <c r="Y39" s="174"/>
    </row>
    <row r="40">
      <c r="A40" s="134"/>
      <c r="B40" s="135"/>
      <c r="C40" s="135"/>
      <c r="D40" s="135"/>
      <c r="E40" s="135"/>
      <c r="F40" s="161">
        <v>87000.0</v>
      </c>
      <c r="G40" s="135"/>
      <c r="H40" s="135"/>
      <c r="I40" s="194"/>
      <c r="J40" s="197" t="s">
        <v>2567</v>
      </c>
      <c r="K40" s="171" t="str">
        <f t="shared" ref="K40:T40" si="3">'PAC Marzo-Abril'!$F40/11</f>
        <v>#REF!</v>
      </c>
      <c r="L40" s="171" t="str">
        <f t="shared" si="3"/>
        <v>#REF!</v>
      </c>
      <c r="M40" s="171" t="str">
        <f t="shared" si="3"/>
        <v>#REF!</v>
      </c>
      <c r="N40" s="171" t="str">
        <f t="shared" si="3"/>
        <v>#REF!</v>
      </c>
      <c r="O40" s="171" t="str">
        <f t="shared" si="3"/>
        <v>#REF!</v>
      </c>
      <c r="P40" s="171" t="str">
        <f t="shared" si="3"/>
        <v>#REF!</v>
      </c>
      <c r="Q40" s="171" t="str">
        <f t="shared" si="3"/>
        <v>#REF!</v>
      </c>
      <c r="R40" s="171" t="str">
        <f t="shared" si="3"/>
        <v>#REF!</v>
      </c>
      <c r="S40" s="171" t="str">
        <f t="shared" si="3"/>
        <v>#REF!</v>
      </c>
      <c r="T40" s="171" t="str">
        <f t="shared" si="3"/>
        <v>#REF!</v>
      </c>
      <c r="U40" s="169"/>
      <c r="V40" s="166">
        <v>39800.0</v>
      </c>
      <c r="W40" s="170" t="b">
        <v>0</v>
      </c>
      <c r="X40" s="173"/>
      <c r="Y40" s="174"/>
    </row>
    <row r="41">
      <c r="A41" s="137"/>
      <c r="B41" s="138"/>
      <c r="C41" s="138"/>
      <c r="D41" s="138"/>
      <c r="E41" s="138"/>
      <c r="F41" s="161">
        <v>186000.0</v>
      </c>
      <c r="G41" s="138"/>
      <c r="H41" s="138"/>
      <c r="I41" s="164"/>
      <c r="J41" s="171" t="s">
        <v>2568</v>
      </c>
      <c r="K41" s="171">
        <v>242.45454545454547</v>
      </c>
      <c r="L41" s="171">
        <v>242.45454545454547</v>
      </c>
      <c r="M41" s="171">
        <v>242.45454545454547</v>
      </c>
      <c r="N41" s="171">
        <v>242.45454545454547</v>
      </c>
      <c r="O41" s="171">
        <v>242.45454545454547</v>
      </c>
      <c r="P41" s="171">
        <v>242.45454545454547</v>
      </c>
      <c r="Q41" s="171">
        <v>242.45454545454547</v>
      </c>
      <c r="R41" s="171">
        <v>242.45454545454547</v>
      </c>
      <c r="S41" s="171">
        <v>242.45454545454547</v>
      </c>
      <c r="T41" s="171">
        <v>242.45454545454547</v>
      </c>
      <c r="U41" s="169"/>
      <c r="V41" s="166">
        <v>34200.0</v>
      </c>
      <c r="W41" s="170" t="b">
        <v>0</v>
      </c>
      <c r="X41" s="173"/>
      <c r="Y41" s="174"/>
    </row>
    <row r="42">
      <c r="A42" s="175">
        <v>20.0</v>
      </c>
      <c r="B42" s="176" t="s">
        <v>2520</v>
      </c>
      <c r="C42" s="170" t="s">
        <v>2521</v>
      </c>
      <c r="D42" s="176" t="s">
        <v>2522</v>
      </c>
      <c r="E42" s="178" t="s">
        <v>2569</v>
      </c>
      <c r="F42" s="193">
        <v>925734.0</v>
      </c>
      <c r="G42" s="179" t="s">
        <v>2504</v>
      </c>
      <c r="H42" s="171" t="s">
        <v>2505</v>
      </c>
      <c r="I42" s="164"/>
      <c r="J42" s="171" t="s">
        <v>2570</v>
      </c>
      <c r="K42" s="164"/>
      <c r="L42" s="164"/>
      <c r="M42" s="171">
        <f>F42</f>
        <v>925734</v>
      </c>
      <c r="N42" s="164"/>
      <c r="O42" s="164"/>
      <c r="P42" s="164"/>
      <c r="Q42" s="164"/>
      <c r="R42" s="164"/>
      <c r="S42" s="164"/>
      <c r="T42" s="164"/>
      <c r="U42" s="170" t="s">
        <v>2571</v>
      </c>
      <c r="V42" s="166" t="s">
        <v>2572</v>
      </c>
      <c r="W42" s="169"/>
      <c r="X42" s="173"/>
      <c r="Y42" s="174"/>
    </row>
    <row r="43">
      <c r="A43" s="175">
        <v>21.0</v>
      </c>
      <c r="B43" s="176" t="s">
        <v>2520</v>
      </c>
      <c r="C43" s="170" t="s">
        <v>2560</v>
      </c>
      <c r="D43" s="176" t="s">
        <v>2525</v>
      </c>
      <c r="E43" s="178" t="s">
        <v>2573</v>
      </c>
      <c r="F43" s="161">
        <v>34700.0</v>
      </c>
      <c r="G43" s="179" t="s">
        <v>2504</v>
      </c>
      <c r="H43" s="171" t="s">
        <v>2505</v>
      </c>
      <c r="I43" s="164"/>
      <c r="J43" s="171" t="s">
        <v>2574</v>
      </c>
      <c r="K43" s="164"/>
      <c r="L43" s="164"/>
      <c r="M43" s="171">
        <v>50000.0</v>
      </c>
      <c r="N43" s="164"/>
      <c r="O43" s="164"/>
      <c r="P43" s="164"/>
      <c r="Q43" s="164"/>
      <c r="R43" s="164"/>
      <c r="S43" s="164"/>
      <c r="T43" s="164"/>
      <c r="U43" s="170" t="s">
        <v>2571</v>
      </c>
      <c r="V43" s="166" t="s">
        <v>2575</v>
      </c>
      <c r="W43" s="169"/>
      <c r="X43" s="173"/>
      <c r="Y43" s="174"/>
    </row>
    <row r="44">
      <c r="A44" s="175">
        <v>22.0</v>
      </c>
      <c r="B44" s="176" t="s">
        <v>2520</v>
      </c>
      <c r="C44" s="170" t="s">
        <v>2534</v>
      </c>
      <c r="D44" s="176" t="s">
        <v>2522</v>
      </c>
      <c r="E44" s="178" t="s">
        <v>2576</v>
      </c>
      <c r="F44" s="161">
        <v>58000.0</v>
      </c>
      <c r="G44" s="179" t="s">
        <v>2503</v>
      </c>
      <c r="H44" s="171" t="s">
        <v>2503</v>
      </c>
      <c r="I44" s="164"/>
      <c r="J44" s="171" t="s">
        <v>2577</v>
      </c>
      <c r="K44" s="164"/>
      <c r="L44" s="164"/>
      <c r="M44" s="182">
        <f t="shared" ref="M44:M45" si="4">F44</f>
        <v>58000</v>
      </c>
      <c r="N44" s="164"/>
      <c r="O44" s="164"/>
      <c r="P44" s="164"/>
      <c r="Q44" s="164"/>
      <c r="R44" s="164"/>
      <c r="S44" s="164"/>
      <c r="T44" s="164"/>
      <c r="U44" s="170" t="s">
        <v>2524</v>
      </c>
      <c r="V44" s="166">
        <v>24120.0</v>
      </c>
      <c r="W44" s="169"/>
      <c r="X44" s="173"/>
      <c r="Y44" s="174"/>
    </row>
    <row r="45">
      <c r="A45" s="175">
        <v>23.0</v>
      </c>
      <c r="B45" s="176" t="s">
        <v>2520</v>
      </c>
      <c r="C45" s="170" t="s">
        <v>2534</v>
      </c>
      <c r="D45" s="176" t="s">
        <v>2522</v>
      </c>
      <c r="E45" s="178" t="s">
        <v>2578</v>
      </c>
      <c r="F45" s="161">
        <v>162200.0</v>
      </c>
      <c r="G45" s="179" t="s">
        <v>2504</v>
      </c>
      <c r="H45" s="171" t="s">
        <v>2505</v>
      </c>
      <c r="I45" s="164"/>
      <c r="J45" s="171" t="s">
        <v>2579</v>
      </c>
      <c r="K45" s="164"/>
      <c r="L45" s="164"/>
      <c r="M45" s="182">
        <f t="shared" si="4"/>
        <v>162200</v>
      </c>
      <c r="N45" s="164"/>
      <c r="O45" s="164"/>
      <c r="P45" s="164"/>
      <c r="Q45" s="164"/>
      <c r="R45" s="164"/>
      <c r="S45" s="164"/>
      <c r="T45" s="164"/>
      <c r="U45" s="170" t="s">
        <v>2580</v>
      </c>
      <c r="V45" s="166">
        <v>24120.0</v>
      </c>
      <c r="W45" s="169"/>
      <c r="X45" s="173"/>
      <c r="Y45" s="174"/>
    </row>
    <row r="46">
      <c r="A46" s="175">
        <v>36.0</v>
      </c>
      <c r="B46" s="176" t="s">
        <v>2520</v>
      </c>
      <c r="C46" s="170" t="s">
        <v>2560</v>
      </c>
      <c r="D46" s="176" t="s">
        <v>2522</v>
      </c>
      <c r="E46" s="178" t="s">
        <v>2581</v>
      </c>
      <c r="F46" s="198">
        <v>33421.0</v>
      </c>
      <c r="G46" s="179" t="s">
        <v>2503</v>
      </c>
      <c r="H46" s="171" t="s">
        <v>2504</v>
      </c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72">
        <v>45325.0</v>
      </c>
      <c r="V46" s="166">
        <v>24120.0</v>
      </c>
      <c r="W46" s="169"/>
      <c r="X46" s="173"/>
      <c r="Y46" s="174"/>
    </row>
    <row r="47">
      <c r="A47" s="199"/>
      <c r="B47" s="176" t="s">
        <v>2520</v>
      </c>
      <c r="C47" s="166" t="s">
        <v>2560</v>
      </c>
      <c r="D47" s="176" t="s">
        <v>2522</v>
      </c>
      <c r="E47" s="200" t="s">
        <v>2582</v>
      </c>
      <c r="F47" s="198">
        <v>25900.0</v>
      </c>
      <c r="G47" s="179" t="s">
        <v>2503</v>
      </c>
      <c r="H47" s="171" t="s">
        <v>2504</v>
      </c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72">
        <v>45325.0</v>
      </c>
      <c r="V47" s="166">
        <v>24120.0</v>
      </c>
      <c r="W47" s="183"/>
      <c r="X47" s="173"/>
      <c r="Y47" s="174"/>
    </row>
    <row r="48">
      <c r="A48" s="175">
        <v>37.0</v>
      </c>
      <c r="B48" s="176" t="s">
        <v>2520</v>
      </c>
      <c r="C48" s="166" t="s">
        <v>2534</v>
      </c>
      <c r="D48" s="176" t="s">
        <v>2522</v>
      </c>
      <c r="E48" s="178" t="s">
        <v>2583</v>
      </c>
      <c r="F48" s="198">
        <v>63525.0</v>
      </c>
      <c r="G48" s="179" t="s">
        <v>2503</v>
      </c>
      <c r="H48" s="171" t="s">
        <v>2504</v>
      </c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72">
        <v>45325.0</v>
      </c>
      <c r="V48" s="166">
        <v>24120.0</v>
      </c>
      <c r="W48" s="183"/>
      <c r="X48" s="173"/>
      <c r="Y48" s="174"/>
    </row>
    <row r="49">
      <c r="A49" s="175">
        <v>38.0</v>
      </c>
      <c r="B49" s="176" t="s">
        <v>2520</v>
      </c>
      <c r="C49" s="166" t="s">
        <v>2529</v>
      </c>
      <c r="D49" s="176" t="s">
        <v>2525</v>
      </c>
      <c r="E49" s="178" t="s">
        <v>2584</v>
      </c>
      <c r="F49" s="198">
        <v>316340.0</v>
      </c>
      <c r="G49" s="179" t="s">
        <v>2504</v>
      </c>
      <c r="H49" s="171" t="s">
        <v>2505</v>
      </c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72">
        <v>45325.0</v>
      </c>
      <c r="V49" s="166">
        <v>39800.0</v>
      </c>
      <c r="W49" s="166" t="b">
        <v>1</v>
      </c>
      <c r="X49" s="173"/>
      <c r="Y49" s="174"/>
    </row>
    <row r="50">
      <c r="A50" s="175">
        <v>39.0</v>
      </c>
      <c r="B50" s="176" t="s">
        <v>2520</v>
      </c>
      <c r="C50" s="166" t="s">
        <v>2529</v>
      </c>
      <c r="D50" s="176" t="s">
        <v>2525</v>
      </c>
      <c r="E50" s="178" t="s">
        <v>2585</v>
      </c>
      <c r="F50" s="198">
        <v>223749.12</v>
      </c>
      <c r="G50" s="179" t="s">
        <v>2503</v>
      </c>
      <c r="H50" s="171" t="s">
        <v>2504</v>
      </c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72">
        <v>45325.0</v>
      </c>
      <c r="V50" s="166">
        <v>39700.0</v>
      </c>
      <c r="W50" s="170" t="b">
        <v>1</v>
      </c>
      <c r="X50" s="173"/>
      <c r="Y50" s="174"/>
    </row>
    <row r="51">
      <c r="A51" s="175">
        <v>40.0</v>
      </c>
      <c r="B51" s="176" t="s">
        <v>2520</v>
      </c>
      <c r="C51" s="166" t="s">
        <v>2534</v>
      </c>
      <c r="D51" s="176" t="s">
        <v>2525</v>
      </c>
      <c r="E51" s="178" t="s">
        <v>2586</v>
      </c>
      <c r="F51" s="198">
        <v>54903.0</v>
      </c>
      <c r="G51" s="179" t="s">
        <v>2503</v>
      </c>
      <c r="H51" s="171" t="s">
        <v>2504</v>
      </c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72">
        <v>45325.0</v>
      </c>
      <c r="V51" s="166">
        <v>39800.0</v>
      </c>
      <c r="W51" s="166" t="b">
        <v>1</v>
      </c>
      <c r="X51" s="173"/>
      <c r="Y51" s="174"/>
    </row>
    <row r="52">
      <c r="A52" s="175">
        <v>41.0</v>
      </c>
      <c r="B52" s="176" t="s">
        <v>2520</v>
      </c>
      <c r="C52" s="166" t="s">
        <v>2560</v>
      </c>
      <c r="D52" s="176" t="s">
        <v>2525</v>
      </c>
      <c r="E52" s="178" t="s">
        <v>2587</v>
      </c>
      <c r="F52" s="201">
        <v>24000.0</v>
      </c>
      <c r="G52" s="179" t="s">
        <v>2504</v>
      </c>
      <c r="H52" s="171" t="s">
        <v>2505</v>
      </c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72">
        <v>45325.0</v>
      </c>
      <c r="V52" s="166">
        <v>34110.0</v>
      </c>
      <c r="W52" s="169"/>
      <c r="X52" s="173"/>
      <c r="Y52" s="174"/>
    </row>
    <row r="53">
      <c r="A53" s="202" t="s">
        <v>2588</v>
      </c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38"/>
      <c r="X53" s="173"/>
      <c r="Y53" s="174"/>
    </row>
    <row r="54">
      <c r="A54" s="203">
        <v>24.0</v>
      </c>
      <c r="B54" s="185" t="s">
        <v>2520</v>
      </c>
      <c r="C54" s="204" t="s">
        <v>2589</v>
      </c>
      <c r="D54" s="185" t="s">
        <v>2525</v>
      </c>
      <c r="E54" s="185" t="s">
        <v>2590</v>
      </c>
      <c r="F54" s="205">
        <v>15000.0</v>
      </c>
      <c r="G54" s="206" t="s">
        <v>2504</v>
      </c>
      <c r="H54" s="207" t="s">
        <v>2505</v>
      </c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9"/>
      <c r="V54" s="210" t="s">
        <v>2591</v>
      </c>
      <c r="W54" s="211"/>
      <c r="X54" s="173"/>
      <c r="Y54" s="174"/>
    </row>
    <row r="55">
      <c r="A55" s="212">
        <v>25.0</v>
      </c>
      <c r="B55" s="213" t="s">
        <v>2520</v>
      </c>
      <c r="C55" s="214" t="s">
        <v>2589</v>
      </c>
      <c r="D55" s="213" t="s">
        <v>2525</v>
      </c>
      <c r="E55" s="213" t="s">
        <v>2592</v>
      </c>
      <c r="F55" s="205">
        <v>1500.0</v>
      </c>
      <c r="G55" s="215" t="s">
        <v>2504</v>
      </c>
      <c r="H55" s="207" t="s">
        <v>2505</v>
      </c>
      <c r="I55" s="208"/>
      <c r="J55" s="207" t="s">
        <v>2593</v>
      </c>
      <c r="K55" s="208"/>
      <c r="L55" s="207">
        <v>5000.0</v>
      </c>
      <c r="M55" s="208"/>
      <c r="N55" s="208"/>
      <c r="O55" s="208"/>
      <c r="P55" s="208"/>
      <c r="Q55" s="208"/>
      <c r="R55" s="208"/>
      <c r="S55" s="208"/>
      <c r="T55" s="208"/>
      <c r="U55" s="209"/>
      <c r="V55" s="210" t="s">
        <v>2594</v>
      </c>
      <c r="W55" s="209"/>
      <c r="X55" s="173"/>
      <c r="Y55" s="174"/>
    </row>
    <row r="56">
      <c r="A56" s="137"/>
      <c r="B56" s="138"/>
      <c r="C56" s="138"/>
      <c r="D56" s="138"/>
      <c r="E56" s="138"/>
      <c r="F56" s="205">
        <v>5000.0</v>
      </c>
      <c r="G56" s="206" t="s">
        <v>2504</v>
      </c>
      <c r="H56" s="207" t="s">
        <v>2505</v>
      </c>
      <c r="I56" s="216"/>
      <c r="J56" s="217" t="s">
        <v>2595</v>
      </c>
      <c r="K56" s="208"/>
      <c r="L56" s="207">
        <v>1500.0</v>
      </c>
      <c r="M56" s="208"/>
      <c r="N56" s="208"/>
      <c r="O56" s="208"/>
      <c r="P56" s="208"/>
      <c r="Q56" s="208"/>
      <c r="R56" s="208"/>
      <c r="S56" s="208"/>
      <c r="T56" s="208"/>
      <c r="U56" s="209"/>
      <c r="V56" s="210" t="s">
        <v>2596</v>
      </c>
      <c r="W56" s="209"/>
      <c r="X56" s="173"/>
      <c r="Y56" s="174"/>
    </row>
    <row r="57">
      <c r="A57" s="203">
        <v>26.0</v>
      </c>
      <c r="B57" s="218" t="s">
        <v>2520</v>
      </c>
      <c r="C57" s="210" t="s">
        <v>2589</v>
      </c>
      <c r="D57" s="218" t="s">
        <v>2525</v>
      </c>
      <c r="E57" s="185" t="s">
        <v>2597</v>
      </c>
      <c r="F57" s="205">
        <v>9000.0</v>
      </c>
      <c r="G57" s="206" t="s">
        <v>2504</v>
      </c>
      <c r="H57" s="207" t="s">
        <v>2505</v>
      </c>
      <c r="I57" s="208"/>
      <c r="J57" s="207" t="s">
        <v>2598</v>
      </c>
      <c r="K57" s="208"/>
      <c r="L57" s="207">
        <v>8700.0</v>
      </c>
      <c r="M57" s="208"/>
      <c r="N57" s="208"/>
      <c r="O57" s="208"/>
      <c r="P57" s="208"/>
      <c r="Q57" s="208"/>
      <c r="R57" s="208"/>
      <c r="S57" s="208"/>
      <c r="T57" s="208"/>
      <c r="U57" s="209"/>
      <c r="V57" s="210" t="s">
        <v>2591</v>
      </c>
      <c r="W57" s="209"/>
      <c r="X57" s="180"/>
      <c r="Y57" s="174"/>
    </row>
    <row r="58">
      <c r="A58" s="203">
        <v>27.0</v>
      </c>
      <c r="B58" s="218" t="s">
        <v>2520</v>
      </c>
      <c r="C58" s="204" t="s">
        <v>2589</v>
      </c>
      <c r="D58" s="218" t="s">
        <v>2525</v>
      </c>
      <c r="E58" s="185" t="s">
        <v>2599</v>
      </c>
      <c r="F58" s="205">
        <v>15500.0</v>
      </c>
      <c r="G58" s="206" t="s">
        <v>2503</v>
      </c>
      <c r="H58" s="207" t="s">
        <v>2504</v>
      </c>
      <c r="I58" s="207" t="s">
        <v>2600</v>
      </c>
      <c r="J58" s="208"/>
      <c r="K58" s="208"/>
      <c r="L58" s="207">
        <v>15466.0</v>
      </c>
      <c r="M58" s="208"/>
      <c r="N58" s="208"/>
      <c r="O58" s="208"/>
      <c r="P58" s="208"/>
      <c r="Q58" s="208"/>
      <c r="R58" s="208"/>
      <c r="S58" s="208"/>
      <c r="T58" s="208"/>
      <c r="U58" s="209"/>
      <c r="V58" s="210" t="s">
        <v>2601</v>
      </c>
      <c r="W58" s="209"/>
      <c r="X58" s="180"/>
      <c r="Y58" s="174"/>
    </row>
    <row r="59">
      <c r="A59" s="203">
        <v>28.0</v>
      </c>
      <c r="B59" s="218" t="s">
        <v>2520</v>
      </c>
      <c r="C59" s="204" t="s">
        <v>2589</v>
      </c>
      <c r="D59" s="218" t="s">
        <v>2525</v>
      </c>
      <c r="E59" s="185" t="s">
        <v>2602</v>
      </c>
      <c r="F59" s="205">
        <v>18566.0</v>
      </c>
      <c r="G59" s="206" t="s">
        <v>2504</v>
      </c>
      <c r="H59" s="207" t="s">
        <v>2505</v>
      </c>
      <c r="I59" s="208"/>
      <c r="J59" s="207" t="s">
        <v>2603</v>
      </c>
      <c r="K59" s="208"/>
      <c r="L59" s="207">
        <v>18600.0</v>
      </c>
      <c r="M59" s="208"/>
      <c r="N59" s="208"/>
      <c r="O59" s="208"/>
      <c r="P59" s="208"/>
      <c r="Q59" s="208"/>
      <c r="R59" s="208"/>
      <c r="S59" s="208"/>
      <c r="T59" s="208"/>
      <c r="U59" s="209"/>
      <c r="V59" s="210" t="s">
        <v>2601</v>
      </c>
      <c r="W59" s="209"/>
      <c r="X59" s="180"/>
      <c r="Y59" s="174"/>
    </row>
    <row r="60">
      <c r="A60" s="219">
        <v>29.0</v>
      </c>
      <c r="B60" s="220" t="s">
        <v>2520</v>
      </c>
      <c r="C60" s="174"/>
      <c r="D60" s="174"/>
      <c r="E60" s="221" t="s">
        <v>2604</v>
      </c>
      <c r="F60" s="222">
        <v>78000.0</v>
      </c>
      <c r="G60" s="190"/>
      <c r="H60" s="223"/>
      <c r="I60" s="223"/>
      <c r="J60" s="223"/>
      <c r="K60" s="223"/>
      <c r="L60" s="223"/>
      <c r="M60" s="224">
        <f>2226+48230+1574</f>
        <v>52030</v>
      </c>
      <c r="N60" s="225">
        <v>9275.0</v>
      </c>
      <c r="O60" s="223"/>
      <c r="P60" s="225">
        <v>2226.0</v>
      </c>
      <c r="Q60" s="225">
        <v>742.0</v>
      </c>
      <c r="R60" s="223"/>
      <c r="S60" s="225">
        <v>2226.0</v>
      </c>
      <c r="T60" s="225">
        <v>9275.0</v>
      </c>
      <c r="U60" s="174"/>
      <c r="V60" s="173" t="s">
        <v>2605</v>
      </c>
      <c r="W60" s="226" t="s">
        <v>2606</v>
      </c>
      <c r="X60" s="180"/>
      <c r="Y60" s="174"/>
    </row>
    <row r="61">
      <c r="A61" s="203">
        <v>30.0</v>
      </c>
      <c r="B61" s="218" t="s">
        <v>2520</v>
      </c>
      <c r="C61" s="204" t="s">
        <v>2589</v>
      </c>
      <c r="D61" s="218" t="s">
        <v>2522</v>
      </c>
      <c r="E61" s="218" t="s">
        <v>2607</v>
      </c>
      <c r="F61" s="205">
        <v>20000.0</v>
      </c>
      <c r="G61" s="215" t="s">
        <v>2503</v>
      </c>
      <c r="H61" s="207" t="s">
        <v>2504</v>
      </c>
      <c r="I61" s="208"/>
      <c r="J61" s="208"/>
      <c r="K61" s="208"/>
      <c r="L61" s="208"/>
      <c r="M61" s="208"/>
      <c r="N61" s="207">
        <v>20000.0</v>
      </c>
      <c r="O61" s="208"/>
      <c r="P61" s="208"/>
      <c r="Q61" s="208"/>
      <c r="R61" s="208"/>
      <c r="S61" s="208"/>
      <c r="T61" s="208"/>
      <c r="U61" s="209"/>
      <c r="V61" s="210">
        <v>24120.0</v>
      </c>
      <c r="W61" s="209"/>
      <c r="X61" s="180"/>
      <c r="Y61" s="174"/>
    </row>
    <row r="62">
      <c r="A62" s="203">
        <v>31.0</v>
      </c>
      <c r="B62" s="218" t="s">
        <v>2520</v>
      </c>
      <c r="C62" s="204" t="s">
        <v>2589</v>
      </c>
      <c r="D62" s="218" t="s">
        <v>2525</v>
      </c>
      <c r="E62" s="185" t="s">
        <v>2608</v>
      </c>
      <c r="F62" s="205">
        <v>3000.0</v>
      </c>
      <c r="G62" s="215" t="s">
        <v>2503</v>
      </c>
      <c r="H62" s="207" t="s">
        <v>2504</v>
      </c>
      <c r="I62" s="208"/>
      <c r="J62" s="208"/>
      <c r="K62" s="208"/>
      <c r="L62" s="208"/>
      <c r="M62" s="208"/>
      <c r="N62" s="207">
        <v>3000.0</v>
      </c>
      <c r="O62" s="208"/>
      <c r="P62" s="208"/>
      <c r="Q62" s="208"/>
      <c r="R62" s="208"/>
      <c r="S62" s="208"/>
      <c r="T62" s="208"/>
      <c r="U62" s="209"/>
      <c r="V62" s="210">
        <v>34110.0</v>
      </c>
      <c r="W62" s="204" t="b">
        <v>1</v>
      </c>
      <c r="X62" s="180"/>
      <c r="Y62" s="174"/>
    </row>
    <row r="63">
      <c r="A63" s="203">
        <v>32.0</v>
      </c>
      <c r="B63" s="218" t="s">
        <v>2520</v>
      </c>
      <c r="C63" s="204" t="s">
        <v>2589</v>
      </c>
      <c r="D63" s="218" t="s">
        <v>2525</v>
      </c>
      <c r="E63" s="218" t="s">
        <v>2609</v>
      </c>
      <c r="F63" s="205">
        <v>3000.0</v>
      </c>
      <c r="G63" s="215" t="s">
        <v>2509</v>
      </c>
      <c r="H63" s="207" t="s">
        <v>2510</v>
      </c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7">
        <v>3000.0</v>
      </c>
      <c r="U63" s="209"/>
      <c r="V63" s="210">
        <v>34110.0</v>
      </c>
      <c r="W63" s="204" t="b">
        <v>1</v>
      </c>
      <c r="X63" s="180"/>
      <c r="Y63" s="174"/>
    </row>
    <row r="64">
      <c r="A64" s="203">
        <v>33.0</v>
      </c>
      <c r="B64" s="218" t="s">
        <v>2520</v>
      </c>
      <c r="C64" s="204" t="s">
        <v>2589</v>
      </c>
      <c r="D64" s="218" t="s">
        <v>2525</v>
      </c>
      <c r="E64" s="185" t="s">
        <v>2610</v>
      </c>
      <c r="F64" s="205">
        <v>20000.0</v>
      </c>
      <c r="G64" s="215" t="s">
        <v>2504</v>
      </c>
      <c r="H64" s="207" t="s">
        <v>2505</v>
      </c>
      <c r="I64" s="208"/>
      <c r="J64" s="208"/>
      <c r="K64" s="208"/>
      <c r="L64" s="208"/>
      <c r="M64" s="208"/>
      <c r="N64" s="208"/>
      <c r="O64" s="207">
        <v>20000.0</v>
      </c>
      <c r="P64" s="208"/>
      <c r="Q64" s="208"/>
      <c r="R64" s="208"/>
      <c r="S64" s="208"/>
      <c r="T64" s="208"/>
      <c r="U64" s="209"/>
      <c r="V64" s="210">
        <v>34800.0</v>
      </c>
      <c r="W64" s="209"/>
      <c r="X64" s="180"/>
      <c r="Y64" s="174"/>
    </row>
    <row r="65">
      <c r="A65" s="203">
        <v>34.0</v>
      </c>
      <c r="B65" s="218" t="s">
        <v>2520</v>
      </c>
      <c r="C65" s="204" t="s">
        <v>2589</v>
      </c>
      <c r="D65" s="218" t="s">
        <v>2525</v>
      </c>
      <c r="E65" s="185" t="s">
        <v>2611</v>
      </c>
      <c r="F65" s="227">
        <v>20000.0</v>
      </c>
      <c r="G65" s="215" t="s">
        <v>2505</v>
      </c>
      <c r="H65" s="207" t="s">
        <v>2506</v>
      </c>
      <c r="I65" s="208"/>
      <c r="J65" s="208"/>
      <c r="K65" s="208"/>
      <c r="L65" s="208"/>
      <c r="M65" s="208"/>
      <c r="N65" s="208"/>
      <c r="O65" s="208"/>
      <c r="P65" s="207">
        <v>20000.0</v>
      </c>
      <c r="Q65" s="208"/>
      <c r="R65" s="208"/>
      <c r="S65" s="208"/>
      <c r="T65" s="208"/>
      <c r="U65" s="209"/>
      <c r="V65" s="210">
        <v>39700.0</v>
      </c>
      <c r="W65" s="209"/>
      <c r="X65" s="180"/>
      <c r="Y65" s="174"/>
    </row>
    <row r="66">
      <c r="A66" s="203">
        <v>35.0</v>
      </c>
      <c r="B66" s="218" t="s">
        <v>2520</v>
      </c>
      <c r="C66" s="204" t="s">
        <v>2589</v>
      </c>
      <c r="D66" s="218" t="s">
        <v>2525</v>
      </c>
      <c r="E66" s="185" t="s">
        <v>2612</v>
      </c>
      <c r="F66" s="227">
        <v>20000.0</v>
      </c>
      <c r="G66" s="215" t="s">
        <v>2506</v>
      </c>
      <c r="H66" s="207" t="s">
        <v>2507</v>
      </c>
      <c r="I66" s="208"/>
      <c r="J66" s="208"/>
      <c r="K66" s="208"/>
      <c r="L66" s="208"/>
      <c r="M66" s="208"/>
      <c r="N66" s="208"/>
      <c r="O66" s="208"/>
      <c r="P66" s="208"/>
      <c r="Q66" s="207">
        <v>20000.0</v>
      </c>
      <c r="R66" s="208"/>
      <c r="S66" s="208"/>
      <c r="T66" s="208"/>
      <c r="U66" s="209"/>
      <c r="V66" s="210">
        <v>39800.0</v>
      </c>
      <c r="W66" s="209"/>
      <c r="X66" s="180"/>
      <c r="Y66" s="174"/>
    </row>
    <row r="67">
      <c r="A67" s="203">
        <v>42.0</v>
      </c>
      <c r="B67" s="218" t="s">
        <v>2520</v>
      </c>
      <c r="C67" s="204" t="s">
        <v>2589</v>
      </c>
      <c r="D67" s="218" t="s">
        <v>2525</v>
      </c>
      <c r="E67" s="185" t="s">
        <v>2613</v>
      </c>
      <c r="F67" s="228">
        <v>1600.0</v>
      </c>
      <c r="G67" s="229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1"/>
      <c r="V67" s="211"/>
      <c r="W67" s="204" t="b">
        <v>1</v>
      </c>
      <c r="X67" s="180"/>
      <c r="Y67" s="174"/>
    </row>
    <row r="68">
      <c r="A68" s="203">
        <v>43.0</v>
      </c>
      <c r="B68" s="218" t="s">
        <v>2520</v>
      </c>
      <c r="C68" s="204" t="s">
        <v>2589</v>
      </c>
      <c r="D68" s="218" t="s">
        <v>2525</v>
      </c>
      <c r="E68" s="185" t="s">
        <v>2614</v>
      </c>
      <c r="F68" s="232">
        <v>16578.0</v>
      </c>
      <c r="G68" s="231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9"/>
      <c r="V68" s="233">
        <v>34600.0</v>
      </c>
      <c r="W68" s="231"/>
      <c r="X68" s="180"/>
      <c r="Y68" s="174"/>
    </row>
    <row r="69">
      <c r="A69" s="203">
        <v>44.0</v>
      </c>
      <c r="B69" s="218" t="s">
        <v>2520</v>
      </c>
      <c r="C69" s="204" t="s">
        <v>2589</v>
      </c>
      <c r="D69" s="218" t="s">
        <v>2525</v>
      </c>
      <c r="E69" s="185" t="s">
        <v>2615</v>
      </c>
      <c r="F69" s="227">
        <v>13761.0</v>
      </c>
      <c r="G69" s="209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9"/>
      <c r="V69" s="210">
        <v>34500.0</v>
      </c>
      <c r="W69" s="209"/>
      <c r="X69" s="174"/>
      <c r="Y69" s="174"/>
    </row>
    <row r="70">
      <c r="A70" s="203">
        <v>45.0</v>
      </c>
      <c r="B70" s="218" t="s">
        <v>2520</v>
      </c>
      <c r="C70" s="204" t="s">
        <v>2589</v>
      </c>
      <c r="D70" s="218" t="s">
        <v>2525</v>
      </c>
      <c r="E70" s="185" t="s">
        <v>2616</v>
      </c>
      <c r="F70" s="227">
        <v>3122.4</v>
      </c>
      <c r="G70" s="209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9"/>
      <c r="V70" s="210">
        <v>39100.0</v>
      </c>
      <c r="W70" s="209"/>
      <c r="X70" s="174"/>
      <c r="Y70" s="174"/>
    </row>
    <row r="71">
      <c r="A71" s="203">
        <v>46.0</v>
      </c>
      <c r="B71" s="218" t="s">
        <v>2520</v>
      </c>
      <c r="C71" s="204" t="s">
        <v>2589</v>
      </c>
      <c r="D71" s="218" t="s">
        <v>2525</v>
      </c>
      <c r="E71" s="218" t="s">
        <v>2617</v>
      </c>
      <c r="F71" s="234">
        <f>14985-1252+1252</f>
        <v>14985</v>
      </c>
      <c r="G71" s="209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9"/>
      <c r="V71" s="204">
        <v>39700.0</v>
      </c>
      <c r="W71" s="209"/>
      <c r="X71" s="174"/>
      <c r="Y71" s="174"/>
    </row>
    <row r="72">
      <c r="A72" s="235">
        <v>47.0</v>
      </c>
      <c r="B72" s="220" t="s">
        <v>2520</v>
      </c>
      <c r="C72" s="174"/>
      <c r="D72" s="220" t="s">
        <v>2525</v>
      </c>
      <c r="E72" s="220" t="s">
        <v>2618</v>
      </c>
      <c r="F72" s="222">
        <v>7500.0</v>
      </c>
      <c r="G72" s="236" t="s">
        <v>2501</v>
      </c>
      <c r="H72" s="223"/>
      <c r="I72" s="223"/>
      <c r="J72" s="223"/>
      <c r="K72" s="225" t="str">
        <f t="shared" ref="K72:K76" si="5">'PAC Marzo-Abril'!$F72/10</f>
        <v>#REF!</v>
      </c>
      <c r="L72" s="225">
        <v>750.0</v>
      </c>
      <c r="M72" s="225">
        <v>750.0</v>
      </c>
      <c r="N72" s="225">
        <v>750.0</v>
      </c>
      <c r="O72" s="225">
        <v>750.0</v>
      </c>
      <c r="P72" s="225">
        <v>750.0</v>
      </c>
      <c r="Q72" s="225">
        <v>750.0</v>
      </c>
      <c r="R72" s="225">
        <v>750.0</v>
      </c>
      <c r="S72" s="225">
        <v>750.0</v>
      </c>
      <c r="T72" s="225">
        <v>750.0</v>
      </c>
      <c r="U72" s="174"/>
      <c r="V72" s="180">
        <v>39800.0</v>
      </c>
      <c r="W72" s="174"/>
      <c r="X72" s="174"/>
      <c r="Y72" s="174"/>
    </row>
    <row r="73">
      <c r="A73" s="235">
        <v>48.0</v>
      </c>
      <c r="B73" s="220" t="s">
        <v>2520</v>
      </c>
      <c r="C73" s="174"/>
      <c r="D73" s="220" t="s">
        <v>2525</v>
      </c>
      <c r="E73" s="220" t="s">
        <v>2619</v>
      </c>
      <c r="F73" s="222">
        <v>7500.0</v>
      </c>
      <c r="G73" s="236" t="s">
        <v>2501</v>
      </c>
      <c r="H73" s="223"/>
      <c r="I73" s="223"/>
      <c r="J73" s="223"/>
      <c r="K73" s="225" t="str">
        <f t="shared" si="5"/>
        <v>#REF!</v>
      </c>
      <c r="L73" s="225">
        <v>750.0</v>
      </c>
      <c r="M73" s="225">
        <v>750.0</v>
      </c>
      <c r="N73" s="225">
        <v>750.0</v>
      </c>
      <c r="O73" s="225">
        <v>750.0</v>
      </c>
      <c r="P73" s="225">
        <v>750.0</v>
      </c>
      <c r="Q73" s="225">
        <v>750.0</v>
      </c>
      <c r="R73" s="225">
        <v>750.0</v>
      </c>
      <c r="S73" s="225">
        <v>750.0</v>
      </c>
      <c r="T73" s="225">
        <v>750.0</v>
      </c>
      <c r="U73" s="174"/>
      <c r="V73" s="180">
        <v>39700.0</v>
      </c>
      <c r="W73" s="174"/>
      <c r="X73" s="174"/>
      <c r="Y73" s="174"/>
    </row>
    <row r="74">
      <c r="A74" s="235">
        <v>49.0</v>
      </c>
      <c r="B74" s="220" t="s">
        <v>2520</v>
      </c>
      <c r="C74" s="174"/>
      <c r="D74" s="220" t="s">
        <v>2522</v>
      </c>
      <c r="E74" s="220" t="s">
        <v>2620</v>
      </c>
      <c r="F74" s="222">
        <v>3334.0</v>
      </c>
      <c r="G74" s="236" t="s">
        <v>2501</v>
      </c>
      <c r="H74" s="223"/>
      <c r="I74" s="223"/>
      <c r="J74" s="223"/>
      <c r="K74" s="225" t="str">
        <f t="shared" si="5"/>
        <v>#REF!</v>
      </c>
      <c r="L74" s="225">
        <f t="shared" ref="L74:T74" si="6">3334/10</f>
        <v>333.4</v>
      </c>
      <c r="M74" s="225">
        <f t="shared" si="6"/>
        <v>333.4</v>
      </c>
      <c r="N74" s="225">
        <f t="shared" si="6"/>
        <v>333.4</v>
      </c>
      <c r="O74" s="225">
        <f t="shared" si="6"/>
        <v>333.4</v>
      </c>
      <c r="P74" s="225">
        <f t="shared" si="6"/>
        <v>333.4</v>
      </c>
      <c r="Q74" s="225">
        <f t="shared" si="6"/>
        <v>333.4</v>
      </c>
      <c r="R74" s="225">
        <f t="shared" si="6"/>
        <v>333.4</v>
      </c>
      <c r="S74" s="225">
        <f t="shared" si="6"/>
        <v>333.4</v>
      </c>
      <c r="T74" s="225">
        <f t="shared" si="6"/>
        <v>333.4</v>
      </c>
      <c r="U74" s="174"/>
      <c r="V74" s="180">
        <v>24120.0</v>
      </c>
      <c r="W74" s="174"/>
      <c r="X74" s="174"/>
      <c r="Y74" s="174"/>
    </row>
    <row r="75">
      <c r="A75" s="235">
        <v>50.0</v>
      </c>
      <c r="B75" s="220" t="s">
        <v>2520</v>
      </c>
      <c r="C75" s="174"/>
      <c r="D75" s="220" t="s">
        <v>2525</v>
      </c>
      <c r="E75" s="220" t="s">
        <v>2621</v>
      </c>
      <c r="F75" s="222">
        <v>3333.0</v>
      </c>
      <c r="G75" s="236" t="s">
        <v>2501</v>
      </c>
      <c r="H75" s="223"/>
      <c r="I75" s="223"/>
      <c r="J75" s="223"/>
      <c r="K75" s="225" t="str">
        <f t="shared" si="5"/>
        <v>#REF!</v>
      </c>
      <c r="L75" s="225" t="str">
        <f t="shared" ref="L75:T75" si="7">'PAC Marzo-Abril'!$F75/10</f>
        <v>#REF!</v>
      </c>
      <c r="M75" s="225" t="str">
        <f t="shared" si="7"/>
        <v>#REF!</v>
      </c>
      <c r="N75" s="225" t="str">
        <f t="shared" si="7"/>
        <v>#REF!</v>
      </c>
      <c r="O75" s="225" t="str">
        <f t="shared" si="7"/>
        <v>#REF!</v>
      </c>
      <c r="P75" s="225" t="str">
        <f t="shared" si="7"/>
        <v>#REF!</v>
      </c>
      <c r="Q75" s="225" t="str">
        <f t="shared" si="7"/>
        <v>#REF!</v>
      </c>
      <c r="R75" s="225" t="str">
        <f t="shared" si="7"/>
        <v>#REF!</v>
      </c>
      <c r="S75" s="225" t="str">
        <f t="shared" si="7"/>
        <v>#REF!</v>
      </c>
      <c r="T75" s="225" t="str">
        <f t="shared" si="7"/>
        <v>#REF!</v>
      </c>
      <c r="U75" s="174"/>
      <c r="V75" s="180">
        <v>34200.0</v>
      </c>
      <c r="W75" s="174"/>
      <c r="X75" s="174"/>
      <c r="Y75" s="174"/>
    </row>
    <row r="76">
      <c r="A76" s="235">
        <v>51.0</v>
      </c>
      <c r="B76" s="220" t="s">
        <v>2520</v>
      </c>
      <c r="C76" s="174"/>
      <c r="D76" s="220" t="s">
        <v>2525</v>
      </c>
      <c r="E76" s="220" t="s">
        <v>2622</v>
      </c>
      <c r="F76" s="237">
        <v>3333.0</v>
      </c>
      <c r="G76" s="236" t="s">
        <v>2501</v>
      </c>
      <c r="H76" s="223"/>
      <c r="I76" s="223"/>
      <c r="J76" s="223"/>
      <c r="K76" s="225" t="str">
        <f t="shared" si="5"/>
        <v>#REF!</v>
      </c>
      <c r="L76" s="225" t="str">
        <f t="shared" ref="L76:T76" si="8">'PAC Marzo-Abril'!$F76/10</f>
        <v>#REF!</v>
      </c>
      <c r="M76" s="225" t="str">
        <f t="shared" si="8"/>
        <v>#REF!</v>
      </c>
      <c r="N76" s="225" t="str">
        <f t="shared" si="8"/>
        <v>#REF!</v>
      </c>
      <c r="O76" s="225" t="str">
        <f t="shared" si="8"/>
        <v>#REF!</v>
      </c>
      <c r="P76" s="225" t="str">
        <f t="shared" si="8"/>
        <v>#REF!</v>
      </c>
      <c r="Q76" s="225" t="str">
        <f t="shared" si="8"/>
        <v>#REF!</v>
      </c>
      <c r="R76" s="225" t="str">
        <f t="shared" si="8"/>
        <v>#REF!</v>
      </c>
      <c r="S76" s="225" t="str">
        <f t="shared" si="8"/>
        <v>#REF!</v>
      </c>
      <c r="T76" s="225" t="str">
        <f t="shared" si="8"/>
        <v>#REF!</v>
      </c>
      <c r="U76" s="174"/>
      <c r="V76" s="180">
        <v>34110.0</v>
      </c>
      <c r="W76" s="174"/>
      <c r="X76" s="174"/>
      <c r="Y76" s="174"/>
    </row>
    <row r="77">
      <c r="A77" s="235">
        <v>52.0</v>
      </c>
      <c r="B77" s="220" t="s">
        <v>2520</v>
      </c>
      <c r="C77" s="174"/>
      <c r="D77" s="220" t="s">
        <v>2525</v>
      </c>
      <c r="E77" s="220" t="s">
        <v>2623</v>
      </c>
      <c r="F77" s="222">
        <f>77.84*6</f>
        <v>467.04</v>
      </c>
      <c r="G77" s="236" t="s">
        <v>2501</v>
      </c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174"/>
      <c r="V77" s="180">
        <v>39100.0</v>
      </c>
      <c r="W77" s="174"/>
      <c r="X77" s="174"/>
      <c r="Y77" s="174"/>
    </row>
    <row r="78">
      <c r="A78" s="235">
        <v>53.0</v>
      </c>
      <c r="B78" s="220" t="s">
        <v>2520</v>
      </c>
      <c r="C78" s="174"/>
      <c r="D78" s="220" t="s">
        <v>2525</v>
      </c>
      <c r="E78" s="220" t="s">
        <v>2624</v>
      </c>
      <c r="F78" s="237">
        <v>2000.0</v>
      </c>
      <c r="G78" s="236" t="s">
        <v>2501</v>
      </c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174"/>
      <c r="V78" s="180">
        <v>34500.0</v>
      </c>
      <c r="W78" s="174"/>
      <c r="X78" s="174"/>
      <c r="Y78" s="174"/>
    </row>
    <row r="79">
      <c r="A79" s="235">
        <v>54.0</v>
      </c>
      <c r="B79" s="220" t="s">
        <v>2520</v>
      </c>
      <c r="C79" s="174"/>
      <c r="D79" s="220" t="s">
        <v>2525</v>
      </c>
      <c r="E79" s="220" t="s">
        <v>2625</v>
      </c>
      <c r="F79" s="238">
        <v>1200.0</v>
      </c>
      <c r="G79" s="174"/>
      <c r="H79" s="223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80">
        <v>39800.0</v>
      </c>
      <c r="W79" s="174"/>
      <c r="X79" s="174"/>
      <c r="Y79" s="174"/>
    </row>
    <row r="80">
      <c r="A80" s="235">
        <v>55.0</v>
      </c>
      <c r="B80" s="220" t="s">
        <v>2520</v>
      </c>
      <c r="C80" s="174"/>
      <c r="D80" s="174"/>
      <c r="E80" s="220" t="s">
        <v>2626</v>
      </c>
      <c r="F80" s="239">
        <v>674.57</v>
      </c>
      <c r="G80" s="236" t="s">
        <v>2503</v>
      </c>
      <c r="H80" s="236" t="s">
        <v>2504</v>
      </c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80">
        <v>34500.0</v>
      </c>
      <c r="W80" s="174"/>
      <c r="X80" s="174"/>
      <c r="Y80" s="174"/>
    </row>
    <row r="81">
      <c r="A81" s="235">
        <v>56.0</v>
      </c>
      <c r="B81" s="220" t="s">
        <v>2520</v>
      </c>
      <c r="C81" s="174"/>
      <c r="D81" s="174"/>
      <c r="E81" s="220" t="s">
        <v>2627</v>
      </c>
      <c r="F81" s="238">
        <v>2000.0</v>
      </c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80">
        <v>39800.0</v>
      </c>
      <c r="W81" s="174"/>
      <c r="X81" s="174"/>
      <c r="Y81" s="174"/>
    </row>
    <row r="82">
      <c r="A82" s="235">
        <v>57.0</v>
      </c>
      <c r="B82" s="220" t="s">
        <v>2520</v>
      </c>
      <c r="C82" s="174"/>
      <c r="D82" s="174"/>
      <c r="E82" s="220" t="s">
        <v>2628</v>
      </c>
      <c r="F82" s="239">
        <v>315.0</v>
      </c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80">
        <v>34800.0</v>
      </c>
      <c r="W82" s="174"/>
      <c r="X82" s="174"/>
      <c r="Y82" s="174"/>
    </row>
    <row r="83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</row>
    <row r="84">
      <c r="A84" s="107"/>
      <c r="B84" s="107"/>
      <c r="C84" s="107"/>
      <c r="D84" s="240" t="s">
        <v>2629</v>
      </c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</row>
    <row r="85">
      <c r="A85" s="107"/>
      <c r="B85" s="107"/>
      <c r="C85" s="107"/>
      <c r="D85" s="107"/>
      <c r="E85" s="241" t="s">
        <v>2630</v>
      </c>
      <c r="F85" s="242" t="s">
        <v>2631</v>
      </c>
      <c r="G85" s="242"/>
      <c r="H85" s="242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</row>
    <row r="86">
      <c r="A86" s="107"/>
      <c r="B86" s="107"/>
      <c r="C86" s="107"/>
      <c r="D86" s="107"/>
      <c r="E86" s="107"/>
      <c r="F86" s="240" t="s">
        <v>2632</v>
      </c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243" t="s">
        <v>1842</v>
      </c>
      <c r="X86" s="107"/>
      <c r="Y86" s="107"/>
    </row>
    <row r="87">
      <c r="A87" s="107"/>
      <c r="B87" s="107"/>
      <c r="C87" s="107"/>
      <c r="D87" s="244">
        <v>24120.0</v>
      </c>
      <c r="E87" s="107"/>
      <c r="F87" s="107" t="s">
        <v>1771</v>
      </c>
      <c r="G87" s="245">
        <v>24120.0</v>
      </c>
      <c r="H87" s="246">
        <v>5.142344E7</v>
      </c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247">
        <f t="shared" ref="V87:V96" si="9">SUMIF($V$5:$V$82,G87,$F$5:$F$82)</f>
        <v>43649868.24</v>
      </c>
      <c r="W87" s="248">
        <f t="shared" ref="W87:W96" si="10">V87-H87</f>
        <v>-7773571.76</v>
      </c>
      <c r="X87" s="107"/>
      <c r="Y87" s="107"/>
    </row>
    <row r="88">
      <c r="A88" s="107"/>
      <c r="B88" s="107"/>
      <c r="C88" s="107"/>
      <c r="D88" s="244">
        <v>34110.0</v>
      </c>
      <c r="E88" s="107"/>
      <c r="F88" s="249" t="s">
        <v>2633</v>
      </c>
      <c r="G88" s="245">
        <v>34110.0</v>
      </c>
      <c r="H88" s="246">
        <v>2307278.0</v>
      </c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247">
        <f t="shared" si="9"/>
        <v>3408224.77</v>
      </c>
      <c r="W88" s="248">
        <f t="shared" si="10"/>
        <v>1100946.77</v>
      </c>
      <c r="X88" s="107"/>
      <c r="Y88" s="107"/>
    </row>
    <row r="89">
      <c r="A89" s="107"/>
      <c r="B89" s="107"/>
      <c r="C89" s="107"/>
      <c r="D89" s="244">
        <v>34200.0</v>
      </c>
      <c r="E89" s="107"/>
      <c r="F89" s="249" t="s">
        <v>2634</v>
      </c>
      <c r="G89" s="245">
        <v>34200.0</v>
      </c>
      <c r="H89" s="246">
        <v>248889.0</v>
      </c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247">
        <f t="shared" si="9"/>
        <v>259486.37</v>
      </c>
      <c r="W89" s="248">
        <f t="shared" si="10"/>
        <v>10597.37</v>
      </c>
      <c r="X89" s="107"/>
      <c r="Y89" s="107"/>
    </row>
    <row r="90">
      <c r="A90" s="107"/>
      <c r="B90" s="107"/>
      <c r="C90" s="107"/>
      <c r="D90" s="244">
        <v>34300.0</v>
      </c>
      <c r="E90" s="107"/>
      <c r="F90" s="249" t="s">
        <v>2635</v>
      </c>
      <c r="G90" s="245">
        <v>34300.0</v>
      </c>
      <c r="H90" s="246">
        <v>1197412.0</v>
      </c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247">
        <f t="shared" si="9"/>
        <v>2473638.82</v>
      </c>
      <c r="W90" s="248">
        <f t="shared" si="10"/>
        <v>1276226.82</v>
      </c>
      <c r="X90" s="107"/>
      <c r="Y90" s="107"/>
    </row>
    <row r="91">
      <c r="A91" s="107"/>
      <c r="B91" s="107"/>
      <c r="C91" s="107"/>
      <c r="D91" s="244">
        <v>34800.0</v>
      </c>
      <c r="E91" s="107"/>
      <c r="F91" s="249" t="s">
        <v>2636</v>
      </c>
      <c r="G91" s="245">
        <v>34800.0</v>
      </c>
      <c r="H91" s="246">
        <v>66927.0</v>
      </c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247">
        <f t="shared" si="9"/>
        <v>27678.47</v>
      </c>
      <c r="W91" s="248">
        <f t="shared" si="10"/>
        <v>-39248.53</v>
      </c>
      <c r="X91" s="107"/>
      <c r="Y91" s="107"/>
    </row>
    <row r="92">
      <c r="A92" s="107"/>
      <c r="B92" s="107"/>
      <c r="C92" s="107"/>
      <c r="D92" s="250">
        <v>39100.0</v>
      </c>
      <c r="E92" s="107"/>
      <c r="F92" s="249" t="s">
        <v>2637</v>
      </c>
      <c r="G92" s="245">
        <v>39100.0</v>
      </c>
      <c r="H92" s="246">
        <v>100800.0</v>
      </c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247">
        <f t="shared" si="9"/>
        <v>63589.44</v>
      </c>
      <c r="W92" s="248">
        <f t="shared" si="10"/>
        <v>-37210.56</v>
      </c>
      <c r="X92" s="107"/>
      <c r="Y92" s="107"/>
    </row>
    <row r="93">
      <c r="A93" s="107"/>
      <c r="B93" s="107"/>
      <c r="C93" s="107"/>
      <c r="D93" s="244">
        <v>39700.0</v>
      </c>
      <c r="E93" s="107"/>
      <c r="F93" s="249" t="s">
        <v>2638</v>
      </c>
      <c r="G93" s="245">
        <v>39700.0</v>
      </c>
      <c r="H93" s="246">
        <v>2608862.0</v>
      </c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247">
        <f t="shared" si="9"/>
        <v>2281865.59</v>
      </c>
      <c r="W93" s="248">
        <f t="shared" si="10"/>
        <v>-326996.41</v>
      </c>
      <c r="X93" s="107"/>
      <c r="Y93" s="107"/>
    </row>
    <row r="94">
      <c r="A94" s="107"/>
      <c r="B94" s="107"/>
      <c r="C94" s="107"/>
      <c r="D94" s="244">
        <v>39800.0</v>
      </c>
      <c r="E94" s="107"/>
      <c r="F94" s="249" t="s">
        <v>2639</v>
      </c>
      <c r="G94" s="245">
        <v>39800.0</v>
      </c>
      <c r="H94" s="246">
        <v>3.7832962E7</v>
      </c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247">
        <f t="shared" si="9"/>
        <v>40870627.06</v>
      </c>
      <c r="W94" s="248">
        <f t="shared" si="10"/>
        <v>3037665.06</v>
      </c>
      <c r="X94" s="107"/>
      <c r="Y94" s="107"/>
    </row>
    <row r="95">
      <c r="A95" s="107"/>
      <c r="B95" s="107"/>
      <c r="C95" s="107"/>
      <c r="D95" s="107"/>
      <c r="E95" s="107"/>
      <c r="F95" s="249" t="s">
        <v>2640</v>
      </c>
      <c r="G95" s="245">
        <v>43700.0</v>
      </c>
      <c r="H95" s="246">
        <v>385000.0</v>
      </c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247">
        <f t="shared" si="9"/>
        <v>0</v>
      </c>
      <c r="W95" s="248">
        <f t="shared" si="10"/>
        <v>-385000</v>
      </c>
      <c r="X95" s="107"/>
      <c r="Y95" s="107"/>
    </row>
    <row r="96">
      <c r="A96" s="107"/>
      <c r="B96" s="107"/>
      <c r="C96" s="107"/>
      <c r="D96" s="107"/>
      <c r="E96" s="107"/>
      <c r="F96" s="251" t="s">
        <v>2641</v>
      </c>
      <c r="G96" s="245">
        <v>34600.0</v>
      </c>
      <c r="H96" s="252">
        <v>0.0</v>
      </c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247">
        <f t="shared" si="9"/>
        <v>16578</v>
      </c>
      <c r="W96" s="248">
        <f t="shared" si="10"/>
        <v>16578</v>
      </c>
      <c r="X96" s="107"/>
      <c r="Y96" s="107"/>
    </row>
    <row r="97">
      <c r="A97" s="107"/>
      <c r="B97" s="107"/>
      <c r="C97" s="107"/>
      <c r="D97" s="107"/>
      <c r="E97" s="107"/>
      <c r="F97" s="251" t="s">
        <v>2642</v>
      </c>
      <c r="G97" s="245">
        <v>22210.0</v>
      </c>
      <c r="H97" s="252">
        <v>0.0</v>
      </c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8"/>
      <c r="W97" s="253"/>
      <c r="X97" s="107"/>
      <c r="Y97" s="107"/>
    </row>
    <row r="98">
      <c r="A98" s="107"/>
      <c r="B98" s="107"/>
      <c r="C98" s="107"/>
      <c r="D98" s="107"/>
      <c r="E98" s="107"/>
      <c r="F98" s="254" t="s">
        <v>2643</v>
      </c>
      <c r="G98" s="245">
        <v>34500.0</v>
      </c>
      <c r="H98" s="252">
        <v>0.0</v>
      </c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247">
        <f>SUMIF($V$5:$V$82,G98,$F$5:$F$82)</f>
        <v>16435.57</v>
      </c>
      <c r="W98" s="248">
        <f t="shared" ref="W98:W99" si="11">V98-H98</f>
        <v>16435.57</v>
      </c>
      <c r="X98" s="107"/>
      <c r="Y98" s="107"/>
    </row>
    <row r="99">
      <c r="A99" s="107"/>
      <c r="B99" s="107"/>
      <c r="C99" s="107"/>
      <c r="D99" s="107"/>
      <c r="E99" s="255"/>
      <c r="F99" s="256" t="s">
        <v>2644</v>
      </c>
      <c r="G99" s="255"/>
      <c r="H99" s="257">
        <v>9.617157E7</v>
      </c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258">
        <f>SUM(V87:V98)</f>
        <v>93067992.33</v>
      </c>
      <c r="W99" s="248">
        <f t="shared" si="11"/>
        <v>-3103577.67</v>
      </c>
      <c r="X99" s="107"/>
      <c r="Y99" s="107"/>
    </row>
    <row r="100">
      <c r="A100" s="107"/>
      <c r="B100" s="107"/>
      <c r="C100" s="107"/>
      <c r="D100" s="107"/>
      <c r="E100" s="256" t="s">
        <v>2645</v>
      </c>
      <c r="F100" s="255"/>
      <c r="G100" s="255"/>
      <c r="H100" s="257">
        <v>9.617157E7</v>
      </c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</row>
    <row r="101">
      <c r="A101" s="107"/>
      <c r="B101" s="107"/>
      <c r="C101" s="107"/>
      <c r="D101" s="107"/>
      <c r="E101" s="242"/>
      <c r="F101" s="242"/>
      <c r="G101" s="242"/>
      <c r="H101" s="242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253"/>
      <c r="X101" s="107"/>
      <c r="Y101" s="107"/>
    </row>
    <row r="102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</row>
    <row r="103">
      <c r="A103" s="107"/>
      <c r="B103" s="107"/>
      <c r="C103" s="107"/>
      <c r="D103" s="107"/>
      <c r="E103" s="107"/>
      <c r="F103" s="107"/>
      <c r="G103" s="249" t="s">
        <v>2646</v>
      </c>
      <c r="H103" s="246">
        <v>6.077911626E7</v>
      </c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</row>
    <row r="104">
      <c r="A104" s="107"/>
      <c r="B104" s="107"/>
      <c r="C104" s="107"/>
      <c r="D104" s="107"/>
      <c r="E104" s="107"/>
      <c r="F104" s="107"/>
      <c r="G104" s="245" t="s">
        <v>2647</v>
      </c>
      <c r="H104" s="246">
        <f>V99-H103</f>
        <v>32288876.07</v>
      </c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</row>
    <row r="105">
      <c r="A105" s="107"/>
      <c r="B105" s="107"/>
      <c r="C105" s="107"/>
      <c r="D105" s="107"/>
      <c r="E105" s="107"/>
      <c r="F105" s="107"/>
      <c r="G105" s="245" t="s">
        <v>1792</v>
      </c>
      <c r="H105" s="246">
        <f>H104-34000000</f>
        <v>-1711123.93</v>
      </c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</row>
    <row r="106">
      <c r="A106" s="107"/>
      <c r="B106" s="107"/>
      <c r="C106" s="107"/>
      <c r="D106" s="107"/>
      <c r="E106" s="107"/>
      <c r="F106" s="107"/>
      <c r="G106" s="259" t="s">
        <v>2648</v>
      </c>
      <c r="H106" s="260" t="s">
        <v>2649</v>
      </c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</row>
    <row r="107">
      <c r="A107" s="107"/>
      <c r="B107" s="107"/>
      <c r="C107" s="107"/>
      <c r="D107" s="107"/>
      <c r="E107" s="107"/>
      <c r="F107" s="107"/>
      <c r="G107" s="261" t="s">
        <v>2501</v>
      </c>
      <c r="H107" s="262">
        <f t="shared" ref="H107:H115" si="12">COUNTIF($G$6:$G$82,G107)</f>
        <v>7</v>
      </c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</row>
    <row r="108">
      <c r="A108" s="107"/>
      <c r="B108" s="107"/>
      <c r="C108" s="107"/>
      <c r="D108" s="107"/>
      <c r="E108" s="107"/>
      <c r="F108" s="107"/>
      <c r="G108" s="261" t="s">
        <v>2502</v>
      </c>
      <c r="H108" s="262">
        <f t="shared" si="12"/>
        <v>1</v>
      </c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</row>
    <row r="109">
      <c r="A109" s="107"/>
      <c r="B109" s="107"/>
      <c r="C109" s="107"/>
      <c r="D109" s="107"/>
      <c r="E109" s="107"/>
      <c r="F109" s="107"/>
      <c r="G109" s="261" t="s">
        <v>2503</v>
      </c>
      <c r="H109" s="262">
        <f t="shared" si="12"/>
        <v>18</v>
      </c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</row>
    <row r="110">
      <c r="A110" s="107"/>
      <c r="B110" s="107"/>
      <c r="C110" s="107"/>
      <c r="D110" s="107"/>
      <c r="E110" s="107"/>
      <c r="F110" s="107"/>
      <c r="G110" s="261" t="s">
        <v>2504</v>
      </c>
      <c r="H110" s="262">
        <f t="shared" si="12"/>
        <v>16</v>
      </c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</row>
    <row r="111">
      <c r="A111" s="107"/>
      <c r="B111" s="107"/>
      <c r="C111" s="107"/>
      <c r="D111" s="107"/>
      <c r="E111" s="107"/>
      <c r="F111" s="107"/>
      <c r="G111" s="261" t="s">
        <v>2505</v>
      </c>
      <c r="H111" s="262">
        <f t="shared" si="12"/>
        <v>4</v>
      </c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</row>
    <row r="112">
      <c r="A112" s="107"/>
      <c r="B112" s="107"/>
      <c r="C112" s="107"/>
      <c r="D112" s="107"/>
      <c r="E112" s="107"/>
      <c r="F112" s="107"/>
      <c r="G112" s="261" t="s">
        <v>2506</v>
      </c>
      <c r="H112" s="262">
        <f t="shared" si="12"/>
        <v>2</v>
      </c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</row>
    <row r="113">
      <c r="A113" s="107"/>
      <c r="B113" s="107"/>
      <c r="C113" s="107"/>
      <c r="D113" s="107"/>
      <c r="E113" s="107"/>
      <c r="F113" s="107"/>
      <c r="G113" s="261" t="s">
        <v>2507</v>
      </c>
      <c r="H113" s="262">
        <f t="shared" si="12"/>
        <v>0</v>
      </c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</row>
    <row r="114">
      <c r="A114" s="107"/>
      <c r="B114" s="107"/>
      <c r="C114" s="107"/>
      <c r="D114" s="107"/>
      <c r="E114" s="107"/>
      <c r="F114" s="107"/>
      <c r="G114" s="261" t="s">
        <v>2508</v>
      </c>
      <c r="H114" s="262">
        <f t="shared" si="12"/>
        <v>0</v>
      </c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</row>
    <row r="115">
      <c r="A115" s="107"/>
      <c r="B115" s="107"/>
      <c r="C115" s="107"/>
      <c r="D115" s="107"/>
      <c r="E115" s="107"/>
      <c r="F115" s="107"/>
      <c r="G115" s="261" t="s">
        <v>2509</v>
      </c>
      <c r="H115" s="262">
        <f t="shared" si="12"/>
        <v>1</v>
      </c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</row>
    <row r="116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</row>
    <row r="117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</row>
    <row r="118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</row>
    <row r="119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</row>
    <row r="120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</row>
    <row r="121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</row>
    <row r="122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</row>
    <row r="123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</row>
    <row r="124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</row>
    <row r="125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</row>
    <row r="126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</row>
    <row r="127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</row>
    <row r="128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</row>
    <row r="129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</row>
    <row r="130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</row>
    <row r="131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</row>
    <row r="132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</row>
    <row r="133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</row>
    <row r="134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</row>
    <row r="135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</row>
    <row r="136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</row>
    <row r="137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</row>
    <row r="138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</row>
    <row r="139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</row>
    <row r="140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</row>
    <row r="141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</row>
    <row r="142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</row>
    <row r="143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</row>
    <row r="144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</row>
    <row r="145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</row>
    <row r="146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</row>
    <row r="147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</row>
    <row r="148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</row>
    <row r="149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</row>
    <row r="150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</row>
    <row r="151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</row>
    <row r="152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</row>
    <row r="153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</row>
    <row r="154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</row>
    <row r="155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</row>
    <row r="156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</row>
    <row r="157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</row>
    <row r="158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</row>
    <row r="159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</row>
    <row r="160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</row>
    <row r="161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</row>
    <row r="162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</row>
    <row r="163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</row>
    <row r="164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</row>
    <row r="165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</row>
    <row r="166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</row>
    <row r="167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</row>
    <row r="168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</row>
    <row r="169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</row>
    <row r="170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</row>
    <row r="171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</row>
    <row r="172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</row>
    <row r="173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</row>
    <row r="174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</row>
    <row r="175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</row>
    <row r="176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</row>
    <row r="177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</row>
    <row r="178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</row>
    <row r="179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</row>
    <row r="180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</row>
    <row r="181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</row>
    <row r="182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</row>
    <row r="183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</row>
    <row r="184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</row>
    <row r="185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</row>
    <row r="186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</row>
    <row r="187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</row>
    <row r="188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</row>
    <row r="189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</row>
    <row r="190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</row>
    <row r="191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</row>
    <row r="192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</row>
    <row r="193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</row>
    <row r="194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</row>
    <row r="195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</row>
    <row r="196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</row>
    <row r="197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</row>
    <row r="198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</row>
    <row r="199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</row>
    <row r="200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</row>
    <row r="201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</row>
    <row r="202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</row>
    <row r="203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</row>
    <row r="204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</row>
    <row r="205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</row>
    <row r="206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</row>
    <row r="207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</row>
    <row r="208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</row>
    <row r="209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</row>
    <row r="210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</row>
    <row r="211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</row>
    <row r="212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</row>
    <row r="213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</row>
    <row r="214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</row>
    <row r="215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</row>
    <row r="216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</row>
    <row r="217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</row>
    <row r="218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</row>
    <row r="219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</row>
    <row r="220">
      <c r="A220" s="263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</row>
    <row r="221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</row>
    <row r="222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</row>
    <row r="223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</row>
    <row r="224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</row>
    <row r="225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</row>
    <row r="226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</row>
    <row r="227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</row>
    <row r="228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</row>
    <row r="229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</row>
    <row r="230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</row>
    <row r="231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</row>
    <row r="232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</row>
    <row r="233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</row>
    <row r="234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</row>
    <row r="235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</row>
    <row r="236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</row>
    <row r="237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</row>
    <row r="238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</row>
    <row r="239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</row>
    <row r="240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</row>
    <row r="241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</row>
    <row r="242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</row>
    <row r="243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</row>
    <row r="244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</row>
    <row r="245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</row>
    <row r="246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</row>
    <row r="247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</row>
    <row r="248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</row>
    <row r="249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</row>
    <row r="250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</row>
    <row r="251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</row>
    <row r="252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</row>
    <row r="253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</row>
    <row r="254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</row>
    <row r="255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</row>
    <row r="256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</row>
    <row r="257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</row>
    <row r="258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</row>
    <row r="259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</row>
    <row r="260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</row>
    <row r="261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</row>
    <row r="262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</row>
    <row r="263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</row>
    <row r="264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</row>
    <row r="265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</row>
    <row r="266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</row>
    <row r="267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</row>
    <row r="268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</row>
    <row r="269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</row>
    <row r="270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</row>
    <row r="271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</row>
    <row r="272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</row>
    <row r="273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</row>
    <row r="274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</row>
    <row r="275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</row>
    <row r="276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</row>
    <row r="277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</row>
    <row r="278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</row>
    <row r="279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</row>
    <row r="280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</row>
    <row r="281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</row>
    <row r="282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</row>
    <row r="283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</row>
    <row r="284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</row>
    <row r="285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</row>
    <row r="286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</row>
    <row r="287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</row>
    <row r="288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</row>
    <row r="289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</row>
    <row r="290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</row>
    <row r="291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</row>
    <row r="292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</row>
    <row r="293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</row>
    <row r="294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</row>
    <row r="295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</row>
    <row r="296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</row>
    <row r="297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</row>
    <row r="298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</row>
    <row r="299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</row>
    <row r="300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</row>
    <row r="301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</row>
    <row r="302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</row>
    <row r="303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</row>
    <row r="304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</row>
    <row r="305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</row>
    <row r="306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</row>
    <row r="307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</row>
    <row r="308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</row>
    <row r="309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</row>
    <row r="310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</row>
    <row r="311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</row>
    <row r="312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</row>
    <row r="313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</row>
    <row r="314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</row>
    <row r="315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</row>
    <row r="316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</row>
    <row r="317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</row>
    <row r="318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</row>
    <row r="319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</row>
    <row r="320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</row>
    <row r="321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</row>
    <row r="322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</row>
    <row r="323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</row>
    <row r="324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</row>
    <row r="325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</row>
    <row r="326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</row>
    <row r="327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</row>
    <row r="328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</row>
    <row r="329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</row>
    <row r="330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</row>
    <row r="331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</row>
    <row r="332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</row>
    <row r="333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</row>
    <row r="334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</row>
    <row r="335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</row>
    <row r="336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</row>
    <row r="337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</row>
    <row r="338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</row>
    <row r="339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</row>
    <row r="340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</row>
    <row r="341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</row>
    <row r="342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</row>
    <row r="343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</row>
    <row r="344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</row>
    <row r="345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</row>
    <row r="346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</row>
    <row r="347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</row>
    <row r="348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</row>
    <row r="349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</row>
    <row r="350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</row>
    <row r="351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</row>
    <row r="352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</row>
    <row r="353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</row>
    <row r="354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</row>
    <row r="355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</row>
    <row r="356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</row>
    <row r="357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</row>
    <row r="358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</row>
    <row r="359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</row>
    <row r="360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</row>
    <row r="361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</row>
    <row r="362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</row>
    <row r="363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</row>
    <row r="364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</row>
    <row r="365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</row>
    <row r="366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</row>
    <row r="367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</row>
    <row r="368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</row>
    <row r="369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</row>
    <row r="370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</row>
    <row r="371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</row>
    <row r="372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</row>
    <row r="373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</row>
    <row r="374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</row>
    <row r="375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</row>
    <row r="376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</row>
    <row r="377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</row>
    <row r="378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</row>
    <row r="379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</row>
    <row r="380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</row>
    <row r="381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</row>
    <row r="382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</row>
    <row r="383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</row>
    <row r="384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</row>
    <row r="385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</row>
    <row r="386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</row>
    <row r="387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</row>
    <row r="388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</row>
    <row r="389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</row>
    <row r="390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</row>
    <row r="391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</row>
    <row r="392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</row>
    <row r="393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</row>
    <row r="394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</row>
    <row r="395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</row>
    <row r="396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</row>
    <row r="397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</row>
    <row r="398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</row>
    <row r="399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</row>
    <row r="400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</row>
    <row r="401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</row>
    <row r="402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</row>
    <row r="403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</row>
    <row r="404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</row>
    <row r="405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</row>
    <row r="406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</row>
    <row r="407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</row>
    <row r="408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</row>
    <row r="409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</row>
    <row r="410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</row>
    <row r="411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</row>
    <row r="412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</row>
    <row r="413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</row>
    <row r="414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</row>
    <row r="415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</row>
    <row r="416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</row>
    <row r="417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</row>
    <row r="418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</row>
    <row r="419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</row>
    <row r="420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</row>
    <row r="421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</row>
    <row r="422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</row>
    <row r="423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</row>
    <row r="424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</row>
    <row r="425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</row>
    <row r="426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</row>
    <row r="427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</row>
    <row r="428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</row>
    <row r="429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</row>
    <row r="430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</row>
    <row r="431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</row>
    <row r="432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</row>
    <row r="433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</row>
    <row r="434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</row>
    <row r="435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</row>
    <row r="436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</row>
    <row r="437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</row>
    <row r="438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</row>
    <row r="439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</row>
    <row r="440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</row>
    <row r="441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</row>
    <row r="442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</row>
    <row r="443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</row>
    <row r="444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</row>
    <row r="445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</row>
    <row r="446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</row>
    <row r="447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</row>
    <row r="448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</row>
    <row r="449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</row>
    <row r="450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</row>
    <row r="451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</row>
    <row r="452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</row>
    <row r="453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</row>
    <row r="454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</row>
    <row r="455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</row>
    <row r="456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</row>
    <row r="457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</row>
    <row r="458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</row>
    <row r="459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</row>
    <row r="460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</row>
    <row r="461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</row>
    <row r="462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</row>
    <row r="463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</row>
    <row r="464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</row>
    <row r="465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</row>
    <row r="466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</row>
    <row r="467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</row>
    <row r="468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</row>
    <row r="469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</row>
    <row r="470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</row>
    <row r="471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</row>
    <row r="472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</row>
    <row r="473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</row>
    <row r="474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</row>
    <row r="475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</row>
    <row r="476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</row>
    <row r="477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</row>
    <row r="478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</row>
    <row r="479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</row>
    <row r="480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</row>
    <row r="481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</row>
    <row r="482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</row>
    <row r="483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</row>
    <row r="484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</row>
    <row r="485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</row>
    <row r="486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</row>
    <row r="487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</row>
    <row r="488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</row>
    <row r="489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</row>
    <row r="490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</row>
    <row r="491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</row>
    <row r="492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</row>
    <row r="493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</row>
    <row r="494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</row>
    <row r="495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</row>
    <row r="496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</row>
    <row r="497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</row>
    <row r="498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</row>
    <row r="499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</row>
    <row r="500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</row>
    <row r="501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</row>
    <row r="502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</row>
    <row r="503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</row>
    <row r="504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</row>
    <row r="505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</row>
    <row r="506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</row>
    <row r="507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</row>
    <row r="508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</row>
    <row r="509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</row>
    <row r="510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</row>
    <row r="511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</row>
    <row r="512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</row>
    <row r="513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</row>
    <row r="514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</row>
    <row r="515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</row>
    <row r="516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</row>
    <row r="517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</row>
    <row r="518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</row>
    <row r="519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</row>
    <row r="520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</row>
    <row r="521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</row>
    <row r="522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</row>
    <row r="523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</row>
    <row r="524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</row>
    <row r="525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</row>
    <row r="526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</row>
    <row r="527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</row>
    <row r="528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</row>
    <row r="529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</row>
    <row r="530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</row>
    <row r="531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</row>
    <row r="532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</row>
    <row r="533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</row>
    <row r="534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</row>
    <row r="535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</row>
    <row r="536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</row>
    <row r="537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</row>
    <row r="538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</row>
    <row r="539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</row>
    <row r="540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</row>
    <row r="541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</row>
    <row r="542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</row>
    <row r="543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</row>
    <row r="544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</row>
    <row r="545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</row>
    <row r="546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</row>
    <row r="547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</row>
    <row r="548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</row>
    <row r="549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</row>
    <row r="550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</row>
    <row r="551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</row>
    <row r="552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</row>
    <row r="553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</row>
    <row r="554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</row>
    <row r="555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</row>
    <row r="556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</row>
    <row r="557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</row>
    <row r="558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</row>
    <row r="559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</row>
    <row r="560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</row>
    <row r="561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</row>
    <row r="562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</row>
    <row r="563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</row>
    <row r="564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</row>
    <row r="565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</row>
    <row r="566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</row>
    <row r="567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</row>
    <row r="568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</row>
    <row r="569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</row>
    <row r="570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</row>
    <row r="571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</row>
    <row r="572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</row>
    <row r="573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</row>
    <row r="574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</row>
    <row r="575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</row>
    <row r="576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</row>
    <row r="577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</row>
    <row r="578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</row>
    <row r="579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</row>
    <row r="580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</row>
    <row r="581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</row>
    <row r="582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</row>
    <row r="583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</row>
    <row r="584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</row>
    <row r="585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</row>
    <row r="586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</row>
    <row r="587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</row>
    <row r="588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</row>
    <row r="589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</row>
    <row r="590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</row>
    <row r="591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</row>
    <row r="592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</row>
    <row r="593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</row>
    <row r="594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</row>
    <row r="595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</row>
    <row r="596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</row>
    <row r="597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</row>
    <row r="598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</row>
    <row r="599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</row>
    <row r="600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</row>
    <row r="601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</row>
    <row r="602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</row>
    <row r="603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</row>
    <row r="604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</row>
    <row r="605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</row>
    <row r="606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</row>
    <row r="607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</row>
    <row r="608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</row>
    <row r="609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</row>
    <row r="610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</row>
    <row r="611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</row>
    <row r="612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</row>
    <row r="613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</row>
    <row r="614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</row>
    <row r="615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</row>
    <row r="616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</row>
    <row r="617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</row>
    <row r="618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</row>
    <row r="619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</row>
    <row r="620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</row>
    <row r="621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</row>
    <row r="622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</row>
    <row r="623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</row>
    <row r="624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</row>
    <row r="625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</row>
    <row r="626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</row>
    <row r="627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</row>
    <row r="628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</row>
    <row r="629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</row>
    <row r="630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</row>
    <row r="631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</row>
    <row r="632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</row>
    <row r="633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</row>
    <row r="634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</row>
    <row r="635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</row>
    <row r="636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</row>
    <row r="637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</row>
    <row r="638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</row>
    <row r="639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</row>
    <row r="640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</row>
    <row r="641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</row>
    <row r="642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</row>
    <row r="643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</row>
    <row r="644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</row>
    <row r="645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</row>
    <row r="646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</row>
    <row r="647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</row>
    <row r="648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</row>
    <row r="649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</row>
    <row r="650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</row>
    <row r="651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</row>
    <row r="652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</row>
    <row r="653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</row>
    <row r="654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</row>
    <row r="655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</row>
    <row r="656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</row>
    <row r="657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</row>
    <row r="658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</row>
    <row r="659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</row>
    <row r="660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</row>
    <row r="661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</row>
    <row r="662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</row>
    <row r="663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</row>
    <row r="664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</row>
    <row r="665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</row>
    <row r="666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</row>
    <row r="667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</row>
    <row r="668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</row>
    <row r="669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</row>
    <row r="670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</row>
    <row r="671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</row>
    <row r="672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</row>
    <row r="673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</row>
    <row r="674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</row>
    <row r="675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</row>
    <row r="676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</row>
    <row r="677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</row>
    <row r="678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</row>
    <row r="679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</row>
    <row r="680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</row>
    <row r="681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</row>
    <row r="682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</row>
    <row r="683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</row>
    <row r="684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</row>
    <row r="685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</row>
    <row r="686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</row>
    <row r="687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</row>
    <row r="688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</row>
    <row r="689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</row>
    <row r="690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</row>
    <row r="691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</row>
    <row r="692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</row>
    <row r="693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</row>
    <row r="694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</row>
    <row r="695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</row>
    <row r="696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</row>
    <row r="697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</row>
    <row r="698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</row>
    <row r="699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</row>
    <row r="700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</row>
    <row r="701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</row>
    <row r="702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</row>
    <row r="703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</row>
    <row r="704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</row>
    <row r="705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</row>
    <row r="706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</row>
    <row r="707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</row>
    <row r="708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</row>
    <row r="709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</row>
    <row r="710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</row>
    <row r="711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</row>
    <row r="712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</row>
    <row r="713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</row>
    <row r="714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</row>
    <row r="715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</row>
    <row r="716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</row>
    <row r="717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</row>
    <row r="718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</row>
    <row r="719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</row>
    <row r="720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</row>
    <row r="721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</row>
    <row r="722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</row>
    <row r="723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</row>
    <row r="724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</row>
    <row r="725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</row>
    <row r="726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</row>
    <row r="727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</row>
    <row r="728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</row>
    <row r="729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</row>
    <row r="730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</row>
    <row r="731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</row>
    <row r="732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</row>
    <row r="733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</row>
    <row r="734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</row>
    <row r="735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</row>
    <row r="736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</row>
    <row r="737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</row>
    <row r="738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</row>
    <row r="739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</row>
    <row r="740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</row>
    <row r="741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</row>
    <row r="742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</row>
    <row r="743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</row>
    <row r="744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</row>
    <row r="745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</row>
    <row r="746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</row>
    <row r="747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</row>
    <row r="748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</row>
    <row r="749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</row>
    <row r="750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</row>
    <row r="751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</row>
    <row r="752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</row>
    <row r="753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</row>
    <row r="754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</row>
    <row r="755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</row>
    <row r="756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</row>
    <row r="757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</row>
    <row r="758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</row>
    <row r="759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</row>
    <row r="760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</row>
    <row r="761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</row>
    <row r="762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</row>
    <row r="763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</row>
    <row r="764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</row>
    <row r="765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</row>
    <row r="766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</row>
    <row r="767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</row>
    <row r="768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</row>
    <row r="769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</row>
    <row r="770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</row>
    <row r="771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</row>
    <row r="772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</row>
    <row r="773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</row>
    <row r="774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</row>
    <row r="775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</row>
    <row r="776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</row>
    <row r="777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</row>
    <row r="778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</row>
    <row r="779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</row>
    <row r="780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</row>
    <row r="781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</row>
    <row r="782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</row>
    <row r="783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</row>
    <row r="784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</row>
    <row r="785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</row>
    <row r="786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</row>
    <row r="787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</row>
    <row r="788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</row>
    <row r="789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</row>
    <row r="790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</row>
    <row r="791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</row>
    <row r="792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</row>
    <row r="793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</row>
    <row r="794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</row>
    <row r="795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</row>
    <row r="796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</row>
    <row r="797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</row>
    <row r="798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</row>
    <row r="799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</row>
    <row r="800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</row>
    <row r="801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</row>
    <row r="802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</row>
    <row r="803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</row>
    <row r="804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</row>
    <row r="805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</row>
    <row r="806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</row>
    <row r="807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</row>
    <row r="808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</row>
    <row r="809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</row>
    <row r="810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</row>
    <row r="811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</row>
    <row r="812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</row>
    <row r="813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</row>
    <row r="814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</row>
    <row r="815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</row>
    <row r="816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</row>
    <row r="817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</row>
    <row r="818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</row>
    <row r="819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</row>
    <row r="820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</row>
    <row r="821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</row>
    <row r="822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</row>
    <row r="823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</row>
    <row r="824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</row>
    <row r="825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</row>
    <row r="826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</row>
    <row r="827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</row>
    <row r="828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</row>
    <row r="829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</row>
    <row r="830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</row>
    <row r="831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</row>
    <row r="832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</row>
    <row r="833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</row>
    <row r="834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</row>
    <row r="835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</row>
    <row r="836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</row>
    <row r="837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</row>
    <row r="838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</row>
    <row r="839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</row>
    <row r="840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</row>
    <row r="841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</row>
    <row r="842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</row>
    <row r="843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</row>
    <row r="844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</row>
    <row r="845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</row>
    <row r="846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</row>
    <row r="847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</row>
    <row r="848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</row>
    <row r="849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</row>
    <row r="850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</row>
    <row r="851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</row>
    <row r="852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</row>
    <row r="853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</row>
    <row r="854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</row>
    <row r="855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</row>
    <row r="856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</row>
    <row r="857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</row>
    <row r="858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</row>
    <row r="859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</row>
    <row r="860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</row>
    <row r="861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</row>
    <row r="862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</row>
    <row r="863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</row>
    <row r="864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</row>
    <row r="865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</row>
    <row r="866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</row>
    <row r="867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</row>
    <row r="868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</row>
    <row r="869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</row>
    <row r="870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</row>
    <row r="871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</row>
    <row r="872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</row>
    <row r="873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</row>
    <row r="874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</row>
    <row r="875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</row>
    <row r="876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</row>
    <row r="877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</row>
    <row r="878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</row>
    <row r="879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</row>
    <row r="880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</row>
    <row r="881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</row>
    <row r="882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</row>
    <row r="883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</row>
    <row r="884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</row>
    <row r="885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</row>
    <row r="886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</row>
    <row r="887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</row>
    <row r="888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</row>
    <row r="889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</row>
    <row r="890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</row>
    <row r="891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</row>
    <row r="892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</row>
    <row r="893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</row>
    <row r="894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</row>
    <row r="895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</row>
    <row r="896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</row>
    <row r="897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</row>
    <row r="898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</row>
    <row r="899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</row>
    <row r="900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</row>
    <row r="901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</row>
    <row r="902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</row>
    <row r="903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</row>
    <row r="904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</row>
    <row r="905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</row>
    <row r="906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</row>
    <row r="907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</row>
    <row r="908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</row>
    <row r="909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</row>
    <row r="910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</row>
    <row r="911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</row>
    <row r="912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</row>
    <row r="913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</row>
    <row r="914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</row>
    <row r="915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</row>
    <row r="916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</row>
    <row r="917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</row>
    <row r="918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</row>
    <row r="919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</row>
    <row r="920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</row>
    <row r="921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</row>
    <row r="922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</row>
    <row r="923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</row>
    <row r="924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</row>
    <row r="925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</row>
    <row r="926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</row>
    <row r="927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</row>
    <row r="928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</row>
    <row r="929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</row>
    <row r="930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</row>
    <row r="931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</row>
    <row r="932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</row>
    <row r="933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</row>
    <row r="934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</row>
    <row r="935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</row>
    <row r="936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</row>
    <row r="937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</row>
    <row r="938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</row>
    <row r="939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</row>
    <row r="940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</row>
    <row r="941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</row>
    <row r="942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</row>
    <row r="943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</row>
    <row r="944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</row>
    <row r="945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</row>
    <row r="946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</row>
    <row r="947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</row>
    <row r="948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</row>
    <row r="949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</row>
    <row r="950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</row>
    <row r="951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</row>
    <row r="952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</row>
    <row r="953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</row>
    <row r="954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</row>
    <row r="955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</row>
    <row r="956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</row>
    <row r="957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</row>
    <row r="958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</row>
    <row r="959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</row>
    <row r="960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</row>
    <row r="961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</row>
    <row r="962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</row>
    <row r="963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</row>
    <row r="964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</row>
    <row r="965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</row>
    <row r="966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</row>
    <row r="967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</row>
    <row r="968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</row>
    <row r="969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</row>
    <row r="970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</row>
    <row r="971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</row>
    <row r="972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</row>
    <row r="973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</row>
    <row r="974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</row>
    <row r="975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</row>
    <row r="976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</row>
    <row r="977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</row>
    <row r="978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</row>
    <row r="979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</row>
    <row r="980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</row>
    <row r="981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</row>
    <row r="982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</row>
    <row r="983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</row>
    <row r="984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</row>
    <row r="985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</row>
    <row r="986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</row>
    <row r="987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</row>
    <row r="988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</row>
    <row r="989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</row>
    <row r="990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</row>
    <row r="991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</row>
    <row r="992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</row>
    <row r="993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</row>
    <row r="994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</row>
    <row r="995">
      <c r="A995" s="10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</row>
    <row r="996">
      <c r="A996" s="10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</row>
    <row r="997">
      <c r="A997" s="10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</row>
    <row r="998">
      <c r="A998" s="10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</row>
    <row r="999">
      <c r="A999" s="10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</row>
    <row r="1000">
      <c r="A1000" s="10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</row>
    <row r="1001">
      <c r="A1001" s="107"/>
      <c r="B1001" s="107"/>
      <c r="C1001" s="107"/>
      <c r="D1001" s="107"/>
      <c r="E1001" s="107"/>
      <c r="F1001" s="107"/>
      <c r="G1001" s="107"/>
      <c r="H1001" s="107"/>
      <c r="I1001" s="107"/>
      <c r="J1001" s="107"/>
      <c r="K1001" s="107"/>
      <c r="L1001" s="107"/>
      <c r="M1001" s="107"/>
      <c r="N1001" s="107"/>
      <c r="O1001" s="107"/>
      <c r="P1001" s="107"/>
      <c r="Q1001" s="107"/>
      <c r="R1001" s="107"/>
      <c r="S1001" s="107"/>
      <c r="T1001" s="107"/>
      <c r="U1001" s="107"/>
      <c r="V1001" s="107"/>
      <c r="W1001" s="107"/>
      <c r="X1001" s="107"/>
      <c r="Y1001" s="107"/>
    </row>
    <row r="1002">
      <c r="A1002" s="107"/>
      <c r="B1002" s="107"/>
      <c r="C1002" s="107"/>
      <c r="D1002" s="107"/>
      <c r="E1002" s="107"/>
      <c r="F1002" s="107"/>
      <c r="G1002" s="107"/>
      <c r="H1002" s="107"/>
      <c r="I1002" s="107"/>
      <c r="J1002" s="107"/>
      <c r="K1002" s="107"/>
      <c r="L1002" s="107"/>
      <c r="M1002" s="107"/>
      <c r="N1002" s="107"/>
      <c r="O1002" s="107"/>
      <c r="P1002" s="107"/>
      <c r="Q1002" s="107"/>
      <c r="R1002" s="107"/>
      <c r="S1002" s="107"/>
      <c r="T1002" s="107"/>
      <c r="U1002" s="107"/>
      <c r="V1002" s="107"/>
      <c r="W1002" s="107"/>
      <c r="X1002" s="107"/>
      <c r="Y1002" s="107"/>
    </row>
  </sheetData>
  <autoFilter ref="$A$5:$W$82"/>
  <mergeCells count="44">
    <mergeCell ref="G6:G11"/>
    <mergeCell ref="H6:H11"/>
    <mergeCell ref="G15:G20"/>
    <mergeCell ref="H15:H20"/>
    <mergeCell ref="W6:W11"/>
    <mergeCell ref="A13:W13"/>
    <mergeCell ref="W15:W20"/>
    <mergeCell ref="A1:F1"/>
    <mergeCell ref="A2:E2"/>
    <mergeCell ref="A3:E3"/>
    <mergeCell ref="I3:T3"/>
    <mergeCell ref="A6:A11"/>
    <mergeCell ref="B6:B11"/>
    <mergeCell ref="C6:C11"/>
    <mergeCell ref="D6:D11"/>
    <mergeCell ref="E6:E11"/>
    <mergeCell ref="A15:A20"/>
    <mergeCell ref="B15:B20"/>
    <mergeCell ref="C15:C20"/>
    <mergeCell ref="D15:D20"/>
    <mergeCell ref="E15:E20"/>
    <mergeCell ref="H31:H32"/>
    <mergeCell ref="V31:V32"/>
    <mergeCell ref="W31:W32"/>
    <mergeCell ref="A31:A32"/>
    <mergeCell ref="B31:B32"/>
    <mergeCell ref="C31:C32"/>
    <mergeCell ref="D31:D32"/>
    <mergeCell ref="E31:E32"/>
    <mergeCell ref="F31:F32"/>
    <mergeCell ref="G31:G32"/>
    <mergeCell ref="A39:A41"/>
    <mergeCell ref="A55:A56"/>
    <mergeCell ref="B55:B56"/>
    <mergeCell ref="C55:C56"/>
    <mergeCell ref="D55:D56"/>
    <mergeCell ref="E55:E56"/>
    <mergeCell ref="B39:B41"/>
    <mergeCell ref="C39:C41"/>
    <mergeCell ref="D39:D41"/>
    <mergeCell ref="E39:E41"/>
    <mergeCell ref="G39:G41"/>
    <mergeCell ref="H39:H41"/>
    <mergeCell ref="A53:W53"/>
  </mergeCells>
  <dataValidations>
    <dataValidation type="list" allowBlank="1" showErrorMessage="1" sqref="G6:H6 G12:H12 G14:H15 G21:H31 G33:H39 G42:H52 G54:H66 G68:H79">
      <formula1>#REF!</formula1>
    </dataValidation>
    <dataValidation type="list" allowBlank="1" showErrorMessage="1" sqref="B6 B12 B14:B15 B21:B31 B33:B39 B42:B52 B54:B55 B57:B82">
      <formula1>#REF!</formula1>
    </dataValidation>
    <dataValidation type="list" allowBlank="1" showErrorMessage="1" sqref="C6 C12 C14:C15 C21:C31 C33:C39 C42:C52 C54:C55 C57:C78">
      <formula1>#REF!</formula1>
    </dataValidation>
    <dataValidation type="list" allowBlank="1" showErrorMessage="1" sqref="D6 D12 D14:D15 D21:D31 D33:D39 D42:D52 D54:D55 D57:D78">
      <formula1>#REF!</formula1>
    </dataValidation>
  </dataValidations>
  <hyperlinks>
    <hyperlink r:id="rId1" location="gid=852992230&amp;range=C15" ref="F14"/>
    <hyperlink r:id="rId2" location="gid=1742859728&amp;range=Q29" ref="F15"/>
    <hyperlink r:id="rId3" location="gid=1742859728&amp;range=Q30" ref="F16"/>
    <hyperlink r:id="rId4" location="gid=1742859728&amp;range=Q31" ref="F17"/>
    <hyperlink r:id="rId5" location="gid=1742859728&amp;range=Q28" ref="F18"/>
    <hyperlink r:id="rId6" location="gid=1742859728&amp;range=Q32" ref="F19"/>
    <hyperlink r:id="rId7" location="gid=852992230&amp;range=C13" ref="F20"/>
    <hyperlink r:id="rId8" location="gid=488574590&amp;range=C15" ref="F21"/>
    <hyperlink r:id="rId9" location="gid=852992230&amp;range=C11" ref="F22"/>
    <hyperlink r:id="rId10" location="gid=488574590&amp;range=C13" ref="F23"/>
    <hyperlink r:id="rId11" location="gid=488574590&amp;range=C17" ref="F24"/>
    <hyperlink r:id="rId12" location="gid=488574590&amp;range=C16" ref="F25"/>
    <hyperlink r:id="rId13" location="gid=488574590&amp;range=C16" ref="F26"/>
    <hyperlink r:id="rId14" location="gid=488574590&amp;range=C18" ref="F27"/>
    <hyperlink r:id="rId15" location="gid=488574590&amp;range=C19" ref="F28"/>
    <hyperlink r:id="rId16" location="gid=488574590&amp;range=C20" ref="F29"/>
    <hyperlink r:id="rId17" location="gid=488574590&amp;range=C23" ref="F30"/>
    <hyperlink r:id="rId18" location="gid=852992230&amp;range=C14" ref="F33"/>
    <hyperlink r:id="rId19" location="gid=1547332198&amp;range=J32" ref="F34"/>
    <hyperlink r:id="rId20" location="gid=852992230&amp;range=C12" ref="F35"/>
    <hyperlink r:id="rId21" location="gid=852992230&amp;range=C12" ref="F36"/>
    <hyperlink r:id="rId22" location="gid=1742859728&amp;range=E41" ref="F40"/>
    <hyperlink r:id="rId23" location="gid=1742859728&amp;range=E41" ref="F41"/>
    <hyperlink r:id="rId24" location="gid=488574590&amp;range=C22" ref="F43"/>
    <hyperlink r:id="rId25" location="gid=488574590&amp;range=C22" ref="F44"/>
    <hyperlink r:id="rId26" location="gid=488574590&amp;range=C21" ref="F45"/>
    <hyperlink r:id="rId27" location="gid=488574590&amp;range=C24" ref="F46"/>
    <hyperlink r:id="rId28" location="gid=1742859728&amp;range=E35" ref="F47"/>
    <hyperlink r:id="rId29" location="gid=488574590&amp;range=C24" ref="F48"/>
    <hyperlink r:id="rId30" location="gid=1742859728&amp;range=E35" ref="F49"/>
    <hyperlink r:id="rId31" location="gid=1742859728&amp;range=E36" ref="F50"/>
    <hyperlink r:id="rId32" location="gid=1742859728&amp;range=E37" ref="F51"/>
    <hyperlink r:id="rId33" location="gid=1547332198&amp;range=J34" ref="F65"/>
    <hyperlink r:id="rId34" location="gid=335490190&amp;range=B15" ref="F66"/>
    <hyperlink r:id="rId35" location="gid=1547332198&amp;range=J34" ref="F67"/>
    <hyperlink r:id="rId36" location="gid=335490190&amp;range=B15" ref="F68"/>
    <hyperlink r:id="rId37" location="gid=1742859728&amp;range=E42" ref="F69"/>
    <hyperlink r:id="rId38" location="gid=1742859728&amp;range=E45" ref="F70"/>
    <hyperlink r:id="rId39" location="gid=335490190&amp;range=B15" ref="F76"/>
    <hyperlink r:id="rId40" location="gid=1742859728&amp;range=E45" ref="F78"/>
    <hyperlink r:id="rId41" location="gid=335490190&amp;range=C16" ref="F80"/>
    <hyperlink r:id="rId42" location="gid=335490190&amp;range=C16" ref="F82"/>
  </hyperlink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4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pageSetUpPr fitToPage="1"/>
  </sheetPr>
  <sheetViews>
    <sheetView showGridLines="0" workbookViewId="0"/>
  </sheetViews>
  <sheetFormatPr customHeight="1" defaultColWidth="14.43" defaultRowHeight="15.0" outlineLevelCol="1"/>
  <cols>
    <col customWidth="1" min="1" max="1" width="12.86" outlineLevel="1"/>
    <col customWidth="1" min="2" max="3" width="7.57" outlineLevel="1"/>
    <col customWidth="1" min="4" max="4" width="22.0" outlineLevel="1"/>
    <col customWidth="1" min="5" max="5" width="18.43" outlineLevel="1"/>
    <col customWidth="1" min="6" max="6" width="13.0" outlineLevel="1"/>
    <col customWidth="1" min="7" max="7" width="9.29" outlineLevel="1"/>
    <col customWidth="1" min="8" max="8" width="11.57" outlineLevel="1"/>
    <col customWidth="1" min="9" max="9" width="9.71"/>
    <col customWidth="1" min="10" max="10" width="64.71"/>
    <col customWidth="1" min="11" max="11" width="9.57"/>
    <col customWidth="1" hidden="1" min="12" max="22" width="4.43" outlineLevel="1"/>
    <col collapsed="1" customWidth="1" min="23" max="23" width="7.71"/>
    <col customWidth="1" hidden="1" min="24" max="34" width="5.86" outlineLevel="1"/>
    <col collapsed="1" customWidth="1" min="35" max="35" width="7.71"/>
    <col customWidth="1" hidden="1" min="36" max="46" width="5.86" outlineLevel="1"/>
    <col collapsed="1" customWidth="1" min="47" max="47" width="7.71"/>
    <col customWidth="1" min="48" max="48" width="9.71"/>
    <col customWidth="1" min="49" max="49" width="12.43"/>
    <col customWidth="1" min="50" max="50" width="14.0"/>
    <col customWidth="1" min="51" max="53" width="10.29"/>
    <col customWidth="1" min="54" max="54" width="11.29"/>
    <col customWidth="1" min="55" max="56" width="21.71"/>
    <col customWidth="1" min="57" max="59" width="10.29"/>
  </cols>
  <sheetData>
    <row r="1">
      <c r="A1" s="264"/>
      <c r="B1" s="264"/>
      <c r="C1" s="265" t="s">
        <v>2650</v>
      </c>
      <c r="D1" s="266"/>
      <c r="E1" s="266"/>
      <c r="F1" s="266"/>
      <c r="G1" s="266"/>
      <c r="H1" s="266"/>
      <c r="I1" s="266"/>
      <c r="J1" s="266"/>
      <c r="K1" s="267"/>
      <c r="L1" s="268" t="s">
        <v>2651</v>
      </c>
      <c r="M1" s="266"/>
      <c r="N1" s="266"/>
      <c r="O1" s="266"/>
      <c r="P1" s="266"/>
      <c r="Q1" s="266"/>
      <c r="R1" s="266"/>
      <c r="S1" s="266"/>
      <c r="T1" s="266"/>
      <c r="U1" s="266"/>
      <c r="V1" s="267"/>
      <c r="W1" s="269" t="s">
        <v>2649</v>
      </c>
      <c r="X1" s="270" t="s">
        <v>2652</v>
      </c>
      <c r="Y1" s="271"/>
      <c r="Z1" s="271"/>
      <c r="AA1" s="271"/>
      <c r="AB1" s="271"/>
      <c r="AC1" s="271"/>
      <c r="AD1" s="271"/>
      <c r="AE1" s="271"/>
      <c r="AF1" s="271"/>
      <c r="AG1" s="271"/>
      <c r="AH1" s="272"/>
      <c r="AI1" s="273" t="s">
        <v>2649</v>
      </c>
      <c r="AJ1" s="270" t="s">
        <v>2653</v>
      </c>
      <c r="AK1" s="271"/>
      <c r="AL1" s="271"/>
      <c r="AM1" s="271"/>
      <c r="AN1" s="271"/>
      <c r="AO1" s="271"/>
      <c r="AP1" s="271"/>
      <c r="AQ1" s="271"/>
      <c r="AR1" s="271"/>
      <c r="AS1" s="271"/>
      <c r="AT1" s="272"/>
      <c r="AU1" s="274" t="s">
        <v>2649</v>
      </c>
      <c r="AV1" s="275"/>
      <c r="AW1" s="276" t="s">
        <v>2654</v>
      </c>
      <c r="AX1" s="277">
        <v>6.96</v>
      </c>
      <c r="AY1" s="104"/>
      <c r="AZ1" s="104"/>
      <c r="BA1" s="104"/>
      <c r="BB1" s="278"/>
      <c r="BE1" s="279"/>
      <c r="BF1" s="279"/>
      <c r="BG1" s="279"/>
    </row>
    <row r="2">
      <c r="A2" s="264"/>
      <c r="B2" s="264"/>
      <c r="C2" s="280"/>
      <c r="D2" s="281"/>
      <c r="E2" s="281"/>
      <c r="F2" s="281"/>
      <c r="G2" s="281"/>
      <c r="H2" s="281"/>
      <c r="I2" s="281"/>
      <c r="J2" s="281"/>
      <c r="K2" s="282"/>
      <c r="L2" s="283"/>
      <c r="M2" s="281"/>
      <c r="N2" s="281"/>
      <c r="O2" s="281"/>
      <c r="P2" s="281"/>
      <c r="Q2" s="281"/>
      <c r="R2" s="281"/>
      <c r="S2" s="281"/>
      <c r="T2" s="281"/>
      <c r="U2" s="281"/>
      <c r="V2" s="282"/>
      <c r="W2" s="284">
        <v>2024.0</v>
      </c>
      <c r="X2" s="283"/>
      <c r="Y2" s="281"/>
      <c r="Z2" s="281"/>
      <c r="AA2" s="281"/>
      <c r="AB2" s="281"/>
      <c r="AC2" s="281"/>
      <c r="AD2" s="281"/>
      <c r="AE2" s="281"/>
      <c r="AF2" s="281"/>
      <c r="AG2" s="281"/>
      <c r="AH2" s="282"/>
      <c r="AI2" s="285">
        <v>2025.0</v>
      </c>
      <c r="AJ2" s="283"/>
      <c r="AK2" s="281"/>
      <c r="AL2" s="281"/>
      <c r="AM2" s="281"/>
      <c r="AN2" s="281"/>
      <c r="AO2" s="281"/>
      <c r="AP2" s="281"/>
      <c r="AQ2" s="281"/>
      <c r="AR2" s="281"/>
      <c r="AS2" s="281"/>
      <c r="AT2" s="282"/>
      <c r="AU2" s="286">
        <v>2026.0</v>
      </c>
      <c r="AV2" s="287"/>
      <c r="AW2" s="288" t="s">
        <v>2655</v>
      </c>
      <c r="AX2" s="289"/>
      <c r="AY2" s="104"/>
      <c r="AZ2" s="104"/>
      <c r="BA2" s="104"/>
      <c r="BB2" s="278">
        <f>BB4/6.96</f>
        <v>98.28</v>
      </c>
      <c r="BE2" s="279"/>
      <c r="BF2" s="279"/>
      <c r="BG2" s="279"/>
    </row>
    <row r="3" ht="51.0" customHeight="1">
      <c r="A3" s="290" t="s">
        <v>1758</v>
      </c>
      <c r="B3" s="290" t="s">
        <v>2656</v>
      </c>
      <c r="C3" s="291" t="s">
        <v>2657</v>
      </c>
      <c r="D3" s="291" t="s">
        <v>1800</v>
      </c>
      <c r="E3" s="291" t="s">
        <v>2658</v>
      </c>
      <c r="F3" s="291" t="s">
        <v>2659</v>
      </c>
      <c r="G3" s="292" t="s">
        <v>2660</v>
      </c>
      <c r="H3" s="293" t="s">
        <v>2661</v>
      </c>
      <c r="I3" s="294" t="s">
        <v>2662</v>
      </c>
      <c r="J3" s="295" t="s">
        <v>1833</v>
      </c>
      <c r="K3" s="291" t="s">
        <v>2663</v>
      </c>
      <c r="L3" s="296" t="s">
        <v>2664</v>
      </c>
      <c r="M3" s="296" t="s">
        <v>2665</v>
      </c>
      <c r="N3" s="296" t="s">
        <v>2666</v>
      </c>
      <c r="O3" s="296" t="s">
        <v>2667</v>
      </c>
      <c r="P3" s="296" t="s">
        <v>2668</v>
      </c>
      <c r="Q3" s="297" t="s">
        <v>2669</v>
      </c>
      <c r="R3" s="296" t="s">
        <v>2670</v>
      </c>
      <c r="S3" s="296" t="s">
        <v>2671</v>
      </c>
      <c r="T3" s="296" t="s">
        <v>2672</v>
      </c>
      <c r="U3" s="296" t="s">
        <v>2673</v>
      </c>
      <c r="V3" s="298" t="s">
        <v>2674</v>
      </c>
      <c r="W3" s="299" t="s">
        <v>7</v>
      </c>
      <c r="X3" s="296" t="s">
        <v>2675</v>
      </c>
      <c r="Y3" s="296" t="s">
        <v>2676</v>
      </c>
      <c r="Z3" s="296" t="s">
        <v>2677</v>
      </c>
      <c r="AA3" s="296" t="s">
        <v>2678</v>
      </c>
      <c r="AB3" s="296" t="s">
        <v>2679</v>
      </c>
      <c r="AC3" s="297" t="s">
        <v>2680</v>
      </c>
      <c r="AD3" s="296" t="s">
        <v>2681</v>
      </c>
      <c r="AE3" s="296" t="s">
        <v>2682</v>
      </c>
      <c r="AF3" s="296" t="s">
        <v>2683</v>
      </c>
      <c r="AG3" s="296" t="s">
        <v>2684</v>
      </c>
      <c r="AH3" s="297" t="s">
        <v>2685</v>
      </c>
      <c r="AI3" s="300" t="s">
        <v>8</v>
      </c>
      <c r="AJ3" s="296" t="s">
        <v>2686</v>
      </c>
      <c r="AK3" s="296" t="s">
        <v>2687</v>
      </c>
      <c r="AL3" s="296" t="s">
        <v>2688</v>
      </c>
      <c r="AM3" s="296" t="s">
        <v>2689</v>
      </c>
      <c r="AN3" s="296" t="s">
        <v>2690</v>
      </c>
      <c r="AO3" s="297" t="s">
        <v>2691</v>
      </c>
      <c r="AP3" s="296" t="s">
        <v>2692</v>
      </c>
      <c r="AQ3" s="296" t="s">
        <v>2693</v>
      </c>
      <c r="AR3" s="296" t="s">
        <v>2694</v>
      </c>
      <c r="AS3" s="296" t="s">
        <v>2695</v>
      </c>
      <c r="AT3" s="297" t="s">
        <v>2696</v>
      </c>
      <c r="AU3" s="300" t="s">
        <v>9</v>
      </c>
      <c r="AV3" s="301" t="s">
        <v>10</v>
      </c>
      <c r="AW3" s="302" t="s">
        <v>2697</v>
      </c>
      <c r="AX3" s="303" t="s">
        <v>2698</v>
      </c>
      <c r="AY3" s="304" t="s">
        <v>2699</v>
      </c>
      <c r="AZ3" s="304" t="s">
        <v>2700</v>
      </c>
      <c r="BA3" s="304" t="s">
        <v>2701</v>
      </c>
      <c r="BB3" s="305" t="s">
        <v>2702</v>
      </c>
      <c r="BC3" s="290" t="s">
        <v>1761</v>
      </c>
      <c r="BD3" s="290" t="s">
        <v>1805</v>
      </c>
      <c r="BE3" s="306" t="s">
        <v>2703</v>
      </c>
      <c r="BF3" s="306" t="s">
        <v>2704</v>
      </c>
      <c r="BG3" s="306" t="s">
        <v>2705</v>
      </c>
    </row>
    <row r="4">
      <c r="A4" s="307" t="s">
        <v>2706</v>
      </c>
      <c r="B4" s="308">
        <v>2.0</v>
      </c>
      <c r="C4" s="309" t="s">
        <v>2707</v>
      </c>
      <c r="D4" s="309" t="s">
        <v>23</v>
      </c>
      <c r="E4" s="309" t="s">
        <v>2708</v>
      </c>
      <c r="F4" s="309" t="s">
        <v>1763</v>
      </c>
      <c r="G4" s="310" t="s">
        <v>2709</v>
      </c>
      <c r="H4" s="310" t="s">
        <v>2710</v>
      </c>
      <c r="I4" s="311" t="s">
        <v>1855</v>
      </c>
      <c r="J4" s="312" t="s">
        <v>1169</v>
      </c>
      <c r="K4" s="309" t="s">
        <v>25</v>
      </c>
      <c r="L4" s="313">
        <v>0.0</v>
      </c>
      <c r="M4" s="313">
        <v>0.0</v>
      </c>
      <c r="N4" s="313">
        <v>0.0</v>
      </c>
      <c r="O4" s="313">
        <v>0.0</v>
      </c>
      <c r="P4" s="313">
        <v>0.0</v>
      </c>
      <c r="Q4" s="313">
        <v>0.0</v>
      </c>
      <c r="R4" s="313">
        <v>0.0</v>
      </c>
      <c r="S4" s="313">
        <v>0.0</v>
      </c>
      <c r="T4" s="313">
        <v>0.0</v>
      </c>
      <c r="U4" s="313">
        <v>0.0</v>
      </c>
      <c r="V4" s="314">
        <v>48.0</v>
      </c>
      <c r="W4" s="315">
        <v>48.0</v>
      </c>
      <c r="X4" s="316">
        <v>0.0</v>
      </c>
      <c r="Y4" s="316">
        <v>0.0</v>
      </c>
      <c r="Z4" s="316">
        <v>0.0</v>
      </c>
      <c r="AA4" s="316">
        <v>0.0</v>
      </c>
      <c r="AB4" s="316">
        <v>0.0</v>
      </c>
      <c r="AC4" s="316">
        <v>0.0</v>
      </c>
      <c r="AD4" s="316">
        <v>0.0</v>
      </c>
      <c r="AE4" s="316">
        <v>0.0</v>
      </c>
      <c r="AF4" s="316">
        <v>0.0</v>
      </c>
      <c r="AG4" s="316">
        <v>0.0</v>
      </c>
      <c r="AH4" s="317">
        <v>68.0</v>
      </c>
      <c r="AI4" s="318">
        <v>68.0</v>
      </c>
      <c r="AJ4" s="316">
        <v>0.0</v>
      </c>
      <c r="AK4" s="316">
        <v>0.0</v>
      </c>
      <c r="AL4" s="316">
        <v>0.0</v>
      </c>
      <c r="AM4" s="316">
        <v>0.0</v>
      </c>
      <c r="AN4" s="316">
        <v>0.0</v>
      </c>
      <c r="AO4" s="316">
        <v>0.0</v>
      </c>
      <c r="AP4" s="316">
        <v>0.0</v>
      </c>
      <c r="AQ4" s="316">
        <v>0.0</v>
      </c>
      <c r="AR4" s="316">
        <v>0.0</v>
      </c>
      <c r="AS4" s="316">
        <v>0.0</v>
      </c>
      <c r="AT4" s="317">
        <v>136.0</v>
      </c>
      <c r="AU4" s="318">
        <v>136.0</v>
      </c>
      <c r="AV4" s="319">
        <f t="shared" ref="AV4:AV112" si="1">SUM(AU4+AI4+W4)</f>
        <v>252</v>
      </c>
      <c r="AW4" s="320">
        <v>0.39</v>
      </c>
      <c r="AX4" s="321">
        <f t="shared" ref="AX4:AX112" si="2">AW4*$AX$1</f>
        <v>2.7144</v>
      </c>
      <c r="AY4" s="322">
        <f t="shared" ref="AY4:AY112" si="3">W4*$AX4</f>
        <v>130.2912</v>
      </c>
      <c r="AZ4" s="322">
        <f t="shared" ref="AZ4:AZ112" si="4">AI4*$AX4</f>
        <v>184.5792</v>
      </c>
      <c r="BA4" s="322">
        <f t="shared" ref="BA4:BA112" si="5">AU4*$AX4</f>
        <v>369.1584</v>
      </c>
      <c r="BB4" s="323">
        <f t="shared" ref="BB4:BB112" si="6">SUM(AY4:BA4)</f>
        <v>684.0288</v>
      </c>
      <c r="BC4" s="324"/>
      <c r="BD4" s="324"/>
      <c r="BE4" s="325"/>
      <c r="BF4" s="326"/>
      <c r="BG4" s="327">
        <v>0.0</v>
      </c>
    </row>
    <row r="5">
      <c r="A5" s="328" t="s">
        <v>2706</v>
      </c>
      <c r="B5" s="329">
        <v>2.0</v>
      </c>
      <c r="C5" s="330" t="s">
        <v>2707</v>
      </c>
      <c r="D5" s="330" t="s">
        <v>23</v>
      </c>
      <c r="E5" s="330" t="s">
        <v>2708</v>
      </c>
      <c r="F5" s="330" t="s">
        <v>1763</v>
      </c>
      <c r="G5" s="331" t="s">
        <v>2709</v>
      </c>
      <c r="H5" s="331" t="s">
        <v>2711</v>
      </c>
      <c r="I5" s="332" t="s">
        <v>1856</v>
      </c>
      <c r="J5" s="333" t="s">
        <v>803</v>
      </c>
      <c r="K5" s="330" t="s">
        <v>25</v>
      </c>
      <c r="L5" s="334">
        <v>0.0</v>
      </c>
      <c r="M5" s="334">
        <v>0.0</v>
      </c>
      <c r="N5" s="334">
        <v>0.0</v>
      </c>
      <c r="O5" s="334">
        <v>0.0</v>
      </c>
      <c r="P5" s="334">
        <v>0.0</v>
      </c>
      <c r="Q5" s="334">
        <v>0.0</v>
      </c>
      <c r="R5" s="334">
        <v>0.0</v>
      </c>
      <c r="S5" s="334">
        <v>0.0</v>
      </c>
      <c r="T5" s="334">
        <v>0.0</v>
      </c>
      <c r="U5" s="334">
        <v>0.0</v>
      </c>
      <c r="V5" s="335">
        <v>118.0</v>
      </c>
      <c r="W5" s="336">
        <v>118.0</v>
      </c>
      <c r="X5" s="337">
        <v>0.0</v>
      </c>
      <c r="Y5" s="337">
        <v>0.0</v>
      </c>
      <c r="Z5" s="337">
        <v>0.0</v>
      </c>
      <c r="AA5" s="337">
        <v>0.0</v>
      </c>
      <c r="AB5" s="337">
        <v>0.0</v>
      </c>
      <c r="AC5" s="337">
        <v>0.0</v>
      </c>
      <c r="AD5" s="337">
        <v>0.0</v>
      </c>
      <c r="AE5" s="337">
        <v>0.0</v>
      </c>
      <c r="AF5" s="337">
        <v>0.0</v>
      </c>
      <c r="AG5" s="337">
        <v>0.0</v>
      </c>
      <c r="AH5" s="338">
        <v>12.0</v>
      </c>
      <c r="AI5" s="339">
        <v>12.0</v>
      </c>
      <c r="AJ5" s="337">
        <v>0.0</v>
      </c>
      <c r="AK5" s="337">
        <v>0.0</v>
      </c>
      <c r="AL5" s="337">
        <v>0.0</v>
      </c>
      <c r="AM5" s="337">
        <v>0.0</v>
      </c>
      <c r="AN5" s="337">
        <v>0.0</v>
      </c>
      <c r="AO5" s="337">
        <v>0.0</v>
      </c>
      <c r="AP5" s="337">
        <v>0.0</v>
      </c>
      <c r="AQ5" s="337">
        <v>0.0</v>
      </c>
      <c r="AR5" s="337">
        <v>0.0</v>
      </c>
      <c r="AS5" s="337">
        <v>0.0</v>
      </c>
      <c r="AT5" s="338">
        <v>40.0</v>
      </c>
      <c r="AU5" s="339">
        <v>40.0</v>
      </c>
      <c r="AV5" s="340">
        <f t="shared" si="1"/>
        <v>170</v>
      </c>
      <c r="AW5" s="341">
        <v>0.89</v>
      </c>
      <c r="AX5" s="342">
        <f t="shared" si="2"/>
        <v>6.1944</v>
      </c>
      <c r="AY5" s="343">
        <f t="shared" si="3"/>
        <v>730.9392</v>
      </c>
      <c r="AZ5" s="343">
        <f t="shared" si="4"/>
        <v>74.3328</v>
      </c>
      <c r="BA5" s="343">
        <f t="shared" si="5"/>
        <v>247.776</v>
      </c>
      <c r="BB5" s="344">
        <f t="shared" si="6"/>
        <v>1053.048</v>
      </c>
      <c r="BC5" s="345"/>
      <c r="BD5" s="345"/>
      <c r="BE5" s="346"/>
      <c r="BF5" s="347"/>
      <c r="BG5" s="348"/>
    </row>
    <row r="6">
      <c r="A6" s="307" t="s">
        <v>2706</v>
      </c>
      <c r="B6" s="308">
        <v>2.0</v>
      </c>
      <c r="C6" s="309" t="s">
        <v>2707</v>
      </c>
      <c r="D6" s="309" t="s">
        <v>23</v>
      </c>
      <c r="E6" s="309" t="s">
        <v>2708</v>
      </c>
      <c r="F6" s="309" t="s">
        <v>1763</v>
      </c>
      <c r="G6" s="310" t="s">
        <v>2709</v>
      </c>
      <c r="H6" s="310" t="s">
        <v>2712</v>
      </c>
      <c r="I6" s="311" t="s">
        <v>1858</v>
      </c>
      <c r="J6" s="312" t="s">
        <v>974</v>
      </c>
      <c r="K6" s="309" t="s">
        <v>25</v>
      </c>
      <c r="L6" s="313">
        <v>0.0</v>
      </c>
      <c r="M6" s="313">
        <v>0.0</v>
      </c>
      <c r="N6" s="313">
        <v>0.0</v>
      </c>
      <c r="O6" s="313">
        <v>0.0</v>
      </c>
      <c r="P6" s="313">
        <v>0.0</v>
      </c>
      <c r="Q6" s="313">
        <v>0.0</v>
      </c>
      <c r="R6" s="313">
        <v>0.0</v>
      </c>
      <c r="S6" s="313">
        <v>0.0</v>
      </c>
      <c r="T6" s="313">
        <v>0.0</v>
      </c>
      <c r="U6" s="313">
        <v>0.0</v>
      </c>
      <c r="V6" s="314">
        <v>254.0</v>
      </c>
      <c r="W6" s="315">
        <v>254.0</v>
      </c>
      <c r="X6" s="316">
        <v>0.0</v>
      </c>
      <c r="Y6" s="316">
        <v>0.0</v>
      </c>
      <c r="Z6" s="316">
        <v>0.0</v>
      </c>
      <c r="AA6" s="316">
        <v>0.0</v>
      </c>
      <c r="AB6" s="316">
        <v>0.0</v>
      </c>
      <c r="AC6" s="316">
        <v>0.0</v>
      </c>
      <c r="AD6" s="316">
        <v>0.0</v>
      </c>
      <c r="AE6" s="316">
        <v>0.0</v>
      </c>
      <c r="AF6" s="316">
        <v>0.0</v>
      </c>
      <c r="AG6" s="316">
        <v>0.0</v>
      </c>
      <c r="AH6" s="317">
        <v>60.0</v>
      </c>
      <c r="AI6" s="318">
        <v>60.0</v>
      </c>
      <c r="AJ6" s="316">
        <v>0.0</v>
      </c>
      <c r="AK6" s="316">
        <v>0.0</v>
      </c>
      <c r="AL6" s="316">
        <v>0.0</v>
      </c>
      <c r="AM6" s="316">
        <v>0.0</v>
      </c>
      <c r="AN6" s="316">
        <v>0.0</v>
      </c>
      <c r="AO6" s="316">
        <v>0.0</v>
      </c>
      <c r="AP6" s="316">
        <v>0.0</v>
      </c>
      <c r="AQ6" s="316">
        <v>0.0</v>
      </c>
      <c r="AR6" s="316">
        <v>0.0</v>
      </c>
      <c r="AS6" s="316">
        <v>0.0</v>
      </c>
      <c r="AT6" s="317">
        <v>166.0</v>
      </c>
      <c r="AU6" s="318">
        <v>166.0</v>
      </c>
      <c r="AV6" s="319">
        <f t="shared" si="1"/>
        <v>480</v>
      </c>
      <c r="AW6" s="320">
        <v>3.46</v>
      </c>
      <c r="AX6" s="321">
        <f t="shared" si="2"/>
        <v>24.0816</v>
      </c>
      <c r="AY6" s="349">
        <f t="shared" si="3"/>
        <v>6116.7264</v>
      </c>
      <c r="AZ6" s="349">
        <f t="shared" si="4"/>
        <v>1444.896</v>
      </c>
      <c r="BA6" s="349">
        <f t="shared" si="5"/>
        <v>3997.5456</v>
      </c>
      <c r="BB6" s="350">
        <f t="shared" si="6"/>
        <v>11559.168</v>
      </c>
      <c r="BC6" s="324"/>
      <c r="BD6" s="324"/>
      <c r="BE6" s="325"/>
      <c r="BF6" s="326"/>
      <c r="BG6" s="327"/>
    </row>
    <row r="7">
      <c r="A7" s="328" t="s">
        <v>2706</v>
      </c>
      <c r="B7" s="329">
        <v>2.0</v>
      </c>
      <c r="C7" s="330" t="s">
        <v>2707</v>
      </c>
      <c r="D7" s="330" t="s">
        <v>23</v>
      </c>
      <c r="E7" s="330" t="s">
        <v>2708</v>
      </c>
      <c r="F7" s="330" t="s">
        <v>1763</v>
      </c>
      <c r="G7" s="331" t="s">
        <v>2709</v>
      </c>
      <c r="H7" s="331" t="s">
        <v>2713</v>
      </c>
      <c r="I7" s="332" t="s">
        <v>1859</v>
      </c>
      <c r="J7" s="333" t="s">
        <v>649</v>
      </c>
      <c r="K7" s="330" t="s">
        <v>25</v>
      </c>
      <c r="L7" s="334">
        <v>0.0</v>
      </c>
      <c r="M7" s="334">
        <v>0.0</v>
      </c>
      <c r="N7" s="334">
        <v>0.0</v>
      </c>
      <c r="O7" s="334">
        <v>0.0</v>
      </c>
      <c r="P7" s="334">
        <v>0.0</v>
      </c>
      <c r="Q7" s="334">
        <v>0.0</v>
      </c>
      <c r="R7" s="334">
        <v>0.0</v>
      </c>
      <c r="S7" s="334">
        <v>0.0</v>
      </c>
      <c r="T7" s="334">
        <v>0.0</v>
      </c>
      <c r="U7" s="334">
        <v>0.0</v>
      </c>
      <c r="V7" s="335">
        <v>140.0</v>
      </c>
      <c r="W7" s="336">
        <v>140.0</v>
      </c>
      <c r="X7" s="337">
        <v>0.0</v>
      </c>
      <c r="Y7" s="337">
        <v>0.0</v>
      </c>
      <c r="Z7" s="337">
        <v>0.0</v>
      </c>
      <c r="AA7" s="337">
        <v>0.0</v>
      </c>
      <c r="AB7" s="337">
        <v>0.0</v>
      </c>
      <c r="AC7" s="337">
        <v>0.0</v>
      </c>
      <c r="AD7" s="337">
        <v>0.0</v>
      </c>
      <c r="AE7" s="337">
        <v>0.0</v>
      </c>
      <c r="AF7" s="337">
        <v>0.0</v>
      </c>
      <c r="AG7" s="337">
        <v>0.0</v>
      </c>
      <c r="AH7" s="338">
        <v>260.0</v>
      </c>
      <c r="AI7" s="339">
        <v>260.0</v>
      </c>
      <c r="AJ7" s="337">
        <v>0.0</v>
      </c>
      <c r="AK7" s="337">
        <v>0.0</v>
      </c>
      <c r="AL7" s="337">
        <v>0.0</v>
      </c>
      <c r="AM7" s="337">
        <v>0.0</v>
      </c>
      <c r="AN7" s="337">
        <v>0.0</v>
      </c>
      <c r="AO7" s="337">
        <v>0.0</v>
      </c>
      <c r="AP7" s="337">
        <v>0.0</v>
      </c>
      <c r="AQ7" s="337">
        <v>0.0</v>
      </c>
      <c r="AR7" s="337">
        <v>0.0</v>
      </c>
      <c r="AS7" s="337">
        <v>0.0</v>
      </c>
      <c r="AT7" s="338">
        <v>240.0</v>
      </c>
      <c r="AU7" s="339">
        <v>240.0</v>
      </c>
      <c r="AV7" s="340">
        <f t="shared" si="1"/>
        <v>640</v>
      </c>
      <c r="AW7" s="341">
        <v>7.54</v>
      </c>
      <c r="AX7" s="342">
        <f t="shared" si="2"/>
        <v>52.4784</v>
      </c>
      <c r="AY7" s="343">
        <f t="shared" si="3"/>
        <v>7346.976</v>
      </c>
      <c r="AZ7" s="343">
        <f t="shared" si="4"/>
        <v>13644.384</v>
      </c>
      <c r="BA7" s="343">
        <f t="shared" si="5"/>
        <v>12594.816</v>
      </c>
      <c r="BB7" s="344">
        <f t="shared" si="6"/>
        <v>33586.176</v>
      </c>
      <c r="BC7" s="345"/>
      <c r="BD7" s="345"/>
      <c r="BE7" s="346"/>
      <c r="BF7" s="347"/>
      <c r="BG7" s="348"/>
    </row>
    <row r="8">
      <c r="A8" s="307" t="s">
        <v>2706</v>
      </c>
      <c r="B8" s="308">
        <v>2.0</v>
      </c>
      <c r="C8" s="309" t="s">
        <v>2707</v>
      </c>
      <c r="D8" s="309" t="s">
        <v>23</v>
      </c>
      <c r="E8" s="309" t="s">
        <v>2708</v>
      </c>
      <c r="F8" s="309" t="s">
        <v>1763</v>
      </c>
      <c r="G8" s="310" t="s">
        <v>2709</v>
      </c>
      <c r="H8" s="310" t="s">
        <v>2714</v>
      </c>
      <c r="I8" s="311" t="s">
        <v>1863</v>
      </c>
      <c r="J8" s="312" t="s">
        <v>1517</v>
      </c>
      <c r="K8" s="309" t="s">
        <v>25</v>
      </c>
      <c r="L8" s="313">
        <v>0.0</v>
      </c>
      <c r="M8" s="313">
        <v>0.0</v>
      </c>
      <c r="N8" s="313">
        <v>0.0</v>
      </c>
      <c r="O8" s="313">
        <v>0.0</v>
      </c>
      <c r="P8" s="313">
        <v>0.0</v>
      </c>
      <c r="Q8" s="313">
        <v>0.0</v>
      </c>
      <c r="R8" s="313">
        <v>0.0</v>
      </c>
      <c r="S8" s="313">
        <v>0.0</v>
      </c>
      <c r="T8" s="313">
        <v>0.0</v>
      </c>
      <c r="U8" s="313">
        <v>0.0</v>
      </c>
      <c r="V8" s="314">
        <v>30.0</v>
      </c>
      <c r="W8" s="315">
        <v>30.0</v>
      </c>
      <c r="X8" s="316">
        <v>0.0</v>
      </c>
      <c r="Y8" s="316">
        <v>0.0</v>
      </c>
      <c r="Z8" s="316">
        <v>0.0</v>
      </c>
      <c r="AA8" s="316">
        <v>0.0</v>
      </c>
      <c r="AB8" s="316">
        <v>0.0</v>
      </c>
      <c r="AC8" s="316">
        <v>0.0</v>
      </c>
      <c r="AD8" s="316">
        <v>0.0</v>
      </c>
      <c r="AE8" s="316">
        <v>0.0</v>
      </c>
      <c r="AF8" s="316">
        <v>0.0</v>
      </c>
      <c r="AG8" s="316">
        <v>0.0</v>
      </c>
      <c r="AH8" s="317">
        <v>0.0</v>
      </c>
      <c r="AI8" s="351">
        <v>0.0</v>
      </c>
      <c r="AJ8" s="352">
        <v>0.0</v>
      </c>
      <c r="AK8" s="352">
        <v>0.0</v>
      </c>
      <c r="AL8" s="352">
        <v>0.0</v>
      </c>
      <c r="AM8" s="352">
        <v>0.0</v>
      </c>
      <c r="AN8" s="352">
        <v>0.0</v>
      </c>
      <c r="AO8" s="352">
        <v>0.0</v>
      </c>
      <c r="AP8" s="352">
        <v>0.0</v>
      </c>
      <c r="AQ8" s="352">
        <v>0.0</v>
      </c>
      <c r="AR8" s="352">
        <v>0.0</v>
      </c>
      <c r="AS8" s="352">
        <v>0.0</v>
      </c>
      <c r="AT8" s="317">
        <v>0.0</v>
      </c>
      <c r="AU8" s="351">
        <v>0.0</v>
      </c>
      <c r="AV8" s="319">
        <f t="shared" si="1"/>
        <v>30</v>
      </c>
      <c r="AW8" s="320">
        <v>2.96</v>
      </c>
      <c r="AX8" s="321">
        <f t="shared" si="2"/>
        <v>20.6016</v>
      </c>
      <c r="AY8" s="349">
        <f t="shared" si="3"/>
        <v>618.048</v>
      </c>
      <c r="AZ8" s="349">
        <f t="shared" si="4"/>
        <v>0</v>
      </c>
      <c r="BA8" s="349">
        <f t="shared" si="5"/>
        <v>0</v>
      </c>
      <c r="BB8" s="350">
        <f t="shared" si="6"/>
        <v>618.048</v>
      </c>
      <c r="BC8" s="324"/>
      <c r="BD8" s="324"/>
      <c r="BE8" s="325"/>
      <c r="BF8" s="326"/>
      <c r="BG8" s="327"/>
    </row>
    <row r="9">
      <c r="A9" s="328" t="s">
        <v>2706</v>
      </c>
      <c r="B9" s="329">
        <v>2.0</v>
      </c>
      <c r="C9" s="330" t="s">
        <v>2707</v>
      </c>
      <c r="D9" s="330" t="s">
        <v>23</v>
      </c>
      <c r="E9" s="330" t="s">
        <v>2708</v>
      </c>
      <c r="F9" s="330" t="s">
        <v>1763</v>
      </c>
      <c r="G9" s="331" t="s">
        <v>2709</v>
      </c>
      <c r="H9" s="331" t="s">
        <v>2715</v>
      </c>
      <c r="I9" s="332" t="s">
        <v>1865</v>
      </c>
      <c r="J9" s="333" t="s">
        <v>1469</v>
      </c>
      <c r="K9" s="330" t="s">
        <v>25</v>
      </c>
      <c r="L9" s="334">
        <v>0.0</v>
      </c>
      <c r="M9" s="334">
        <v>0.0</v>
      </c>
      <c r="N9" s="334">
        <v>0.0</v>
      </c>
      <c r="O9" s="334">
        <v>0.0</v>
      </c>
      <c r="P9" s="334">
        <v>0.0</v>
      </c>
      <c r="Q9" s="334">
        <v>0.0</v>
      </c>
      <c r="R9" s="334">
        <v>0.0</v>
      </c>
      <c r="S9" s="334">
        <v>0.0</v>
      </c>
      <c r="T9" s="334">
        <v>0.0</v>
      </c>
      <c r="U9" s="334">
        <v>0.0</v>
      </c>
      <c r="V9" s="335">
        <v>30.0</v>
      </c>
      <c r="W9" s="336">
        <v>30.0</v>
      </c>
      <c r="X9" s="337">
        <v>0.0</v>
      </c>
      <c r="Y9" s="337">
        <v>0.0</v>
      </c>
      <c r="Z9" s="337">
        <v>0.0</v>
      </c>
      <c r="AA9" s="337">
        <v>0.0</v>
      </c>
      <c r="AB9" s="337">
        <v>0.0</v>
      </c>
      <c r="AC9" s="337">
        <v>0.0</v>
      </c>
      <c r="AD9" s="337">
        <v>0.0</v>
      </c>
      <c r="AE9" s="337">
        <v>0.0</v>
      </c>
      <c r="AF9" s="337">
        <v>0.0</v>
      </c>
      <c r="AG9" s="337">
        <v>0.0</v>
      </c>
      <c r="AH9" s="338">
        <v>0.0</v>
      </c>
      <c r="AI9" s="353">
        <v>0.0</v>
      </c>
      <c r="AJ9" s="354">
        <v>0.0</v>
      </c>
      <c r="AK9" s="354">
        <v>0.0</v>
      </c>
      <c r="AL9" s="354">
        <v>0.0</v>
      </c>
      <c r="AM9" s="354">
        <v>0.0</v>
      </c>
      <c r="AN9" s="354">
        <v>0.0</v>
      </c>
      <c r="AO9" s="354">
        <v>0.0</v>
      </c>
      <c r="AP9" s="354">
        <v>0.0</v>
      </c>
      <c r="AQ9" s="354">
        <v>0.0</v>
      </c>
      <c r="AR9" s="354">
        <v>0.0</v>
      </c>
      <c r="AS9" s="354">
        <v>0.0</v>
      </c>
      <c r="AT9" s="338">
        <v>0.0</v>
      </c>
      <c r="AU9" s="353">
        <v>0.0</v>
      </c>
      <c r="AV9" s="340">
        <f t="shared" si="1"/>
        <v>30</v>
      </c>
      <c r="AW9" s="341">
        <v>4.04</v>
      </c>
      <c r="AX9" s="342">
        <f t="shared" si="2"/>
        <v>28.1184</v>
      </c>
      <c r="AY9" s="343">
        <f t="shared" si="3"/>
        <v>843.552</v>
      </c>
      <c r="AZ9" s="343">
        <f t="shared" si="4"/>
        <v>0</v>
      </c>
      <c r="BA9" s="343">
        <f t="shared" si="5"/>
        <v>0</v>
      </c>
      <c r="BB9" s="344">
        <f t="shared" si="6"/>
        <v>843.552</v>
      </c>
      <c r="BC9" s="345"/>
      <c r="BD9" s="345"/>
      <c r="BE9" s="346"/>
      <c r="BF9" s="347"/>
      <c r="BG9" s="348"/>
    </row>
    <row r="10">
      <c r="A10" s="307" t="s">
        <v>2706</v>
      </c>
      <c r="B10" s="308">
        <v>2.0</v>
      </c>
      <c r="C10" s="309" t="s">
        <v>2707</v>
      </c>
      <c r="D10" s="309" t="s">
        <v>23</v>
      </c>
      <c r="E10" s="309" t="s">
        <v>2708</v>
      </c>
      <c r="F10" s="309" t="s">
        <v>1763</v>
      </c>
      <c r="G10" s="310" t="s">
        <v>2709</v>
      </c>
      <c r="H10" s="310" t="s">
        <v>2716</v>
      </c>
      <c r="I10" s="311" t="s">
        <v>1867</v>
      </c>
      <c r="J10" s="312" t="s">
        <v>1565</v>
      </c>
      <c r="K10" s="309" t="s">
        <v>25</v>
      </c>
      <c r="L10" s="313">
        <v>0.0</v>
      </c>
      <c r="M10" s="313">
        <v>0.0</v>
      </c>
      <c r="N10" s="313">
        <v>0.0</v>
      </c>
      <c r="O10" s="313">
        <v>0.0</v>
      </c>
      <c r="P10" s="313">
        <v>0.0</v>
      </c>
      <c r="Q10" s="313">
        <v>0.0</v>
      </c>
      <c r="R10" s="313">
        <v>0.0</v>
      </c>
      <c r="S10" s="313">
        <v>0.0</v>
      </c>
      <c r="T10" s="313">
        <v>0.0</v>
      </c>
      <c r="U10" s="313">
        <v>0.0</v>
      </c>
      <c r="V10" s="314">
        <v>30.0</v>
      </c>
      <c r="W10" s="315">
        <v>30.0</v>
      </c>
      <c r="X10" s="316">
        <v>0.0</v>
      </c>
      <c r="Y10" s="316">
        <v>0.0</v>
      </c>
      <c r="Z10" s="316">
        <v>0.0</v>
      </c>
      <c r="AA10" s="316">
        <v>0.0</v>
      </c>
      <c r="AB10" s="316">
        <v>0.0</v>
      </c>
      <c r="AC10" s="316">
        <v>0.0</v>
      </c>
      <c r="AD10" s="316">
        <v>0.0</v>
      </c>
      <c r="AE10" s="316">
        <v>0.0</v>
      </c>
      <c r="AF10" s="316">
        <v>0.0</v>
      </c>
      <c r="AG10" s="316">
        <v>0.0</v>
      </c>
      <c r="AH10" s="317">
        <v>0.0</v>
      </c>
      <c r="AI10" s="318">
        <v>0.0</v>
      </c>
      <c r="AJ10" s="316">
        <v>0.0</v>
      </c>
      <c r="AK10" s="316">
        <v>0.0</v>
      </c>
      <c r="AL10" s="316">
        <v>0.0</v>
      </c>
      <c r="AM10" s="316">
        <v>0.0</v>
      </c>
      <c r="AN10" s="316">
        <v>0.0</v>
      </c>
      <c r="AO10" s="316">
        <v>0.0</v>
      </c>
      <c r="AP10" s="316">
        <v>0.0</v>
      </c>
      <c r="AQ10" s="316">
        <v>0.0</v>
      </c>
      <c r="AR10" s="316">
        <v>0.0</v>
      </c>
      <c r="AS10" s="316">
        <v>0.0</v>
      </c>
      <c r="AT10" s="317">
        <v>0.0</v>
      </c>
      <c r="AU10" s="318">
        <v>0.0</v>
      </c>
      <c r="AV10" s="319">
        <f t="shared" si="1"/>
        <v>30</v>
      </c>
      <c r="AW10" s="320">
        <v>0.69</v>
      </c>
      <c r="AX10" s="321">
        <f t="shared" si="2"/>
        <v>4.8024</v>
      </c>
      <c r="AY10" s="349">
        <f t="shared" si="3"/>
        <v>144.072</v>
      </c>
      <c r="AZ10" s="349">
        <f t="shared" si="4"/>
        <v>0</v>
      </c>
      <c r="BA10" s="349">
        <f t="shared" si="5"/>
        <v>0</v>
      </c>
      <c r="BB10" s="350">
        <f t="shared" si="6"/>
        <v>144.072</v>
      </c>
      <c r="BC10" s="324"/>
      <c r="BD10" s="324"/>
      <c r="BE10" s="325"/>
      <c r="BF10" s="326"/>
      <c r="BG10" s="327"/>
    </row>
    <row r="11">
      <c r="A11" s="328" t="s">
        <v>2706</v>
      </c>
      <c r="B11" s="329">
        <v>2.0</v>
      </c>
      <c r="C11" s="330" t="s">
        <v>2707</v>
      </c>
      <c r="D11" s="330" t="s">
        <v>23</v>
      </c>
      <c r="E11" s="330" t="s">
        <v>2708</v>
      </c>
      <c r="F11" s="330" t="s">
        <v>1763</v>
      </c>
      <c r="G11" s="331" t="s">
        <v>2709</v>
      </c>
      <c r="H11" s="331" t="s">
        <v>2717</v>
      </c>
      <c r="I11" s="332" t="s">
        <v>1871</v>
      </c>
      <c r="J11" s="333" t="s">
        <v>1390</v>
      </c>
      <c r="K11" s="330" t="s">
        <v>25</v>
      </c>
      <c r="L11" s="334">
        <v>0.0</v>
      </c>
      <c r="M11" s="334">
        <v>0.0</v>
      </c>
      <c r="N11" s="334">
        <v>0.0</v>
      </c>
      <c r="O11" s="334">
        <v>0.0</v>
      </c>
      <c r="P11" s="334">
        <v>0.0</v>
      </c>
      <c r="Q11" s="334">
        <v>0.0</v>
      </c>
      <c r="R11" s="334">
        <v>0.0</v>
      </c>
      <c r="S11" s="334">
        <v>0.0</v>
      </c>
      <c r="T11" s="334">
        <v>0.0</v>
      </c>
      <c r="U11" s="334">
        <v>0.0</v>
      </c>
      <c r="V11" s="335">
        <v>30.0</v>
      </c>
      <c r="W11" s="336">
        <v>30.0</v>
      </c>
      <c r="X11" s="337">
        <v>0.0</v>
      </c>
      <c r="Y11" s="337">
        <v>0.0</v>
      </c>
      <c r="Z11" s="337">
        <v>0.0</v>
      </c>
      <c r="AA11" s="337">
        <v>0.0</v>
      </c>
      <c r="AB11" s="337">
        <v>0.0</v>
      </c>
      <c r="AC11" s="337">
        <v>0.0</v>
      </c>
      <c r="AD11" s="337">
        <v>0.0</v>
      </c>
      <c r="AE11" s="337">
        <v>0.0</v>
      </c>
      <c r="AF11" s="337">
        <v>0.0</v>
      </c>
      <c r="AG11" s="337">
        <v>0.0</v>
      </c>
      <c r="AH11" s="338">
        <v>0.0</v>
      </c>
      <c r="AI11" s="353">
        <v>0.0</v>
      </c>
      <c r="AJ11" s="354">
        <v>0.0</v>
      </c>
      <c r="AK11" s="354">
        <v>0.0</v>
      </c>
      <c r="AL11" s="354">
        <v>0.0</v>
      </c>
      <c r="AM11" s="354">
        <v>0.0</v>
      </c>
      <c r="AN11" s="354">
        <v>0.0</v>
      </c>
      <c r="AO11" s="354">
        <v>0.0</v>
      </c>
      <c r="AP11" s="354">
        <v>0.0</v>
      </c>
      <c r="AQ11" s="354">
        <v>0.0</v>
      </c>
      <c r="AR11" s="354">
        <v>0.0</v>
      </c>
      <c r="AS11" s="354">
        <v>0.0</v>
      </c>
      <c r="AT11" s="338">
        <v>0.0</v>
      </c>
      <c r="AU11" s="353">
        <v>0.0</v>
      </c>
      <c r="AV11" s="340">
        <f t="shared" si="1"/>
        <v>30</v>
      </c>
      <c r="AW11" s="341">
        <v>1.61</v>
      </c>
      <c r="AX11" s="342">
        <f t="shared" si="2"/>
        <v>11.2056</v>
      </c>
      <c r="AY11" s="343">
        <f t="shared" si="3"/>
        <v>336.168</v>
      </c>
      <c r="AZ11" s="343">
        <f t="shared" si="4"/>
        <v>0</v>
      </c>
      <c r="BA11" s="343">
        <f t="shared" si="5"/>
        <v>0</v>
      </c>
      <c r="BB11" s="344">
        <f t="shared" si="6"/>
        <v>336.168</v>
      </c>
      <c r="BC11" s="345"/>
      <c r="BD11" s="345"/>
      <c r="BE11" s="346"/>
      <c r="BF11" s="347"/>
      <c r="BG11" s="348"/>
    </row>
    <row r="12">
      <c r="A12" s="307" t="s">
        <v>2706</v>
      </c>
      <c r="B12" s="308">
        <v>2.0</v>
      </c>
      <c r="C12" s="309" t="s">
        <v>2707</v>
      </c>
      <c r="D12" s="309" t="s">
        <v>23</v>
      </c>
      <c r="E12" s="309" t="s">
        <v>2708</v>
      </c>
      <c r="F12" s="309" t="s">
        <v>1763</v>
      </c>
      <c r="G12" s="310" t="s">
        <v>2709</v>
      </c>
      <c r="H12" s="310" t="s">
        <v>2718</v>
      </c>
      <c r="I12" s="311" t="s">
        <v>1873</v>
      </c>
      <c r="J12" s="312" t="s">
        <v>1288</v>
      </c>
      <c r="K12" s="309" t="s">
        <v>25</v>
      </c>
      <c r="L12" s="313">
        <v>0.0</v>
      </c>
      <c r="M12" s="313">
        <v>0.0</v>
      </c>
      <c r="N12" s="313">
        <v>0.0</v>
      </c>
      <c r="O12" s="313">
        <v>0.0</v>
      </c>
      <c r="P12" s="313">
        <v>0.0</v>
      </c>
      <c r="Q12" s="313">
        <v>0.0</v>
      </c>
      <c r="R12" s="313">
        <v>0.0</v>
      </c>
      <c r="S12" s="313">
        <v>0.0</v>
      </c>
      <c r="T12" s="313">
        <v>0.0</v>
      </c>
      <c r="U12" s="313">
        <v>0.0</v>
      </c>
      <c r="V12" s="314">
        <v>30.0</v>
      </c>
      <c r="W12" s="315">
        <v>30.0</v>
      </c>
      <c r="X12" s="316">
        <v>0.0</v>
      </c>
      <c r="Y12" s="316">
        <v>0.0</v>
      </c>
      <c r="Z12" s="316">
        <v>0.0</v>
      </c>
      <c r="AA12" s="316">
        <v>0.0</v>
      </c>
      <c r="AB12" s="316">
        <v>0.0</v>
      </c>
      <c r="AC12" s="316">
        <v>0.0</v>
      </c>
      <c r="AD12" s="316">
        <v>0.0</v>
      </c>
      <c r="AE12" s="316">
        <v>0.0</v>
      </c>
      <c r="AF12" s="316">
        <v>0.0</v>
      </c>
      <c r="AG12" s="316">
        <v>0.0</v>
      </c>
      <c r="AH12" s="317">
        <v>0.0</v>
      </c>
      <c r="AI12" s="318">
        <v>0.0</v>
      </c>
      <c r="AJ12" s="316">
        <v>0.0</v>
      </c>
      <c r="AK12" s="316">
        <v>0.0</v>
      </c>
      <c r="AL12" s="316">
        <v>0.0</v>
      </c>
      <c r="AM12" s="316">
        <v>0.0</v>
      </c>
      <c r="AN12" s="316">
        <v>0.0</v>
      </c>
      <c r="AO12" s="316">
        <v>0.0</v>
      </c>
      <c r="AP12" s="316">
        <v>0.0</v>
      </c>
      <c r="AQ12" s="316">
        <v>0.0</v>
      </c>
      <c r="AR12" s="316">
        <v>0.0</v>
      </c>
      <c r="AS12" s="316">
        <v>0.0</v>
      </c>
      <c r="AT12" s="317">
        <v>0.0</v>
      </c>
      <c r="AU12" s="318">
        <v>0.0</v>
      </c>
      <c r="AV12" s="319">
        <f t="shared" si="1"/>
        <v>30</v>
      </c>
      <c r="AW12" s="320">
        <v>4.73</v>
      </c>
      <c r="AX12" s="321">
        <f t="shared" si="2"/>
        <v>32.9208</v>
      </c>
      <c r="AY12" s="349">
        <f t="shared" si="3"/>
        <v>987.624</v>
      </c>
      <c r="AZ12" s="349">
        <f t="shared" si="4"/>
        <v>0</v>
      </c>
      <c r="BA12" s="349">
        <f t="shared" si="5"/>
        <v>0</v>
      </c>
      <c r="BB12" s="350">
        <f t="shared" si="6"/>
        <v>987.624</v>
      </c>
      <c r="BC12" s="324"/>
      <c r="BD12" s="324"/>
      <c r="BE12" s="325"/>
      <c r="BF12" s="326"/>
      <c r="BG12" s="327"/>
    </row>
    <row r="13">
      <c r="A13" s="328" t="s">
        <v>2706</v>
      </c>
      <c r="B13" s="329">
        <v>2.0</v>
      </c>
      <c r="C13" s="330" t="s">
        <v>2707</v>
      </c>
      <c r="D13" s="330" t="s">
        <v>23</v>
      </c>
      <c r="E13" s="330" t="s">
        <v>2708</v>
      </c>
      <c r="F13" s="330" t="s">
        <v>1763</v>
      </c>
      <c r="G13" s="331" t="s">
        <v>2709</v>
      </c>
      <c r="H13" s="331" t="s">
        <v>2719</v>
      </c>
      <c r="I13" s="332" t="s">
        <v>1909</v>
      </c>
      <c r="J13" s="333" t="s">
        <v>961</v>
      </c>
      <c r="K13" s="330" t="s">
        <v>25</v>
      </c>
      <c r="L13" s="334">
        <v>0.0</v>
      </c>
      <c r="M13" s="334">
        <v>0.0</v>
      </c>
      <c r="N13" s="334">
        <v>0.0</v>
      </c>
      <c r="O13" s="334">
        <v>0.0</v>
      </c>
      <c r="P13" s="334">
        <v>0.0</v>
      </c>
      <c r="Q13" s="334">
        <v>0.0</v>
      </c>
      <c r="R13" s="334">
        <v>0.0</v>
      </c>
      <c r="S13" s="334">
        <v>0.0</v>
      </c>
      <c r="T13" s="334">
        <v>0.0</v>
      </c>
      <c r="U13" s="334">
        <v>0.0</v>
      </c>
      <c r="V13" s="335">
        <v>608.0</v>
      </c>
      <c r="W13" s="336">
        <v>608.0</v>
      </c>
      <c r="X13" s="337">
        <v>0.0</v>
      </c>
      <c r="Y13" s="337">
        <v>0.0</v>
      </c>
      <c r="Z13" s="337">
        <v>0.0</v>
      </c>
      <c r="AA13" s="337">
        <v>0.0</v>
      </c>
      <c r="AB13" s="337">
        <v>0.0</v>
      </c>
      <c r="AC13" s="337">
        <v>0.0</v>
      </c>
      <c r="AD13" s="337">
        <v>0.0</v>
      </c>
      <c r="AE13" s="337">
        <v>0.0</v>
      </c>
      <c r="AF13" s="337">
        <v>0.0</v>
      </c>
      <c r="AG13" s="337">
        <v>0.0</v>
      </c>
      <c r="AH13" s="338">
        <v>96.0</v>
      </c>
      <c r="AI13" s="339">
        <v>96.0</v>
      </c>
      <c r="AJ13" s="337">
        <v>0.0</v>
      </c>
      <c r="AK13" s="337">
        <v>0.0</v>
      </c>
      <c r="AL13" s="337">
        <v>0.0</v>
      </c>
      <c r="AM13" s="337">
        <v>0.0</v>
      </c>
      <c r="AN13" s="337">
        <v>0.0</v>
      </c>
      <c r="AO13" s="337">
        <v>0.0</v>
      </c>
      <c r="AP13" s="337">
        <v>0.0</v>
      </c>
      <c r="AQ13" s="337">
        <v>0.0</v>
      </c>
      <c r="AR13" s="337">
        <v>0.0</v>
      </c>
      <c r="AS13" s="337">
        <v>0.0</v>
      </c>
      <c r="AT13" s="338">
        <v>320.0</v>
      </c>
      <c r="AU13" s="339">
        <v>320.0</v>
      </c>
      <c r="AV13" s="340">
        <f t="shared" si="1"/>
        <v>1024</v>
      </c>
      <c r="AW13" s="341">
        <v>1.69</v>
      </c>
      <c r="AX13" s="342">
        <f t="shared" si="2"/>
        <v>11.7624</v>
      </c>
      <c r="AY13" s="343">
        <f t="shared" si="3"/>
        <v>7151.5392</v>
      </c>
      <c r="AZ13" s="343">
        <f t="shared" si="4"/>
        <v>1129.1904</v>
      </c>
      <c r="BA13" s="343">
        <f t="shared" si="5"/>
        <v>3763.968</v>
      </c>
      <c r="BB13" s="344">
        <f t="shared" si="6"/>
        <v>12044.6976</v>
      </c>
      <c r="BC13" s="345"/>
      <c r="BD13" s="345"/>
      <c r="BE13" s="346"/>
      <c r="BF13" s="347"/>
      <c r="BG13" s="348"/>
    </row>
    <row r="14">
      <c r="A14" s="307" t="s">
        <v>2706</v>
      </c>
      <c r="B14" s="308">
        <v>2.0</v>
      </c>
      <c r="C14" s="309" t="s">
        <v>2707</v>
      </c>
      <c r="D14" s="309" t="s">
        <v>23</v>
      </c>
      <c r="E14" s="309" t="s">
        <v>2708</v>
      </c>
      <c r="F14" s="309" t="s">
        <v>1763</v>
      </c>
      <c r="G14" s="310" t="s">
        <v>2709</v>
      </c>
      <c r="H14" s="310" t="s">
        <v>2720</v>
      </c>
      <c r="I14" s="311" t="s">
        <v>1910</v>
      </c>
      <c r="J14" s="312" t="s">
        <v>1109</v>
      </c>
      <c r="K14" s="309" t="s">
        <v>25</v>
      </c>
      <c r="L14" s="313">
        <v>0.0</v>
      </c>
      <c r="M14" s="313">
        <v>0.0</v>
      </c>
      <c r="N14" s="313">
        <v>0.0</v>
      </c>
      <c r="O14" s="313">
        <v>0.0</v>
      </c>
      <c r="P14" s="313">
        <v>0.0</v>
      </c>
      <c r="Q14" s="313">
        <v>0.0</v>
      </c>
      <c r="R14" s="313">
        <v>0.0</v>
      </c>
      <c r="S14" s="313">
        <v>0.0</v>
      </c>
      <c r="T14" s="313">
        <v>0.0</v>
      </c>
      <c r="U14" s="313">
        <v>0.0</v>
      </c>
      <c r="V14" s="314">
        <v>132.0</v>
      </c>
      <c r="W14" s="315">
        <v>132.0</v>
      </c>
      <c r="X14" s="316">
        <v>0.0</v>
      </c>
      <c r="Y14" s="316">
        <v>0.0</v>
      </c>
      <c r="Z14" s="316">
        <v>0.0</v>
      </c>
      <c r="AA14" s="316">
        <v>0.0</v>
      </c>
      <c r="AB14" s="316">
        <v>0.0</v>
      </c>
      <c r="AC14" s="316">
        <v>0.0</v>
      </c>
      <c r="AD14" s="316">
        <v>0.0</v>
      </c>
      <c r="AE14" s="316">
        <v>0.0</v>
      </c>
      <c r="AF14" s="316">
        <v>0.0</v>
      </c>
      <c r="AG14" s="316">
        <v>0.0</v>
      </c>
      <c r="AH14" s="317">
        <v>144.0</v>
      </c>
      <c r="AI14" s="318">
        <v>144.0</v>
      </c>
      <c r="AJ14" s="316">
        <v>0.0</v>
      </c>
      <c r="AK14" s="316">
        <v>0.0</v>
      </c>
      <c r="AL14" s="316">
        <v>0.0</v>
      </c>
      <c r="AM14" s="316">
        <v>0.0</v>
      </c>
      <c r="AN14" s="316">
        <v>0.0</v>
      </c>
      <c r="AO14" s="316">
        <v>0.0</v>
      </c>
      <c r="AP14" s="316">
        <v>0.0</v>
      </c>
      <c r="AQ14" s="316">
        <v>0.0</v>
      </c>
      <c r="AR14" s="316">
        <v>0.0</v>
      </c>
      <c r="AS14" s="316">
        <v>0.0</v>
      </c>
      <c r="AT14" s="317">
        <v>140.0</v>
      </c>
      <c r="AU14" s="318">
        <v>140.0</v>
      </c>
      <c r="AV14" s="319">
        <f t="shared" si="1"/>
        <v>416</v>
      </c>
      <c r="AW14" s="320">
        <v>2.46</v>
      </c>
      <c r="AX14" s="321">
        <f t="shared" si="2"/>
        <v>17.1216</v>
      </c>
      <c r="AY14" s="349">
        <f t="shared" si="3"/>
        <v>2260.0512</v>
      </c>
      <c r="AZ14" s="349">
        <f t="shared" si="4"/>
        <v>2465.5104</v>
      </c>
      <c r="BA14" s="349">
        <f t="shared" si="5"/>
        <v>2397.024</v>
      </c>
      <c r="BB14" s="350">
        <f t="shared" si="6"/>
        <v>7122.5856</v>
      </c>
      <c r="BC14" s="324"/>
      <c r="BD14" s="324"/>
      <c r="BE14" s="325"/>
      <c r="BF14" s="326"/>
      <c r="BG14" s="327"/>
    </row>
    <row r="15">
      <c r="A15" s="328" t="s">
        <v>2706</v>
      </c>
      <c r="B15" s="329">
        <v>2.0</v>
      </c>
      <c r="C15" s="330" t="s">
        <v>2707</v>
      </c>
      <c r="D15" s="330" t="s">
        <v>23</v>
      </c>
      <c r="E15" s="330" t="s">
        <v>2708</v>
      </c>
      <c r="F15" s="330" t="s">
        <v>1763</v>
      </c>
      <c r="G15" s="331" t="s">
        <v>2709</v>
      </c>
      <c r="H15" s="331" t="s">
        <v>2721</v>
      </c>
      <c r="I15" s="332" t="s">
        <v>1911</v>
      </c>
      <c r="J15" s="333" t="s">
        <v>1605</v>
      </c>
      <c r="K15" s="330" t="s">
        <v>25</v>
      </c>
      <c r="L15" s="334">
        <v>0.0</v>
      </c>
      <c r="M15" s="334">
        <v>0.0</v>
      </c>
      <c r="N15" s="334">
        <v>0.0</v>
      </c>
      <c r="O15" s="334">
        <v>0.0</v>
      </c>
      <c r="P15" s="334">
        <v>0.0</v>
      </c>
      <c r="Q15" s="334">
        <v>0.0</v>
      </c>
      <c r="R15" s="334">
        <v>0.0</v>
      </c>
      <c r="S15" s="334">
        <v>0.0</v>
      </c>
      <c r="T15" s="334">
        <v>0.0</v>
      </c>
      <c r="U15" s="334">
        <v>0.0</v>
      </c>
      <c r="V15" s="335">
        <v>100.0</v>
      </c>
      <c r="W15" s="336">
        <v>100.0</v>
      </c>
      <c r="X15" s="337">
        <v>0.0</v>
      </c>
      <c r="Y15" s="337">
        <v>0.0</v>
      </c>
      <c r="Z15" s="337">
        <v>0.0</v>
      </c>
      <c r="AA15" s="337">
        <v>0.0</v>
      </c>
      <c r="AB15" s="337">
        <v>0.0</v>
      </c>
      <c r="AC15" s="337">
        <v>0.0</v>
      </c>
      <c r="AD15" s="337">
        <v>0.0</v>
      </c>
      <c r="AE15" s="337">
        <v>0.0</v>
      </c>
      <c r="AF15" s="337">
        <v>0.0</v>
      </c>
      <c r="AG15" s="337">
        <v>0.0</v>
      </c>
      <c r="AH15" s="338">
        <v>0.0</v>
      </c>
      <c r="AI15" s="353">
        <v>0.0</v>
      </c>
      <c r="AJ15" s="354">
        <v>0.0</v>
      </c>
      <c r="AK15" s="354">
        <v>0.0</v>
      </c>
      <c r="AL15" s="354">
        <v>0.0</v>
      </c>
      <c r="AM15" s="354">
        <v>0.0</v>
      </c>
      <c r="AN15" s="354">
        <v>0.0</v>
      </c>
      <c r="AO15" s="354">
        <v>0.0</v>
      </c>
      <c r="AP15" s="354">
        <v>0.0</v>
      </c>
      <c r="AQ15" s="354">
        <v>0.0</v>
      </c>
      <c r="AR15" s="354">
        <v>0.0</v>
      </c>
      <c r="AS15" s="354">
        <v>0.0</v>
      </c>
      <c r="AT15" s="338">
        <v>0.0</v>
      </c>
      <c r="AU15" s="353">
        <v>0.0</v>
      </c>
      <c r="AV15" s="340">
        <f t="shared" si="1"/>
        <v>100</v>
      </c>
      <c r="AW15" s="341">
        <v>0.27</v>
      </c>
      <c r="AX15" s="342">
        <f t="shared" si="2"/>
        <v>1.8792</v>
      </c>
      <c r="AY15" s="343">
        <f t="shared" si="3"/>
        <v>187.92</v>
      </c>
      <c r="AZ15" s="343">
        <f t="shared" si="4"/>
        <v>0</v>
      </c>
      <c r="BA15" s="343">
        <f t="shared" si="5"/>
        <v>0</v>
      </c>
      <c r="BB15" s="344">
        <f t="shared" si="6"/>
        <v>187.92</v>
      </c>
      <c r="BC15" s="345"/>
      <c r="BD15" s="345"/>
      <c r="BE15" s="346"/>
      <c r="BF15" s="347"/>
      <c r="BG15" s="348"/>
    </row>
    <row r="16">
      <c r="A16" s="307" t="s">
        <v>2706</v>
      </c>
      <c r="B16" s="308">
        <v>2.0</v>
      </c>
      <c r="C16" s="309" t="s">
        <v>2707</v>
      </c>
      <c r="D16" s="309" t="s">
        <v>23</v>
      </c>
      <c r="E16" s="309" t="s">
        <v>2722</v>
      </c>
      <c r="F16" s="309" t="s">
        <v>1763</v>
      </c>
      <c r="G16" s="310" t="s">
        <v>2723</v>
      </c>
      <c r="H16" s="310" t="s">
        <v>2724</v>
      </c>
      <c r="I16" s="311" t="s">
        <v>1913</v>
      </c>
      <c r="J16" s="312" t="s">
        <v>1366</v>
      </c>
      <c r="K16" s="309" t="s">
        <v>25</v>
      </c>
      <c r="L16" s="313">
        <v>0.0</v>
      </c>
      <c r="M16" s="313">
        <v>0.0</v>
      </c>
      <c r="N16" s="313">
        <v>0.0</v>
      </c>
      <c r="O16" s="313">
        <v>0.0</v>
      </c>
      <c r="P16" s="313">
        <v>0.0</v>
      </c>
      <c r="Q16" s="313">
        <v>0.0</v>
      </c>
      <c r="R16" s="313">
        <v>0.0</v>
      </c>
      <c r="S16" s="313">
        <v>0.0</v>
      </c>
      <c r="T16" s="313">
        <v>0.0</v>
      </c>
      <c r="U16" s="313">
        <v>0.0</v>
      </c>
      <c r="V16" s="314">
        <v>400.0</v>
      </c>
      <c r="W16" s="315">
        <v>400.0</v>
      </c>
      <c r="X16" s="316">
        <v>0.0</v>
      </c>
      <c r="Y16" s="316">
        <v>0.0</v>
      </c>
      <c r="Z16" s="316">
        <v>0.0</v>
      </c>
      <c r="AA16" s="316">
        <v>0.0</v>
      </c>
      <c r="AB16" s="316">
        <v>0.0</v>
      </c>
      <c r="AC16" s="316">
        <v>0.0</v>
      </c>
      <c r="AD16" s="316">
        <v>0.0</v>
      </c>
      <c r="AE16" s="316">
        <v>0.0</v>
      </c>
      <c r="AF16" s="316">
        <v>0.0</v>
      </c>
      <c r="AG16" s="316">
        <v>0.0</v>
      </c>
      <c r="AH16" s="317">
        <v>0.0</v>
      </c>
      <c r="AI16" s="318">
        <v>0.0</v>
      </c>
      <c r="AJ16" s="316">
        <v>0.0</v>
      </c>
      <c r="AK16" s="316">
        <v>0.0</v>
      </c>
      <c r="AL16" s="316">
        <v>0.0</v>
      </c>
      <c r="AM16" s="316">
        <v>0.0</v>
      </c>
      <c r="AN16" s="316">
        <v>0.0</v>
      </c>
      <c r="AO16" s="316">
        <v>0.0</v>
      </c>
      <c r="AP16" s="316">
        <v>0.0</v>
      </c>
      <c r="AQ16" s="316">
        <v>0.0</v>
      </c>
      <c r="AR16" s="316">
        <v>0.0</v>
      </c>
      <c r="AS16" s="316">
        <v>0.0</v>
      </c>
      <c r="AT16" s="317">
        <v>0.0</v>
      </c>
      <c r="AU16" s="318">
        <v>0.0</v>
      </c>
      <c r="AV16" s="319">
        <f t="shared" si="1"/>
        <v>400</v>
      </c>
      <c r="AW16" s="320">
        <v>1.61</v>
      </c>
      <c r="AX16" s="321">
        <f t="shared" si="2"/>
        <v>11.2056</v>
      </c>
      <c r="AY16" s="349">
        <f t="shared" si="3"/>
        <v>4482.24</v>
      </c>
      <c r="AZ16" s="349">
        <f t="shared" si="4"/>
        <v>0</v>
      </c>
      <c r="BA16" s="349">
        <f t="shared" si="5"/>
        <v>0</v>
      </c>
      <c r="BB16" s="350">
        <f t="shared" si="6"/>
        <v>4482.24</v>
      </c>
      <c r="BC16" s="324"/>
      <c r="BD16" s="324"/>
      <c r="BE16" s="325"/>
      <c r="BF16" s="326"/>
      <c r="BG16" s="327"/>
    </row>
    <row r="17">
      <c r="A17" s="328" t="s">
        <v>2706</v>
      </c>
      <c r="B17" s="329">
        <v>2.0</v>
      </c>
      <c r="C17" s="330" t="s">
        <v>2707</v>
      </c>
      <c r="D17" s="330" t="s">
        <v>23</v>
      </c>
      <c r="E17" s="330" t="s">
        <v>2708</v>
      </c>
      <c r="F17" s="330" t="s">
        <v>1763</v>
      </c>
      <c r="G17" s="331" t="s">
        <v>2709</v>
      </c>
      <c r="H17" s="331" t="s">
        <v>2725</v>
      </c>
      <c r="I17" s="332" t="s">
        <v>1919</v>
      </c>
      <c r="J17" s="333" t="s">
        <v>347</v>
      </c>
      <c r="K17" s="330" t="s">
        <v>25</v>
      </c>
      <c r="L17" s="334">
        <v>0.0</v>
      </c>
      <c r="M17" s="334">
        <v>0.0</v>
      </c>
      <c r="N17" s="334">
        <v>0.0</v>
      </c>
      <c r="O17" s="334">
        <v>0.0</v>
      </c>
      <c r="P17" s="334">
        <v>0.0</v>
      </c>
      <c r="Q17" s="334">
        <v>0.0</v>
      </c>
      <c r="R17" s="334">
        <v>0.0</v>
      </c>
      <c r="S17" s="334">
        <v>0.0</v>
      </c>
      <c r="T17" s="334">
        <v>0.0</v>
      </c>
      <c r="U17" s="334">
        <v>0.0</v>
      </c>
      <c r="V17" s="335">
        <v>904.0</v>
      </c>
      <c r="W17" s="336">
        <v>904.0</v>
      </c>
      <c r="X17" s="337">
        <v>0.0</v>
      </c>
      <c r="Y17" s="337">
        <v>0.0</v>
      </c>
      <c r="Z17" s="337">
        <v>0.0</v>
      </c>
      <c r="AA17" s="337">
        <v>0.0</v>
      </c>
      <c r="AB17" s="337">
        <v>0.0</v>
      </c>
      <c r="AC17" s="337">
        <v>0.0</v>
      </c>
      <c r="AD17" s="337">
        <v>0.0</v>
      </c>
      <c r="AE17" s="337">
        <v>0.0</v>
      </c>
      <c r="AF17" s="337">
        <v>0.0</v>
      </c>
      <c r="AG17" s="337">
        <v>0.0</v>
      </c>
      <c r="AH17" s="355">
        <v>1064.0</v>
      </c>
      <c r="AI17" s="339">
        <v>1064.0</v>
      </c>
      <c r="AJ17" s="337">
        <v>0.0</v>
      </c>
      <c r="AK17" s="337">
        <v>0.0</v>
      </c>
      <c r="AL17" s="337">
        <v>0.0</v>
      </c>
      <c r="AM17" s="337">
        <v>0.0</v>
      </c>
      <c r="AN17" s="337">
        <v>0.0</v>
      </c>
      <c r="AO17" s="337">
        <v>0.0</v>
      </c>
      <c r="AP17" s="337">
        <v>0.0</v>
      </c>
      <c r="AQ17" s="337">
        <v>0.0</v>
      </c>
      <c r="AR17" s="337">
        <v>0.0</v>
      </c>
      <c r="AS17" s="337">
        <v>0.0</v>
      </c>
      <c r="AT17" s="355">
        <v>1064.0</v>
      </c>
      <c r="AU17" s="339">
        <v>1064.0</v>
      </c>
      <c r="AV17" s="340">
        <f t="shared" si="1"/>
        <v>3032</v>
      </c>
      <c r="AW17" s="341">
        <v>6.27</v>
      </c>
      <c r="AX17" s="342">
        <f t="shared" si="2"/>
        <v>43.6392</v>
      </c>
      <c r="AY17" s="343">
        <f t="shared" si="3"/>
        <v>39449.8368</v>
      </c>
      <c r="AZ17" s="343">
        <f t="shared" si="4"/>
        <v>46432.1088</v>
      </c>
      <c r="BA17" s="343">
        <f t="shared" si="5"/>
        <v>46432.1088</v>
      </c>
      <c r="BB17" s="344">
        <f t="shared" si="6"/>
        <v>132314.0544</v>
      </c>
      <c r="BC17" s="345"/>
      <c r="BD17" s="345"/>
      <c r="BE17" s="346"/>
      <c r="BF17" s="347"/>
      <c r="BG17" s="348"/>
    </row>
    <row r="18">
      <c r="A18" s="307" t="s">
        <v>2706</v>
      </c>
      <c r="B18" s="308">
        <v>2.0</v>
      </c>
      <c r="C18" s="309" t="s">
        <v>2707</v>
      </c>
      <c r="D18" s="309" t="s">
        <v>23</v>
      </c>
      <c r="E18" s="309" t="s">
        <v>2708</v>
      </c>
      <c r="F18" s="309" t="s">
        <v>1763</v>
      </c>
      <c r="G18" s="310" t="s">
        <v>2709</v>
      </c>
      <c r="H18" s="310" t="s">
        <v>2726</v>
      </c>
      <c r="I18" s="311" t="s">
        <v>1940</v>
      </c>
      <c r="J18" s="312" t="s">
        <v>845</v>
      </c>
      <c r="K18" s="309" t="s">
        <v>25</v>
      </c>
      <c r="L18" s="313">
        <v>0.0</v>
      </c>
      <c r="M18" s="313">
        <v>0.0</v>
      </c>
      <c r="N18" s="313">
        <v>0.0</v>
      </c>
      <c r="O18" s="313">
        <v>0.0</v>
      </c>
      <c r="P18" s="313">
        <v>0.0</v>
      </c>
      <c r="Q18" s="313">
        <v>0.0</v>
      </c>
      <c r="R18" s="313">
        <v>0.0</v>
      </c>
      <c r="S18" s="313">
        <v>0.0</v>
      </c>
      <c r="T18" s="313">
        <v>0.0</v>
      </c>
      <c r="U18" s="313">
        <v>0.0</v>
      </c>
      <c r="V18" s="314">
        <v>472.0</v>
      </c>
      <c r="W18" s="315">
        <v>472.0</v>
      </c>
      <c r="X18" s="316">
        <v>0.0</v>
      </c>
      <c r="Y18" s="316">
        <v>0.0</v>
      </c>
      <c r="Z18" s="316">
        <v>0.0</v>
      </c>
      <c r="AA18" s="316">
        <v>0.0</v>
      </c>
      <c r="AB18" s="316">
        <v>0.0</v>
      </c>
      <c r="AC18" s="316">
        <v>0.0</v>
      </c>
      <c r="AD18" s="316">
        <v>0.0</v>
      </c>
      <c r="AE18" s="316">
        <v>0.0</v>
      </c>
      <c r="AF18" s="316">
        <v>0.0</v>
      </c>
      <c r="AG18" s="316">
        <v>0.0</v>
      </c>
      <c r="AH18" s="317">
        <v>404.0</v>
      </c>
      <c r="AI18" s="318">
        <v>404.0</v>
      </c>
      <c r="AJ18" s="316">
        <v>0.0</v>
      </c>
      <c r="AK18" s="316">
        <v>0.0</v>
      </c>
      <c r="AL18" s="316">
        <v>0.0</v>
      </c>
      <c r="AM18" s="316">
        <v>0.0</v>
      </c>
      <c r="AN18" s="316">
        <v>0.0</v>
      </c>
      <c r="AO18" s="316">
        <v>0.0</v>
      </c>
      <c r="AP18" s="316">
        <v>0.0</v>
      </c>
      <c r="AQ18" s="316">
        <v>0.0</v>
      </c>
      <c r="AR18" s="316">
        <v>0.0</v>
      </c>
      <c r="AS18" s="316">
        <v>0.0</v>
      </c>
      <c r="AT18" s="317">
        <v>496.0</v>
      </c>
      <c r="AU18" s="318">
        <v>496.0</v>
      </c>
      <c r="AV18" s="319">
        <f t="shared" si="1"/>
        <v>1372</v>
      </c>
      <c r="AW18" s="320">
        <v>1.96</v>
      </c>
      <c r="AX18" s="321">
        <f t="shared" si="2"/>
        <v>13.6416</v>
      </c>
      <c r="AY18" s="349">
        <f t="shared" si="3"/>
        <v>6438.8352</v>
      </c>
      <c r="AZ18" s="349">
        <f t="shared" si="4"/>
        <v>5511.2064</v>
      </c>
      <c r="BA18" s="349">
        <f t="shared" si="5"/>
        <v>6766.2336</v>
      </c>
      <c r="BB18" s="350">
        <f t="shared" si="6"/>
        <v>18716.2752</v>
      </c>
      <c r="BC18" s="324"/>
      <c r="BD18" s="324"/>
      <c r="BE18" s="325"/>
      <c r="BF18" s="326"/>
      <c r="BG18" s="327"/>
    </row>
    <row r="19">
      <c r="A19" s="328" t="s">
        <v>2706</v>
      </c>
      <c r="B19" s="329">
        <v>2.0</v>
      </c>
      <c r="C19" s="330" t="s">
        <v>2707</v>
      </c>
      <c r="D19" s="330" t="s">
        <v>23</v>
      </c>
      <c r="E19" s="330" t="s">
        <v>2708</v>
      </c>
      <c r="F19" s="330" t="s">
        <v>1763</v>
      </c>
      <c r="G19" s="331" t="s">
        <v>2709</v>
      </c>
      <c r="H19" s="331" t="s">
        <v>2727</v>
      </c>
      <c r="I19" s="332" t="s">
        <v>1951</v>
      </c>
      <c r="J19" s="333" t="s">
        <v>1042</v>
      </c>
      <c r="K19" s="330" t="s">
        <v>25</v>
      </c>
      <c r="L19" s="334">
        <v>0.0</v>
      </c>
      <c r="M19" s="334">
        <v>0.0</v>
      </c>
      <c r="N19" s="334">
        <v>0.0</v>
      </c>
      <c r="O19" s="334">
        <v>0.0</v>
      </c>
      <c r="P19" s="334">
        <v>0.0</v>
      </c>
      <c r="Q19" s="334">
        <v>0.0</v>
      </c>
      <c r="R19" s="334">
        <v>0.0</v>
      </c>
      <c r="S19" s="334">
        <v>0.0</v>
      </c>
      <c r="T19" s="334">
        <v>0.0</v>
      </c>
      <c r="U19" s="334">
        <v>0.0</v>
      </c>
      <c r="V19" s="335">
        <v>30.0</v>
      </c>
      <c r="W19" s="336">
        <v>30.0</v>
      </c>
      <c r="X19" s="337">
        <v>0.0</v>
      </c>
      <c r="Y19" s="337">
        <v>0.0</v>
      </c>
      <c r="Z19" s="337">
        <v>0.0</v>
      </c>
      <c r="AA19" s="337">
        <v>0.0</v>
      </c>
      <c r="AB19" s="337">
        <v>0.0</v>
      </c>
      <c r="AC19" s="337">
        <v>0.0</v>
      </c>
      <c r="AD19" s="337">
        <v>0.0</v>
      </c>
      <c r="AE19" s="337">
        <v>0.0</v>
      </c>
      <c r="AF19" s="337">
        <v>0.0</v>
      </c>
      <c r="AG19" s="337">
        <v>0.0</v>
      </c>
      <c r="AH19" s="338">
        <v>0.0</v>
      </c>
      <c r="AI19" s="339">
        <v>0.0</v>
      </c>
      <c r="AJ19" s="337">
        <v>0.0</v>
      </c>
      <c r="AK19" s="337">
        <v>0.0</v>
      </c>
      <c r="AL19" s="337">
        <v>0.0</v>
      </c>
      <c r="AM19" s="337">
        <v>0.0</v>
      </c>
      <c r="AN19" s="337">
        <v>0.0</v>
      </c>
      <c r="AO19" s="337">
        <v>0.0</v>
      </c>
      <c r="AP19" s="337">
        <v>0.0</v>
      </c>
      <c r="AQ19" s="337">
        <v>0.0</v>
      </c>
      <c r="AR19" s="337">
        <v>0.0</v>
      </c>
      <c r="AS19" s="337">
        <v>0.0</v>
      </c>
      <c r="AT19" s="338">
        <v>0.0</v>
      </c>
      <c r="AU19" s="339">
        <v>0.0</v>
      </c>
      <c r="AV19" s="340">
        <f t="shared" si="1"/>
        <v>30</v>
      </c>
      <c r="AW19" s="341">
        <v>9.81</v>
      </c>
      <c r="AX19" s="342">
        <f t="shared" si="2"/>
        <v>68.2776</v>
      </c>
      <c r="AY19" s="343">
        <f t="shared" si="3"/>
        <v>2048.328</v>
      </c>
      <c r="AZ19" s="343">
        <f t="shared" si="4"/>
        <v>0</v>
      </c>
      <c r="BA19" s="343">
        <f t="shared" si="5"/>
        <v>0</v>
      </c>
      <c r="BB19" s="344">
        <f t="shared" si="6"/>
        <v>2048.328</v>
      </c>
      <c r="BC19" s="345"/>
      <c r="BD19" s="345"/>
      <c r="BE19" s="346"/>
      <c r="BF19" s="347"/>
      <c r="BG19" s="348"/>
    </row>
    <row r="20">
      <c r="A20" s="307" t="s">
        <v>2706</v>
      </c>
      <c r="B20" s="308">
        <v>2.0</v>
      </c>
      <c r="C20" s="309" t="s">
        <v>2707</v>
      </c>
      <c r="D20" s="309" t="s">
        <v>23</v>
      </c>
      <c r="E20" s="309" t="s">
        <v>2708</v>
      </c>
      <c r="F20" s="309" t="s">
        <v>1763</v>
      </c>
      <c r="G20" s="310" t="s">
        <v>2709</v>
      </c>
      <c r="H20" s="310" t="s">
        <v>2728</v>
      </c>
      <c r="I20" s="311" t="s">
        <v>1954</v>
      </c>
      <c r="J20" s="312" t="s">
        <v>627</v>
      </c>
      <c r="K20" s="309" t="s">
        <v>25</v>
      </c>
      <c r="L20" s="313">
        <v>0.0</v>
      </c>
      <c r="M20" s="313">
        <v>0.0</v>
      </c>
      <c r="N20" s="313">
        <v>0.0</v>
      </c>
      <c r="O20" s="313">
        <v>0.0</v>
      </c>
      <c r="P20" s="313">
        <v>0.0</v>
      </c>
      <c r="Q20" s="313">
        <v>0.0</v>
      </c>
      <c r="R20" s="313">
        <v>0.0</v>
      </c>
      <c r="S20" s="313">
        <v>0.0</v>
      </c>
      <c r="T20" s="313">
        <v>0.0</v>
      </c>
      <c r="U20" s="313">
        <v>0.0</v>
      </c>
      <c r="V20" s="314">
        <v>152.0</v>
      </c>
      <c r="W20" s="315">
        <v>152.0</v>
      </c>
      <c r="X20" s="316">
        <v>0.0</v>
      </c>
      <c r="Y20" s="316">
        <v>0.0</v>
      </c>
      <c r="Z20" s="316">
        <v>0.0</v>
      </c>
      <c r="AA20" s="316">
        <v>0.0</v>
      </c>
      <c r="AB20" s="316">
        <v>0.0</v>
      </c>
      <c r="AC20" s="316">
        <v>0.0</v>
      </c>
      <c r="AD20" s="316">
        <v>0.0</v>
      </c>
      <c r="AE20" s="316">
        <v>0.0</v>
      </c>
      <c r="AF20" s="316">
        <v>0.0</v>
      </c>
      <c r="AG20" s="316">
        <v>0.0</v>
      </c>
      <c r="AH20" s="317">
        <v>24.0</v>
      </c>
      <c r="AI20" s="318">
        <v>24.0</v>
      </c>
      <c r="AJ20" s="316">
        <v>0.0</v>
      </c>
      <c r="AK20" s="316">
        <v>0.0</v>
      </c>
      <c r="AL20" s="316">
        <v>0.0</v>
      </c>
      <c r="AM20" s="316">
        <v>0.0</v>
      </c>
      <c r="AN20" s="316">
        <v>0.0</v>
      </c>
      <c r="AO20" s="316">
        <v>0.0</v>
      </c>
      <c r="AP20" s="316">
        <v>0.0</v>
      </c>
      <c r="AQ20" s="316">
        <v>0.0</v>
      </c>
      <c r="AR20" s="316">
        <v>0.0</v>
      </c>
      <c r="AS20" s="316">
        <v>0.0</v>
      </c>
      <c r="AT20" s="317">
        <v>80.0</v>
      </c>
      <c r="AU20" s="318">
        <v>80.0</v>
      </c>
      <c r="AV20" s="319">
        <f t="shared" si="1"/>
        <v>256</v>
      </c>
      <c r="AW20" s="320">
        <v>8.11</v>
      </c>
      <c r="AX20" s="321">
        <f t="shared" si="2"/>
        <v>56.4456</v>
      </c>
      <c r="AY20" s="349">
        <f t="shared" si="3"/>
        <v>8579.7312</v>
      </c>
      <c r="AZ20" s="349">
        <f t="shared" si="4"/>
        <v>1354.6944</v>
      </c>
      <c r="BA20" s="349">
        <f t="shared" si="5"/>
        <v>4515.648</v>
      </c>
      <c r="BB20" s="350">
        <f t="shared" si="6"/>
        <v>14450.0736</v>
      </c>
      <c r="BC20" s="324"/>
      <c r="BD20" s="324"/>
      <c r="BE20" s="325"/>
      <c r="BF20" s="326"/>
      <c r="BG20" s="327"/>
    </row>
    <row r="21" ht="15.75" customHeight="1">
      <c r="A21" s="328" t="s">
        <v>2706</v>
      </c>
      <c r="B21" s="329">
        <v>2.0</v>
      </c>
      <c r="C21" s="330" t="s">
        <v>2707</v>
      </c>
      <c r="D21" s="330" t="s">
        <v>23</v>
      </c>
      <c r="E21" s="330" t="s">
        <v>2708</v>
      </c>
      <c r="F21" s="330" t="s">
        <v>1763</v>
      </c>
      <c r="G21" s="331" t="s">
        <v>2709</v>
      </c>
      <c r="H21" s="331" t="s">
        <v>2729</v>
      </c>
      <c r="I21" s="332" t="s">
        <v>1958</v>
      </c>
      <c r="J21" s="333" t="s">
        <v>280</v>
      </c>
      <c r="K21" s="330" t="s">
        <v>25</v>
      </c>
      <c r="L21" s="334">
        <v>0.0</v>
      </c>
      <c r="M21" s="334">
        <v>0.0</v>
      </c>
      <c r="N21" s="334">
        <v>0.0</v>
      </c>
      <c r="O21" s="334">
        <v>0.0</v>
      </c>
      <c r="P21" s="334">
        <v>0.0</v>
      </c>
      <c r="Q21" s="334">
        <v>0.0</v>
      </c>
      <c r="R21" s="334">
        <v>0.0</v>
      </c>
      <c r="S21" s="334">
        <v>0.0</v>
      </c>
      <c r="T21" s="334">
        <v>0.0</v>
      </c>
      <c r="U21" s="334">
        <v>0.0</v>
      </c>
      <c r="V21" s="335">
        <v>480.0</v>
      </c>
      <c r="W21" s="336">
        <v>480.0</v>
      </c>
      <c r="X21" s="337">
        <v>0.0</v>
      </c>
      <c r="Y21" s="337">
        <v>0.0</v>
      </c>
      <c r="Z21" s="337">
        <v>0.0</v>
      </c>
      <c r="AA21" s="337">
        <v>0.0</v>
      </c>
      <c r="AB21" s="337">
        <v>0.0</v>
      </c>
      <c r="AC21" s="337">
        <v>0.0</v>
      </c>
      <c r="AD21" s="337">
        <v>0.0</v>
      </c>
      <c r="AE21" s="337">
        <v>0.0</v>
      </c>
      <c r="AF21" s="337">
        <v>0.0</v>
      </c>
      <c r="AG21" s="337">
        <v>0.0</v>
      </c>
      <c r="AH21" s="338">
        <v>616.0</v>
      </c>
      <c r="AI21" s="339">
        <v>616.0</v>
      </c>
      <c r="AJ21" s="337">
        <v>0.0</v>
      </c>
      <c r="AK21" s="337">
        <v>0.0</v>
      </c>
      <c r="AL21" s="337">
        <v>0.0</v>
      </c>
      <c r="AM21" s="337">
        <v>0.0</v>
      </c>
      <c r="AN21" s="337">
        <v>0.0</v>
      </c>
      <c r="AO21" s="337">
        <v>0.0</v>
      </c>
      <c r="AP21" s="337">
        <v>0.0</v>
      </c>
      <c r="AQ21" s="337">
        <v>0.0</v>
      </c>
      <c r="AR21" s="337">
        <v>0.0</v>
      </c>
      <c r="AS21" s="337">
        <v>0.0</v>
      </c>
      <c r="AT21" s="338">
        <v>552.0</v>
      </c>
      <c r="AU21" s="339">
        <v>552.0</v>
      </c>
      <c r="AV21" s="340">
        <f t="shared" si="1"/>
        <v>1648</v>
      </c>
      <c r="AW21" s="341">
        <v>17.54</v>
      </c>
      <c r="AX21" s="342">
        <f t="shared" si="2"/>
        <v>122.0784</v>
      </c>
      <c r="AY21" s="343">
        <f t="shared" si="3"/>
        <v>58597.632</v>
      </c>
      <c r="AZ21" s="343">
        <f t="shared" si="4"/>
        <v>75200.2944</v>
      </c>
      <c r="BA21" s="343">
        <f t="shared" si="5"/>
        <v>67387.2768</v>
      </c>
      <c r="BB21" s="344">
        <f t="shared" si="6"/>
        <v>201185.2032</v>
      </c>
      <c r="BC21" s="345"/>
      <c r="BD21" s="345"/>
      <c r="BE21" s="346"/>
      <c r="BF21" s="347"/>
      <c r="BG21" s="348"/>
    </row>
    <row r="22" ht="15.75" customHeight="1">
      <c r="A22" s="307" t="s">
        <v>2706</v>
      </c>
      <c r="B22" s="308">
        <v>2.0</v>
      </c>
      <c r="C22" s="309" t="s">
        <v>2707</v>
      </c>
      <c r="D22" s="309" t="s">
        <v>23</v>
      </c>
      <c r="E22" s="309" t="s">
        <v>2708</v>
      </c>
      <c r="F22" s="309" t="s">
        <v>1763</v>
      </c>
      <c r="G22" s="310" t="s">
        <v>2709</v>
      </c>
      <c r="H22" s="310" t="s">
        <v>2730</v>
      </c>
      <c r="I22" s="311" t="s">
        <v>1960</v>
      </c>
      <c r="J22" s="312" t="s">
        <v>2731</v>
      </c>
      <c r="K22" s="309" t="s">
        <v>25</v>
      </c>
      <c r="L22" s="313">
        <v>0.0</v>
      </c>
      <c r="M22" s="313">
        <v>0.0</v>
      </c>
      <c r="N22" s="313">
        <v>0.0</v>
      </c>
      <c r="O22" s="313">
        <v>0.0</v>
      </c>
      <c r="P22" s="313">
        <v>0.0</v>
      </c>
      <c r="Q22" s="313">
        <v>0.0</v>
      </c>
      <c r="R22" s="313">
        <v>0.0</v>
      </c>
      <c r="S22" s="313">
        <v>0.0</v>
      </c>
      <c r="T22" s="313">
        <v>0.0</v>
      </c>
      <c r="U22" s="313">
        <v>0.0</v>
      </c>
      <c r="V22" s="314">
        <v>76.0</v>
      </c>
      <c r="W22" s="315">
        <v>76.0</v>
      </c>
      <c r="X22" s="316">
        <v>0.0</v>
      </c>
      <c r="Y22" s="316">
        <v>0.0</v>
      </c>
      <c r="Z22" s="316">
        <v>0.0</v>
      </c>
      <c r="AA22" s="316">
        <v>0.0</v>
      </c>
      <c r="AB22" s="316">
        <v>0.0</v>
      </c>
      <c r="AC22" s="316">
        <v>0.0</v>
      </c>
      <c r="AD22" s="316">
        <v>0.0</v>
      </c>
      <c r="AE22" s="316">
        <v>0.0</v>
      </c>
      <c r="AF22" s="316">
        <v>0.0</v>
      </c>
      <c r="AG22" s="316">
        <v>0.0</v>
      </c>
      <c r="AH22" s="317">
        <v>82.0</v>
      </c>
      <c r="AI22" s="318">
        <v>82.0</v>
      </c>
      <c r="AJ22" s="316">
        <v>0.0</v>
      </c>
      <c r="AK22" s="316">
        <v>0.0</v>
      </c>
      <c r="AL22" s="316">
        <v>0.0</v>
      </c>
      <c r="AM22" s="316">
        <v>0.0</v>
      </c>
      <c r="AN22" s="316">
        <v>0.0</v>
      </c>
      <c r="AO22" s="316">
        <v>0.0</v>
      </c>
      <c r="AP22" s="316">
        <v>0.0</v>
      </c>
      <c r="AQ22" s="316">
        <v>0.0</v>
      </c>
      <c r="AR22" s="316">
        <v>0.0</v>
      </c>
      <c r="AS22" s="316">
        <v>0.0</v>
      </c>
      <c r="AT22" s="317">
        <v>48.0</v>
      </c>
      <c r="AU22" s="318">
        <v>48.0</v>
      </c>
      <c r="AV22" s="319">
        <f t="shared" si="1"/>
        <v>206</v>
      </c>
      <c r="AW22" s="320">
        <v>153.06</v>
      </c>
      <c r="AX22" s="321">
        <f t="shared" si="2"/>
        <v>1065.2976</v>
      </c>
      <c r="AY22" s="349">
        <f t="shared" si="3"/>
        <v>80962.6176</v>
      </c>
      <c r="AZ22" s="349">
        <f t="shared" si="4"/>
        <v>87354.4032</v>
      </c>
      <c r="BA22" s="349">
        <f t="shared" si="5"/>
        <v>51134.2848</v>
      </c>
      <c r="BB22" s="350">
        <f t="shared" si="6"/>
        <v>219451.3056</v>
      </c>
      <c r="BC22" s="356"/>
      <c r="BD22" s="356" t="s">
        <v>2732</v>
      </c>
      <c r="BE22" s="325"/>
      <c r="BF22" s="326"/>
      <c r="BG22" s="327"/>
    </row>
    <row r="23" ht="15.75" customHeight="1">
      <c r="A23" s="328" t="s">
        <v>2706</v>
      </c>
      <c r="B23" s="329">
        <v>2.0</v>
      </c>
      <c r="C23" s="330" t="s">
        <v>2707</v>
      </c>
      <c r="D23" s="330" t="s">
        <v>23</v>
      </c>
      <c r="E23" s="330" t="s">
        <v>2708</v>
      </c>
      <c r="F23" s="330" t="s">
        <v>1763</v>
      </c>
      <c r="G23" s="331" t="s">
        <v>2709</v>
      </c>
      <c r="H23" s="331" t="s">
        <v>2733</v>
      </c>
      <c r="I23" s="332" t="s">
        <v>1962</v>
      </c>
      <c r="J23" s="333" t="s">
        <v>411</v>
      </c>
      <c r="K23" s="330" t="s">
        <v>25</v>
      </c>
      <c r="L23" s="334">
        <v>0.0</v>
      </c>
      <c r="M23" s="334">
        <v>0.0</v>
      </c>
      <c r="N23" s="334">
        <v>0.0</v>
      </c>
      <c r="O23" s="334">
        <v>0.0</v>
      </c>
      <c r="P23" s="334">
        <v>0.0</v>
      </c>
      <c r="Q23" s="334">
        <v>0.0</v>
      </c>
      <c r="R23" s="334">
        <v>0.0</v>
      </c>
      <c r="S23" s="334">
        <v>0.0</v>
      </c>
      <c r="T23" s="334">
        <v>0.0</v>
      </c>
      <c r="U23" s="334">
        <v>0.0</v>
      </c>
      <c r="V23" s="335">
        <v>96.0</v>
      </c>
      <c r="W23" s="336">
        <v>96.0</v>
      </c>
      <c r="X23" s="337">
        <v>0.0</v>
      </c>
      <c r="Y23" s="337">
        <v>0.0</v>
      </c>
      <c r="Z23" s="337">
        <v>0.0</v>
      </c>
      <c r="AA23" s="337">
        <v>0.0</v>
      </c>
      <c r="AB23" s="337">
        <v>0.0</v>
      </c>
      <c r="AC23" s="337">
        <v>0.0</v>
      </c>
      <c r="AD23" s="337">
        <v>0.0</v>
      </c>
      <c r="AE23" s="337">
        <v>0.0</v>
      </c>
      <c r="AF23" s="337">
        <v>0.0</v>
      </c>
      <c r="AG23" s="337">
        <v>0.0</v>
      </c>
      <c r="AH23" s="338">
        <v>94.0</v>
      </c>
      <c r="AI23" s="339">
        <v>94.0</v>
      </c>
      <c r="AJ23" s="337">
        <v>0.0</v>
      </c>
      <c r="AK23" s="337">
        <v>0.0</v>
      </c>
      <c r="AL23" s="337">
        <v>0.0</v>
      </c>
      <c r="AM23" s="337">
        <v>0.0</v>
      </c>
      <c r="AN23" s="337">
        <v>0.0</v>
      </c>
      <c r="AO23" s="337">
        <v>0.0</v>
      </c>
      <c r="AP23" s="337">
        <v>0.0</v>
      </c>
      <c r="AQ23" s="337">
        <v>0.0</v>
      </c>
      <c r="AR23" s="337">
        <v>0.0</v>
      </c>
      <c r="AS23" s="337">
        <v>0.0</v>
      </c>
      <c r="AT23" s="338">
        <v>82.0</v>
      </c>
      <c r="AU23" s="339">
        <v>82.0</v>
      </c>
      <c r="AV23" s="340">
        <f t="shared" si="1"/>
        <v>272</v>
      </c>
      <c r="AW23" s="341">
        <v>87.22</v>
      </c>
      <c r="AX23" s="342">
        <f t="shared" si="2"/>
        <v>607.0512</v>
      </c>
      <c r="AY23" s="343">
        <f t="shared" si="3"/>
        <v>58276.9152</v>
      </c>
      <c r="AZ23" s="343">
        <f t="shared" si="4"/>
        <v>57062.8128</v>
      </c>
      <c r="BA23" s="343">
        <f t="shared" si="5"/>
        <v>49778.1984</v>
      </c>
      <c r="BB23" s="344">
        <f t="shared" si="6"/>
        <v>165117.9264</v>
      </c>
      <c r="BC23" s="345"/>
      <c r="BD23" s="345"/>
      <c r="BE23" s="346"/>
      <c r="BF23" s="347"/>
      <c r="BG23" s="348"/>
    </row>
    <row r="24" ht="15.75" customHeight="1">
      <c r="A24" s="307" t="s">
        <v>2706</v>
      </c>
      <c r="B24" s="308">
        <v>2.0</v>
      </c>
      <c r="C24" s="309" t="s">
        <v>2707</v>
      </c>
      <c r="D24" s="309" t="s">
        <v>23</v>
      </c>
      <c r="E24" s="309" t="s">
        <v>2708</v>
      </c>
      <c r="F24" s="309" t="s">
        <v>1763</v>
      </c>
      <c r="G24" s="310" t="s">
        <v>2709</v>
      </c>
      <c r="H24" s="310" t="s">
        <v>2734</v>
      </c>
      <c r="I24" s="311" t="s">
        <v>1964</v>
      </c>
      <c r="J24" s="312" t="s">
        <v>1431</v>
      </c>
      <c r="K24" s="309" t="s">
        <v>25</v>
      </c>
      <c r="L24" s="313">
        <v>0.0</v>
      </c>
      <c r="M24" s="313">
        <v>0.0</v>
      </c>
      <c r="N24" s="313">
        <v>0.0</v>
      </c>
      <c r="O24" s="313">
        <v>0.0</v>
      </c>
      <c r="P24" s="313">
        <v>0.0</v>
      </c>
      <c r="Q24" s="313">
        <v>0.0</v>
      </c>
      <c r="R24" s="313">
        <v>0.0</v>
      </c>
      <c r="S24" s="313">
        <v>0.0</v>
      </c>
      <c r="T24" s="313">
        <v>0.0</v>
      </c>
      <c r="U24" s="313">
        <v>0.0</v>
      </c>
      <c r="V24" s="314">
        <v>40.0</v>
      </c>
      <c r="W24" s="315">
        <v>40.0</v>
      </c>
      <c r="X24" s="316">
        <v>0.0</v>
      </c>
      <c r="Y24" s="316">
        <v>0.0</v>
      </c>
      <c r="Z24" s="316">
        <v>0.0</v>
      </c>
      <c r="AA24" s="316">
        <v>0.0</v>
      </c>
      <c r="AB24" s="316">
        <v>0.0</v>
      </c>
      <c r="AC24" s="316">
        <v>0.0</v>
      </c>
      <c r="AD24" s="316">
        <v>0.0</v>
      </c>
      <c r="AE24" s="316">
        <v>0.0</v>
      </c>
      <c r="AF24" s="316">
        <v>0.0</v>
      </c>
      <c r="AG24" s="316">
        <v>0.0</v>
      </c>
      <c r="AH24" s="317">
        <v>48.0</v>
      </c>
      <c r="AI24" s="318">
        <v>48.0</v>
      </c>
      <c r="AJ24" s="316">
        <v>0.0</v>
      </c>
      <c r="AK24" s="316">
        <v>0.0</v>
      </c>
      <c r="AL24" s="316">
        <v>0.0</v>
      </c>
      <c r="AM24" s="316">
        <v>0.0</v>
      </c>
      <c r="AN24" s="316">
        <v>0.0</v>
      </c>
      <c r="AO24" s="316">
        <v>0.0</v>
      </c>
      <c r="AP24" s="316">
        <v>0.0</v>
      </c>
      <c r="AQ24" s="316">
        <v>0.0</v>
      </c>
      <c r="AR24" s="316">
        <v>0.0</v>
      </c>
      <c r="AS24" s="316">
        <v>0.0</v>
      </c>
      <c r="AT24" s="317">
        <v>64.0</v>
      </c>
      <c r="AU24" s="318">
        <v>64.0</v>
      </c>
      <c r="AV24" s="319">
        <f t="shared" si="1"/>
        <v>152</v>
      </c>
      <c r="AW24" s="320">
        <v>1.23</v>
      </c>
      <c r="AX24" s="321">
        <f t="shared" si="2"/>
        <v>8.5608</v>
      </c>
      <c r="AY24" s="349">
        <f t="shared" si="3"/>
        <v>342.432</v>
      </c>
      <c r="AZ24" s="349">
        <f t="shared" si="4"/>
        <v>410.9184</v>
      </c>
      <c r="BA24" s="349">
        <f t="shared" si="5"/>
        <v>547.8912</v>
      </c>
      <c r="BB24" s="350">
        <f t="shared" si="6"/>
        <v>1301.2416</v>
      </c>
      <c r="BC24" s="324"/>
      <c r="BD24" s="324"/>
      <c r="BE24" s="325"/>
      <c r="BF24" s="326"/>
      <c r="BG24" s="327"/>
    </row>
    <row r="25" ht="15.75" customHeight="1">
      <c r="A25" s="328" t="s">
        <v>2706</v>
      </c>
      <c r="B25" s="329">
        <v>2.0</v>
      </c>
      <c r="C25" s="330" t="s">
        <v>2707</v>
      </c>
      <c r="D25" s="330" t="s">
        <v>23</v>
      </c>
      <c r="E25" s="330" t="s">
        <v>2708</v>
      </c>
      <c r="F25" s="330" t="s">
        <v>1763</v>
      </c>
      <c r="G25" s="331" t="s">
        <v>2709</v>
      </c>
      <c r="H25" s="331" t="s">
        <v>2735</v>
      </c>
      <c r="I25" s="332" t="s">
        <v>1966</v>
      </c>
      <c r="J25" s="333" t="s">
        <v>1212</v>
      </c>
      <c r="K25" s="330" t="s">
        <v>25</v>
      </c>
      <c r="L25" s="334">
        <v>0.0</v>
      </c>
      <c r="M25" s="334">
        <v>0.0</v>
      </c>
      <c r="N25" s="334">
        <v>0.0</v>
      </c>
      <c r="O25" s="334">
        <v>0.0</v>
      </c>
      <c r="P25" s="334">
        <v>0.0</v>
      </c>
      <c r="Q25" s="334">
        <v>0.0</v>
      </c>
      <c r="R25" s="334">
        <v>0.0</v>
      </c>
      <c r="S25" s="334">
        <v>0.0</v>
      </c>
      <c r="T25" s="334">
        <v>0.0</v>
      </c>
      <c r="U25" s="334">
        <v>0.0</v>
      </c>
      <c r="V25" s="335">
        <v>20.0</v>
      </c>
      <c r="W25" s="336">
        <v>20.0</v>
      </c>
      <c r="X25" s="337">
        <v>0.0</v>
      </c>
      <c r="Y25" s="337">
        <v>0.0</v>
      </c>
      <c r="Z25" s="337">
        <v>0.0</v>
      </c>
      <c r="AA25" s="337">
        <v>0.0</v>
      </c>
      <c r="AB25" s="337">
        <v>0.0</v>
      </c>
      <c r="AC25" s="337">
        <v>0.0</v>
      </c>
      <c r="AD25" s="337">
        <v>0.0</v>
      </c>
      <c r="AE25" s="337">
        <v>0.0</v>
      </c>
      <c r="AF25" s="337">
        <v>0.0</v>
      </c>
      <c r="AG25" s="337">
        <v>0.0</v>
      </c>
      <c r="AH25" s="338">
        <v>0.0</v>
      </c>
      <c r="AI25" s="339">
        <v>0.0</v>
      </c>
      <c r="AJ25" s="337">
        <v>0.0</v>
      </c>
      <c r="AK25" s="337">
        <v>0.0</v>
      </c>
      <c r="AL25" s="337">
        <v>0.0</v>
      </c>
      <c r="AM25" s="337">
        <v>0.0</v>
      </c>
      <c r="AN25" s="337">
        <v>0.0</v>
      </c>
      <c r="AO25" s="337">
        <v>0.0</v>
      </c>
      <c r="AP25" s="337">
        <v>0.0</v>
      </c>
      <c r="AQ25" s="337">
        <v>0.0</v>
      </c>
      <c r="AR25" s="337">
        <v>0.0</v>
      </c>
      <c r="AS25" s="337">
        <v>0.0</v>
      </c>
      <c r="AT25" s="338">
        <v>0.0</v>
      </c>
      <c r="AU25" s="339">
        <v>0.0</v>
      </c>
      <c r="AV25" s="340">
        <f t="shared" si="1"/>
        <v>20</v>
      </c>
      <c r="AW25" s="341">
        <v>11.04</v>
      </c>
      <c r="AX25" s="342">
        <f t="shared" si="2"/>
        <v>76.8384</v>
      </c>
      <c r="AY25" s="343">
        <f t="shared" si="3"/>
        <v>1536.768</v>
      </c>
      <c r="AZ25" s="343">
        <f t="shared" si="4"/>
        <v>0</v>
      </c>
      <c r="BA25" s="343">
        <f t="shared" si="5"/>
        <v>0</v>
      </c>
      <c r="BB25" s="344">
        <f t="shared" si="6"/>
        <v>1536.768</v>
      </c>
      <c r="BC25" s="345"/>
      <c r="BD25" s="345"/>
      <c r="BE25" s="346"/>
      <c r="BF25" s="347"/>
      <c r="BG25" s="348"/>
    </row>
    <row r="26" ht="15.75" customHeight="1">
      <c r="A26" s="307" t="s">
        <v>2706</v>
      </c>
      <c r="B26" s="308">
        <v>2.0</v>
      </c>
      <c r="C26" s="309" t="s">
        <v>2707</v>
      </c>
      <c r="D26" s="309" t="s">
        <v>23</v>
      </c>
      <c r="E26" s="309" t="s">
        <v>2708</v>
      </c>
      <c r="F26" s="309" t="s">
        <v>1763</v>
      </c>
      <c r="G26" s="310" t="s">
        <v>2709</v>
      </c>
      <c r="H26" s="310" t="s">
        <v>2736</v>
      </c>
      <c r="I26" s="311" t="s">
        <v>1968</v>
      </c>
      <c r="J26" s="312" t="s">
        <v>1231</v>
      </c>
      <c r="K26" s="309" t="s">
        <v>25</v>
      </c>
      <c r="L26" s="313">
        <v>0.0</v>
      </c>
      <c r="M26" s="313">
        <v>0.0</v>
      </c>
      <c r="N26" s="313">
        <v>0.0</v>
      </c>
      <c r="O26" s="313">
        <v>0.0</v>
      </c>
      <c r="P26" s="313">
        <v>0.0</v>
      </c>
      <c r="Q26" s="313">
        <v>0.0</v>
      </c>
      <c r="R26" s="313">
        <v>0.0</v>
      </c>
      <c r="S26" s="313">
        <v>0.0</v>
      </c>
      <c r="T26" s="313">
        <v>0.0</v>
      </c>
      <c r="U26" s="313">
        <v>0.0</v>
      </c>
      <c r="V26" s="314">
        <v>30.0</v>
      </c>
      <c r="W26" s="315">
        <v>30.0</v>
      </c>
      <c r="X26" s="316">
        <v>0.0</v>
      </c>
      <c r="Y26" s="316">
        <v>0.0</v>
      </c>
      <c r="Z26" s="316">
        <v>0.0</v>
      </c>
      <c r="AA26" s="316">
        <v>0.0</v>
      </c>
      <c r="AB26" s="316">
        <v>0.0</v>
      </c>
      <c r="AC26" s="316">
        <v>0.0</v>
      </c>
      <c r="AD26" s="316">
        <v>0.0</v>
      </c>
      <c r="AE26" s="316">
        <v>0.0</v>
      </c>
      <c r="AF26" s="316">
        <v>0.0</v>
      </c>
      <c r="AG26" s="316">
        <v>0.0</v>
      </c>
      <c r="AH26" s="317">
        <v>0.0</v>
      </c>
      <c r="AI26" s="318">
        <v>0.0</v>
      </c>
      <c r="AJ26" s="316">
        <v>0.0</v>
      </c>
      <c r="AK26" s="316">
        <v>0.0</v>
      </c>
      <c r="AL26" s="316">
        <v>0.0</v>
      </c>
      <c r="AM26" s="316">
        <v>0.0</v>
      </c>
      <c r="AN26" s="316">
        <v>0.0</v>
      </c>
      <c r="AO26" s="316">
        <v>0.0</v>
      </c>
      <c r="AP26" s="316">
        <v>0.0</v>
      </c>
      <c r="AQ26" s="316">
        <v>0.0</v>
      </c>
      <c r="AR26" s="316">
        <v>0.0</v>
      </c>
      <c r="AS26" s="316">
        <v>0.0</v>
      </c>
      <c r="AT26" s="317">
        <v>0.0</v>
      </c>
      <c r="AU26" s="318">
        <v>0.0</v>
      </c>
      <c r="AV26" s="319">
        <f t="shared" si="1"/>
        <v>30</v>
      </c>
      <c r="AW26" s="320">
        <v>7.31</v>
      </c>
      <c r="AX26" s="321">
        <f t="shared" si="2"/>
        <v>50.8776</v>
      </c>
      <c r="AY26" s="349">
        <f t="shared" si="3"/>
        <v>1526.328</v>
      </c>
      <c r="AZ26" s="349">
        <f t="shared" si="4"/>
        <v>0</v>
      </c>
      <c r="BA26" s="349">
        <f t="shared" si="5"/>
        <v>0</v>
      </c>
      <c r="BB26" s="350">
        <f t="shared" si="6"/>
        <v>1526.328</v>
      </c>
      <c r="BC26" s="324"/>
      <c r="BD26" s="324"/>
      <c r="BE26" s="325"/>
      <c r="BF26" s="326"/>
      <c r="BG26" s="327"/>
    </row>
    <row r="27" ht="15.75" customHeight="1">
      <c r="A27" s="328" t="s">
        <v>2706</v>
      </c>
      <c r="B27" s="329">
        <v>2.0</v>
      </c>
      <c r="C27" s="330" t="s">
        <v>2707</v>
      </c>
      <c r="D27" s="330" t="s">
        <v>23</v>
      </c>
      <c r="E27" s="330" t="s">
        <v>2708</v>
      </c>
      <c r="F27" s="330" t="s">
        <v>1763</v>
      </c>
      <c r="G27" s="331" t="s">
        <v>2709</v>
      </c>
      <c r="H27" s="331" t="s">
        <v>2737</v>
      </c>
      <c r="I27" s="332" t="s">
        <v>1985</v>
      </c>
      <c r="J27" s="333" t="s">
        <v>1179</v>
      </c>
      <c r="K27" s="330" t="s">
        <v>25</v>
      </c>
      <c r="L27" s="334">
        <v>0.0</v>
      </c>
      <c r="M27" s="334">
        <v>0.0</v>
      </c>
      <c r="N27" s="334">
        <v>0.0</v>
      </c>
      <c r="O27" s="334">
        <v>0.0</v>
      </c>
      <c r="P27" s="334">
        <v>0.0</v>
      </c>
      <c r="Q27" s="334">
        <v>0.0</v>
      </c>
      <c r="R27" s="334">
        <v>0.0</v>
      </c>
      <c r="S27" s="334">
        <v>0.0</v>
      </c>
      <c r="T27" s="334">
        <v>0.0</v>
      </c>
      <c r="U27" s="334">
        <v>0.0</v>
      </c>
      <c r="V27" s="335">
        <v>120.0</v>
      </c>
      <c r="W27" s="336">
        <v>120.0</v>
      </c>
      <c r="X27" s="337">
        <v>0.0</v>
      </c>
      <c r="Y27" s="337">
        <v>0.0</v>
      </c>
      <c r="Z27" s="337">
        <v>0.0</v>
      </c>
      <c r="AA27" s="337">
        <v>0.0</v>
      </c>
      <c r="AB27" s="337">
        <v>0.0</v>
      </c>
      <c r="AC27" s="337">
        <v>0.0</v>
      </c>
      <c r="AD27" s="337">
        <v>0.0</v>
      </c>
      <c r="AE27" s="337">
        <v>0.0</v>
      </c>
      <c r="AF27" s="337">
        <v>0.0</v>
      </c>
      <c r="AG27" s="337">
        <v>0.0</v>
      </c>
      <c r="AH27" s="338">
        <v>0.0</v>
      </c>
      <c r="AI27" s="339">
        <v>0.0</v>
      </c>
      <c r="AJ27" s="337">
        <v>0.0</v>
      </c>
      <c r="AK27" s="337">
        <v>0.0</v>
      </c>
      <c r="AL27" s="337">
        <v>0.0</v>
      </c>
      <c r="AM27" s="337">
        <v>0.0</v>
      </c>
      <c r="AN27" s="337">
        <v>0.0</v>
      </c>
      <c r="AO27" s="337">
        <v>0.0</v>
      </c>
      <c r="AP27" s="337">
        <v>0.0</v>
      </c>
      <c r="AQ27" s="337">
        <v>0.0</v>
      </c>
      <c r="AR27" s="337">
        <v>0.0</v>
      </c>
      <c r="AS27" s="337">
        <v>0.0</v>
      </c>
      <c r="AT27" s="338">
        <v>0.0</v>
      </c>
      <c r="AU27" s="339">
        <v>0.0</v>
      </c>
      <c r="AV27" s="340">
        <f t="shared" si="1"/>
        <v>120</v>
      </c>
      <c r="AW27" s="341">
        <v>9.15</v>
      </c>
      <c r="AX27" s="342">
        <f t="shared" si="2"/>
        <v>63.684</v>
      </c>
      <c r="AY27" s="343">
        <f t="shared" si="3"/>
        <v>7642.08</v>
      </c>
      <c r="AZ27" s="343">
        <f t="shared" si="4"/>
        <v>0</v>
      </c>
      <c r="BA27" s="343">
        <f t="shared" si="5"/>
        <v>0</v>
      </c>
      <c r="BB27" s="344">
        <f t="shared" si="6"/>
        <v>7642.08</v>
      </c>
      <c r="BC27" s="345"/>
      <c r="BD27" s="345"/>
      <c r="BE27" s="346"/>
      <c r="BF27" s="347"/>
      <c r="BG27" s="348"/>
    </row>
    <row r="28" ht="15.75" customHeight="1">
      <c r="A28" s="307" t="s">
        <v>2706</v>
      </c>
      <c r="B28" s="308">
        <v>2.0</v>
      </c>
      <c r="C28" s="309" t="s">
        <v>2707</v>
      </c>
      <c r="D28" s="309" t="s">
        <v>23</v>
      </c>
      <c r="E28" s="309" t="s">
        <v>2708</v>
      </c>
      <c r="F28" s="309" t="s">
        <v>1763</v>
      </c>
      <c r="G28" s="310" t="s">
        <v>2709</v>
      </c>
      <c r="H28" s="310" t="s">
        <v>2738</v>
      </c>
      <c r="I28" s="311" t="s">
        <v>1992</v>
      </c>
      <c r="J28" s="312" t="s">
        <v>257</v>
      </c>
      <c r="K28" s="309" t="s">
        <v>25</v>
      </c>
      <c r="L28" s="313">
        <v>0.0</v>
      </c>
      <c r="M28" s="313">
        <v>0.0</v>
      </c>
      <c r="N28" s="313">
        <v>0.0</v>
      </c>
      <c r="O28" s="313">
        <v>0.0</v>
      </c>
      <c r="P28" s="313">
        <v>0.0</v>
      </c>
      <c r="Q28" s="313">
        <v>0.0</v>
      </c>
      <c r="R28" s="313">
        <v>0.0</v>
      </c>
      <c r="S28" s="313">
        <v>0.0</v>
      </c>
      <c r="T28" s="313">
        <v>0.0</v>
      </c>
      <c r="U28" s="313">
        <v>0.0</v>
      </c>
      <c r="V28" s="357">
        <v>1016.0</v>
      </c>
      <c r="W28" s="315">
        <v>1016.0</v>
      </c>
      <c r="X28" s="316">
        <v>0.0</v>
      </c>
      <c r="Y28" s="316">
        <v>0.0</v>
      </c>
      <c r="Z28" s="316">
        <v>0.0</v>
      </c>
      <c r="AA28" s="316">
        <v>0.0</v>
      </c>
      <c r="AB28" s="316">
        <v>0.0</v>
      </c>
      <c r="AC28" s="316">
        <v>0.0</v>
      </c>
      <c r="AD28" s="316">
        <v>0.0</v>
      </c>
      <c r="AE28" s="316">
        <v>0.0</v>
      </c>
      <c r="AF28" s="316">
        <v>0.0</v>
      </c>
      <c r="AG28" s="316">
        <v>0.0</v>
      </c>
      <c r="AH28" s="317">
        <v>168.0</v>
      </c>
      <c r="AI28" s="318">
        <v>168.0</v>
      </c>
      <c r="AJ28" s="316">
        <v>0.0</v>
      </c>
      <c r="AK28" s="316">
        <v>0.0</v>
      </c>
      <c r="AL28" s="316">
        <v>0.0</v>
      </c>
      <c r="AM28" s="316">
        <v>0.0</v>
      </c>
      <c r="AN28" s="316">
        <v>0.0</v>
      </c>
      <c r="AO28" s="316">
        <v>0.0</v>
      </c>
      <c r="AP28" s="316">
        <v>0.0</v>
      </c>
      <c r="AQ28" s="316">
        <v>0.0</v>
      </c>
      <c r="AR28" s="316">
        <v>0.0</v>
      </c>
      <c r="AS28" s="316">
        <v>0.0</v>
      </c>
      <c r="AT28" s="317">
        <v>616.0</v>
      </c>
      <c r="AU28" s="318">
        <v>616.0</v>
      </c>
      <c r="AV28" s="319">
        <f t="shared" si="1"/>
        <v>1800</v>
      </c>
      <c r="AW28" s="320">
        <v>16.65</v>
      </c>
      <c r="AX28" s="321">
        <f t="shared" si="2"/>
        <v>115.884</v>
      </c>
      <c r="AY28" s="349">
        <f t="shared" si="3"/>
        <v>117738.144</v>
      </c>
      <c r="AZ28" s="349">
        <f t="shared" si="4"/>
        <v>19468.512</v>
      </c>
      <c r="BA28" s="349">
        <f t="shared" si="5"/>
        <v>71384.544</v>
      </c>
      <c r="BB28" s="350">
        <f t="shared" si="6"/>
        <v>208591.2</v>
      </c>
      <c r="BC28" s="324"/>
      <c r="BD28" s="324"/>
      <c r="BE28" s="325"/>
      <c r="BF28" s="326"/>
      <c r="BG28" s="327"/>
    </row>
    <row r="29" ht="15.75" customHeight="1">
      <c r="A29" s="328" t="s">
        <v>2706</v>
      </c>
      <c r="B29" s="329">
        <v>2.0</v>
      </c>
      <c r="C29" s="330" t="s">
        <v>2707</v>
      </c>
      <c r="D29" s="330" t="s">
        <v>23</v>
      </c>
      <c r="E29" s="330" t="s">
        <v>2708</v>
      </c>
      <c r="F29" s="330" t="s">
        <v>1763</v>
      </c>
      <c r="G29" s="331" t="s">
        <v>2709</v>
      </c>
      <c r="H29" s="331" t="s">
        <v>2739</v>
      </c>
      <c r="I29" s="332" t="s">
        <v>1996</v>
      </c>
      <c r="J29" s="333" t="s">
        <v>350</v>
      </c>
      <c r="K29" s="330" t="s">
        <v>25</v>
      </c>
      <c r="L29" s="334">
        <v>0.0</v>
      </c>
      <c r="M29" s="334">
        <v>0.0</v>
      </c>
      <c r="N29" s="334">
        <v>0.0</v>
      </c>
      <c r="O29" s="334">
        <v>0.0</v>
      </c>
      <c r="P29" s="334">
        <v>0.0</v>
      </c>
      <c r="Q29" s="334">
        <v>0.0</v>
      </c>
      <c r="R29" s="334">
        <v>0.0</v>
      </c>
      <c r="S29" s="334">
        <v>0.0</v>
      </c>
      <c r="T29" s="334">
        <v>0.0</v>
      </c>
      <c r="U29" s="334">
        <v>0.0</v>
      </c>
      <c r="V29" s="335">
        <v>4.0</v>
      </c>
      <c r="W29" s="336">
        <v>4.0</v>
      </c>
      <c r="X29" s="337">
        <v>0.0</v>
      </c>
      <c r="Y29" s="337">
        <v>0.0</v>
      </c>
      <c r="Z29" s="337">
        <v>0.0</v>
      </c>
      <c r="AA29" s="337">
        <v>0.0</v>
      </c>
      <c r="AB29" s="337">
        <v>0.0</v>
      </c>
      <c r="AC29" s="337">
        <v>0.0</v>
      </c>
      <c r="AD29" s="337">
        <v>0.0</v>
      </c>
      <c r="AE29" s="337">
        <v>0.0</v>
      </c>
      <c r="AF29" s="337">
        <v>0.0</v>
      </c>
      <c r="AG29" s="337">
        <v>0.0</v>
      </c>
      <c r="AH29" s="338">
        <v>0.0</v>
      </c>
      <c r="AI29" s="339">
        <v>0.0</v>
      </c>
      <c r="AJ29" s="337">
        <v>0.0</v>
      </c>
      <c r="AK29" s="337">
        <v>0.0</v>
      </c>
      <c r="AL29" s="337">
        <v>0.0</v>
      </c>
      <c r="AM29" s="337">
        <v>0.0</v>
      </c>
      <c r="AN29" s="337">
        <v>0.0</v>
      </c>
      <c r="AO29" s="337">
        <v>0.0</v>
      </c>
      <c r="AP29" s="337">
        <v>0.0</v>
      </c>
      <c r="AQ29" s="337">
        <v>0.0</v>
      </c>
      <c r="AR29" s="337">
        <v>0.0</v>
      </c>
      <c r="AS29" s="337">
        <v>0.0</v>
      </c>
      <c r="AT29" s="338">
        <v>0.0</v>
      </c>
      <c r="AU29" s="339">
        <v>0.0</v>
      </c>
      <c r="AV29" s="340">
        <f t="shared" si="1"/>
        <v>4</v>
      </c>
      <c r="AW29" s="341">
        <v>784.35</v>
      </c>
      <c r="AX29" s="342">
        <f t="shared" si="2"/>
        <v>5459.076</v>
      </c>
      <c r="AY29" s="343">
        <f t="shared" si="3"/>
        <v>21836.304</v>
      </c>
      <c r="AZ29" s="343">
        <f t="shared" si="4"/>
        <v>0</v>
      </c>
      <c r="BA29" s="343">
        <f t="shared" si="5"/>
        <v>0</v>
      </c>
      <c r="BB29" s="344">
        <f t="shared" si="6"/>
        <v>21836.304</v>
      </c>
      <c r="BC29" s="345"/>
      <c r="BD29" s="345"/>
      <c r="BE29" s="346"/>
      <c r="BF29" s="347"/>
      <c r="BG29" s="348"/>
    </row>
    <row r="30" ht="15.75" customHeight="1">
      <c r="A30" s="307" t="s">
        <v>2706</v>
      </c>
      <c r="B30" s="308">
        <v>2.0</v>
      </c>
      <c r="C30" s="309" t="s">
        <v>2707</v>
      </c>
      <c r="D30" s="309" t="s">
        <v>23</v>
      </c>
      <c r="E30" s="309" t="s">
        <v>2708</v>
      </c>
      <c r="F30" s="309" t="s">
        <v>1763</v>
      </c>
      <c r="G30" s="310" t="s">
        <v>2709</v>
      </c>
      <c r="H30" s="358"/>
      <c r="I30" s="311" t="s">
        <v>2005</v>
      </c>
      <c r="J30" s="312" t="s">
        <v>1098</v>
      </c>
      <c r="K30" s="309" t="s">
        <v>25</v>
      </c>
      <c r="L30" s="313">
        <v>0.0</v>
      </c>
      <c r="M30" s="313">
        <v>0.0</v>
      </c>
      <c r="N30" s="313">
        <v>0.0</v>
      </c>
      <c r="O30" s="313">
        <v>0.0</v>
      </c>
      <c r="P30" s="313">
        <v>0.0</v>
      </c>
      <c r="Q30" s="313">
        <v>0.0</v>
      </c>
      <c r="R30" s="313">
        <v>0.0</v>
      </c>
      <c r="S30" s="313">
        <v>0.0</v>
      </c>
      <c r="T30" s="313">
        <v>0.0</v>
      </c>
      <c r="U30" s="313">
        <v>0.0</v>
      </c>
      <c r="V30" s="314">
        <v>0.0</v>
      </c>
      <c r="W30" s="315">
        <v>0.0</v>
      </c>
      <c r="X30" s="316">
        <v>0.0</v>
      </c>
      <c r="Y30" s="316">
        <v>0.0</v>
      </c>
      <c r="Z30" s="316">
        <v>0.0</v>
      </c>
      <c r="AA30" s="316">
        <v>0.0</v>
      </c>
      <c r="AB30" s="316">
        <v>0.0</v>
      </c>
      <c r="AC30" s="316">
        <v>0.0</v>
      </c>
      <c r="AD30" s="316">
        <v>0.0</v>
      </c>
      <c r="AE30" s="316">
        <v>0.0</v>
      </c>
      <c r="AF30" s="316">
        <v>0.0</v>
      </c>
      <c r="AG30" s="316">
        <v>0.0</v>
      </c>
      <c r="AH30" s="317">
        <v>96.0</v>
      </c>
      <c r="AI30" s="318">
        <v>96.0</v>
      </c>
      <c r="AJ30" s="316">
        <v>0.0</v>
      </c>
      <c r="AK30" s="316">
        <v>0.0</v>
      </c>
      <c r="AL30" s="316">
        <v>0.0</v>
      </c>
      <c r="AM30" s="316">
        <v>0.0</v>
      </c>
      <c r="AN30" s="316">
        <v>0.0</v>
      </c>
      <c r="AO30" s="316">
        <v>0.0</v>
      </c>
      <c r="AP30" s="316">
        <v>0.0</v>
      </c>
      <c r="AQ30" s="316">
        <v>0.0</v>
      </c>
      <c r="AR30" s="316">
        <v>0.0</v>
      </c>
      <c r="AS30" s="316">
        <v>0.0</v>
      </c>
      <c r="AT30" s="317">
        <v>128.0</v>
      </c>
      <c r="AU30" s="318">
        <v>128.0</v>
      </c>
      <c r="AV30" s="319">
        <f t="shared" si="1"/>
        <v>224</v>
      </c>
      <c r="AW30" s="320">
        <v>4.69</v>
      </c>
      <c r="AX30" s="321">
        <f t="shared" si="2"/>
        <v>32.6424</v>
      </c>
      <c r="AY30" s="349">
        <f t="shared" si="3"/>
        <v>0</v>
      </c>
      <c r="AZ30" s="349">
        <f t="shared" si="4"/>
        <v>3133.6704</v>
      </c>
      <c r="BA30" s="349">
        <f t="shared" si="5"/>
        <v>4178.2272</v>
      </c>
      <c r="BB30" s="350">
        <f t="shared" si="6"/>
        <v>7311.8976</v>
      </c>
      <c r="BC30" s="324"/>
      <c r="BD30" s="324"/>
      <c r="BE30" s="325"/>
      <c r="BF30" s="326"/>
      <c r="BG30" s="327"/>
    </row>
    <row r="31" ht="15.75" customHeight="1">
      <c r="A31" s="328" t="s">
        <v>2706</v>
      </c>
      <c r="B31" s="329">
        <v>2.0</v>
      </c>
      <c r="C31" s="330" t="s">
        <v>2707</v>
      </c>
      <c r="D31" s="330" t="s">
        <v>23</v>
      </c>
      <c r="E31" s="330" t="s">
        <v>2708</v>
      </c>
      <c r="F31" s="330" t="s">
        <v>1763</v>
      </c>
      <c r="G31" s="331" t="s">
        <v>2709</v>
      </c>
      <c r="H31" s="331" t="s">
        <v>2740</v>
      </c>
      <c r="I31" s="332" t="s">
        <v>2008</v>
      </c>
      <c r="J31" s="333" t="s">
        <v>634</v>
      </c>
      <c r="K31" s="330" t="s">
        <v>25</v>
      </c>
      <c r="L31" s="334">
        <v>0.0</v>
      </c>
      <c r="M31" s="334">
        <v>0.0</v>
      </c>
      <c r="N31" s="334">
        <v>0.0</v>
      </c>
      <c r="O31" s="334">
        <v>0.0</v>
      </c>
      <c r="P31" s="334">
        <v>0.0</v>
      </c>
      <c r="Q31" s="334">
        <v>0.0</v>
      </c>
      <c r="R31" s="334">
        <v>0.0</v>
      </c>
      <c r="S31" s="334">
        <v>0.0</v>
      </c>
      <c r="T31" s="334">
        <v>0.0</v>
      </c>
      <c r="U31" s="334">
        <v>0.0</v>
      </c>
      <c r="V31" s="335">
        <v>280.0</v>
      </c>
      <c r="W31" s="336">
        <v>280.0</v>
      </c>
      <c r="X31" s="337">
        <v>0.0</v>
      </c>
      <c r="Y31" s="337">
        <v>0.0</v>
      </c>
      <c r="Z31" s="337">
        <v>0.0</v>
      </c>
      <c r="AA31" s="337">
        <v>0.0</v>
      </c>
      <c r="AB31" s="337">
        <v>0.0</v>
      </c>
      <c r="AC31" s="337">
        <v>0.0</v>
      </c>
      <c r="AD31" s="337">
        <v>0.0</v>
      </c>
      <c r="AE31" s="337">
        <v>0.0</v>
      </c>
      <c r="AF31" s="337">
        <v>0.0</v>
      </c>
      <c r="AG31" s="337">
        <v>0.0</v>
      </c>
      <c r="AH31" s="338">
        <v>616.0</v>
      </c>
      <c r="AI31" s="339">
        <v>616.0</v>
      </c>
      <c r="AJ31" s="337">
        <v>0.0</v>
      </c>
      <c r="AK31" s="337">
        <v>0.0</v>
      </c>
      <c r="AL31" s="337">
        <v>0.0</v>
      </c>
      <c r="AM31" s="337">
        <v>0.0</v>
      </c>
      <c r="AN31" s="337">
        <v>0.0</v>
      </c>
      <c r="AO31" s="337">
        <v>0.0</v>
      </c>
      <c r="AP31" s="337">
        <v>0.0</v>
      </c>
      <c r="AQ31" s="337">
        <v>0.0</v>
      </c>
      <c r="AR31" s="337">
        <v>0.0</v>
      </c>
      <c r="AS31" s="337">
        <v>0.0</v>
      </c>
      <c r="AT31" s="338">
        <v>552.0</v>
      </c>
      <c r="AU31" s="339">
        <v>552.0</v>
      </c>
      <c r="AV31" s="340">
        <f t="shared" si="1"/>
        <v>1448</v>
      </c>
      <c r="AW31" s="341">
        <v>3.08</v>
      </c>
      <c r="AX31" s="342">
        <f t="shared" si="2"/>
        <v>21.4368</v>
      </c>
      <c r="AY31" s="343">
        <f t="shared" si="3"/>
        <v>6002.304</v>
      </c>
      <c r="AZ31" s="343">
        <f t="shared" si="4"/>
        <v>13205.0688</v>
      </c>
      <c r="BA31" s="343">
        <f t="shared" si="5"/>
        <v>11833.1136</v>
      </c>
      <c r="BB31" s="344">
        <f t="shared" si="6"/>
        <v>31040.4864</v>
      </c>
      <c r="BC31" s="345"/>
      <c r="BD31" s="345"/>
      <c r="BE31" s="346"/>
      <c r="BF31" s="347"/>
      <c r="BG31" s="348"/>
    </row>
    <row r="32" ht="15.75" customHeight="1">
      <c r="A32" s="307" t="s">
        <v>2706</v>
      </c>
      <c r="B32" s="308">
        <v>2.0</v>
      </c>
      <c r="C32" s="309" t="s">
        <v>2707</v>
      </c>
      <c r="D32" s="309" t="s">
        <v>23</v>
      </c>
      <c r="E32" s="309" t="s">
        <v>2708</v>
      </c>
      <c r="F32" s="309" t="s">
        <v>1763</v>
      </c>
      <c r="G32" s="310" t="s">
        <v>2709</v>
      </c>
      <c r="H32" s="358"/>
      <c r="I32" s="311" t="s">
        <v>2014</v>
      </c>
      <c r="J32" s="312" t="s">
        <v>1115</v>
      </c>
      <c r="K32" s="309" t="s">
        <v>25</v>
      </c>
      <c r="L32" s="313">
        <v>0.0</v>
      </c>
      <c r="M32" s="313">
        <v>0.0</v>
      </c>
      <c r="N32" s="313">
        <v>0.0</v>
      </c>
      <c r="O32" s="313">
        <v>0.0</v>
      </c>
      <c r="P32" s="313">
        <v>0.0</v>
      </c>
      <c r="Q32" s="313">
        <v>0.0</v>
      </c>
      <c r="R32" s="313">
        <v>0.0</v>
      </c>
      <c r="S32" s="313">
        <v>0.0</v>
      </c>
      <c r="T32" s="313">
        <v>0.0</v>
      </c>
      <c r="U32" s="313">
        <v>0.0</v>
      </c>
      <c r="V32" s="314">
        <v>304.0</v>
      </c>
      <c r="W32" s="315">
        <v>304.0</v>
      </c>
      <c r="X32" s="316">
        <v>0.0</v>
      </c>
      <c r="Y32" s="316">
        <v>0.0</v>
      </c>
      <c r="Z32" s="316">
        <v>0.0</v>
      </c>
      <c r="AA32" s="316">
        <v>0.0</v>
      </c>
      <c r="AB32" s="316">
        <v>0.0</v>
      </c>
      <c r="AC32" s="316">
        <v>0.0</v>
      </c>
      <c r="AD32" s="316">
        <v>0.0</v>
      </c>
      <c r="AE32" s="316">
        <v>0.0</v>
      </c>
      <c r="AF32" s="316">
        <v>0.0</v>
      </c>
      <c r="AG32" s="316">
        <v>0.0</v>
      </c>
      <c r="AH32" s="317">
        <v>48.0</v>
      </c>
      <c r="AI32" s="318">
        <v>48.0</v>
      </c>
      <c r="AJ32" s="316">
        <v>0.0</v>
      </c>
      <c r="AK32" s="316">
        <v>0.0</v>
      </c>
      <c r="AL32" s="316">
        <v>0.0</v>
      </c>
      <c r="AM32" s="316">
        <v>0.0</v>
      </c>
      <c r="AN32" s="316">
        <v>0.0</v>
      </c>
      <c r="AO32" s="316">
        <v>0.0</v>
      </c>
      <c r="AP32" s="316">
        <v>0.0</v>
      </c>
      <c r="AQ32" s="316">
        <v>0.0</v>
      </c>
      <c r="AR32" s="316">
        <v>0.0</v>
      </c>
      <c r="AS32" s="316">
        <v>0.0</v>
      </c>
      <c r="AT32" s="317">
        <v>160.0</v>
      </c>
      <c r="AU32" s="318">
        <v>160.0</v>
      </c>
      <c r="AV32" s="319">
        <f t="shared" si="1"/>
        <v>512</v>
      </c>
      <c r="AW32" s="320">
        <v>1.96</v>
      </c>
      <c r="AX32" s="321">
        <f t="shared" si="2"/>
        <v>13.6416</v>
      </c>
      <c r="AY32" s="349">
        <f t="shared" si="3"/>
        <v>4147.0464</v>
      </c>
      <c r="AZ32" s="349">
        <f t="shared" si="4"/>
        <v>654.7968</v>
      </c>
      <c r="BA32" s="349">
        <f t="shared" si="5"/>
        <v>2182.656</v>
      </c>
      <c r="BB32" s="350">
        <f t="shared" si="6"/>
        <v>6984.4992</v>
      </c>
      <c r="BC32" s="324"/>
      <c r="BD32" s="324"/>
      <c r="BE32" s="325"/>
      <c r="BF32" s="326"/>
      <c r="BG32" s="327"/>
    </row>
    <row r="33" ht="15.75" customHeight="1">
      <c r="A33" s="328" t="s">
        <v>2706</v>
      </c>
      <c r="B33" s="329">
        <v>2.0</v>
      </c>
      <c r="C33" s="330" t="s">
        <v>2707</v>
      </c>
      <c r="D33" s="330" t="s">
        <v>23</v>
      </c>
      <c r="E33" s="330" t="s">
        <v>2708</v>
      </c>
      <c r="F33" s="330" t="s">
        <v>1763</v>
      </c>
      <c r="G33" s="331" t="s">
        <v>2709</v>
      </c>
      <c r="H33" s="331" t="s">
        <v>2741</v>
      </c>
      <c r="I33" s="332" t="s">
        <v>2031</v>
      </c>
      <c r="J33" s="333" t="s">
        <v>612</v>
      </c>
      <c r="K33" s="330" t="s">
        <v>25</v>
      </c>
      <c r="L33" s="334">
        <v>0.0</v>
      </c>
      <c r="M33" s="334">
        <v>0.0</v>
      </c>
      <c r="N33" s="334">
        <v>0.0</v>
      </c>
      <c r="O33" s="334">
        <v>0.0</v>
      </c>
      <c r="P33" s="334">
        <v>0.0</v>
      </c>
      <c r="Q33" s="334">
        <v>0.0</v>
      </c>
      <c r="R33" s="334">
        <v>0.0</v>
      </c>
      <c r="S33" s="334">
        <v>0.0</v>
      </c>
      <c r="T33" s="334">
        <v>0.0</v>
      </c>
      <c r="U33" s="334">
        <v>0.0</v>
      </c>
      <c r="V33" s="335">
        <v>152.0</v>
      </c>
      <c r="W33" s="336">
        <v>152.0</v>
      </c>
      <c r="X33" s="337">
        <v>0.0</v>
      </c>
      <c r="Y33" s="337">
        <v>0.0</v>
      </c>
      <c r="Z33" s="337">
        <v>0.0</v>
      </c>
      <c r="AA33" s="337">
        <v>0.0</v>
      </c>
      <c r="AB33" s="337">
        <v>0.0</v>
      </c>
      <c r="AC33" s="337">
        <v>0.0</v>
      </c>
      <c r="AD33" s="337">
        <v>0.0</v>
      </c>
      <c r="AE33" s="337">
        <v>0.0</v>
      </c>
      <c r="AF33" s="337">
        <v>0.0</v>
      </c>
      <c r="AG33" s="337">
        <v>0.0</v>
      </c>
      <c r="AH33" s="338">
        <v>24.0</v>
      </c>
      <c r="AI33" s="339">
        <v>24.0</v>
      </c>
      <c r="AJ33" s="337">
        <v>0.0</v>
      </c>
      <c r="AK33" s="337">
        <v>0.0</v>
      </c>
      <c r="AL33" s="337">
        <v>0.0</v>
      </c>
      <c r="AM33" s="337">
        <v>0.0</v>
      </c>
      <c r="AN33" s="337">
        <v>0.0</v>
      </c>
      <c r="AO33" s="337">
        <v>0.0</v>
      </c>
      <c r="AP33" s="337">
        <v>0.0</v>
      </c>
      <c r="AQ33" s="337">
        <v>0.0</v>
      </c>
      <c r="AR33" s="337">
        <v>0.0</v>
      </c>
      <c r="AS33" s="337">
        <v>0.0</v>
      </c>
      <c r="AT33" s="338">
        <v>80.0</v>
      </c>
      <c r="AU33" s="339">
        <v>80.0</v>
      </c>
      <c r="AV33" s="340">
        <f t="shared" si="1"/>
        <v>256</v>
      </c>
      <c r="AW33" s="341">
        <v>25.5</v>
      </c>
      <c r="AX33" s="342">
        <f t="shared" si="2"/>
        <v>177.48</v>
      </c>
      <c r="AY33" s="343">
        <f t="shared" si="3"/>
        <v>26976.96</v>
      </c>
      <c r="AZ33" s="343">
        <f t="shared" si="4"/>
        <v>4259.52</v>
      </c>
      <c r="BA33" s="343">
        <f t="shared" si="5"/>
        <v>14198.4</v>
      </c>
      <c r="BB33" s="344">
        <f t="shared" si="6"/>
        <v>45434.88</v>
      </c>
      <c r="BC33" s="345"/>
      <c r="BD33" s="345"/>
      <c r="BE33" s="346"/>
      <c r="BF33" s="347"/>
      <c r="BG33" s="348"/>
    </row>
    <row r="34" ht="15.75" customHeight="1">
      <c r="A34" s="307" t="s">
        <v>2706</v>
      </c>
      <c r="B34" s="308">
        <v>2.0</v>
      </c>
      <c r="C34" s="309" t="s">
        <v>2707</v>
      </c>
      <c r="D34" s="309" t="s">
        <v>23</v>
      </c>
      <c r="E34" s="309" t="s">
        <v>2708</v>
      </c>
      <c r="F34" s="309" t="s">
        <v>1763</v>
      </c>
      <c r="G34" s="310" t="s">
        <v>2709</v>
      </c>
      <c r="H34" s="310" t="s">
        <v>2742</v>
      </c>
      <c r="I34" s="311" t="s">
        <v>2036</v>
      </c>
      <c r="J34" s="312" t="s">
        <v>141</v>
      </c>
      <c r="K34" s="309" t="s">
        <v>25</v>
      </c>
      <c r="L34" s="313">
        <v>0.0</v>
      </c>
      <c r="M34" s="313">
        <v>0.0</v>
      </c>
      <c r="N34" s="313">
        <v>0.0</v>
      </c>
      <c r="O34" s="313">
        <v>0.0</v>
      </c>
      <c r="P34" s="313">
        <v>0.0</v>
      </c>
      <c r="Q34" s="313">
        <v>0.0</v>
      </c>
      <c r="R34" s="313">
        <v>0.0</v>
      </c>
      <c r="S34" s="313">
        <v>0.0</v>
      </c>
      <c r="T34" s="313">
        <v>0.0</v>
      </c>
      <c r="U34" s="313">
        <v>0.0</v>
      </c>
      <c r="V34" s="314">
        <v>240.0</v>
      </c>
      <c r="W34" s="315">
        <v>240.0</v>
      </c>
      <c r="X34" s="316">
        <v>0.0</v>
      </c>
      <c r="Y34" s="316">
        <v>0.0</v>
      </c>
      <c r="Z34" s="316">
        <v>0.0</v>
      </c>
      <c r="AA34" s="316">
        <v>0.0</v>
      </c>
      <c r="AB34" s="316">
        <v>0.0</v>
      </c>
      <c r="AC34" s="316">
        <v>0.0</v>
      </c>
      <c r="AD34" s="316">
        <v>0.0</v>
      </c>
      <c r="AE34" s="316">
        <v>0.0</v>
      </c>
      <c r="AF34" s="316">
        <v>0.0</v>
      </c>
      <c r="AG34" s="316">
        <v>0.0</v>
      </c>
      <c r="AH34" s="317">
        <v>460.0</v>
      </c>
      <c r="AI34" s="318">
        <v>460.0</v>
      </c>
      <c r="AJ34" s="316">
        <v>0.0</v>
      </c>
      <c r="AK34" s="316">
        <v>0.0</v>
      </c>
      <c r="AL34" s="316">
        <v>0.0</v>
      </c>
      <c r="AM34" s="316">
        <v>0.0</v>
      </c>
      <c r="AN34" s="316">
        <v>0.0</v>
      </c>
      <c r="AO34" s="316">
        <v>0.0</v>
      </c>
      <c r="AP34" s="316">
        <v>0.0</v>
      </c>
      <c r="AQ34" s="316">
        <v>0.0</v>
      </c>
      <c r="AR34" s="316">
        <v>0.0</v>
      </c>
      <c r="AS34" s="316">
        <v>0.0</v>
      </c>
      <c r="AT34" s="317">
        <v>480.0</v>
      </c>
      <c r="AU34" s="318">
        <v>480.0</v>
      </c>
      <c r="AV34" s="319">
        <f t="shared" si="1"/>
        <v>1180</v>
      </c>
      <c r="AW34" s="320">
        <v>47.38</v>
      </c>
      <c r="AX34" s="321">
        <f t="shared" si="2"/>
        <v>329.7648</v>
      </c>
      <c r="AY34" s="349">
        <f t="shared" si="3"/>
        <v>79143.552</v>
      </c>
      <c r="AZ34" s="349">
        <f t="shared" si="4"/>
        <v>151691.808</v>
      </c>
      <c r="BA34" s="349">
        <f t="shared" si="5"/>
        <v>158287.104</v>
      </c>
      <c r="BB34" s="350">
        <f t="shared" si="6"/>
        <v>389122.464</v>
      </c>
      <c r="BC34" s="324"/>
      <c r="BD34" s="324"/>
      <c r="BE34" s="325"/>
      <c r="BF34" s="326"/>
      <c r="BG34" s="327"/>
    </row>
    <row r="35" ht="15.75" customHeight="1">
      <c r="A35" s="328" t="s">
        <v>2706</v>
      </c>
      <c r="B35" s="329">
        <v>2.0</v>
      </c>
      <c r="C35" s="330" t="s">
        <v>2707</v>
      </c>
      <c r="D35" s="330" t="s">
        <v>23</v>
      </c>
      <c r="E35" s="330" t="s">
        <v>2708</v>
      </c>
      <c r="F35" s="330" t="s">
        <v>1763</v>
      </c>
      <c r="G35" s="359" t="s">
        <v>2709</v>
      </c>
      <c r="H35" s="331" t="s">
        <v>2743</v>
      </c>
      <c r="I35" s="332" t="s">
        <v>2042</v>
      </c>
      <c r="J35" s="333" t="s">
        <v>2744</v>
      </c>
      <c r="K35" s="330" t="s">
        <v>25</v>
      </c>
      <c r="L35" s="334">
        <v>0.0</v>
      </c>
      <c r="M35" s="334">
        <v>0.0</v>
      </c>
      <c r="N35" s="334">
        <v>0.0</v>
      </c>
      <c r="O35" s="334">
        <v>0.0</v>
      </c>
      <c r="P35" s="334">
        <v>0.0</v>
      </c>
      <c r="Q35" s="334">
        <v>0.0</v>
      </c>
      <c r="R35" s="334">
        <v>0.0</v>
      </c>
      <c r="S35" s="334">
        <v>0.0</v>
      </c>
      <c r="T35" s="334">
        <v>0.0</v>
      </c>
      <c r="U35" s="334">
        <v>0.0</v>
      </c>
      <c r="V35" s="335">
        <v>50.0</v>
      </c>
      <c r="W35" s="336">
        <v>50.0</v>
      </c>
      <c r="X35" s="337">
        <v>0.0</v>
      </c>
      <c r="Y35" s="337">
        <v>0.0</v>
      </c>
      <c r="Z35" s="337">
        <v>0.0</v>
      </c>
      <c r="AA35" s="337">
        <v>0.0</v>
      </c>
      <c r="AB35" s="337">
        <v>0.0</v>
      </c>
      <c r="AC35" s="337">
        <v>0.0</v>
      </c>
      <c r="AD35" s="337">
        <v>0.0</v>
      </c>
      <c r="AE35" s="337">
        <v>0.0</v>
      </c>
      <c r="AF35" s="337">
        <v>0.0</v>
      </c>
      <c r="AG35" s="337">
        <v>0.0</v>
      </c>
      <c r="AH35" s="338">
        <v>0.0</v>
      </c>
      <c r="AI35" s="339">
        <v>0.0</v>
      </c>
      <c r="AJ35" s="337">
        <v>0.0</v>
      </c>
      <c r="AK35" s="337">
        <v>0.0</v>
      </c>
      <c r="AL35" s="337">
        <v>0.0</v>
      </c>
      <c r="AM35" s="337">
        <v>0.0</v>
      </c>
      <c r="AN35" s="337">
        <v>0.0</v>
      </c>
      <c r="AO35" s="337">
        <v>0.0</v>
      </c>
      <c r="AP35" s="337">
        <v>0.0</v>
      </c>
      <c r="AQ35" s="337">
        <v>0.0</v>
      </c>
      <c r="AR35" s="337">
        <v>0.0</v>
      </c>
      <c r="AS35" s="337">
        <v>0.0</v>
      </c>
      <c r="AT35" s="338">
        <v>0.0</v>
      </c>
      <c r="AU35" s="339">
        <v>0.0</v>
      </c>
      <c r="AV35" s="340">
        <f t="shared" si="1"/>
        <v>50</v>
      </c>
      <c r="AW35" s="341">
        <v>2.38</v>
      </c>
      <c r="AX35" s="342">
        <f t="shared" si="2"/>
        <v>16.5648</v>
      </c>
      <c r="AY35" s="343">
        <f t="shared" si="3"/>
        <v>828.24</v>
      </c>
      <c r="AZ35" s="343">
        <f t="shared" si="4"/>
        <v>0</v>
      </c>
      <c r="BA35" s="343">
        <f t="shared" si="5"/>
        <v>0</v>
      </c>
      <c r="BB35" s="344">
        <f t="shared" si="6"/>
        <v>828.24</v>
      </c>
      <c r="BC35" s="345"/>
      <c r="BD35" s="345"/>
      <c r="BE35" s="346"/>
      <c r="BF35" s="347"/>
      <c r="BG35" s="348"/>
    </row>
    <row r="36" ht="15.75" customHeight="1">
      <c r="A36" s="307" t="s">
        <v>2706</v>
      </c>
      <c r="B36" s="308">
        <v>2.0</v>
      </c>
      <c r="C36" s="309" t="s">
        <v>2707</v>
      </c>
      <c r="D36" s="309" t="s">
        <v>23</v>
      </c>
      <c r="E36" s="309" t="s">
        <v>2722</v>
      </c>
      <c r="F36" s="309" t="s">
        <v>1763</v>
      </c>
      <c r="G36" s="310" t="s">
        <v>2723</v>
      </c>
      <c r="H36" s="310" t="s">
        <v>2745</v>
      </c>
      <c r="I36" s="311" t="s">
        <v>2045</v>
      </c>
      <c r="J36" s="312" t="s">
        <v>1228</v>
      </c>
      <c r="K36" s="309" t="s">
        <v>25</v>
      </c>
      <c r="L36" s="313">
        <v>0.0</v>
      </c>
      <c r="M36" s="313">
        <v>0.0</v>
      </c>
      <c r="N36" s="313">
        <v>0.0</v>
      </c>
      <c r="O36" s="313">
        <v>0.0</v>
      </c>
      <c r="P36" s="313">
        <v>0.0</v>
      </c>
      <c r="Q36" s="313">
        <v>0.0</v>
      </c>
      <c r="R36" s="313">
        <v>0.0</v>
      </c>
      <c r="S36" s="313">
        <v>0.0</v>
      </c>
      <c r="T36" s="313">
        <v>0.0</v>
      </c>
      <c r="U36" s="313">
        <v>0.0</v>
      </c>
      <c r="V36" s="314">
        <v>2.0</v>
      </c>
      <c r="W36" s="315">
        <v>2.0</v>
      </c>
      <c r="X36" s="316">
        <v>0.0</v>
      </c>
      <c r="Y36" s="316">
        <v>0.0</v>
      </c>
      <c r="Z36" s="316">
        <v>0.0</v>
      </c>
      <c r="AA36" s="316">
        <v>0.0</v>
      </c>
      <c r="AB36" s="316">
        <v>0.0</v>
      </c>
      <c r="AC36" s="316">
        <v>0.0</v>
      </c>
      <c r="AD36" s="316">
        <v>0.0</v>
      </c>
      <c r="AE36" s="316">
        <v>0.0</v>
      </c>
      <c r="AF36" s="316">
        <v>0.0</v>
      </c>
      <c r="AG36" s="316">
        <v>0.0</v>
      </c>
      <c r="AH36" s="317">
        <v>0.0</v>
      </c>
      <c r="AI36" s="318">
        <v>0.0</v>
      </c>
      <c r="AJ36" s="316">
        <v>0.0</v>
      </c>
      <c r="AK36" s="316">
        <v>0.0</v>
      </c>
      <c r="AL36" s="316">
        <v>0.0</v>
      </c>
      <c r="AM36" s="316">
        <v>0.0</v>
      </c>
      <c r="AN36" s="316">
        <v>0.0</v>
      </c>
      <c r="AO36" s="316">
        <v>0.0</v>
      </c>
      <c r="AP36" s="316">
        <v>0.0</v>
      </c>
      <c r="AQ36" s="316">
        <v>0.0</v>
      </c>
      <c r="AR36" s="316">
        <v>0.0</v>
      </c>
      <c r="AS36" s="316">
        <v>0.0</v>
      </c>
      <c r="AT36" s="317">
        <v>0.0</v>
      </c>
      <c r="AU36" s="318">
        <v>0.0</v>
      </c>
      <c r="AV36" s="319">
        <f t="shared" si="1"/>
        <v>2</v>
      </c>
      <c r="AW36" s="320">
        <v>100.87</v>
      </c>
      <c r="AX36" s="321">
        <f t="shared" si="2"/>
        <v>702.0552</v>
      </c>
      <c r="AY36" s="349">
        <f t="shared" si="3"/>
        <v>1404.1104</v>
      </c>
      <c r="AZ36" s="349">
        <f t="shared" si="4"/>
        <v>0</v>
      </c>
      <c r="BA36" s="349">
        <f t="shared" si="5"/>
        <v>0</v>
      </c>
      <c r="BB36" s="350">
        <f t="shared" si="6"/>
        <v>1404.1104</v>
      </c>
      <c r="BC36" s="324"/>
      <c r="BD36" s="324"/>
      <c r="BE36" s="325"/>
      <c r="BF36" s="326"/>
      <c r="BG36" s="327"/>
    </row>
    <row r="37" ht="15.75" customHeight="1">
      <c r="A37" s="328" t="s">
        <v>2706</v>
      </c>
      <c r="B37" s="329">
        <v>2.0</v>
      </c>
      <c r="C37" s="330" t="s">
        <v>2707</v>
      </c>
      <c r="D37" s="330" t="s">
        <v>23</v>
      </c>
      <c r="E37" s="330" t="s">
        <v>2722</v>
      </c>
      <c r="F37" s="330" t="s">
        <v>1763</v>
      </c>
      <c r="G37" s="331" t="s">
        <v>2723</v>
      </c>
      <c r="H37" s="331" t="s">
        <v>2746</v>
      </c>
      <c r="I37" s="332" t="s">
        <v>2046</v>
      </c>
      <c r="J37" s="333" t="s">
        <v>918</v>
      </c>
      <c r="K37" s="330" t="s">
        <v>25</v>
      </c>
      <c r="L37" s="334">
        <v>0.0</v>
      </c>
      <c r="M37" s="334">
        <v>0.0</v>
      </c>
      <c r="N37" s="334">
        <v>0.0</v>
      </c>
      <c r="O37" s="334">
        <v>0.0</v>
      </c>
      <c r="P37" s="334">
        <v>0.0</v>
      </c>
      <c r="Q37" s="334">
        <v>0.0</v>
      </c>
      <c r="R37" s="334">
        <v>0.0</v>
      </c>
      <c r="S37" s="334">
        <v>0.0</v>
      </c>
      <c r="T37" s="334">
        <v>0.0</v>
      </c>
      <c r="U37" s="334">
        <v>0.0</v>
      </c>
      <c r="V37" s="335">
        <v>2.0</v>
      </c>
      <c r="W37" s="336">
        <v>2.0</v>
      </c>
      <c r="X37" s="337">
        <v>0.0</v>
      </c>
      <c r="Y37" s="337">
        <v>0.0</v>
      </c>
      <c r="Z37" s="337">
        <v>0.0</v>
      </c>
      <c r="AA37" s="337">
        <v>0.0</v>
      </c>
      <c r="AB37" s="337">
        <v>0.0</v>
      </c>
      <c r="AC37" s="337">
        <v>0.0</v>
      </c>
      <c r="AD37" s="337">
        <v>0.0</v>
      </c>
      <c r="AE37" s="337">
        <v>0.0</v>
      </c>
      <c r="AF37" s="337">
        <v>0.0</v>
      </c>
      <c r="AG37" s="337">
        <v>0.0</v>
      </c>
      <c r="AH37" s="338">
        <v>0.0</v>
      </c>
      <c r="AI37" s="339">
        <v>0.0</v>
      </c>
      <c r="AJ37" s="337">
        <v>0.0</v>
      </c>
      <c r="AK37" s="337">
        <v>0.0</v>
      </c>
      <c r="AL37" s="337">
        <v>0.0</v>
      </c>
      <c r="AM37" s="337">
        <v>0.0</v>
      </c>
      <c r="AN37" s="337">
        <v>0.0</v>
      </c>
      <c r="AO37" s="337">
        <v>0.0</v>
      </c>
      <c r="AP37" s="337">
        <v>0.0</v>
      </c>
      <c r="AQ37" s="337">
        <v>0.0</v>
      </c>
      <c r="AR37" s="337">
        <v>0.0</v>
      </c>
      <c r="AS37" s="337">
        <v>0.0</v>
      </c>
      <c r="AT37" s="338">
        <v>0.0</v>
      </c>
      <c r="AU37" s="339">
        <v>0.0</v>
      </c>
      <c r="AV37" s="340">
        <f t="shared" si="1"/>
        <v>2</v>
      </c>
      <c r="AW37" s="341">
        <v>111.25</v>
      </c>
      <c r="AX37" s="342">
        <f t="shared" si="2"/>
        <v>774.3</v>
      </c>
      <c r="AY37" s="343">
        <f t="shared" si="3"/>
        <v>1548.6</v>
      </c>
      <c r="AZ37" s="343">
        <f t="shared" si="4"/>
        <v>0</v>
      </c>
      <c r="BA37" s="343">
        <f t="shared" si="5"/>
        <v>0</v>
      </c>
      <c r="BB37" s="344">
        <f t="shared" si="6"/>
        <v>1548.6</v>
      </c>
      <c r="BC37" s="345"/>
      <c r="BD37" s="345"/>
      <c r="BE37" s="346"/>
      <c r="BF37" s="347"/>
      <c r="BG37" s="348"/>
    </row>
    <row r="38" ht="15.75" customHeight="1">
      <c r="A38" s="307" t="s">
        <v>2706</v>
      </c>
      <c r="B38" s="308">
        <v>2.0</v>
      </c>
      <c r="C38" s="309" t="s">
        <v>2707</v>
      </c>
      <c r="D38" s="309" t="s">
        <v>23</v>
      </c>
      <c r="E38" s="309" t="s">
        <v>2722</v>
      </c>
      <c r="F38" s="309" t="s">
        <v>1763</v>
      </c>
      <c r="G38" s="310" t="s">
        <v>2723</v>
      </c>
      <c r="H38" s="310" t="s">
        <v>2747</v>
      </c>
      <c r="I38" s="311" t="s">
        <v>2047</v>
      </c>
      <c r="J38" s="312" t="s">
        <v>891</v>
      </c>
      <c r="K38" s="309" t="s">
        <v>25</v>
      </c>
      <c r="L38" s="313">
        <v>0.0</v>
      </c>
      <c r="M38" s="313">
        <v>0.0</v>
      </c>
      <c r="N38" s="313">
        <v>0.0</v>
      </c>
      <c r="O38" s="313">
        <v>0.0</v>
      </c>
      <c r="P38" s="313">
        <v>0.0</v>
      </c>
      <c r="Q38" s="313">
        <v>0.0</v>
      </c>
      <c r="R38" s="313">
        <v>0.0</v>
      </c>
      <c r="S38" s="313">
        <v>0.0</v>
      </c>
      <c r="T38" s="313">
        <v>0.0</v>
      </c>
      <c r="U38" s="313">
        <v>0.0</v>
      </c>
      <c r="V38" s="314">
        <v>2.0</v>
      </c>
      <c r="W38" s="315">
        <v>2.0</v>
      </c>
      <c r="X38" s="316">
        <v>0.0</v>
      </c>
      <c r="Y38" s="316">
        <v>0.0</v>
      </c>
      <c r="Z38" s="316">
        <v>0.0</v>
      </c>
      <c r="AA38" s="316">
        <v>0.0</v>
      </c>
      <c r="AB38" s="316">
        <v>0.0</v>
      </c>
      <c r="AC38" s="316">
        <v>0.0</v>
      </c>
      <c r="AD38" s="316">
        <v>0.0</v>
      </c>
      <c r="AE38" s="316">
        <v>0.0</v>
      </c>
      <c r="AF38" s="316">
        <v>0.0</v>
      </c>
      <c r="AG38" s="316">
        <v>0.0</v>
      </c>
      <c r="AH38" s="317">
        <v>0.0</v>
      </c>
      <c r="AI38" s="318">
        <v>0.0</v>
      </c>
      <c r="AJ38" s="316">
        <v>0.0</v>
      </c>
      <c r="AK38" s="316">
        <v>0.0</v>
      </c>
      <c r="AL38" s="316">
        <v>0.0</v>
      </c>
      <c r="AM38" s="316">
        <v>0.0</v>
      </c>
      <c r="AN38" s="316">
        <v>0.0</v>
      </c>
      <c r="AO38" s="316">
        <v>0.0</v>
      </c>
      <c r="AP38" s="316">
        <v>0.0</v>
      </c>
      <c r="AQ38" s="316">
        <v>0.0</v>
      </c>
      <c r="AR38" s="316">
        <v>0.0</v>
      </c>
      <c r="AS38" s="316">
        <v>0.0</v>
      </c>
      <c r="AT38" s="317">
        <v>0.0</v>
      </c>
      <c r="AU38" s="318">
        <v>0.0</v>
      </c>
      <c r="AV38" s="319">
        <f t="shared" si="1"/>
        <v>2</v>
      </c>
      <c r="AW38" s="320">
        <v>120.56</v>
      </c>
      <c r="AX38" s="321">
        <f t="shared" si="2"/>
        <v>839.0976</v>
      </c>
      <c r="AY38" s="349">
        <f t="shared" si="3"/>
        <v>1678.1952</v>
      </c>
      <c r="AZ38" s="349">
        <f t="shared" si="4"/>
        <v>0</v>
      </c>
      <c r="BA38" s="349">
        <f t="shared" si="5"/>
        <v>0</v>
      </c>
      <c r="BB38" s="350">
        <f t="shared" si="6"/>
        <v>1678.1952</v>
      </c>
      <c r="BC38" s="324"/>
      <c r="BD38" s="324"/>
      <c r="BE38" s="325"/>
      <c r="BF38" s="326"/>
      <c r="BG38" s="327"/>
    </row>
    <row r="39" ht="15.75" customHeight="1">
      <c r="A39" s="328" t="s">
        <v>2706</v>
      </c>
      <c r="B39" s="329">
        <v>2.0</v>
      </c>
      <c r="C39" s="330" t="s">
        <v>2707</v>
      </c>
      <c r="D39" s="330" t="s">
        <v>23</v>
      </c>
      <c r="E39" s="330" t="s">
        <v>2722</v>
      </c>
      <c r="F39" s="330" t="s">
        <v>1763</v>
      </c>
      <c r="G39" s="331" t="s">
        <v>2723</v>
      </c>
      <c r="H39" s="331" t="s">
        <v>2748</v>
      </c>
      <c r="I39" s="332" t="s">
        <v>2048</v>
      </c>
      <c r="J39" s="333" t="s">
        <v>585</v>
      </c>
      <c r="K39" s="330" t="s">
        <v>25</v>
      </c>
      <c r="L39" s="334">
        <v>0.0</v>
      </c>
      <c r="M39" s="334">
        <v>0.0</v>
      </c>
      <c r="N39" s="334">
        <v>0.0</v>
      </c>
      <c r="O39" s="334">
        <v>0.0</v>
      </c>
      <c r="P39" s="334">
        <v>0.0</v>
      </c>
      <c r="Q39" s="334">
        <v>0.0</v>
      </c>
      <c r="R39" s="334">
        <v>0.0</v>
      </c>
      <c r="S39" s="334">
        <v>0.0</v>
      </c>
      <c r="T39" s="334">
        <v>0.0</v>
      </c>
      <c r="U39" s="334">
        <v>0.0</v>
      </c>
      <c r="V39" s="335">
        <v>2.0</v>
      </c>
      <c r="W39" s="336">
        <v>2.0</v>
      </c>
      <c r="X39" s="337">
        <v>0.0</v>
      </c>
      <c r="Y39" s="337">
        <v>0.0</v>
      </c>
      <c r="Z39" s="337">
        <v>0.0</v>
      </c>
      <c r="AA39" s="337">
        <v>0.0</v>
      </c>
      <c r="AB39" s="337">
        <v>0.0</v>
      </c>
      <c r="AC39" s="337">
        <v>0.0</v>
      </c>
      <c r="AD39" s="337">
        <v>0.0</v>
      </c>
      <c r="AE39" s="337">
        <v>0.0</v>
      </c>
      <c r="AF39" s="337">
        <v>0.0</v>
      </c>
      <c r="AG39" s="337">
        <v>0.0</v>
      </c>
      <c r="AH39" s="338">
        <v>0.0</v>
      </c>
      <c r="AI39" s="339">
        <v>0.0</v>
      </c>
      <c r="AJ39" s="337">
        <v>0.0</v>
      </c>
      <c r="AK39" s="337">
        <v>0.0</v>
      </c>
      <c r="AL39" s="337">
        <v>0.0</v>
      </c>
      <c r="AM39" s="337">
        <v>0.0</v>
      </c>
      <c r="AN39" s="337">
        <v>0.0</v>
      </c>
      <c r="AO39" s="337">
        <v>0.0</v>
      </c>
      <c r="AP39" s="337">
        <v>0.0</v>
      </c>
      <c r="AQ39" s="337">
        <v>0.0</v>
      </c>
      <c r="AR39" s="337">
        <v>0.0</v>
      </c>
      <c r="AS39" s="337">
        <v>0.0</v>
      </c>
      <c r="AT39" s="338">
        <v>0.0</v>
      </c>
      <c r="AU39" s="339">
        <v>0.0</v>
      </c>
      <c r="AV39" s="340">
        <f t="shared" si="1"/>
        <v>2</v>
      </c>
      <c r="AW39" s="341">
        <v>131.21</v>
      </c>
      <c r="AX39" s="342">
        <f t="shared" si="2"/>
        <v>913.2216</v>
      </c>
      <c r="AY39" s="343">
        <f t="shared" si="3"/>
        <v>1826.4432</v>
      </c>
      <c r="AZ39" s="343">
        <f t="shared" si="4"/>
        <v>0</v>
      </c>
      <c r="BA39" s="343">
        <f t="shared" si="5"/>
        <v>0</v>
      </c>
      <c r="BB39" s="344">
        <f t="shared" si="6"/>
        <v>1826.4432</v>
      </c>
      <c r="BC39" s="345"/>
      <c r="BD39" s="345"/>
      <c r="BE39" s="346"/>
      <c r="BF39" s="347"/>
      <c r="BG39" s="348"/>
    </row>
    <row r="40" ht="15.75" customHeight="1">
      <c r="A40" s="307" t="s">
        <v>2706</v>
      </c>
      <c r="B40" s="308">
        <v>2.0</v>
      </c>
      <c r="C40" s="309" t="s">
        <v>2707</v>
      </c>
      <c r="D40" s="309" t="s">
        <v>23</v>
      </c>
      <c r="E40" s="309" t="s">
        <v>2722</v>
      </c>
      <c r="F40" s="309" t="s">
        <v>1763</v>
      </c>
      <c r="G40" s="310" t="s">
        <v>2723</v>
      </c>
      <c r="H40" s="310" t="s">
        <v>2749</v>
      </c>
      <c r="I40" s="311" t="s">
        <v>2049</v>
      </c>
      <c r="J40" s="312" t="s">
        <v>806</v>
      </c>
      <c r="K40" s="309" t="s">
        <v>25</v>
      </c>
      <c r="L40" s="313">
        <v>0.0</v>
      </c>
      <c r="M40" s="313">
        <v>0.0</v>
      </c>
      <c r="N40" s="313">
        <v>0.0</v>
      </c>
      <c r="O40" s="313">
        <v>0.0</v>
      </c>
      <c r="P40" s="313">
        <v>0.0</v>
      </c>
      <c r="Q40" s="313">
        <v>0.0</v>
      </c>
      <c r="R40" s="313">
        <v>0.0</v>
      </c>
      <c r="S40" s="313">
        <v>0.0</v>
      </c>
      <c r="T40" s="313">
        <v>0.0</v>
      </c>
      <c r="U40" s="313">
        <v>0.0</v>
      </c>
      <c r="V40" s="314">
        <v>2.0</v>
      </c>
      <c r="W40" s="315">
        <v>2.0</v>
      </c>
      <c r="X40" s="316">
        <v>0.0</v>
      </c>
      <c r="Y40" s="316">
        <v>0.0</v>
      </c>
      <c r="Z40" s="316">
        <v>0.0</v>
      </c>
      <c r="AA40" s="316">
        <v>0.0</v>
      </c>
      <c r="AB40" s="316">
        <v>0.0</v>
      </c>
      <c r="AC40" s="316">
        <v>0.0</v>
      </c>
      <c r="AD40" s="316">
        <v>0.0</v>
      </c>
      <c r="AE40" s="316">
        <v>0.0</v>
      </c>
      <c r="AF40" s="316">
        <v>0.0</v>
      </c>
      <c r="AG40" s="316">
        <v>0.0</v>
      </c>
      <c r="AH40" s="317">
        <v>0.0</v>
      </c>
      <c r="AI40" s="318">
        <v>0.0</v>
      </c>
      <c r="AJ40" s="316">
        <v>0.0</v>
      </c>
      <c r="AK40" s="316">
        <v>0.0</v>
      </c>
      <c r="AL40" s="316">
        <v>0.0</v>
      </c>
      <c r="AM40" s="316">
        <v>0.0</v>
      </c>
      <c r="AN40" s="316">
        <v>0.0</v>
      </c>
      <c r="AO40" s="316">
        <v>0.0</v>
      </c>
      <c r="AP40" s="316">
        <v>0.0</v>
      </c>
      <c r="AQ40" s="316">
        <v>0.0</v>
      </c>
      <c r="AR40" s="316">
        <v>0.0</v>
      </c>
      <c r="AS40" s="316">
        <v>0.0</v>
      </c>
      <c r="AT40" s="317">
        <v>0.0</v>
      </c>
      <c r="AU40" s="318">
        <v>0.0</v>
      </c>
      <c r="AV40" s="319">
        <f t="shared" si="1"/>
        <v>2</v>
      </c>
      <c r="AW40" s="320">
        <v>141.79</v>
      </c>
      <c r="AX40" s="321">
        <f t="shared" si="2"/>
        <v>986.8584</v>
      </c>
      <c r="AY40" s="349">
        <f t="shared" si="3"/>
        <v>1973.7168</v>
      </c>
      <c r="AZ40" s="349">
        <f t="shared" si="4"/>
        <v>0</v>
      </c>
      <c r="BA40" s="349">
        <f t="shared" si="5"/>
        <v>0</v>
      </c>
      <c r="BB40" s="350">
        <f t="shared" si="6"/>
        <v>1973.7168</v>
      </c>
      <c r="BC40" s="324"/>
      <c r="BD40" s="324"/>
      <c r="BE40" s="325"/>
      <c r="BF40" s="326"/>
      <c r="BG40" s="327"/>
    </row>
    <row r="41" ht="15.75" customHeight="1">
      <c r="A41" s="328" t="s">
        <v>2706</v>
      </c>
      <c r="B41" s="329">
        <v>2.0</v>
      </c>
      <c r="C41" s="330" t="s">
        <v>2707</v>
      </c>
      <c r="D41" s="330" t="s">
        <v>23</v>
      </c>
      <c r="E41" s="330" t="s">
        <v>2708</v>
      </c>
      <c r="F41" s="330" t="s">
        <v>1763</v>
      </c>
      <c r="G41" s="331" t="s">
        <v>2709</v>
      </c>
      <c r="H41" s="331" t="s">
        <v>2750</v>
      </c>
      <c r="I41" s="332" t="s">
        <v>2078</v>
      </c>
      <c r="J41" s="333" t="s">
        <v>561</v>
      </c>
      <c r="K41" s="330" t="s">
        <v>25</v>
      </c>
      <c r="L41" s="334">
        <v>0.0</v>
      </c>
      <c r="M41" s="334">
        <v>0.0</v>
      </c>
      <c r="N41" s="334">
        <v>0.0</v>
      </c>
      <c r="O41" s="334">
        <v>0.0</v>
      </c>
      <c r="P41" s="334">
        <v>0.0</v>
      </c>
      <c r="Q41" s="334">
        <v>0.0</v>
      </c>
      <c r="R41" s="334">
        <v>0.0</v>
      </c>
      <c r="S41" s="334">
        <v>0.0</v>
      </c>
      <c r="T41" s="334">
        <v>0.0</v>
      </c>
      <c r="U41" s="334">
        <v>0.0</v>
      </c>
      <c r="V41" s="335">
        <v>304.0</v>
      </c>
      <c r="W41" s="336">
        <v>304.0</v>
      </c>
      <c r="X41" s="337">
        <v>0.0</v>
      </c>
      <c r="Y41" s="337">
        <v>0.0</v>
      </c>
      <c r="Z41" s="337">
        <v>0.0</v>
      </c>
      <c r="AA41" s="337">
        <v>0.0</v>
      </c>
      <c r="AB41" s="337">
        <v>0.0</v>
      </c>
      <c r="AC41" s="337">
        <v>0.0</v>
      </c>
      <c r="AD41" s="337">
        <v>0.0</v>
      </c>
      <c r="AE41" s="337">
        <v>0.0</v>
      </c>
      <c r="AF41" s="337">
        <v>0.0</v>
      </c>
      <c r="AG41" s="337">
        <v>0.0</v>
      </c>
      <c r="AH41" s="338">
        <v>48.0</v>
      </c>
      <c r="AI41" s="339">
        <v>48.0</v>
      </c>
      <c r="AJ41" s="337">
        <v>0.0</v>
      </c>
      <c r="AK41" s="337">
        <v>0.0</v>
      </c>
      <c r="AL41" s="337">
        <v>0.0</v>
      </c>
      <c r="AM41" s="337">
        <v>0.0</v>
      </c>
      <c r="AN41" s="337">
        <v>0.0</v>
      </c>
      <c r="AO41" s="337">
        <v>0.0</v>
      </c>
      <c r="AP41" s="337">
        <v>0.0</v>
      </c>
      <c r="AQ41" s="337">
        <v>0.0</v>
      </c>
      <c r="AR41" s="337">
        <v>0.0</v>
      </c>
      <c r="AS41" s="337">
        <v>0.0</v>
      </c>
      <c r="AT41" s="338">
        <v>160.0</v>
      </c>
      <c r="AU41" s="339">
        <v>160.0</v>
      </c>
      <c r="AV41" s="340">
        <f t="shared" si="1"/>
        <v>512</v>
      </c>
      <c r="AW41" s="341">
        <v>15.04</v>
      </c>
      <c r="AX41" s="342">
        <f t="shared" si="2"/>
        <v>104.6784</v>
      </c>
      <c r="AY41" s="343">
        <f t="shared" si="3"/>
        <v>31822.2336</v>
      </c>
      <c r="AZ41" s="343">
        <f t="shared" si="4"/>
        <v>5024.5632</v>
      </c>
      <c r="BA41" s="343">
        <f t="shared" si="5"/>
        <v>16748.544</v>
      </c>
      <c r="BB41" s="344">
        <f t="shared" si="6"/>
        <v>53595.3408</v>
      </c>
      <c r="BC41" s="345"/>
      <c r="BD41" s="345"/>
      <c r="BE41" s="346"/>
      <c r="BF41" s="347"/>
      <c r="BG41" s="348"/>
    </row>
    <row r="42" ht="15.75" customHeight="1">
      <c r="A42" s="307" t="s">
        <v>2706</v>
      </c>
      <c r="B42" s="308">
        <v>2.0</v>
      </c>
      <c r="C42" s="309" t="s">
        <v>2707</v>
      </c>
      <c r="D42" s="309" t="s">
        <v>23</v>
      </c>
      <c r="E42" s="309" t="s">
        <v>2708</v>
      </c>
      <c r="F42" s="309" t="s">
        <v>1763</v>
      </c>
      <c r="G42" s="310" t="s">
        <v>2709</v>
      </c>
      <c r="H42" s="310" t="s">
        <v>2751</v>
      </c>
      <c r="I42" s="311" t="s">
        <v>2092</v>
      </c>
      <c r="J42" s="312" t="s">
        <v>301</v>
      </c>
      <c r="K42" s="309" t="s">
        <v>25</v>
      </c>
      <c r="L42" s="313">
        <v>0.0</v>
      </c>
      <c r="M42" s="313">
        <v>0.0</v>
      </c>
      <c r="N42" s="313">
        <v>0.0</v>
      </c>
      <c r="O42" s="313">
        <v>0.0</v>
      </c>
      <c r="P42" s="313">
        <v>0.0</v>
      </c>
      <c r="Q42" s="313">
        <v>0.0</v>
      </c>
      <c r="R42" s="313">
        <v>0.0</v>
      </c>
      <c r="S42" s="313">
        <v>0.0</v>
      </c>
      <c r="T42" s="313">
        <v>0.0</v>
      </c>
      <c r="U42" s="313">
        <v>0.0</v>
      </c>
      <c r="V42" s="314">
        <v>304.0</v>
      </c>
      <c r="W42" s="315">
        <v>304.0</v>
      </c>
      <c r="X42" s="316">
        <v>0.0</v>
      </c>
      <c r="Y42" s="316">
        <v>0.0</v>
      </c>
      <c r="Z42" s="316">
        <v>0.0</v>
      </c>
      <c r="AA42" s="316">
        <v>0.0</v>
      </c>
      <c r="AB42" s="316">
        <v>0.0</v>
      </c>
      <c r="AC42" s="316">
        <v>0.0</v>
      </c>
      <c r="AD42" s="316">
        <v>0.0</v>
      </c>
      <c r="AE42" s="316">
        <v>0.0</v>
      </c>
      <c r="AF42" s="316">
        <v>0.0</v>
      </c>
      <c r="AG42" s="316">
        <v>0.0</v>
      </c>
      <c r="AH42" s="317">
        <v>48.0</v>
      </c>
      <c r="AI42" s="318">
        <v>48.0</v>
      </c>
      <c r="AJ42" s="316">
        <v>0.0</v>
      </c>
      <c r="AK42" s="316">
        <v>0.0</v>
      </c>
      <c r="AL42" s="316">
        <v>0.0</v>
      </c>
      <c r="AM42" s="316">
        <v>0.0</v>
      </c>
      <c r="AN42" s="316">
        <v>0.0</v>
      </c>
      <c r="AO42" s="316">
        <v>0.0</v>
      </c>
      <c r="AP42" s="316">
        <v>0.0</v>
      </c>
      <c r="AQ42" s="316">
        <v>0.0</v>
      </c>
      <c r="AR42" s="316">
        <v>0.0</v>
      </c>
      <c r="AS42" s="316">
        <v>0.0</v>
      </c>
      <c r="AT42" s="317">
        <v>160.0</v>
      </c>
      <c r="AU42" s="318">
        <v>160.0</v>
      </c>
      <c r="AV42" s="319">
        <f t="shared" si="1"/>
        <v>512</v>
      </c>
      <c r="AW42" s="320">
        <v>9.31</v>
      </c>
      <c r="AX42" s="321">
        <f t="shared" si="2"/>
        <v>64.7976</v>
      </c>
      <c r="AY42" s="349">
        <f t="shared" si="3"/>
        <v>19698.4704</v>
      </c>
      <c r="AZ42" s="349">
        <f t="shared" si="4"/>
        <v>3110.2848</v>
      </c>
      <c r="BA42" s="349">
        <f t="shared" si="5"/>
        <v>10367.616</v>
      </c>
      <c r="BB42" s="350">
        <f t="shared" si="6"/>
        <v>33176.3712</v>
      </c>
      <c r="BC42" s="324"/>
      <c r="BD42" s="324"/>
      <c r="BE42" s="325"/>
      <c r="BF42" s="326"/>
      <c r="BG42" s="327"/>
    </row>
    <row r="43" ht="15.75" customHeight="1">
      <c r="A43" s="328" t="s">
        <v>2706</v>
      </c>
      <c r="B43" s="329">
        <v>2.0</v>
      </c>
      <c r="C43" s="330" t="s">
        <v>2707</v>
      </c>
      <c r="D43" s="330" t="s">
        <v>23</v>
      </c>
      <c r="E43" s="330" t="s">
        <v>2708</v>
      </c>
      <c r="F43" s="330" t="s">
        <v>1763</v>
      </c>
      <c r="G43" s="360" t="s">
        <v>2709</v>
      </c>
      <c r="H43" s="331" t="s">
        <v>2752</v>
      </c>
      <c r="I43" s="332" t="s">
        <v>2094</v>
      </c>
      <c r="J43" s="333" t="s">
        <v>24</v>
      </c>
      <c r="K43" s="330" t="s">
        <v>25</v>
      </c>
      <c r="L43" s="334">
        <v>0.0</v>
      </c>
      <c r="M43" s="334">
        <v>0.0</v>
      </c>
      <c r="N43" s="334">
        <v>0.0</v>
      </c>
      <c r="O43" s="334">
        <v>0.0</v>
      </c>
      <c r="P43" s="334">
        <v>0.0</v>
      </c>
      <c r="Q43" s="334">
        <v>0.0</v>
      </c>
      <c r="R43" s="334">
        <v>0.0</v>
      </c>
      <c r="S43" s="334">
        <v>0.0</v>
      </c>
      <c r="T43" s="334">
        <v>0.0</v>
      </c>
      <c r="U43" s="334">
        <v>0.0</v>
      </c>
      <c r="V43" s="335">
        <v>280.0</v>
      </c>
      <c r="W43" s="336">
        <v>280.0</v>
      </c>
      <c r="X43" s="337">
        <v>0.0</v>
      </c>
      <c r="Y43" s="337">
        <v>0.0</v>
      </c>
      <c r="Z43" s="337">
        <v>0.0</v>
      </c>
      <c r="AA43" s="337">
        <v>0.0</v>
      </c>
      <c r="AB43" s="337">
        <v>0.0</v>
      </c>
      <c r="AC43" s="337">
        <v>0.0</v>
      </c>
      <c r="AD43" s="337">
        <v>0.0</v>
      </c>
      <c r="AE43" s="337">
        <v>0.0</v>
      </c>
      <c r="AF43" s="337">
        <v>0.0</v>
      </c>
      <c r="AG43" s="337">
        <v>0.0</v>
      </c>
      <c r="AH43" s="338">
        <v>616.0</v>
      </c>
      <c r="AI43" s="339">
        <v>616.0</v>
      </c>
      <c r="AJ43" s="337">
        <v>0.0</v>
      </c>
      <c r="AK43" s="337">
        <v>0.0</v>
      </c>
      <c r="AL43" s="337">
        <v>0.0</v>
      </c>
      <c r="AM43" s="337">
        <v>0.0</v>
      </c>
      <c r="AN43" s="337">
        <v>0.0</v>
      </c>
      <c r="AO43" s="337">
        <v>0.0</v>
      </c>
      <c r="AP43" s="337">
        <v>0.0</v>
      </c>
      <c r="AQ43" s="337">
        <v>0.0</v>
      </c>
      <c r="AR43" s="337">
        <v>0.0</v>
      </c>
      <c r="AS43" s="337">
        <v>0.0</v>
      </c>
      <c r="AT43" s="338">
        <v>552.0</v>
      </c>
      <c r="AU43" s="339">
        <v>552.0</v>
      </c>
      <c r="AV43" s="340">
        <f t="shared" si="1"/>
        <v>1448</v>
      </c>
      <c r="AW43" s="341">
        <v>401.33</v>
      </c>
      <c r="AX43" s="342">
        <f t="shared" si="2"/>
        <v>2793.2568</v>
      </c>
      <c r="AY43" s="343">
        <f t="shared" si="3"/>
        <v>782111.904</v>
      </c>
      <c r="AZ43" s="343">
        <f t="shared" si="4"/>
        <v>1720646.189</v>
      </c>
      <c r="BA43" s="343">
        <f t="shared" si="5"/>
        <v>1541877.754</v>
      </c>
      <c r="BB43" s="344">
        <f t="shared" si="6"/>
        <v>4044635.846</v>
      </c>
      <c r="BC43" s="345"/>
      <c r="BD43" s="345"/>
      <c r="BE43" s="346"/>
      <c r="BF43" s="347"/>
      <c r="BG43" s="348"/>
    </row>
    <row r="44" ht="15.75" customHeight="1">
      <c r="A44" s="307" t="s">
        <v>2706</v>
      </c>
      <c r="B44" s="308">
        <v>2.0</v>
      </c>
      <c r="C44" s="309" t="s">
        <v>2707</v>
      </c>
      <c r="D44" s="309" t="s">
        <v>23</v>
      </c>
      <c r="E44" s="309" t="s">
        <v>2708</v>
      </c>
      <c r="F44" s="309" t="s">
        <v>1763</v>
      </c>
      <c r="G44" s="360" t="s">
        <v>2709</v>
      </c>
      <c r="H44" s="310" t="s">
        <v>2753</v>
      </c>
      <c r="I44" s="311" t="s">
        <v>2096</v>
      </c>
      <c r="J44" s="312" t="s">
        <v>31</v>
      </c>
      <c r="K44" s="309" t="s">
        <v>25</v>
      </c>
      <c r="L44" s="313">
        <v>0.0</v>
      </c>
      <c r="M44" s="313">
        <v>0.0</v>
      </c>
      <c r="N44" s="313">
        <v>0.0</v>
      </c>
      <c r="O44" s="313">
        <v>0.0</v>
      </c>
      <c r="P44" s="313">
        <v>0.0</v>
      </c>
      <c r="Q44" s="313">
        <v>0.0</v>
      </c>
      <c r="R44" s="313">
        <v>0.0</v>
      </c>
      <c r="S44" s="313">
        <v>0.0</v>
      </c>
      <c r="T44" s="313">
        <v>0.0</v>
      </c>
      <c r="U44" s="313">
        <v>0.0</v>
      </c>
      <c r="V44" s="314">
        <v>508.0</v>
      </c>
      <c r="W44" s="315">
        <v>508.0</v>
      </c>
      <c r="X44" s="316">
        <v>0.0</v>
      </c>
      <c r="Y44" s="316">
        <v>0.0</v>
      </c>
      <c r="Z44" s="316">
        <v>0.0</v>
      </c>
      <c r="AA44" s="316">
        <v>0.0</v>
      </c>
      <c r="AB44" s="316">
        <v>0.0</v>
      </c>
      <c r="AC44" s="316">
        <v>0.0</v>
      </c>
      <c r="AD44" s="316">
        <v>0.0</v>
      </c>
      <c r="AE44" s="316">
        <v>0.0</v>
      </c>
      <c r="AF44" s="316">
        <v>0.0</v>
      </c>
      <c r="AG44" s="316">
        <v>0.0</v>
      </c>
      <c r="AH44" s="317">
        <v>96.0</v>
      </c>
      <c r="AI44" s="318">
        <v>96.0</v>
      </c>
      <c r="AJ44" s="316">
        <v>0.0</v>
      </c>
      <c r="AK44" s="316">
        <v>0.0</v>
      </c>
      <c r="AL44" s="316">
        <v>0.0</v>
      </c>
      <c r="AM44" s="316">
        <v>0.0</v>
      </c>
      <c r="AN44" s="316">
        <v>0.0</v>
      </c>
      <c r="AO44" s="316">
        <v>0.0</v>
      </c>
      <c r="AP44" s="316">
        <v>0.0</v>
      </c>
      <c r="AQ44" s="316">
        <v>0.0</v>
      </c>
      <c r="AR44" s="316">
        <v>0.0</v>
      </c>
      <c r="AS44" s="316">
        <v>0.0</v>
      </c>
      <c r="AT44" s="317">
        <v>316.0</v>
      </c>
      <c r="AU44" s="318">
        <v>316.0</v>
      </c>
      <c r="AV44" s="319">
        <f t="shared" si="1"/>
        <v>920</v>
      </c>
      <c r="AW44" s="320">
        <v>317.23</v>
      </c>
      <c r="AX44" s="321">
        <f t="shared" si="2"/>
        <v>2207.9208</v>
      </c>
      <c r="AY44" s="349">
        <f t="shared" si="3"/>
        <v>1121623.766</v>
      </c>
      <c r="AZ44" s="349">
        <f t="shared" si="4"/>
        <v>211960.3968</v>
      </c>
      <c r="BA44" s="349">
        <f t="shared" si="5"/>
        <v>697702.9728</v>
      </c>
      <c r="BB44" s="350">
        <f t="shared" si="6"/>
        <v>2031287.136</v>
      </c>
      <c r="BC44" s="324"/>
      <c r="BD44" s="324"/>
      <c r="BE44" s="325"/>
      <c r="BF44" s="326"/>
      <c r="BG44" s="327"/>
    </row>
    <row r="45" ht="15.75" customHeight="1">
      <c r="A45" s="328" t="s">
        <v>2706</v>
      </c>
      <c r="B45" s="329">
        <v>2.0</v>
      </c>
      <c r="C45" s="330" t="s">
        <v>2707</v>
      </c>
      <c r="D45" s="330" t="s">
        <v>23</v>
      </c>
      <c r="E45" s="330" t="s">
        <v>2708</v>
      </c>
      <c r="F45" s="330" t="s">
        <v>1763</v>
      </c>
      <c r="G45" s="331" t="s">
        <v>2709</v>
      </c>
      <c r="H45" s="331" t="s">
        <v>2754</v>
      </c>
      <c r="I45" s="332" t="s">
        <v>2104</v>
      </c>
      <c r="J45" s="333" t="s">
        <v>228</v>
      </c>
      <c r="K45" s="330" t="s">
        <v>25</v>
      </c>
      <c r="L45" s="334">
        <v>0.0</v>
      </c>
      <c r="M45" s="334">
        <v>0.0</v>
      </c>
      <c r="N45" s="334">
        <v>0.0</v>
      </c>
      <c r="O45" s="334">
        <v>0.0</v>
      </c>
      <c r="P45" s="334">
        <v>0.0</v>
      </c>
      <c r="Q45" s="334">
        <v>0.0</v>
      </c>
      <c r="R45" s="334">
        <v>0.0</v>
      </c>
      <c r="S45" s="334">
        <v>0.0</v>
      </c>
      <c r="T45" s="334">
        <v>0.0</v>
      </c>
      <c r="U45" s="334">
        <v>0.0</v>
      </c>
      <c r="V45" s="335">
        <v>508.0</v>
      </c>
      <c r="W45" s="336">
        <v>508.0</v>
      </c>
      <c r="X45" s="337">
        <v>0.0</v>
      </c>
      <c r="Y45" s="337">
        <v>0.0</v>
      </c>
      <c r="Z45" s="337">
        <v>0.0</v>
      </c>
      <c r="AA45" s="337">
        <v>0.0</v>
      </c>
      <c r="AB45" s="337">
        <v>0.0</v>
      </c>
      <c r="AC45" s="337">
        <v>0.0</v>
      </c>
      <c r="AD45" s="337">
        <v>0.0</v>
      </c>
      <c r="AE45" s="337">
        <v>0.0</v>
      </c>
      <c r="AF45" s="337">
        <v>0.0</v>
      </c>
      <c r="AG45" s="337">
        <v>0.0</v>
      </c>
      <c r="AH45" s="338">
        <v>96.0</v>
      </c>
      <c r="AI45" s="339">
        <v>96.0</v>
      </c>
      <c r="AJ45" s="337">
        <v>0.0</v>
      </c>
      <c r="AK45" s="337">
        <v>0.0</v>
      </c>
      <c r="AL45" s="337">
        <v>0.0</v>
      </c>
      <c r="AM45" s="337">
        <v>0.0</v>
      </c>
      <c r="AN45" s="337">
        <v>0.0</v>
      </c>
      <c r="AO45" s="337">
        <v>0.0</v>
      </c>
      <c r="AP45" s="337">
        <v>0.0</v>
      </c>
      <c r="AQ45" s="337">
        <v>0.0</v>
      </c>
      <c r="AR45" s="337">
        <v>0.0</v>
      </c>
      <c r="AS45" s="337">
        <v>0.0</v>
      </c>
      <c r="AT45" s="338">
        <v>316.0</v>
      </c>
      <c r="AU45" s="339">
        <v>316.0</v>
      </c>
      <c r="AV45" s="340">
        <f t="shared" si="1"/>
        <v>920</v>
      </c>
      <c r="AW45" s="341">
        <v>38.57</v>
      </c>
      <c r="AX45" s="342">
        <f t="shared" si="2"/>
        <v>268.4472</v>
      </c>
      <c r="AY45" s="343">
        <f t="shared" si="3"/>
        <v>136371.1776</v>
      </c>
      <c r="AZ45" s="343">
        <f t="shared" si="4"/>
        <v>25770.9312</v>
      </c>
      <c r="BA45" s="343">
        <f t="shared" si="5"/>
        <v>84829.3152</v>
      </c>
      <c r="BB45" s="344">
        <f t="shared" si="6"/>
        <v>246971.424</v>
      </c>
      <c r="BC45" s="345"/>
      <c r="BD45" s="345"/>
      <c r="BE45" s="346"/>
      <c r="BF45" s="347"/>
      <c r="BG45" s="348"/>
    </row>
    <row r="46" ht="15.75" customHeight="1">
      <c r="A46" s="307" t="s">
        <v>2706</v>
      </c>
      <c r="B46" s="308">
        <v>2.0</v>
      </c>
      <c r="C46" s="309" t="s">
        <v>2707</v>
      </c>
      <c r="D46" s="309" t="s">
        <v>23</v>
      </c>
      <c r="E46" s="309" t="s">
        <v>2708</v>
      </c>
      <c r="F46" s="309" t="s">
        <v>1763</v>
      </c>
      <c r="G46" s="310" t="s">
        <v>2709</v>
      </c>
      <c r="H46" s="310" t="s">
        <v>2755</v>
      </c>
      <c r="I46" s="311" t="s">
        <v>2106</v>
      </c>
      <c r="J46" s="312" t="s">
        <v>147</v>
      </c>
      <c r="K46" s="309" t="s">
        <v>25</v>
      </c>
      <c r="L46" s="313">
        <v>0.0</v>
      </c>
      <c r="M46" s="313">
        <v>0.0</v>
      </c>
      <c r="N46" s="313">
        <v>0.0</v>
      </c>
      <c r="O46" s="313">
        <v>0.0</v>
      </c>
      <c r="P46" s="313">
        <v>0.0</v>
      </c>
      <c r="Q46" s="313">
        <v>0.0</v>
      </c>
      <c r="R46" s="313">
        <v>0.0</v>
      </c>
      <c r="S46" s="313">
        <v>0.0</v>
      </c>
      <c r="T46" s="313">
        <v>0.0</v>
      </c>
      <c r="U46" s="313">
        <v>0.0</v>
      </c>
      <c r="V46" s="314">
        <v>216.0</v>
      </c>
      <c r="W46" s="315">
        <v>216.0</v>
      </c>
      <c r="X46" s="316">
        <v>0.0</v>
      </c>
      <c r="Y46" s="316">
        <v>0.0</v>
      </c>
      <c r="Z46" s="316">
        <v>0.0</v>
      </c>
      <c r="AA46" s="316">
        <v>0.0</v>
      </c>
      <c r="AB46" s="316">
        <v>0.0</v>
      </c>
      <c r="AC46" s="316">
        <v>0.0</v>
      </c>
      <c r="AD46" s="316">
        <v>0.0</v>
      </c>
      <c r="AE46" s="316">
        <v>0.0</v>
      </c>
      <c r="AF46" s="316">
        <v>0.0</v>
      </c>
      <c r="AG46" s="316">
        <v>0.0</v>
      </c>
      <c r="AH46" s="317">
        <v>48.0</v>
      </c>
      <c r="AI46" s="318">
        <v>48.0</v>
      </c>
      <c r="AJ46" s="316">
        <v>0.0</v>
      </c>
      <c r="AK46" s="316">
        <v>0.0</v>
      </c>
      <c r="AL46" s="316">
        <v>0.0</v>
      </c>
      <c r="AM46" s="316">
        <v>0.0</v>
      </c>
      <c r="AN46" s="316">
        <v>0.0</v>
      </c>
      <c r="AO46" s="316">
        <v>0.0</v>
      </c>
      <c r="AP46" s="316">
        <v>0.0</v>
      </c>
      <c r="AQ46" s="316">
        <v>0.0</v>
      </c>
      <c r="AR46" s="316">
        <v>0.0</v>
      </c>
      <c r="AS46" s="316">
        <v>0.0</v>
      </c>
      <c r="AT46" s="317">
        <v>140.0</v>
      </c>
      <c r="AU46" s="318">
        <v>140.0</v>
      </c>
      <c r="AV46" s="319">
        <f t="shared" si="1"/>
        <v>404</v>
      </c>
      <c r="AW46" s="320">
        <v>156.21</v>
      </c>
      <c r="AX46" s="321">
        <f t="shared" si="2"/>
        <v>1087.2216</v>
      </c>
      <c r="AY46" s="349">
        <f t="shared" si="3"/>
        <v>234839.8656</v>
      </c>
      <c r="AZ46" s="349">
        <f t="shared" si="4"/>
        <v>52186.6368</v>
      </c>
      <c r="BA46" s="349">
        <f t="shared" si="5"/>
        <v>152211.024</v>
      </c>
      <c r="BB46" s="350">
        <f t="shared" si="6"/>
        <v>439237.5264</v>
      </c>
      <c r="BC46" s="324"/>
      <c r="BD46" s="324"/>
      <c r="BE46" s="325"/>
      <c r="BF46" s="326"/>
      <c r="BG46" s="327"/>
    </row>
    <row r="47" ht="15.75" customHeight="1">
      <c r="A47" s="328" t="s">
        <v>2706</v>
      </c>
      <c r="B47" s="329">
        <v>2.0</v>
      </c>
      <c r="C47" s="330" t="s">
        <v>2707</v>
      </c>
      <c r="D47" s="330" t="s">
        <v>23</v>
      </c>
      <c r="E47" s="330" t="s">
        <v>2708</v>
      </c>
      <c r="F47" s="330" t="s">
        <v>1763</v>
      </c>
      <c r="G47" s="331" t="s">
        <v>2709</v>
      </c>
      <c r="H47" s="331" t="s">
        <v>2756</v>
      </c>
      <c r="I47" s="332" t="s">
        <v>2114</v>
      </c>
      <c r="J47" s="333" t="s">
        <v>87</v>
      </c>
      <c r="K47" s="330" t="s">
        <v>25</v>
      </c>
      <c r="L47" s="334">
        <v>0.0</v>
      </c>
      <c r="M47" s="334">
        <v>0.0</v>
      </c>
      <c r="N47" s="334">
        <v>0.0</v>
      </c>
      <c r="O47" s="334">
        <v>0.0</v>
      </c>
      <c r="P47" s="334">
        <v>0.0</v>
      </c>
      <c r="Q47" s="334">
        <v>0.0</v>
      </c>
      <c r="R47" s="334">
        <v>0.0</v>
      </c>
      <c r="S47" s="334">
        <v>0.0</v>
      </c>
      <c r="T47" s="334">
        <v>0.0</v>
      </c>
      <c r="U47" s="334">
        <v>0.0</v>
      </c>
      <c r="V47" s="335">
        <v>120.0</v>
      </c>
      <c r="W47" s="336">
        <v>120.0</v>
      </c>
      <c r="X47" s="337">
        <v>0.0</v>
      </c>
      <c r="Y47" s="337">
        <v>0.0</v>
      </c>
      <c r="Z47" s="337">
        <v>0.0</v>
      </c>
      <c r="AA47" s="337">
        <v>0.0</v>
      </c>
      <c r="AB47" s="337">
        <v>0.0</v>
      </c>
      <c r="AC47" s="337">
        <v>0.0</v>
      </c>
      <c r="AD47" s="337">
        <v>0.0</v>
      </c>
      <c r="AE47" s="337">
        <v>0.0</v>
      </c>
      <c r="AF47" s="337">
        <v>0.0</v>
      </c>
      <c r="AG47" s="337">
        <v>0.0</v>
      </c>
      <c r="AH47" s="338">
        <v>192.0</v>
      </c>
      <c r="AI47" s="339">
        <v>192.0</v>
      </c>
      <c r="AJ47" s="337">
        <v>0.0</v>
      </c>
      <c r="AK47" s="337">
        <v>0.0</v>
      </c>
      <c r="AL47" s="337">
        <v>0.0</v>
      </c>
      <c r="AM47" s="337">
        <v>0.0</v>
      </c>
      <c r="AN47" s="337">
        <v>0.0</v>
      </c>
      <c r="AO47" s="337">
        <v>0.0</v>
      </c>
      <c r="AP47" s="337">
        <v>0.0</v>
      </c>
      <c r="AQ47" s="337">
        <v>0.0</v>
      </c>
      <c r="AR47" s="337">
        <v>0.0</v>
      </c>
      <c r="AS47" s="337">
        <v>0.0</v>
      </c>
      <c r="AT47" s="338">
        <v>180.0</v>
      </c>
      <c r="AU47" s="339">
        <v>180.0</v>
      </c>
      <c r="AV47" s="340">
        <f t="shared" si="1"/>
        <v>492</v>
      </c>
      <c r="AW47" s="341">
        <v>225.16</v>
      </c>
      <c r="AX47" s="342">
        <f t="shared" si="2"/>
        <v>1567.1136</v>
      </c>
      <c r="AY47" s="343">
        <f t="shared" si="3"/>
        <v>188053.632</v>
      </c>
      <c r="AZ47" s="343">
        <f t="shared" si="4"/>
        <v>300885.8112</v>
      </c>
      <c r="BA47" s="343">
        <f t="shared" si="5"/>
        <v>282080.448</v>
      </c>
      <c r="BB47" s="344">
        <f t="shared" si="6"/>
        <v>771019.8912</v>
      </c>
      <c r="BC47" s="345"/>
      <c r="BD47" s="345"/>
      <c r="BE47" s="346"/>
      <c r="BF47" s="347"/>
      <c r="BG47" s="348"/>
    </row>
    <row r="48" ht="15.75" customHeight="1">
      <c r="A48" s="307" t="s">
        <v>2706</v>
      </c>
      <c r="B48" s="308">
        <v>2.0</v>
      </c>
      <c r="C48" s="309" t="s">
        <v>2707</v>
      </c>
      <c r="D48" s="309" t="s">
        <v>23</v>
      </c>
      <c r="E48" s="309" t="s">
        <v>2708</v>
      </c>
      <c r="F48" s="309" t="s">
        <v>1763</v>
      </c>
      <c r="G48" s="310" t="s">
        <v>2709</v>
      </c>
      <c r="H48" s="310" t="s">
        <v>2757</v>
      </c>
      <c r="I48" s="311" t="s">
        <v>2120</v>
      </c>
      <c r="J48" s="312" t="s">
        <v>277</v>
      </c>
      <c r="K48" s="309" t="s">
        <v>25</v>
      </c>
      <c r="L48" s="313">
        <v>0.0</v>
      </c>
      <c r="M48" s="313">
        <v>0.0</v>
      </c>
      <c r="N48" s="313">
        <v>0.0</v>
      </c>
      <c r="O48" s="313">
        <v>0.0</v>
      </c>
      <c r="P48" s="313">
        <v>0.0</v>
      </c>
      <c r="Q48" s="313">
        <v>0.0</v>
      </c>
      <c r="R48" s="313">
        <v>0.0</v>
      </c>
      <c r="S48" s="313">
        <v>0.0</v>
      </c>
      <c r="T48" s="313">
        <v>0.0</v>
      </c>
      <c r="U48" s="313">
        <v>0.0</v>
      </c>
      <c r="V48" s="314">
        <v>308.0</v>
      </c>
      <c r="W48" s="315">
        <v>308.0</v>
      </c>
      <c r="X48" s="316">
        <v>0.0</v>
      </c>
      <c r="Y48" s="316">
        <v>0.0</v>
      </c>
      <c r="Z48" s="316">
        <v>0.0</v>
      </c>
      <c r="AA48" s="316">
        <v>0.0</v>
      </c>
      <c r="AB48" s="316">
        <v>0.0</v>
      </c>
      <c r="AC48" s="316">
        <v>0.0</v>
      </c>
      <c r="AD48" s="316">
        <v>0.0</v>
      </c>
      <c r="AE48" s="316">
        <v>0.0</v>
      </c>
      <c r="AF48" s="316">
        <v>0.0</v>
      </c>
      <c r="AG48" s="316">
        <v>0.0</v>
      </c>
      <c r="AH48" s="317">
        <v>36.0</v>
      </c>
      <c r="AI48" s="318">
        <v>36.0</v>
      </c>
      <c r="AJ48" s="316">
        <v>0.0</v>
      </c>
      <c r="AK48" s="316">
        <v>0.0</v>
      </c>
      <c r="AL48" s="316">
        <v>0.0</v>
      </c>
      <c r="AM48" s="316">
        <v>0.0</v>
      </c>
      <c r="AN48" s="316">
        <v>0.0</v>
      </c>
      <c r="AO48" s="316">
        <v>0.0</v>
      </c>
      <c r="AP48" s="316">
        <v>0.0</v>
      </c>
      <c r="AQ48" s="316">
        <v>0.0</v>
      </c>
      <c r="AR48" s="316">
        <v>0.0</v>
      </c>
      <c r="AS48" s="316">
        <v>0.0</v>
      </c>
      <c r="AT48" s="317">
        <v>160.0</v>
      </c>
      <c r="AU48" s="318">
        <v>160.0</v>
      </c>
      <c r="AV48" s="319">
        <f t="shared" si="1"/>
        <v>504</v>
      </c>
      <c r="AW48" s="320">
        <v>53.07</v>
      </c>
      <c r="AX48" s="321">
        <f t="shared" si="2"/>
        <v>369.3672</v>
      </c>
      <c r="AY48" s="349">
        <f t="shared" si="3"/>
        <v>113765.0976</v>
      </c>
      <c r="AZ48" s="349">
        <f t="shared" si="4"/>
        <v>13297.2192</v>
      </c>
      <c r="BA48" s="349">
        <f t="shared" si="5"/>
        <v>59098.752</v>
      </c>
      <c r="BB48" s="350">
        <f t="shared" si="6"/>
        <v>186161.0688</v>
      </c>
      <c r="BC48" s="324"/>
      <c r="BD48" s="324"/>
      <c r="BE48" s="325"/>
      <c r="BF48" s="326"/>
      <c r="BG48" s="327"/>
    </row>
    <row r="49" ht="15.75" customHeight="1">
      <c r="A49" s="328" t="s">
        <v>2706</v>
      </c>
      <c r="B49" s="329">
        <v>2.0</v>
      </c>
      <c r="C49" s="330" t="s">
        <v>2707</v>
      </c>
      <c r="D49" s="330" t="s">
        <v>23</v>
      </c>
      <c r="E49" s="330" t="s">
        <v>2708</v>
      </c>
      <c r="F49" s="330" t="s">
        <v>1763</v>
      </c>
      <c r="G49" s="331" t="s">
        <v>2709</v>
      </c>
      <c r="H49" s="361"/>
      <c r="I49" s="332" t="s">
        <v>2122</v>
      </c>
      <c r="J49" s="333" t="s">
        <v>723</v>
      </c>
      <c r="K49" s="330" t="s">
        <v>25</v>
      </c>
      <c r="L49" s="334">
        <v>0.0</v>
      </c>
      <c r="M49" s="334">
        <v>0.0</v>
      </c>
      <c r="N49" s="334">
        <v>0.0</v>
      </c>
      <c r="O49" s="334">
        <v>0.0</v>
      </c>
      <c r="P49" s="334">
        <v>0.0</v>
      </c>
      <c r="Q49" s="334">
        <v>0.0</v>
      </c>
      <c r="R49" s="334">
        <v>0.0</v>
      </c>
      <c r="S49" s="334">
        <v>0.0</v>
      </c>
      <c r="T49" s="334">
        <v>0.0</v>
      </c>
      <c r="U49" s="334">
        <v>0.0</v>
      </c>
      <c r="V49" s="335">
        <v>40.0</v>
      </c>
      <c r="W49" s="336">
        <v>40.0</v>
      </c>
      <c r="X49" s="337">
        <v>0.0</v>
      </c>
      <c r="Y49" s="337">
        <v>0.0</v>
      </c>
      <c r="Z49" s="337">
        <v>0.0</v>
      </c>
      <c r="AA49" s="337">
        <v>0.0</v>
      </c>
      <c r="AB49" s="337">
        <v>0.0</v>
      </c>
      <c r="AC49" s="337">
        <v>0.0</v>
      </c>
      <c r="AD49" s="337">
        <v>0.0</v>
      </c>
      <c r="AE49" s="337">
        <v>0.0</v>
      </c>
      <c r="AF49" s="337">
        <v>0.0</v>
      </c>
      <c r="AG49" s="337">
        <v>0.0</v>
      </c>
      <c r="AH49" s="338">
        <v>32.0</v>
      </c>
      <c r="AI49" s="339">
        <v>32.0</v>
      </c>
      <c r="AJ49" s="337">
        <v>0.0</v>
      </c>
      <c r="AK49" s="337">
        <v>0.0</v>
      </c>
      <c r="AL49" s="337">
        <v>0.0</v>
      </c>
      <c r="AM49" s="337">
        <v>0.0</v>
      </c>
      <c r="AN49" s="337">
        <v>0.0</v>
      </c>
      <c r="AO49" s="337">
        <v>0.0</v>
      </c>
      <c r="AP49" s="337">
        <v>0.0</v>
      </c>
      <c r="AQ49" s="337">
        <v>0.0</v>
      </c>
      <c r="AR49" s="337">
        <v>0.0</v>
      </c>
      <c r="AS49" s="337">
        <v>0.0</v>
      </c>
      <c r="AT49" s="338">
        <v>16.0</v>
      </c>
      <c r="AU49" s="339">
        <v>16.0</v>
      </c>
      <c r="AV49" s="340">
        <f t="shared" si="1"/>
        <v>88</v>
      </c>
      <c r="AW49" s="341">
        <v>72.41</v>
      </c>
      <c r="AX49" s="342">
        <f t="shared" si="2"/>
        <v>503.9736</v>
      </c>
      <c r="AY49" s="343">
        <f t="shared" si="3"/>
        <v>20158.944</v>
      </c>
      <c r="AZ49" s="343">
        <f t="shared" si="4"/>
        <v>16127.1552</v>
      </c>
      <c r="BA49" s="343">
        <f t="shared" si="5"/>
        <v>8063.5776</v>
      </c>
      <c r="BB49" s="344">
        <f t="shared" si="6"/>
        <v>44349.6768</v>
      </c>
      <c r="BC49" s="345"/>
      <c r="BD49" s="345"/>
      <c r="BE49" s="346"/>
      <c r="BF49" s="347"/>
      <c r="BG49" s="348"/>
    </row>
    <row r="50" ht="15.75" customHeight="1">
      <c r="A50" s="307" t="s">
        <v>2706</v>
      </c>
      <c r="B50" s="308">
        <v>2.0</v>
      </c>
      <c r="C50" s="309" t="s">
        <v>2707</v>
      </c>
      <c r="D50" s="309" t="s">
        <v>23</v>
      </c>
      <c r="E50" s="309" t="s">
        <v>2708</v>
      </c>
      <c r="F50" s="309" t="s">
        <v>1763</v>
      </c>
      <c r="G50" s="310" t="s">
        <v>2709</v>
      </c>
      <c r="H50" s="310" t="s">
        <v>2758</v>
      </c>
      <c r="I50" s="311" t="s">
        <v>2140</v>
      </c>
      <c r="J50" s="312" t="s">
        <v>202</v>
      </c>
      <c r="K50" s="309" t="s">
        <v>25</v>
      </c>
      <c r="L50" s="313">
        <v>0.0</v>
      </c>
      <c r="M50" s="313">
        <v>0.0</v>
      </c>
      <c r="N50" s="313">
        <v>0.0</v>
      </c>
      <c r="O50" s="313">
        <v>0.0</v>
      </c>
      <c r="P50" s="313">
        <v>0.0</v>
      </c>
      <c r="Q50" s="313">
        <v>0.0</v>
      </c>
      <c r="R50" s="313">
        <v>0.0</v>
      </c>
      <c r="S50" s="313">
        <v>0.0</v>
      </c>
      <c r="T50" s="313">
        <v>0.0</v>
      </c>
      <c r="U50" s="313">
        <v>0.0</v>
      </c>
      <c r="V50" s="314">
        <v>256.0</v>
      </c>
      <c r="W50" s="315">
        <v>256.0</v>
      </c>
      <c r="X50" s="316">
        <v>0.0</v>
      </c>
      <c r="Y50" s="316">
        <v>0.0</v>
      </c>
      <c r="Z50" s="316">
        <v>0.0</v>
      </c>
      <c r="AA50" s="316">
        <v>0.0</v>
      </c>
      <c r="AB50" s="316">
        <v>0.0</v>
      </c>
      <c r="AC50" s="316">
        <v>0.0</v>
      </c>
      <c r="AD50" s="316">
        <v>0.0</v>
      </c>
      <c r="AE50" s="316">
        <v>0.0</v>
      </c>
      <c r="AF50" s="316">
        <v>0.0</v>
      </c>
      <c r="AG50" s="316">
        <v>0.0</v>
      </c>
      <c r="AH50" s="317">
        <v>324.0</v>
      </c>
      <c r="AI50" s="318">
        <v>324.0</v>
      </c>
      <c r="AJ50" s="316">
        <v>0.0</v>
      </c>
      <c r="AK50" s="316">
        <v>0.0</v>
      </c>
      <c r="AL50" s="316">
        <v>0.0</v>
      </c>
      <c r="AM50" s="316">
        <v>0.0</v>
      </c>
      <c r="AN50" s="316">
        <v>0.0</v>
      </c>
      <c r="AO50" s="316">
        <v>0.0</v>
      </c>
      <c r="AP50" s="316">
        <v>0.0</v>
      </c>
      <c r="AQ50" s="316">
        <v>0.0</v>
      </c>
      <c r="AR50" s="316">
        <v>0.0</v>
      </c>
      <c r="AS50" s="316">
        <v>0.0</v>
      </c>
      <c r="AT50" s="317">
        <v>324.0</v>
      </c>
      <c r="AU50" s="318">
        <v>324.0</v>
      </c>
      <c r="AV50" s="319">
        <f t="shared" si="1"/>
        <v>904</v>
      </c>
      <c r="AW50" s="320">
        <v>54.3</v>
      </c>
      <c r="AX50" s="321">
        <f t="shared" si="2"/>
        <v>377.928</v>
      </c>
      <c r="AY50" s="349">
        <f t="shared" si="3"/>
        <v>96749.568</v>
      </c>
      <c r="AZ50" s="349">
        <f t="shared" si="4"/>
        <v>122448.672</v>
      </c>
      <c r="BA50" s="349">
        <f t="shared" si="5"/>
        <v>122448.672</v>
      </c>
      <c r="BB50" s="350">
        <f t="shared" si="6"/>
        <v>341646.912</v>
      </c>
      <c r="BC50" s="324"/>
      <c r="BD50" s="324"/>
      <c r="BE50" s="325"/>
      <c r="BF50" s="326"/>
      <c r="BG50" s="327"/>
    </row>
    <row r="51" ht="15.75" customHeight="1">
      <c r="A51" s="328" t="s">
        <v>2706</v>
      </c>
      <c r="B51" s="329">
        <v>2.0</v>
      </c>
      <c r="C51" s="330" t="s">
        <v>2707</v>
      </c>
      <c r="D51" s="330" t="s">
        <v>23</v>
      </c>
      <c r="E51" s="330" t="s">
        <v>2708</v>
      </c>
      <c r="F51" s="330" t="s">
        <v>1763</v>
      </c>
      <c r="G51" s="331" t="s">
        <v>2709</v>
      </c>
      <c r="H51" s="331" t="s">
        <v>2759</v>
      </c>
      <c r="I51" s="332" t="s">
        <v>2145</v>
      </c>
      <c r="J51" s="333" t="s">
        <v>37</v>
      </c>
      <c r="K51" s="330" t="s">
        <v>25</v>
      </c>
      <c r="L51" s="334">
        <v>0.0</v>
      </c>
      <c r="M51" s="334">
        <v>0.0</v>
      </c>
      <c r="N51" s="334">
        <v>0.0</v>
      </c>
      <c r="O51" s="334">
        <v>0.0</v>
      </c>
      <c r="P51" s="334">
        <v>0.0</v>
      </c>
      <c r="Q51" s="334">
        <v>0.0</v>
      </c>
      <c r="R51" s="334">
        <v>0.0</v>
      </c>
      <c r="S51" s="334">
        <v>0.0</v>
      </c>
      <c r="T51" s="334">
        <v>0.0</v>
      </c>
      <c r="U51" s="334">
        <v>0.0</v>
      </c>
      <c r="V51" s="335">
        <v>284.0</v>
      </c>
      <c r="W51" s="336">
        <v>284.0</v>
      </c>
      <c r="X51" s="337">
        <v>0.0</v>
      </c>
      <c r="Y51" s="337">
        <v>0.0</v>
      </c>
      <c r="Z51" s="337">
        <v>0.0</v>
      </c>
      <c r="AA51" s="337">
        <v>0.0</v>
      </c>
      <c r="AB51" s="337">
        <v>0.0</v>
      </c>
      <c r="AC51" s="337">
        <v>0.0</v>
      </c>
      <c r="AD51" s="337">
        <v>0.0</v>
      </c>
      <c r="AE51" s="337">
        <v>0.0</v>
      </c>
      <c r="AF51" s="337">
        <v>0.0</v>
      </c>
      <c r="AG51" s="337">
        <v>0.0</v>
      </c>
      <c r="AH51" s="338">
        <v>260.0</v>
      </c>
      <c r="AI51" s="339">
        <v>260.0</v>
      </c>
      <c r="AJ51" s="337">
        <v>0.0</v>
      </c>
      <c r="AK51" s="337">
        <v>0.0</v>
      </c>
      <c r="AL51" s="337">
        <v>0.0</v>
      </c>
      <c r="AM51" s="337">
        <v>0.0</v>
      </c>
      <c r="AN51" s="337">
        <v>0.0</v>
      </c>
      <c r="AO51" s="337">
        <v>0.0</v>
      </c>
      <c r="AP51" s="337">
        <v>0.0</v>
      </c>
      <c r="AQ51" s="337">
        <v>0.0</v>
      </c>
      <c r="AR51" s="337">
        <v>0.0</v>
      </c>
      <c r="AS51" s="337">
        <v>0.0</v>
      </c>
      <c r="AT51" s="338">
        <v>500.0</v>
      </c>
      <c r="AU51" s="339">
        <v>500.0</v>
      </c>
      <c r="AV51" s="340">
        <f t="shared" si="1"/>
        <v>1044</v>
      </c>
      <c r="AW51" s="341">
        <v>62.07</v>
      </c>
      <c r="AX51" s="342">
        <f t="shared" si="2"/>
        <v>432.0072</v>
      </c>
      <c r="AY51" s="343">
        <f t="shared" si="3"/>
        <v>122690.0448</v>
      </c>
      <c r="AZ51" s="343">
        <f t="shared" si="4"/>
        <v>112321.872</v>
      </c>
      <c r="BA51" s="343">
        <f t="shared" si="5"/>
        <v>216003.6</v>
      </c>
      <c r="BB51" s="344">
        <f t="shared" si="6"/>
        <v>451015.5168</v>
      </c>
      <c r="BC51" s="345"/>
      <c r="BD51" s="345"/>
      <c r="BE51" s="346"/>
      <c r="BF51" s="347"/>
      <c r="BG51" s="348"/>
    </row>
    <row r="52" ht="15.75" customHeight="1">
      <c r="A52" s="307" t="s">
        <v>2706</v>
      </c>
      <c r="B52" s="308">
        <v>2.0</v>
      </c>
      <c r="C52" s="309" t="s">
        <v>2707</v>
      </c>
      <c r="D52" s="309" t="s">
        <v>23</v>
      </c>
      <c r="E52" s="309" t="s">
        <v>2708</v>
      </c>
      <c r="F52" s="309" t="s">
        <v>1763</v>
      </c>
      <c r="G52" s="310" t="s">
        <v>2709</v>
      </c>
      <c r="H52" s="310" t="s">
        <v>2760</v>
      </c>
      <c r="I52" s="311" t="s">
        <v>2146</v>
      </c>
      <c r="J52" s="312" t="s">
        <v>130</v>
      </c>
      <c r="K52" s="309" t="s">
        <v>25</v>
      </c>
      <c r="L52" s="313">
        <v>0.0</v>
      </c>
      <c r="M52" s="313">
        <v>0.0</v>
      </c>
      <c r="N52" s="313">
        <v>0.0</v>
      </c>
      <c r="O52" s="313">
        <v>0.0</v>
      </c>
      <c r="P52" s="313">
        <v>0.0</v>
      </c>
      <c r="Q52" s="313">
        <v>0.0</v>
      </c>
      <c r="R52" s="313">
        <v>0.0</v>
      </c>
      <c r="S52" s="313">
        <v>0.0</v>
      </c>
      <c r="T52" s="313">
        <v>0.0</v>
      </c>
      <c r="U52" s="313">
        <v>0.0</v>
      </c>
      <c r="V52" s="357">
        <v>1016.0</v>
      </c>
      <c r="W52" s="315">
        <v>1016.0</v>
      </c>
      <c r="X52" s="316">
        <v>0.0</v>
      </c>
      <c r="Y52" s="316">
        <v>0.0</v>
      </c>
      <c r="Z52" s="316">
        <v>0.0</v>
      </c>
      <c r="AA52" s="316">
        <v>0.0</v>
      </c>
      <c r="AB52" s="316">
        <v>0.0</v>
      </c>
      <c r="AC52" s="316">
        <v>0.0</v>
      </c>
      <c r="AD52" s="316">
        <v>0.0</v>
      </c>
      <c r="AE52" s="316">
        <v>0.0</v>
      </c>
      <c r="AF52" s="316">
        <v>0.0</v>
      </c>
      <c r="AG52" s="316">
        <v>0.0</v>
      </c>
      <c r="AH52" s="317">
        <v>192.0</v>
      </c>
      <c r="AI52" s="318">
        <v>192.0</v>
      </c>
      <c r="AJ52" s="316">
        <v>0.0</v>
      </c>
      <c r="AK52" s="316">
        <v>0.0</v>
      </c>
      <c r="AL52" s="316">
        <v>0.0</v>
      </c>
      <c r="AM52" s="316">
        <v>0.0</v>
      </c>
      <c r="AN52" s="316">
        <v>0.0</v>
      </c>
      <c r="AO52" s="316">
        <v>0.0</v>
      </c>
      <c r="AP52" s="316">
        <v>0.0</v>
      </c>
      <c r="AQ52" s="316">
        <v>0.0</v>
      </c>
      <c r="AR52" s="316">
        <v>0.0</v>
      </c>
      <c r="AS52" s="316">
        <v>0.0</v>
      </c>
      <c r="AT52" s="317">
        <v>632.0</v>
      </c>
      <c r="AU52" s="318">
        <v>632.0</v>
      </c>
      <c r="AV52" s="319">
        <f t="shared" si="1"/>
        <v>1840</v>
      </c>
      <c r="AW52" s="320">
        <v>28.61</v>
      </c>
      <c r="AX52" s="321">
        <f t="shared" si="2"/>
        <v>199.1256</v>
      </c>
      <c r="AY52" s="349">
        <f t="shared" si="3"/>
        <v>202311.6096</v>
      </c>
      <c r="AZ52" s="349">
        <f t="shared" si="4"/>
        <v>38232.1152</v>
      </c>
      <c r="BA52" s="349">
        <f t="shared" si="5"/>
        <v>125847.3792</v>
      </c>
      <c r="BB52" s="350">
        <f t="shared" si="6"/>
        <v>366391.104</v>
      </c>
      <c r="BC52" s="324"/>
      <c r="BD52" s="324"/>
      <c r="BE52" s="325"/>
      <c r="BF52" s="326"/>
      <c r="BG52" s="327"/>
    </row>
    <row r="53" ht="15.75" customHeight="1">
      <c r="A53" s="328" t="s">
        <v>2706</v>
      </c>
      <c r="B53" s="329">
        <v>2.0</v>
      </c>
      <c r="C53" s="330" t="s">
        <v>2707</v>
      </c>
      <c r="D53" s="330" t="s">
        <v>23</v>
      </c>
      <c r="E53" s="330" t="s">
        <v>2708</v>
      </c>
      <c r="F53" s="330" t="s">
        <v>1763</v>
      </c>
      <c r="G53" s="331" t="s">
        <v>2709</v>
      </c>
      <c r="H53" s="331" t="s">
        <v>2761</v>
      </c>
      <c r="I53" s="332" t="s">
        <v>2150</v>
      </c>
      <c r="J53" s="333" t="s">
        <v>862</v>
      </c>
      <c r="K53" s="330" t="s">
        <v>25</v>
      </c>
      <c r="L53" s="334">
        <v>0.0</v>
      </c>
      <c r="M53" s="334">
        <v>0.0</v>
      </c>
      <c r="N53" s="334">
        <v>0.0</v>
      </c>
      <c r="O53" s="334">
        <v>0.0</v>
      </c>
      <c r="P53" s="334">
        <v>0.0</v>
      </c>
      <c r="Q53" s="334">
        <v>0.0</v>
      </c>
      <c r="R53" s="334">
        <v>0.0</v>
      </c>
      <c r="S53" s="334">
        <v>0.0</v>
      </c>
      <c r="T53" s="334">
        <v>0.0</v>
      </c>
      <c r="U53" s="334">
        <v>0.0</v>
      </c>
      <c r="V53" s="335">
        <v>384.0</v>
      </c>
      <c r="W53" s="336">
        <v>384.0</v>
      </c>
      <c r="X53" s="337">
        <v>0.0</v>
      </c>
      <c r="Y53" s="337">
        <v>0.0</v>
      </c>
      <c r="Z53" s="337">
        <v>0.0</v>
      </c>
      <c r="AA53" s="337">
        <v>0.0</v>
      </c>
      <c r="AB53" s="337">
        <v>0.0</v>
      </c>
      <c r="AC53" s="337">
        <v>0.0</v>
      </c>
      <c r="AD53" s="337">
        <v>0.0</v>
      </c>
      <c r="AE53" s="337">
        <v>0.0</v>
      </c>
      <c r="AF53" s="337">
        <v>0.0</v>
      </c>
      <c r="AG53" s="337">
        <v>0.0</v>
      </c>
      <c r="AH53" s="338">
        <v>88.0</v>
      </c>
      <c r="AI53" s="339">
        <v>88.0</v>
      </c>
      <c r="AJ53" s="337">
        <v>0.0</v>
      </c>
      <c r="AK53" s="337">
        <v>0.0</v>
      </c>
      <c r="AL53" s="337">
        <v>0.0</v>
      </c>
      <c r="AM53" s="337">
        <v>0.0</v>
      </c>
      <c r="AN53" s="337">
        <v>0.0</v>
      </c>
      <c r="AO53" s="337">
        <v>0.0</v>
      </c>
      <c r="AP53" s="337">
        <v>0.0</v>
      </c>
      <c r="AQ53" s="337">
        <v>0.0</v>
      </c>
      <c r="AR53" s="337">
        <v>0.0</v>
      </c>
      <c r="AS53" s="337">
        <v>0.0</v>
      </c>
      <c r="AT53" s="338">
        <v>280.0</v>
      </c>
      <c r="AU53" s="339">
        <v>280.0</v>
      </c>
      <c r="AV53" s="340">
        <f t="shared" si="1"/>
        <v>752</v>
      </c>
      <c r="AW53" s="341">
        <v>3.42</v>
      </c>
      <c r="AX53" s="342">
        <f t="shared" si="2"/>
        <v>23.8032</v>
      </c>
      <c r="AY53" s="343">
        <f t="shared" si="3"/>
        <v>9140.4288</v>
      </c>
      <c r="AZ53" s="343">
        <f t="shared" si="4"/>
        <v>2094.6816</v>
      </c>
      <c r="BA53" s="343">
        <f t="shared" si="5"/>
        <v>6664.896</v>
      </c>
      <c r="BB53" s="344">
        <f t="shared" si="6"/>
        <v>17900.0064</v>
      </c>
      <c r="BC53" s="345"/>
      <c r="BD53" s="345"/>
      <c r="BE53" s="346"/>
      <c r="BF53" s="347"/>
      <c r="BG53" s="348"/>
    </row>
    <row r="54" ht="15.75" customHeight="1">
      <c r="A54" s="307" t="s">
        <v>2706</v>
      </c>
      <c r="B54" s="308">
        <v>2.0</v>
      </c>
      <c r="C54" s="309" t="s">
        <v>2707</v>
      </c>
      <c r="D54" s="309" t="s">
        <v>23</v>
      </c>
      <c r="E54" s="309" t="s">
        <v>2708</v>
      </c>
      <c r="F54" s="309" t="s">
        <v>1763</v>
      </c>
      <c r="G54" s="310" t="s">
        <v>2709</v>
      </c>
      <c r="H54" s="310" t="s">
        <v>2762</v>
      </c>
      <c r="I54" s="311" t="s">
        <v>2157</v>
      </c>
      <c r="J54" s="312" t="s">
        <v>489</v>
      </c>
      <c r="K54" s="309" t="s">
        <v>25</v>
      </c>
      <c r="L54" s="313">
        <v>0.0</v>
      </c>
      <c r="M54" s="313">
        <v>0.0</v>
      </c>
      <c r="N54" s="313">
        <v>0.0</v>
      </c>
      <c r="O54" s="313">
        <v>0.0</v>
      </c>
      <c r="P54" s="313">
        <v>0.0</v>
      </c>
      <c r="Q54" s="313">
        <v>0.0</v>
      </c>
      <c r="R54" s="313">
        <v>0.0</v>
      </c>
      <c r="S54" s="313">
        <v>0.0</v>
      </c>
      <c r="T54" s="313">
        <v>0.0</v>
      </c>
      <c r="U54" s="313">
        <v>0.0</v>
      </c>
      <c r="V54" s="314">
        <v>118.0</v>
      </c>
      <c r="W54" s="315">
        <v>118.0</v>
      </c>
      <c r="X54" s="316">
        <v>0.0</v>
      </c>
      <c r="Y54" s="316">
        <v>0.0</v>
      </c>
      <c r="Z54" s="316">
        <v>0.0</v>
      </c>
      <c r="AA54" s="316">
        <v>0.0</v>
      </c>
      <c r="AB54" s="316">
        <v>0.0</v>
      </c>
      <c r="AC54" s="316">
        <v>0.0</v>
      </c>
      <c r="AD54" s="316">
        <v>0.0</v>
      </c>
      <c r="AE54" s="316">
        <v>0.0</v>
      </c>
      <c r="AF54" s="316">
        <v>0.0</v>
      </c>
      <c r="AG54" s="316">
        <v>0.0</v>
      </c>
      <c r="AH54" s="317">
        <v>12.0</v>
      </c>
      <c r="AI54" s="318">
        <v>12.0</v>
      </c>
      <c r="AJ54" s="316">
        <v>0.0</v>
      </c>
      <c r="AK54" s="316">
        <v>0.0</v>
      </c>
      <c r="AL54" s="316">
        <v>0.0</v>
      </c>
      <c r="AM54" s="316">
        <v>0.0</v>
      </c>
      <c r="AN54" s="316">
        <v>0.0</v>
      </c>
      <c r="AO54" s="316">
        <v>0.0</v>
      </c>
      <c r="AP54" s="316">
        <v>0.0</v>
      </c>
      <c r="AQ54" s="316">
        <v>0.0</v>
      </c>
      <c r="AR54" s="316">
        <v>0.0</v>
      </c>
      <c r="AS54" s="316">
        <v>0.0</v>
      </c>
      <c r="AT54" s="317">
        <v>40.0</v>
      </c>
      <c r="AU54" s="318">
        <v>40.0</v>
      </c>
      <c r="AV54" s="319">
        <f t="shared" si="1"/>
        <v>170</v>
      </c>
      <c r="AW54" s="320">
        <v>58.61</v>
      </c>
      <c r="AX54" s="321">
        <f t="shared" si="2"/>
        <v>407.9256</v>
      </c>
      <c r="AY54" s="349">
        <f t="shared" si="3"/>
        <v>48135.2208</v>
      </c>
      <c r="AZ54" s="349">
        <f t="shared" si="4"/>
        <v>4895.1072</v>
      </c>
      <c r="BA54" s="349">
        <f t="shared" si="5"/>
        <v>16317.024</v>
      </c>
      <c r="BB54" s="350">
        <f t="shared" si="6"/>
        <v>69347.352</v>
      </c>
      <c r="BC54" s="324"/>
      <c r="BD54" s="324"/>
      <c r="BE54" s="325"/>
      <c r="BF54" s="326"/>
      <c r="BG54" s="327"/>
    </row>
    <row r="55" ht="15.75" customHeight="1">
      <c r="A55" s="328" t="s">
        <v>2706</v>
      </c>
      <c r="B55" s="329">
        <v>2.0</v>
      </c>
      <c r="C55" s="330" t="s">
        <v>2707</v>
      </c>
      <c r="D55" s="330" t="s">
        <v>23</v>
      </c>
      <c r="E55" s="330" t="s">
        <v>2708</v>
      </c>
      <c r="F55" s="330" t="s">
        <v>1763</v>
      </c>
      <c r="G55" s="331" t="s">
        <v>2709</v>
      </c>
      <c r="H55" s="361"/>
      <c r="I55" s="332" t="s">
        <v>2160</v>
      </c>
      <c r="J55" s="333" t="s">
        <v>1356</v>
      </c>
      <c r="K55" s="330" t="s">
        <v>25</v>
      </c>
      <c r="L55" s="334">
        <v>0.0</v>
      </c>
      <c r="M55" s="334">
        <v>0.0</v>
      </c>
      <c r="N55" s="334">
        <v>0.0</v>
      </c>
      <c r="O55" s="334">
        <v>0.0</v>
      </c>
      <c r="P55" s="334">
        <v>0.0</v>
      </c>
      <c r="Q55" s="334">
        <v>0.0</v>
      </c>
      <c r="R55" s="334">
        <v>0.0</v>
      </c>
      <c r="S55" s="334">
        <v>0.0</v>
      </c>
      <c r="T55" s="334">
        <v>0.0</v>
      </c>
      <c r="U55" s="334">
        <v>0.0</v>
      </c>
      <c r="V55" s="335">
        <v>304.0</v>
      </c>
      <c r="W55" s="336">
        <v>304.0</v>
      </c>
      <c r="X55" s="337">
        <v>0.0</v>
      </c>
      <c r="Y55" s="337">
        <v>0.0</v>
      </c>
      <c r="Z55" s="337">
        <v>0.0</v>
      </c>
      <c r="AA55" s="337">
        <v>0.0</v>
      </c>
      <c r="AB55" s="337">
        <v>0.0</v>
      </c>
      <c r="AC55" s="337">
        <v>0.0</v>
      </c>
      <c r="AD55" s="337">
        <v>0.0</v>
      </c>
      <c r="AE55" s="337">
        <v>0.0</v>
      </c>
      <c r="AF55" s="337">
        <v>0.0</v>
      </c>
      <c r="AG55" s="337">
        <v>0.0</v>
      </c>
      <c r="AH55" s="338">
        <v>48.0</v>
      </c>
      <c r="AI55" s="339">
        <v>48.0</v>
      </c>
      <c r="AJ55" s="337">
        <v>0.0</v>
      </c>
      <c r="AK55" s="337">
        <v>0.0</v>
      </c>
      <c r="AL55" s="337">
        <v>0.0</v>
      </c>
      <c r="AM55" s="337">
        <v>0.0</v>
      </c>
      <c r="AN55" s="337">
        <v>0.0</v>
      </c>
      <c r="AO55" s="337">
        <v>0.0</v>
      </c>
      <c r="AP55" s="337">
        <v>0.0</v>
      </c>
      <c r="AQ55" s="337">
        <v>0.0</v>
      </c>
      <c r="AR55" s="337">
        <v>0.0</v>
      </c>
      <c r="AS55" s="337">
        <v>0.0</v>
      </c>
      <c r="AT55" s="338">
        <v>160.0</v>
      </c>
      <c r="AU55" s="339">
        <v>160.0</v>
      </c>
      <c r="AV55" s="340">
        <f t="shared" si="1"/>
        <v>512</v>
      </c>
      <c r="AW55" s="341">
        <v>0.65</v>
      </c>
      <c r="AX55" s="342">
        <f t="shared" si="2"/>
        <v>4.524</v>
      </c>
      <c r="AY55" s="343">
        <f t="shared" si="3"/>
        <v>1375.296</v>
      </c>
      <c r="AZ55" s="343">
        <f t="shared" si="4"/>
        <v>217.152</v>
      </c>
      <c r="BA55" s="343">
        <f t="shared" si="5"/>
        <v>723.84</v>
      </c>
      <c r="BB55" s="344">
        <f t="shared" si="6"/>
        <v>2316.288</v>
      </c>
      <c r="BC55" s="345"/>
      <c r="BD55" s="345"/>
      <c r="BE55" s="346"/>
      <c r="BF55" s="347"/>
      <c r="BG55" s="348"/>
    </row>
    <row r="56" ht="15.75" customHeight="1">
      <c r="A56" s="307" t="s">
        <v>2706</v>
      </c>
      <c r="B56" s="308">
        <v>2.0</v>
      </c>
      <c r="C56" s="309" t="s">
        <v>2707</v>
      </c>
      <c r="D56" s="309" t="s">
        <v>23</v>
      </c>
      <c r="E56" s="309" t="s">
        <v>2708</v>
      </c>
      <c r="F56" s="309" t="s">
        <v>1763</v>
      </c>
      <c r="G56" s="310" t="s">
        <v>2709</v>
      </c>
      <c r="H56" s="310" t="s">
        <v>2763</v>
      </c>
      <c r="I56" s="311" t="s">
        <v>2163</v>
      </c>
      <c r="J56" s="312" t="s">
        <v>1498</v>
      </c>
      <c r="K56" s="309" t="s">
        <v>25</v>
      </c>
      <c r="L56" s="313">
        <v>0.0</v>
      </c>
      <c r="M56" s="313">
        <v>0.0</v>
      </c>
      <c r="N56" s="313">
        <v>0.0</v>
      </c>
      <c r="O56" s="313">
        <v>0.0</v>
      </c>
      <c r="P56" s="313">
        <v>0.0</v>
      </c>
      <c r="Q56" s="313">
        <v>0.0</v>
      </c>
      <c r="R56" s="313">
        <v>0.0</v>
      </c>
      <c r="S56" s="313">
        <v>0.0</v>
      </c>
      <c r="T56" s="313">
        <v>0.0</v>
      </c>
      <c r="U56" s="313">
        <v>0.0</v>
      </c>
      <c r="V56" s="314">
        <v>150.0</v>
      </c>
      <c r="W56" s="315">
        <v>150.0</v>
      </c>
      <c r="X56" s="316">
        <v>0.0</v>
      </c>
      <c r="Y56" s="316">
        <v>0.0</v>
      </c>
      <c r="Z56" s="316">
        <v>0.0</v>
      </c>
      <c r="AA56" s="316">
        <v>0.0</v>
      </c>
      <c r="AB56" s="316">
        <v>0.0</v>
      </c>
      <c r="AC56" s="316">
        <v>0.0</v>
      </c>
      <c r="AD56" s="316">
        <v>0.0</v>
      </c>
      <c r="AE56" s="316">
        <v>0.0</v>
      </c>
      <c r="AF56" s="316">
        <v>0.0</v>
      </c>
      <c r="AG56" s="316">
        <v>0.0</v>
      </c>
      <c r="AH56" s="317">
        <v>0.0</v>
      </c>
      <c r="AI56" s="351">
        <v>0.0</v>
      </c>
      <c r="AJ56" s="352">
        <v>0.0</v>
      </c>
      <c r="AK56" s="352">
        <v>0.0</v>
      </c>
      <c r="AL56" s="352">
        <v>0.0</v>
      </c>
      <c r="AM56" s="352">
        <v>0.0</v>
      </c>
      <c r="AN56" s="352">
        <v>0.0</v>
      </c>
      <c r="AO56" s="352">
        <v>0.0</v>
      </c>
      <c r="AP56" s="352">
        <v>0.0</v>
      </c>
      <c r="AQ56" s="352">
        <v>0.0</v>
      </c>
      <c r="AR56" s="352">
        <v>0.0</v>
      </c>
      <c r="AS56" s="352">
        <v>0.0</v>
      </c>
      <c r="AT56" s="317">
        <v>0.0</v>
      </c>
      <c r="AU56" s="351">
        <v>0.0</v>
      </c>
      <c r="AV56" s="319">
        <f t="shared" si="1"/>
        <v>150</v>
      </c>
      <c r="AW56" s="320">
        <v>3.19</v>
      </c>
      <c r="AX56" s="321">
        <f t="shared" si="2"/>
        <v>22.2024</v>
      </c>
      <c r="AY56" s="349">
        <f t="shared" si="3"/>
        <v>3330.36</v>
      </c>
      <c r="AZ56" s="349">
        <f t="shared" si="4"/>
        <v>0</v>
      </c>
      <c r="BA56" s="349">
        <f t="shared" si="5"/>
        <v>0</v>
      </c>
      <c r="BB56" s="350">
        <f t="shared" si="6"/>
        <v>3330.36</v>
      </c>
      <c r="BC56" s="324"/>
      <c r="BD56" s="324"/>
      <c r="BE56" s="325"/>
      <c r="BF56" s="326"/>
      <c r="BG56" s="327"/>
    </row>
    <row r="57" ht="15.75" customHeight="1">
      <c r="A57" s="328" t="s">
        <v>2706</v>
      </c>
      <c r="B57" s="329">
        <v>2.0</v>
      </c>
      <c r="C57" s="330" t="s">
        <v>2707</v>
      </c>
      <c r="D57" s="330" t="s">
        <v>23</v>
      </c>
      <c r="E57" s="330" t="s">
        <v>2708</v>
      </c>
      <c r="F57" s="330" t="s">
        <v>1763</v>
      </c>
      <c r="G57" s="360" t="s">
        <v>2709</v>
      </c>
      <c r="H57" s="331" t="s">
        <v>2764</v>
      </c>
      <c r="I57" s="332" t="s">
        <v>2164</v>
      </c>
      <c r="J57" s="333" t="s">
        <v>57</v>
      </c>
      <c r="K57" s="330" t="s">
        <v>25</v>
      </c>
      <c r="L57" s="334">
        <v>0.0</v>
      </c>
      <c r="M57" s="334">
        <v>0.0</v>
      </c>
      <c r="N57" s="334">
        <v>0.0</v>
      </c>
      <c r="O57" s="334">
        <v>0.0</v>
      </c>
      <c r="P57" s="334">
        <v>0.0</v>
      </c>
      <c r="Q57" s="334">
        <v>0.0</v>
      </c>
      <c r="R57" s="334">
        <v>0.0</v>
      </c>
      <c r="S57" s="334">
        <v>0.0</v>
      </c>
      <c r="T57" s="334">
        <v>0.0</v>
      </c>
      <c r="U57" s="334">
        <v>0.0</v>
      </c>
      <c r="V57" s="335">
        <v>152.0</v>
      </c>
      <c r="W57" s="336">
        <v>152.0</v>
      </c>
      <c r="X57" s="337">
        <v>0.0</v>
      </c>
      <c r="Y57" s="337">
        <v>0.0</v>
      </c>
      <c r="Z57" s="337">
        <v>0.0</v>
      </c>
      <c r="AA57" s="337">
        <v>0.0</v>
      </c>
      <c r="AB57" s="337">
        <v>0.0</v>
      </c>
      <c r="AC57" s="337">
        <v>0.0</v>
      </c>
      <c r="AD57" s="337">
        <v>0.0</v>
      </c>
      <c r="AE57" s="337">
        <v>0.0</v>
      </c>
      <c r="AF57" s="337">
        <v>0.0</v>
      </c>
      <c r="AG57" s="337">
        <v>0.0</v>
      </c>
      <c r="AH57" s="338">
        <v>24.0</v>
      </c>
      <c r="AI57" s="339">
        <v>24.0</v>
      </c>
      <c r="AJ57" s="337">
        <v>0.0</v>
      </c>
      <c r="AK57" s="337">
        <v>0.0</v>
      </c>
      <c r="AL57" s="337">
        <v>0.0</v>
      </c>
      <c r="AM57" s="337">
        <v>0.0</v>
      </c>
      <c r="AN57" s="337">
        <v>0.0</v>
      </c>
      <c r="AO57" s="337">
        <v>0.0</v>
      </c>
      <c r="AP57" s="337">
        <v>0.0</v>
      </c>
      <c r="AQ57" s="337">
        <v>0.0</v>
      </c>
      <c r="AR57" s="337">
        <v>0.0</v>
      </c>
      <c r="AS57" s="337">
        <v>0.0</v>
      </c>
      <c r="AT57" s="338">
        <v>80.0</v>
      </c>
      <c r="AU57" s="339">
        <v>80.0</v>
      </c>
      <c r="AV57" s="340">
        <f t="shared" si="1"/>
        <v>256</v>
      </c>
      <c r="AW57" s="341">
        <v>124.41</v>
      </c>
      <c r="AX57" s="342">
        <f t="shared" si="2"/>
        <v>865.8936</v>
      </c>
      <c r="AY57" s="343">
        <f t="shared" si="3"/>
        <v>131615.8272</v>
      </c>
      <c r="AZ57" s="343">
        <f t="shared" si="4"/>
        <v>20781.4464</v>
      </c>
      <c r="BA57" s="343">
        <f t="shared" si="5"/>
        <v>69271.488</v>
      </c>
      <c r="BB57" s="344">
        <f t="shared" si="6"/>
        <v>221668.7616</v>
      </c>
      <c r="BC57" s="345"/>
      <c r="BD57" s="345"/>
      <c r="BE57" s="346"/>
      <c r="BF57" s="347"/>
      <c r="BG57" s="348"/>
    </row>
    <row r="58" ht="15.75" customHeight="1">
      <c r="A58" s="307" t="s">
        <v>2706</v>
      </c>
      <c r="B58" s="308">
        <v>2.0</v>
      </c>
      <c r="C58" s="309" t="s">
        <v>2707</v>
      </c>
      <c r="D58" s="309" t="s">
        <v>23</v>
      </c>
      <c r="E58" s="309" t="s">
        <v>2708</v>
      </c>
      <c r="F58" s="309" t="s">
        <v>1763</v>
      </c>
      <c r="G58" s="310" t="s">
        <v>2709</v>
      </c>
      <c r="H58" s="310" t="s">
        <v>2765</v>
      </c>
      <c r="I58" s="311" t="s">
        <v>2170</v>
      </c>
      <c r="J58" s="312" t="s">
        <v>1234</v>
      </c>
      <c r="K58" s="309" t="s">
        <v>25</v>
      </c>
      <c r="L58" s="313">
        <v>0.0</v>
      </c>
      <c r="M58" s="313">
        <v>0.0</v>
      </c>
      <c r="N58" s="313">
        <v>0.0</v>
      </c>
      <c r="O58" s="313">
        <v>0.0</v>
      </c>
      <c r="P58" s="313">
        <v>0.0</v>
      </c>
      <c r="Q58" s="313">
        <v>0.0</v>
      </c>
      <c r="R58" s="313">
        <v>0.0</v>
      </c>
      <c r="S58" s="313">
        <v>0.0</v>
      </c>
      <c r="T58" s="313">
        <v>0.0</v>
      </c>
      <c r="U58" s="313">
        <v>0.0</v>
      </c>
      <c r="V58" s="314">
        <v>80.0</v>
      </c>
      <c r="W58" s="315">
        <v>80.0</v>
      </c>
      <c r="X58" s="316">
        <v>0.0</v>
      </c>
      <c r="Y58" s="316">
        <v>0.0</v>
      </c>
      <c r="Z58" s="316">
        <v>0.0</v>
      </c>
      <c r="AA58" s="316">
        <v>0.0</v>
      </c>
      <c r="AB58" s="316">
        <v>0.0</v>
      </c>
      <c r="AC58" s="316">
        <v>0.0</v>
      </c>
      <c r="AD58" s="316">
        <v>0.0</v>
      </c>
      <c r="AE58" s="316">
        <v>0.0</v>
      </c>
      <c r="AF58" s="316">
        <v>0.0</v>
      </c>
      <c r="AG58" s="316">
        <v>0.0</v>
      </c>
      <c r="AH58" s="317">
        <v>0.0</v>
      </c>
      <c r="AI58" s="318">
        <v>0.0</v>
      </c>
      <c r="AJ58" s="316">
        <v>0.0</v>
      </c>
      <c r="AK58" s="316">
        <v>0.0</v>
      </c>
      <c r="AL58" s="316">
        <v>0.0</v>
      </c>
      <c r="AM58" s="316">
        <v>0.0</v>
      </c>
      <c r="AN58" s="316">
        <v>0.0</v>
      </c>
      <c r="AO58" s="316">
        <v>0.0</v>
      </c>
      <c r="AP58" s="316">
        <v>0.0</v>
      </c>
      <c r="AQ58" s="316">
        <v>0.0</v>
      </c>
      <c r="AR58" s="316">
        <v>0.0</v>
      </c>
      <c r="AS58" s="316">
        <v>0.0</v>
      </c>
      <c r="AT58" s="317">
        <v>0.0</v>
      </c>
      <c r="AU58" s="318">
        <v>0.0</v>
      </c>
      <c r="AV58" s="319">
        <f t="shared" si="1"/>
        <v>80</v>
      </c>
      <c r="AW58" s="320">
        <v>2.96</v>
      </c>
      <c r="AX58" s="321">
        <f t="shared" si="2"/>
        <v>20.6016</v>
      </c>
      <c r="AY58" s="349">
        <f t="shared" si="3"/>
        <v>1648.128</v>
      </c>
      <c r="AZ58" s="349">
        <f t="shared" si="4"/>
        <v>0</v>
      </c>
      <c r="BA58" s="349">
        <f t="shared" si="5"/>
        <v>0</v>
      </c>
      <c r="BB58" s="350">
        <f t="shared" si="6"/>
        <v>1648.128</v>
      </c>
      <c r="BC58" s="324"/>
      <c r="BD58" s="324"/>
      <c r="BE58" s="325"/>
      <c r="BF58" s="326"/>
      <c r="BG58" s="327"/>
    </row>
    <row r="59" ht="15.75" customHeight="1">
      <c r="A59" s="328" t="s">
        <v>2706</v>
      </c>
      <c r="B59" s="329">
        <v>2.0</v>
      </c>
      <c r="C59" s="330" t="s">
        <v>2707</v>
      </c>
      <c r="D59" s="330" t="s">
        <v>23</v>
      </c>
      <c r="E59" s="330" t="s">
        <v>2708</v>
      </c>
      <c r="F59" s="330" t="s">
        <v>1763</v>
      </c>
      <c r="G59" s="331" t="s">
        <v>2709</v>
      </c>
      <c r="H59" s="331" t="s">
        <v>2766</v>
      </c>
      <c r="I59" s="332" t="s">
        <v>2196</v>
      </c>
      <c r="J59" s="333" t="s">
        <v>1416</v>
      </c>
      <c r="K59" s="330" t="s">
        <v>25</v>
      </c>
      <c r="L59" s="334">
        <v>0.0</v>
      </c>
      <c r="M59" s="334">
        <v>0.0</v>
      </c>
      <c r="N59" s="334">
        <v>0.0</v>
      </c>
      <c r="O59" s="334">
        <v>0.0</v>
      </c>
      <c r="P59" s="334">
        <v>0.0</v>
      </c>
      <c r="Q59" s="334">
        <v>0.0</v>
      </c>
      <c r="R59" s="334">
        <v>0.0</v>
      </c>
      <c r="S59" s="334">
        <v>0.0</v>
      </c>
      <c r="T59" s="334">
        <v>0.0</v>
      </c>
      <c r="U59" s="334">
        <v>0.0</v>
      </c>
      <c r="V59" s="335">
        <v>80.0</v>
      </c>
      <c r="W59" s="336">
        <v>80.0</v>
      </c>
      <c r="X59" s="337">
        <v>0.0</v>
      </c>
      <c r="Y59" s="337">
        <v>0.0</v>
      </c>
      <c r="Z59" s="337">
        <v>0.0</v>
      </c>
      <c r="AA59" s="337">
        <v>0.0</v>
      </c>
      <c r="AB59" s="337">
        <v>0.0</v>
      </c>
      <c r="AC59" s="337">
        <v>0.0</v>
      </c>
      <c r="AD59" s="337">
        <v>0.0</v>
      </c>
      <c r="AE59" s="337">
        <v>0.0</v>
      </c>
      <c r="AF59" s="337">
        <v>0.0</v>
      </c>
      <c r="AG59" s="337">
        <v>0.0</v>
      </c>
      <c r="AH59" s="338">
        <v>0.0</v>
      </c>
      <c r="AI59" s="339">
        <v>0.0</v>
      </c>
      <c r="AJ59" s="337">
        <v>0.0</v>
      </c>
      <c r="AK59" s="337">
        <v>0.0</v>
      </c>
      <c r="AL59" s="337">
        <v>0.0</v>
      </c>
      <c r="AM59" s="337">
        <v>0.0</v>
      </c>
      <c r="AN59" s="337">
        <v>0.0</v>
      </c>
      <c r="AO59" s="337">
        <v>0.0</v>
      </c>
      <c r="AP59" s="337">
        <v>0.0</v>
      </c>
      <c r="AQ59" s="337">
        <v>0.0</v>
      </c>
      <c r="AR59" s="337">
        <v>0.0</v>
      </c>
      <c r="AS59" s="337">
        <v>0.0</v>
      </c>
      <c r="AT59" s="338">
        <v>0.0</v>
      </c>
      <c r="AU59" s="339">
        <v>0.0</v>
      </c>
      <c r="AV59" s="340">
        <f t="shared" si="1"/>
        <v>80</v>
      </c>
      <c r="AW59" s="341">
        <v>2.58</v>
      </c>
      <c r="AX59" s="342">
        <f t="shared" si="2"/>
        <v>17.9568</v>
      </c>
      <c r="AY59" s="343">
        <f t="shared" si="3"/>
        <v>1436.544</v>
      </c>
      <c r="AZ59" s="343">
        <f t="shared" si="4"/>
        <v>0</v>
      </c>
      <c r="BA59" s="343">
        <f t="shared" si="5"/>
        <v>0</v>
      </c>
      <c r="BB59" s="344">
        <f t="shared" si="6"/>
        <v>1436.544</v>
      </c>
      <c r="BC59" s="345"/>
      <c r="BD59" s="345"/>
      <c r="BE59" s="346"/>
      <c r="BF59" s="347"/>
      <c r="BG59" s="348"/>
    </row>
    <row r="60" ht="15.75" customHeight="1">
      <c r="A60" s="307" t="s">
        <v>2706</v>
      </c>
      <c r="B60" s="308">
        <v>2.0</v>
      </c>
      <c r="C60" s="309" t="s">
        <v>2707</v>
      </c>
      <c r="D60" s="309" t="s">
        <v>23</v>
      </c>
      <c r="E60" s="309" t="s">
        <v>2708</v>
      </c>
      <c r="F60" s="309" t="s">
        <v>1763</v>
      </c>
      <c r="G60" s="310" t="s">
        <v>2709</v>
      </c>
      <c r="H60" s="310" t="s">
        <v>2767</v>
      </c>
      <c r="I60" s="311" t="s">
        <v>2202</v>
      </c>
      <c r="J60" s="312" t="s">
        <v>1531</v>
      </c>
      <c r="K60" s="309" t="s">
        <v>25</v>
      </c>
      <c r="L60" s="313">
        <v>0.0</v>
      </c>
      <c r="M60" s="313">
        <v>0.0</v>
      </c>
      <c r="N60" s="313">
        <v>0.0</v>
      </c>
      <c r="O60" s="313">
        <v>0.0</v>
      </c>
      <c r="P60" s="313">
        <v>0.0</v>
      </c>
      <c r="Q60" s="313">
        <v>0.0</v>
      </c>
      <c r="R60" s="313">
        <v>0.0</v>
      </c>
      <c r="S60" s="313">
        <v>0.0</v>
      </c>
      <c r="T60" s="313">
        <v>0.0</v>
      </c>
      <c r="U60" s="313">
        <v>0.0</v>
      </c>
      <c r="V60" s="314">
        <v>150.0</v>
      </c>
      <c r="W60" s="315">
        <v>150.0</v>
      </c>
      <c r="X60" s="316">
        <v>0.0</v>
      </c>
      <c r="Y60" s="316">
        <v>0.0</v>
      </c>
      <c r="Z60" s="316">
        <v>0.0</v>
      </c>
      <c r="AA60" s="316">
        <v>0.0</v>
      </c>
      <c r="AB60" s="316">
        <v>0.0</v>
      </c>
      <c r="AC60" s="316">
        <v>0.0</v>
      </c>
      <c r="AD60" s="316">
        <v>0.0</v>
      </c>
      <c r="AE60" s="316">
        <v>0.0</v>
      </c>
      <c r="AF60" s="316">
        <v>0.0</v>
      </c>
      <c r="AG60" s="316">
        <v>0.0</v>
      </c>
      <c r="AH60" s="317">
        <v>0.0</v>
      </c>
      <c r="AI60" s="351">
        <v>0.0</v>
      </c>
      <c r="AJ60" s="352">
        <v>0.0</v>
      </c>
      <c r="AK60" s="352">
        <v>0.0</v>
      </c>
      <c r="AL60" s="352">
        <v>0.0</v>
      </c>
      <c r="AM60" s="352">
        <v>0.0</v>
      </c>
      <c r="AN60" s="352">
        <v>0.0</v>
      </c>
      <c r="AO60" s="352">
        <v>0.0</v>
      </c>
      <c r="AP60" s="352">
        <v>0.0</v>
      </c>
      <c r="AQ60" s="352">
        <v>0.0</v>
      </c>
      <c r="AR60" s="352">
        <v>0.0</v>
      </c>
      <c r="AS60" s="352">
        <v>0.0</v>
      </c>
      <c r="AT60" s="317">
        <v>0.0</v>
      </c>
      <c r="AU60" s="351">
        <v>0.0</v>
      </c>
      <c r="AV60" s="319">
        <f t="shared" si="1"/>
        <v>150</v>
      </c>
      <c r="AW60" s="320">
        <v>2.69</v>
      </c>
      <c r="AX60" s="321">
        <f t="shared" si="2"/>
        <v>18.7224</v>
      </c>
      <c r="AY60" s="349">
        <f t="shared" si="3"/>
        <v>2808.36</v>
      </c>
      <c r="AZ60" s="349">
        <f t="shared" si="4"/>
        <v>0</v>
      </c>
      <c r="BA60" s="349">
        <f t="shared" si="5"/>
        <v>0</v>
      </c>
      <c r="BB60" s="350">
        <f t="shared" si="6"/>
        <v>2808.36</v>
      </c>
      <c r="BC60" s="324"/>
      <c r="BD60" s="324"/>
      <c r="BE60" s="325"/>
      <c r="BF60" s="326"/>
      <c r="BG60" s="327"/>
    </row>
    <row r="61" ht="15.75" customHeight="1">
      <c r="A61" s="328" t="s">
        <v>2706</v>
      </c>
      <c r="B61" s="329">
        <v>2.0</v>
      </c>
      <c r="C61" s="330" t="s">
        <v>2707</v>
      </c>
      <c r="D61" s="330" t="s">
        <v>23</v>
      </c>
      <c r="E61" s="330" t="s">
        <v>2708</v>
      </c>
      <c r="F61" s="330" t="s">
        <v>1763</v>
      </c>
      <c r="G61" s="331" t="s">
        <v>2709</v>
      </c>
      <c r="H61" s="331" t="s">
        <v>2768</v>
      </c>
      <c r="I61" s="332" t="s">
        <v>2203</v>
      </c>
      <c r="J61" s="333" t="s">
        <v>1453</v>
      </c>
      <c r="K61" s="330" t="s">
        <v>25</v>
      </c>
      <c r="L61" s="334">
        <v>0.0</v>
      </c>
      <c r="M61" s="334">
        <v>0.0</v>
      </c>
      <c r="N61" s="334">
        <v>0.0</v>
      </c>
      <c r="O61" s="334">
        <v>0.0</v>
      </c>
      <c r="P61" s="334">
        <v>0.0</v>
      </c>
      <c r="Q61" s="334">
        <v>0.0</v>
      </c>
      <c r="R61" s="334">
        <v>0.0</v>
      </c>
      <c r="S61" s="334">
        <v>0.0</v>
      </c>
      <c r="T61" s="334">
        <v>0.0</v>
      </c>
      <c r="U61" s="334">
        <v>0.0</v>
      </c>
      <c r="V61" s="335">
        <v>50.0</v>
      </c>
      <c r="W61" s="336">
        <v>50.0</v>
      </c>
      <c r="X61" s="337">
        <v>0.0</v>
      </c>
      <c r="Y61" s="337">
        <v>0.0</v>
      </c>
      <c r="Z61" s="337">
        <v>0.0</v>
      </c>
      <c r="AA61" s="337">
        <v>0.0</v>
      </c>
      <c r="AB61" s="337">
        <v>0.0</v>
      </c>
      <c r="AC61" s="337">
        <v>0.0</v>
      </c>
      <c r="AD61" s="337">
        <v>0.0</v>
      </c>
      <c r="AE61" s="337">
        <v>0.0</v>
      </c>
      <c r="AF61" s="337">
        <v>0.0</v>
      </c>
      <c r="AG61" s="337">
        <v>0.0</v>
      </c>
      <c r="AH61" s="338">
        <v>0.0</v>
      </c>
      <c r="AI61" s="353">
        <v>0.0</v>
      </c>
      <c r="AJ61" s="354">
        <v>0.0</v>
      </c>
      <c r="AK61" s="354">
        <v>0.0</v>
      </c>
      <c r="AL61" s="354">
        <v>0.0</v>
      </c>
      <c r="AM61" s="354">
        <v>0.0</v>
      </c>
      <c r="AN61" s="354">
        <v>0.0</v>
      </c>
      <c r="AO61" s="354">
        <v>0.0</v>
      </c>
      <c r="AP61" s="354">
        <v>0.0</v>
      </c>
      <c r="AQ61" s="354">
        <v>0.0</v>
      </c>
      <c r="AR61" s="354">
        <v>0.0</v>
      </c>
      <c r="AS61" s="354">
        <v>0.0</v>
      </c>
      <c r="AT61" s="338">
        <v>0.0</v>
      </c>
      <c r="AU61" s="353">
        <v>0.0</v>
      </c>
      <c r="AV61" s="340">
        <f t="shared" si="1"/>
        <v>50</v>
      </c>
      <c r="AW61" s="341">
        <v>4.31</v>
      </c>
      <c r="AX61" s="342">
        <f t="shared" si="2"/>
        <v>29.9976</v>
      </c>
      <c r="AY61" s="343">
        <f t="shared" si="3"/>
        <v>1499.88</v>
      </c>
      <c r="AZ61" s="343">
        <f t="shared" si="4"/>
        <v>0</v>
      </c>
      <c r="BA61" s="343">
        <f t="shared" si="5"/>
        <v>0</v>
      </c>
      <c r="BB61" s="344">
        <f t="shared" si="6"/>
        <v>1499.88</v>
      </c>
      <c r="BC61" s="345"/>
      <c r="BD61" s="345"/>
      <c r="BE61" s="346"/>
      <c r="BF61" s="347"/>
      <c r="BG61" s="348"/>
    </row>
    <row r="62" ht="15.75" customHeight="1">
      <c r="A62" s="307" t="s">
        <v>2706</v>
      </c>
      <c r="B62" s="308">
        <v>2.0</v>
      </c>
      <c r="C62" s="309" t="s">
        <v>2707</v>
      </c>
      <c r="D62" s="309" t="s">
        <v>23</v>
      </c>
      <c r="E62" s="309" t="s">
        <v>2708</v>
      </c>
      <c r="F62" s="309" t="s">
        <v>1763</v>
      </c>
      <c r="G62" s="310" t="s">
        <v>2709</v>
      </c>
      <c r="H62" s="310" t="s">
        <v>2769</v>
      </c>
      <c r="I62" s="311" t="s">
        <v>2215</v>
      </c>
      <c r="J62" s="312" t="s">
        <v>812</v>
      </c>
      <c r="K62" s="309" t="s">
        <v>25</v>
      </c>
      <c r="L62" s="313">
        <v>0.0</v>
      </c>
      <c r="M62" s="313">
        <v>0.0</v>
      </c>
      <c r="N62" s="313">
        <v>0.0</v>
      </c>
      <c r="O62" s="313">
        <v>0.0</v>
      </c>
      <c r="P62" s="313">
        <v>0.0</v>
      </c>
      <c r="Q62" s="313">
        <v>0.0</v>
      </c>
      <c r="R62" s="313">
        <v>0.0</v>
      </c>
      <c r="S62" s="313">
        <v>0.0</v>
      </c>
      <c r="T62" s="313">
        <v>0.0</v>
      </c>
      <c r="U62" s="313">
        <v>0.0</v>
      </c>
      <c r="V62" s="314">
        <v>100.0</v>
      </c>
      <c r="W62" s="315">
        <v>100.0</v>
      </c>
      <c r="X62" s="316">
        <v>0.0</v>
      </c>
      <c r="Y62" s="316">
        <v>0.0</v>
      </c>
      <c r="Z62" s="316">
        <v>0.0</v>
      </c>
      <c r="AA62" s="316">
        <v>0.0</v>
      </c>
      <c r="AB62" s="316">
        <v>0.0</v>
      </c>
      <c r="AC62" s="316">
        <v>0.0</v>
      </c>
      <c r="AD62" s="316">
        <v>0.0</v>
      </c>
      <c r="AE62" s="316">
        <v>0.0</v>
      </c>
      <c r="AF62" s="316">
        <v>0.0</v>
      </c>
      <c r="AG62" s="316">
        <v>0.0</v>
      </c>
      <c r="AH62" s="317">
        <v>0.0</v>
      </c>
      <c r="AI62" s="351">
        <v>0.0</v>
      </c>
      <c r="AJ62" s="352">
        <v>0.0</v>
      </c>
      <c r="AK62" s="352">
        <v>0.0</v>
      </c>
      <c r="AL62" s="352">
        <v>0.0</v>
      </c>
      <c r="AM62" s="352">
        <v>0.0</v>
      </c>
      <c r="AN62" s="352">
        <v>0.0</v>
      </c>
      <c r="AO62" s="352">
        <v>0.0</v>
      </c>
      <c r="AP62" s="352">
        <v>0.0</v>
      </c>
      <c r="AQ62" s="352">
        <v>0.0</v>
      </c>
      <c r="AR62" s="352">
        <v>0.0</v>
      </c>
      <c r="AS62" s="352">
        <v>0.0</v>
      </c>
      <c r="AT62" s="317">
        <v>0.0</v>
      </c>
      <c r="AU62" s="351">
        <v>0.0</v>
      </c>
      <c r="AV62" s="319">
        <f t="shared" si="1"/>
        <v>100</v>
      </c>
      <c r="AW62" s="320">
        <v>2.11</v>
      </c>
      <c r="AX62" s="321">
        <f t="shared" si="2"/>
        <v>14.6856</v>
      </c>
      <c r="AY62" s="349">
        <f t="shared" si="3"/>
        <v>1468.56</v>
      </c>
      <c r="AZ62" s="349">
        <f t="shared" si="4"/>
        <v>0</v>
      </c>
      <c r="BA62" s="349">
        <f t="shared" si="5"/>
        <v>0</v>
      </c>
      <c r="BB62" s="350">
        <f t="shared" si="6"/>
        <v>1468.56</v>
      </c>
      <c r="BC62" s="324"/>
      <c r="BD62" s="324"/>
      <c r="BE62" s="325"/>
      <c r="BF62" s="326"/>
      <c r="BG62" s="327"/>
    </row>
    <row r="63" ht="15.75" customHeight="1">
      <c r="A63" s="328" t="s">
        <v>2706</v>
      </c>
      <c r="B63" s="329">
        <v>2.0</v>
      </c>
      <c r="C63" s="330" t="s">
        <v>2707</v>
      </c>
      <c r="D63" s="330" t="s">
        <v>23</v>
      </c>
      <c r="E63" s="330" t="s">
        <v>2708</v>
      </c>
      <c r="F63" s="330" t="s">
        <v>1763</v>
      </c>
      <c r="G63" s="331" t="s">
        <v>2709</v>
      </c>
      <c r="H63" s="331" t="s">
        <v>2770</v>
      </c>
      <c r="I63" s="332" t="s">
        <v>2245</v>
      </c>
      <c r="J63" s="333" t="s">
        <v>739</v>
      </c>
      <c r="K63" s="330" t="s">
        <v>25</v>
      </c>
      <c r="L63" s="334">
        <v>0.0</v>
      </c>
      <c r="M63" s="334">
        <v>0.0</v>
      </c>
      <c r="N63" s="334">
        <v>0.0</v>
      </c>
      <c r="O63" s="334">
        <v>0.0</v>
      </c>
      <c r="P63" s="334">
        <v>0.0</v>
      </c>
      <c r="Q63" s="334">
        <v>0.0</v>
      </c>
      <c r="R63" s="334">
        <v>0.0</v>
      </c>
      <c r="S63" s="334">
        <v>0.0</v>
      </c>
      <c r="T63" s="334">
        <v>0.0</v>
      </c>
      <c r="U63" s="334">
        <v>0.0</v>
      </c>
      <c r="V63" s="335">
        <v>508.0</v>
      </c>
      <c r="W63" s="336">
        <v>508.0</v>
      </c>
      <c r="X63" s="337">
        <v>0.0</v>
      </c>
      <c r="Y63" s="337">
        <v>0.0</v>
      </c>
      <c r="Z63" s="337">
        <v>0.0</v>
      </c>
      <c r="AA63" s="337">
        <v>0.0</v>
      </c>
      <c r="AB63" s="337">
        <v>0.0</v>
      </c>
      <c r="AC63" s="337">
        <v>0.0</v>
      </c>
      <c r="AD63" s="337">
        <v>0.0</v>
      </c>
      <c r="AE63" s="337">
        <v>0.0</v>
      </c>
      <c r="AF63" s="337">
        <v>0.0</v>
      </c>
      <c r="AG63" s="337">
        <v>0.0</v>
      </c>
      <c r="AH63" s="338">
        <v>120.0</v>
      </c>
      <c r="AI63" s="339">
        <v>120.0</v>
      </c>
      <c r="AJ63" s="337">
        <v>0.0</v>
      </c>
      <c r="AK63" s="337">
        <v>0.0</v>
      </c>
      <c r="AL63" s="337">
        <v>0.0</v>
      </c>
      <c r="AM63" s="337">
        <v>0.0</v>
      </c>
      <c r="AN63" s="337">
        <v>0.0</v>
      </c>
      <c r="AO63" s="337">
        <v>0.0</v>
      </c>
      <c r="AP63" s="337">
        <v>0.0</v>
      </c>
      <c r="AQ63" s="337">
        <v>0.0</v>
      </c>
      <c r="AR63" s="337">
        <v>0.0</v>
      </c>
      <c r="AS63" s="337">
        <v>0.0</v>
      </c>
      <c r="AT63" s="338">
        <v>332.0</v>
      </c>
      <c r="AU63" s="339">
        <v>332.0</v>
      </c>
      <c r="AV63" s="340">
        <f t="shared" si="1"/>
        <v>960</v>
      </c>
      <c r="AW63" s="341">
        <v>2.42</v>
      </c>
      <c r="AX63" s="342">
        <f t="shared" si="2"/>
        <v>16.8432</v>
      </c>
      <c r="AY63" s="343">
        <f t="shared" si="3"/>
        <v>8556.3456</v>
      </c>
      <c r="AZ63" s="343">
        <f t="shared" si="4"/>
        <v>2021.184</v>
      </c>
      <c r="BA63" s="343">
        <f t="shared" si="5"/>
        <v>5591.9424</v>
      </c>
      <c r="BB63" s="344">
        <f t="shared" si="6"/>
        <v>16169.472</v>
      </c>
      <c r="BC63" s="345"/>
      <c r="BD63" s="345"/>
      <c r="BE63" s="346"/>
      <c r="BF63" s="347"/>
      <c r="BG63" s="348"/>
    </row>
    <row r="64" ht="15.75" customHeight="1">
      <c r="A64" s="307" t="s">
        <v>2706</v>
      </c>
      <c r="B64" s="308">
        <v>2.0</v>
      </c>
      <c r="C64" s="309" t="s">
        <v>2707</v>
      </c>
      <c r="D64" s="309" t="s">
        <v>23</v>
      </c>
      <c r="E64" s="309" t="s">
        <v>2708</v>
      </c>
      <c r="F64" s="309" t="s">
        <v>1763</v>
      </c>
      <c r="G64" s="310" t="s">
        <v>2709</v>
      </c>
      <c r="H64" s="310" t="s">
        <v>2771</v>
      </c>
      <c r="I64" s="311" t="s">
        <v>2249</v>
      </c>
      <c r="J64" s="312" t="s">
        <v>1022</v>
      </c>
      <c r="K64" s="309" t="s">
        <v>25</v>
      </c>
      <c r="L64" s="313">
        <v>0.0</v>
      </c>
      <c r="M64" s="313">
        <v>0.0</v>
      </c>
      <c r="N64" s="313">
        <v>0.0</v>
      </c>
      <c r="O64" s="313">
        <v>0.0</v>
      </c>
      <c r="P64" s="313">
        <v>0.0</v>
      </c>
      <c r="Q64" s="313">
        <v>0.0</v>
      </c>
      <c r="R64" s="313">
        <v>0.0</v>
      </c>
      <c r="S64" s="313">
        <v>0.0</v>
      </c>
      <c r="T64" s="313">
        <v>0.0</v>
      </c>
      <c r="U64" s="313">
        <v>0.0</v>
      </c>
      <c r="V64" s="314">
        <v>30.0</v>
      </c>
      <c r="W64" s="315">
        <v>30.0</v>
      </c>
      <c r="X64" s="316">
        <v>0.0</v>
      </c>
      <c r="Y64" s="316">
        <v>0.0</v>
      </c>
      <c r="Z64" s="316">
        <v>0.0</v>
      </c>
      <c r="AA64" s="316">
        <v>0.0</v>
      </c>
      <c r="AB64" s="316">
        <v>0.0</v>
      </c>
      <c r="AC64" s="316">
        <v>0.0</v>
      </c>
      <c r="AD64" s="316">
        <v>0.0</v>
      </c>
      <c r="AE64" s="316">
        <v>0.0</v>
      </c>
      <c r="AF64" s="316">
        <v>0.0</v>
      </c>
      <c r="AG64" s="316">
        <v>0.0</v>
      </c>
      <c r="AH64" s="317">
        <v>0.0</v>
      </c>
      <c r="AI64" s="351">
        <v>0.0</v>
      </c>
      <c r="AJ64" s="352">
        <v>0.0</v>
      </c>
      <c r="AK64" s="352">
        <v>0.0</v>
      </c>
      <c r="AL64" s="352">
        <v>0.0</v>
      </c>
      <c r="AM64" s="352">
        <v>0.0</v>
      </c>
      <c r="AN64" s="352">
        <v>0.0</v>
      </c>
      <c r="AO64" s="352">
        <v>0.0</v>
      </c>
      <c r="AP64" s="352">
        <v>0.0</v>
      </c>
      <c r="AQ64" s="352">
        <v>0.0</v>
      </c>
      <c r="AR64" s="352">
        <v>0.0</v>
      </c>
      <c r="AS64" s="352">
        <v>0.0</v>
      </c>
      <c r="AT64" s="317">
        <v>0.0</v>
      </c>
      <c r="AU64" s="351">
        <v>0.0</v>
      </c>
      <c r="AV64" s="319">
        <f t="shared" si="1"/>
        <v>30</v>
      </c>
      <c r="AW64" s="320">
        <v>17.88</v>
      </c>
      <c r="AX64" s="321">
        <f t="shared" si="2"/>
        <v>124.4448</v>
      </c>
      <c r="AY64" s="349">
        <f t="shared" si="3"/>
        <v>3733.344</v>
      </c>
      <c r="AZ64" s="349">
        <f t="shared" si="4"/>
        <v>0</v>
      </c>
      <c r="BA64" s="349">
        <f t="shared" si="5"/>
        <v>0</v>
      </c>
      <c r="BB64" s="350">
        <f t="shared" si="6"/>
        <v>3733.344</v>
      </c>
      <c r="BC64" s="324"/>
      <c r="BD64" s="324"/>
      <c r="BE64" s="325"/>
      <c r="BF64" s="326"/>
      <c r="BG64" s="327"/>
    </row>
    <row r="65" ht="15.75" customHeight="1">
      <c r="A65" s="328" t="s">
        <v>2706</v>
      </c>
      <c r="B65" s="329">
        <v>2.0</v>
      </c>
      <c r="C65" s="330" t="s">
        <v>2707</v>
      </c>
      <c r="D65" s="330" t="s">
        <v>23</v>
      </c>
      <c r="E65" s="330" t="s">
        <v>2708</v>
      </c>
      <c r="F65" s="330" t="s">
        <v>1763</v>
      </c>
      <c r="G65" s="331" t="s">
        <v>2709</v>
      </c>
      <c r="H65" s="331" t="s">
        <v>2772</v>
      </c>
      <c r="I65" s="332" t="s">
        <v>2250</v>
      </c>
      <c r="J65" s="333" t="s">
        <v>1068</v>
      </c>
      <c r="K65" s="330" t="s">
        <v>25</v>
      </c>
      <c r="L65" s="334">
        <v>0.0</v>
      </c>
      <c r="M65" s="334">
        <v>0.0</v>
      </c>
      <c r="N65" s="334">
        <v>0.0</v>
      </c>
      <c r="O65" s="334">
        <v>0.0</v>
      </c>
      <c r="P65" s="334">
        <v>0.0</v>
      </c>
      <c r="Q65" s="334">
        <v>0.0</v>
      </c>
      <c r="R65" s="334">
        <v>0.0</v>
      </c>
      <c r="S65" s="334">
        <v>0.0</v>
      </c>
      <c r="T65" s="334">
        <v>0.0</v>
      </c>
      <c r="U65" s="334">
        <v>0.0</v>
      </c>
      <c r="V65" s="335">
        <v>30.0</v>
      </c>
      <c r="W65" s="336">
        <v>30.0</v>
      </c>
      <c r="X65" s="337">
        <v>0.0</v>
      </c>
      <c r="Y65" s="337">
        <v>0.0</v>
      </c>
      <c r="Z65" s="337">
        <v>0.0</v>
      </c>
      <c r="AA65" s="337">
        <v>0.0</v>
      </c>
      <c r="AB65" s="337">
        <v>0.0</v>
      </c>
      <c r="AC65" s="337">
        <v>0.0</v>
      </c>
      <c r="AD65" s="337">
        <v>0.0</v>
      </c>
      <c r="AE65" s="337">
        <v>0.0</v>
      </c>
      <c r="AF65" s="337">
        <v>0.0</v>
      </c>
      <c r="AG65" s="337">
        <v>0.0</v>
      </c>
      <c r="AH65" s="338">
        <v>0.0</v>
      </c>
      <c r="AI65" s="339">
        <v>0.0</v>
      </c>
      <c r="AJ65" s="337">
        <v>0.0</v>
      </c>
      <c r="AK65" s="337">
        <v>0.0</v>
      </c>
      <c r="AL65" s="337">
        <v>0.0</v>
      </c>
      <c r="AM65" s="337">
        <v>0.0</v>
      </c>
      <c r="AN65" s="337">
        <v>0.0</v>
      </c>
      <c r="AO65" s="337">
        <v>0.0</v>
      </c>
      <c r="AP65" s="337">
        <v>0.0</v>
      </c>
      <c r="AQ65" s="337">
        <v>0.0</v>
      </c>
      <c r="AR65" s="337">
        <v>0.0</v>
      </c>
      <c r="AS65" s="337">
        <v>0.0</v>
      </c>
      <c r="AT65" s="338">
        <v>0.0</v>
      </c>
      <c r="AU65" s="339">
        <v>0.0</v>
      </c>
      <c r="AV65" s="340">
        <f t="shared" si="1"/>
        <v>30</v>
      </c>
      <c r="AW65" s="341">
        <v>14.31</v>
      </c>
      <c r="AX65" s="342">
        <f t="shared" si="2"/>
        <v>99.5976</v>
      </c>
      <c r="AY65" s="343">
        <f t="shared" si="3"/>
        <v>2987.928</v>
      </c>
      <c r="AZ65" s="343">
        <f t="shared" si="4"/>
        <v>0</v>
      </c>
      <c r="BA65" s="343">
        <f t="shared" si="5"/>
        <v>0</v>
      </c>
      <c r="BB65" s="344">
        <f t="shared" si="6"/>
        <v>2987.928</v>
      </c>
      <c r="BC65" s="345"/>
      <c r="BD65" s="345"/>
      <c r="BE65" s="346"/>
      <c r="BF65" s="347"/>
      <c r="BG65" s="348"/>
    </row>
    <row r="66" ht="15.75" customHeight="1">
      <c r="A66" s="307" t="s">
        <v>2706</v>
      </c>
      <c r="B66" s="308">
        <v>2.0</v>
      </c>
      <c r="C66" s="309" t="s">
        <v>2707</v>
      </c>
      <c r="D66" s="309" t="s">
        <v>23</v>
      </c>
      <c r="E66" s="309" t="s">
        <v>2708</v>
      </c>
      <c r="F66" s="309" t="s">
        <v>1763</v>
      </c>
      <c r="G66" s="310" t="s">
        <v>2709</v>
      </c>
      <c r="H66" s="310" t="s">
        <v>2773</v>
      </c>
      <c r="I66" s="311" t="s">
        <v>2258</v>
      </c>
      <c r="J66" s="312" t="s">
        <v>179</v>
      </c>
      <c r="K66" s="309" t="s">
        <v>25</v>
      </c>
      <c r="L66" s="313">
        <v>0.0</v>
      </c>
      <c r="M66" s="313">
        <v>0.0</v>
      </c>
      <c r="N66" s="313">
        <v>0.0</v>
      </c>
      <c r="O66" s="313">
        <v>0.0</v>
      </c>
      <c r="P66" s="313">
        <v>0.0</v>
      </c>
      <c r="Q66" s="313">
        <v>0.0</v>
      </c>
      <c r="R66" s="313">
        <v>0.0</v>
      </c>
      <c r="S66" s="313">
        <v>0.0</v>
      </c>
      <c r="T66" s="313">
        <v>0.0</v>
      </c>
      <c r="U66" s="313">
        <v>0.0</v>
      </c>
      <c r="V66" s="314">
        <v>5.0</v>
      </c>
      <c r="W66" s="315">
        <v>5.0</v>
      </c>
      <c r="X66" s="316">
        <v>0.0</v>
      </c>
      <c r="Y66" s="316">
        <v>0.0</v>
      </c>
      <c r="Z66" s="316">
        <v>0.0</v>
      </c>
      <c r="AA66" s="316">
        <v>0.0</v>
      </c>
      <c r="AB66" s="316">
        <v>0.0</v>
      </c>
      <c r="AC66" s="316">
        <v>0.0</v>
      </c>
      <c r="AD66" s="316">
        <v>0.0</v>
      </c>
      <c r="AE66" s="316">
        <v>0.0</v>
      </c>
      <c r="AF66" s="316">
        <v>0.0</v>
      </c>
      <c r="AG66" s="316">
        <v>0.0</v>
      </c>
      <c r="AH66" s="317">
        <v>0.0</v>
      </c>
      <c r="AI66" s="318">
        <v>0.0</v>
      </c>
      <c r="AJ66" s="316">
        <v>0.0</v>
      </c>
      <c r="AK66" s="316">
        <v>0.0</v>
      </c>
      <c r="AL66" s="316">
        <v>0.0</v>
      </c>
      <c r="AM66" s="316">
        <v>0.0</v>
      </c>
      <c r="AN66" s="316">
        <v>0.0</v>
      </c>
      <c r="AO66" s="316">
        <v>0.0</v>
      </c>
      <c r="AP66" s="316">
        <v>0.0</v>
      </c>
      <c r="AQ66" s="316">
        <v>0.0</v>
      </c>
      <c r="AR66" s="316">
        <v>0.0</v>
      </c>
      <c r="AS66" s="316">
        <v>0.0</v>
      </c>
      <c r="AT66" s="317">
        <v>0.0</v>
      </c>
      <c r="AU66" s="318">
        <v>0.0</v>
      </c>
      <c r="AV66" s="319">
        <f t="shared" si="1"/>
        <v>5</v>
      </c>
      <c r="AW66" s="320">
        <v>2251.0</v>
      </c>
      <c r="AX66" s="321">
        <f t="shared" si="2"/>
        <v>15666.96</v>
      </c>
      <c r="AY66" s="349">
        <f t="shared" si="3"/>
        <v>78334.8</v>
      </c>
      <c r="AZ66" s="349">
        <f t="shared" si="4"/>
        <v>0</v>
      </c>
      <c r="BA66" s="349">
        <f t="shared" si="5"/>
        <v>0</v>
      </c>
      <c r="BB66" s="350">
        <f t="shared" si="6"/>
        <v>78334.8</v>
      </c>
      <c r="BC66" s="324"/>
      <c r="BD66" s="324"/>
      <c r="BE66" s="325"/>
      <c r="BF66" s="326"/>
      <c r="BG66" s="327"/>
    </row>
    <row r="67" ht="15.75" customHeight="1">
      <c r="A67" s="328" t="s">
        <v>2706</v>
      </c>
      <c r="B67" s="329">
        <v>2.0</v>
      </c>
      <c r="C67" s="330" t="s">
        <v>2707</v>
      </c>
      <c r="D67" s="330" t="s">
        <v>23</v>
      </c>
      <c r="E67" s="330" t="s">
        <v>2708</v>
      </c>
      <c r="F67" s="330" t="s">
        <v>1763</v>
      </c>
      <c r="G67" s="331" t="s">
        <v>2709</v>
      </c>
      <c r="H67" s="331" t="s">
        <v>2774</v>
      </c>
      <c r="I67" s="332" t="s">
        <v>2260</v>
      </c>
      <c r="J67" s="333" t="s">
        <v>322</v>
      </c>
      <c r="K67" s="330" t="s">
        <v>25</v>
      </c>
      <c r="L67" s="334">
        <v>0.0</v>
      </c>
      <c r="M67" s="334">
        <v>0.0</v>
      </c>
      <c r="N67" s="334">
        <v>0.0</v>
      </c>
      <c r="O67" s="334">
        <v>0.0</v>
      </c>
      <c r="P67" s="334">
        <v>0.0</v>
      </c>
      <c r="Q67" s="334">
        <v>0.0</v>
      </c>
      <c r="R67" s="334">
        <v>0.0</v>
      </c>
      <c r="S67" s="334">
        <v>0.0</v>
      </c>
      <c r="T67" s="334">
        <v>0.0</v>
      </c>
      <c r="U67" s="334">
        <v>0.0</v>
      </c>
      <c r="V67" s="335">
        <v>6.0</v>
      </c>
      <c r="W67" s="336">
        <v>6.0</v>
      </c>
      <c r="X67" s="337">
        <v>0.0</v>
      </c>
      <c r="Y67" s="337">
        <v>0.0</v>
      </c>
      <c r="Z67" s="337">
        <v>0.0</v>
      </c>
      <c r="AA67" s="337">
        <v>0.0</v>
      </c>
      <c r="AB67" s="337">
        <v>0.0</v>
      </c>
      <c r="AC67" s="337">
        <v>0.0</v>
      </c>
      <c r="AD67" s="337">
        <v>0.0</v>
      </c>
      <c r="AE67" s="337">
        <v>0.0</v>
      </c>
      <c r="AF67" s="337">
        <v>0.0</v>
      </c>
      <c r="AG67" s="337">
        <v>0.0</v>
      </c>
      <c r="AH67" s="338">
        <v>0.0</v>
      </c>
      <c r="AI67" s="339">
        <v>0.0</v>
      </c>
      <c r="AJ67" s="337">
        <v>0.0</v>
      </c>
      <c r="AK67" s="337">
        <v>0.0</v>
      </c>
      <c r="AL67" s="337">
        <v>0.0</v>
      </c>
      <c r="AM67" s="337">
        <v>0.0</v>
      </c>
      <c r="AN67" s="337">
        <v>0.0</v>
      </c>
      <c r="AO67" s="337">
        <v>0.0</v>
      </c>
      <c r="AP67" s="337">
        <v>0.0</v>
      </c>
      <c r="AQ67" s="337">
        <v>0.0</v>
      </c>
      <c r="AR67" s="337">
        <v>0.0</v>
      </c>
      <c r="AS67" s="337">
        <v>0.0</v>
      </c>
      <c r="AT67" s="338">
        <v>0.0</v>
      </c>
      <c r="AU67" s="339">
        <v>0.0</v>
      </c>
      <c r="AV67" s="340">
        <f t="shared" si="1"/>
        <v>6</v>
      </c>
      <c r="AW67" s="341">
        <v>1700.84</v>
      </c>
      <c r="AX67" s="342">
        <f t="shared" si="2"/>
        <v>11837.8464</v>
      </c>
      <c r="AY67" s="343">
        <f t="shared" si="3"/>
        <v>71027.0784</v>
      </c>
      <c r="AZ67" s="343">
        <f t="shared" si="4"/>
        <v>0</v>
      </c>
      <c r="BA67" s="343">
        <f t="shared" si="5"/>
        <v>0</v>
      </c>
      <c r="BB67" s="344">
        <f t="shared" si="6"/>
        <v>71027.0784</v>
      </c>
      <c r="BC67" s="345"/>
      <c r="BD67" s="345"/>
      <c r="BE67" s="346"/>
      <c r="BF67" s="347"/>
      <c r="BG67" s="348"/>
    </row>
    <row r="68" ht="15.75" customHeight="1">
      <c r="A68" s="307" t="s">
        <v>2706</v>
      </c>
      <c r="B68" s="308">
        <v>2.0</v>
      </c>
      <c r="C68" s="309" t="s">
        <v>2707</v>
      </c>
      <c r="D68" s="309" t="s">
        <v>23</v>
      </c>
      <c r="E68" s="309" t="s">
        <v>2708</v>
      </c>
      <c r="F68" s="309" t="s">
        <v>1763</v>
      </c>
      <c r="G68" s="310" t="s">
        <v>2709</v>
      </c>
      <c r="H68" s="310" t="s">
        <v>2775</v>
      </c>
      <c r="I68" s="311" t="s">
        <v>2262</v>
      </c>
      <c r="J68" s="312" t="s">
        <v>527</v>
      </c>
      <c r="K68" s="309" t="s">
        <v>25</v>
      </c>
      <c r="L68" s="313">
        <v>0.0</v>
      </c>
      <c r="M68" s="313">
        <v>0.0</v>
      </c>
      <c r="N68" s="313">
        <v>0.0</v>
      </c>
      <c r="O68" s="313">
        <v>0.0</v>
      </c>
      <c r="P68" s="313">
        <v>0.0</v>
      </c>
      <c r="Q68" s="313">
        <v>0.0</v>
      </c>
      <c r="R68" s="313">
        <v>0.0</v>
      </c>
      <c r="S68" s="313">
        <v>0.0</v>
      </c>
      <c r="T68" s="313">
        <v>0.0</v>
      </c>
      <c r="U68" s="313">
        <v>0.0</v>
      </c>
      <c r="V68" s="314">
        <v>30.0</v>
      </c>
      <c r="W68" s="315">
        <v>30.0</v>
      </c>
      <c r="X68" s="316">
        <v>0.0</v>
      </c>
      <c r="Y68" s="316">
        <v>0.0</v>
      </c>
      <c r="Z68" s="316">
        <v>0.0</v>
      </c>
      <c r="AA68" s="316">
        <v>0.0</v>
      </c>
      <c r="AB68" s="316">
        <v>0.0</v>
      </c>
      <c r="AC68" s="316">
        <v>0.0</v>
      </c>
      <c r="AD68" s="316">
        <v>0.0</v>
      </c>
      <c r="AE68" s="316">
        <v>0.0</v>
      </c>
      <c r="AF68" s="316">
        <v>0.0</v>
      </c>
      <c r="AG68" s="316">
        <v>0.0</v>
      </c>
      <c r="AH68" s="317">
        <v>0.0</v>
      </c>
      <c r="AI68" s="318">
        <v>0.0</v>
      </c>
      <c r="AJ68" s="316">
        <v>0.0</v>
      </c>
      <c r="AK68" s="316">
        <v>0.0</v>
      </c>
      <c r="AL68" s="316">
        <v>0.0</v>
      </c>
      <c r="AM68" s="316">
        <v>0.0</v>
      </c>
      <c r="AN68" s="316">
        <v>0.0</v>
      </c>
      <c r="AO68" s="316">
        <v>0.0</v>
      </c>
      <c r="AP68" s="316">
        <v>0.0</v>
      </c>
      <c r="AQ68" s="316">
        <v>0.0</v>
      </c>
      <c r="AR68" s="316">
        <v>0.0</v>
      </c>
      <c r="AS68" s="316">
        <v>0.0</v>
      </c>
      <c r="AT68" s="317">
        <v>0.0</v>
      </c>
      <c r="AU68" s="318">
        <v>0.0</v>
      </c>
      <c r="AV68" s="319">
        <f t="shared" si="1"/>
        <v>30</v>
      </c>
      <c r="AW68" s="320">
        <v>23.0</v>
      </c>
      <c r="AX68" s="321">
        <f t="shared" si="2"/>
        <v>160.08</v>
      </c>
      <c r="AY68" s="349">
        <f t="shared" si="3"/>
        <v>4802.4</v>
      </c>
      <c r="AZ68" s="349">
        <f t="shared" si="4"/>
        <v>0</v>
      </c>
      <c r="BA68" s="349">
        <f t="shared" si="5"/>
        <v>0</v>
      </c>
      <c r="BB68" s="350">
        <f t="shared" si="6"/>
        <v>4802.4</v>
      </c>
      <c r="BC68" s="324"/>
      <c r="BD68" s="324"/>
      <c r="BE68" s="325"/>
      <c r="BF68" s="326"/>
      <c r="BG68" s="327"/>
    </row>
    <row r="69" ht="15.75" customHeight="1">
      <c r="A69" s="328" t="s">
        <v>2706</v>
      </c>
      <c r="B69" s="329">
        <v>2.0</v>
      </c>
      <c r="C69" s="330" t="s">
        <v>2707</v>
      </c>
      <c r="D69" s="330" t="s">
        <v>23</v>
      </c>
      <c r="E69" s="330" t="s">
        <v>2708</v>
      </c>
      <c r="F69" s="330" t="s">
        <v>1763</v>
      </c>
      <c r="G69" s="331" t="s">
        <v>2709</v>
      </c>
      <c r="H69" s="331" t="s">
        <v>2776</v>
      </c>
      <c r="I69" s="332" t="s">
        <v>2263</v>
      </c>
      <c r="J69" s="333" t="s">
        <v>423</v>
      </c>
      <c r="K69" s="330" t="s">
        <v>25</v>
      </c>
      <c r="L69" s="334">
        <v>0.0</v>
      </c>
      <c r="M69" s="334">
        <v>0.0</v>
      </c>
      <c r="N69" s="334">
        <v>0.0</v>
      </c>
      <c r="O69" s="334">
        <v>0.0</v>
      </c>
      <c r="P69" s="334">
        <v>0.0</v>
      </c>
      <c r="Q69" s="334">
        <v>0.0</v>
      </c>
      <c r="R69" s="334">
        <v>0.0</v>
      </c>
      <c r="S69" s="334">
        <v>0.0</v>
      </c>
      <c r="T69" s="334">
        <v>0.0</v>
      </c>
      <c r="U69" s="334">
        <v>0.0</v>
      </c>
      <c r="V69" s="335">
        <v>100.0</v>
      </c>
      <c r="W69" s="336">
        <v>100.0</v>
      </c>
      <c r="X69" s="337">
        <v>0.0</v>
      </c>
      <c r="Y69" s="337">
        <v>0.0</v>
      </c>
      <c r="Z69" s="337">
        <v>0.0</v>
      </c>
      <c r="AA69" s="337">
        <v>0.0</v>
      </c>
      <c r="AB69" s="337">
        <v>0.0</v>
      </c>
      <c r="AC69" s="337">
        <v>0.0</v>
      </c>
      <c r="AD69" s="337">
        <v>0.0</v>
      </c>
      <c r="AE69" s="337">
        <v>0.0</v>
      </c>
      <c r="AF69" s="337">
        <v>0.0</v>
      </c>
      <c r="AG69" s="337">
        <v>0.0</v>
      </c>
      <c r="AH69" s="338">
        <v>0.0</v>
      </c>
      <c r="AI69" s="353">
        <v>0.0</v>
      </c>
      <c r="AJ69" s="354">
        <v>0.0</v>
      </c>
      <c r="AK69" s="354">
        <v>0.0</v>
      </c>
      <c r="AL69" s="354">
        <v>0.0</v>
      </c>
      <c r="AM69" s="354">
        <v>0.0</v>
      </c>
      <c r="AN69" s="354">
        <v>0.0</v>
      </c>
      <c r="AO69" s="354">
        <v>0.0</v>
      </c>
      <c r="AP69" s="354">
        <v>0.0</v>
      </c>
      <c r="AQ69" s="354">
        <v>0.0</v>
      </c>
      <c r="AR69" s="354">
        <v>0.0</v>
      </c>
      <c r="AS69" s="354">
        <v>0.0</v>
      </c>
      <c r="AT69" s="338">
        <v>0.0</v>
      </c>
      <c r="AU69" s="353">
        <v>0.0</v>
      </c>
      <c r="AV69" s="340">
        <f t="shared" si="1"/>
        <v>100</v>
      </c>
      <c r="AW69" s="341">
        <v>26.07</v>
      </c>
      <c r="AX69" s="342">
        <f t="shared" si="2"/>
        <v>181.4472</v>
      </c>
      <c r="AY69" s="343">
        <f t="shared" si="3"/>
        <v>18144.72</v>
      </c>
      <c r="AZ69" s="343">
        <f t="shared" si="4"/>
        <v>0</v>
      </c>
      <c r="BA69" s="343">
        <f t="shared" si="5"/>
        <v>0</v>
      </c>
      <c r="BB69" s="344">
        <f t="shared" si="6"/>
        <v>18144.72</v>
      </c>
      <c r="BC69" s="345"/>
      <c r="BD69" s="345"/>
      <c r="BE69" s="346"/>
      <c r="BF69" s="347"/>
      <c r="BG69" s="348"/>
    </row>
    <row r="70" ht="15.75" customHeight="1">
      <c r="A70" s="307" t="s">
        <v>2706</v>
      </c>
      <c r="B70" s="308">
        <v>2.0</v>
      </c>
      <c r="C70" s="309" t="s">
        <v>2707</v>
      </c>
      <c r="D70" s="309" t="s">
        <v>23</v>
      </c>
      <c r="E70" s="309" t="s">
        <v>2708</v>
      </c>
      <c r="F70" s="309" t="s">
        <v>1763</v>
      </c>
      <c r="G70" s="310" t="s">
        <v>2709</v>
      </c>
      <c r="H70" s="310" t="s">
        <v>2777</v>
      </c>
      <c r="I70" s="311" t="s">
        <v>2265</v>
      </c>
      <c r="J70" s="312" t="s">
        <v>1501</v>
      </c>
      <c r="K70" s="309" t="s">
        <v>25</v>
      </c>
      <c r="L70" s="313">
        <v>0.0</v>
      </c>
      <c r="M70" s="313">
        <v>0.0</v>
      </c>
      <c r="N70" s="313">
        <v>0.0</v>
      </c>
      <c r="O70" s="313">
        <v>0.0</v>
      </c>
      <c r="P70" s="313">
        <v>0.0</v>
      </c>
      <c r="Q70" s="313">
        <v>0.0</v>
      </c>
      <c r="R70" s="313">
        <v>0.0</v>
      </c>
      <c r="S70" s="313">
        <v>0.0</v>
      </c>
      <c r="T70" s="313">
        <v>0.0</v>
      </c>
      <c r="U70" s="313">
        <v>0.0</v>
      </c>
      <c r="V70" s="314">
        <v>0.0</v>
      </c>
      <c r="W70" s="315">
        <v>0.0</v>
      </c>
      <c r="X70" s="316">
        <v>0.0</v>
      </c>
      <c r="Y70" s="316">
        <v>0.0</v>
      </c>
      <c r="Z70" s="316">
        <v>0.0</v>
      </c>
      <c r="AA70" s="316">
        <v>0.0</v>
      </c>
      <c r="AB70" s="316">
        <v>0.0</v>
      </c>
      <c r="AC70" s="316">
        <v>0.0</v>
      </c>
      <c r="AD70" s="316">
        <v>0.0</v>
      </c>
      <c r="AE70" s="316">
        <v>0.0</v>
      </c>
      <c r="AF70" s="316">
        <v>0.0</v>
      </c>
      <c r="AG70" s="316">
        <v>0.0</v>
      </c>
      <c r="AH70" s="317">
        <v>48.0</v>
      </c>
      <c r="AI70" s="318">
        <v>48.0</v>
      </c>
      <c r="AJ70" s="316">
        <v>0.0</v>
      </c>
      <c r="AK70" s="316">
        <v>0.0</v>
      </c>
      <c r="AL70" s="316">
        <v>0.0</v>
      </c>
      <c r="AM70" s="316">
        <v>0.0</v>
      </c>
      <c r="AN70" s="316">
        <v>0.0</v>
      </c>
      <c r="AO70" s="316">
        <v>0.0</v>
      </c>
      <c r="AP70" s="316">
        <v>0.0</v>
      </c>
      <c r="AQ70" s="316">
        <v>0.0</v>
      </c>
      <c r="AR70" s="316">
        <v>0.0</v>
      </c>
      <c r="AS70" s="316">
        <v>0.0</v>
      </c>
      <c r="AT70" s="317">
        <v>48.0</v>
      </c>
      <c r="AU70" s="318">
        <v>48.0</v>
      </c>
      <c r="AV70" s="319">
        <f t="shared" si="1"/>
        <v>96</v>
      </c>
      <c r="AW70" s="320">
        <v>1.31</v>
      </c>
      <c r="AX70" s="321">
        <f t="shared" si="2"/>
        <v>9.1176</v>
      </c>
      <c r="AY70" s="349">
        <f t="shared" si="3"/>
        <v>0</v>
      </c>
      <c r="AZ70" s="349">
        <f t="shared" si="4"/>
        <v>437.6448</v>
      </c>
      <c r="BA70" s="349">
        <f t="shared" si="5"/>
        <v>437.6448</v>
      </c>
      <c r="BB70" s="350">
        <f t="shared" si="6"/>
        <v>875.2896</v>
      </c>
      <c r="BC70" s="324"/>
      <c r="BD70" s="324"/>
      <c r="BE70" s="325"/>
      <c r="BF70" s="326"/>
      <c r="BG70" s="327"/>
    </row>
    <row r="71" ht="15.75" customHeight="1">
      <c r="A71" s="328" t="s">
        <v>2706</v>
      </c>
      <c r="B71" s="329">
        <v>2.0</v>
      </c>
      <c r="C71" s="330" t="s">
        <v>2707</v>
      </c>
      <c r="D71" s="330" t="s">
        <v>23</v>
      </c>
      <c r="E71" s="330" t="s">
        <v>2708</v>
      </c>
      <c r="F71" s="330" t="s">
        <v>1763</v>
      </c>
      <c r="G71" s="331" t="s">
        <v>2709</v>
      </c>
      <c r="H71" s="331" t="s">
        <v>2778</v>
      </c>
      <c r="I71" s="332" t="s">
        <v>2267</v>
      </c>
      <c r="J71" s="333" t="s">
        <v>1572</v>
      </c>
      <c r="K71" s="330" t="s">
        <v>25</v>
      </c>
      <c r="L71" s="334">
        <v>0.0</v>
      </c>
      <c r="M71" s="334">
        <v>0.0</v>
      </c>
      <c r="N71" s="334">
        <v>0.0</v>
      </c>
      <c r="O71" s="334">
        <v>0.0</v>
      </c>
      <c r="P71" s="334">
        <v>0.0</v>
      </c>
      <c r="Q71" s="334">
        <v>0.0</v>
      </c>
      <c r="R71" s="334">
        <v>0.0</v>
      </c>
      <c r="S71" s="334">
        <v>0.0</v>
      </c>
      <c r="T71" s="334">
        <v>0.0</v>
      </c>
      <c r="U71" s="334">
        <v>0.0</v>
      </c>
      <c r="V71" s="335">
        <v>42.0</v>
      </c>
      <c r="W71" s="336">
        <v>42.0</v>
      </c>
      <c r="X71" s="337">
        <v>0.0</v>
      </c>
      <c r="Y71" s="337">
        <v>0.0</v>
      </c>
      <c r="Z71" s="337">
        <v>0.0</v>
      </c>
      <c r="AA71" s="337">
        <v>0.0</v>
      </c>
      <c r="AB71" s="337">
        <v>0.0</v>
      </c>
      <c r="AC71" s="337">
        <v>0.0</v>
      </c>
      <c r="AD71" s="337">
        <v>0.0</v>
      </c>
      <c r="AE71" s="337">
        <v>0.0</v>
      </c>
      <c r="AF71" s="337">
        <v>0.0</v>
      </c>
      <c r="AG71" s="337">
        <v>0.0</v>
      </c>
      <c r="AH71" s="338">
        <v>0.0</v>
      </c>
      <c r="AI71" s="339">
        <v>0.0</v>
      </c>
      <c r="AJ71" s="337">
        <v>0.0</v>
      </c>
      <c r="AK71" s="337">
        <v>0.0</v>
      </c>
      <c r="AL71" s="337">
        <v>0.0</v>
      </c>
      <c r="AM71" s="337">
        <v>0.0</v>
      </c>
      <c r="AN71" s="337">
        <v>0.0</v>
      </c>
      <c r="AO71" s="337">
        <v>0.0</v>
      </c>
      <c r="AP71" s="337">
        <v>0.0</v>
      </c>
      <c r="AQ71" s="337">
        <v>0.0</v>
      </c>
      <c r="AR71" s="337">
        <v>0.0</v>
      </c>
      <c r="AS71" s="337">
        <v>0.0</v>
      </c>
      <c r="AT71" s="338">
        <v>0.0</v>
      </c>
      <c r="AU71" s="339">
        <v>0.0</v>
      </c>
      <c r="AV71" s="340">
        <f t="shared" si="1"/>
        <v>42</v>
      </c>
      <c r="AW71" s="341">
        <v>1.89</v>
      </c>
      <c r="AX71" s="342">
        <f t="shared" si="2"/>
        <v>13.1544</v>
      </c>
      <c r="AY71" s="343">
        <f t="shared" si="3"/>
        <v>552.4848</v>
      </c>
      <c r="AZ71" s="343">
        <f t="shared" si="4"/>
        <v>0</v>
      </c>
      <c r="BA71" s="343">
        <f t="shared" si="5"/>
        <v>0</v>
      </c>
      <c r="BB71" s="344">
        <f t="shared" si="6"/>
        <v>552.4848</v>
      </c>
      <c r="BC71" s="345"/>
      <c r="BD71" s="345"/>
      <c r="BE71" s="346"/>
      <c r="BF71" s="347"/>
      <c r="BG71" s="348"/>
    </row>
    <row r="72" ht="15.75" customHeight="1">
      <c r="A72" s="307" t="s">
        <v>2706</v>
      </c>
      <c r="B72" s="308">
        <v>2.0</v>
      </c>
      <c r="C72" s="309" t="s">
        <v>2707</v>
      </c>
      <c r="D72" s="309" t="s">
        <v>23</v>
      </c>
      <c r="E72" s="309" t="s">
        <v>2708</v>
      </c>
      <c r="F72" s="309" t="s">
        <v>1763</v>
      </c>
      <c r="G72" s="310" t="s">
        <v>2709</v>
      </c>
      <c r="H72" s="310" t="s">
        <v>2779</v>
      </c>
      <c r="I72" s="311" t="s">
        <v>2269</v>
      </c>
      <c r="J72" s="312" t="s">
        <v>1274</v>
      </c>
      <c r="K72" s="309" t="s">
        <v>25</v>
      </c>
      <c r="L72" s="313">
        <v>0.0</v>
      </c>
      <c r="M72" s="313">
        <v>0.0</v>
      </c>
      <c r="N72" s="313">
        <v>0.0</v>
      </c>
      <c r="O72" s="313">
        <v>0.0</v>
      </c>
      <c r="P72" s="313">
        <v>0.0</v>
      </c>
      <c r="Q72" s="313">
        <v>0.0</v>
      </c>
      <c r="R72" s="313">
        <v>0.0</v>
      </c>
      <c r="S72" s="313">
        <v>0.0</v>
      </c>
      <c r="T72" s="313">
        <v>0.0</v>
      </c>
      <c r="U72" s="313">
        <v>0.0</v>
      </c>
      <c r="V72" s="314">
        <v>30.0</v>
      </c>
      <c r="W72" s="315">
        <v>30.0</v>
      </c>
      <c r="X72" s="316">
        <v>0.0</v>
      </c>
      <c r="Y72" s="316">
        <v>0.0</v>
      </c>
      <c r="Z72" s="316">
        <v>0.0</v>
      </c>
      <c r="AA72" s="316">
        <v>0.0</v>
      </c>
      <c r="AB72" s="316">
        <v>0.0</v>
      </c>
      <c r="AC72" s="316">
        <v>0.0</v>
      </c>
      <c r="AD72" s="316">
        <v>0.0</v>
      </c>
      <c r="AE72" s="316">
        <v>0.0</v>
      </c>
      <c r="AF72" s="316">
        <v>0.0</v>
      </c>
      <c r="AG72" s="316">
        <v>0.0</v>
      </c>
      <c r="AH72" s="317">
        <v>0.0</v>
      </c>
      <c r="AI72" s="318">
        <v>0.0</v>
      </c>
      <c r="AJ72" s="316">
        <v>0.0</v>
      </c>
      <c r="AK72" s="316">
        <v>0.0</v>
      </c>
      <c r="AL72" s="316">
        <v>0.0</v>
      </c>
      <c r="AM72" s="316">
        <v>0.0</v>
      </c>
      <c r="AN72" s="316">
        <v>0.0</v>
      </c>
      <c r="AO72" s="316">
        <v>0.0</v>
      </c>
      <c r="AP72" s="316">
        <v>0.0</v>
      </c>
      <c r="AQ72" s="316">
        <v>0.0</v>
      </c>
      <c r="AR72" s="316">
        <v>0.0</v>
      </c>
      <c r="AS72" s="316">
        <v>0.0</v>
      </c>
      <c r="AT72" s="317">
        <v>0.0</v>
      </c>
      <c r="AU72" s="318">
        <v>0.0</v>
      </c>
      <c r="AV72" s="319">
        <f t="shared" si="1"/>
        <v>30</v>
      </c>
      <c r="AW72" s="320">
        <v>0.65</v>
      </c>
      <c r="AX72" s="321">
        <f t="shared" si="2"/>
        <v>4.524</v>
      </c>
      <c r="AY72" s="349">
        <f t="shared" si="3"/>
        <v>135.72</v>
      </c>
      <c r="AZ72" s="349">
        <f t="shared" si="4"/>
        <v>0</v>
      </c>
      <c r="BA72" s="349">
        <f t="shared" si="5"/>
        <v>0</v>
      </c>
      <c r="BB72" s="350">
        <f t="shared" si="6"/>
        <v>135.72</v>
      </c>
      <c r="BC72" s="324"/>
      <c r="BD72" s="324"/>
      <c r="BE72" s="325"/>
      <c r="BF72" s="326"/>
      <c r="BG72" s="327"/>
    </row>
    <row r="73" ht="15.75" customHeight="1">
      <c r="A73" s="328" t="s">
        <v>2706</v>
      </c>
      <c r="B73" s="329">
        <v>2.0</v>
      </c>
      <c r="C73" s="330" t="s">
        <v>2707</v>
      </c>
      <c r="D73" s="330" t="s">
        <v>23</v>
      </c>
      <c r="E73" s="330" t="s">
        <v>2708</v>
      </c>
      <c r="F73" s="330" t="s">
        <v>1763</v>
      </c>
      <c r="G73" s="331" t="s">
        <v>2709</v>
      </c>
      <c r="H73" s="361"/>
      <c r="I73" s="332" t="s">
        <v>2287</v>
      </c>
      <c r="J73" s="333" t="s">
        <v>609</v>
      </c>
      <c r="K73" s="330" t="s">
        <v>25</v>
      </c>
      <c r="L73" s="334">
        <v>0.0</v>
      </c>
      <c r="M73" s="334">
        <v>0.0</v>
      </c>
      <c r="N73" s="334">
        <v>0.0</v>
      </c>
      <c r="O73" s="334">
        <v>0.0</v>
      </c>
      <c r="P73" s="334">
        <v>0.0</v>
      </c>
      <c r="Q73" s="334">
        <v>0.0</v>
      </c>
      <c r="R73" s="334">
        <v>0.0</v>
      </c>
      <c r="S73" s="334">
        <v>0.0</v>
      </c>
      <c r="T73" s="334">
        <v>0.0</v>
      </c>
      <c r="U73" s="334">
        <v>0.0</v>
      </c>
      <c r="V73" s="335">
        <v>6.0</v>
      </c>
      <c r="W73" s="336">
        <v>6.0</v>
      </c>
      <c r="X73" s="337">
        <v>0.0</v>
      </c>
      <c r="Y73" s="337">
        <v>0.0</v>
      </c>
      <c r="Z73" s="337">
        <v>0.0</v>
      </c>
      <c r="AA73" s="337">
        <v>0.0</v>
      </c>
      <c r="AB73" s="337">
        <v>0.0</v>
      </c>
      <c r="AC73" s="337">
        <v>0.0</v>
      </c>
      <c r="AD73" s="337">
        <v>0.0</v>
      </c>
      <c r="AE73" s="337">
        <v>0.0</v>
      </c>
      <c r="AF73" s="337">
        <v>0.0</v>
      </c>
      <c r="AG73" s="337">
        <v>0.0</v>
      </c>
      <c r="AH73" s="338">
        <v>0.0</v>
      </c>
      <c r="AI73" s="339">
        <v>0.0</v>
      </c>
      <c r="AJ73" s="337">
        <v>0.0</v>
      </c>
      <c r="AK73" s="337">
        <v>0.0</v>
      </c>
      <c r="AL73" s="337">
        <v>0.0</v>
      </c>
      <c r="AM73" s="337">
        <v>0.0</v>
      </c>
      <c r="AN73" s="337">
        <v>0.0</v>
      </c>
      <c r="AO73" s="337">
        <v>0.0</v>
      </c>
      <c r="AP73" s="337">
        <v>0.0</v>
      </c>
      <c r="AQ73" s="337">
        <v>0.0</v>
      </c>
      <c r="AR73" s="337">
        <v>0.0</v>
      </c>
      <c r="AS73" s="337">
        <v>0.0</v>
      </c>
      <c r="AT73" s="338">
        <v>0.0</v>
      </c>
      <c r="AU73" s="339">
        <v>0.0</v>
      </c>
      <c r="AV73" s="340">
        <f t="shared" si="1"/>
        <v>6</v>
      </c>
      <c r="AW73" s="341">
        <v>547.19</v>
      </c>
      <c r="AX73" s="342">
        <f t="shared" si="2"/>
        <v>3808.4424</v>
      </c>
      <c r="AY73" s="343">
        <f t="shared" si="3"/>
        <v>22850.6544</v>
      </c>
      <c r="AZ73" s="343">
        <f t="shared" si="4"/>
        <v>0</v>
      </c>
      <c r="BA73" s="343">
        <f t="shared" si="5"/>
        <v>0</v>
      </c>
      <c r="BB73" s="344">
        <f t="shared" si="6"/>
        <v>22850.6544</v>
      </c>
      <c r="BC73" s="345"/>
      <c r="BD73" s="345"/>
      <c r="BE73" s="346"/>
      <c r="BF73" s="347"/>
      <c r="BG73" s="348"/>
    </row>
    <row r="74" ht="15.75" customHeight="1">
      <c r="A74" s="307" t="s">
        <v>2706</v>
      </c>
      <c r="B74" s="308">
        <v>2.0</v>
      </c>
      <c r="C74" s="309" t="s">
        <v>2707</v>
      </c>
      <c r="D74" s="309" t="s">
        <v>23</v>
      </c>
      <c r="E74" s="309" t="s">
        <v>2708</v>
      </c>
      <c r="F74" s="309" t="s">
        <v>1763</v>
      </c>
      <c r="G74" s="310" t="s">
        <v>2709</v>
      </c>
      <c r="H74" s="310" t="s">
        <v>2780</v>
      </c>
      <c r="I74" s="311" t="s">
        <v>2316</v>
      </c>
      <c r="J74" s="312" t="s">
        <v>1534</v>
      </c>
      <c r="K74" s="309" t="s">
        <v>25</v>
      </c>
      <c r="L74" s="313">
        <v>0.0</v>
      </c>
      <c r="M74" s="313">
        <v>0.0</v>
      </c>
      <c r="N74" s="313">
        <v>0.0</v>
      </c>
      <c r="O74" s="313">
        <v>0.0</v>
      </c>
      <c r="P74" s="313">
        <v>0.0</v>
      </c>
      <c r="Q74" s="313">
        <v>0.0</v>
      </c>
      <c r="R74" s="313">
        <v>0.0</v>
      </c>
      <c r="S74" s="313">
        <v>0.0</v>
      </c>
      <c r="T74" s="313">
        <v>0.0</v>
      </c>
      <c r="U74" s="313">
        <v>0.0</v>
      </c>
      <c r="V74" s="314">
        <v>30.0</v>
      </c>
      <c r="W74" s="315">
        <v>30.0</v>
      </c>
      <c r="X74" s="316">
        <v>0.0</v>
      </c>
      <c r="Y74" s="316">
        <v>0.0</v>
      </c>
      <c r="Z74" s="316">
        <v>0.0</v>
      </c>
      <c r="AA74" s="316">
        <v>0.0</v>
      </c>
      <c r="AB74" s="316">
        <v>0.0</v>
      </c>
      <c r="AC74" s="316">
        <v>0.0</v>
      </c>
      <c r="AD74" s="316">
        <v>0.0</v>
      </c>
      <c r="AE74" s="316">
        <v>0.0</v>
      </c>
      <c r="AF74" s="316">
        <v>0.0</v>
      </c>
      <c r="AG74" s="316">
        <v>0.0</v>
      </c>
      <c r="AH74" s="317">
        <v>0.0</v>
      </c>
      <c r="AI74" s="318">
        <v>0.0</v>
      </c>
      <c r="AJ74" s="316">
        <v>0.0</v>
      </c>
      <c r="AK74" s="316">
        <v>0.0</v>
      </c>
      <c r="AL74" s="316">
        <v>0.0</v>
      </c>
      <c r="AM74" s="316">
        <v>0.0</v>
      </c>
      <c r="AN74" s="316">
        <v>0.0</v>
      </c>
      <c r="AO74" s="316">
        <v>0.0</v>
      </c>
      <c r="AP74" s="316">
        <v>0.0</v>
      </c>
      <c r="AQ74" s="316">
        <v>0.0</v>
      </c>
      <c r="AR74" s="316">
        <v>0.0</v>
      </c>
      <c r="AS74" s="316">
        <v>0.0</v>
      </c>
      <c r="AT74" s="317">
        <v>0.0</v>
      </c>
      <c r="AU74" s="318">
        <v>0.0</v>
      </c>
      <c r="AV74" s="319">
        <f t="shared" si="1"/>
        <v>30</v>
      </c>
      <c r="AW74" s="320">
        <v>1.31</v>
      </c>
      <c r="AX74" s="321">
        <f t="shared" si="2"/>
        <v>9.1176</v>
      </c>
      <c r="AY74" s="349">
        <f t="shared" si="3"/>
        <v>273.528</v>
      </c>
      <c r="AZ74" s="349">
        <f t="shared" si="4"/>
        <v>0</v>
      </c>
      <c r="BA74" s="349">
        <f t="shared" si="5"/>
        <v>0</v>
      </c>
      <c r="BB74" s="350">
        <f t="shared" si="6"/>
        <v>273.528</v>
      </c>
      <c r="BC74" s="324"/>
      <c r="BD74" s="324"/>
      <c r="BE74" s="325"/>
      <c r="BF74" s="326"/>
      <c r="BG74" s="327"/>
    </row>
    <row r="75" ht="15.75" customHeight="1">
      <c r="A75" s="328" t="s">
        <v>2706</v>
      </c>
      <c r="B75" s="329">
        <v>2.0</v>
      </c>
      <c r="C75" s="330" t="s">
        <v>2707</v>
      </c>
      <c r="D75" s="330" t="s">
        <v>23</v>
      </c>
      <c r="E75" s="330" t="s">
        <v>2708</v>
      </c>
      <c r="F75" s="330" t="s">
        <v>1763</v>
      </c>
      <c r="G75" s="331" t="s">
        <v>2709</v>
      </c>
      <c r="H75" s="362" t="s">
        <v>2781</v>
      </c>
      <c r="I75" s="332" t="s">
        <v>2317</v>
      </c>
      <c r="J75" s="333" t="s">
        <v>833</v>
      </c>
      <c r="K75" s="330" t="s">
        <v>25</v>
      </c>
      <c r="L75" s="334">
        <v>0.0</v>
      </c>
      <c r="M75" s="334">
        <v>0.0</v>
      </c>
      <c r="N75" s="334">
        <v>0.0</v>
      </c>
      <c r="O75" s="334">
        <v>0.0</v>
      </c>
      <c r="P75" s="334">
        <v>0.0</v>
      </c>
      <c r="Q75" s="334">
        <v>0.0</v>
      </c>
      <c r="R75" s="334">
        <v>0.0</v>
      </c>
      <c r="S75" s="334">
        <v>0.0</v>
      </c>
      <c r="T75" s="334">
        <v>0.0</v>
      </c>
      <c r="U75" s="334">
        <v>0.0</v>
      </c>
      <c r="V75" s="335">
        <v>120.0</v>
      </c>
      <c r="W75" s="336">
        <v>120.0</v>
      </c>
      <c r="X75" s="337">
        <v>0.0</v>
      </c>
      <c r="Y75" s="337">
        <v>0.0</v>
      </c>
      <c r="Z75" s="337">
        <v>0.0</v>
      </c>
      <c r="AA75" s="337">
        <v>0.0</v>
      </c>
      <c r="AB75" s="337">
        <v>0.0</v>
      </c>
      <c r="AC75" s="337">
        <v>0.0</v>
      </c>
      <c r="AD75" s="337">
        <v>0.0</v>
      </c>
      <c r="AE75" s="337">
        <v>0.0</v>
      </c>
      <c r="AF75" s="337">
        <v>0.0</v>
      </c>
      <c r="AG75" s="337">
        <v>0.0</v>
      </c>
      <c r="AH75" s="338">
        <v>288.0</v>
      </c>
      <c r="AI75" s="339">
        <v>288.0</v>
      </c>
      <c r="AJ75" s="337">
        <v>0.0</v>
      </c>
      <c r="AK75" s="337">
        <v>0.0</v>
      </c>
      <c r="AL75" s="337">
        <v>0.0</v>
      </c>
      <c r="AM75" s="337">
        <v>0.0</v>
      </c>
      <c r="AN75" s="337">
        <v>0.0</v>
      </c>
      <c r="AO75" s="337">
        <v>0.0</v>
      </c>
      <c r="AP75" s="337">
        <v>0.0</v>
      </c>
      <c r="AQ75" s="337">
        <v>0.0</v>
      </c>
      <c r="AR75" s="337">
        <v>0.0</v>
      </c>
      <c r="AS75" s="337">
        <v>0.0</v>
      </c>
      <c r="AT75" s="338">
        <v>112.0</v>
      </c>
      <c r="AU75" s="339">
        <v>112.0</v>
      </c>
      <c r="AV75" s="340">
        <f t="shared" si="1"/>
        <v>520</v>
      </c>
      <c r="AW75" s="341">
        <v>5.61</v>
      </c>
      <c r="AX75" s="342">
        <f t="shared" si="2"/>
        <v>39.0456</v>
      </c>
      <c r="AY75" s="343">
        <f t="shared" si="3"/>
        <v>4685.472</v>
      </c>
      <c r="AZ75" s="343">
        <f t="shared" si="4"/>
        <v>11245.1328</v>
      </c>
      <c r="BA75" s="343">
        <f t="shared" si="5"/>
        <v>4373.1072</v>
      </c>
      <c r="BB75" s="344">
        <f t="shared" si="6"/>
        <v>20303.712</v>
      </c>
      <c r="BC75" s="345"/>
      <c r="BD75" s="345"/>
      <c r="BE75" s="346"/>
      <c r="BF75" s="347"/>
      <c r="BG75" s="348"/>
    </row>
    <row r="76" ht="15.75" customHeight="1">
      <c r="A76" s="307" t="s">
        <v>2706</v>
      </c>
      <c r="B76" s="308">
        <v>2.0</v>
      </c>
      <c r="C76" s="309" t="s">
        <v>2707</v>
      </c>
      <c r="D76" s="309" t="s">
        <v>23</v>
      </c>
      <c r="E76" s="309" t="s">
        <v>2708</v>
      </c>
      <c r="F76" s="309" t="s">
        <v>1763</v>
      </c>
      <c r="G76" s="310" t="s">
        <v>2709</v>
      </c>
      <c r="H76" s="310" t="s">
        <v>2782</v>
      </c>
      <c r="I76" s="311" t="s">
        <v>2318</v>
      </c>
      <c r="J76" s="312" t="s">
        <v>356</v>
      </c>
      <c r="K76" s="309" t="s">
        <v>25</v>
      </c>
      <c r="L76" s="313">
        <v>0.0</v>
      </c>
      <c r="M76" s="313">
        <v>0.0</v>
      </c>
      <c r="N76" s="313">
        <v>0.0</v>
      </c>
      <c r="O76" s="313">
        <v>0.0</v>
      </c>
      <c r="P76" s="313">
        <v>0.0</v>
      </c>
      <c r="Q76" s="313">
        <v>0.0</v>
      </c>
      <c r="R76" s="313">
        <v>0.0</v>
      </c>
      <c r="S76" s="313">
        <v>0.0</v>
      </c>
      <c r="T76" s="313">
        <v>0.0</v>
      </c>
      <c r="U76" s="313">
        <v>0.0</v>
      </c>
      <c r="V76" s="314">
        <v>588.0</v>
      </c>
      <c r="W76" s="315">
        <v>588.0</v>
      </c>
      <c r="X76" s="316">
        <v>0.0</v>
      </c>
      <c r="Y76" s="316">
        <v>0.0</v>
      </c>
      <c r="Z76" s="316">
        <v>0.0</v>
      </c>
      <c r="AA76" s="316">
        <v>0.0</v>
      </c>
      <c r="AB76" s="316">
        <v>0.0</v>
      </c>
      <c r="AC76" s="316">
        <v>0.0</v>
      </c>
      <c r="AD76" s="316">
        <v>0.0</v>
      </c>
      <c r="AE76" s="316">
        <v>0.0</v>
      </c>
      <c r="AF76" s="316">
        <v>0.0</v>
      </c>
      <c r="AG76" s="316">
        <v>0.0</v>
      </c>
      <c r="AH76" s="317">
        <v>768.0</v>
      </c>
      <c r="AI76" s="318">
        <v>768.0</v>
      </c>
      <c r="AJ76" s="316">
        <v>0.0</v>
      </c>
      <c r="AK76" s="316">
        <v>0.0</v>
      </c>
      <c r="AL76" s="316">
        <v>0.0</v>
      </c>
      <c r="AM76" s="316">
        <v>0.0</v>
      </c>
      <c r="AN76" s="316">
        <v>0.0</v>
      </c>
      <c r="AO76" s="316">
        <v>0.0</v>
      </c>
      <c r="AP76" s="316">
        <v>0.0</v>
      </c>
      <c r="AQ76" s="316">
        <v>0.0</v>
      </c>
      <c r="AR76" s="316">
        <v>0.0</v>
      </c>
      <c r="AS76" s="316">
        <v>0.0</v>
      </c>
      <c r="AT76" s="317">
        <v>864.0</v>
      </c>
      <c r="AU76" s="318">
        <v>864.0</v>
      </c>
      <c r="AV76" s="319">
        <f t="shared" si="1"/>
        <v>2220</v>
      </c>
      <c r="AW76" s="320">
        <v>7.69</v>
      </c>
      <c r="AX76" s="321">
        <f t="shared" si="2"/>
        <v>53.5224</v>
      </c>
      <c r="AY76" s="349">
        <f t="shared" si="3"/>
        <v>31471.1712</v>
      </c>
      <c r="AZ76" s="349">
        <f t="shared" si="4"/>
        <v>41105.2032</v>
      </c>
      <c r="BA76" s="349">
        <f t="shared" si="5"/>
        <v>46243.3536</v>
      </c>
      <c r="BB76" s="350">
        <f t="shared" si="6"/>
        <v>118819.728</v>
      </c>
      <c r="BC76" s="324"/>
      <c r="BD76" s="324"/>
      <c r="BE76" s="325"/>
      <c r="BF76" s="326"/>
      <c r="BG76" s="327"/>
    </row>
    <row r="77" ht="15.75" customHeight="1">
      <c r="A77" s="328" t="s">
        <v>2706</v>
      </c>
      <c r="B77" s="329">
        <v>2.0</v>
      </c>
      <c r="C77" s="330" t="s">
        <v>2707</v>
      </c>
      <c r="D77" s="330" t="s">
        <v>23</v>
      </c>
      <c r="E77" s="330" t="s">
        <v>2708</v>
      </c>
      <c r="F77" s="330" t="s">
        <v>1763</v>
      </c>
      <c r="G77" s="331" t="s">
        <v>2709</v>
      </c>
      <c r="H77" s="331" t="s">
        <v>2783</v>
      </c>
      <c r="I77" s="332" t="s">
        <v>2319</v>
      </c>
      <c r="J77" s="333" t="s">
        <v>836</v>
      </c>
      <c r="K77" s="330" t="s">
        <v>25</v>
      </c>
      <c r="L77" s="334">
        <v>0.0</v>
      </c>
      <c r="M77" s="334">
        <v>0.0</v>
      </c>
      <c r="N77" s="334">
        <v>0.0</v>
      </c>
      <c r="O77" s="334">
        <v>0.0</v>
      </c>
      <c r="P77" s="334">
        <v>0.0</v>
      </c>
      <c r="Q77" s="334">
        <v>0.0</v>
      </c>
      <c r="R77" s="334">
        <v>0.0</v>
      </c>
      <c r="S77" s="334">
        <v>0.0</v>
      </c>
      <c r="T77" s="334">
        <v>0.0</v>
      </c>
      <c r="U77" s="334">
        <v>0.0</v>
      </c>
      <c r="V77" s="335">
        <v>328.0</v>
      </c>
      <c r="W77" s="336">
        <v>328.0</v>
      </c>
      <c r="X77" s="337">
        <v>0.0</v>
      </c>
      <c r="Y77" s="337">
        <v>0.0</v>
      </c>
      <c r="Z77" s="337">
        <v>0.0</v>
      </c>
      <c r="AA77" s="337">
        <v>0.0</v>
      </c>
      <c r="AB77" s="337">
        <v>0.0</v>
      </c>
      <c r="AC77" s="337">
        <v>0.0</v>
      </c>
      <c r="AD77" s="337">
        <v>0.0</v>
      </c>
      <c r="AE77" s="337">
        <v>0.0</v>
      </c>
      <c r="AF77" s="337">
        <v>0.0</v>
      </c>
      <c r="AG77" s="337">
        <v>0.0</v>
      </c>
      <c r="AH77" s="338">
        <v>272.0</v>
      </c>
      <c r="AI77" s="339">
        <v>272.0</v>
      </c>
      <c r="AJ77" s="337">
        <v>0.0</v>
      </c>
      <c r="AK77" s="337">
        <v>0.0</v>
      </c>
      <c r="AL77" s="337">
        <v>0.0</v>
      </c>
      <c r="AM77" s="337">
        <v>0.0</v>
      </c>
      <c r="AN77" s="337">
        <v>0.0</v>
      </c>
      <c r="AO77" s="337">
        <v>0.0</v>
      </c>
      <c r="AP77" s="337">
        <v>0.0</v>
      </c>
      <c r="AQ77" s="337">
        <v>0.0</v>
      </c>
      <c r="AR77" s="337">
        <v>0.0</v>
      </c>
      <c r="AS77" s="337">
        <v>0.0</v>
      </c>
      <c r="AT77" s="338">
        <v>348.0</v>
      </c>
      <c r="AU77" s="339">
        <v>348.0</v>
      </c>
      <c r="AV77" s="340">
        <f t="shared" si="1"/>
        <v>948</v>
      </c>
      <c r="AW77" s="341">
        <v>3.0</v>
      </c>
      <c r="AX77" s="342">
        <f t="shared" si="2"/>
        <v>20.88</v>
      </c>
      <c r="AY77" s="343">
        <f t="shared" si="3"/>
        <v>6848.64</v>
      </c>
      <c r="AZ77" s="343">
        <f t="shared" si="4"/>
        <v>5679.36</v>
      </c>
      <c r="BA77" s="343">
        <f t="shared" si="5"/>
        <v>7266.24</v>
      </c>
      <c r="BB77" s="344">
        <f t="shared" si="6"/>
        <v>19794.24</v>
      </c>
      <c r="BC77" s="345"/>
      <c r="BD77" s="345"/>
      <c r="BE77" s="346"/>
      <c r="BF77" s="347"/>
      <c r="BG77" s="348"/>
    </row>
    <row r="78" ht="15.75" customHeight="1">
      <c r="A78" s="307" t="s">
        <v>2706</v>
      </c>
      <c r="B78" s="308">
        <v>2.0</v>
      </c>
      <c r="C78" s="309" t="s">
        <v>2707</v>
      </c>
      <c r="D78" s="309" t="s">
        <v>23</v>
      </c>
      <c r="E78" s="309" t="s">
        <v>2708</v>
      </c>
      <c r="F78" s="309" t="s">
        <v>1763</v>
      </c>
      <c r="G78" s="310" t="s">
        <v>2709</v>
      </c>
      <c r="H78" s="358"/>
      <c r="I78" s="311" t="s">
        <v>2320</v>
      </c>
      <c r="J78" s="312" t="s">
        <v>1332</v>
      </c>
      <c r="K78" s="309" t="s">
        <v>25</v>
      </c>
      <c r="L78" s="313">
        <v>0.0</v>
      </c>
      <c r="M78" s="313">
        <v>0.0</v>
      </c>
      <c r="N78" s="313">
        <v>0.0</v>
      </c>
      <c r="O78" s="313">
        <v>0.0</v>
      </c>
      <c r="P78" s="313">
        <v>0.0</v>
      </c>
      <c r="Q78" s="313">
        <v>0.0</v>
      </c>
      <c r="R78" s="313">
        <v>0.0</v>
      </c>
      <c r="S78" s="313">
        <v>0.0</v>
      </c>
      <c r="T78" s="313">
        <v>0.0</v>
      </c>
      <c r="U78" s="313">
        <v>0.0</v>
      </c>
      <c r="V78" s="314">
        <v>48.0</v>
      </c>
      <c r="W78" s="315">
        <v>48.0</v>
      </c>
      <c r="X78" s="316">
        <v>0.0</v>
      </c>
      <c r="Y78" s="316">
        <v>0.0</v>
      </c>
      <c r="Z78" s="316">
        <v>0.0</v>
      </c>
      <c r="AA78" s="316">
        <v>0.0</v>
      </c>
      <c r="AB78" s="316">
        <v>0.0</v>
      </c>
      <c r="AC78" s="316">
        <v>0.0</v>
      </c>
      <c r="AD78" s="316">
        <v>0.0</v>
      </c>
      <c r="AE78" s="316">
        <v>0.0</v>
      </c>
      <c r="AF78" s="316">
        <v>0.0</v>
      </c>
      <c r="AG78" s="316">
        <v>0.0</v>
      </c>
      <c r="AH78" s="317">
        <v>68.0</v>
      </c>
      <c r="AI78" s="318">
        <v>68.0</v>
      </c>
      <c r="AJ78" s="316">
        <v>0.0</v>
      </c>
      <c r="AK78" s="316">
        <v>0.0</v>
      </c>
      <c r="AL78" s="316">
        <v>0.0</v>
      </c>
      <c r="AM78" s="316">
        <v>0.0</v>
      </c>
      <c r="AN78" s="316">
        <v>0.0</v>
      </c>
      <c r="AO78" s="316">
        <v>0.0</v>
      </c>
      <c r="AP78" s="316">
        <v>0.0</v>
      </c>
      <c r="AQ78" s="316">
        <v>0.0</v>
      </c>
      <c r="AR78" s="316">
        <v>0.0</v>
      </c>
      <c r="AS78" s="316">
        <v>0.0</v>
      </c>
      <c r="AT78" s="317">
        <v>136.0</v>
      </c>
      <c r="AU78" s="318">
        <v>136.0</v>
      </c>
      <c r="AV78" s="319">
        <f t="shared" si="1"/>
        <v>252</v>
      </c>
      <c r="AW78" s="320">
        <v>1.54</v>
      </c>
      <c r="AX78" s="321">
        <f t="shared" si="2"/>
        <v>10.7184</v>
      </c>
      <c r="AY78" s="349">
        <f t="shared" si="3"/>
        <v>514.4832</v>
      </c>
      <c r="AZ78" s="349">
        <f t="shared" si="4"/>
        <v>728.8512</v>
      </c>
      <c r="BA78" s="349">
        <f t="shared" si="5"/>
        <v>1457.7024</v>
      </c>
      <c r="BB78" s="350">
        <f t="shared" si="6"/>
        <v>2701.0368</v>
      </c>
      <c r="BC78" s="324"/>
      <c r="BD78" s="324"/>
      <c r="BE78" s="325"/>
      <c r="BF78" s="326"/>
      <c r="BG78" s="327"/>
    </row>
    <row r="79" ht="15.75" customHeight="1">
      <c r="A79" s="328" t="s">
        <v>2706</v>
      </c>
      <c r="B79" s="329">
        <v>2.0</v>
      </c>
      <c r="C79" s="330" t="s">
        <v>2707</v>
      </c>
      <c r="D79" s="330" t="s">
        <v>23</v>
      </c>
      <c r="E79" s="330" t="s">
        <v>2708</v>
      </c>
      <c r="F79" s="330" t="s">
        <v>1763</v>
      </c>
      <c r="G79" s="331" t="s">
        <v>2709</v>
      </c>
      <c r="H79" s="331" t="s">
        <v>2784</v>
      </c>
      <c r="I79" s="332" t="s">
        <v>2321</v>
      </c>
      <c r="J79" s="333" t="s">
        <v>1074</v>
      </c>
      <c r="K79" s="330" t="s">
        <v>25</v>
      </c>
      <c r="L79" s="334">
        <v>0.0</v>
      </c>
      <c r="M79" s="334">
        <v>0.0</v>
      </c>
      <c r="N79" s="334">
        <v>0.0</v>
      </c>
      <c r="O79" s="334">
        <v>0.0</v>
      </c>
      <c r="P79" s="334">
        <v>0.0</v>
      </c>
      <c r="Q79" s="334">
        <v>0.0</v>
      </c>
      <c r="R79" s="334">
        <v>0.0</v>
      </c>
      <c r="S79" s="334">
        <v>0.0</v>
      </c>
      <c r="T79" s="334">
        <v>0.0</v>
      </c>
      <c r="U79" s="334">
        <v>0.0</v>
      </c>
      <c r="V79" s="335">
        <v>240.0</v>
      </c>
      <c r="W79" s="336">
        <v>240.0</v>
      </c>
      <c r="X79" s="337">
        <v>0.0</v>
      </c>
      <c r="Y79" s="337">
        <v>0.0</v>
      </c>
      <c r="Z79" s="337">
        <v>0.0</v>
      </c>
      <c r="AA79" s="337">
        <v>0.0</v>
      </c>
      <c r="AB79" s="337">
        <v>0.0</v>
      </c>
      <c r="AC79" s="337">
        <v>0.0</v>
      </c>
      <c r="AD79" s="337">
        <v>0.0</v>
      </c>
      <c r="AE79" s="337">
        <v>0.0</v>
      </c>
      <c r="AF79" s="337">
        <v>0.0</v>
      </c>
      <c r="AG79" s="337">
        <v>0.0</v>
      </c>
      <c r="AH79" s="338">
        <v>120.0</v>
      </c>
      <c r="AI79" s="339">
        <v>120.0</v>
      </c>
      <c r="AJ79" s="337">
        <v>0.0</v>
      </c>
      <c r="AK79" s="337">
        <v>0.0</v>
      </c>
      <c r="AL79" s="337">
        <v>0.0</v>
      </c>
      <c r="AM79" s="337">
        <v>0.0</v>
      </c>
      <c r="AN79" s="337">
        <v>0.0</v>
      </c>
      <c r="AO79" s="337">
        <v>0.0</v>
      </c>
      <c r="AP79" s="337">
        <v>0.0</v>
      </c>
      <c r="AQ79" s="337">
        <v>0.0</v>
      </c>
      <c r="AR79" s="337">
        <v>0.0</v>
      </c>
      <c r="AS79" s="337">
        <v>0.0</v>
      </c>
      <c r="AT79" s="338">
        <v>172.0</v>
      </c>
      <c r="AU79" s="339">
        <v>172.0</v>
      </c>
      <c r="AV79" s="340">
        <f t="shared" si="1"/>
        <v>532</v>
      </c>
      <c r="AW79" s="341">
        <v>2.19</v>
      </c>
      <c r="AX79" s="342">
        <f t="shared" si="2"/>
        <v>15.2424</v>
      </c>
      <c r="AY79" s="343">
        <f t="shared" si="3"/>
        <v>3658.176</v>
      </c>
      <c r="AZ79" s="343">
        <f t="shared" si="4"/>
        <v>1829.088</v>
      </c>
      <c r="BA79" s="343">
        <f t="shared" si="5"/>
        <v>2621.6928</v>
      </c>
      <c r="BB79" s="344">
        <f t="shared" si="6"/>
        <v>8108.9568</v>
      </c>
      <c r="BC79" s="345"/>
      <c r="BD79" s="345"/>
      <c r="BE79" s="346"/>
      <c r="BF79" s="347"/>
      <c r="BG79" s="348"/>
    </row>
    <row r="80" ht="15.75" customHeight="1">
      <c r="A80" s="307" t="s">
        <v>2706</v>
      </c>
      <c r="B80" s="308">
        <v>2.0</v>
      </c>
      <c r="C80" s="309" t="s">
        <v>2707</v>
      </c>
      <c r="D80" s="309" t="s">
        <v>23</v>
      </c>
      <c r="E80" s="309" t="s">
        <v>2722</v>
      </c>
      <c r="F80" s="309" t="s">
        <v>1763</v>
      </c>
      <c r="G80" s="310" t="s">
        <v>2723</v>
      </c>
      <c r="H80" s="358"/>
      <c r="I80" s="311" t="s">
        <v>2333</v>
      </c>
      <c r="J80" s="312" t="s">
        <v>1133</v>
      </c>
      <c r="K80" s="309" t="s">
        <v>25</v>
      </c>
      <c r="L80" s="313">
        <v>0.0</v>
      </c>
      <c r="M80" s="313">
        <v>0.0</v>
      </c>
      <c r="N80" s="313">
        <v>0.0</v>
      </c>
      <c r="O80" s="313">
        <v>0.0</v>
      </c>
      <c r="P80" s="313">
        <v>0.0</v>
      </c>
      <c r="Q80" s="313">
        <v>0.0</v>
      </c>
      <c r="R80" s="313">
        <v>0.0</v>
      </c>
      <c r="S80" s="313">
        <v>0.0</v>
      </c>
      <c r="T80" s="313">
        <v>0.0</v>
      </c>
      <c r="U80" s="313">
        <v>0.0</v>
      </c>
      <c r="V80" s="314">
        <v>300.0</v>
      </c>
      <c r="W80" s="315">
        <v>300.0</v>
      </c>
      <c r="X80" s="316">
        <v>0.0</v>
      </c>
      <c r="Y80" s="316">
        <v>0.0</v>
      </c>
      <c r="Z80" s="316">
        <v>0.0</v>
      </c>
      <c r="AA80" s="316">
        <v>0.0</v>
      </c>
      <c r="AB80" s="316">
        <v>0.0</v>
      </c>
      <c r="AC80" s="316">
        <v>0.0</v>
      </c>
      <c r="AD80" s="316">
        <v>0.0</v>
      </c>
      <c r="AE80" s="316">
        <v>0.0</v>
      </c>
      <c r="AF80" s="316">
        <v>0.0</v>
      </c>
      <c r="AG80" s="316">
        <v>0.0</v>
      </c>
      <c r="AH80" s="317">
        <v>0.0</v>
      </c>
      <c r="AI80" s="318">
        <v>0.0</v>
      </c>
      <c r="AJ80" s="316">
        <v>0.0</v>
      </c>
      <c r="AK80" s="316">
        <v>0.0</v>
      </c>
      <c r="AL80" s="316">
        <v>0.0</v>
      </c>
      <c r="AM80" s="316">
        <v>0.0</v>
      </c>
      <c r="AN80" s="316">
        <v>0.0</v>
      </c>
      <c r="AO80" s="316">
        <v>0.0</v>
      </c>
      <c r="AP80" s="316">
        <v>0.0</v>
      </c>
      <c r="AQ80" s="316">
        <v>0.0</v>
      </c>
      <c r="AR80" s="316">
        <v>0.0</v>
      </c>
      <c r="AS80" s="316">
        <v>0.0</v>
      </c>
      <c r="AT80" s="317">
        <v>0.0</v>
      </c>
      <c r="AU80" s="318">
        <v>0.0</v>
      </c>
      <c r="AV80" s="319">
        <f t="shared" si="1"/>
        <v>300</v>
      </c>
      <c r="AW80" s="320">
        <v>8.84</v>
      </c>
      <c r="AX80" s="321">
        <f t="shared" si="2"/>
        <v>61.5264</v>
      </c>
      <c r="AY80" s="349">
        <f t="shared" si="3"/>
        <v>18457.92</v>
      </c>
      <c r="AZ80" s="349">
        <f t="shared" si="4"/>
        <v>0</v>
      </c>
      <c r="BA80" s="349">
        <f t="shared" si="5"/>
        <v>0</v>
      </c>
      <c r="BB80" s="350">
        <f t="shared" si="6"/>
        <v>18457.92</v>
      </c>
      <c r="BC80" s="324"/>
      <c r="BD80" s="324"/>
      <c r="BE80" s="325"/>
      <c r="BF80" s="326"/>
      <c r="BG80" s="327"/>
    </row>
    <row r="81" ht="15.75" customHeight="1">
      <c r="A81" s="328" t="s">
        <v>2706</v>
      </c>
      <c r="B81" s="329">
        <v>2.0</v>
      </c>
      <c r="C81" s="330" t="s">
        <v>2707</v>
      </c>
      <c r="D81" s="330" t="s">
        <v>23</v>
      </c>
      <c r="E81" s="330" t="s">
        <v>2708</v>
      </c>
      <c r="F81" s="330" t="s">
        <v>1763</v>
      </c>
      <c r="G81" s="331" t="s">
        <v>2709</v>
      </c>
      <c r="H81" s="331" t="s">
        <v>2785</v>
      </c>
      <c r="I81" s="332" t="s">
        <v>2340</v>
      </c>
      <c r="J81" s="333" t="s">
        <v>154</v>
      </c>
      <c r="K81" s="330" t="s">
        <v>25</v>
      </c>
      <c r="L81" s="334">
        <v>0.0</v>
      </c>
      <c r="M81" s="334">
        <v>0.0</v>
      </c>
      <c r="N81" s="334">
        <v>0.0</v>
      </c>
      <c r="O81" s="334">
        <v>0.0</v>
      </c>
      <c r="P81" s="334">
        <v>0.0</v>
      </c>
      <c r="Q81" s="334">
        <v>0.0</v>
      </c>
      <c r="R81" s="334">
        <v>0.0</v>
      </c>
      <c r="S81" s="334">
        <v>0.0</v>
      </c>
      <c r="T81" s="334">
        <v>0.0</v>
      </c>
      <c r="U81" s="334">
        <v>0.0</v>
      </c>
      <c r="V81" s="335">
        <v>360.0</v>
      </c>
      <c r="W81" s="336">
        <v>360.0</v>
      </c>
      <c r="X81" s="337">
        <v>0.0</v>
      </c>
      <c r="Y81" s="337">
        <v>0.0</v>
      </c>
      <c r="Z81" s="337">
        <v>0.0</v>
      </c>
      <c r="AA81" s="337">
        <v>0.0</v>
      </c>
      <c r="AB81" s="337">
        <v>0.0</v>
      </c>
      <c r="AC81" s="337">
        <v>0.0</v>
      </c>
      <c r="AD81" s="337">
        <v>0.0</v>
      </c>
      <c r="AE81" s="337">
        <v>0.0</v>
      </c>
      <c r="AF81" s="337">
        <v>0.0</v>
      </c>
      <c r="AG81" s="337">
        <v>0.0</v>
      </c>
      <c r="AH81" s="338">
        <v>462.0</v>
      </c>
      <c r="AI81" s="339">
        <v>462.0</v>
      </c>
      <c r="AJ81" s="337">
        <v>0.0</v>
      </c>
      <c r="AK81" s="337">
        <v>0.0</v>
      </c>
      <c r="AL81" s="337">
        <v>0.0</v>
      </c>
      <c r="AM81" s="337">
        <v>0.0</v>
      </c>
      <c r="AN81" s="337">
        <v>0.0</v>
      </c>
      <c r="AO81" s="337">
        <v>0.0</v>
      </c>
      <c r="AP81" s="337">
        <v>0.0</v>
      </c>
      <c r="AQ81" s="337">
        <v>0.0</v>
      </c>
      <c r="AR81" s="337">
        <v>0.0</v>
      </c>
      <c r="AS81" s="337">
        <v>0.0</v>
      </c>
      <c r="AT81" s="338">
        <v>396.0</v>
      </c>
      <c r="AU81" s="339">
        <v>396.0</v>
      </c>
      <c r="AV81" s="340">
        <f t="shared" si="1"/>
        <v>1218</v>
      </c>
      <c r="AW81" s="341">
        <v>60.15</v>
      </c>
      <c r="AX81" s="342">
        <f t="shared" si="2"/>
        <v>418.644</v>
      </c>
      <c r="AY81" s="343">
        <f t="shared" si="3"/>
        <v>150711.84</v>
      </c>
      <c r="AZ81" s="343">
        <f t="shared" si="4"/>
        <v>193413.528</v>
      </c>
      <c r="BA81" s="343">
        <f t="shared" si="5"/>
        <v>165783.024</v>
      </c>
      <c r="BB81" s="344">
        <f t="shared" si="6"/>
        <v>509908.392</v>
      </c>
      <c r="BC81" s="345"/>
      <c r="BD81" s="345"/>
      <c r="BE81" s="346"/>
      <c r="BF81" s="347"/>
      <c r="BG81" s="348"/>
    </row>
    <row r="82" ht="15.75" customHeight="1">
      <c r="A82" s="307" t="s">
        <v>2706</v>
      </c>
      <c r="B82" s="308">
        <v>2.0</v>
      </c>
      <c r="C82" s="309" t="s">
        <v>2707</v>
      </c>
      <c r="D82" s="309" t="s">
        <v>23</v>
      </c>
      <c r="E82" s="309" t="s">
        <v>2708</v>
      </c>
      <c r="F82" s="309" t="s">
        <v>1763</v>
      </c>
      <c r="G82" s="310" t="s">
        <v>2709</v>
      </c>
      <c r="H82" s="310" t="s">
        <v>2786</v>
      </c>
      <c r="I82" s="311" t="s">
        <v>2341</v>
      </c>
      <c r="J82" s="312" t="s">
        <v>298</v>
      </c>
      <c r="K82" s="309" t="s">
        <v>25</v>
      </c>
      <c r="L82" s="313">
        <v>0.0</v>
      </c>
      <c r="M82" s="313">
        <v>0.0</v>
      </c>
      <c r="N82" s="313">
        <v>0.0</v>
      </c>
      <c r="O82" s="313">
        <v>0.0</v>
      </c>
      <c r="P82" s="313">
        <v>0.0</v>
      </c>
      <c r="Q82" s="313">
        <v>0.0</v>
      </c>
      <c r="R82" s="313">
        <v>0.0</v>
      </c>
      <c r="S82" s="313">
        <v>0.0</v>
      </c>
      <c r="T82" s="313">
        <v>0.0</v>
      </c>
      <c r="U82" s="313">
        <v>0.0</v>
      </c>
      <c r="V82" s="314">
        <v>48.0</v>
      </c>
      <c r="W82" s="315">
        <v>48.0</v>
      </c>
      <c r="X82" s="316">
        <v>0.0</v>
      </c>
      <c r="Y82" s="316">
        <v>0.0</v>
      </c>
      <c r="Z82" s="316">
        <v>0.0</v>
      </c>
      <c r="AA82" s="316">
        <v>0.0</v>
      </c>
      <c r="AB82" s="316">
        <v>0.0</v>
      </c>
      <c r="AC82" s="316">
        <v>0.0</v>
      </c>
      <c r="AD82" s="316">
        <v>0.0</v>
      </c>
      <c r="AE82" s="316">
        <v>0.0</v>
      </c>
      <c r="AF82" s="316">
        <v>0.0</v>
      </c>
      <c r="AG82" s="316">
        <v>0.0</v>
      </c>
      <c r="AH82" s="317">
        <v>120.0</v>
      </c>
      <c r="AI82" s="318">
        <v>120.0</v>
      </c>
      <c r="AJ82" s="316">
        <v>0.0</v>
      </c>
      <c r="AK82" s="316">
        <v>0.0</v>
      </c>
      <c r="AL82" s="316">
        <v>0.0</v>
      </c>
      <c r="AM82" s="316">
        <v>0.0</v>
      </c>
      <c r="AN82" s="316">
        <v>0.0</v>
      </c>
      <c r="AO82" s="316">
        <v>0.0</v>
      </c>
      <c r="AP82" s="316">
        <v>0.0</v>
      </c>
      <c r="AQ82" s="316">
        <v>0.0</v>
      </c>
      <c r="AR82" s="316">
        <v>0.0</v>
      </c>
      <c r="AS82" s="316">
        <v>0.0</v>
      </c>
      <c r="AT82" s="317">
        <v>84.0</v>
      </c>
      <c r="AU82" s="318">
        <v>84.0</v>
      </c>
      <c r="AV82" s="319">
        <f t="shared" si="1"/>
        <v>252</v>
      </c>
      <c r="AW82" s="320">
        <v>91.03</v>
      </c>
      <c r="AX82" s="321">
        <f t="shared" si="2"/>
        <v>633.5688</v>
      </c>
      <c r="AY82" s="349">
        <f t="shared" si="3"/>
        <v>30411.3024</v>
      </c>
      <c r="AZ82" s="349">
        <f t="shared" si="4"/>
        <v>76028.256</v>
      </c>
      <c r="BA82" s="349">
        <f t="shared" si="5"/>
        <v>53219.7792</v>
      </c>
      <c r="BB82" s="350">
        <f t="shared" si="6"/>
        <v>159659.3376</v>
      </c>
      <c r="BC82" s="324"/>
      <c r="BD82" s="324"/>
      <c r="BE82" s="325"/>
      <c r="BF82" s="326"/>
      <c r="BG82" s="327"/>
    </row>
    <row r="83" ht="15.75" customHeight="1">
      <c r="A83" s="328" t="s">
        <v>2706</v>
      </c>
      <c r="B83" s="329">
        <v>2.0</v>
      </c>
      <c r="C83" s="330" t="s">
        <v>2707</v>
      </c>
      <c r="D83" s="330" t="s">
        <v>23</v>
      </c>
      <c r="E83" s="330" t="s">
        <v>2708</v>
      </c>
      <c r="F83" s="330" t="s">
        <v>1763</v>
      </c>
      <c r="G83" s="331" t="s">
        <v>2709</v>
      </c>
      <c r="H83" s="331" t="s">
        <v>2787</v>
      </c>
      <c r="I83" s="332" t="s">
        <v>2342</v>
      </c>
      <c r="J83" s="333" t="s">
        <v>1472</v>
      </c>
      <c r="K83" s="330" t="s">
        <v>25</v>
      </c>
      <c r="L83" s="334">
        <v>0.0</v>
      </c>
      <c r="M83" s="334">
        <v>0.0</v>
      </c>
      <c r="N83" s="334">
        <v>0.0</v>
      </c>
      <c r="O83" s="334">
        <v>0.0</v>
      </c>
      <c r="P83" s="334">
        <v>0.0</v>
      </c>
      <c r="Q83" s="334">
        <v>0.0</v>
      </c>
      <c r="R83" s="334">
        <v>0.0</v>
      </c>
      <c r="S83" s="334">
        <v>0.0</v>
      </c>
      <c r="T83" s="334">
        <v>0.0</v>
      </c>
      <c r="U83" s="334">
        <v>0.0</v>
      </c>
      <c r="V83" s="335">
        <v>80.0</v>
      </c>
      <c r="W83" s="336">
        <v>80.0</v>
      </c>
      <c r="X83" s="337">
        <v>0.0</v>
      </c>
      <c r="Y83" s="337">
        <v>0.0</v>
      </c>
      <c r="Z83" s="337">
        <v>0.0</v>
      </c>
      <c r="AA83" s="337">
        <v>0.0</v>
      </c>
      <c r="AB83" s="337">
        <v>0.0</v>
      </c>
      <c r="AC83" s="337">
        <v>0.0</v>
      </c>
      <c r="AD83" s="337">
        <v>0.0</v>
      </c>
      <c r="AE83" s="337">
        <v>0.0</v>
      </c>
      <c r="AF83" s="337">
        <v>0.0</v>
      </c>
      <c r="AG83" s="337">
        <v>0.0</v>
      </c>
      <c r="AH83" s="338">
        <v>0.0</v>
      </c>
      <c r="AI83" s="339">
        <v>0.0</v>
      </c>
      <c r="AJ83" s="337">
        <v>0.0</v>
      </c>
      <c r="AK83" s="337">
        <v>0.0</v>
      </c>
      <c r="AL83" s="337">
        <v>0.0</v>
      </c>
      <c r="AM83" s="337">
        <v>0.0</v>
      </c>
      <c r="AN83" s="337">
        <v>0.0</v>
      </c>
      <c r="AO83" s="337">
        <v>0.0</v>
      </c>
      <c r="AP83" s="337">
        <v>0.0</v>
      </c>
      <c r="AQ83" s="337">
        <v>0.0</v>
      </c>
      <c r="AR83" s="337">
        <v>0.0</v>
      </c>
      <c r="AS83" s="337">
        <v>0.0</v>
      </c>
      <c r="AT83" s="338">
        <v>0.0</v>
      </c>
      <c r="AU83" s="339">
        <v>0.0</v>
      </c>
      <c r="AV83" s="340">
        <f t="shared" si="1"/>
        <v>80</v>
      </c>
      <c r="AW83" s="341">
        <v>1.96</v>
      </c>
      <c r="AX83" s="342">
        <f t="shared" si="2"/>
        <v>13.6416</v>
      </c>
      <c r="AY83" s="343">
        <f t="shared" si="3"/>
        <v>1091.328</v>
      </c>
      <c r="AZ83" s="343">
        <f t="shared" si="4"/>
        <v>0</v>
      </c>
      <c r="BA83" s="343">
        <f t="shared" si="5"/>
        <v>0</v>
      </c>
      <c r="BB83" s="344">
        <f t="shared" si="6"/>
        <v>1091.328</v>
      </c>
      <c r="BC83" s="345"/>
      <c r="BD83" s="345"/>
      <c r="BE83" s="346"/>
      <c r="BF83" s="347"/>
      <c r="BG83" s="348"/>
    </row>
    <row r="84" ht="15.75" customHeight="1">
      <c r="A84" s="307" t="s">
        <v>2706</v>
      </c>
      <c r="B84" s="308">
        <v>2.0</v>
      </c>
      <c r="C84" s="309" t="s">
        <v>2707</v>
      </c>
      <c r="D84" s="309" t="s">
        <v>23</v>
      </c>
      <c r="E84" s="309" t="s">
        <v>2708</v>
      </c>
      <c r="F84" s="309" t="s">
        <v>1763</v>
      </c>
      <c r="G84" s="310" t="s">
        <v>2709</v>
      </c>
      <c r="H84" s="358"/>
      <c r="I84" s="311" t="s">
        <v>2366</v>
      </c>
      <c r="J84" s="312" t="s">
        <v>596</v>
      </c>
      <c r="K84" s="309" t="s">
        <v>25</v>
      </c>
      <c r="L84" s="313">
        <v>0.0</v>
      </c>
      <c r="M84" s="313">
        <v>0.0</v>
      </c>
      <c r="N84" s="313">
        <v>0.0</v>
      </c>
      <c r="O84" s="313">
        <v>0.0</v>
      </c>
      <c r="P84" s="313">
        <v>0.0</v>
      </c>
      <c r="Q84" s="313">
        <v>0.0</v>
      </c>
      <c r="R84" s="313">
        <v>0.0</v>
      </c>
      <c r="S84" s="313">
        <v>0.0</v>
      </c>
      <c r="T84" s="313">
        <v>0.0</v>
      </c>
      <c r="U84" s="313">
        <v>0.0</v>
      </c>
      <c r="V84" s="314">
        <v>48.0</v>
      </c>
      <c r="W84" s="315">
        <v>48.0</v>
      </c>
      <c r="X84" s="316">
        <v>0.0</v>
      </c>
      <c r="Y84" s="316">
        <v>0.0</v>
      </c>
      <c r="Z84" s="316">
        <v>0.0</v>
      </c>
      <c r="AA84" s="316">
        <v>0.0</v>
      </c>
      <c r="AB84" s="316">
        <v>0.0</v>
      </c>
      <c r="AC84" s="316">
        <v>0.0</v>
      </c>
      <c r="AD84" s="316">
        <v>0.0</v>
      </c>
      <c r="AE84" s="316">
        <v>0.0</v>
      </c>
      <c r="AF84" s="316">
        <v>0.0</v>
      </c>
      <c r="AG84" s="316">
        <v>0.0</v>
      </c>
      <c r="AH84" s="317">
        <v>144.0</v>
      </c>
      <c r="AI84" s="318">
        <v>144.0</v>
      </c>
      <c r="AJ84" s="316">
        <v>0.0</v>
      </c>
      <c r="AK84" s="316">
        <v>0.0</v>
      </c>
      <c r="AL84" s="316">
        <v>0.0</v>
      </c>
      <c r="AM84" s="316">
        <v>0.0</v>
      </c>
      <c r="AN84" s="316">
        <v>0.0</v>
      </c>
      <c r="AO84" s="316">
        <v>0.0</v>
      </c>
      <c r="AP84" s="316">
        <v>0.0</v>
      </c>
      <c r="AQ84" s="316">
        <v>0.0</v>
      </c>
      <c r="AR84" s="316">
        <v>0.0</v>
      </c>
      <c r="AS84" s="316">
        <v>0.0</v>
      </c>
      <c r="AT84" s="317">
        <v>72.0</v>
      </c>
      <c r="AU84" s="318">
        <v>72.0</v>
      </c>
      <c r="AV84" s="319">
        <f t="shared" si="1"/>
        <v>264</v>
      </c>
      <c r="AW84" s="320">
        <v>26.11</v>
      </c>
      <c r="AX84" s="321">
        <f t="shared" si="2"/>
        <v>181.7256</v>
      </c>
      <c r="AY84" s="349">
        <f t="shared" si="3"/>
        <v>8722.8288</v>
      </c>
      <c r="AZ84" s="349">
        <f t="shared" si="4"/>
        <v>26168.4864</v>
      </c>
      <c r="BA84" s="349">
        <f t="shared" si="5"/>
        <v>13084.2432</v>
      </c>
      <c r="BB84" s="350">
        <f t="shared" si="6"/>
        <v>47975.5584</v>
      </c>
      <c r="BC84" s="324"/>
      <c r="BD84" s="324"/>
      <c r="BE84" s="325"/>
      <c r="BF84" s="326"/>
      <c r="BG84" s="327"/>
    </row>
    <row r="85" ht="15.75" customHeight="1">
      <c r="A85" s="328" t="s">
        <v>2706</v>
      </c>
      <c r="B85" s="329">
        <v>2.0</v>
      </c>
      <c r="C85" s="330" t="s">
        <v>2707</v>
      </c>
      <c r="D85" s="330" t="s">
        <v>23</v>
      </c>
      <c r="E85" s="330" t="s">
        <v>2708</v>
      </c>
      <c r="F85" s="330" t="s">
        <v>1763</v>
      </c>
      <c r="G85" s="331" t="s">
        <v>2709</v>
      </c>
      <c r="H85" s="331" t="s">
        <v>2788</v>
      </c>
      <c r="I85" s="332" t="s">
        <v>2396</v>
      </c>
      <c r="J85" s="333" t="s">
        <v>1261</v>
      </c>
      <c r="K85" s="330" t="s">
        <v>25</v>
      </c>
      <c r="L85" s="334">
        <v>0.0</v>
      </c>
      <c r="M85" s="334">
        <v>0.0</v>
      </c>
      <c r="N85" s="334">
        <v>0.0</v>
      </c>
      <c r="O85" s="334">
        <v>0.0</v>
      </c>
      <c r="P85" s="334">
        <v>0.0</v>
      </c>
      <c r="Q85" s="334">
        <v>0.0</v>
      </c>
      <c r="R85" s="334">
        <v>0.0</v>
      </c>
      <c r="S85" s="334">
        <v>0.0</v>
      </c>
      <c r="T85" s="334">
        <v>0.0</v>
      </c>
      <c r="U85" s="334">
        <v>0.0</v>
      </c>
      <c r="V85" s="335">
        <v>228.0</v>
      </c>
      <c r="W85" s="336">
        <v>228.0</v>
      </c>
      <c r="X85" s="337">
        <v>0.0</v>
      </c>
      <c r="Y85" s="337">
        <v>0.0</v>
      </c>
      <c r="Z85" s="337">
        <v>0.0</v>
      </c>
      <c r="AA85" s="337">
        <v>0.0</v>
      </c>
      <c r="AB85" s="337">
        <v>0.0</v>
      </c>
      <c r="AC85" s="337">
        <v>0.0</v>
      </c>
      <c r="AD85" s="337">
        <v>0.0</v>
      </c>
      <c r="AE85" s="337">
        <v>0.0</v>
      </c>
      <c r="AF85" s="337">
        <v>0.0</v>
      </c>
      <c r="AG85" s="337">
        <v>0.0</v>
      </c>
      <c r="AH85" s="338">
        <v>0.0</v>
      </c>
      <c r="AI85" s="339">
        <v>0.0</v>
      </c>
      <c r="AJ85" s="337">
        <v>0.0</v>
      </c>
      <c r="AK85" s="337">
        <v>0.0</v>
      </c>
      <c r="AL85" s="337">
        <v>0.0</v>
      </c>
      <c r="AM85" s="337">
        <v>0.0</v>
      </c>
      <c r="AN85" s="337">
        <v>0.0</v>
      </c>
      <c r="AO85" s="337">
        <v>0.0</v>
      </c>
      <c r="AP85" s="337">
        <v>0.0</v>
      </c>
      <c r="AQ85" s="337">
        <v>0.0</v>
      </c>
      <c r="AR85" s="337">
        <v>0.0</v>
      </c>
      <c r="AS85" s="337">
        <v>0.0</v>
      </c>
      <c r="AT85" s="338">
        <v>96.0</v>
      </c>
      <c r="AU85" s="339">
        <v>96.0</v>
      </c>
      <c r="AV85" s="340">
        <f t="shared" si="1"/>
        <v>324</v>
      </c>
      <c r="AW85" s="341">
        <v>1.69</v>
      </c>
      <c r="AX85" s="342">
        <f t="shared" si="2"/>
        <v>11.7624</v>
      </c>
      <c r="AY85" s="343">
        <f t="shared" si="3"/>
        <v>2681.8272</v>
      </c>
      <c r="AZ85" s="343">
        <f t="shared" si="4"/>
        <v>0</v>
      </c>
      <c r="BA85" s="343">
        <f t="shared" si="5"/>
        <v>1129.1904</v>
      </c>
      <c r="BB85" s="344">
        <f t="shared" si="6"/>
        <v>3811.0176</v>
      </c>
      <c r="BC85" s="345"/>
      <c r="BD85" s="345"/>
      <c r="BE85" s="346"/>
      <c r="BF85" s="347"/>
      <c r="BG85" s="348"/>
    </row>
    <row r="86" ht="15.75" customHeight="1">
      <c r="A86" s="307" t="s">
        <v>2706</v>
      </c>
      <c r="B86" s="308">
        <v>2.0</v>
      </c>
      <c r="C86" s="309" t="s">
        <v>2707</v>
      </c>
      <c r="D86" s="309" t="s">
        <v>23</v>
      </c>
      <c r="E86" s="309" t="s">
        <v>2708</v>
      </c>
      <c r="F86" s="309" t="s">
        <v>1763</v>
      </c>
      <c r="G86" s="310" t="s">
        <v>2709</v>
      </c>
      <c r="H86" s="310" t="s">
        <v>2789</v>
      </c>
      <c r="I86" s="311" t="s">
        <v>2398</v>
      </c>
      <c r="J86" s="312" t="s">
        <v>1153</v>
      </c>
      <c r="K86" s="309" t="s">
        <v>25</v>
      </c>
      <c r="L86" s="313">
        <v>0.0</v>
      </c>
      <c r="M86" s="313">
        <v>0.0</v>
      </c>
      <c r="N86" s="313">
        <v>0.0</v>
      </c>
      <c r="O86" s="313">
        <v>0.0</v>
      </c>
      <c r="P86" s="313">
        <v>0.0</v>
      </c>
      <c r="Q86" s="313">
        <v>0.0</v>
      </c>
      <c r="R86" s="313">
        <v>0.0</v>
      </c>
      <c r="S86" s="313">
        <v>0.0</v>
      </c>
      <c r="T86" s="313">
        <v>0.0</v>
      </c>
      <c r="U86" s="313">
        <v>0.0</v>
      </c>
      <c r="V86" s="314">
        <v>86.0</v>
      </c>
      <c r="W86" s="315">
        <v>86.0</v>
      </c>
      <c r="X86" s="316">
        <v>0.0</v>
      </c>
      <c r="Y86" s="316">
        <v>0.0</v>
      </c>
      <c r="Z86" s="316">
        <v>0.0</v>
      </c>
      <c r="AA86" s="316">
        <v>0.0</v>
      </c>
      <c r="AB86" s="316">
        <v>0.0</v>
      </c>
      <c r="AC86" s="316">
        <v>0.0</v>
      </c>
      <c r="AD86" s="316">
        <v>0.0</v>
      </c>
      <c r="AE86" s="316">
        <v>0.0</v>
      </c>
      <c r="AF86" s="316">
        <v>0.0</v>
      </c>
      <c r="AG86" s="316">
        <v>0.0</v>
      </c>
      <c r="AH86" s="317">
        <v>10.0</v>
      </c>
      <c r="AI86" s="318">
        <v>10.0</v>
      </c>
      <c r="AJ86" s="316">
        <v>0.0</v>
      </c>
      <c r="AK86" s="316">
        <v>0.0</v>
      </c>
      <c r="AL86" s="316">
        <v>0.0</v>
      </c>
      <c r="AM86" s="316">
        <v>0.0</v>
      </c>
      <c r="AN86" s="316">
        <v>0.0</v>
      </c>
      <c r="AO86" s="316">
        <v>0.0</v>
      </c>
      <c r="AP86" s="316">
        <v>0.0</v>
      </c>
      <c r="AQ86" s="316">
        <v>0.0</v>
      </c>
      <c r="AR86" s="316">
        <v>0.0</v>
      </c>
      <c r="AS86" s="316">
        <v>0.0</v>
      </c>
      <c r="AT86" s="317">
        <v>16.0</v>
      </c>
      <c r="AU86" s="318">
        <v>16.0</v>
      </c>
      <c r="AV86" s="319">
        <f t="shared" si="1"/>
        <v>112</v>
      </c>
      <c r="AW86" s="320">
        <v>7.31</v>
      </c>
      <c r="AX86" s="321">
        <f t="shared" si="2"/>
        <v>50.8776</v>
      </c>
      <c r="AY86" s="349">
        <f t="shared" si="3"/>
        <v>4375.4736</v>
      </c>
      <c r="AZ86" s="349">
        <f t="shared" si="4"/>
        <v>508.776</v>
      </c>
      <c r="BA86" s="349">
        <f t="shared" si="5"/>
        <v>814.0416</v>
      </c>
      <c r="BB86" s="350">
        <f t="shared" si="6"/>
        <v>5698.2912</v>
      </c>
      <c r="BC86" s="324"/>
      <c r="BD86" s="324"/>
      <c r="BE86" s="325"/>
      <c r="BF86" s="326"/>
      <c r="BG86" s="327"/>
    </row>
    <row r="87" ht="15.75" customHeight="1">
      <c r="A87" s="328" t="s">
        <v>2706</v>
      </c>
      <c r="B87" s="329">
        <v>2.0</v>
      </c>
      <c r="C87" s="330" t="s">
        <v>2707</v>
      </c>
      <c r="D87" s="330" t="s">
        <v>23</v>
      </c>
      <c r="E87" s="330" t="s">
        <v>2708</v>
      </c>
      <c r="F87" s="330" t="s">
        <v>1763</v>
      </c>
      <c r="G87" s="331" t="s">
        <v>2709</v>
      </c>
      <c r="H87" s="331" t="s">
        <v>2790</v>
      </c>
      <c r="I87" s="332" t="s">
        <v>2399</v>
      </c>
      <c r="J87" s="333" t="s">
        <v>238</v>
      </c>
      <c r="K87" s="330" t="s">
        <v>25</v>
      </c>
      <c r="L87" s="334">
        <v>0.0</v>
      </c>
      <c r="M87" s="334">
        <v>0.0</v>
      </c>
      <c r="N87" s="334">
        <v>0.0</v>
      </c>
      <c r="O87" s="334">
        <v>0.0</v>
      </c>
      <c r="P87" s="334">
        <v>0.0</v>
      </c>
      <c r="Q87" s="334">
        <v>0.0</v>
      </c>
      <c r="R87" s="334">
        <v>0.0</v>
      </c>
      <c r="S87" s="334">
        <v>0.0</v>
      </c>
      <c r="T87" s="334">
        <v>0.0</v>
      </c>
      <c r="U87" s="334">
        <v>0.0</v>
      </c>
      <c r="V87" s="335">
        <v>152.0</v>
      </c>
      <c r="W87" s="336">
        <v>152.0</v>
      </c>
      <c r="X87" s="337">
        <v>0.0</v>
      </c>
      <c r="Y87" s="337">
        <v>0.0</v>
      </c>
      <c r="Z87" s="337">
        <v>0.0</v>
      </c>
      <c r="AA87" s="337">
        <v>0.0</v>
      </c>
      <c r="AB87" s="337">
        <v>0.0</v>
      </c>
      <c r="AC87" s="337">
        <v>0.0</v>
      </c>
      <c r="AD87" s="337">
        <v>0.0</v>
      </c>
      <c r="AE87" s="337">
        <v>0.0</v>
      </c>
      <c r="AF87" s="337">
        <v>0.0</v>
      </c>
      <c r="AG87" s="337">
        <v>0.0</v>
      </c>
      <c r="AH87" s="338">
        <v>24.0</v>
      </c>
      <c r="AI87" s="339">
        <v>24.0</v>
      </c>
      <c r="AJ87" s="337">
        <v>0.0</v>
      </c>
      <c r="AK87" s="337">
        <v>0.0</v>
      </c>
      <c r="AL87" s="337">
        <v>0.0</v>
      </c>
      <c r="AM87" s="337">
        <v>0.0</v>
      </c>
      <c r="AN87" s="337">
        <v>0.0</v>
      </c>
      <c r="AO87" s="337">
        <v>0.0</v>
      </c>
      <c r="AP87" s="337">
        <v>0.0</v>
      </c>
      <c r="AQ87" s="337">
        <v>0.0</v>
      </c>
      <c r="AR87" s="337">
        <v>0.0</v>
      </c>
      <c r="AS87" s="337">
        <v>0.0</v>
      </c>
      <c r="AT87" s="338">
        <v>80.0</v>
      </c>
      <c r="AU87" s="339">
        <v>80.0</v>
      </c>
      <c r="AV87" s="340">
        <f t="shared" si="1"/>
        <v>256</v>
      </c>
      <c r="AW87" s="341">
        <v>132.02</v>
      </c>
      <c r="AX87" s="342">
        <f t="shared" si="2"/>
        <v>918.8592</v>
      </c>
      <c r="AY87" s="343">
        <f t="shared" si="3"/>
        <v>139666.5984</v>
      </c>
      <c r="AZ87" s="343">
        <f t="shared" si="4"/>
        <v>22052.6208</v>
      </c>
      <c r="BA87" s="343">
        <f t="shared" si="5"/>
        <v>73508.736</v>
      </c>
      <c r="BB87" s="344">
        <f t="shared" si="6"/>
        <v>235227.9552</v>
      </c>
      <c r="BC87" s="345"/>
      <c r="BD87" s="345"/>
      <c r="BE87" s="346"/>
      <c r="BF87" s="347"/>
      <c r="BG87" s="348"/>
    </row>
    <row r="88" ht="15.75" customHeight="1">
      <c r="A88" s="307" t="s">
        <v>2706</v>
      </c>
      <c r="B88" s="308">
        <v>2.0</v>
      </c>
      <c r="C88" s="309" t="s">
        <v>2707</v>
      </c>
      <c r="D88" s="309" t="s">
        <v>23</v>
      </c>
      <c r="E88" s="309" t="s">
        <v>2708</v>
      </c>
      <c r="F88" s="309" t="s">
        <v>1763</v>
      </c>
      <c r="G88" s="310" t="s">
        <v>2709</v>
      </c>
      <c r="H88" s="310" t="s">
        <v>2791</v>
      </c>
      <c r="I88" s="311" t="s">
        <v>2400</v>
      </c>
      <c r="J88" s="312" t="s">
        <v>450</v>
      </c>
      <c r="K88" s="309" t="s">
        <v>25</v>
      </c>
      <c r="L88" s="313">
        <v>0.0</v>
      </c>
      <c r="M88" s="313">
        <v>0.0</v>
      </c>
      <c r="N88" s="313">
        <v>0.0</v>
      </c>
      <c r="O88" s="313">
        <v>0.0</v>
      </c>
      <c r="P88" s="313">
        <v>0.0</v>
      </c>
      <c r="Q88" s="313">
        <v>0.0</v>
      </c>
      <c r="R88" s="313">
        <v>0.0</v>
      </c>
      <c r="S88" s="313">
        <v>0.0</v>
      </c>
      <c r="T88" s="313">
        <v>0.0</v>
      </c>
      <c r="U88" s="313">
        <v>0.0</v>
      </c>
      <c r="V88" s="314">
        <v>118.0</v>
      </c>
      <c r="W88" s="315">
        <v>118.0</v>
      </c>
      <c r="X88" s="316">
        <v>0.0</v>
      </c>
      <c r="Y88" s="316">
        <v>0.0</v>
      </c>
      <c r="Z88" s="316">
        <v>0.0</v>
      </c>
      <c r="AA88" s="316">
        <v>0.0</v>
      </c>
      <c r="AB88" s="316">
        <v>0.0</v>
      </c>
      <c r="AC88" s="316">
        <v>0.0</v>
      </c>
      <c r="AD88" s="316">
        <v>0.0</v>
      </c>
      <c r="AE88" s="316">
        <v>0.0</v>
      </c>
      <c r="AF88" s="316">
        <v>0.0</v>
      </c>
      <c r="AG88" s="316">
        <v>0.0</v>
      </c>
      <c r="AH88" s="317">
        <v>12.0</v>
      </c>
      <c r="AI88" s="318">
        <v>12.0</v>
      </c>
      <c r="AJ88" s="316">
        <v>0.0</v>
      </c>
      <c r="AK88" s="316">
        <v>0.0</v>
      </c>
      <c r="AL88" s="316">
        <v>0.0</v>
      </c>
      <c r="AM88" s="316">
        <v>0.0</v>
      </c>
      <c r="AN88" s="316">
        <v>0.0</v>
      </c>
      <c r="AO88" s="316">
        <v>0.0</v>
      </c>
      <c r="AP88" s="316">
        <v>0.0</v>
      </c>
      <c r="AQ88" s="316">
        <v>0.0</v>
      </c>
      <c r="AR88" s="316">
        <v>0.0</v>
      </c>
      <c r="AS88" s="316">
        <v>0.0</v>
      </c>
      <c r="AT88" s="317">
        <v>40.0</v>
      </c>
      <c r="AU88" s="318">
        <v>40.0</v>
      </c>
      <c r="AV88" s="319">
        <f t="shared" si="1"/>
        <v>170</v>
      </c>
      <c r="AW88" s="320">
        <v>70.99</v>
      </c>
      <c r="AX88" s="321">
        <f t="shared" si="2"/>
        <v>494.0904</v>
      </c>
      <c r="AY88" s="349">
        <f t="shared" si="3"/>
        <v>58302.6672</v>
      </c>
      <c r="AZ88" s="349">
        <f t="shared" si="4"/>
        <v>5929.0848</v>
      </c>
      <c r="BA88" s="349">
        <f t="shared" si="5"/>
        <v>19763.616</v>
      </c>
      <c r="BB88" s="350">
        <f t="shared" si="6"/>
        <v>83995.368</v>
      </c>
      <c r="BC88" s="324"/>
      <c r="BD88" s="324"/>
      <c r="BE88" s="325"/>
      <c r="BF88" s="326"/>
      <c r="BG88" s="327"/>
    </row>
    <row r="89" ht="15.75" customHeight="1">
      <c r="A89" s="328" t="s">
        <v>2706</v>
      </c>
      <c r="B89" s="329">
        <v>2.0</v>
      </c>
      <c r="C89" s="330" t="s">
        <v>2707</v>
      </c>
      <c r="D89" s="330" t="s">
        <v>23</v>
      </c>
      <c r="E89" s="330" t="s">
        <v>2708</v>
      </c>
      <c r="F89" s="330" t="s">
        <v>1763</v>
      </c>
      <c r="G89" s="331" t="s">
        <v>2709</v>
      </c>
      <c r="H89" s="331" t="s">
        <v>2792</v>
      </c>
      <c r="I89" s="332" t="s">
        <v>2401</v>
      </c>
      <c r="J89" s="333" t="s">
        <v>151</v>
      </c>
      <c r="K89" s="330" t="s">
        <v>25</v>
      </c>
      <c r="L89" s="334">
        <v>0.0</v>
      </c>
      <c r="M89" s="334">
        <v>0.0</v>
      </c>
      <c r="N89" s="334">
        <v>0.0</v>
      </c>
      <c r="O89" s="334">
        <v>0.0</v>
      </c>
      <c r="P89" s="334">
        <v>0.0</v>
      </c>
      <c r="Q89" s="334">
        <v>0.0</v>
      </c>
      <c r="R89" s="334">
        <v>0.0</v>
      </c>
      <c r="S89" s="334">
        <v>0.0</v>
      </c>
      <c r="T89" s="334">
        <v>0.0</v>
      </c>
      <c r="U89" s="334">
        <v>0.0</v>
      </c>
      <c r="V89" s="335">
        <v>112.0</v>
      </c>
      <c r="W89" s="336">
        <v>112.0</v>
      </c>
      <c r="X89" s="337">
        <v>0.0</v>
      </c>
      <c r="Y89" s="337">
        <v>0.0</v>
      </c>
      <c r="Z89" s="337">
        <v>0.0</v>
      </c>
      <c r="AA89" s="337">
        <v>0.0</v>
      </c>
      <c r="AB89" s="337">
        <v>0.0</v>
      </c>
      <c r="AC89" s="337">
        <v>0.0</v>
      </c>
      <c r="AD89" s="337">
        <v>0.0</v>
      </c>
      <c r="AE89" s="337">
        <v>0.0</v>
      </c>
      <c r="AF89" s="337">
        <v>0.0</v>
      </c>
      <c r="AG89" s="337">
        <v>0.0</v>
      </c>
      <c r="AH89" s="338">
        <v>236.0</v>
      </c>
      <c r="AI89" s="339">
        <v>236.0</v>
      </c>
      <c r="AJ89" s="337">
        <v>0.0</v>
      </c>
      <c r="AK89" s="337">
        <v>0.0</v>
      </c>
      <c r="AL89" s="337">
        <v>0.0</v>
      </c>
      <c r="AM89" s="337">
        <v>0.0</v>
      </c>
      <c r="AN89" s="337">
        <v>0.0</v>
      </c>
      <c r="AO89" s="337">
        <v>0.0</v>
      </c>
      <c r="AP89" s="337">
        <v>0.0</v>
      </c>
      <c r="AQ89" s="337">
        <v>0.0</v>
      </c>
      <c r="AR89" s="337">
        <v>0.0</v>
      </c>
      <c r="AS89" s="337">
        <v>0.0</v>
      </c>
      <c r="AT89" s="338">
        <v>224.0</v>
      </c>
      <c r="AU89" s="339">
        <v>224.0</v>
      </c>
      <c r="AV89" s="340">
        <f t="shared" si="1"/>
        <v>572</v>
      </c>
      <c r="AW89" s="341">
        <v>107.64</v>
      </c>
      <c r="AX89" s="342">
        <f t="shared" si="2"/>
        <v>749.1744</v>
      </c>
      <c r="AY89" s="343">
        <f t="shared" si="3"/>
        <v>83907.5328</v>
      </c>
      <c r="AZ89" s="343">
        <f t="shared" si="4"/>
        <v>176805.1584</v>
      </c>
      <c r="BA89" s="343">
        <f t="shared" si="5"/>
        <v>167815.0656</v>
      </c>
      <c r="BB89" s="344">
        <f t="shared" si="6"/>
        <v>428527.7568</v>
      </c>
      <c r="BC89" s="345"/>
      <c r="BD89" s="345"/>
      <c r="BE89" s="346"/>
      <c r="BF89" s="347"/>
      <c r="BG89" s="348"/>
    </row>
    <row r="90" ht="15.75" customHeight="1">
      <c r="A90" s="307" t="s">
        <v>2706</v>
      </c>
      <c r="B90" s="308">
        <v>2.0</v>
      </c>
      <c r="C90" s="309" t="s">
        <v>2707</v>
      </c>
      <c r="D90" s="309" t="s">
        <v>23</v>
      </c>
      <c r="E90" s="309" t="s">
        <v>2708</v>
      </c>
      <c r="F90" s="309" t="s">
        <v>1763</v>
      </c>
      <c r="G90" s="310" t="s">
        <v>2709</v>
      </c>
      <c r="H90" s="310" t="s">
        <v>2793</v>
      </c>
      <c r="I90" s="311" t="s">
        <v>2402</v>
      </c>
      <c r="J90" s="312" t="s">
        <v>624</v>
      </c>
      <c r="K90" s="309" t="s">
        <v>25</v>
      </c>
      <c r="L90" s="313">
        <v>0.0</v>
      </c>
      <c r="M90" s="313">
        <v>0.0</v>
      </c>
      <c r="N90" s="313">
        <v>0.0</v>
      </c>
      <c r="O90" s="313">
        <v>0.0</v>
      </c>
      <c r="P90" s="313">
        <v>0.0</v>
      </c>
      <c r="Q90" s="313">
        <v>0.0</v>
      </c>
      <c r="R90" s="313">
        <v>0.0</v>
      </c>
      <c r="S90" s="313">
        <v>0.0</v>
      </c>
      <c r="T90" s="313">
        <v>0.0</v>
      </c>
      <c r="U90" s="313">
        <v>0.0</v>
      </c>
      <c r="V90" s="314">
        <v>30.0</v>
      </c>
      <c r="W90" s="315">
        <v>30.0</v>
      </c>
      <c r="X90" s="316">
        <v>0.0</v>
      </c>
      <c r="Y90" s="316">
        <v>0.0</v>
      </c>
      <c r="Z90" s="316">
        <v>0.0</v>
      </c>
      <c r="AA90" s="316">
        <v>0.0</v>
      </c>
      <c r="AB90" s="316">
        <v>0.0</v>
      </c>
      <c r="AC90" s="316">
        <v>0.0</v>
      </c>
      <c r="AD90" s="316">
        <v>0.0</v>
      </c>
      <c r="AE90" s="316">
        <v>0.0</v>
      </c>
      <c r="AF90" s="316">
        <v>0.0</v>
      </c>
      <c r="AG90" s="316">
        <v>0.0</v>
      </c>
      <c r="AH90" s="317">
        <v>0.0</v>
      </c>
      <c r="AI90" s="318">
        <v>0.0</v>
      </c>
      <c r="AJ90" s="316">
        <v>0.0</v>
      </c>
      <c r="AK90" s="316">
        <v>0.0</v>
      </c>
      <c r="AL90" s="316">
        <v>0.0</v>
      </c>
      <c r="AM90" s="316">
        <v>0.0</v>
      </c>
      <c r="AN90" s="316">
        <v>0.0</v>
      </c>
      <c r="AO90" s="316">
        <v>0.0</v>
      </c>
      <c r="AP90" s="316">
        <v>0.0</v>
      </c>
      <c r="AQ90" s="316">
        <v>0.0</v>
      </c>
      <c r="AR90" s="316">
        <v>0.0</v>
      </c>
      <c r="AS90" s="316">
        <v>0.0</v>
      </c>
      <c r="AT90" s="317">
        <v>0.0</v>
      </c>
      <c r="AU90" s="318">
        <v>0.0</v>
      </c>
      <c r="AV90" s="319">
        <f t="shared" si="1"/>
        <v>30</v>
      </c>
      <c r="AW90" s="320">
        <v>50.92</v>
      </c>
      <c r="AX90" s="321">
        <f t="shared" si="2"/>
        <v>354.4032</v>
      </c>
      <c r="AY90" s="349">
        <f t="shared" si="3"/>
        <v>10632.096</v>
      </c>
      <c r="AZ90" s="349">
        <f t="shared" si="4"/>
        <v>0</v>
      </c>
      <c r="BA90" s="349">
        <f t="shared" si="5"/>
        <v>0</v>
      </c>
      <c r="BB90" s="350">
        <f t="shared" si="6"/>
        <v>10632.096</v>
      </c>
      <c r="BC90" s="324"/>
      <c r="BD90" s="324"/>
      <c r="BE90" s="325"/>
      <c r="BF90" s="326"/>
      <c r="BG90" s="327"/>
    </row>
    <row r="91" ht="15.75" customHeight="1">
      <c r="A91" s="328" t="s">
        <v>2706</v>
      </c>
      <c r="B91" s="329">
        <v>2.0</v>
      </c>
      <c r="C91" s="330" t="s">
        <v>2707</v>
      </c>
      <c r="D91" s="330" t="s">
        <v>23</v>
      </c>
      <c r="E91" s="330" t="s">
        <v>2708</v>
      </c>
      <c r="F91" s="330" t="s">
        <v>1763</v>
      </c>
      <c r="G91" s="331" t="s">
        <v>2709</v>
      </c>
      <c r="H91" s="331" t="s">
        <v>2794</v>
      </c>
      <c r="I91" s="332" t="s">
        <v>2403</v>
      </c>
      <c r="J91" s="333" t="s">
        <v>182</v>
      </c>
      <c r="K91" s="330" t="s">
        <v>25</v>
      </c>
      <c r="L91" s="334">
        <v>0.0</v>
      </c>
      <c r="M91" s="334">
        <v>0.0</v>
      </c>
      <c r="N91" s="334">
        <v>0.0</v>
      </c>
      <c r="O91" s="334">
        <v>0.0</v>
      </c>
      <c r="P91" s="334">
        <v>0.0</v>
      </c>
      <c r="Q91" s="334">
        <v>0.0</v>
      </c>
      <c r="R91" s="334">
        <v>0.0</v>
      </c>
      <c r="S91" s="334">
        <v>0.0</v>
      </c>
      <c r="T91" s="334">
        <v>0.0</v>
      </c>
      <c r="U91" s="334">
        <v>0.0</v>
      </c>
      <c r="V91" s="335">
        <v>216.0</v>
      </c>
      <c r="W91" s="336">
        <v>216.0</v>
      </c>
      <c r="X91" s="337">
        <v>0.0</v>
      </c>
      <c r="Y91" s="337">
        <v>0.0</v>
      </c>
      <c r="Z91" s="337">
        <v>0.0</v>
      </c>
      <c r="AA91" s="337">
        <v>0.0</v>
      </c>
      <c r="AB91" s="337">
        <v>0.0</v>
      </c>
      <c r="AC91" s="337">
        <v>0.0</v>
      </c>
      <c r="AD91" s="337">
        <v>0.0</v>
      </c>
      <c r="AE91" s="337">
        <v>0.0</v>
      </c>
      <c r="AF91" s="337">
        <v>0.0</v>
      </c>
      <c r="AG91" s="337">
        <v>0.0</v>
      </c>
      <c r="AH91" s="338">
        <v>48.0</v>
      </c>
      <c r="AI91" s="339">
        <v>48.0</v>
      </c>
      <c r="AJ91" s="337">
        <v>0.0</v>
      </c>
      <c r="AK91" s="337">
        <v>0.0</v>
      </c>
      <c r="AL91" s="337">
        <v>0.0</v>
      </c>
      <c r="AM91" s="337">
        <v>0.0</v>
      </c>
      <c r="AN91" s="337">
        <v>0.0</v>
      </c>
      <c r="AO91" s="337">
        <v>0.0</v>
      </c>
      <c r="AP91" s="337">
        <v>0.0</v>
      </c>
      <c r="AQ91" s="337">
        <v>0.0</v>
      </c>
      <c r="AR91" s="337">
        <v>0.0</v>
      </c>
      <c r="AS91" s="337">
        <v>0.0</v>
      </c>
      <c r="AT91" s="338">
        <v>140.0</v>
      </c>
      <c r="AU91" s="339">
        <v>140.0</v>
      </c>
      <c r="AV91" s="340">
        <f t="shared" si="1"/>
        <v>404</v>
      </c>
      <c r="AW91" s="341">
        <v>115.48</v>
      </c>
      <c r="AX91" s="342">
        <f t="shared" si="2"/>
        <v>803.7408</v>
      </c>
      <c r="AY91" s="343">
        <f t="shared" si="3"/>
        <v>173608.0128</v>
      </c>
      <c r="AZ91" s="343">
        <f t="shared" si="4"/>
        <v>38579.5584</v>
      </c>
      <c r="BA91" s="343">
        <f t="shared" si="5"/>
        <v>112523.712</v>
      </c>
      <c r="BB91" s="344">
        <f t="shared" si="6"/>
        <v>324711.2832</v>
      </c>
      <c r="BC91" s="345"/>
      <c r="BD91" s="345"/>
      <c r="BE91" s="346"/>
      <c r="BF91" s="347"/>
      <c r="BG91" s="348"/>
    </row>
    <row r="92" ht="15.75" customHeight="1">
      <c r="A92" s="307" t="s">
        <v>2706</v>
      </c>
      <c r="B92" s="308">
        <v>2.0</v>
      </c>
      <c r="C92" s="309" t="s">
        <v>2707</v>
      </c>
      <c r="D92" s="309" t="s">
        <v>23</v>
      </c>
      <c r="E92" s="309" t="s">
        <v>2708</v>
      </c>
      <c r="F92" s="309" t="s">
        <v>1763</v>
      </c>
      <c r="G92" s="310" t="s">
        <v>2709</v>
      </c>
      <c r="H92" s="310" t="s">
        <v>2795</v>
      </c>
      <c r="I92" s="311" t="s">
        <v>2404</v>
      </c>
      <c r="J92" s="312" t="s">
        <v>103</v>
      </c>
      <c r="K92" s="309" t="s">
        <v>25</v>
      </c>
      <c r="L92" s="313">
        <v>0.0</v>
      </c>
      <c r="M92" s="313">
        <v>0.0</v>
      </c>
      <c r="N92" s="313">
        <v>0.0</v>
      </c>
      <c r="O92" s="313">
        <v>0.0</v>
      </c>
      <c r="P92" s="313">
        <v>0.0</v>
      </c>
      <c r="Q92" s="313">
        <v>0.0</v>
      </c>
      <c r="R92" s="313">
        <v>0.0</v>
      </c>
      <c r="S92" s="313">
        <v>0.0</v>
      </c>
      <c r="T92" s="313">
        <v>0.0</v>
      </c>
      <c r="U92" s="313">
        <v>0.0</v>
      </c>
      <c r="V92" s="314">
        <v>40.0</v>
      </c>
      <c r="W92" s="315">
        <v>40.0</v>
      </c>
      <c r="X92" s="316">
        <v>0.0</v>
      </c>
      <c r="Y92" s="316">
        <v>0.0</v>
      </c>
      <c r="Z92" s="316">
        <v>0.0</v>
      </c>
      <c r="AA92" s="316">
        <v>0.0</v>
      </c>
      <c r="AB92" s="316">
        <v>0.0</v>
      </c>
      <c r="AC92" s="316">
        <v>0.0</v>
      </c>
      <c r="AD92" s="316">
        <v>0.0</v>
      </c>
      <c r="AE92" s="316">
        <v>0.0</v>
      </c>
      <c r="AF92" s="316">
        <v>0.0</v>
      </c>
      <c r="AG92" s="316">
        <v>0.0</v>
      </c>
      <c r="AH92" s="317">
        <v>60.0</v>
      </c>
      <c r="AI92" s="318">
        <v>60.0</v>
      </c>
      <c r="AJ92" s="316">
        <v>0.0</v>
      </c>
      <c r="AK92" s="316">
        <v>0.0</v>
      </c>
      <c r="AL92" s="316">
        <v>0.0</v>
      </c>
      <c r="AM92" s="316">
        <v>0.0</v>
      </c>
      <c r="AN92" s="316">
        <v>0.0</v>
      </c>
      <c r="AO92" s="316">
        <v>0.0</v>
      </c>
      <c r="AP92" s="316">
        <v>0.0</v>
      </c>
      <c r="AQ92" s="316">
        <v>0.0</v>
      </c>
      <c r="AR92" s="316">
        <v>0.0</v>
      </c>
      <c r="AS92" s="316">
        <v>0.0</v>
      </c>
      <c r="AT92" s="317">
        <v>42.0</v>
      </c>
      <c r="AU92" s="318">
        <v>42.0</v>
      </c>
      <c r="AV92" s="319">
        <f t="shared" si="1"/>
        <v>142</v>
      </c>
      <c r="AW92" s="320">
        <v>79.33</v>
      </c>
      <c r="AX92" s="321">
        <f t="shared" si="2"/>
        <v>552.1368</v>
      </c>
      <c r="AY92" s="349">
        <f t="shared" si="3"/>
        <v>22085.472</v>
      </c>
      <c r="AZ92" s="349">
        <f t="shared" si="4"/>
        <v>33128.208</v>
      </c>
      <c r="BA92" s="349">
        <f t="shared" si="5"/>
        <v>23189.7456</v>
      </c>
      <c r="BB92" s="350">
        <f t="shared" si="6"/>
        <v>78403.4256</v>
      </c>
      <c r="BC92" s="324"/>
      <c r="BD92" s="324"/>
      <c r="BE92" s="325"/>
      <c r="BF92" s="326"/>
      <c r="BG92" s="327"/>
    </row>
    <row r="93" ht="15.75" customHeight="1">
      <c r="A93" s="328" t="s">
        <v>2706</v>
      </c>
      <c r="B93" s="329">
        <v>2.0</v>
      </c>
      <c r="C93" s="330" t="s">
        <v>2707</v>
      </c>
      <c r="D93" s="330" t="s">
        <v>23</v>
      </c>
      <c r="E93" s="330" t="s">
        <v>2708</v>
      </c>
      <c r="F93" s="330" t="s">
        <v>1763</v>
      </c>
      <c r="G93" s="331" t="s">
        <v>2709</v>
      </c>
      <c r="H93" s="361"/>
      <c r="I93" s="332" t="s">
        <v>2417</v>
      </c>
      <c r="J93" s="333" t="s">
        <v>702</v>
      </c>
      <c r="K93" s="330" t="s">
        <v>25</v>
      </c>
      <c r="L93" s="334">
        <v>0.0</v>
      </c>
      <c r="M93" s="334">
        <v>0.0</v>
      </c>
      <c r="N93" s="334">
        <v>0.0</v>
      </c>
      <c r="O93" s="334">
        <v>0.0</v>
      </c>
      <c r="P93" s="334">
        <v>0.0</v>
      </c>
      <c r="Q93" s="334">
        <v>0.0</v>
      </c>
      <c r="R93" s="334">
        <v>0.0</v>
      </c>
      <c r="S93" s="334">
        <v>0.0</v>
      </c>
      <c r="T93" s="334">
        <v>0.0</v>
      </c>
      <c r="U93" s="334">
        <v>0.0</v>
      </c>
      <c r="V93" s="335">
        <v>80.0</v>
      </c>
      <c r="W93" s="336">
        <v>80.0</v>
      </c>
      <c r="X93" s="337">
        <v>0.0</v>
      </c>
      <c r="Y93" s="337">
        <v>0.0</v>
      </c>
      <c r="Z93" s="337">
        <v>0.0</v>
      </c>
      <c r="AA93" s="337">
        <v>0.0</v>
      </c>
      <c r="AB93" s="337">
        <v>0.0</v>
      </c>
      <c r="AC93" s="337">
        <v>0.0</v>
      </c>
      <c r="AD93" s="337">
        <v>0.0</v>
      </c>
      <c r="AE93" s="337">
        <v>0.0</v>
      </c>
      <c r="AF93" s="337">
        <v>0.0</v>
      </c>
      <c r="AG93" s="337">
        <v>0.0</v>
      </c>
      <c r="AH93" s="338">
        <v>0.0</v>
      </c>
      <c r="AI93" s="339">
        <v>0.0</v>
      </c>
      <c r="AJ93" s="337">
        <v>0.0</v>
      </c>
      <c r="AK93" s="337">
        <v>0.0</v>
      </c>
      <c r="AL93" s="337">
        <v>0.0</v>
      </c>
      <c r="AM93" s="337">
        <v>0.0</v>
      </c>
      <c r="AN93" s="337">
        <v>0.0</v>
      </c>
      <c r="AO93" s="337">
        <v>0.0</v>
      </c>
      <c r="AP93" s="337">
        <v>0.0</v>
      </c>
      <c r="AQ93" s="337">
        <v>0.0</v>
      </c>
      <c r="AR93" s="337">
        <v>0.0</v>
      </c>
      <c r="AS93" s="337">
        <v>0.0</v>
      </c>
      <c r="AT93" s="338">
        <v>0.0</v>
      </c>
      <c r="AU93" s="339">
        <v>0.0</v>
      </c>
      <c r="AV93" s="340">
        <f t="shared" si="1"/>
        <v>80</v>
      </c>
      <c r="AW93" s="341">
        <v>22.8</v>
      </c>
      <c r="AX93" s="342">
        <f t="shared" si="2"/>
        <v>158.688</v>
      </c>
      <c r="AY93" s="343">
        <f t="shared" si="3"/>
        <v>12695.04</v>
      </c>
      <c r="AZ93" s="343">
        <f t="shared" si="4"/>
        <v>0</v>
      </c>
      <c r="BA93" s="343">
        <f t="shared" si="5"/>
        <v>0</v>
      </c>
      <c r="BB93" s="344">
        <f t="shared" si="6"/>
        <v>12695.04</v>
      </c>
      <c r="BC93" s="345"/>
      <c r="BD93" s="345"/>
      <c r="BE93" s="346"/>
      <c r="BF93" s="347"/>
      <c r="BG93" s="348"/>
    </row>
    <row r="94" ht="15.75" customHeight="1">
      <c r="A94" s="307" t="s">
        <v>2706</v>
      </c>
      <c r="B94" s="308">
        <v>2.0</v>
      </c>
      <c r="C94" s="309" t="s">
        <v>2707</v>
      </c>
      <c r="D94" s="309" t="s">
        <v>23</v>
      </c>
      <c r="E94" s="309" t="s">
        <v>2708</v>
      </c>
      <c r="F94" s="309" t="s">
        <v>1763</v>
      </c>
      <c r="G94" s="310" t="s">
        <v>2709</v>
      </c>
      <c r="H94" s="363"/>
      <c r="I94" s="311" t="s">
        <v>2418</v>
      </c>
      <c r="J94" s="312" t="s">
        <v>676</v>
      </c>
      <c r="K94" s="309" t="s">
        <v>25</v>
      </c>
      <c r="L94" s="313">
        <v>0.0</v>
      </c>
      <c r="M94" s="313">
        <v>0.0</v>
      </c>
      <c r="N94" s="313">
        <v>0.0</v>
      </c>
      <c r="O94" s="313">
        <v>0.0</v>
      </c>
      <c r="P94" s="313">
        <v>0.0</v>
      </c>
      <c r="Q94" s="313">
        <v>0.0</v>
      </c>
      <c r="R94" s="313">
        <v>0.0</v>
      </c>
      <c r="S94" s="313">
        <v>0.0</v>
      </c>
      <c r="T94" s="313">
        <v>0.0</v>
      </c>
      <c r="U94" s="313">
        <v>0.0</v>
      </c>
      <c r="V94" s="314">
        <v>80.0</v>
      </c>
      <c r="W94" s="315">
        <v>80.0</v>
      </c>
      <c r="X94" s="316">
        <v>0.0</v>
      </c>
      <c r="Y94" s="316">
        <v>0.0</v>
      </c>
      <c r="Z94" s="316">
        <v>0.0</v>
      </c>
      <c r="AA94" s="316">
        <v>0.0</v>
      </c>
      <c r="AB94" s="316">
        <v>0.0</v>
      </c>
      <c r="AC94" s="316">
        <v>0.0</v>
      </c>
      <c r="AD94" s="316">
        <v>0.0</v>
      </c>
      <c r="AE94" s="316">
        <v>0.0</v>
      </c>
      <c r="AF94" s="316">
        <v>0.0</v>
      </c>
      <c r="AG94" s="316">
        <v>0.0</v>
      </c>
      <c r="AH94" s="317">
        <v>0.0</v>
      </c>
      <c r="AI94" s="318">
        <v>0.0</v>
      </c>
      <c r="AJ94" s="316">
        <v>0.0</v>
      </c>
      <c r="AK94" s="316">
        <v>0.0</v>
      </c>
      <c r="AL94" s="316">
        <v>0.0</v>
      </c>
      <c r="AM94" s="316">
        <v>0.0</v>
      </c>
      <c r="AN94" s="316">
        <v>0.0</v>
      </c>
      <c r="AO94" s="316">
        <v>0.0</v>
      </c>
      <c r="AP94" s="316">
        <v>0.0</v>
      </c>
      <c r="AQ94" s="316">
        <v>0.0</v>
      </c>
      <c r="AR94" s="316">
        <v>0.0</v>
      </c>
      <c r="AS94" s="316">
        <v>0.0</v>
      </c>
      <c r="AT94" s="317">
        <v>0.0</v>
      </c>
      <c r="AU94" s="318">
        <v>0.0</v>
      </c>
      <c r="AV94" s="319">
        <f t="shared" si="1"/>
        <v>80</v>
      </c>
      <c r="AW94" s="320">
        <v>24.27</v>
      </c>
      <c r="AX94" s="321">
        <f t="shared" si="2"/>
        <v>168.9192</v>
      </c>
      <c r="AY94" s="349">
        <f t="shared" si="3"/>
        <v>13513.536</v>
      </c>
      <c r="AZ94" s="349">
        <f t="shared" si="4"/>
        <v>0</v>
      </c>
      <c r="BA94" s="349">
        <f t="shared" si="5"/>
        <v>0</v>
      </c>
      <c r="BB94" s="350">
        <f t="shared" si="6"/>
        <v>13513.536</v>
      </c>
      <c r="BC94" s="324"/>
      <c r="BD94" s="324"/>
      <c r="BE94" s="325"/>
      <c r="BF94" s="326"/>
      <c r="BG94" s="327"/>
    </row>
    <row r="95" ht="15.75" customHeight="1">
      <c r="A95" s="328" t="s">
        <v>2706</v>
      </c>
      <c r="B95" s="329">
        <v>2.0</v>
      </c>
      <c r="C95" s="330" t="s">
        <v>2707</v>
      </c>
      <c r="D95" s="330" t="s">
        <v>23</v>
      </c>
      <c r="E95" s="330" t="s">
        <v>2708</v>
      </c>
      <c r="F95" s="330" t="s">
        <v>1763</v>
      </c>
      <c r="G95" s="331" t="s">
        <v>2709</v>
      </c>
      <c r="H95" s="331" t="s">
        <v>2796</v>
      </c>
      <c r="I95" s="332" t="s">
        <v>2433</v>
      </c>
      <c r="J95" s="333" t="s">
        <v>109</v>
      </c>
      <c r="K95" s="330" t="s">
        <v>25</v>
      </c>
      <c r="L95" s="334">
        <v>0.0</v>
      </c>
      <c r="M95" s="334">
        <v>0.0</v>
      </c>
      <c r="N95" s="334">
        <v>0.0</v>
      </c>
      <c r="O95" s="334">
        <v>0.0</v>
      </c>
      <c r="P95" s="334">
        <v>0.0</v>
      </c>
      <c r="Q95" s="334">
        <v>0.0</v>
      </c>
      <c r="R95" s="334">
        <v>0.0</v>
      </c>
      <c r="S95" s="334">
        <v>0.0</v>
      </c>
      <c r="T95" s="334">
        <v>0.0</v>
      </c>
      <c r="U95" s="334">
        <v>0.0</v>
      </c>
      <c r="V95" s="335">
        <v>28.0</v>
      </c>
      <c r="W95" s="336">
        <v>28.0</v>
      </c>
      <c r="X95" s="337">
        <v>0.0</v>
      </c>
      <c r="Y95" s="337">
        <v>0.0</v>
      </c>
      <c r="Z95" s="337">
        <v>0.0</v>
      </c>
      <c r="AA95" s="337">
        <v>0.0</v>
      </c>
      <c r="AB95" s="337">
        <v>0.0</v>
      </c>
      <c r="AC95" s="337">
        <v>0.0</v>
      </c>
      <c r="AD95" s="337">
        <v>0.0</v>
      </c>
      <c r="AE95" s="337">
        <v>0.0</v>
      </c>
      <c r="AF95" s="337">
        <v>0.0</v>
      </c>
      <c r="AG95" s="337">
        <v>0.0</v>
      </c>
      <c r="AH95" s="338">
        <v>58.0</v>
      </c>
      <c r="AI95" s="339">
        <v>58.0</v>
      </c>
      <c r="AJ95" s="337">
        <v>0.0</v>
      </c>
      <c r="AK95" s="337">
        <v>0.0</v>
      </c>
      <c r="AL95" s="337">
        <v>0.0</v>
      </c>
      <c r="AM95" s="337">
        <v>0.0</v>
      </c>
      <c r="AN95" s="337">
        <v>0.0</v>
      </c>
      <c r="AO95" s="337">
        <v>0.0</v>
      </c>
      <c r="AP95" s="337">
        <v>0.0</v>
      </c>
      <c r="AQ95" s="337">
        <v>0.0</v>
      </c>
      <c r="AR95" s="337">
        <v>0.0</v>
      </c>
      <c r="AS95" s="337">
        <v>0.0</v>
      </c>
      <c r="AT95" s="338">
        <v>42.0</v>
      </c>
      <c r="AU95" s="339">
        <v>42.0</v>
      </c>
      <c r="AV95" s="340">
        <f t="shared" si="1"/>
        <v>128</v>
      </c>
      <c r="AW95" s="341">
        <v>663.33</v>
      </c>
      <c r="AX95" s="342">
        <f t="shared" si="2"/>
        <v>4616.7768</v>
      </c>
      <c r="AY95" s="343">
        <f t="shared" si="3"/>
        <v>129269.7504</v>
      </c>
      <c r="AZ95" s="343">
        <f t="shared" si="4"/>
        <v>267773.0544</v>
      </c>
      <c r="BA95" s="343">
        <f t="shared" si="5"/>
        <v>193904.6256</v>
      </c>
      <c r="BB95" s="344">
        <f t="shared" si="6"/>
        <v>590947.4304</v>
      </c>
      <c r="BC95" s="345"/>
      <c r="BD95" s="345"/>
      <c r="BE95" s="346"/>
      <c r="BF95" s="347"/>
      <c r="BG95" s="348"/>
    </row>
    <row r="96" ht="15.75" customHeight="1">
      <c r="A96" s="307" t="s">
        <v>2706</v>
      </c>
      <c r="B96" s="308">
        <v>2.0</v>
      </c>
      <c r="C96" s="309" t="s">
        <v>2707</v>
      </c>
      <c r="D96" s="309" t="s">
        <v>23</v>
      </c>
      <c r="E96" s="309" t="s">
        <v>2708</v>
      </c>
      <c r="F96" s="309" t="s">
        <v>1763</v>
      </c>
      <c r="G96" s="310" t="s">
        <v>2709</v>
      </c>
      <c r="H96" s="310" t="s">
        <v>2797</v>
      </c>
      <c r="I96" s="311" t="s">
        <v>2434</v>
      </c>
      <c r="J96" s="312" t="s">
        <v>205</v>
      </c>
      <c r="K96" s="309" t="s">
        <v>25</v>
      </c>
      <c r="L96" s="313">
        <v>0.0</v>
      </c>
      <c r="M96" s="313">
        <v>0.0</v>
      </c>
      <c r="N96" s="313">
        <v>0.0</v>
      </c>
      <c r="O96" s="313">
        <v>0.0</v>
      </c>
      <c r="P96" s="313">
        <v>0.0</v>
      </c>
      <c r="Q96" s="313">
        <v>0.0</v>
      </c>
      <c r="R96" s="313">
        <v>0.0</v>
      </c>
      <c r="S96" s="313">
        <v>0.0</v>
      </c>
      <c r="T96" s="313">
        <v>0.0</v>
      </c>
      <c r="U96" s="313">
        <v>0.0</v>
      </c>
      <c r="V96" s="314">
        <v>8.0</v>
      </c>
      <c r="W96" s="315">
        <v>8.0</v>
      </c>
      <c r="X96" s="316">
        <v>0.0</v>
      </c>
      <c r="Y96" s="316">
        <v>0.0</v>
      </c>
      <c r="Z96" s="316">
        <v>0.0</v>
      </c>
      <c r="AA96" s="316">
        <v>0.0</v>
      </c>
      <c r="AB96" s="316">
        <v>0.0</v>
      </c>
      <c r="AC96" s="316">
        <v>0.0</v>
      </c>
      <c r="AD96" s="316">
        <v>0.0</v>
      </c>
      <c r="AE96" s="316">
        <v>0.0</v>
      </c>
      <c r="AF96" s="316">
        <v>0.0</v>
      </c>
      <c r="AG96" s="316">
        <v>0.0</v>
      </c>
      <c r="AH96" s="317">
        <v>18.0</v>
      </c>
      <c r="AI96" s="318">
        <v>18.0</v>
      </c>
      <c r="AJ96" s="316">
        <v>0.0</v>
      </c>
      <c r="AK96" s="316">
        <v>0.0</v>
      </c>
      <c r="AL96" s="316">
        <v>0.0</v>
      </c>
      <c r="AM96" s="316">
        <v>0.0</v>
      </c>
      <c r="AN96" s="316">
        <v>0.0</v>
      </c>
      <c r="AO96" s="316">
        <v>0.0</v>
      </c>
      <c r="AP96" s="316">
        <v>0.0</v>
      </c>
      <c r="AQ96" s="316">
        <v>0.0</v>
      </c>
      <c r="AR96" s="316">
        <v>0.0</v>
      </c>
      <c r="AS96" s="316">
        <v>0.0</v>
      </c>
      <c r="AT96" s="317">
        <v>6.0</v>
      </c>
      <c r="AU96" s="318">
        <v>6.0</v>
      </c>
      <c r="AV96" s="319">
        <f t="shared" si="1"/>
        <v>32</v>
      </c>
      <c r="AW96" s="320">
        <v>1116.96</v>
      </c>
      <c r="AX96" s="321">
        <f t="shared" si="2"/>
        <v>7774.0416</v>
      </c>
      <c r="AY96" s="349">
        <f t="shared" si="3"/>
        <v>62192.3328</v>
      </c>
      <c r="AZ96" s="349">
        <f t="shared" si="4"/>
        <v>139932.7488</v>
      </c>
      <c r="BA96" s="349">
        <f t="shared" si="5"/>
        <v>46644.2496</v>
      </c>
      <c r="BB96" s="350">
        <f t="shared" si="6"/>
        <v>248769.3312</v>
      </c>
      <c r="BC96" s="324"/>
      <c r="BD96" s="324"/>
      <c r="BE96" s="325"/>
      <c r="BF96" s="326"/>
      <c r="BG96" s="327"/>
    </row>
    <row r="97" ht="15.75" customHeight="1">
      <c r="A97" s="328" t="s">
        <v>2706</v>
      </c>
      <c r="B97" s="329">
        <v>2.0</v>
      </c>
      <c r="C97" s="330" t="s">
        <v>2707</v>
      </c>
      <c r="D97" s="330" t="s">
        <v>23</v>
      </c>
      <c r="E97" s="330" t="s">
        <v>2708</v>
      </c>
      <c r="F97" s="330" t="s">
        <v>1763</v>
      </c>
      <c r="G97" s="331" t="s">
        <v>2709</v>
      </c>
      <c r="H97" s="331" t="s">
        <v>2798</v>
      </c>
      <c r="I97" s="332" t="s">
        <v>2435</v>
      </c>
      <c r="J97" s="333" t="s">
        <v>53</v>
      </c>
      <c r="K97" s="330" t="s">
        <v>25</v>
      </c>
      <c r="L97" s="334">
        <v>0.0</v>
      </c>
      <c r="M97" s="334">
        <v>0.0</v>
      </c>
      <c r="N97" s="334">
        <v>0.0</v>
      </c>
      <c r="O97" s="334">
        <v>0.0</v>
      </c>
      <c r="P97" s="334">
        <v>0.0</v>
      </c>
      <c r="Q97" s="334">
        <v>0.0</v>
      </c>
      <c r="R97" s="334">
        <v>0.0</v>
      </c>
      <c r="S97" s="334">
        <v>0.0</v>
      </c>
      <c r="T97" s="334">
        <v>0.0</v>
      </c>
      <c r="U97" s="334">
        <v>0.0</v>
      </c>
      <c r="V97" s="335">
        <v>48.0</v>
      </c>
      <c r="W97" s="336">
        <v>48.0</v>
      </c>
      <c r="X97" s="337">
        <v>0.0</v>
      </c>
      <c r="Y97" s="337">
        <v>0.0</v>
      </c>
      <c r="Z97" s="337">
        <v>0.0</v>
      </c>
      <c r="AA97" s="337">
        <v>0.0</v>
      </c>
      <c r="AB97" s="337">
        <v>0.0</v>
      </c>
      <c r="AC97" s="337">
        <v>0.0</v>
      </c>
      <c r="AD97" s="337">
        <v>0.0</v>
      </c>
      <c r="AE97" s="337">
        <v>0.0</v>
      </c>
      <c r="AF97" s="337">
        <v>0.0</v>
      </c>
      <c r="AG97" s="337">
        <v>0.0</v>
      </c>
      <c r="AH97" s="338">
        <v>68.0</v>
      </c>
      <c r="AI97" s="339">
        <v>68.0</v>
      </c>
      <c r="AJ97" s="337">
        <v>0.0</v>
      </c>
      <c r="AK97" s="337">
        <v>0.0</v>
      </c>
      <c r="AL97" s="337">
        <v>0.0</v>
      </c>
      <c r="AM97" s="337">
        <v>0.0</v>
      </c>
      <c r="AN97" s="337">
        <v>0.0</v>
      </c>
      <c r="AO97" s="337">
        <v>0.0</v>
      </c>
      <c r="AP97" s="337">
        <v>0.0</v>
      </c>
      <c r="AQ97" s="337">
        <v>0.0</v>
      </c>
      <c r="AR97" s="337">
        <v>0.0</v>
      </c>
      <c r="AS97" s="337">
        <v>0.0</v>
      </c>
      <c r="AT97" s="338">
        <v>46.0</v>
      </c>
      <c r="AU97" s="339">
        <v>46.0</v>
      </c>
      <c r="AV97" s="340">
        <f t="shared" si="1"/>
        <v>162</v>
      </c>
      <c r="AW97" s="341">
        <v>985.59</v>
      </c>
      <c r="AX97" s="342">
        <f t="shared" si="2"/>
        <v>6859.7064</v>
      </c>
      <c r="AY97" s="343">
        <f t="shared" si="3"/>
        <v>329265.9072</v>
      </c>
      <c r="AZ97" s="343">
        <f t="shared" si="4"/>
        <v>466460.0352</v>
      </c>
      <c r="BA97" s="343">
        <f t="shared" si="5"/>
        <v>315546.4944</v>
      </c>
      <c r="BB97" s="344">
        <f t="shared" si="6"/>
        <v>1111272.437</v>
      </c>
      <c r="BC97" s="345"/>
      <c r="BD97" s="345"/>
      <c r="BE97" s="346"/>
      <c r="BF97" s="347"/>
      <c r="BG97" s="348"/>
    </row>
    <row r="98" ht="15.75" customHeight="1">
      <c r="A98" s="307" t="s">
        <v>2706</v>
      </c>
      <c r="B98" s="308">
        <v>2.0</v>
      </c>
      <c r="C98" s="309" t="s">
        <v>2707</v>
      </c>
      <c r="D98" s="309" t="s">
        <v>23</v>
      </c>
      <c r="E98" s="309" t="s">
        <v>2708</v>
      </c>
      <c r="F98" s="309" t="s">
        <v>1763</v>
      </c>
      <c r="G98" s="310" t="s">
        <v>2709</v>
      </c>
      <c r="H98" s="310" t="s">
        <v>2799</v>
      </c>
      <c r="I98" s="311" t="s">
        <v>2436</v>
      </c>
      <c r="J98" s="312" t="s">
        <v>115</v>
      </c>
      <c r="K98" s="309" t="s">
        <v>25</v>
      </c>
      <c r="L98" s="313">
        <v>0.0</v>
      </c>
      <c r="M98" s="313">
        <v>0.0</v>
      </c>
      <c r="N98" s="313">
        <v>0.0</v>
      </c>
      <c r="O98" s="313">
        <v>0.0</v>
      </c>
      <c r="P98" s="313">
        <v>0.0</v>
      </c>
      <c r="Q98" s="313">
        <v>0.0</v>
      </c>
      <c r="R98" s="313">
        <v>0.0</v>
      </c>
      <c r="S98" s="313">
        <v>0.0</v>
      </c>
      <c r="T98" s="313">
        <v>0.0</v>
      </c>
      <c r="U98" s="313">
        <v>0.0</v>
      </c>
      <c r="V98" s="314">
        <v>24.0</v>
      </c>
      <c r="W98" s="315">
        <v>24.0</v>
      </c>
      <c r="X98" s="316">
        <v>0.0</v>
      </c>
      <c r="Y98" s="316">
        <v>0.0</v>
      </c>
      <c r="Z98" s="316">
        <v>0.0</v>
      </c>
      <c r="AA98" s="316">
        <v>0.0</v>
      </c>
      <c r="AB98" s="316">
        <v>0.0</v>
      </c>
      <c r="AC98" s="316">
        <v>0.0</v>
      </c>
      <c r="AD98" s="316">
        <v>0.0</v>
      </c>
      <c r="AE98" s="316">
        <v>0.0</v>
      </c>
      <c r="AF98" s="316">
        <v>0.0</v>
      </c>
      <c r="AG98" s="316">
        <v>0.0</v>
      </c>
      <c r="AH98" s="317">
        <v>42.0</v>
      </c>
      <c r="AI98" s="318">
        <v>42.0</v>
      </c>
      <c r="AJ98" s="316">
        <v>0.0</v>
      </c>
      <c r="AK98" s="316">
        <v>0.0</v>
      </c>
      <c r="AL98" s="316">
        <v>0.0</v>
      </c>
      <c r="AM98" s="316">
        <v>0.0</v>
      </c>
      <c r="AN98" s="316">
        <v>0.0</v>
      </c>
      <c r="AO98" s="316">
        <v>0.0</v>
      </c>
      <c r="AP98" s="316">
        <v>0.0</v>
      </c>
      <c r="AQ98" s="316">
        <v>0.0</v>
      </c>
      <c r="AR98" s="316">
        <v>0.0</v>
      </c>
      <c r="AS98" s="316">
        <v>0.0</v>
      </c>
      <c r="AT98" s="317">
        <v>26.0</v>
      </c>
      <c r="AU98" s="318">
        <v>26.0</v>
      </c>
      <c r="AV98" s="319">
        <f t="shared" si="1"/>
        <v>92</v>
      </c>
      <c r="AW98" s="320">
        <v>763.82</v>
      </c>
      <c r="AX98" s="321">
        <f t="shared" si="2"/>
        <v>5316.1872</v>
      </c>
      <c r="AY98" s="349">
        <f t="shared" si="3"/>
        <v>127588.4928</v>
      </c>
      <c r="AZ98" s="349">
        <f t="shared" si="4"/>
        <v>223279.8624</v>
      </c>
      <c r="BA98" s="349">
        <f t="shared" si="5"/>
        <v>138220.8672</v>
      </c>
      <c r="BB98" s="350">
        <f t="shared" si="6"/>
        <v>489089.2224</v>
      </c>
      <c r="BC98" s="324"/>
      <c r="BD98" s="324"/>
      <c r="BE98" s="325"/>
      <c r="BF98" s="326"/>
      <c r="BG98" s="327"/>
    </row>
    <row r="99" ht="15.75" customHeight="1">
      <c r="A99" s="328" t="s">
        <v>2706</v>
      </c>
      <c r="B99" s="329">
        <v>2.0</v>
      </c>
      <c r="C99" s="330" t="s">
        <v>2707</v>
      </c>
      <c r="D99" s="330" t="s">
        <v>23</v>
      </c>
      <c r="E99" s="330" t="s">
        <v>2708</v>
      </c>
      <c r="F99" s="330" t="s">
        <v>1763</v>
      </c>
      <c r="G99" s="331" t="s">
        <v>2709</v>
      </c>
      <c r="H99" s="331" t="s">
        <v>2800</v>
      </c>
      <c r="I99" s="332" t="s">
        <v>2437</v>
      </c>
      <c r="J99" s="333" t="s">
        <v>157</v>
      </c>
      <c r="K99" s="330" t="s">
        <v>25</v>
      </c>
      <c r="L99" s="334">
        <v>0.0</v>
      </c>
      <c r="M99" s="334">
        <v>0.0</v>
      </c>
      <c r="N99" s="334">
        <v>0.0</v>
      </c>
      <c r="O99" s="334">
        <v>0.0</v>
      </c>
      <c r="P99" s="334">
        <v>0.0</v>
      </c>
      <c r="Q99" s="334">
        <v>0.0</v>
      </c>
      <c r="R99" s="334">
        <v>0.0</v>
      </c>
      <c r="S99" s="334">
        <v>0.0</v>
      </c>
      <c r="T99" s="334">
        <v>0.0</v>
      </c>
      <c r="U99" s="334">
        <v>0.0</v>
      </c>
      <c r="V99" s="335">
        <v>14.0</v>
      </c>
      <c r="W99" s="336">
        <v>14.0</v>
      </c>
      <c r="X99" s="337">
        <v>0.0</v>
      </c>
      <c r="Y99" s="337">
        <v>0.0</v>
      </c>
      <c r="Z99" s="337">
        <v>0.0</v>
      </c>
      <c r="AA99" s="337">
        <v>0.0</v>
      </c>
      <c r="AB99" s="337">
        <v>0.0</v>
      </c>
      <c r="AC99" s="337">
        <v>0.0</v>
      </c>
      <c r="AD99" s="337">
        <v>0.0</v>
      </c>
      <c r="AE99" s="337">
        <v>0.0</v>
      </c>
      <c r="AF99" s="337">
        <v>0.0</v>
      </c>
      <c r="AG99" s="337">
        <v>0.0</v>
      </c>
      <c r="AH99" s="338">
        <v>18.0</v>
      </c>
      <c r="AI99" s="339">
        <v>18.0</v>
      </c>
      <c r="AJ99" s="337">
        <v>0.0</v>
      </c>
      <c r="AK99" s="337">
        <v>0.0</v>
      </c>
      <c r="AL99" s="337">
        <v>0.0</v>
      </c>
      <c r="AM99" s="337">
        <v>0.0</v>
      </c>
      <c r="AN99" s="337">
        <v>0.0</v>
      </c>
      <c r="AO99" s="337">
        <v>0.0</v>
      </c>
      <c r="AP99" s="337">
        <v>0.0</v>
      </c>
      <c r="AQ99" s="337">
        <v>0.0</v>
      </c>
      <c r="AR99" s="337">
        <v>0.0</v>
      </c>
      <c r="AS99" s="337">
        <v>0.0</v>
      </c>
      <c r="AT99" s="338">
        <v>32.0</v>
      </c>
      <c r="AU99" s="339">
        <v>32.0</v>
      </c>
      <c r="AV99" s="340">
        <f t="shared" si="1"/>
        <v>64</v>
      </c>
      <c r="AW99" s="341">
        <v>728.67</v>
      </c>
      <c r="AX99" s="342">
        <f t="shared" si="2"/>
        <v>5071.5432</v>
      </c>
      <c r="AY99" s="343">
        <f t="shared" si="3"/>
        <v>71001.6048</v>
      </c>
      <c r="AZ99" s="343">
        <f t="shared" si="4"/>
        <v>91287.7776</v>
      </c>
      <c r="BA99" s="343">
        <f t="shared" si="5"/>
        <v>162289.3824</v>
      </c>
      <c r="BB99" s="344">
        <f t="shared" si="6"/>
        <v>324578.7648</v>
      </c>
      <c r="BC99" s="345"/>
      <c r="BD99" s="345"/>
      <c r="BE99" s="346"/>
      <c r="BF99" s="347"/>
      <c r="BG99" s="348"/>
    </row>
    <row r="100" ht="15.75" customHeight="1">
      <c r="A100" s="307" t="s">
        <v>2706</v>
      </c>
      <c r="B100" s="308">
        <v>2.0</v>
      </c>
      <c r="C100" s="309" t="s">
        <v>2707</v>
      </c>
      <c r="D100" s="309" t="s">
        <v>23</v>
      </c>
      <c r="E100" s="309" t="s">
        <v>2708</v>
      </c>
      <c r="F100" s="309" t="s">
        <v>1763</v>
      </c>
      <c r="G100" s="310" t="s">
        <v>2709</v>
      </c>
      <c r="H100" s="358"/>
      <c r="I100" s="311" t="s">
        <v>2438</v>
      </c>
      <c r="J100" s="312" t="s">
        <v>274</v>
      </c>
      <c r="K100" s="309" t="s">
        <v>25</v>
      </c>
      <c r="L100" s="313">
        <v>0.0</v>
      </c>
      <c r="M100" s="313">
        <v>0.0</v>
      </c>
      <c r="N100" s="313">
        <v>0.0</v>
      </c>
      <c r="O100" s="313">
        <v>0.0</v>
      </c>
      <c r="P100" s="313">
        <v>0.0</v>
      </c>
      <c r="Q100" s="313">
        <v>0.0</v>
      </c>
      <c r="R100" s="313">
        <v>0.0</v>
      </c>
      <c r="S100" s="313">
        <v>0.0</v>
      </c>
      <c r="T100" s="313">
        <v>0.0</v>
      </c>
      <c r="U100" s="313">
        <v>0.0</v>
      </c>
      <c r="V100" s="314">
        <v>32.0</v>
      </c>
      <c r="W100" s="315">
        <v>32.0</v>
      </c>
      <c r="X100" s="316">
        <v>0.0</v>
      </c>
      <c r="Y100" s="316">
        <v>0.0</v>
      </c>
      <c r="Z100" s="316">
        <v>0.0</v>
      </c>
      <c r="AA100" s="316">
        <v>0.0</v>
      </c>
      <c r="AB100" s="316">
        <v>0.0</v>
      </c>
      <c r="AC100" s="316">
        <v>0.0</v>
      </c>
      <c r="AD100" s="316">
        <v>0.0</v>
      </c>
      <c r="AE100" s="316">
        <v>0.0</v>
      </c>
      <c r="AF100" s="316">
        <v>0.0</v>
      </c>
      <c r="AG100" s="316">
        <v>0.0</v>
      </c>
      <c r="AH100" s="317">
        <v>0.0</v>
      </c>
      <c r="AI100" s="318">
        <v>0.0</v>
      </c>
      <c r="AJ100" s="316">
        <v>0.0</v>
      </c>
      <c r="AK100" s="316">
        <v>0.0</v>
      </c>
      <c r="AL100" s="316">
        <v>0.0</v>
      </c>
      <c r="AM100" s="316">
        <v>0.0</v>
      </c>
      <c r="AN100" s="316">
        <v>0.0</v>
      </c>
      <c r="AO100" s="316">
        <v>0.0</v>
      </c>
      <c r="AP100" s="316">
        <v>0.0</v>
      </c>
      <c r="AQ100" s="316">
        <v>0.0</v>
      </c>
      <c r="AR100" s="316">
        <v>0.0</v>
      </c>
      <c r="AS100" s="316">
        <v>0.0</v>
      </c>
      <c r="AT100" s="317">
        <v>18.0</v>
      </c>
      <c r="AU100" s="318">
        <v>18.0</v>
      </c>
      <c r="AV100" s="319">
        <f t="shared" si="1"/>
        <v>50</v>
      </c>
      <c r="AW100" s="320">
        <v>549.81</v>
      </c>
      <c r="AX100" s="321">
        <f t="shared" si="2"/>
        <v>3826.6776</v>
      </c>
      <c r="AY100" s="349">
        <f t="shared" si="3"/>
        <v>122453.6832</v>
      </c>
      <c r="AZ100" s="349">
        <f t="shared" si="4"/>
        <v>0</v>
      </c>
      <c r="BA100" s="349">
        <f t="shared" si="5"/>
        <v>68880.1968</v>
      </c>
      <c r="BB100" s="350">
        <f t="shared" si="6"/>
        <v>191333.88</v>
      </c>
      <c r="BC100" s="324"/>
      <c r="BD100" s="324"/>
      <c r="BE100" s="325"/>
      <c r="BF100" s="326"/>
      <c r="BG100" s="327"/>
    </row>
    <row r="101" ht="15.75" customHeight="1">
      <c r="A101" s="328" t="s">
        <v>2706</v>
      </c>
      <c r="B101" s="329">
        <v>2.0</v>
      </c>
      <c r="C101" s="330" t="s">
        <v>2707</v>
      </c>
      <c r="D101" s="330" t="s">
        <v>23</v>
      </c>
      <c r="E101" s="330" t="s">
        <v>2708</v>
      </c>
      <c r="F101" s="330" t="s">
        <v>1763</v>
      </c>
      <c r="G101" s="331" t="s">
        <v>2709</v>
      </c>
      <c r="H101" s="331" t="s">
        <v>2801</v>
      </c>
      <c r="I101" s="332" t="s">
        <v>2439</v>
      </c>
      <c r="J101" s="333" t="s">
        <v>70</v>
      </c>
      <c r="K101" s="330" t="s">
        <v>25</v>
      </c>
      <c r="L101" s="334">
        <v>0.0</v>
      </c>
      <c r="M101" s="334">
        <v>0.0</v>
      </c>
      <c r="N101" s="334">
        <v>0.0</v>
      </c>
      <c r="O101" s="334">
        <v>0.0</v>
      </c>
      <c r="P101" s="334">
        <v>0.0</v>
      </c>
      <c r="Q101" s="334">
        <v>0.0</v>
      </c>
      <c r="R101" s="334">
        <v>0.0</v>
      </c>
      <c r="S101" s="334">
        <v>0.0</v>
      </c>
      <c r="T101" s="334">
        <v>0.0</v>
      </c>
      <c r="U101" s="334">
        <v>0.0</v>
      </c>
      <c r="V101" s="335">
        <v>20.0</v>
      </c>
      <c r="W101" s="336">
        <v>20.0</v>
      </c>
      <c r="X101" s="337">
        <v>0.0</v>
      </c>
      <c r="Y101" s="337">
        <v>0.0</v>
      </c>
      <c r="Z101" s="337">
        <v>0.0</v>
      </c>
      <c r="AA101" s="337">
        <v>0.0</v>
      </c>
      <c r="AB101" s="337">
        <v>0.0</v>
      </c>
      <c r="AC101" s="337">
        <v>0.0</v>
      </c>
      <c r="AD101" s="337">
        <v>0.0</v>
      </c>
      <c r="AE101" s="337">
        <v>0.0</v>
      </c>
      <c r="AF101" s="337">
        <v>0.0</v>
      </c>
      <c r="AG101" s="337">
        <v>0.0</v>
      </c>
      <c r="AH101" s="338">
        <v>40.0</v>
      </c>
      <c r="AI101" s="339">
        <v>40.0</v>
      </c>
      <c r="AJ101" s="337">
        <v>0.0</v>
      </c>
      <c r="AK101" s="337">
        <v>0.0</v>
      </c>
      <c r="AL101" s="337">
        <v>0.0</v>
      </c>
      <c r="AM101" s="337">
        <v>0.0</v>
      </c>
      <c r="AN101" s="337">
        <v>0.0</v>
      </c>
      <c r="AO101" s="337">
        <v>0.0</v>
      </c>
      <c r="AP101" s="337">
        <v>0.0</v>
      </c>
      <c r="AQ101" s="337">
        <v>0.0</v>
      </c>
      <c r="AR101" s="337">
        <v>0.0</v>
      </c>
      <c r="AS101" s="337">
        <v>0.0</v>
      </c>
      <c r="AT101" s="338">
        <v>26.0</v>
      </c>
      <c r="AU101" s="339">
        <v>26.0</v>
      </c>
      <c r="AV101" s="340">
        <f t="shared" si="1"/>
        <v>86</v>
      </c>
      <c r="AW101" s="341">
        <v>1470.72</v>
      </c>
      <c r="AX101" s="342">
        <f t="shared" si="2"/>
        <v>10236.2112</v>
      </c>
      <c r="AY101" s="343">
        <f t="shared" si="3"/>
        <v>204724.224</v>
      </c>
      <c r="AZ101" s="343">
        <f t="shared" si="4"/>
        <v>409448.448</v>
      </c>
      <c r="BA101" s="343">
        <f t="shared" si="5"/>
        <v>266141.4912</v>
      </c>
      <c r="BB101" s="344">
        <f t="shared" si="6"/>
        <v>880314.1632</v>
      </c>
      <c r="BC101" s="345"/>
      <c r="BD101" s="345"/>
      <c r="BE101" s="346"/>
      <c r="BF101" s="347"/>
      <c r="BG101" s="348"/>
    </row>
    <row r="102" ht="15.75" customHeight="1">
      <c r="A102" s="307" t="s">
        <v>2706</v>
      </c>
      <c r="B102" s="308">
        <v>2.0</v>
      </c>
      <c r="C102" s="309" t="s">
        <v>2707</v>
      </c>
      <c r="D102" s="309" t="s">
        <v>23</v>
      </c>
      <c r="E102" s="309" t="s">
        <v>2708</v>
      </c>
      <c r="F102" s="309" t="s">
        <v>1763</v>
      </c>
      <c r="G102" s="310" t="s">
        <v>2709</v>
      </c>
      <c r="H102" s="310" t="s">
        <v>2802</v>
      </c>
      <c r="I102" s="311" t="s">
        <v>2440</v>
      </c>
      <c r="J102" s="312" t="s">
        <v>90</v>
      </c>
      <c r="K102" s="309" t="s">
        <v>25</v>
      </c>
      <c r="L102" s="313">
        <v>0.0</v>
      </c>
      <c r="M102" s="313">
        <v>0.0</v>
      </c>
      <c r="N102" s="313">
        <v>0.0</v>
      </c>
      <c r="O102" s="313">
        <v>0.0</v>
      </c>
      <c r="P102" s="313">
        <v>0.0</v>
      </c>
      <c r="Q102" s="313">
        <v>0.0</v>
      </c>
      <c r="R102" s="313">
        <v>0.0</v>
      </c>
      <c r="S102" s="313">
        <v>0.0</v>
      </c>
      <c r="T102" s="313">
        <v>0.0</v>
      </c>
      <c r="U102" s="313">
        <v>0.0</v>
      </c>
      <c r="V102" s="314">
        <v>108.0</v>
      </c>
      <c r="W102" s="315">
        <v>108.0</v>
      </c>
      <c r="X102" s="316">
        <v>0.0</v>
      </c>
      <c r="Y102" s="316">
        <v>0.0</v>
      </c>
      <c r="Z102" s="316">
        <v>0.0</v>
      </c>
      <c r="AA102" s="316">
        <v>0.0</v>
      </c>
      <c r="AB102" s="316">
        <v>0.0</v>
      </c>
      <c r="AC102" s="316">
        <v>0.0</v>
      </c>
      <c r="AD102" s="316">
        <v>0.0</v>
      </c>
      <c r="AE102" s="316">
        <v>0.0</v>
      </c>
      <c r="AF102" s="316">
        <v>0.0</v>
      </c>
      <c r="AG102" s="316">
        <v>0.0</v>
      </c>
      <c r="AH102" s="317">
        <v>12.0</v>
      </c>
      <c r="AI102" s="318">
        <v>12.0</v>
      </c>
      <c r="AJ102" s="316">
        <v>0.0</v>
      </c>
      <c r="AK102" s="316">
        <v>0.0</v>
      </c>
      <c r="AL102" s="316">
        <v>0.0</v>
      </c>
      <c r="AM102" s="316">
        <v>0.0</v>
      </c>
      <c r="AN102" s="316">
        <v>0.0</v>
      </c>
      <c r="AO102" s="316">
        <v>0.0</v>
      </c>
      <c r="AP102" s="316">
        <v>0.0</v>
      </c>
      <c r="AQ102" s="316">
        <v>0.0</v>
      </c>
      <c r="AR102" s="316">
        <v>0.0</v>
      </c>
      <c r="AS102" s="316">
        <v>0.0</v>
      </c>
      <c r="AT102" s="317">
        <v>54.0</v>
      </c>
      <c r="AU102" s="318">
        <v>54.0</v>
      </c>
      <c r="AV102" s="319">
        <f t="shared" si="1"/>
        <v>174</v>
      </c>
      <c r="AW102" s="320">
        <v>718.44</v>
      </c>
      <c r="AX102" s="321">
        <f t="shared" si="2"/>
        <v>5000.3424</v>
      </c>
      <c r="AY102" s="349">
        <f t="shared" si="3"/>
        <v>540036.9792</v>
      </c>
      <c r="AZ102" s="349">
        <f t="shared" si="4"/>
        <v>60004.1088</v>
      </c>
      <c r="BA102" s="349">
        <f t="shared" si="5"/>
        <v>270018.4896</v>
      </c>
      <c r="BB102" s="350">
        <f t="shared" si="6"/>
        <v>870059.5776</v>
      </c>
      <c r="BC102" s="324"/>
      <c r="BD102" s="324"/>
      <c r="BE102" s="325"/>
      <c r="BF102" s="326"/>
      <c r="BG102" s="327"/>
    </row>
    <row r="103" ht="15.75" customHeight="1">
      <c r="A103" s="328" t="s">
        <v>2706</v>
      </c>
      <c r="B103" s="329">
        <v>2.0</v>
      </c>
      <c r="C103" s="330" t="s">
        <v>2707</v>
      </c>
      <c r="D103" s="330" t="s">
        <v>23</v>
      </c>
      <c r="E103" s="330" t="s">
        <v>2708</v>
      </c>
      <c r="F103" s="330" t="s">
        <v>1763</v>
      </c>
      <c r="G103" s="331" t="s">
        <v>2709</v>
      </c>
      <c r="H103" s="331" t="s">
        <v>2803</v>
      </c>
      <c r="I103" s="332" t="s">
        <v>2441</v>
      </c>
      <c r="J103" s="333" t="s">
        <v>137</v>
      </c>
      <c r="K103" s="330" t="s">
        <v>25</v>
      </c>
      <c r="L103" s="334">
        <v>0.0</v>
      </c>
      <c r="M103" s="334">
        <v>0.0</v>
      </c>
      <c r="N103" s="334">
        <v>0.0</v>
      </c>
      <c r="O103" s="334">
        <v>0.0</v>
      </c>
      <c r="P103" s="334">
        <v>0.0</v>
      </c>
      <c r="Q103" s="334">
        <v>0.0</v>
      </c>
      <c r="R103" s="334">
        <v>0.0</v>
      </c>
      <c r="S103" s="334">
        <v>0.0</v>
      </c>
      <c r="T103" s="334">
        <v>0.0</v>
      </c>
      <c r="U103" s="334">
        <v>0.0</v>
      </c>
      <c r="V103" s="335">
        <v>70.0</v>
      </c>
      <c r="W103" s="336">
        <v>70.0</v>
      </c>
      <c r="X103" s="337">
        <v>0.0</v>
      </c>
      <c r="Y103" s="337">
        <v>0.0</v>
      </c>
      <c r="Z103" s="337">
        <v>0.0</v>
      </c>
      <c r="AA103" s="337">
        <v>0.0</v>
      </c>
      <c r="AB103" s="337">
        <v>0.0</v>
      </c>
      <c r="AC103" s="337">
        <v>0.0</v>
      </c>
      <c r="AD103" s="337">
        <v>0.0</v>
      </c>
      <c r="AE103" s="337">
        <v>0.0</v>
      </c>
      <c r="AF103" s="337">
        <v>0.0</v>
      </c>
      <c r="AG103" s="337">
        <v>0.0</v>
      </c>
      <c r="AH103" s="338">
        <v>6.0</v>
      </c>
      <c r="AI103" s="339">
        <v>6.0</v>
      </c>
      <c r="AJ103" s="337">
        <v>0.0</v>
      </c>
      <c r="AK103" s="337">
        <v>0.0</v>
      </c>
      <c r="AL103" s="337">
        <v>0.0</v>
      </c>
      <c r="AM103" s="337">
        <v>0.0</v>
      </c>
      <c r="AN103" s="337">
        <v>0.0</v>
      </c>
      <c r="AO103" s="337">
        <v>0.0</v>
      </c>
      <c r="AP103" s="337">
        <v>0.0</v>
      </c>
      <c r="AQ103" s="337">
        <v>0.0</v>
      </c>
      <c r="AR103" s="337">
        <v>0.0</v>
      </c>
      <c r="AS103" s="337">
        <v>0.0</v>
      </c>
      <c r="AT103" s="338">
        <v>38.0</v>
      </c>
      <c r="AU103" s="339">
        <v>38.0</v>
      </c>
      <c r="AV103" s="340">
        <f t="shared" si="1"/>
        <v>114</v>
      </c>
      <c r="AW103" s="341">
        <v>605.49</v>
      </c>
      <c r="AX103" s="342">
        <f t="shared" si="2"/>
        <v>4214.2104</v>
      </c>
      <c r="AY103" s="343">
        <f t="shared" si="3"/>
        <v>294994.728</v>
      </c>
      <c r="AZ103" s="343">
        <f t="shared" si="4"/>
        <v>25285.2624</v>
      </c>
      <c r="BA103" s="343">
        <f t="shared" si="5"/>
        <v>160139.9952</v>
      </c>
      <c r="BB103" s="344">
        <f t="shared" si="6"/>
        <v>480419.9856</v>
      </c>
      <c r="BC103" s="345"/>
      <c r="BD103" s="345"/>
      <c r="BE103" s="346"/>
      <c r="BF103" s="347"/>
      <c r="BG103" s="348"/>
    </row>
    <row r="104" ht="15.75" customHeight="1">
      <c r="A104" s="307" t="s">
        <v>2706</v>
      </c>
      <c r="B104" s="308">
        <v>2.0</v>
      </c>
      <c r="C104" s="309" t="s">
        <v>2707</v>
      </c>
      <c r="D104" s="309" t="s">
        <v>23</v>
      </c>
      <c r="E104" s="309" t="s">
        <v>2708</v>
      </c>
      <c r="F104" s="309" t="s">
        <v>1763</v>
      </c>
      <c r="G104" s="310" t="s">
        <v>2709</v>
      </c>
      <c r="H104" s="310" t="s">
        <v>2804</v>
      </c>
      <c r="I104" s="311" t="s">
        <v>2442</v>
      </c>
      <c r="J104" s="312" t="s">
        <v>176</v>
      </c>
      <c r="K104" s="309" t="s">
        <v>25</v>
      </c>
      <c r="L104" s="313">
        <v>0.0</v>
      </c>
      <c r="M104" s="313">
        <v>0.0</v>
      </c>
      <c r="N104" s="313">
        <v>0.0</v>
      </c>
      <c r="O104" s="313">
        <v>0.0</v>
      </c>
      <c r="P104" s="313">
        <v>0.0</v>
      </c>
      <c r="Q104" s="313">
        <v>0.0</v>
      </c>
      <c r="R104" s="313">
        <v>0.0</v>
      </c>
      <c r="S104" s="313">
        <v>0.0</v>
      </c>
      <c r="T104" s="313">
        <v>0.0</v>
      </c>
      <c r="U104" s="313">
        <v>0.0</v>
      </c>
      <c r="V104" s="314">
        <v>38.0</v>
      </c>
      <c r="W104" s="315">
        <v>38.0</v>
      </c>
      <c r="X104" s="316">
        <v>0.0</v>
      </c>
      <c r="Y104" s="316">
        <v>0.0</v>
      </c>
      <c r="Z104" s="316">
        <v>0.0</v>
      </c>
      <c r="AA104" s="316">
        <v>0.0</v>
      </c>
      <c r="AB104" s="316">
        <v>0.0</v>
      </c>
      <c r="AC104" s="316">
        <v>0.0</v>
      </c>
      <c r="AD104" s="316">
        <v>0.0</v>
      </c>
      <c r="AE104" s="316">
        <v>0.0</v>
      </c>
      <c r="AF104" s="316">
        <v>0.0</v>
      </c>
      <c r="AG104" s="316">
        <v>0.0</v>
      </c>
      <c r="AH104" s="317">
        <v>0.0</v>
      </c>
      <c r="AI104" s="318">
        <v>0.0</v>
      </c>
      <c r="AJ104" s="316">
        <v>0.0</v>
      </c>
      <c r="AK104" s="316">
        <v>0.0</v>
      </c>
      <c r="AL104" s="316">
        <v>0.0</v>
      </c>
      <c r="AM104" s="316">
        <v>0.0</v>
      </c>
      <c r="AN104" s="316">
        <v>0.0</v>
      </c>
      <c r="AO104" s="316">
        <v>0.0</v>
      </c>
      <c r="AP104" s="316">
        <v>0.0</v>
      </c>
      <c r="AQ104" s="316">
        <v>0.0</v>
      </c>
      <c r="AR104" s="316">
        <v>0.0</v>
      </c>
      <c r="AS104" s="316">
        <v>0.0</v>
      </c>
      <c r="AT104" s="317">
        <v>16.0</v>
      </c>
      <c r="AU104" s="318">
        <v>16.0</v>
      </c>
      <c r="AV104" s="319">
        <f t="shared" si="1"/>
        <v>54</v>
      </c>
      <c r="AW104" s="320">
        <v>922.87</v>
      </c>
      <c r="AX104" s="321">
        <f t="shared" si="2"/>
        <v>6423.1752</v>
      </c>
      <c r="AY104" s="349">
        <f t="shared" si="3"/>
        <v>244080.6576</v>
      </c>
      <c r="AZ104" s="349">
        <f t="shared" si="4"/>
        <v>0</v>
      </c>
      <c r="BA104" s="349">
        <f t="shared" si="5"/>
        <v>102770.8032</v>
      </c>
      <c r="BB104" s="350">
        <f t="shared" si="6"/>
        <v>346851.4608</v>
      </c>
      <c r="BC104" s="324"/>
      <c r="BD104" s="324"/>
      <c r="BE104" s="325"/>
      <c r="BF104" s="326"/>
      <c r="BG104" s="327"/>
    </row>
    <row r="105" ht="15.75" customHeight="1">
      <c r="A105" s="328" t="s">
        <v>2706</v>
      </c>
      <c r="B105" s="329">
        <v>2.0</v>
      </c>
      <c r="C105" s="330" t="s">
        <v>2707</v>
      </c>
      <c r="D105" s="330" t="s">
        <v>23</v>
      </c>
      <c r="E105" s="330" t="s">
        <v>2708</v>
      </c>
      <c r="F105" s="330" t="s">
        <v>1763</v>
      </c>
      <c r="G105" s="331" t="s">
        <v>2709</v>
      </c>
      <c r="H105" s="331" t="s">
        <v>2805</v>
      </c>
      <c r="I105" s="332" t="s">
        <v>2443</v>
      </c>
      <c r="J105" s="333" t="s">
        <v>395</v>
      </c>
      <c r="K105" s="330" t="s">
        <v>25</v>
      </c>
      <c r="L105" s="334">
        <v>0.0</v>
      </c>
      <c r="M105" s="334">
        <v>0.0</v>
      </c>
      <c r="N105" s="334">
        <v>0.0</v>
      </c>
      <c r="O105" s="334">
        <v>0.0</v>
      </c>
      <c r="P105" s="334">
        <v>0.0</v>
      </c>
      <c r="Q105" s="334">
        <v>0.0</v>
      </c>
      <c r="R105" s="334">
        <v>0.0</v>
      </c>
      <c r="S105" s="334">
        <v>0.0</v>
      </c>
      <c r="T105" s="334">
        <v>0.0</v>
      </c>
      <c r="U105" s="334">
        <v>0.0</v>
      </c>
      <c r="V105" s="335">
        <v>0.0</v>
      </c>
      <c r="W105" s="336">
        <v>0.0</v>
      </c>
      <c r="X105" s="337">
        <v>0.0</v>
      </c>
      <c r="Y105" s="337">
        <v>0.0</v>
      </c>
      <c r="Z105" s="337">
        <v>0.0</v>
      </c>
      <c r="AA105" s="337">
        <v>0.0</v>
      </c>
      <c r="AB105" s="337">
        <v>0.0</v>
      </c>
      <c r="AC105" s="337">
        <v>0.0</v>
      </c>
      <c r="AD105" s="337">
        <v>0.0</v>
      </c>
      <c r="AE105" s="337">
        <v>0.0</v>
      </c>
      <c r="AF105" s="337">
        <v>0.0</v>
      </c>
      <c r="AG105" s="337">
        <v>0.0</v>
      </c>
      <c r="AH105" s="338">
        <v>24.0</v>
      </c>
      <c r="AI105" s="339">
        <v>24.0</v>
      </c>
      <c r="AJ105" s="337">
        <v>0.0</v>
      </c>
      <c r="AK105" s="337">
        <v>0.0</v>
      </c>
      <c r="AL105" s="337">
        <v>0.0</v>
      </c>
      <c r="AM105" s="337">
        <v>0.0</v>
      </c>
      <c r="AN105" s="337">
        <v>0.0</v>
      </c>
      <c r="AO105" s="337">
        <v>0.0</v>
      </c>
      <c r="AP105" s="337">
        <v>0.0</v>
      </c>
      <c r="AQ105" s="337">
        <v>0.0</v>
      </c>
      <c r="AR105" s="337">
        <v>0.0</v>
      </c>
      <c r="AS105" s="337">
        <v>0.0</v>
      </c>
      <c r="AT105" s="338">
        <v>32.0</v>
      </c>
      <c r="AU105" s="339">
        <v>32.0</v>
      </c>
      <c r="AV105" s="340">
        <f t="shared" si="1"/>
        <v>56</v>
      </c>
      <c r="AW105" s="341">
        <v>267.89</v>
      </c>
      <c r="AX105" s="342">
        <f t="shared" si="2"/>
        <v>1864.5144</v>
      </c>
      <c r="AY105" s="343">
        <f t="shared" si="3"/>
        <v>0</v>
      </c>
      <c r="AZ105" s="343">
        <f t="shared" si="4"/>
        <v>44748.3456</v>
      </c>
      <c r="BA105" s="343">
        <f t="shared" si="5"/>
        <v>59664.4608</v>
      </c>
      <c r="BB105" s="344">
        <f t="shared" si="6"/>
        <v>104412.8064</v>
      </c>
      <c r="BC105" s="345"/>
      <c r="BD105" s="345"/>
      <c r="BE105" s="346"/>
      <c r="BF105" s="347"/>
      <c r="BG105" s="348"/>
    </row>
    <row r="106" ht="15.75" customHeight="1">
      <c r="A106" s="307" t="s">
        <v>2706</v>
      </c>
      <c r="B106" s="308">
        <v>2.0</v>
      </c>
      <c r="C106" s="309" t="s">
        <v>2707</v>
      </c>
      <c r="D106" s="309" t="s">
        <v>23</v>
      </c>
      <c r="E106" s="309" t="s">
        <v>2708</v>
      </c>
      <c r="F106" s="309" t="s">
        <v>1763</v>
      </c>
      <c r="G106" s="310" t="s">
        <v>2709</v>
      </c>
      <c r="H106" s="310" t="s">
        <v>2806</v>
      </c>
      <c r="I106" s="311" t="s">
        <v>2444</v>
      </c>
      <c r="J106" s="312" t="s">
        <v>517</v>
      </c>
      <c r="K106" s="309" t="s">
        <v>25</v>
      </c>
      <c r="L106" s="313">
        <v>0.0</v>
      </c>
      <c r="M106" s="313">
        <v>0.0</v>
      </c>
      <c r="N106" s="313">
        <v>0.0</v>
      </c>
      <c r="O106" s="313">
        <v>0.0</v>
      </c>
      <c r="P106" s="313">
        <v>0.0</v>
      </c>
      <c r="Q106" s="313">
        <v>0.0</v>
      </c>
      <c r="R106" s="313">
        <v>0.0</v>
      </c>
      <c r="S106" s="313">
        <v>0.0</v>
      </c>
      <c r="T106" s="313">
        <v>0.0</v>
      </c>
      <c r="U106" s="313">
        <v>0.0</v>
      </c>
      <c r="V106" s="314">
        <v>0.0</v>
      </c>
      <c r="W106" s="315">
        <v>0.0</v>
      </c>
      <c r="X106" s="316">
        <v>0.0</v>
      </c>
      <c r="Y106" s="316">
        <v>0.0</v>
      </c>
      <c r="Z106" s="316">
        <v>0.0</v>
      </c>
      <c r="AA106" s="316">
        <v>0.0</v>
      </c>
      <c r="AB106" s="316">
        <v>0.0</v>
      </c>
      <c r="AC106" s="316">
        <v>0.0</v>
      </c>
      <c r="AD106" s="316">
        <v>0.0</v>
      </c>
      <c r="AE106" s="316">
        <v>0.0</v>
      </c>
      <c r="AF106" s="316">
        <v>0.0</v>
      </c>
      <c r="AG106" s="316">
        <v>0.0</v>
      </c>
      <c r="AH106" s="317">
        <v>6.0</v>
      </c>
      <c r="AI106" s="318">
        <v>6.0</v>
      </c>
      <c r="AJ106" s="316">
        <v>0.0</v>
      </c>
      <c r="AK106" s="316">
        <v>0.0</v>
      </c>
      <c r="AL106" s="316">
        <v>0.0</v>
      </c>
      <c r="AM106" s="316">
        <v>0.0</v>
      </c>
      <c r="AN106" s="316">
        <v>0.0</v>
      </c>
      <c r="AO106" s="316">
        <v>0.0</v>
      </c>
      <c r="AP106" s="316">
        <v>0.0</v>
      </c>
      <c r="AQ106" s="316">
        <v>0.0</v>
      </c>
      <c r="AR106" s="316">
        <v>0.0</v>
      </c>
      <c r="AS106" s="316">
        <v>0.0</v>
      </c>
      <c r="AT106" s="317">
        <v>4.0</v>
      </c>
      <c r="AU106" s="318">
        <v>4.0</v>
      </c>
      <c r="AV106" s="319">
        <f t="shared" si="1"/>
        <v>10</v>
      </c>
      <c r="AW106" s="320">
        <v>881.38</v>
      </c>
      <c r="AX106" s="321">
        <f t="shared" si="2"/>
        <v>6134.4048</v>
      </c>
      <c r="AY106" s="349">
        <f t="shared" si="3"/>
        <v>0</v>
      </c>
      <c r="AZ106" s="349">
        <f t="shared" si="4"/>
        <v>36806.4288</v>
      </c>
      <c r="BA106" s="349">
        <f t="shared" si="5"/>
        <v>24537.6192</v>
      </c>
      <c r="BB106" s="350">
        <f t="shared" si="6"/>
        <v>61344.048</v>
      </c>
      <c r="BC106" s="324"/>
      <c r="BD106" s="324"/>
      <c r="BE106" s="325"/>
      <c r="BF106" s="326"/>
      <c r="BG106" s="327"/>
    </row>
    <row r="107" ht="15.75" customHeight="1">
      <c r="A107" s="328" t="s">
        <v>2706</v>
      </c>
      <c r="B107" s="329">
        <v>2.0</v>
      </c>
      <c r="C107" s="330" t="s">
        <v>2707</v>
      </c>
      <c r="D107" s="330" t="s">
        <v>23</v>
      </c>
      <c r="E107" s="330" t="s">
        <v>2708</v>
      </c>
      <c r="F107" s="330" t="s">
        <v>1763</v>
      </c>
      <c r="G107" s="331" t="s">
        <v>2709</v>
      </c>
      <c r="H107" s="361"/>
      <c r="I107" s="332" t="s">
        <v>2445</v>
      </c>
      <c r="J107" s="333" t="s">
        <v>826</v>
      </c>
      <c r="K107" s="330" t="s">
        <v>25</v>
      </c>
      <c r="L107" s="334">
        <v>0.0</v>
      </c>
      <c r="M107" s="334">
        <v>0.0</v>
      </c>
      <c r="N107" s="334">
        <v>0.0</v>
      </c>
      <c r="O107" s="334">
        <v>0.0</v>
      </c>
      <c r="P107" s="334">
        <v>0.0</v>
      </c>
      <c r="Q107" s="334">
        <v>0.0</v>
      </c>
      <c r="R107" s="334">
        <v>0.0</v>
      </c>
      <c r="S107" s="334">
        <v>0.0</v>
      </c>
      <c r="T107" s="334">
        <v>0.0</v>
      </c>
      <c r="U107" s="334">
        <v>0.0</v>
      </c>
      <c r="V107" s="335">
        <v>0.0</v>
      </c>
      <c r="W107" s="336">
        <v>0.0</v>
      </c>
      <c r="X107" s="337">
        <v>0.0</v>
      </c>
      <c r="Y107" s="337">
        <v>0.0</v>
      </c>
      <c r="Z107" s="337">
        <v>0.0</v>
      </c>
      <c r="AA107" s="337">
        <v>0.0</v>
      </c>
      <c r="AB107" s="337">
        <v>0.0</v>
      </c>
      <c r="AC107" s="337">
        <v>0.0</v>
      </c>
      <c r="AD107" s="337">
        <v>0.0</v>
      </c>
      <c r="AE107" s="337">
        <v>0.0</v>
      </c>
      <c r="AF107" s="337">
        <v>0.0</v>
      </c>
      <c r="AG107" s="337">
        <v>0.0</v>
      </c>
      <c r="AH107" s="338">
        <v>0.0</v>
      </c>
      <c r="AI107" s="339">
        <v>0.0</v>
      </c>
      <c r="AJ107" s="337">
        <v>0.0</v>
      </c>
      <c r="AK107" s="337">
        <v>0.0</v>
      </c>
      <c r="AL107" s="337">
        <v>0.0</v>
      </c>
      <c r="AM107" s="337">
        <v>0.0</v>
      </c>
      <c r="AN107" s="337">
        <v>0.0</v>
      </c>
      <c r="AO107" s="337">
        <v>0.0</v>
      </c>
      <c r="AP107" s="337">
        <v>0.0</v>
      </c>
      <c r="AQ107" s="337">
        <v>0.0</v>
      </c>
      <c r="AR107" s="337">
        <v>0.0</v>
      </c>
      <c r="AS107" s="337">
        <v>0.0</v>
      </c>
      <c r="AT107" s="338">
        <v>12.0</v>
      </c>
      <c r="AU107" s="339">
        <v>12.0</v>
      </c>
      <c r="AV107" s="340">
        <f t="shared" si="1"/>
        <v>12</v>
      </c>
      <c r="AW107" s="341">
        <v>762.51</v>
      </c>
      <c r="AX107" s="342">
        <f t="shared" si="2"/>
        <v>5307.0696</v>
      </c>
      <c r="AY107" s="343">
        <f t="shared" si="3"/>
        <v>0</v>
      </c>
      <c r="AZ107" s="343">
        <f t="shared" si="4"/>
        <v>0</v>
      </c>
      <c r="BA107" s="343">
        <f t="shared" si="5"/>
        <v>63684.8352</v>
      </c>
      <c r="BB107" s="344">
        <f t="shared" si="6"/>
        <v>63684.8352</v>
      </c>
      <c r="BC107" s="345"/>
      <c r="BD107" s="345"/>
      <c r="BE107" s="346"/>
      <c r="BF107" s="347"/>
      <c r="BG107" s="348"/>
    </row>
    <row r="108" ht="15.75" customHeight="1">
      <c r="A108" s="307" t="s">
        <v>2706</v>
      </c>
      <c r="B108" s="308">
        <v>2.0</v>
      </c>
      <c r="C108" s="309" t="s">
        <v>2707</v>
      </c>
      <c r="D108" s="309" t="s">
        <v>23</v>
      </c>
      <c r="E108" s="309" t="s">
        <v>2708</v>
      </c>
      <c r="F108" s="309" t="s">
        <v>1763</v>
      </c>
      <c r="G108" s="310" t="s">
        <v>2709</v>
      </c>
      <c r="H108" s="310" t="s">
        <v>2807</v>
      </c>
      <c r="I108" s="311" t="s">
        <v>2458</v>
      </c>
      <c r="J108" s="312" t="s">
        <v>244</v>
      </c>
      <c r="K108" s="309" t="s">
        <v>25</v>
      </c>
      <c r="L108" s="313">
        <v>0.0</v>
      </c>
      <c r="M108" s="313">
        <v>0.0</v>
      </c>
      <c r="N108" s="313">
        <v>0.0</v>
      </c>
      <c r="O108" s="313">
        <v>0.0</v>
      </c>
      <c r="P108" s="313">
        <v>0.0</v>
      </c>
      <c r="Q108" s="313">
        <v>0.0</v>
      </c>
      <c r="R108" s="313">
        <v>0.0</v>
      </c>
      <c r="S108" s="313">
        <v>0.0</v>
      </c>
      <c r="T108" s="313">
        <v>0.0</v>
      </c>
      <c r="U108" s="313">
        <v>0.0</v>
      </c>
      <c r="V108" s="314">
        <v>50.0</v>
      </c>
      <c r="W108" s="315">
        <v>50.0</v>
      </c>
      <c r="X108" s="316">
        <v>0.0</v>
      </c>
      <c r="Y108" s="316">
        <v>0.0</v>
      </c>
      <c r="Z108" s="316">
        <v>0.0</v>
      </c>
      <c r="AA108" s="316">
        <v>0.0</v>
      </c>
      <c r="AB108" s="316">
        <v>0.0</v>
      </c>
      <c r="AC108" s="316">
        <v>0.0</v>
      </c>
      <c r="AD108" s="316">
        <v>0.0</v>
      </c>
      <c r="AE108" s="316">
        <v>0.0</v>
      </c>
      <c r="AF108" s="316">
        <v>0.0</v>
      </c>
      <c r="AG108" s="316">
        <v>0.0</v>
      </c>
      <c r="AH108" s="317">
        <v>0.0</v>
      </c>
      <c r="AI108" s="364">
        <v>50.0</v>
      </c>
      <c r="AJ108" s="316">
        <v>0.0</v>
      </c>
      <c r="AK108" s="316">
        <v>0.0</v>
      </c>
      <c r="AL108" s="316">
        <v>0.0</v>
      </c>
      <c r="AM108" s="316">
        <v>0.0</v>
      </c>
      <c r="AN108" s="316">
        <v>0.0</v>
      </c>
      <c r="AO108" s="316">
        <v>0.0</v>
      </c>
      <c r="AP108" s="316">
        <v>0.0</v>
      </c>
      <c r="AQ108" s="316">
        <v>0.0</v>
      </c>
      <c r="AR108" s="316">
        <v>0.0</v>
      </c>
      <c r="AS108" s="316">
        <v>0.0</v>
      </c>
      <c r="AT108" s="317">
        <v>0.0</v>
      </c>
      <c r="AU108" s="364">
        <v>50.0</v>
      </c>
      <c r="AV108" s="319">
        <f t="shared" si="1"/>
        <v>150</v>
      </c>
      <c r="AW108" s="320">
        <v>325.03</v>
      </c>
      <c r="AX108" s="321">
        <f t="shared" si="2"/>
        <v>2262.2088</v>
      </c>
      <c r="AY108" s="349">
        <f t="shared" si="3"/>
        <v>113110.44</v>
      </c>
      <c r="AZ108" s="349">
        <f t="shared" si="4"/>
        <v>113110.44</v>
      </c>
      <c r="BA108" s="349">
        <f t="shared" si="5"/>
        <v>113110.44</v>
      </c>
      <c r="BB108" s="350">
        <f t="shared" si="6"/>
        <v>339331.32</v>
      </c>
      <c r="BC108" s="324"/>
      <c r="BD108" s="324"/>
      <c r="BE108" s="325"/>
      <c r="BF108" s="326"/>
      <c r="BG108" s="327"/>
    </row>
    <row r="109" ht="15.75" customHeight="1">
      <c r="A109" s="328" t="s">
        <v>2706</v>
      </c>
      <c r="B109" s="329">
        <v>2.0</v>
      </c>
      <c r="C109" s="330" t="s">
        <v>2808</v>
      </c>
      <c r="D109" s="330" t="s">
        <v>1831</v>
      </c>
      <c r="E109" s="330" t="s">
        <v>2708</v>
      </c>
      <c r="F109" s="330" t="s">
        <v>1763</v>
      </c>
      <c r="G109" s="331" t="s">
        <v>2709</v>
      </c>
      <c r="H109" s="361"/>
      <c r="I109" s="365" t="s">
        <v>2382</v>
      </c>
      <c r="J109" s="333" t="s">
        <v>2809</v>
      </c>
      <c r="K109" s="329" t="s">
        <v>25</v>
      </c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335">
        <v>4.0</v>
      </c>
      <c r="W109" s="366">
        <v>1.0</v>
      </c>
      <c r="X109" s="337"/>
      <c r="Y109" s="337"/>
      <c r="Z109" s="337"/>
      <c r="AA109" s="337"/>
      <c r="AB109" s="337"/>
      <c r="AC109" s="337"/>
      <c r="AD109" s="337"/>
      <c r="AE109" s="337"/>
      <c r="AF109" s="337"/>
      <c r="AG109" s="337"/>
      <c r="AH109" s="338">
        <v>4.0</v>
      </c>
      <c r="AI109" s="367">
        <v>0.0</v>
      </c>
      <c r="AJ109" s="337"/>
      <c r="AK109" s="337"/>
      <c r="AL109" s="337"/>
      <c r="AM109" s="337"/>
      <c r="AN109" s="337"/>
      <c r="AO109" s="337"/>
      <c r="AP109" s="337"/>
      <c r="AQ109" s="337"/>
      <c r="AR109" s="337"/>
      <c r="AS109" s="337"/>
      <c r="AT109" s="338">
        <v>4.0</v>
      </c>
      <c r="AU109" s="367">
        <v>0.0</v>
      </c>
      <c r="AV109" s="340">
        <f t="shared" si="1"/>
        <v>1</v>
      </c>
      <c r="AW109" s="320">
        <v>1713.84</v>
      </c>
      <c r="AX109" s="342">
        <f t="shared" si="2"/>
        <v>11928.3264</v>
      </c>
      <c r="AY109" s="343">
        <f t="shared" si="3"/>
        <v>11928.3264</v>
      </c>
      <c r="AZ109" s="343">
        <f t="shared" si="4"/>
        <v>0</v>
      </c>
      <c r="BA109" s="343">
        <f t="shared" si="5"/>
        <v>0</v>
      </c>
      <c r="BB109" s="344">
        <f t="shared" si="6"/>
        <v>11928.3264</v>
      </c>
      <c r="BC109" s="368"/>
      <c r="BD109" s="369" t="s">
        <v>2810</v>
      </c>
      <c r="BE109" s="346"/>
      <c r="BF109" s="347"/>
      <c r="BG109" s="348"/>
    </row>
    <row r="110" ht="15.75" customHeight="1">
      <c r="A110" s="307" t="s">
        <v>2706</v>
      </c>
      <c r="B110" s="308">
        <v>2.0</v>
      </c>
      <c r="C110" s="309" t="s">
        <v>2808</v>
      </c>
      <c r="D110" s="309" t="s">
        <v>1831</v>
      </c>
      <c r="E110" s="309" t="s">
        <v>2708</v>
      </c>
      <c r="F110" s="309" t="s">
        <v>1763</v>
      </c>
      <c r="G110" s="310" t="s">
        <v>2709</v>
      </c>
      <c r="H110" s="310" t="s">
        <v>2811</v>
      </c>
      <c r="I110" s="311" t="s">
        <v>2431</v>
      </c>
      <c r="J110" s="312" t="s">
        <v>2432</v>
      </c>
      <c r="K110" s="308" t="s">
        <v>25</v>
      </c>
      <c r="L110" s="313"/>
      <c r="M110" s="313"/>
      <c r="N110" s="313"/>
      <c r="O110" s="313"/>
      <c r="P110" s="313"/>
      <c r="Q110" s="313"/>
      <c r="R110" s="313"/>
      <c r="S110" s="313"/>
      <c r="T110" s="313"/>
      <c r="U110" s="313"/>
      <c r="V110" s="314">
        <v>5.0</v>
      </c>
      <c r="W110" s="370">
        <v>0.0</v>
      </c>
      <c r="X110" s="316"/>
      <c r="Y110" s="316"/>
      <c r="Z110" s="316"/>
      <c r="AA110" s="316"/>
      <c r="AB110" s="316"/>
      <c r="AC110" s="316"/>
      <c r="AD110" s="316"/>
      <c r="AE110" s="316"/>
      <c r="AF110" s="316"/>
      <c r="AG110" s="316"/>
      <c r="AH110" s="317">
        <v>5.0</v>
      </c>
      <c r="AI110" s="371">
        <v>0.0</v>
      </c>
      <c r="AJ110" s="316"/>
      <c r="AK110" s="316"/>
      <c r="AL110" s="316"/>
      <c r="AM110" s="316"/>
      <c r="AN110" s="316"/>
      <c r="AO110" s="316"/>
      <c r="AP110" s="316"/>
      <c r="AQ110" s="316"/>
      <c r="AR110" s="316"/>
      <c r="AS110" s="316"/>
      <c r="AT110" s="317">
        <v>5.0</v>
      </c>
      <c r="AU110" s="371">
        <v>0.0</v>
      </c>
      <c r="AV110" s="319">
        <f t="shared" si="1"/>
        <v>0</v>
      </c>
      <c r="AW110" s="372">
        <v>1200.64</v>
      </c>
      <c r="AX110" s="321">
        <f t="shared" si="2"/>
        <v>8356.4544</v>
      </c>
      <c r="AY110" s="349">
        <f t="shared" si="3"/>
        <v>0</v>
      </c>
      <c r="AZ110" s="349">
        <f t="shared" si="4"/>
        <v>0</v>
      </c>
      <c r="BA110" s="349">
        <f t="shared" si="5"/>
        <v>0</v>
      </c>
      <c r="BB110" s="350">
        <f t="shared" si="6"/>
        <v>0</v>
      </c>
      <c r="BC110" s="356"/>
      <c r="BD110" s="356" t="s">
        <v>2812</v>
      </c>
      <c r="BE110" s="325"/>
      <c r="BF110" s="326"/>
      <c r="BG110" s="327"/>
    </row>
    <row r="111" ht="15.75" customHeight="1">
      <c r="A111" s="328" t="s">
        <v>2706</v>
      </c>
      <c r="B111" s="329">
        <v>2.0</v>
      </c>
      <c r="C111" s="330" t="s">
        <v>2808</v>
      </c>
      <c r="D111" s="330" t="s">
        <v>1832</v>
      </c>
      <c r="E111" s="330" t="s">
        <v>2708</v>
      </c>
      <c r="F111" s="330" t="s">
        <v>1763</v>
      </c>
      <c r="G111" s="331" t="s">
        <v>2709</v>
      </c>
      <c r="H111" s="361"/>
      <c r="I111" s="365" t="s">
        <v>2151</v>
      </c>
      <c r="J111" s="333" t="s">
        <v>2152</v>
      </c>
      <c r="K111" s="329" t="s">
        <v>25</v>
      </c>
      <c r="L111" s="33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5">
        <v>2.0</v>
      </c>
      <c r="W111" s="336">
        <v>2.0</v>
      </c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7"/>
      <c r="AH111" s="338">
        <v>2.0</v>
      </c>
      <c r="AI111" s="373">
        <v>2.0</v>
      </c>
      <c r="AJ111" s="337"/>
      <c r="AK111" s="337"/>
      <c r="AL111" s="337"/>
      <c r="AM111" s="337"/>
      <c r="AN111" s="337"/>
      <c r="AO111" s="337"/>
      <c r="AP111" s="337"/>
      <c r="AQ111" s="337"/>
      <c r="AR111" s="337"/>
      <c r="AS111" s="337"/>
      <c r="AT111" s="338">
        <v>2.0</v>
      </c>
      <c r="AU111" s="373">
        <v>2.0</v>
      </c>
      <c r="AV111" s="340">
        <f t="shared" si="1"/>
        <v>6</v>
      </c>
      <c r="AW111" s="320">
        <v>1401.81</v>
      </c>
      <c r="AX111" s="342">
        <f t="shared" si="2"/>
        <v>9756.5976</v>
      </c>
      <c r="AY111" s="343">
        <f t="shared" si="3"/>
        <v>19513.1952</v>
      </c>
      <c r="AZ111" s="343">
        <f t="shared" si="4"/>
        <v>19513.1952</v>
      </c>
      <c r="BA111" s="343">
        <f t="shared" si="5"/>
        <v>19513.1952</v>
      </c>
      <c r="BB111" s="344">
        <f t="shared" si="6"/>
        <v>58539.5856</v>
      </c>
      <c r="BC111" s="368"/>
      <c r="BD111" s="368" t="s">
        <v>2813</v>
      </c>
      <c r="BE111" s="346"/>
      <c r="BF111" s="347"/>
      <c r="BG111" s="348"/>
    </row>
    <row r="112" ht="15.75" customHeight="1">
      <c r="A112" s="307" t="s">
        <v>2706</v>
      </c>
      <c r="B112" s="308">
        <v>2.0</v>
      </c>
      <c r="C112" s="309" t="s">
        <v>2808</v>
      </c>
      <c r="D112" s="309" t="s">
        <v>1832</v>
      </c>
      <c r="E112" s="309" t="s">
        <v>2708</v>
      </c>
      <c r="F112" s="309" t="s">
        <v>1763</v>
      </c>
      <c r="G112" s="310" t="s">
        <v>2709</v>
      </c>
      <c r="H112" s="310" t="s">
        <v>2814</v>
      </c>
      <c r="I112" s="311" t="s">
        <v>2153</v>
      </c>
      <c r="J112" s="312" t="s">
        <v>2815</v>
      </c>
      <c r="K112" s="308" t="s">
        <v>25</v>
      </c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4">
        <v>2.0</v>
      </c>
      <c r="W112" s="315">
        <v>2.0</v>
      </c>
      <c r="X112" s="316"/>
      <c r="Y112" s="316"/>
      <c r="Z112" s="316"/>
      <c r="AA112" s="316"/>
      <c r="AB112" s="316"/>
      <c r="AC112" s="316"/>
      <c r="AD112" s="316"/>
      <c r="AE112" s="316"/>
      <c r="AF112" s="316"/>
      <c r="AG112" s="316"/>
      <c r="AH112" s="317">
        <v>2.0</v>
      </c>
      <c r="AI112" s="374">
        <v>2.0</v>
      </c>
      <c r="AJ112" s="316"/>
      <c r="AK112" s="316"/>
      <c r="AL112" s="316"/>
      <c r="AM112" s="316"/>
      <c r="AN112" s="316"/>
      <c r="AO112" s="316"/>
      <c r="AP112" s="316"/>
      <c r="AQ112" s="316"/>
      <c r="AR112" s="316"/>
      <c r="AS112" s="316"/>
      <c r="AT112" s="317">
        <v>2.0</v>
      </c>
      <c r="AU112" s="374">
        <v>2.0</v>
      </c>
      <c r="AV112" s="319">
        <f t="shared" si="1"/>
        <v>6</v>
      </c>
      <c r="AW112" s="372">
        <v>1426.88</v>
      </c>
      <c r="AX112" s="321">
        <f t="shared" si="2"/>
        <v>9931.0848</v>
      </c>
      <c r="AY112" s="349">
        <f t="shared" si="3"/>
        <v>19862.1696</v>
      </c>
      <c r="AZ112" s="349">
        <f t="shared" si="4"/>
        <v>19862.1696</v>
      </c>
      <c r="BA112" s="349">
        <f t="shared" si="5"/>
        <v>19862.1696</v>
      </c>
      <c r="BB112" s="350">
        <f t="shared" si="6"/>
        <v>59586.5088</v>
      </c>
      <c r="BC112" s="356"/>
      <c r="BD112" s="356" t="s">
        <v>2816</v>
      </c>
      <c r="BE112" s="325"/>
      <c r="BF112" s="326"/>
      <c r="BG112" s="327">
        <v>0.0</v>
      </c>
    </row>
    <row r="113" ht="15.75" customHeight="1">
      <c r="A113" s="375"/>
      <c r="B113" s="375"/>
      <c r="C113" s="375"/>
      <c r="D113" s="375"/>
      <c r="E113" s="375"/>
      <c r="F113" s="375"/>
      <c r="G113" s="376"/>
      <c r="H113" s="377"/>
      <c r="I113" s="378"/>
      <c r="J113" s="379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  <c r="U113" s="375"/>
      <c r="V113" s="375"/>
      <c r="W113" s="380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2"/>
      <c r="AJ113" s="383"/>
      <c r="AK113" s="383"/>
      <c r="AL113" s="383"/>
      <c r="AM113" s="383"/>
      <c r="AN113" s="383"/>
      <c r="AO113" s="383"/>
      <c r="AP113" s="383"/>
      <c r="AQ113" s="383"/>
      <c r="AR113" s="383"/>
      <c r="AS113" s="383"/>
      <c r="AT113" s="384"/>
      <c r="AU113" s="385"/>
      <c r="AV113" s="386"/>
      <c r="AW113" s="387"/>
      <c r="AX113" s="388"/>
      <c r="AY113" s="389"/>
      <c r="AZ113" s="389"/>
      <c r="BA113" s="389"/>
      <c r="BB113" s="390"/>
      <c r="BC113" s="345"/>
      <c r="BD113" s="345"/>
      <c r="BE113" s="391"/>
      <c r="BF113" s="391"/>
      <c r="BG113" s="391"/>
    </row>
    <row r="114" ht="15.75" customHeight="1">
      <c r="A114" s="291"/>
      <c r="B114" s="291"/>
      <c r="C114" s="291" t="s">
        <v>1820</v>
      </c>
      <c r="D114" s="291"/>
      <c r="E114" s="291"/>
      <c r="F114" s="291"/>
      <c r="G114" s="293"/>
      <c r="H114" s="293"/>
      <c r="I114" s="392"/>
      <c r="J114" s="295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393"/>
      <c r="X114" s="394"/>
      <c r="Y114" s="394"/>
      <c r="Z114" s="394"/>
      <c r="AA114" s="394"/>
      <c r="AB114" s="394"/>
      <c r="AC114" s="394"/>
      <c r="AD114" s="394"/>
      <c r="AE114" s="394"/>
      <c r="AF114" s="394"/>
      <c r="AG114" s="394"/>
      <c r="AH114" s="394"/>
      <c r="AI114" s="395"/>
      <c r="AJ114" s="394"/>
      <c r="AK114" s="394"/>
      <c r="AL114" s="394"/>
      <c r="AM114" s="394"/>
      <c r="AN114" s="394"/>
      <c r="AO114" s="394"/>
      <c r="AP114" s="394"/>
      <c r="AQ114" s="394"/>
      <c r="AR114" s="394"/>
      <c r="AS114" s="394"/>
      <c r="AT114" s="394"/>
      <c r="AU114" s="396"/>
      <c r="AV114" s="397">
        <f>SUM(AV4:AV113)</f>
        <v>39460</v>
      </c>
      <c r="AW114" s="398"/>
      <c r="AX114" s="397"/>
      <c r="AY114" s="399">
        <f t="shared" ref="AY114:BB114" si="7">SUM(AY4:AY113)</f>
        <v>7113959.098</v>
      </c>
      <c r="AZ114" s="399">
        <f t="shared" si="7"/>
        <v>5687854.958</v>
      </c>
      <c r="BA114" s="399">
        <f t="shared" si="7"/>
        <v>6646005.029</v>
      </c>
      <c r="BB114" s="400">
        <f t="shared" si="7"/>
        <v>19447819.08</v>
      </c>
      <c r="BC114" s="291"/>
      <c r="BD114" s="291"/>
      <c r="BE114" s="401"/>
      <c r="BF114" s="401"/>
      <c r="BG114" s="401"/>
    </row>
  </sheetData>
  <autoFilter ref="$A$3:$BD$112">
    <sortState ref="A3:BD112">
      <sortCondition ref="D3:D112"/>
      <sortCondition ref="I3:I112"/>
      <sortCondition descending="1" ref="BB3:BB112"/>
    </sortState>
  </autoFilter>
  <mergeCells count="5">
    <mergeCell ref="C1:K2"/>
    <mergeCell ref="L1:V2"/>
    <mergeCell ref="X1:AH2"/>
    <mergeCell ref="AJ1:AT2"/>
    <mergeCell ref="AW2:AX2"/>
  </mergeCells>
  <conditionalFormatting sqref="BE4:BG112">
    <cfRule type="expression" dxfId="1" priority="1">
      <formula>"BC!=AU"</formula>
    </cfRule>
  </conditionalFormatting>
  <printOptions/>
  <pageMargins bottom="0.75" footer="0.0" header="0.0" left="0.7" right="0.7" top="0.75"/>
  <pageSetup fitToHeight="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pageSetUpPr fitToPage="1"/>
  </sheetPr>
  <sheetViews>
    <sheetView showGridLines="0" workbookViewId="0">
      <pane xSplit="10.0" ySplit="3.0" topLeftCell="K4" activePane="bottomRight" state="frozen"/>
      <selection activeCell="K1" sqref="K1" pane="topRight"/>
      <selection activeCell="A4" sqref="A4" pane="bottomLeft"/>
      <selection activeCell="K4" sqref="K4" pane="bottomRight"/>
    </sheetView>
  </sheetViews>
  <sheetFormatPr customHeight="1" defaultColWidth="14.43" defaultRowHeight="15.0" outlineLevelCol="1"/>
  <cols>
    <col customWidth="1" min="1" max="1" width="12.0" outlineLevel="1"/>
    <col customWidth="1" min="2" max="2" width="7.29" outlineLevel="1"/>
    <col customWidth="1" min="3" max="3" width="12.0" outlineLevel="1"/>
    <col customWidth="1" min="4" max="4" width="18.0" outlineLevel="1"/>
    <col customWidth="1" min="5" max="5" width="16.86" outlineLevel="1"/>
    <col customWidth="1" min="6" max="6" width="8.29" outlineLevel="1"/>
    <col customWidth="1" min="7" max="8" width="11.29" outlineLevel="1"/>
    <col customWidth="1" min="9" max="9" width="12.14"/>
    <col customWidth="1" min="10" max="10" width="50.29"/>
    <col customWidth="1" min="11" max="11" width="8.0"/>
    <col customWidth="1" hidden="1" min="12" max="22" width="11.43" outlineLevel="1"/>
    <col collapsed="1" customWidth="1" min="23" max="23" width="11.43"/>
    <col customWidth="1" hidden="1" min="24" max="34" width="11.43" outlineLevel="1"/>
    <col collapsed="1" customWidth="1" min="35" max="35" width="11.43"/>
    <col customWidth="1" hidden="1" min="36" max="46" width="11.43" outlineLevel="1"/>
    <col collapsed="1" customWidth="1" min="47" max="47" width="11.43"/>
    <col customWidth="1" min="48" max="48" width="11.43"/>
    <col customWidth="1" min="49" max="49" width="0.86"/>
    <col customWidth="1" min="50" max="51" width="11.43"/>
    <col customWidth="1" min="52" max="52" width="1.14"/>
    <col customWidth="1" hidden="1" min="53" max="62" width="11.29" outlineLevel="1"/>
    <col collapsed="1" customWidth="1" min="63" max="63" width="11.29"/>
    <col customWidth="1" hidden="1" min="64" max="73" width="12.29" outlineLevel="1"/>
    <col collapsed="1" customWidth="1" min="74" max="74" width="12.29"/>
    <col customWidth="1" hidden="1" min="75" max="84" width="12.29" outlineLevel="1"/>
    <col collapsed="1" customWidth="1" min="85" max="85" width="12.29"/>
    <col customWidth="1" min="86" max="86" width="12.29"/>
    <col customWidth="1" min="87" max="87" width="40.86"/>
    <col customWidth="1" min="88" max="88" width="26.0"/>
    <col customWidth="1" min="89" max="91" width="11.43"/>
  </cols>
  <sheetData>
    <row r="1" ht="15.0" customHeight="1">
      <c r="A1" s="402"/>
      <c r="B1" s="402"/>
      <c r="C1" s="403" t="s">
        <v>2817</v>
      </c>
      <c r="D1" s="404"/>
      <c r="E1" s="405"/>
      <c r="F1" s="405"/>
      <c r="G1" s="406"/>
      <c r="H1" s="406"/>
      <c r="I1" s="405"/>
      <c r="J1" s="404"/>
      <c r="K1" s="405"/>
      <c r="L1" s="407" t="s">
        <v>2651</v>
      </c>
      <c r="M1" s="408"/>
      <c r="N1" s="408"/>
      <c r="O1" s="408"/>
      <c r="P1" s="408"/>
      <c r="Q1" s="408"/>
      <c r="R1" s="408"/>
      <c r="S1" s="408"/>
      <c r="T1" s="408"/>
      <c r="U1" s="408"/>
      <c r="V1" s="408"/>
      <c r="W1" s="409" t="s">
        <v>2649</v>
      </c>
      <c r="X1" s="410" t="s">
        <v>2652</v>
      </c>
      <c r="Y1" s="408"/>
      <c r="Z1" s="408"/>
      <c r="AA1" s="408"/>
      <c r="AB1" s="408"/>
      <c r="AC1" s="408"/>
      <c r="AD1" s="408"/>
      <c r="AE1" s="408"/>
      <c r="AF1" s="408"/>
      <c r="AG1" s="408"/>
      <c r="AH1" s="408"/>
      <c r="AI1" s="409" t="s">
        <v>2649</v>
      </c>
      <c r="AJ1" s="410" t="s">
        <v>2653</v>
      </c>
      <c r="AK1" s="410"/>
      <c r="AL1" s="410"/>
      <c r="AM1" s="410"/>
      <c r="AN1" s="410"/>
      <c r="AO1" s="410"/>
      <c r="AP1" s="410"/>
      <c r="AQ1" s="410"/>
      <c r="AR1" s="410"/>
      <c r="AS1" s="410"/>
      <c r="AT1" s="410"/>
      <c r="AU1" s="409" t="s">
        <v>2649</v>
      </c>
      <c r="AV1" s="411"/>
      <c r="AW1" s="412"/>
      <c r="AX1" s="413" t="s">
        <v>2654</v>
      </c>
      <c r="AY1" s="414">
        <v>6.96</v>
      </c>
      <c r="AZ1" s="412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1"/>
      <c r="BL1" s="412"/>
      <c r="BM1" s="412"/>
      <c r="BN1" s="412"/>
      <c r="BO1" s="412"/>
      <c r="BP1" s="412"/>
      <c r="BQ1" s="412"/>
      <c r="BR1" s="412"/>
      <c r="BS1" s="412"/>
      <c r="BT1" s="412"/>
      <c r="BU1" s="412"/>
      <c r="BV1" s="411"/>
      <c r="BW1" s="412"/>
      <c r="BX1" s="412"/>
      <c r="BY1" s="412"/>
      <c r="BZ1" s="412"/>
      <c r="CA1" s="412"/>
      <c r="CB1" s="412"/>
      <c r="CC1" s="412"/>
      <c r="CD1" s="412"/>
      <c r="CE1" s="412"/>
      <c r="CF1" s="412"/>
      <c r="CG1" s="411"/>
      <c r="CH1" s="411"/>
      <c r="CI1" s="416"/>
      <c r="CJ1" s="412"/>
      <c r="CK1" s="412"/>
    </row>
    <row r="2">
      <c r="A2" s="417"/>
      <c r="B2" s="417"/>
      <c r="C2" s="405"/>
      <c r="D2" s="404"/>
      <c r="E2" s="405"/>
      <c r="F2" s="405"/>
      <c r="G2" s="406"/>
      <c r="H2" s="406"/>
      <c r="I2" s="405"/>
      <c r="J2" s="404"/>
      <c r="K2" s="405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9">
        <v>2024.0</v>
      </c>
      <c r="X2" s="408"/>
      <c r="Y2" s="408"/>
      <c r="Z2" s="408"/>
      <c r="AA2" s="408"/>
      <c r="AB2" s="408"/>
      <c r="AC2" s="408"/>
      <c r="AD2" s="408"/>
      <c r="AE2" s="408"/>
      <c r="AF2" s="408"/>
      <c r="AG2" s="408"/>
      <c r="AH2" s="408"/>
      <c r="AI2" s="409">
        <v>2025.0</v>
      </c>
      <c r="AJ2" s="410"/>
      <c r="AK2" s="410"/>
      <c r="AL2" s="410"/>
      <c r="AM2" s="410"/>
      <c r="AN2" s="410"/>
      <c r="AO2" s="410"/>
      <c r="AP2" s="410"/>
      <c r="AQ2" s="410"/>
      <c r="AR2" s="410"/>
      <c r="AS2" s="410"/>
      <c r="AT2" s="410"/>
      <c r="AU2" s="409">
        <v>2026.0</v>
      </c>
      <c r="AV2" s="411"/>
      <c r="AW2" s="412"/>
      <c r="AX2" s="418" t="s">
        <v>2655</v>
      </c>
      <c r="AY2" s="419"/>
      <c r="AZ2" s="412"/>
      <c r="BA2" s="412"/>
      <c r="BB2" s="412"/>
      <c r="BC2" s="412"/>
      <c r="BD2" s="412"/>
      <c r="BE2" s="412"/>
      <c r="BF2" s="412"/>
      <c r="BG2" s="412"/>
      <c r="BH2" s="412"/>
      <c r="BI2" s="412"/>
      <c r="BJ2" s="412"/>
      <c r="BK2" s="411"/>
      <c r="BL2" s="412"/>
      <c r="BM2" s="412"/>
      <c r="BN2" s="412"/>
      <c r="BO2" s="412"/>
      <c r="BP2" s="412"/>
      <c r="BQ2" s="412"/>
      <c r="BR2" s="412"/>
      <c r="BS2" s="412"/>
      <c r="BT2" s="412"/>
      <c r="BU2" s="412"/>
      <c r="BV2" s="411"/>
      <c r="BW2" s="412"/>
      <c r="BX2" s="412"/>
      <c r="BY2" s="412"/>
      <c r="BZ2" s="412"/>
      <c r="CA2" s="412"/>
      <c r="CB2" s="412"/>
      <c r="CC2" s="412"/>
      <c r="CD2" s="412"/>
      <c r="CE2" s="412"/>
      <c r="CF2" s="412"/>
      <c r="CG2" s="411"/>
      <c r="CH2" s="411"/>
      <c r="CI2" s="416"/>
      <c r="CJ2" s="412"/>
      <c r="CK2" s="412"/>
    </row>
    <row r="3">
      <c r="A3" s="420" t="s">
        <v>1758</v>
      </c>
      <c r="B3" s="420" t="s">
        <v>2656</v>
      </c>
      <c r="C3" s="421" t="s">
        <v>2657</v>
      </c>
      <c r="D3" s="421" t="s">
        <v>1800</v>
      </c>
      <c r="E3" s="421" t="s">
        <v>2658</v>
      </c>
      <c r="F3" s="421" t="s">
        <v>2659</v>
      </c>
      <c r="G3" s="422" t="s">
        <v>2660</v>
      </c>
      <c r="H3" s="423" t="s">
        <v>2661</v>
      </c>
      <c r="I3" s="424" t="s">
        <v>2662</v>
      </c>
      <c r="J3" s="421" t="s">
        <v>1833</v>
      </c>
      <c r="K3" s="425" t="s">
        <v>2663</v>
      </c>
      <c r="L3" s="426" t="s">
        <v>2664</v>
      </c>
      <c r="M3" s="427" t="s">
        <v>2665</v>
      </c>
      <c r="N3" s="428" t="s">
        <v>2666</v>
      </c>
      <c r="O3" s="429" t="s">
        <v>2667</v>
      </c>
      <c r="P3" s="430" t="s">
        <v>2668</v>
      </c>
      <c r="Q3" s="431" t="s">
        <v>2669</v>
      </c>
      <c r="R3" s="432" t="s">
        <v>2670</v>
      </c>
      <c r="S3" s="433" t="s">
        <v>2671</v>
      </c>
      <c r="T3" s="434" t="s">
        <v>2672</v>
      </c>
      <c r="U3" s="435" t="s">
        <v>2673</v>
      </c>
      <c r="V3" s="436" t="s">
        <v>2674</v>
      </c>
      <c r="W3" s="437" t="s">
        <v>7</v>
      </c>
      <c r="X3" s="426" t="s">
        <v>2675</v>
      </c>
      <c r="Y3" s="427" t="s">
        <v>2676</v>
      </c>
      <c r="Z3" s="428" t="s">
        <v>2677</v>
      </c>
      <c r="AA3" s="429" t="s">
        <v>2678</v>
      </c>
      <c r="AB3" s="430" t="s">
        <v>2679</v>
      </c>
      <c r="AC3" s="431" t="s">
        <v>2680</v>
      </c>
      <c r="AD3" s="432" t="s">
        <v>2681</v>
      </c>
      <c r="AE3" s="433" t="s">
        <v>2682</v>
      </c>
      <c r="AF3" s="434" t="s">
        <v>2683</v>
      </c>
      <c r="AG3" s="435" t="s">
        <v>2684</v>
      </c>
      <c r="AH3" s="436" t="s">
        <v>2685</v>
      </c>
      <c r="AI3" s="437" t="s">
        <v>8</v>
      </c>
      <c r="AJ3" s="426" t="s">
        <v>2686</v>
      </c>
      <c r="AK3" s="427" t="s">
        <v>2687</v>
      </c>
      <c r="AL3" s="428" t="s">
        <v>2688</v>
      </c>
      <c r="AM3" s="429" t="s">
        <v>2689</v>
      </c>
      <c r="AN3" s="430" t="s">
        <v>2690</v>
      </c>
      <c r="AO3" s="438" t="s">
        <v>2691</v>
      </c>
      <c r="AP3" s="432" t="s">
        <v>2692</v>
      </c>
      <c r="AQ3" s="433" t="s">
        <v>2693</v>
      </c>
      <c r="AR3" s="434" t="s">
        <v>2694</v>
      </c>
      <c r="AS3" s="435" t="s">
        <v>2695</v>
      </c>
      <c r="AT3" s="436" t="s">
        <v>2696</v>
      </c>
      <c r="AU3" s="437" t="s">
        <v>9</v>
      </c>
      <c r="AV3" s="439" t="s">
        <v>10</v>
      </c>
      <c r="AW3" s="436"/>
      <c r="AX3" s="437" t="s">
        <v>2697</v>
      </c>
      <c r="AY3" s="437" t="s">
        <v>2698</v>
      </c>
      <c r="AZ3" s="425"/>
      <c r="BA3" s="440" t="s">
        <v>2818</v>
      </c>
      <c r="BB3" s="441" t="s">
        <v>2819</v>
      </c>
      <c r="BC3" s="442" t="s">
        <v>2820</v>
      </c>
      <c r="BD3" s="443" t="s">
        <v>2821</v>
      </c>
      <c r="BE3" s="444" t="s">
        <v>2822</v>
      </c>
      <c r="BF3" s="445" t="s">
        <v>2823</v>
      </c>
      <c r="BG3" s="446" t="s">
        <v>2824</v>
      </c>
      <c r="BH3" s="447" t="s">
        <v>2825</v>
      </c>
      <c r="BI3" s="448" t="s">
        <v>2826</v>
      </c>
      <c r="BJ3" s="449" t="s">
        <v>2827</v>
      </c>
      <c r="BK3" s="450" t="s">
        <v>2699</v>
      </c>
      <c r="BL3" s="440" t="s">
        <v>2828</v>
      </c>
      <c r="BM3" s="441" t="s">
        <v>2829</v>
      </c>
      <c r="BN3" s="442" t="s">
        <v>2830</v>
      </c>
      <c r="BO3" s="443" t="s">
        <v>2831</v>
      </c>
      <c r="BP3" s="444" t="s">
        <v>2832</v>
      </c>
      <c r="BQ3" s="445" t="s">
        <v>2833</v>
      </c>
      <c r="BR3" s="446" t="s">
        <v>2834</v>
      </c>
      <c r="BS3" s="447" t="s">
        <v>2835</v>
      </c>
      <c r="BT3" s="448" t="s">
        <v>2836</v>
      </c>
      <c r="BU3" s="449" t="s">
        <v>2837</v>
      </c>
      <c r="BV3" s="450" t="s">
        <v>2700</v>
      </c>
      <c r="BW3" s="440" t="s">
        <v>2838</v>
      </c>
      <c r="BX3" s="441" t="s">
        <v>2839</v>
      </c>
      <c r="BY3" s="442" t="s">
        <v>2840</v>
      </c>
      <c r="BZ3" s="443" t="s">
        <v>2841</v>
      </c>
      <c r="CA3" s="444" t="s">
        <v>2842</v>
      </c>
      <c r="CB3" s="445" t="s">
        <v>2843</v>
      </c>
      <c r="CC3" s="446" t="s">
        <v>2844</v>
      </c>
      <c r="CD3" s="447" t="s">
        <v>2845</v>
      </c>
      <c r="CE3" s="448" t="s">
        <v>2846</v>
      </c>
      <c r="CF3" s="449" t="s">
        <v>2847</v>
      </c>
      <c r="CG3" s="450" t="s">
        <v>2701</v>
      </c>
      <c r="CH3" s="450" t="s">
        <v>2702</v>
      </c>
      <c r="CI3" s="451" t="s">
        <v>1761</v>
      </c>
      <c r="CJ3" s="451" t="s">
        <v>1805</v>
      </c>
      <c r="CK3" s="452" t="s">
        <v>2703</v>
      </c>
      <c r="CL3" s="452"/>
      <c r="CM3" s="452" t="s">
        <v>2705</v>
      </c>
    </row>
    <row r="4">
      <c r="A4" s="453" t="s">
        <v>2848</v>
      </c>
      <c r="B4" s="454">
        <v>2.0</v>
      </c>
      <c r="C4" s="455" t="s">
        <v>2707</v>
      </c>
      <c r="D4" s="456" t="s">
        <v>56</v>
      </c>
      <c r="E4" s="455" t="s">
        <v>2708</v>
      </c>
      <c r="F4" s="455" t="s">
        <v>1763</v>
      </c>
      <c r="G4" s="457" t="s">
        <v>2709</v>
      </c>
      <c r="H4" s="457" t="s">
        <v>2752</v>
      </c>
      <c r="I4" s="458" t="s">
        <v>2094</v>
      </c>
      <c r="J4" s="459" t="s">
        <v>24</v>
      </c>
      <c r="K4" s="460" t="s">
        <v>25</v>
      </c>
      <c r="L4" s="461">
        <v>150.0</v>
      </c>
      <c r="M4" s="461">
        <v>100.0</v>
      </c>
      <c r="N4" s="461">
        <v>130.0</v>
      </c>
      <c r="O4" s="462">
        <v>80.0</v>
      </c>
      <c r="P4" s="461">
        <v>70.0</v>
      </c>
      <c r="Q4" s="462">
        <v>0.0</v>
      </c>
      <c r="R4" s="461">
        <v>41.0</v>
      </c>
      <c r="S4" s="461">
        <v>66.0</v>
      </c>
      <c r="T4" s="461">
        <v>20.0</v>
      </c>
      <c r="U4" s="461">
        <v>50.0</v>
      </c>
      <c r="V4" s="461">
        <v>0.0</v>
      </c>
      <c r="W4" s="463">
        <f t="shared" ref="W4:W11" si="4">SUM(L4:V4)</f>
        <v>707</v>
      </c>
      <c r="X4" s="461">
        <v>150.0</v>
      </c>
      <c r="Y4" s="461">
        <v>100.0</v>
      </c>
      <c r="Z4" s="461">
        <v>130.0</v>
      </c>
      <c r="AA4" s="462">
        <v>100.0</v>
      </c>
      <c r="AB4" s="461">
        <v>70.0</v>
      </c>
      <c r="AC4" s="461">
        <v>150.0</v>
      </c>
      <c r="AD4" s="461">
        <v>41.0</v>
      </c>
      <c r="AE4" s="461">
        <v>66.0</v>
      </c>
      <c r="AF4" s="461">
        <v>20.0</v>
      </c>
      <c r="AG4" s="461">
        <v>50.0</v>
      </c>
      <c r="AH4" s="461">
        <v>0.0</v>
      </c>
      <c r="AI4" s="464">
        <f t="shared" ref="AI4:AI11" si="5">SUM(X4:AH4)</f>
        <v>877</v>
      </c>
      <c r="AJ4" s="461">
        <v>150.0</v>
      </c>
      <c r="AK4" s="461">
        <v>100.0</v>
      </c>
      <c r="AL4" s="461">
        <v>130.0</v>
      </c>
      <c r="AM4" s="462">
        <v>100.0</v>
      </c>
      <c r="AN4" s="461">
        <v>70.0</v>
      </c>
      <c r="AO4" s="461">
        <v>150.0</v>
      </c>
      <c r="AP4" s="461">
        <v>41.0</v>
      </c>
      <c r="AQ4" s="461">
        <v>66.0</v>
      </c>
      <c r="AR4" s="461">
        <v>20.0</v>
      </c>
      <c r="AS4" s="461">
        <v>50.0</v>
      </c>
      <c r="AT4" s="461">
        <v>0.0</v>
      </c>
      <c r="AU4" s="463">
        <f t="shared" ref="AU4:AU11" si="6">ROUNDUP( SUM(AJ4:AT4))</f>
        <v>877</v>
      </c>
      <c r="AV4" s="465">
        <f t="shared" ref="AV4:AV11" si="7">W4+AI4+AU4</f>
        <v>2461</v>
      </c>
      <c r="AW4" s="466"/>
      <c r="AX4" s="467">
        <v>401.33</v>
      </c>
      <c r="AY4" s="467">
        <f t="shared" ref="AY4:AY11" si="8">AX4*$AY$1</f>
        <v>2793.2568</v>
      </c>
      <c r="AZ4" s="468"/>
      <c r="BA4" s="469">
        <f t="shared" ref="BA4:BJ4" si="1">L4*$AY4</f>
        <v>418988.52</v>
      </c>
      <c r="BB4" s="469">
        <f t="shared" si="1"/>
        <v>279325.68</v>
      </c>
      <c r="BC4" s="469">
        <f t="shared" si="1"/>
        <v>363123.384</v>
      </c>
      <c r="BD4" s="469">
        <f t="shared" si="1"/>
        <v>223460.544</v>
      </c>
      <c r="BE4" s="469">
        <f t="shared" si="1"/>
        <v>195527.976</v>
      </c>
      <c r="BF4" s="469">
        <f t="shared" si="1"/>
        <v>0</v>
      </c>
      <c r="BG4" s="469">
        <f t="shared" si="1"/>
        <v>114523.5288</v>
      </c>
      <c r="BH4" s="469">
        <f t="shared" si="1"/>
        <v>184354.9488</v>
      </c>
      <c r="BI4" s="469">
        <f t="shared" si="1"/>
        <v>55865.136</v>
      </c>
      <c r="BJ4" s="469">
        <f t="shared" si="1"/>
        <v>139662.84</v>
      </c>
      <c r="BK4" s="470">
        <f t="shared" ref="BK4:BK11" si="10">AY4*W4</f>
        <v>1974832.558</v>
      </c>
      <c r="BL4" s="469">
        <f t="shared" ref="BL4:BU4" si="2">X4*$AY4</f>
        <v>418988.52</v>
      </c>
      <c r="BM4" s="469">
        <f t="shared" si="2"/>
        <v>279325.68</v>
      </c>
      <c r="BN4" s="469">
        <f t="shared" si="2"/>
        <v>363123.384</v>
      </c>
      <c r="BO4" s="469">
        <f t="shared" si="2"/>
        <v>279325.68</v>
      </c>
      <c r="BP4" s="469">
        <f t="shared" si="2"/>
        <v>195527.976</v>
      </c>
      <c r="BQ4" s="469">
        <f t="shared" si="2"/>
        <v>418988.52</v>
      </c>
      <c r="BR4" s="469">
        <f t="shared" si="2"/>
        <v>114523.5288</v>
      </c>
      <c r="BS4" s="469">
        <f t="shared" si="2"/>
        <v>184354.9488</v>
      </c>
      <c r="BT4" s="469">
        <f t="shared" si="2"/>
        <v>55865.136</v>
      </c>
      <c r="BU4" s="469">
        <f t="shared" si="2"/>
        <v>139662.84</v>
      </c>
      <c r="BV4" s="470">
        <f t="shared" ref="BV4:BV11" si="12">AY4*AI4</f>
        <v>2449686.214</v>
      </c>
      <c r="BW4" s="469">
        <f t="shared" ref="BW4:CF4" si="3">AJ4*$AY4</f>
        <v>418988.52</v>
      </c>
      <c r="BX4" s="469">
        <f t="shared" si="3"/>
        <v>279325.68</v>
      </c>
      <c r="BY4" s="469">
        <f t="shared" si="3"/>
        <v>363123.384</v>
      </c>
      <c r="BZ4" s="469">
        <f t="shared" si="3"/>
        <v>279325.68</v>
      </c>
      <c r="CA4" s="469">
        <f t="shared" si="3"/>
        <v>195527.976</v>
      </c>
      <c r="CB4" s="469">
        <f t="shared" si="3"/>
        <v>418988.52</v>
      </c>
      <c r="CC4" s="469">
        <f t="shared" si="3"/>
        <v>114523.5288</v>
      </c>
      <c r="CD4" s="469">
        <f t="shared" si="3"/>
        <v>184354.9488</v>
      </c>
      <c r="CE4" s="469">
        <f t="shared" si="3"/>
        <v>55865.136</v>
      </c>
      <c r="CF4" s="469">
        <f t="shared" si="3"/>
        <v>139662.84</v>
      </c>
      <c r="CG4" s="470">
        <f t="shared" ref="CG4:CG11" si="14">AY4*AU4</f>
        <v>2449686.214</v>
      </c>
      <c r="CH4" s="470">
        <f t="shared" ref="CH4:CH11" si="15">BK4+BV4+CG4</f>
        <v>6874204.985</v>
      </c>
      <c r="CI4" s="471"/>
      <c r="CJ4" s="469"/>
      <c r="CK4" s="472">
        <v>1.0</v>
      </c>
      <c r="CL4" s="104">
        <f>VLOOKUP(I4,Cotizacion!$A$2:$E$423,4,FALSE())</f>
        <v>401.33</v>
      </c>
      <c r="CM4" s="473">
        <f>VLOOKUP(I4,Cotizacion!A2:E423,5,FALSE())</f>
        <v>341.13</v>
      </c>
    </row>
    <row r="5">
      <c r="A5" s="474" t="s">
        <v>2848</v>
      </c>
      <c r="B5" s="475">
        <v>2.0</v>
      </c>
      <c r="C5" s="476" t="s">
        <v>2707</v>
      </c>
      <c r="D5" s="477" t="s">
        <v>56</v>
      </c>
      <c r="E5" s="476" t="s">
        <v>2708</v>
      </c>
      <c r="F5" s="476" t="s">
        <v>1763</v>
      </c>
      <c r="G5" s="457" t="s">
        <v>2709</v>
      </c>
      <c r="H5" s="457" t="s">
        <v>2753</v>
      </c>
      <c r="I5" s="478" t="s">
        <v>2096</v>
      </c>
      <c r="J5" s="479" t="s">
        <v>31</v>
      </c>
      <c r="K5" s="480" t="s">
        <v>25</v>
      </c>
      <c r="L5" s="481">
        <v>37.0</v>
      </c>
      <c r="M5" s="481">
        <v>28.0</v>
      </c>
      <c r="N5" s="481">
        <v>30.0</v>
      </c>
      <c r="O5" s="482">
        <v>0.0</v>
      </c>
      <c r="P5" s="482">
        <v>0.0</v>
      </c>
      <c r="Q5" s="482">
        <v>0.0</v>
      </c>
      <c r="R5" s="481">
        <v>24.0</v>
      </c>
      <c r="S5" s="481">
        <v>25.0</v>
      </c>
      <c r="T5" s="481">
        <v>5.0</v>
      </c>
      <c r="U5" s="481">
        <v>25.0</v>
      </c>
      <c r="V5" s="481">
        <v>0.0</v>
      </c>
      <c r="W5" s="463">
        <f t="shared" si="4"/>
        <v>174</v>
      </c>
      <c r="X5" s="481">
        <v>100.0</v>
      </c>
      <c r="Y5" s="481">
        <v>70.0</v>
      </c>
      <c r="Z5" s="481">
        <v>85.0</v>
      </c>
      <c r="AA5" s="481">
        <v>50.0</v>
      </c>
      <c r="AB5" s="481">
        <v>60.0</v>
      </c>
      <c r="AC5" s="482">
        <v>0.0</v>
      </c>
      <c r="AD5" s="481">
        <v>63.0</v>
      </c>
      <c r="AE5" s="481">
        <v>76.0</v>
      </c>
      <c r="AF5" s="481">
        <v>10.0</v>
      </c>
      <c r="AG5" s="481">
        <v>65.0</v>
      </c>
      <c r="AH5" s="481">
        <v>0.0</v>
      </c>
      <c r="AI5" s="464">
        <f t="shared" si="5"/>
        <v>579</v>
      </c>
      <c r="AJ5" s="481">
        <v>100.0</v>
      </c>
      <c r="AK5" s="481">
        <v>70.0</v>
      </c>
      <c r="AL5" s="481">
        <v>85.0</v>
      </c>
      <c r="AM5" s="481">
        <v>50.0</v>
      </c>
      <c r="AN5" s="481">
        <v>60.0</v>
      </c>
      <c r="AO5" s="482">
        <v>0.0</v>
      </c>
      <c r="AP5" s="481">
        <v>63.0</v>
      </c>
      <c r="AQ5" s="481">
        <v>76.0</v>
      </c>
      <c r="AR5" s="481">
        <v>10.0</v>
      </c>
      <c r="AS5" s="481">
        <v>65.0</v>
      </c>
      <c r="AT5" s="481">
        <v>0.0</v>
      </c>
      <c r="AU5" s="463">
        <f t="shared" si="6"/>
        <v>579</v>
      </c>
      <c r="AV5" s="483">
        <f t="shared" si="7"/>
        <v>1332</v>
      </c>
      <c r="AW5" s="484"/>
      <c r="AX5" s="485">
        <v>317.23</v>
      </c>
      <c r="AY5" s="485">
        <f t="shared" si="8"/>
        <v>2207.9208</v>
      </c>
      <c r="AZ5" s="486"/>
      <c r="BA5" s="487">
        <f t="shared" ref="BA5:BJ5" si="9">L5*$AY5</f>
        <v>81693.0696</v>
      </c>
      <c r="BB5" s="487">
        <f t="shared" si="9"/>
        <v>61821.7824</v>
      </c>
      <c r="BC5" s="487">
        <f t="shared" si="9"/>
        <v>66237.624</v>
      </c>
      <c r="BD5" s="487">
        <f t="shared" si="9"/>
        <v>0</v>
      </c>
      <c r="BE5" s="487">
        <f t="shared" si="9"/>
        <v>0</v>
      </c>
      <c r="BF5" s="487">
        <f t="shared" si="9"/>
        <v>0</v>
      </c>
      <c r="BG5" s="487">
        <f t="shared" si="9"/>
        <v>52990.0992</v>
      </c>
      <c r="BH5" s="487">
        <f t="shared" si="9"/>
        <v>55198.02</v>
      </c>
      <c r="BI5" s="487">
        <f t="shared" si="9"/>
        <v>11039.604</v>
      </c>
      <c r="BJ5" s="487">
        <f t="shared" si="9"/>
        <v>55198.02</v>
      </c>
      <c r="BK5" s="488">
        <f t="shared" si="10"/>
        <v>384178.2192</v>
      </c>
      <c r="BL5" s="487">
        <f t="shared" ref="BL5:BU5" si="11">X5*$AY5</f>
        <v>220792.08</v>
      </c>
      <c r="BM5" s="487">
        <f t="shared" si="11"/>
        <v>154554.456</v>
      </c>
      <c r="BN5" s="487">
        <f t="shared" si="11"/>
        <v>187673.268</v>
      </c>
      <c r="BO5" s="487">
        <f t="shared" si="11"/>
        <v>110396.04</v>
      </c>
      <c r="BP5" s="487">
        <f t="shared" si="11"/>
        <v>132475.248</v>
      </c>
      <c r="BQ5" s="487">
        <f t="shared" si="11"/>
        <v>0</v>
      </c>
      <c r="BR5" s="487">
        <f t="shared" si="11"/>
        <v>139099.0104</v>
      </c>
      <c r="BS5" s="487">
        <f t="shared" si="11"/>
        <v>167801.9808</v>
      </c>
      <c r="BT5" s="487">
        <f t="shared" si="11"/>
        <v>22079.208</v>
      </c>
      <c r="BU5" s="487">
        <f t="shared" si="11"/>
        <v>143514.852</v>
      </c>
      <c r="BV5" s="488">
        <f t="shared" si="12"/>
        <v>1278386.143</v>
      </c>
      <c r="BW5" s="487">
        <f t="shared" ref="BW5:CF5" si="13">AJ5*$AY5</f>
        <v>220792.08</v>
      </c>
      <c r="BX5" s="487">
        <f t="shared" si="13"/>
        <v>154554.456</v>
      </c>
      <c r="BY5" s="487">
        <f t="shared" si="13"/>
        <v>187673.268</v>
      </c>
      <c r="BZ5" s="487">
        <f t="shared" si="13"/>
        <v>110396.04</v>
      </c>
      <c r="CA5" s="487">
        <f t="shared" si="13"/>
        <v>132475.248</v>
      </c>
      <c r="CB5" s="487">
        <f t="shared" si="13"/>
        <v>0</v>
      </c>
      <c r="CC5" s="487">
        <f t="shared" si="13"/>
        <v>139099.0104</v>
      </c>
      <c r="CD5" s="487">
        <f t="shared" si="13"/>
        <v>167801.9808</v>
      </c>
      <c r="CE5" s="487">
        <f t="shared" si="13"/>
        <v>22079.208</v>
      </c>
      <c r="CF5" s="487">
        <f t="shared" si="13"/>
        <v>143514.852</v>
      </c>
      <c r="CG5" s="488">
        <f t="shared" si="14"/>
        <v>1278386.143</v>
      </c>
      <c r="CH5" s="488">
        <f t="shared" si="15"/>
        <v>2940950.506</v>
      </c>
      <c r="CI5" s="489"/>
      <c r="CJ5" s="487"/>
      <c r="CK5" s="472">
        <v>1.0</v>
      </c>
      <c r="CL5" s="104">
        <f>VLOOKUP(I5,Cotizacion!$A$2:$E$423,4,FALSE())</f>
        <v>317.23</v>
      </c>
    </row>
    <row r="6">
      <c r="A6" s="453" t="s">
        <v>2848</v>
      </c>
      <c r="B6" s="454">
        <v>2.0</v>
      </c>
      <c r="C6" s="455" t="s">
        <v>2707</v>
      </c>
      <c r="D6" s="456" t="s">
        <v>56</v>
      </c>
      <c r="E6" s="455" t="s">
        <v>2708</v>
      </c>
      <c r="F6" s="455" t="s">
        <v>1763</v>
      </c>
      <c r="G6" s="457" t="s">
        <v>2709</v>
      </c>
      <c r="H6" s="457" t="s">
        <v>2759</v>
      </c>
      <c r="I6" s="458" t="s">
        <v>2145</v>
      </c>
      <c r="J6" s="459" t="s">
        <v>37</v>
      </c>
      <c r="K6" s="460" t="s">
        <v>25</v>
      </c>
      <c r="L6" s="461">
        <v>512.0</v>
      </c>
      <c r="M6" s="461">
        <v>284.0</v>
      </c>
      <c r="N6" s="461">
        <v>426.0</v>
      </c>
      <c r="O6" s="461">
        <v>341.0</v>
      </c>
      <c r="P6" s="461">
        <v>199.0</v>
      </c>
      <c r="Q6" s="461">
        <v>426.0</v>
      </c>
      <c r="R6" s="462">
        <v>150.0</v>
      </c>
      <c r="S6" s="461">
        <v>187.0</v>
      </c>
      <c r="T6" s="462">
        <v>80.0</v>
      </c>
      <c r="U6" s="490">
        <v>100.0</v>
      </c>
      <c r="V6" s="461">
        <v>0.0</v>
      </c>
      <c r="W6" s="463">
        <f t="shared" si="4"/>
        <v>2705</v>
      </c>
      <c r="X6" s="461">
        <v>360.0</v>
      </c>
      <c r="Y6" s="461">
        <v>200.0</v>
      </c>
      <c r="Z6" s="461">
        <v>300.0</v>
      </c>
      <c r="AA6" s="461">
        <v>240.0</v>
      </c>
      <c r="AB6" s="461">
        <v>140.0</v>
      </c>
      <c r="AC6" s="461">
        <v>300.0</v>
      </c>
      <c r="AD6" s="462">
        <v>120.0</v>
      </c>
      <c r="AE6" s="461">
        <v>132.0</v>
      </c>
      <c r="AF6" s="462">
        <v>50.0</v>
      </c>
      <c r="AG6" s="461">
        <v>100.0</v>
      </c>
      <c r="AH6" s="461">
        <v>0.0</v>
      </c>
      <c r="AI6" s="464">
        <f t="shared" si="5"/>
        <v>1942</v>
      </c>
      <c r="AJ6" s="461">
        <v>360.0</v>
      </c>
      <c r="AK6" s="461">
        <v>200.0</v>
      </c>
      <c r="AL6" s="461">
        <v>300.0</v>
      </c>
      <c r="AM6" s="461">
        <v>240.0</v>
      </c>
      <c r="AN6" s="461">
        <v>140.0</v>
      </c>
      <c r="AO6" s="461">
        <v>300.0</v>
      </c>
      <c r="AP6" s="462">
        <v>120.0</v>
      </c>
      <c r="AQ6" s="461">
        <v>132.0</v>
      </c>
      <c r="AR6" s="462">
        <v>50.0</v>
      </c>
      <c r="AS6" s="461">
        <v>100.0</v>
      </c>
      <c r="AT6" s="461">
        <v>0.0</v>
      </c>
      <c r="AU6" s="463">
        <f t="shared" si="6"/>
        <v>1942</v>
      </c>
      <c r="AV6" s="465">
        <f t="shared" si="7"/>
        <v>6589</v>
      </c>
      <c r="AW6" s="466"/>
      <c r="AX6" s="467">
        <v>62.07</v>
      </c>
      <c r="AY6" s="467">
        <f t="shared" si="8"/>
        <v>432.0072</v>
      </c>
      <c r="AZ6" s="468"/>
      <c r="BA6" s="469">
        <f t="shared" ref="BA6:BJ6" si="16">L6*$AY6</f>
        <v>221187.6864</v>
      </c>
      <c r="BB6" s="469">
        <f t="shared" si="16"/>
        <v>122690.0448</v>
      </c>
      <c r="BC6" s="469">
        <f t="shared" si="16"/>
        <v>184035.0672</v>
      </c>
      <c r="BD6" s="469">
        <f t="shared" si="16"/>
        <v>147314.4552</v>
      </c>
      <c r="BE6" s="469">
        <f t="shared" si="16"/>
        <v>85969.4328</v>
      </c>
      <c r="BF6" s="469">
        <f t="shared" si="16"/>
        <v>184035.0672</v>
      </c>
      <c r="BG6" s="469">
        <f t="shared" si="16"/>
        <v>64801.08</v>
      </c>
      <c r="BH6" s="469">
        <f t="shared" si="16"/>
        <v>80785.3464</v>
      </c>
      <c r="BI6" s="469">
        <f t="shared" si="16"/>
        <v>34560.576</v>
      </c>
      <c r="BJ6" s="469">
        <f t="shared" si="16"/>
        <v>43200.72</v>
      </c>
      <c r="BK6" s="470">
        <f t="shared" si="10"/>
        <v>1168579.476</v>
      </c>
      <c r="BL6" s="469">
        <f t="shared" ref="BL6:BU6" si="17">X6*$AY6</f>
        <v>155522.592</v>
      </c>
      <c r="BM6" s="469">
        <f t="shared" si="17"/>
        <v>86401.44</v>
      </c>
      <c r="BN6" s="469">
        <f t="shared" si="17"/>
        <v>129602.16</v>
      </c>
      <c r="BO6" s="469">
        <f t="shared" si="17"/>
        <v>103681.728</v>
      </c>
      <c r="BP6" s="469">
        <f t="shared" si="17"/>
        <v>60481.008</v>
      </c>
      <c r="BQ6" s="469">
        <f t="shared" si="17"/>
        <v>129602.16</v>
      </c>
      <c r="BR6" s="469">
        <f t="shared" si="17"/>
        <v>51840.864</v>
      </c>
      <c r="BS6" s="469">
        <f t="shared" si="17"/>
        <v>57024.9504</v>
      </c>
      <c r="BT6" s="469">
        <f t="shared" si="17"/>
        <v>21600.36</v>
      </c>
      <c r="BU6" s="469">
        <f t="shared" si="17"/>
        <v>43200.72</v>
      </c>
      <c r="BV6" s="470">
        <f t="shared" si="12"/>
        <v>838957.9824</v>
      </c>
      <c r="BW6" s="469">
        <f t="shared" ref="BW6:CF6" si="18">AJ6*$AY6</f>
        <v>155522.592</v>
      </c>
      <c r="BX6" s="469">
        <f t="shared" si="18"/>
        <v>86401.44</v>
      </c>
      <c r="BY6" s="469">
        <f t="shared" si="18"/>
        <v>129602.16</v>
      </c>
      <c r="BZ6" s="469">
        <f t="shared" si="18"/>
        <v>103681.728</v>
      </c>
      <c r="CA6" s="469">
        <f t="shared" si="18"/>
        <v>60481.008</v>
      </c>
      <c r="CB6" s="469">
        <f t="shared" si="18"/>
        <v>129602.16</v>
      </c>
      <c r="CC6" s="469">
        <f t="shared" si="18"/>
        <v>51840.864</v>
      </c>
      <c r="CD6" s="469">
        <f t="shared" si="18"/>
        <v>57024.9504</v>
      </c>
      <c r="CE6" s="469">
        <f t="shared" si="18"/>
        <v>21600.36</v>
      </c>
      <c r="CF6" s="469">
        <f t="shared" si="18"/>
        <v>43200.72</v>
      </c>
      <c r="CG6" s="470">
        <f t="shared" si="14"/>
        <v>838957.9824</v>
      </c>
      <c r="CH6" s="470">
        <f t="shared" si="15"/>
        <v>2846495.441</v>
      </c>
      <c r="CI6" s="471"/>
      <c r="CJ6" s="469"/>
      <c r="CK6" s="472">
        <v>1.0</v>
      </c>
      <c r="CL6" s="104">
        <f>VLOOKUP(I6,Cotizacion!$A$2:$E$423,4,FALSE())</f>
        <v>62.07</v>
      </c>
    </row>
    <row r="7">
      <c r="A7" s="474" t="s">
        <v>2848</v>
      </c>
      <c r="B7" s="475">
        <v>2.0</v>
      </c>
      <c r="C7" s="476" t="s">
        <v>2808</v>
      </c>
      <c r="D7" s="477" t="s">
        <v>118</v>
      </c>
      <c r="E7" s="476" t="s">
        <v>2708</v>
      </c>
      <c r="F7" s="476" t="s">
        <v>1763</v>
      </c>
      <c r="G7" s="457" t="s">
        <v>2709</v>
      </c>
      <c r="H7" s="457" t="s">
        <v>2752</v>
      </c>
      <c r="I7" s="478" t="s">
        <v>2094</v>
      </c>
      <c r="J7" s="479" t="s">
        <v>24</v>
      </c>
      <c r="K7" s="480" t="s">
        <v>25</v>
      </c>
      <c r="L7" s="481">
        <v>7.0</v>
      </c>
      <c r="M7" s="481">
        <v>10.0</v>
      </c>
      <c r="N7" s="481"/>
      <c r="O7" s="482">
        <v>0.0</v>
      </c>
      <c r="P7" s="482">
        <v>20.0</v>
      </c>
      <c r="Q7" s="482">
        <v>0.0</v>
      </c>
      <c r="R7" s="481">
        <v>10.0</v>
      </c>
      <c r="S7" s="481">
        <v>10.0</v>
      </c>
      <c r="T7" s="481">
        <v>10.0</v>
      </c>
      <c r="U7" s="491">
        <v>0.0</v>
      </c>
      <c r="V7" s="481"/>
      <c r="W7" s="463">
        <f t="shared" si="4"/>
        <v>67</v>
      </c>
      <c r="X7" s="481">
        <v>24.0</v>
      </c>
      <c r="Y7" s="481">
        <v>24.0</v>
      </c>
      <c r="Z7" s="481">
        <v>36.0</v>
      </c>
      <c r="AA7" s="481">
        <v>48.0</v>
      </c>
      <c r="AB7" s="481">
        <v>84.0</v>
      </c>
      <c r="AC7" s="481">
        <v>120.0</v>
      </c>
      <c r="AD7" s="482">
        <v>60.0</v>
      </c>
      <c r="AE7" s="481">
        <v>60.0</v>
      </c>
      <c r="AF7" s="482">
        <v>15.0</v>
      </c>
      <c r="AG7" s="492">
        <v>0.0</v>
      </c>
      <c r="AH7" s="481">
        <v>0.0</v>
      </c>
      <c r="AI7" s="464">
        <f t="shared" si="5"/>
        <v>471</v>
      </c>
      <c r="AJ7" s="481">
        <v>24.0</v>
      </c>
      <c r="AK7" s="481">
        <v>24.0</v>
      </c>
      <c r="AL7" s="481">
        <v>36.0</v>
      </c>
      <c r="AM7" s="481">
        <v>48.0</v>
      </c>
      <c r="AN7" s="481">
        <v>84.0</v>
      </c>
      <c r="AO7" s="481">
        <v>120.0</v>
      </c>
      <c r="AP7" s="482">
        <v>60.0</v>
      </c>
      <c r="AQ7" s="481">
        <v>60.0</v>
      </c>
      <c r="AR7" s="482">
        <v>15.0</v>
      </c>
      <c r="AS7" s="492">
        <v>0.0</v>
      </c>
      <c r="AT7" s="481">
        <v>0.0</v>
      </c>
      <c r="AU7" s="463">
        <f t="shared" si="6"/>
        <v>471</v>
      </c>
      <c r="AV7" s="483">
        <f t="shared" si="7"/>
        <v>1009</v>
      </c>
      <c r="AW7" s="484"/>
      <c r="AX7" s="485">
        <v>401.33</v>
      </c>
      <c r="AY7" s="485">
        <f t="shared" si="8"/>
        <v>2793.2568</v>
      </c>
      <c r="AZ7" s="486"/>
      <c r="BA7" s="487">
        <f t="shared" ref="BA7:BJ7" si="19">L7*$AY7</f>
        <v>19552.7976</v>
      </c>
      <c r="BB7" s="487">
        <f t="shared" si="19"/>
        <v>27932.568</v>
      </c>
      <c r="BC7" s="487">
        <f t="shared" si="19"/>
        <v>0</v>
      </c>
      <c r="BD7" s="487">
        <f t="shared" si="19"/>
        <v>0</v>
      </c>
      <c r="BE7" s="487">
        <f t="shared" si="19"/>
        <v>55865.136</v>
      </c>
      <c r="BF7" s="487">
        <f t="shared" si="19"/>
        <v>0</v>
      </c>
      <c r="BG7" s="487">
        <f t="shared" si="19"/>
        <v>27932.568</v>
      </c>
      <c r="BH7" s="487">
        <f t="shared" si="19"/>
        <v>27932.568</v>
      </c>
      <c r="BI7" s="487">
        <f t="shared" si="19"/>
        <v>27932.568</v>
      </c>
      <c r="BJ7" s="487">
        <f t="shared" si="19"/>
        <v>0</v>
      </c>
      <c r="BK7" s="488">
        <f t="shared" si="10"/>
        <v>187148.2056</v>
      </c>
      <c r="BL7" s="487">
        <f t="shared" ref="BL7:BU7" si="20">X7*$AY7</f>
        <v>67038.1632</v>
      </c>
      <c r="BM7" s="487">
        <f t="shared" si="20"/>
        <v>67038.1632</v>
      </c>
      <c r="BN7" s="487">
        <f t="shared" si="20"/>
        <v>100557.2448</v>
      </c>
      <c r="BO7" s="487">
        <f t="shared" si="20"/>
        <v>134076.3264</v>
      </c>
      <c r="BP7" s="487">
        <f t="shared" si="20"/>
        <v>234633.5712</v>
      </c>
      <c r="BQ7" s="487">
        <f t="shared" si="20"/>
        <v>335190.816</v>
      </c>
      <c r="BR7" s="487">
        <f t="shared" si="20"/>
        <v>167595.408</v>
      </c>
      <c r="BS7" s="487">
        <f t="shared" si="20"/>
        <v>167595.408</v>
      </c>
      <c r="BT7" s="487">
        <f t="shared" si="20"/>
        <v>41898.852</v>
      </c>
      <c r="BU7" s="487">
        <f t="shared" si="20"/>
        <v>0</v>
      </c>
      <c r="BV7" s="488">
        <f t="shared" si="12"/>
        <v>1315623.953</v>
      </c>
      <c r="BW7" s="487">
        <f t="shared" ref="BW7:CF7" si="21">AJ7*$AY7</f>
        <v>67038.1632</v>
      </c>
      <c r="BX7" s="487">
        <f t="shared" si="21"/>
        <v>67038.1632</v>
      </c>
      <c r="BY7" s="487">
        <f t="shared" si="21"/>
        <v>100557.2448</v>
      </c>
      <c r="BZ7" s="487">
        <f t="shared" si="21"/>
        <v>134076.3264</v>
      </c>
      <c r="CA7" s="487">
        <f t="shared" si="21"/>
        <v>234633.5712</v>
      </c>
      <c r="CB7" s="487">
        <f t="shared" si="21"/>
        <v>335190.816</v>
      </c>
      <c r="CC7" s="487">
        <f t="shared" si="21"/>
        <v>167595.408</v>
      </c>
      <c r="CD7" s="487">
        <f t="shared" si="21"/>
        <v>167595.408</v>
      </c>
      <c r="CE7" s="487">
        <f t="shared" si="21"/>
        <v>41898.852</v>
      </c>
      <c r="CF7" s="487">
        <f t="shared" si="21"/>
        <v>0</v>
      </c>
      <c r="CG7" s="488">
        <f t="shared" si="14"/>
        <v>1315623.953</v>
      </c>
      <c r="CH7" s="488">
        <f t="shared" si="15"/>
        <v>2818396.111</v>
      </c>
      <c r="CI7" s="489"/>
      <c r="CJ7" s="487"/>
      <c r="CK7" s="472">
        <v>1.0</v>
      </c>
      <c r="CL7" s="104">
        <f>VLOOKUP(I7,Cotizacion!$A$2:$E$423,4,FALSE())</f>
        <v>401.33</v>
      </c>
    </row>
    <row r="8">
      <c r="A8" s="453" t="s">
        <v>2848</v>
      </c>
      <c r="B8" s="454">
        <v>2.0</v>
      </c>
      <c r="C8" s="455" t="s">
        <v>2808</v>
      </c>
      <c r="D8" s="456" t="s">
        <v>118</v>
      </c>
      <c r="E8" s="455" t="s">
        <v>2708</v>
      </c>
      <c r="F8" s="455" t="s">
        <v>1763</v>
      </c>
      <c r="G8" s="457" t="s">
        <v>2709</v>
      </c>
      <c r="H8" s="457" t="s">
        <v>2849</v>
      </c>
      <c r="I8" s="458" t="s">
        <v>2108</v>
      </c>
      <c r="J8" s="459" t="s">
        <v>76</v>
      </c>
      <c r="K8" s="460" t="s">
        <v>25</v>
      </c>
      <c r="L8" s="461">
        <v>0.0</v>
      </c>
      <c r="M8" s="461">
        <v>0.0</v>
      </c>
      <c r="N8" s="461">
        <v>0.0</v>
      </c>
      <c r="O8" s="461">
        <v>0.0</v>
      </c>
      <c r="P8" s="462">
        <v>72.0</v>
      </c>
      <c r="Q8" s="462">
        <v>96.0</v>
      </c>
      <c r="R8" s="461">
        <v>0.0</v>
      </c>
      <c r="S8" s="493">
        <v>0.0</v>
      </c>
      <c r="T8" s="461">
        <v>0.0</v>
      </c>
      <c r="U8" s="461">
        <v>0.0</v>
      </c>
      <c r="V8" s="461">
        <v>0.0</v>
      </c>
      <c r="W8" s="463">
        <f t="shared" si="4"/>
        <v>168</v>
      </c>
      <c r="X8" s="461">
        <v>24.0</v>
      </c>
      <c r="Y8" s="461">
        <v>24.0</v>
      </c>
      <c r="Z8" s="461">
        <v>36.0</v>
      </c>
      <c r="AA8" s="462">
        <v>72.0</v>
      </c>
      <c r="AB8" s="462">
        <v>108.0</v>
      </c>
      <c r="AC8" s="462">
        <v>144.0</v>
      </c>
      <c r="AD8" s="461">
        <v>36.0</v>
      </c>
      <c r="AE8" s="461">
        <v>36.0</v>
      </c>
      <c r="AF8" s="462">
        <v>15.0</v>
      </c>
      <c r="AG8" s="490">
        <v>0.0</v>
      </c>
      <c r="AH8" s="461">
        <v>0.0</v>
      </c>
      <c r="AI8" s="464">
        <f t="shared" si="5"/>
        <v>495</v>
      </c>
      <c r="AJ8" s="461">
        <v>24.0</v>
      </c>
      <c r="AK8" s="461">
        <v>24.0</v>
      </c>
      <c r="AL8" s="461">
        <v>36.0</v>
      </c>
      <c r="AM8" s="462">
        <v>72.0</v>
      </c>
      <c r="AN8" s="462">
        <v>108.0</v>
      </c>
      <c r="AO8" s="462">
        <v>144.0</v>
      </c>
      <c r="AP8" s="461">
        <v>36.0</v>
      </c>
      <c r="AQ8" s="461">
        <v>36.0</v>
      </c>
      <c r="AR8" s="462">
        <v>15.0</v>
      </c>
      <c r="AS8" s="490">
        <v>0.0</v>
      </c>
      <c r="AT8" s="461">
        <v>0.0</v>
      </c>
      <c r="AU8" s="463">
        <f t="shared" si="6"/>
        <v>495</v>
      </c>
      <c r="AV8" s="465">
        <f t="shared" si="7"/>
        <v>1158</v>
      </c>
      <c r="AW8" s="466"/>
      <c r="AX8" s="467">
        <v>275.0</v>
      </c>
      <c r="AY8" s="467">
        <f t="shared" si="8"/>
        <v>1914</v>
      </c>
      <c r="AZ8" s="494"/>
      <c r="BA8" s="469">
        <f t="shared" ref="BA8:BJ8" si="22">L8*$AY8</f>
        <v>0</v>
      </c>
      <c r="BB8" s="469">
        <f t="shared" si="22"/>
        <v>0</v>
      </c>
      <c r="BC8" s="469">
        <f t="shared" si="22"/>
        <v>0</v>
      </c>
      <c r="BD8" s="469">
        <f t="shared" si="22"/>
        <v>0</v>
      </c>
      <c r="BE8" s="469">
        <f t="shared" si="22"/>
        <v>137808</v>
      </c>
      <c r="BF8" s="469">
        <f t="shared" si="22"/>
        <v>183744</v>
      </c>
      <c r="BG8" s="469">
        <f t="shared" si="22"/>
        <v>0</v>
      </c>
      <c r="BH8" s="469">
        <f t="shared" si="22"/>
        <v>0</v>
      </c>
      <c r="BI8" s="469">
        <f t="shared" si="22"/>
        <v>0</v>
      </c>
      <c r="BJ8" s="469">
        <f t="shared" si="22"/>
        <v>0</v>
      </c>
      <c r="BK8" s="470">
        <f t="shared" si="10"/>
        <v>321552</v>
      </c>
      <c r="BL8" s="469">
        <f t="shared" ref="BL8:BU8" si="23">X8*$AY8</f>
        <v>45936</v>
      </c>
      <c r="BM8" s="469">
        <f t="shared" si="23"/>
        <v>45936</v>
      </c>
      <c r="BN8" s="469">
        <f t="shared" si="23"/>
        <v>68904</v>
      </c>
      <c r="BO8" s="469">
        <f t="shared" si="23"/>
        <v>137808</v>
      </c>
      <c r="BP8" s="469">
        <f t="shared" si="23"/>
        <v>206712</v>
      </c>
      <c r="BQ8" s="469">
        <f t="shared" si="23"/>
        <v>275616</v>
      </c>
      <c r="BR8" s="469">
        <f t="shared" si="23"/>
        <v>68904</v>
      </c>
      <c r="BS8" s="469">
        <f t="shared" si="23"/>
        <v>68904</v>
      </c>
      <c r="BT8" s="469">
        <f t="shared" si="23"/>
        <v>28710</v>
      </c>
      <c r="BU8" s="469">
        <f t="shared" si="23"/>
        <v>0</v>
      </c>
      <c r="BV8" s="470">
        <f t="shared" si="12"/>
        <v>947430</v>
      </c>
      <c r="BW8" s="469">
        <f t="shared" ref="BW8:CF8" si="24">AJ8*$AY8</f>
        <v>45936</v>
      </c>
      <c r="BX8" s="469">
        <f t="shared" si="24"/>
        <v>45936</v>
      </c>
      <c r="BY8" s="469">
        <f t="shared" si="24"/>
        <v>68904</v>
      </c>
      <c r="BZ8" s="469">
        <f t="shared" si="24"/>
        <v>137808</v>
      </c>
      <c r="CA8" s="469">
        <f t="shared" si="24"/>
        <v>206712</v>
      </c>
      <c r="CB8" s="469">
        <f t="shared" si="24"/>
        <v>275616</v>
      </c>
      <c r="CC8" s="469">
        <f t="shared" si="24"/>
        <v>68904</v>
      </c>
      <c r="CD8" s="469">
        <f t="shared" si="24"/>
        <v>68904</v>
      </c>
      <c r="CE8" s="469">
        <f t="shared" si="24"/>
        <v>28710</v>
      </c>
      <c r="CF8" s="469">
        <f t="shared" si="24"/>
        <v>0</v>
      </c>
      <c r="CG8" s="470">
        <f t="shared" si="14"/>
        <v>947430</v>
      </c>
      <c r="CH8" s="470">
        <f t="shared" si="15"/>
        <v>2216412</v>
      </c>
      <c r="CI8" s="471"/>
      <c r="CJ8" s="469"/>
      <c r="CK8" s="472">
        <v>1.0</v>
      </c>
      <c r="CL8" s="104">
        <f>VLOOKUP(I8,Cotizacion!$A$2:$E$423,4,FALSE())</f>
        <v>275</v>
      </c>
    </row>
    <row r="9">
      <c r="A9" s="474" t="s">
        <v>2848</v>
      </c>
      <c r="B9" s="475">
        <v>2.0</v>
      </c>
      <c r="C9" s="476" t="s">
        <v>2707</v>
      </c>
      <c r="D9" s="477" t="s">
        <v>785</v>
      </c>
      <c r="E9" s="476" t="s">
        <v>2708</v>
      </c>
      <c r="F9" s="476" t="s">
        <v>1763</v>
      </c>
      <c r="G9" s="457" t="s">
        <v>2709</v>
      </c>
      <c r="H9" s="457" t="s">
        <v>2764</v>
      </c>
      <c r="I9" s="478" t="s">
        <v>2164</v>
      </c>
      <c r="J9" s="479" t="s">
        <v>57</v>
      </c>
      <c r="K9" s="480" t="s">
        <v>25</v>
      </c>
      <c r="L9" s="481">
        <v>64.0</v>
      </c>
      <c r="M9" s="481">
        <v>44.0</v>
      </c>
      <c r="N9" s="481">
        <v>62.0</v>
      </c>
      <c r="O9" s="482">
        <v>0.0</v>
      </c>
      <c r="P9" s="482">
        <v>0.0</v>
      </c>
      <c r="Q9" s="482">
        <v>0.0</v>
      </c>
      <c r="R9" s="481">
        <v>63.0</v>
      </c>
      <c r="S9" s="481">
        <v>63.0</v>
      </c>
      <c r="T9" s="481">
        <v>18.0</v>
      </c>
      <c r="U9" s="492">
        <v>0.0</v>
      </c>
      <c r="V9" s="481">
        <v>0.0</v>
      </c>
      <c r="W9" s="463">
        <f t="shared" si="4"/>
        <v>314</v>
      </c>
      <c r="X9" s="481">
        <v>56.0</v>
      </c>
      <c r="Y9" s="481">
        <v>40.0</v>
      </c>
      <c r="Z9" s="481">
        <v>56.0</v>
      </c>
      <c r="AA9" s="482">
        <v>20.0</v>
      </c>
      <c r="AB9" s="482">
        <v>28.0</v>
      </c>
      <c r="AC9" s="482">
        <v>44.0</v>
      </c>
      <c r="AD9" s="481">
        <v>56.0</v>
      </c>
      <c r="AE9" s="481">
        <v>56.0</v>
      </c>
      <c r="AF9" s="481">
        <v>16.0</v>
      </c>
      <c r="AG9" s="481">
        <v>48.0</v>
      </c>
      <c r="AH9" s="481">
        <v>0.0</v>
      </c>
      <c r="AI9" s="464">
        <f t="shared" si="5"/>
        <v>420</v>
      </c>
      <c r="AJ9" s="481">
        <v>56.0</v>
      </c>
      <c r="AK9" s="481">
        <v>40.0</v>
      </c>
      <c r="AL9" s="481">
        <v>56.0</v>
      </c>
      <c r="AM9" s="482">
        <v>20.0</v>
      </c>
      <c r="AN9" s="482">
        <v>28.0</v>
      </c>
      <c r="AO9" s="482">
        <v>44.0</v>
      </c>
      <c r="AP9" s="481">
        <v>56.0</v>
      </c>
      <c r="AQ9" s="481">
        <v>56.0</v>
      </c>
      <c r="AR9" s="481">
        <v>16.0</v>
      </c>
      <c r="AS9" s="481">
        <v>48.0</v>
      </c>
      <c r="AT9" s="481">
        <v>0.0</v>
      </c>
      <c r="AU9" s="463">
        <f t="shared" si="6"/>
        <v>420</v>
      </c>
      <c r="AV9" s="483">
        <f t="shared" si="7"/>
        <v>1154</v>
      </c>
      <c r="AW9" s="484"/>
      <c r="AX9" s="485">
        <v>124.41</v>
      </c>
      <c r="AY9" s="485">
        <f t="shared" si="8"/>
        <v>865.8936</v>
      </c>
      <c r="AZ9" s="486"/>
      <c r="BA9" s="487">
        <f t="shared" ref="BA9:BJ9" si="25">L9*$AY9</f>
        <v>55417.1904</v>
      </c>
      <c r="BB9" s="487">
        <f t="shared" si="25"/>
        <v>38099.3184</v>
      </c>
      <c r="BC9" s="487">
        <f t="shared" si="25"/>
        <v>53685.4032</v>
      </c>
      <c r="BD9" s="487">
        <f t="shared" si="25"/>
        <v>0</v>
      </c>
      <c r="BE9" s="487">
        <f t="shared" si="25"/>
        <v>0</v>
      </c>
      <c r="BF9" s="487">
        <f t="shared" si="25"/>
        <v>0</v>
      </c>
      <c r="BG9" s="487">
        <f t="shared" si="25"/>
        <v>54551.2968</v>
      </c>
      <c r="BH9" s="487">
        <f t="shared" si="25"/>
        <v>54551.2968</v>
      </c>
      <c r="BI9" s="487">
        <f t="shared" si="25"/>
        <v>15586.0848</v>
      </c>
      <c r="BJ9" s="487">
        <f t="shared" si="25"/>
        <v>0</v>
      </c>
      <c r="BK9" s="488">
        <f t="shared" si="10"/>
        <v>271890.5904</v>
      </c>
      <c r="BL9" s="487">
        <f t="shared" ref="BL9:BU9" si="26">X9*$AY9</f>
        <v>48490.0416</v>
      </c>
      <c r="BM9" s="487">
        <f t="shared" si="26"/>
        <v>34635.744</v>
      </c>
      <c r="BN9" s="487">
        <f t="shared" si="26"/>
        <v>48490.0416</v>
      </c>
      <c r="BO9" s="487">
        <f t="shared" si="26"/>
        <v>17317.872</v>
      </c>
      <c r="BP9" s="487">
        <f t="shared" si="26"/>
        <v>24245.0208</v>
      </c>
      <c r="BQ9" s="487">
        <f t="shared" si="26"/>
        <v>38099.3184</v>
      </c>
      <c r="BR9" s="487">
        <f t="shared" si="26"/>
        <v>48490.0416</v>
      </c>
      <c r="BS9" s="487">
        <f t="shared" si="26"/>
        <v>48490.0416</v>
      </c>
      <c r="BT9" s="487">
        <f t="shared" si="26"/>
        <v>13854.2976</v>
      </c>
      <c r="BU9" s="487">
        <f t="shared" si="26"/>
        <v>41562.8928</v>
      </c>
      <c r="BV9" s="488">
        <f t="shared" si="12"/>
        <v>363675.312</v>
      </c>
      <c r="BW9" s="487">
        <f t="shared" ref="BW9:CF9" si="27">AJ9*$AY9</f>
        <v>48490.0416</v>
      </c>
      <c r="BX9" s="487">
        <f t="shared" si="27"/>
        <v>34635.744</v>
      </c>
      <c r="BY9" s="487">
        <f t="shared" si="27"/>
        <v>48490.0416</v>
      </c>
      <c r="BZ9" s="487">
        <f t="shared" si="27"/>
        <v>17317.872</v>
      </c>
      <c r="CA9" s="487">
        <f t="shared" si="27"/>
        <v>24245.0208</v>
      </c>
      <c r="CB9" s="487">
        <f t="shared" si="27"/>
        <v>38099.3184</v>
      </c>
      <c r="CC9" s="487">
        <f t="shared" si="27"/>
        <v>48490.0416</v>
      </c>
      <c r="CD9" s="487">
        <f t="shared" si="27"/>
        <v>48490.0416</v>
      </c>
      <c r="CE9" s="487">
        <f t="shared" si="27"/>
        <v>13854.2976</v>
      </c>
      <c r="CF9" s="487">
        <f t="shared" si="27"/>
        <v>41562.8928</v>
      </c>
      <c r="CG9" s="488">
        <f t="shared" si="14"/>
        <v>363675.312</v>
      </c>
      <c r="CH9" s="488">
        <f t="shared" si="15"/>
        <v>999241.2144</v>
      </c>
      <c r="CI9" s="489"/>
      <c r="CJ9" s="487"/>
      <c r="CK9" s="472">
        <v>1.0</v>
      </c>
      <c r="CL9" s="104">
        <f>VLOOKUP(I9,Cotizacion!$A$2:$E$423,4,FALSE())</f>
        <v>124.41</v>
      </c>
    </row>
    <row r="10">
      <c r="A10" s="453" t="s">
        <v>2848</v>
      </c>
      <c r="B10" s="454">
        <v>2.0</v>
      </c>
      <c r="C10" s="455" t="s">
        <v>2808</v>
      </c>
      <c r="D10" s="456" t="s">
        <v>118</v>
      </c>
      <c r="E10" s="455" t="s">
        <v>2708</v>
      </c>
      <c r="F10" s="455" t="s">
        <v>1763</v>
      </c>
      <c r="G10" s="457" t="s">
        <v>2709</v>
      </c>
      <c r="H10" s="457" t="s">
        <v>2850</v>
      </c>
      <c r="I10" s="458" t="s">
        <v>2447</v>
      </c>
      <c r="J10" s="459" t="s">
        <v>93</v>
      </c>
      <c r="K10" s="460" t="s">
        <v>25</v>
      </c>
      <c r="L10" s="461">
        <v>0.0</v>
      </c>
      <c r="M10" s="461">
        <v>0.0</v>
      </c>
      <c r="N10" s="461">
        <v>0.0</v>
      </c>
      <c r="O10" s="461">
        <v>0.0</v>
      </c>
      <c r="P10" s="461">
        <v>0.0</v>
      </c>
      <c r="Q10" s="461">
        <v>0.0</v>
      </c>
      <c r="R10" s="461">
        <v>0.0</v>
      </c>
      <c r="S10" s="461">
        <v>0.0</v>
      </c>
      <c r="T10" s="461">
        <v>0.0</v>
      </c>
      <c r="U10" s="461">
        <v>0.0</v>
      </c>
      <c r="V10" s="461">
        <v>0.0</v>
      </c>
      <c r="W10" s="463">
        <f t="shared" si="4"/>
        <v>0</v>
      </c>
      <c r="X10" s="461">
        <v>20.0</v>
      </c>
      <c r="Y10" s="461">
        <v>8.0</v>
      </c>
      <c r="Z10" s="461">
        <v>24.0</v>
      </c>
      <c r="AA10" s="461">
        <v>16.0</v>
      </c>
      <c r="AB10" s="461">
        <v>24.0</v>
      </c>
      <c r="AC10" s="461">
        <v>16.0</v>
      </c>
      <c r="AD10" s="461">
        <v>12.0</v>
      </c>
      <c r="AE10" s="461">
        <v>12.0</v>
      </c>
      <c r="AF10" s="461">
        <v>4.0</v>
      </c>
      <c r="AG10" s="461">
        <v>9.0</v>
      </c>
      <c r="AH10" s="461">
        <v>0.0</v>
      </c>
      <c r="AI10" s="464">
        <f t="shared" si="5"/>
        <v>145</v>
      </c>
      <c r="AJ10" s="461">
        <v>20.0</v>
      </c>
      <c r="AK10" s="461">
        <v>8.0</v>
      </c>
      <c r="AL10" s="461">
        <v>24.0</v>
      </c>
      <c r="AM10" s="461">
        <v>16.0</v>
      </c>
      <c r="AN10" s="461">
        <v>24.0</v>
      </c>
      <c r="AO10" s="461">
        <v>16.0</v>
      </c>
      <c r="AP10" s="461">
        <v>12.0</v>
      </c>
      <c r="AQ10" s="461">
        <v>12.0</v>
      </c>
      <c r="AR10" s="461">
        <v>4.0</v>
      </c>
      <c r="AS10" s="490">
        <v>12.0</v>
      </c>
      <c r="AT10" s="461">
        <v>0.0</v>
      </c>
      <c r="AU10" s="463">
        <f t="shared" si="6"/>
        <v>148</v>
      </c>
      <c r="AV10" s="465">
        <f t="shared" si="7"/>
        <v>293</v>
      </c>
      <c r="AW10" s="466"/>
      <c r="AX10" s="467">
        <v>409.98</v>
      </c>
      <c r="AY10" s="467">
        <f t="shared" si="8"/>
        <v>2853.4608</v>
      </c>
      <c r="AZ10" s="468"/>
      <c r="BA10" s="469">
        <f t="shared" ref="BA10:BJ10" si="28">L10*$AY10</f>
        <v>0</v>
      </c>
      <c r="BB10" s="469">
        <f t="shared" si="28"/>
        <v>0</v>
      </c>
      <c r="BC10" s="469">
        <f t="shared" si="28"/>
        <v>0</v>
      </c>
      <c r="BD10" s="469">
        <f t="shared" si="28"/>
        <v>0</v>
      </c>
      <c r="BE10" s="469">
        <f t="shared" si="28"/>
        <v>0</v>
      </c>
      <c r="BF10" s="469">
        <f t="shared" si="28"/>
        <v>0</v>
      </c>
      <c r="BG10" s="469">
        <f t="shared" si="28"/>
        <v>0</v>
      </c>
      <c r="BH10" s="469">
        <f t="shared" si="28"/>
        <v>0</v>
      </c>
      <c r="BI10" s="469">
        <f t="shared" si="28"/>
        <v>0</v>
      </c>
      <c r="BJ10" s="469">
        <f t="shared" si="28"/>
        <v>0</v>
      </c>
      <c r="BK10" s="470">
        <f t="shared" si="10"/>
        <v>0</v>
      </c>
      <c r="BL10" s="469">
        <f t="shared" ref="BL10:BU10" si="29">X10*$AY10</f>
        <v>57069.216</v>
      </c>
      <c r="BM10" s="469">
        <f t="shared" si="29"/>
        <v>22827.6864</v>
      </c>
      <c r="BN10" s="469">
        <f t="shared" si="29"/>
        <v>68483.0592</v>
      </c>
      <c r="BO10" s="469">
        <f t="shared" si="29"/>
        <v>45655.3728</v>
      </c>
      <c r="BP10" s="469">
        <f t="shared" si="29"/>
        <v>68483.0592</v>
      </c>
      <c r="BQ10" s="469">
        <f t="shared" si="29"/>
        <v>45655.3728</v>
      </c>
      <c r="BR10" s="469">
        <f t="shared" si="29"/>
        <v>34241.5296</v>
      </c>
      <c r="BS10" s="469">
        <f t="shared" si="29"/>
        <v>34241.5296</v>
      </c>
      <c r="BT10" s="469">
        <f t="shared" si="29"/>
        <v>11413.8432</v>
      </c>
      <c r="BU10" s="469">
        <f t="shared" si="29"/>
        <v>25681.1472</v>
      </c>
      <c r="BV10" s="470">
        <f t="shared" si="12"/>
        <v>413751.816</v>
      </c>
      <c r="BW10" s="469">
        <f t="shared" ref="BW10:CF10" si="30">AJ10*$AY10</f>
        <v>57069.216</v>
      </c>
      <c r="BX10" s="469">
        <f t="shared" si="30"/>
        <v>22827.6864</v>
      </c>
      <c r="BY10" s="469">
        <f t="shared" si="30"/>
        <v>68483.0592</v>
      </c>
      <c r="BZ10" s="469">
        <f t="shared" si="30"/>
        <v>45655.3728</v>
      </c>
      <c r="CA10" s="469">
        <f t="shared" si="30"/>
        <v>68483.0592</v>
      </c>
      <c r="CB10" s="469">
        <f t="shared" si="30"/>
        <v>45655.3728</v>
      </c>
      <c r="CC10" s="469">
        <f t="shared" si="30"/>
        <v>34241.5296</v>
      </c>
      <c r="CD10" s="469">
        <f t="shared" si="30"/>
        <v>34241.5296</v>
      </c>
      <c r="CE10" s="469">
        <f t="shared" si="30"/>
        <v>11413.8432</v>
      </c>
      <c r="CF10" s="469">
        <f t="shared" si="30"/>
        <v>34241.5296</v>
      </c>
      <c r="CG10" s="470">
        <f t="shared" si="14"/>
        <v>422312.1984</v>
      </c>
      <c r="CH10" s="470">
        <f t="shared" si="15"/>
        <v>836064.0144</v>
      </c>
      <c r="CI10" s="471"/>
      <c r="CJ10" s="469"/>
      <c r="CK10" s="472">
        <v>1.0</v>
      </c>
      <c r="CL10" s="104">
        <f>VLOOKUP(I10,Cotizacion!$A$2:$E$423,4,FALSE())</f>
        <v>409.98</v>
      </c>
    </row>
    <row r="11">
      <c r="A11" s="474" t="s">
        <v>2848</v>
      </c>
      <c r="B11" s="475">
        <v>2.0</v>
      </c>
      <c r="C11" s="476" t="s">
        <v>2808</v>
      </c>
      <c r="D11" s="477" t="s">
        <v>118</v>
      </c>
      <c r="E11" s="476" t="s">
        <v>2708</v>
      </c>
      <c r="F11" s="476" t="s">
        <v>1763</v>
      </c>
      <c r="G11" s="457" t="s">
        <v>2709</v>
      </c>
      <c r="H11" s="457" t="s">
        <v>2759</v>
      </c>
      <c r="I11" s="478" t="s">
        <v>2145</v>
      </c>
      <c r="J11" s="479" t="s">
        <v>37</v>
      </c>
      <c r="K11" s="480" t="s">
        <v>25</v>
      </c>
      <c r="L11" s="481">
        <v>0.0</v>
      </c>
      <c r="M11" s="481">
        <v>0.0</v>
      </c>
      <c r="N11" s="481">
        <v>0.0</v>
      </c>
      <c r="O11" s="482">
        <v>64.0</v>
      </c>
      <c r="P11" s="481">
        <v>0.0</v>
      </c>
      <c r="Q11" s="482">
        <v>191.0</v>
      </c>
      <c r="R11" s="481">
        <v>0.0</v>
      </c>
      <c r="S11" s="481">
        <v>0.0</v>
      </c>
      <c r="T11" s="481">
        <v>0.0</v>
      </c>
      <c r="U11" s="481">
        <v>0.0</v>
      </c>
      <c r="V11" s="481">
        <v>0.0</v>
      </c>
      <c r="W11" s="463">
        <f t="shared" si="4"/>
        <v>255</v>
      </c>
      <c r="X11" s="481">
        <v>48.0</v>
      </c>
      <c r="Y11" s="481">
        <v>48.0</v>
      </c>
      <c r="Z11" s="481">
        <v>72.0</v>
      </c>
      <c r="AA11" s="481">
        <v>64.0</v>
      </c>
      <c r="AB11" s="481">
        <v>100.0</v>
      </c>
      <c r="AC11" s="481">
        <v>200.0</v>
      </c>
      <c r="AD11" s="481">
        <v>100.0</v>
      </c>
      <c r="AE11" s="481">
        <v>120.0</v>
      </c>
      <c r="AF11" s="481">
        <v>32.0</v>
      </c>
      <c r="AG11" s="492">
        <v>0.0</v>
      </c>
      <c r="AH11" s="481">
        <v>0.0</v>
      </c>
      <c r="AI11" s="464">
        <f t="shared" si="5"/>
        <v>784</v>
      </c>
      <c r="AJ11" s="481">
        <v>48.0</v>
      </c>
      <c r="AK11" s="481">
        <v>48.0</v>
      </c>
      <c r="AL11" s="481">
        <v>72.0</v>
      </c>
      <c r="AM11" s="481">
        <v>64.0</v>
      </c>
      <c r="AN11" s="481">
        <v>100.0</v>
      </c>
      <c r="AO11" s="481">
        <v>200.0</v>
      </c>
      <c r="AP11" s="481">
        <v>100.0</v>
      </c>
      <c r="AQ11" s="481">
        <v>120.0</v>
      </c>
      <c r="AR11" s="481">
        <v>32.0</v>
      </c>
      <c r="AS11" s="492">
        <v>0.0</v>
      </c>
      <c r="AT11" s="481">
        <v>0.0</v>
      </c>
      <c r="AU11" s="463">
        <f t="shared" si="6"/>
        <v>784</v>
      </c>
      <c r="AV11" s="483">
        <f t="shared" si="7"/>
        <v>1823</v>
      </c>
      <c r="AW11" s="484"/>
      <c r="AX11" s="485">
        <v>62.07</v>
      </c>
      <c r="AY11" s="485">
        <f t="shared" si="8"/>
        <v>432.0072</v>
      </c>
      <c r="AZ11" s="486"/>
      <c r="BA11" s="487">
        <f t="shared" ref="BA11:BJ11" si="31">L11*$AY11</f>
        <v>0</v>
      </c>
      <c r="BB11" s="487">
        <f t="shared" si="31"/>
        <v>0</v>
      </c>
      <c r="BC11" s="487">
        <f t="shared" si="31"/>
        <v>0</v>
      </c>
      <c r="BD11" s="487">
        <f t="shared" si="31"/>
        <v>27648.4608</v>
      </c>
      <c r="BE11" s="487">
        <f t="shared" si="31"/>
        <v>0</v>
      </c>
      <c r="BF11" s="487">
        <f t="shared" si="31"/>
        <v>82513.3752</v>
      </c>
      <c r="BG11" s="487">
        <f t="shared" si="31"/>
        <v>0</v>
      </c>
      <c r="BH11" s="487">
        <f t="shared" si="31"/>
        <v>0</v>
      </c>
      <c r="BI11" s="487">
        <f t="shared" si="31"/>
        <v>0</v>
      </c>
      <c r="BJ11" s="487">
        <f t="shared" si="31"/>
        <v>0</v>
      </c>
      <c r="BK11" s="488">
        <f t="shared" si="10"/>
        <v>110161.836</v>
      </c>
      <c r="BL11" s="487">
        <f t="shared" ref="BL11:BU11" si="32">X11*$AY11</f>
        <v>20736.3456</v>
      </c>
      <c r="BM11" s="487">
        <f t="shared" si="32"/>
        <v>20736.3456</v>
      </c>
      <c r="BN11" s="487">
        <f t="shared" si="32"/>
        <v>31104.5184</v>
      </c>
      <c r="BO11" s="487">
        <f t="shared" si="32"/>
        <v>27648.4608</v>
      </c>
      <c r="BP11" s="487">
        <f t="shared" si="32"/>
        <v>43200.72</v>
      </c>
      <c r="BQ11" s="487">
        <f t="shared" si="32"/>
        <v>86401.44</v>
      </c>
      <c r="BR11" s="487">
        <f t="shared" si="32"/>
        <v>43200.72</v>
      </c>
      <c r="BS11" s="487">
        <f t="shared" si="32"/>
        <v>51840.864</v>
      </c>
      <c r="BT11" s="487">
        <f t="shared" si="32"/>
        <v>13824.2304</v>
      </c>
      <c r="BU11" s="487">
        <f t="shared" si="32"/>
        <v>0</v>
      </c>
      <c r="BV11" s="488">
        <f t="shared" si="12"/>
        <v>338693.6448</v>
      </c>
      <c r="BW11" s="487">
        <f t="shared" ref="BW11:CF11" si="33">AJ11*$AY11</f>
        <v>20736.3456</v>
      </c>
      <c r="BX11" s="487">
        <f t="shared" si="33"/>
        <v>20736.3456</v>
      </c>
      <c r="BY11" s="487">
        <f t="shared" si="33"/>
        <v>31104.5184</v>
      </c>
      <c r="BZ11" s="487">
        <f t="shared" si="33"/>
        <v>27648.4608</v>
      </c>
      <c r="CA11" s="487">
        <f t="shared" si="33"/>
        <v>43200.72</v>
      </c>
      <c r="CB11" s="487">
        <f t="shared" si="33"/>
        <v>86401.44</v>
      </c>
      <c r="CC11" s="487">
        <f t="shared" si="33"/>
        <v>43200.72</v>
      </c>
      <c r="CD11" s="487">
        <f t="shared" si="33"/>
        <v>51840.864</v>
      </c>
      <c r="CE11" s="487">
        <f t="shared" si="33"/>
        <v>13824.2304</v>
      </c>
      <c r="CF11" s="487">
        <f t="shared" si="33"/>
        <v>0</v>
      </c>
      <c r="CG11" s="488">
        <f t="shared" si="14"/>
        <v>338693.6448</v>
      </c>
      <c r="CH11" s="488">
        <f t="shared" si="15"/>
        <v>787549.1256</v>
      </c>
      <c r="CI11" s="489"/>
      <c r="CJ11" s="487"/>
      <c r="CK11" s="472">
        <v>1.0</v>
      </c>
      <c r="CL11" s="104">
        <f>VLOOKUP(I11,Cotizacion!$A$2:$E$423,4,FALSE())</f>
        <v>62.07</v>
      </c>
    </row>
    <row r="12">
      <c r="A12" s="453"/>
      <c r="B12" s="454"/>
      <c r="C12" s="455"/>
      <c r="D12" s="456"/>
      <c r="E12" s="455"/>
      <c r="F12" s="455"/>
      <c r="G12" s="457"/>
      <c r="H12" s="457"/>
      <c r="I12" s="495"/>
      <c r="J12" s="456"/>
      <c r="K12" s="460"/>
      <c r="L12" s="461"/>
      <c r="M12" s="461"/>
      <c r="N12" s="461"/>
      <c r="O12" s="461"/>
      <c r="P12" s="461"/>
      <c r="Q12" s="461"/>
      <c r="R12" s="462"/>
      <c r="S12" s="490"/>
      <c r="T12" s="462"/>
      <c r="U12" s="461"/>
      <c r="V12" s="461"/>
      <c r="W12" s="496"/>
      <c r="X12" s="461"/>
      <c r="Y12" s="461"/>
      <c r="Z12" s="461"/>
      <c r="AA12" s="461"/>
      <c r="AB12" s="461"/>
      <c r="AC12" s="461"/>
      <c r="AD12" s="462"/>
      <c r="AE12" s="490"/>
      <c r="AF12" s="461"/>
      <c r="AG12" s="461"/>
      <c r="AH12" s="461"/>
      <c r="AI12" s="496"/>
      <c r="AJ12" s="461"/>
      <c r="AK12" s="461"/>
      <c r="AL12" s="461"/>
      <c r="AM12" s="461"/>
      <c r="AN12" s="461"/>
      <c r="AO12" s="461"/>
      <c r="AP12" s="462"/>
      <c r="AQ12" s="490"/>
      <c r="AR12" s="461"/>
      <c r="AS12" s="461"/>
      <c r="AT12" s="461"/>
      <c r="AU12" s="496"/>
      <c r="AV12" s="467"/>
      <c r="AW12" s="466"/>
      <c r="AX12" s="497"/>
      <c r="AY12" s="467"/>
      <c r="AZ12" s="468"/>
      <c r="BA12" s="469"/>
      <c r="BB12" s="469"/>
      <c r="BC12" s="469"/>
      <c r="BD12" s="469"/>
      <c r="BE12" s="469"/>
      <c r="BF12" s="469"/>
      <c r="BG12" s="469"/>
      <c r="BH12" s="469"/>
      <c r="BI12" s="469"/>
      <c r="BJ12" s="469"/>
      <c r="BK12" s="470"/>
      <c r="BL12" s="469"/>
      <c r="BM12" s="469"/>
      <c r="BN12" s="469"/>
      <c r="BO12" s="469"/>
      <c r="BP12" s="469"/>
      <c r="BQ12" s="469"/>
      <c r="BR12" s="469"/>
      <c r="BS12" s="469"/>
      <c r="BT12" s="469"/>
      <c r="BU12" s="469"/>
      <c r="BV12" s="470"/>
      <c r="BW12" s="469"/>
      <c r="BX12" s="469"/>
      <c r="BY12" s="469"/>
      <c r="BZ12" s="469"/>
      <c r="CA12" s="469"/>
      <c r="CB12" s="469"/>
      <c r="CC12" s="469"/>
      <c r="CD12" s="469"/>
      <c r="CE12" s="469"/>
      <c r="CF12" s="469"/>
      <c r="CG12" s="470"/>
      <c r="CH12" s="470"/>
      <c r="CI12" s="498"/>
      <c r="CJ12" s="499"/>
      <c r="CK12" s="472"/>
    </row>
    <row r="13" ht="30.0" customHeight="1">
      <c r="A13" s="474" t="s">
        <v>2848</v>
      </c>
      <c r="B13" s="475">
        <v>2.0</v>
      </c>
      <c r="C13" s="476" t="s">
        <v>2707</v>
      </c>
      <c r="D13" s="477" t="s">
        <v>150</v>
      </c>
      <c r="E13" s="476" t="s">
        <v>2722</v>
      </c>
      <c r="F13" s="476" t="s">
        <v>1763</v>
      </c>
      <c r="G13" s="457" t="s">
        <v>2723</v>
      </c>
      <c r="H13" s="457" t="s">
        <v>2851</v>
      </c>
      <c r="I13" s="478" t="s">
        <v>2367</v>
      </c>
      <c r="J13" s="479" t="s">
        <v>126</v>
      </c>
      <c r="K13" s="480" t="s">
        <v>25</v>
      </c>
      <c r="L13" s="481">
        <v>4.0</v>
      </c>
      <c r="M13" s="481">
        <v>1.0</v>
      </c>
      <c r="N13" s="500">
        <v>6.0</v>
      </c>
      <c r="O13" s="481">
        <v>2.0</v>
      </c>
      <c r="P13" s="481">
        <v>2.0</v>
      </c>
      <c r="Q13" s="481">
        <v>2.0</v>
      </c>
      <c r="R13" s="481">
        <v>2.0</v>
      </c>
      <c r="S13" s="481">
        <v>2.0</v>
      </c>
      <c r="T13" s="481">
        <v>2.0</v>
      </c>
      <c r="U13" s="481">
        <v>2.0</v>
      </c>
      <c r="V13" s="481">
        <v>0.0</v>
      </c>
      <c r="W13" s="463">
        <f t="shared" ref="W13:W16" si="37">SUM(L13:V13)</f>
        <v>25</v>
      </c>
      <c r="X13" s="481">
        <v>3.0</v>
      </c>
      <c r="Y13" s="481">
        <v>1.0</v>
      </c>
      <c r="Z13" s="481">
        <v>3.0</v>
      </c>
      <c r="AA13" s="481">
        <v>2.0</v>
      </c>
      <c r="AB13" s="481">
        <v>2.0</v>
      </c>
      <c r="AC13" s="481">
        <v>2.0</v>
      </c>
      <c r="AD13" s="481">
        <v>2.0</v>
      </c>
      <c r="AE13" s="481">
        <v>2.0</v>
      </c>
      <c r="AF13" s="481">
        <v>2.0</v>
      </c>
      <c r="AG13" s="481">
        <v>2.0</v>
      </c>
      <c r="AH13" s="481">
        <v>0.0</v>
      </c>
      <c r="AI13" s="464">
        <f t="shared" ref="AI13:AI16" si="38">SUM(X13:AH13)</f>
        <v>21</v>
      </c>
      <c r="AJ13" s="481">
        <v>3.0</v>
      </c>
      <c r="AK13" s="481">
        <v>1.0</v>
      </c>
      <c r="AL13" s="481">
        <v>3.0</v>
      </c>
      <c r="AM13" s="481">
        <v>2.0</v>
      </c>
      <c r="AN13" s="481">
        <v>2.0</v>
      </c>
      <c r="AO13" s="481">
        <v>2.0</v>
      </c>
      <c r="AP13" s="481">
        <v>2.0</v>
      </c>
      <c r="AQ13" s="481">
        <v>2.0</v>
      </c>
      <c r="AR13" s="481">
        <v>2.0</v>
      </c>
      <c r="AS13" s="481">
        <v>2.0</v>
      </c>
      <c r="AT13" s="481">
        <v>0.0</v>
      </c>
      <c r="AU13" s="463">
        <f t="shared" ref="AU13:AU16" si="39">ROUNDUP( SUM(AJ13:AT13))</f>
        <v>21</v>
      </c>
      <c r="AV13" s="483">
        <f t="shared" ref="AV13:AV16" si="40">W13+AI13+AU13</f>
        <v>67</v>
      </c>
      <c r="AW13" s="484"/>
      <c r="AX13" s="485">
        <v>1233.52</v>
      </c>
      <c r="AY13" s="485">
        <f t="shared" ref="AY13:AY16" si="41">AX13*$AY$1</f>
        <v>8585.2992</v>
      </c>
      <c r="AZ13" s="486"/>
      <c r="BA13" s="487">
        <f t="shared" ref="BA13:BJ13" si="34">L13*$AY13</f>
        <v>34341.1968</v>
      </c>
      <c r="BB13" s="487">
        <f t="shared" si="34"/>
        <v>8585.2992</v>
      </c>
      <c r="BC13" s="487">
        <f t="shared" si="34"/>
        <v>51511.7952</v>
      </c>
      <c r="BD13" s="487">
        <f t="shared" si="34"/>
        <v>17170.5984</v>
      </c>
      <c r="BE13" s="487">
        <f t="shared" si="34"/>
        <v>17170.5984</v>
      </c>
      <c r="BF13" s="487">
        <f t="shared" si="34"/>
        <v>17170.5984</v>
      </c>
      <c r="BG13" s="487">
        <f t="shared" si="34"/>
        <v>17170.5984</v>
      </c>
      <c r="BH13" s="487">
        <f t="shared" si="34"/>
        <v>17170.5984</v>
      </c>
      <c r="BI13" s="487">
        <f t="shared" si="34"/>
        <v>17170.5984</v>
      </c>
      <c r="BJ13" s="487">
        <f t="shared" si="34"/>
        <v>17170.5984</v>
      </c>
      <c r="BK13" s="488">
        <f t="shared" ref="BK13:BK16" si="43">AY13*W13</f>
        <v>214632.48</v>
      </c>
      <c r="BL13" s="487">
        <f t="shared" ref="BL13:BU13" si="35">X13*$AY13</f>
        <v>25755.8976</v>
      </c>
      <c r="BM13" s="487">
        <f t="shared" si="35"/>
        <v>8585.2992</v>
      </c>
      <c r="BN13" s="487">
        <f t="shared" si="35"/>
        <v>25755.8976</v>
      </c>
      <c r="BO13" s="487">
        <f t="shared" si="35"/>
        <v>17170.5984</v>
      </c>
      <c r="BP13" s="487">
        <f t="shared" si="35"/>
        <v>17170.5984</v>
      </c>
      <c r="BQ13" s="487">
        <f t="shared" si="35"/>
        <v>17170.5984</v>
      </c>
      <c r="BR13" s="487">
        <f t="shared" si="35"/>
        <v>17170.5984</v>
      </c>
      <c r="BS13" s="487">
        <f t="shared" si="35"/>
        <v>17170.5984</v>
      </c>
      <c r="BT13" s="487">
        <f t="shared" si="35"/>
        <v>17170.5984</v>
      </c>
      <c r="BU13" s="487">
        <f t="shared" si="35"/>
        <v>17170.5984</v>
      </c>
      <c r="BV13" s="488">
        <f t="shared" ref="BV13:BV16" si="45">AY13*AI13</f>
        <v>180291.2832</v>
      </c>
      <c r="BW13" s="487">
        <f t="shared" ref="BW13:CF13" si="36">AJ13*$AY13</f>
        <v>25755.8976</v>
      </c>
      <c r="BX13" s="487">
        <f t="shared" si="36"/>
        <v>8585.2992</v>
      </c>
      <c r="BY13" s="487">
        <f t="shared" si="36"/>
        <v>25755.8976</v>
      </c>
      <c r="BZ13" s="487">
        <f t="shared" si="36"/>
        <v>17170.5984</v>
      </c>
      <c r="CA13" s="487">
        <f t="shared" si="36"/>
        <v>17170.5984</v>
      </c>
      <c r="CB13" s="487">
        <f t="shared" si="36"/>
        <v>17170.5984</v>
      </c>
      <c r="CC13" s="487">
        <f t="shared" si="36"/>
        <v>17170.5984</v>
      </c>
      <c r="CD13" s="487">
        <f t="shared" si="36"/>
        <v>17170.5984</v>
      </c>
      <c r="CE13" s="487">
        <f t="shared" si="36"/>
        <v>17170.5984</v>
      </c>
      <c r="CF13" s="487">
        <f t="shared" si="36"/>
        <v>17170.5984</v>
      </c>
      <c r="CG13" s="488">
        <f t="shared" ref="CG13:CG16" si="47">AY13*AU13</f>
        <v>180291.2832</v>
      </c>
      <c r="CH13" s="488">
        <f t="shared" ref="CH13:CH16" si="48">BK13+BV13+CG13</f>
        <v>575215.0464</v>
      </c>
      <c r="CI13" s="489"/>
      <c r="CJ13" s="487"/>
      <c r="CK13" s="472">
        <v>1.0</v>
      </c>
      <c r="CL13" s="104">
        <f>VLOOKUP(I13,Cotizacion!$A$2:$E$423,4,FALSE())</f>
        <v>1233.52</v>
      </c>
    </row>
    <row r="14">
      <c r="A14" s="453" t="s">
        <v>2848</v>
      </c>
      <c r="B14" s="454">
        <v>2.0</v>
      </c>
      <c r="C14" s="455" t="s">
        <v>2707</v>
      </c>
      <c r="D14" s="456" t="s">
        <v>56</v>
      </c>
      <c r="E14" s="455" t="s">
        <v>2708</v>
      </c>
      <c r="F14" s="455" t="s">
        <v>1763</v>
      </c>
      <c r="G14" s="457" t="s">
        <v>2709</v>
      </c>
      <c r="H14" s="457" t="s">
        <v>2760</v>
      </c>
      <c r="I14" s="458" t="s">
        <v>2146</v>
      </c>
      <c r="J14" s="459" t="s">
        <v>130</v>
      </c>
      <c r="K14" s="460" t="s">
        <v>25</v>
      </c>
      <c r="L14" s="461">
        <v>40.0</v>
      </c>
      <c r="M14" s="461">
        <v>30.0</v>
      </c>
      <c r="N14" s="461">
        <v>40.0</v>
      </c>
      <c r="O14" s="461">
        <v>31.0</v>
      </c>
      <c r="P14" s="461">
        <v>40.0</v>
      </c>
      <c r="Q14" s="461">
        <v>56.0</v>
      </c>
      <c r="R14" s="461">
        <v>42.0</v>
      </c>
      <c r="S14" s="461">
        <v>50.0</v>
      </c>
      <c r="T14" s="461">
        <v>6.0</v>
      </c>
      <c r="U14" s="490">
        <v>0.0</v>
      </c>
      <c r="V14" s="461">
        <v>0.0</v>
      </c>
      <c r="W14" s="463">
        <f t="shared" si="37"/>
        <v>335</v>
      </c>
      <c r="X14" s="461">
        <v>120.0</v>
      </c>
      <c r="Y14" s="461">
        <v>90.0</v>
      </c>
      <c r="Z14" s="461">
        <v>120.0</v>
      </c>
      <c r="AA14" s="461">
        <v>100.0</v>
      </c>
      <c r="AB14" s="461">
        <v>120.0</v>
      </c>
      <c r="AC14" s="461">
        <v>170.0</v>
      </c>
      <c r="AD14" s="461">
        <v>126.0</v>
      </c>
      <c r="AE14" s="461">
        <v>152.0</v>
      </c>
      <c r="AF14" s="461">
        <v>20.0</v>
      </c>
      <c r="AG14" s="461">
        <v>130.0</v>
      </c>
      <c r="AH14" s="461">
        <v>0.0</v>
      </c>
      <c r="AI14" s="464">
        <f t="shared" si="38"/>
        <v>1148</v>
      </c>
      <c r="AJ14" s="461">
        <v>120.0</v>
      </c>
      <c r="AK14" s="461">
        <v>90.0</v>
      </c>
      <c r="AL14" s="461">
        <v>120.0</v>
      </c>
      <c r="AM14" s="461">
        <v>100.0</v>
      </c>
      <c r="AN14" s="461">
        <v>120.0</v>
      </c>
      <c r="AO14" s="461">
        <v>170.0</v>
      </c>
      <c r="AP14" s="461">
        <v>126.0</v>
      </c>
      <c r="AQ14" s="461">
        <v>152.0</v>
      </c>
      <c r="AR14" s="461">
        <v>20.0</v>
      </c>
      <c r="AS14" s="461">
        <v>130.0</v>
      </c>
      <c r="AT14" s="461">
        <v>0.0</v>
      </c>
      <c r="AU14" s="463">
        <f t="shared" si="39"/>
        <v>1148</v>
      </c>
      <c r="AV14" s="465">
        <f t="shared" si="40"/>
        <v>2631</v>
      </c>
      <c r="AW14" s="466"/>
      <c r="AX14" s="467">
        <v>28.61</v>
      </c>
      <c r="AY14" s="467">
        <f t="shared" si="41"/>
        <v>199.1256</v>
      </c>
      <c r="AZ14" s="468"/>
      <c r="BA14" s="469">
        <f t="shared" ref="BA14:BJ14" si="42">L14*$AY14</f>
        <v>7965.024</v>
      </c>
      <c r="BB14" s="469">
        <f t="shared" si="42"/>
        <v>5973.768</v>
      </c>
      <c r="BC14" s="469">
        <f t="shared" si="42"/>
        <v>7965.024</v>
      </c>
      <c r="BD14" s="469">
        <f t="shared" si="42"/>
        <v>6172.8936</v>
      </c>
      <c r="BE14" s="469">
        <f t="shared" si="42"/>
        <v>7965.024</v>
      </c>
      <c r="BF14" s="469">
        <f t="shared" si="42"/>
        <v>11151.0336</v>
      </c>
      <c r="BG14" s="469">
        <f t="shared" si="42"/>
        <v>8363.2752</v>
      </c>
      <c r="BH14" s="469">
        <f t="shared" si="42"/>
        <v>9956.28</v>
      </c>
      <c r="BI14" s="469">
        <f t="shared" si="42"/>
        <v>1194.7536</v>
      </c>
      <c r="BJ14" s="469">
        <f t="shared" si="42"/>
        <v>0</v>
      </c>
      <c r="BK14" s="470">
        <f t="shared" si="43"/>
        <v>66707.076</v>
      </c>
      <c r="BL14" s="469">
        <f t="shared" ref="BL14:BU14" si="44">X14*$AY14</f>
        <v>23895.072</v>
      </c>
      <c r="BM14" s="469">
        <f t="shared" si="44"/>
        <v>17921.304</v>
      </c>
      <c r="BN14" s="469">
        <f t="shared" si="44"/>
        <v>23895.072</v>
      </c>
      <c r="BO14" s="469">
        <f t="shared" si="44"/>
        <v>19912.56</v>
      </c>
      <c r="BP14" s="469">
        <f t="shared" si="44"/>
        <v>23895.072</v>
      </c>
      <c r="BQ14" s="469">
        <f t="shared" si="44"/>
        <v>33851.352</v>
      </c>
      <c r="BR14" s="469">
        <f t="shared" si="44"/>
        <v>25089.8256</v>
      </c>
      <c r="BS14" s="469">
        <f t="shared" si="44"/>
        <v>30267.0912</v>
      </c>
      <c r="BT14" s="469">
        <f t="shared" si="44"/>
        <v>3982.512</v>
      </c>
      <c r="BU14" s="469">
        <f t="shared" si="44"/>
        <v>25886.328</v>
      </c>
      <c r="BV14" s="470">
        <f t="shared" si="45"/>
        <v>228596.1888</v>
      </c>
      <c r="BW14" s="469">
        <f t="shared" ref="BW14:CF14" si="46">AJ14*$AY14</f>
        <v>23895.072</v>
      </c>
      <c r="BX14" s="469">
        <f t="shared" si="46"/>
        <v>17921.304</v>
      </c>
      <c r="BY14" s="469">
        <f t="shared" si="46"/>
        <v>23895.072</v>
      </c>
      <c r="BZ14" s="469">
        <f t="shared" si="46"/>
        <v>19912.56</v>
      </c>
      <c r="CA14" s="469">
        <f t="shared" si="46"/>
        <v>23895.072</v>
      </c>
      <c r="CB14" s="469">
        <f t="shared" si="46"/>
        <v>33851.352</v>
      </c>
      <c r="CC14" s="469">
        <f t="shared" si="46"/>
        <v>25089.8256</v>
      </c>
      <c r="CD14" s="469">
        <f t="shared" si="46"/>
        <v>30267.0912</v>
      </c>
      <c r="CE14" s="469">
        <f t="shared" si="46"/>
        <v>3982.512</v>
      </c>
      <c r="CF14" s="469">
        <f t="shared" si="46"/>
        <v>25886.328</v>
      </c>
      <c r="CG14" s="470">
        <f t="shared" si="47"/>
        <v>228596.1888</v>
      </c>
      <c r="CH14" s="470">
        <f t="shared" si="48"/>
        <v>523899.4536</v>
      </c>
      <c r="CI14" s="471"/>
      <c r="CJ14" s="469"/>
      <c r="CK14" s="472">
        <v>1.0</v>
      </c>
      <c r="CL14" s="104">
        <f>VLOOKUP(I14,Cotizacion!$A$2:$E$423,4,FALSE())</f>
        <v>28.61</v>
      </c>
    </row>
    <row r="15">
      <c r="A15" s="474" t="s">
        <v>2848</v>
      </c>
      <c r="B15" s="475">
        <v>2.0</v>
      </c>
      <c r="C15" s="477" t="s">
        <v>2852</v>
      </c>
      <c r="D15" s="477" t="s">
        <v>52</v>
      </c>
      <c r="E15" s="477" t="s">
        <v>2708</v>
      </c>
      <c r="F15" s="477" t="s">
        <v>1763</v>
      </c>
      <c r="G15" s="457" t="s">
        <v>2709</v>
      </c>
      <c r="H15" s="457" t="s">
        <v>2853</v>
      </c>
      <c r="I15" s="501" t="s">
        <v>2380</v>
      </c>
      <c r="J15" s="479" t="s">
        <v>165</v>
      </c>
      <c r="K15" s="502" t="s">
        <v>25</v>
      </c>
      <c r="L15" s="481">
        <v>0.0</v>
      </c>
      <c r="M15" s="481">
        <v>0.0</v>
      </c>
      <c r="N15" s="481">
        <v>0.0</v>
      </c>
      <c r="O15" s="481">
        <v>0.0</v>
      </c>
      <c r="P15" s="481">
        <v>0.0</v>
      </c>
      <c r="Q15" s="481">
        <v>0.0</v>
      </c>
      <c r="R15" s="481">
        <v>0.0</v>
      </c>
      <c r="S15" s="481">
        <v>0.0</v>
      </c>
      <c r="T15" s="481">
        <v>0.0</v>
      </c>
      <c r="U15" s="481">
        <v>0.0</v>
      </c>
      <c r="V15" s="481">
        <v>0.0</v>
      </c>
      <c r="W15" s="463">
        <f t="shared" si="37"/>
        <v>0</v>
      </c>
      <c r="X15" s="481">
        <v>300.0</v>
      </c>
      <c r="Y15" s="481">
        <v>0.0</v>
      </c>
      <c r="Z15" s="481">
        <v>0.0</v>
      </c>
      <c r="AA15" s="481">
        <v>0.0</v>
      </c>
      <c r="AB15" s="481">
        <v>0.0</v>
      </c>
      <c r="AC15" s="481">
        <v>0.0</v>
      </c>
      <c r="AD15" s="481">
        <v>0.0</v>
      </c>
      <c r="AE15" s="481">
        <v>0.0</v>
      </c>
      <c r="AF15" s="481">
        <v>0.0</v>
      </c>
      <c r="AG15" s="481">
        <v>0.0</v>
      </c>
      <c r="AH15" s="481">
        <v>0.0</v>
      </c>
      <c r="AI15" s="464">
        <f t="shared" si="38"/>
        <v>300</v>
      </c>
      <c r="AJ15" s="481">
        <v>300.0</v>
      </c>
      <c r="AK15" s="481">
        <v>0.0</v>
      </c>
      <c r="AL15" s="481">
        <v>0.0</v>
      </c>
      <c r="AM15" s="481">
        <v>0.0</v>
      </c>
      <c r="AN15" s="481">
        <v>0.0</v>
      </c>
      <c r="AO15" s="481">
        <v>0.0</v>
      </c>
      <c r="AP15" s="481">
        <v>0.0</v>
      </c>
      <c r="AQ15" s="481">
        <v>0.0</v>
      </c>
      <c r="AR15" s="481">
        <v>0.0</v>
      </c>
      <c r="AS15" s="481">
        <v>0.0</v>
      </c>
      <c r="AT15" s="481">
        <v>0.0</v>
      </c>
      <c r="AU15" s="463">
        <f t="shared" si="39"/>
        <v>300</v>
      </c>
      <c r="AV15" s="483">
        <f t="shared" si="40"/>
        <v>600</v>
      </c>
      <c r="AW15" s="484"/>
      <c r="AX15" s="503">
        <v>91.95</v>
      </c>
      <c r="AY15" s="485">
        <f t="shared" si="41"/>
        <v>639.972</v>
      </c>
      <c r="AZ15" s="504"/>
      <c r="BA15" s="487">
        <f t="shared" ref="BA15:BJ15" si="49">L15*$AY15</f>
        <v>0</v>
      </c>
      <c r="BB15" s="487">
        <f t="shared" si="49"/>
        <v>0</v>
      </c>
      <c r="BC15" s="487">
        <f t="shared" si="49"/>
        <v>0</v>
      </c>
      <c r="BD15" s="487">
        <f t="shared" si="49"/>
        <v>0</v>
      </c>
      <c r="BE15" s="487">
        <f t="shared" si="49"/>
        <v>0</v>
      </c>
      <c r="BF15" s="487">
        <f t="shared" si="49"/>
        <v>0</v>
      </c>
      <c r="BG15" s="487">
        <f t="shared" si="49"/>
        <v>0</v>
      </c>
      <c r="BH15" s="487">
        <f t="shared" si="49"/>
        <v>0</v>
      </c>
      <c r="BI15" s="487">
        <f t="shared" si="49"/>
        <v>0</v>
      </c>
      <c r="BJ15" s="487">
        <f t="shared" si="49"/>
        <v>0</v>
      </c>
      <c r="BK15" s="488">
        <f t="shared" si="43"/>
        <v>0</v>
      </c>
      <c r="BL15" s="487">
        <f t="shared" ref="BL15:BU15" si="50">X15*$AY15</f>
        <v>191991.6</v>
      </c>
      <c r="BM15" s="487">
        <f t="shared" si="50"/>
        <v>0</v>
      </c>
      <c r="BN15" s="487">
        <f t="shared" si="50"/>
        <v>0</v>
      </c>
      <c r="BO15" s="487">
        <f t="shared" si="50"/>
        <v>0</v>
      </c>
      <c r="BP15" s="487">
        <f t="shared" si="50"/>
        <v>0</v>
      </c>
      <c r="BQ15" s="487">
        <f t="shared" si="50"/>
        <v>0</v>
      </c>
      <c r="BR15" s="487">
        <f t="shared" si="50"/>
        <v>0</v>
      </c>
      <c r="BS15" s="487">
        <f t="shared" si="50"/>
        <v>0</v>
      </c>
      <c r="BT15" s="487">
        <f t="shared" si="50"/>
        <v>0</v>
      </c>
      <c r="BU15" s="487">
        <f t="shared" si="50"/>
        <v>0</v>
      </c>
      <c r="BV15" s="488">
        <f t="shared" si="45"/>
        <v>191991.6</v>
      </c>
      <c r="BW15" s="487">
        <f t="shared" ref="BW15:CF15" si="51">AJ15*$AY15</f>
        <v>191991.6</v>
      </c>
      <c r="BX15" s="487">
        <f t="shared" si="51"/>
        <v>0</v>
      </c>
      <c r="BY15" s="487">
        <f t="shared" si="51"/>
        <v>0</v>
      </c>
      <c r="BZ15" s="487">
        <f t="shared" si="51"/>
        <v>0</v>
      </c>
      <c r="CA15" s="487">
        <f t="shared" si="51"/>
        <v>0</v>
      </c>
      <c r="CB15" s="487">
        <f t="shared" si="51"/>
        <v>0</v>
      </c>
      <c r="CC15" s="487">
        <f t="shared" si="51"/>
        <v>0</v>
      </c>
      <c r="CD15" s="487">
        <f t="shared" si="51"/>
        <v>0</v>
      </c>
      <c r="CE15" s="487">
        <f t="shared" si="51"/>
        <v>0</v>
      </c>
      <c r="CF15" s="487">
        <f t="shared" si="51"/>
        <v>0</v>
      </c>
      <c r="CG15" s="488">
        <f t="shared" si="47"/>
        <v>191991.6</v>
      </c>
      <c r="CH15" s="488">
        <f t="shared" si="48"/>
        <v>383983.2</v>
      </c>
      <c r="CI15" s="489"/>
      <c r="CJ15" s="505"/>
      <c r="CK15" s="472">
        <v>1.0</v>
      </c>
      <c r="CL15" s="104">
        <f>VLOOKUP(I15,Cotizacion!$A$2:$E$423,4,FALSE())</f>
        <v>91.95</v>
      </c>
    </row>
    <row r="16">
      <c r="A16" s="453" t="s">
        <v>2848</v>
      </c>
      <c r="B16" s="454">
        <v>2.0</v>
      </c>
      <c r="C16" s="455" t="s">
        <v>2852</v>
      </c>
      <c r="D16" s="456" t="s">
        <v>46</v>
      </c>
      <c r="E16" s="455" t="s">
        <v>2708</v>
      </c>
      <c r="F16" s="455" t="s">
        <v>1763</v>
      </c>
      <c r="G16" s="457" t="s">
        <v>2709</v>
      </c>
      <c r="H16" s="457" t="s">
        <v>2854</v>
      </c>
      <c r="I16" s="458" t="s">
        <v>1991</v>
      </c>
      <c r="J16" s="459" t="s">
        <v>196</v>
      </c>
      <c r="K16" s="460" t="s">
        <v>25</v>
      </c>
      <c r="L16" s="461">
        <v>0.0</v>
      </c>
      <c r="M16" s="461">
        <v>0.0</v>
      </c>
      <c r="N16" s="461">
        <v>0.0</v>
      </c>
      <c r="O16" s="461">
        <v>0.0</v>
      </c>
      <c r="P16" s="461">
        <v>0.0</v>
      </c>
      <c r="Q16" s="461">
        <v>0.0</v>
      </c>
      <c r="R16" s="461">
        <v>0.0</v>
      </c>
      <c r="S16" s="461">
        <v>0.0</v>
      </c>
      <c r="T16" s="461">
        <v>0.0</v>
      </c>
      <c r="U16" s="461">
        <v>0.0</v>
      </c>
      <c r="V16" s="461">
        <v>0.0</v>
      </c>
      <c r="W16" s="463">
        <f t="shared" si="37"/>
        <v>0</v>
      </c>
      <c r="X16" s="461">
        <v>320.0</v>
      </c>
      <c r="Y16" s="461">
        <v>240.0</v>
      </c>
      <c r="Z16" s="461">
        <v>108.0</v>
      </c>
      <c r="AA16" s="461">
        <v>176.0</v>
      </c>
      <c r="AB16" s="461">
        <v>202.0</v>
      </c>
      <c r="AC16" s="461">
        <v>336.0</v>
      </c>
      <c r="AD16" s="462">
        <v>0.0</v>
      </c>
      <c r="AE16" s="490">
        <v>0.0</v>
      </c>
      <c r="AF16" s="461">
        <v>16.0</v>
      </c>
      <c r="AG16" s="490">
        <v>0.0</v>
      </c>
      <c r="AH16" s="461">
        <v>0.0</v>
      </c>
      <c r="AI16" s="464">
        <f t="shared" si="38"/>
        <v>1398</v>
      </c>
      <c r="AJ16" s="461">
        <v>320.0</v>
      </c>
      <c r="AK16" s="461">
        <v>240.0</v>
      </c>
      <c r="AL16" s="461">
        <v>108.0</v>
      </c>
      <c r="AM16" s="461">
        <v>176.0</v>
      </c>
      <c r="AN16" s="461">
        <v>202.0</v>
      </c>
      <c r="AO16" s="461">
        <v>336.0</v>
      </c>
      <c r="AP16" s="462">
        <v>0.0</v>
      </c>
      <c r="AQ16" s="490">
        <v>0.0</v>
      </c>
      <c r="AR16" s="461">
        <v>16.0</v>
      </c>
      <c r="AS16" s="490">
        <v>280.0</v>
      </c>
      <c r="AT16" s="461">
        <v>0.0</v>
      </c>
      <c r="AU16" s="463">
        <f t="shared" si="39"/>
        <v>1678</v>
      </c>
      <c r="AV16" s="465">
        <f t="shared" si="40"/>
        <v>3076</v>
      </c>
      <c r="AW16" s="466"/>
      <c r="AX16" s="467">
        <v>13.23</v>
      </c>
      <c r="AY16" s="467">
        <f t="shared" si="41"/>
        <v>92.0808</v>
      </c>
      <c r="AZ16" s="468"/>
      <c r="BA16" s="469">
        <f t="shared" ref="BA16:BJ16" si="52">L16*$AY16</f>
        <v>0</v>
      </c>
      <c r="BB16" s="469">
        <f t="shared" si="52"/>
        <v>0</v>
      </c>
      <c r="BC16" s="469">
        <f t="shared" si="52"/>
        <v>0</v>
      </c>
      <c r="BD16" s="469">
        <f t="shared" si="52"/>
        <v>0</v>
      </c>
      <c r="BE16" s="469">
        <f t="shared" si="52"/>
        <v>0</v>
      </c>
      <c r="BF16" s="469">
        <f t="shared" si="52"/>
        <v>0</v>
      </c>
      <c r="BG16" s="469">
        <f t="shared" si="52"/>
        <v>0</v>
      </c>
      <c r="BH16" s="469">
        <f t="shared" si="52"/>
        <v>0</v>
      </c>
      <c r="BI16" s="469">
        <f t="shared" si="52"/>
        <v>0</v>
      </c>
      <c r="BJ16" s="469">
        <f t="shared" si="52"/>
        <v>0</v>
      </c>
      <c r="BK16" s="470">
        <f t="shared" si="43"/>
        <v>0</v>
      </c>
      <c r="BL16" s="469">
        <f t="shared" ref="BL16:BU16" si="53">X16*$AY16</f>
        <v>29465.856</v>
      </c>
      <c r="BM16" s="469">
        <f t="shared" si="53"/>
        <v>22099.392</v>
      </c>
      <c r="BN16" s="469">
        <f t="shared" si="53"/>
        <v>9944.7264</v>
      </c>
      <c r="BO16" s="469">
        <f t="shared" si="53"/>
        <v>16206.2208</v>
      </c>
      <c r="BP16" s="469">
        <f t="shared" si="53"/>
        <v>18600.3216</v>
      </c>
      <c r="BQ16" s="469">
        <f t="shared" si="53"/>
        <v>30939.1488</v>
      </c>
      <c r="BR16" s="469">
        <f t="shared" si="53"/>
        <v>0</v>
      </c>
      <c r="BS16" s="469">
        <f t="shared" si="53"/>
        <v>0</v>
      </c>
      <c r="BT16" s="469">
        <f t="shared" si="53"/>
        <v>1473.2928</v>
      </c>
      <c r="BU16" s="469">
        <f t="shared" si="53"/>
        <v>0</v>
      </c>
      <c r="BV16" s="470">
        <f t="shared" si="45"/>
        <v>128728.9584</v>
      </c>
      <c r="BW16" s="469">
        <f t="shared" ref="BW16:CF16" si="54">AJ16*$AY16</f>
        <v>29465.856</v>
      </c>
      <c r="BX16" s="469">
        <f t="shared" si="54"/>
        <v>22099.392</v>
      </c>
      <c r="BY16" s="469">
        <f t="shared" si="54"/>
        <v>9944.7264</v>
      </c>
      <c r="BZ16" s="469">
        <f t="shared" si="54"/>
        <v>16206.2208</v>
      </c>
      <c r="CA16" s="469">
        <f t="shared" si="54"/>
        <v>18600.3216</v>
      </c>
      <c r="CB16" s="469">
        <f t="shared" si="54"/>
        <v>30939.1488</v>
      </c>
      <c r="CC16" s="469">
        <f t="shared" si="54"/>
        <v>0</v>
      </c>
      <c r="CD16" s="469">
        <f t="shared" si="54"/>
        <v>0</v>
      </c>
      <c r="CE16" s="469">
        <f t="shared" si="54"/>
        <v>1473.2928</v>
      </c>
      <c r="CF16" s="469">
        <f t="shared" si="54"/>
        <v>25782.624</v>
      </c>
      <c r="CG16" s="470">
        <f t="shared" si="47"/>
        <v>154511.5824</v>
      </c>
      <c r="CH16" s="470">
        <f t="shared" si="48"/>
        <v>283240.5408</v>
      </c>
      <c r="CI16" s="471"/>
      <c r="CJ16" s="469"/>
      <c r="CK16" s="472">
        <v>1.0</v>
      </c>
      <c r="CL16" s="104">
        <f>VLOOKUP(I16,Cotizacion!$A$2:$E$423,4,FALSE())</f>
        <v>13.23</v>
      </c>
    </row>
    <row r="17">
      <c r="A17" s="474"/>
      <c r="B17" s="475"/>
      <c r="C17" s="476"/>
      <c r="D17" s="477"/>
      <c r="E17" s="476"/>
      <c r="F17" s="476"/>
      <c r="G17" s="457"/>
      <c r="H17" s="457"/>
      <c r="I17" s="506"/>
      <c r="J17" s="477"/>
      <c r="K17" s="480"/>
      <c r="L17" s="481"/>
      <c r="M17" s="481"/>
      <c r="N17" s="481"/>
      <c r="O17" s="481"/>
      <c r="P17" s="481"/>
      <c r="Q17" s="481"/>
      <c r="R17" s="481"/>
      <c r="S17" s="481"/>
      <c r="T17" s="481"/>
      <c r="U17" s="492"/>
      <c r="V17" s="481"/>
      <c r="W17" s="496"/>
      <c r="X17" s="481"/>
      <c r="Y17" s="481"/>
      <c r="Z17" s="481"/>
      <c r="AA17" s="481"/>
      <c r="AB17" s="481"/>
      <c r="AC17" s="481"/>
      <c r="AD17" s="481"/>
      <c r="AE17" s="481"/>
      <c r="AF17" s="481"/>
      <c r="AG17" s="481"/>
      <c r="AH17" s="481"/>
      <c r="AI17" s="496"/>
      <c r="AJ17" s="481"/>
      <c r="AK17" s="481"/>
      <c r="AL17" s="481"/>
      <c r="AM17" s="481"/>
      <c r="AN17" s="481"/>
      <c r="AO17" s="481"/>
      <c r="AP17" s="481"/>
      <c r="AQ17" s="481"/>
      <c r="AR17" s="481"/>
      <c r="AS17" s="481"/>
      <c r="AT17" s="481"/>
      <c r="AU17" s="496"/>
      <c r="AV17" s="485"/>
      <c r="AW17" s="484"/>
      <c r="AX17" s="507"/>
      <c r="AY17" s="485"/>
      <c r="AZ17" s="486"/>
      <c r="BA17" s="487"/>
      <c r="BB17" s="487"/>
      <c r="BC17" s="487"/>
      <c r="BD17" s="487"/>
      <c r="BE17" s="487"/>
      <c r="BF17" s="487"/>
      <c r="BG17" s="487"/>
      <c r="BH17" s="487"/>
      <c r="BI17" s="487"/>
      <c r="BJ17" s="487"/>
      <c r="BK17" s="488"/>
      <c r="BL17" s="487"/>
      <c r="BM17" s="487"/>
      <c r="BN17" s="487"/>
      <c r="BO17" s="487"/>
      <c r="BP17" s="487"/>
      <c r="BQ17" s="487"/>
      <c r="BR17" s="487"/>
      <c r="BS17" s="487"/>
      <c r="BT17" s="487"/>
      <c r="BU17" s="487"/>
      <c r="BV17" s="488"/>
      <c r="BW17" s="487"/>
      <c r="BX17" s="487"/>
      <c r="BY17" s="487"/>
      <c r="BZ17" s="487"/>
      <c r="CA17" s="487"/>
      <c r="CB17" s="487"/>
      <c r="CC17" s="487"/>
      <c r="CD17" s="487"/>
      <c r="CE17" s="487"/>
      <c r="CF17" s="487"/>
      <c r="CG17" s="488"/>
      <c r="CH17" s="488"/>
      <c r="CI17" s="508"/>
      <c r="CJ17" s="509"/>
      <c r="CK17" s="472"/>
    </row>
    <row r="18">
      <c r="A18" s="453"/>
      <c r="B18" s="454"/>
      <c r="C18" s="455"/>
      <c r="D18" s="456"/>
      <c r="E18" s="455"/>
      <c r="F18" s="455"/>
      <c r="G18" s="457"/>
      <c r="H18" s="457"/>
      <c r="I18" s="495"/>
      <c r="J18" s="456"/>
      <c r="K18" s="460"/>
      <c r="L18" s="461"/>
      <c r="M18" s="461"/>
      <c r="N18" s="461"/>
      <c r="O18" s="461"/>
      <c r="P18" s="461"/>
      <c r="Q18" s="461"/>
      <c r="R18" s="461"/>
      <c r="S18" s="461"/>
      <c r="T18" s="461"/>
      <c r="U18" s="490"/>
      <c r="V18" s="461"/>
      <c r="W18" s="496"/>
      <c r="X18" s="461"/>
      <c r="Y18" s="461"/>
      <c r="Z18" s="461"/>
      <c r="AA18" s="461"/>
      <c r="AB18" s="461"/>
      <c r="AC18" s="461"/>
      <c r="AD18" s="461"/>
      <c r="AE18" s="461"/>
      <c r="AF18" s="461"/>
      <c r="AG18" s="490"/>
      <c r="AH18" s="461"/>
      <c r="AI18" s="510"/>
      <c r="AJ18" s="461"/>
      <c r="AK18" s="461"/>
      <c r="AL18" s="461"/>
      <c r="AM18" s="461"/>
      <c r="AN18" s="461"/>
      <c r="AO18" s="461"/>
      <c r="AP18" s="461"/>
      <c r="AQ18" s="461"/>
      <c r="AR18" s="461"/>
      <c r="AS18" s="461"/>
      <c r="AT18" s="461"/>
      <c r="AU18" s="496"/>
      <c r="AV18" s="467"/>
      <c r="AW18" s="466"/>
      <c r="AX18" s="497"/>
      <c r="AY18" s="467"/>
      <c r="AZ18" s="468"/>
      <c r="BA18" s="469"/>
      <c r="BB18" s="469"/>
      <c r="BC18" s="469"/>
      <c r="BD18" s="469"/>
      <c r="BE18" s="469"/>
      <c r="BF18" s="469"/>
      <c r="BG18" s="469"/>
      <c r="BH18" s="469"/>
      <c r="BI18" s="469"/>
      <c r="BJ18" s="469"/>
      <c r="BK18" s="470"/>
      <c r="BL18" s="469"/>
      <c r="BM18" s="469"/>
      <c r="BN18" s="469"/>
      <c r="BO18" s="469"/>
      <c r="BP18" s="469"/>
      <c r="BQ18" s="469"/>
      <c r="BR18" s="469"/>
      <c r="BS18" s="469"/>
      <c r="BT18" s="469"/>
      <c r="BU18" s="469"/>
      <c r="BV18" s="470"/>
      <c r="BW18" s="469"/>
      <c r="BX18" s="469"/>
      <c r="BY18" s="469"/>
      <c r="BZ18" s="469"/>
      <c r="CA18" s="469"/>
      <c r="CB18" s="469"/>
      <c r="CC18" s="469"/>
      <c r="CD18" s="469"/>
      <c r="CE18" s="469"/>
      <c r="CF18" s="469"/>
      <c r="CG18" s="470"/>
      <c r="CH18" s="470"/>
      <c r="CI18" s="498"/>
      <c r="CJ18" s="499"/>
      <c r="CK18" s="472"/>
    </row>
    <row r="19">
      <c r="A19" s="474"/>
      <c r="B19" s="475"/>
      <c r="C19" s="476"/>
      <c r="D19" s="477"/>
      <c r="E19" s="476"/>
      <c r="F19" s="476"/>
      <c r="G19" s="457"/>
      <c r="H19" s="457"/>
      <c r="I19" s="506"/>
      <c r="J19" s="477"/>
      <c r="K19" s="480"/>
      <c r="L19" s="481"/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496"/>
      <c r="X19" s="481"/>
      <c r="Y19" s="481"/>
      <c r="Z19" s="481"/>
      <c r="AA19" s="481"/>
      <c r="AB19" s="481"/>
      <c r="AC19" s="481"/>
      <c r="AD19" s="481"/>
      <c r="AE19" s="481"/>
      <c r="AF19" s="481"/>
      <c r="AG19" s="481"/>
      <c r="AH19" s="481"/>
      <c r="AI19" s="496"/>
      <c r="AJ19" s="481"/>
      <c r="AK19" s="481"/>
      <c r="AL19" s="481"/>
      <c r="AM19" s="481"/>
      <c r="AN19" s="481"/>
      <c r="AO19" s="481"/>
      <c r="AP19" s="481"/>
      <c r="AQ19" s="481"/>
      <c r="AR19" s="481"/>
      <c r="AS19" s="481"/>
      <c r="AT19" s="481"/>
      <c r="AU19" s="496"/>
      <c r="AV19" s="485"/>
      <c r="AW19" s="484"/>
      <c r="AX19" s="507"/>
      <c r="AY19" s="485"/>
      <c r="AZ19" s="486"/>
      <c r="BA19" s="487"/>
      <c r="BB19" s="487"/>
      <c r="BC19" s="487"/>
      <c r="BD19" s="487"/>
      <c r="BE19" s="487"/>
      <c r="BF19" s="487"/>
      <c r="BG19" s="487"/>
      <c r="BH19" s="487"/>
      <c r="BI19" s="487"/>
      <c r="BJ19" s="487"/>
      <c r="BK19" s="488"/>
      <c r="BL19" s="487"/>
      <c r="BM19" s="487"/>
      <c r="BN19" s="487"/>
      <c r="BO19" s="487"/>
      <c r="BP19" s="487"/>
      <c r="BQ19" s="487"/>
      <c r="BR19" s="487"/>
      <c r="BS19" s="487"/>
      <c r="BT19" s="487"/>
      <c r="BU19" s="487"/>
      <c r="BV19" s="488"/>
      <c r="BW19" s="487"/>
      <c r="BX19" s="487"/>
      <c r="BY19" s="487"/>
      <c r="BZ19" s="487"/>
      <c r="CA19" s="487"/>
      <c r="CB19" s="487"/>
      <c r="CC19" s="487"/>
      <c r="CD19" s="487"/>
      <c r="CE19" s="487"/>
      <c r="CF19" s="487"/>
      <c r="CG19" s="488"/>
      <c r="CH19" s="488"/>
      <c r="CI19" s="508"/>
      <c r="CJ19" s="509"/>
      <c r="CK19" s="472"/>
    </row>
    <row r="20">
      <c r="A20" s="453" t="s">
        <v>2848</v>
      </c>
      <c r="B20" s="454">
        <v>2.0</v>
      </c>
      <c r="C20" s="455" t="s">
        <v>2808</v>
      </c>
      <c r="D20" s="456" t="s">
        <v>213</v>
      </c>
      <c r="E20" s="455" t="s">
        <v>2708</v>
      </c>
      <c r="F20" s="511" t="s">
        <v>1763</v>
      </c>
      <c r="G20" s="457" t="s">
        <v>2855</v>
      </c>
      <c r="H20" s="457" t="s">
        <v>2856</v>
      </c>
      <c r="I20" s="458" t="s">
        <v>2476</v>
      </c>
      <c r="J20" s="459" t="s">
        <v>40</v>
      </c>
      <c r="K20" s="460" t="s">
        <v>25</v>
      </c>
      <c r="L20" s="461"/>
      <c r="M20" s="461"/>
      <c r="N20" s="461"/>
      <c r="O20" s="462">
        <v>0.0</v>
      </c>
      <c r="P20" s="462">
        <v>80.0</v>
      </c>
      <c r="Q20" s="462">
        <v>100.0</v>
      </c>
      <c r="R20" s="462">
        <v>0.0</v>
      </c>
      <c r="S20" s="490">
        <v>0.0</v>
      </c>
      <c r="T20" s="461">
        <v>20.0</v>
      </c>
      <c r="U20" s="462">
        <v>0.0</v>
      </c>
      <c r="V20" s="461">
        <v>0.0</v>
      </c>
      <c r="W20" s="463">
        <f t="shared" ref="W20:W28" si="58">SUM(L20:V20)</f>
        <v>200</v>
      </c>
      <c r="X20" s="512"/>
      <c r="Y20" s="512"/>
      <c r="Z20" s="512"/>
      <c r="AA20" s="512"/>
      <c r="AB20" s="512"/>
      <c r="AC20" s="512"/>
      <c r="AD20" s="512"/>
      <c r="AE20" s="512"/>
      <c r="AF20" s="512"/>
      <c r="AG20" s="513"/>
      <c r="AH20" s="461">
        <v>0.0</v>
      </c>
      <c r="AI20" s="464">
        <f t="shared" ref="AI20:AI28" si="59">SUM(X20:AH20)</f>
        <v>0</v>
      </c>
      <c r="AJ20" s="512"/>
      <c r="AK20" s="512"/>
      <c r="AL20" s="512"/>
      <c r="AM20" s="512"/>
      <c r="AN20" s="512"/>
      <c r="AO20" s="512"/>
      <c r="AP20" s="512"/>
      <c r="AQ20" s="512"/>
      <c r="AR20" s="512"/>
      <c r="AS20" s="512"/>
      <c r="AT20" s="461">
        <v>0.0</v>
      </c>
      <c r="AU20" s="463">
        <f t="shared" ref="AU20:AU28" si="60">ROUNDUP( SUM(AJ20:AT20))</f>
        <v>0</v>
      </c>
      <c r="AV20" s="465">
        <f t="shared" ref="AV20:AV28" si="61">W20+AI20+AU20</f>
        <v>200</v>
      </c>
      <c r="AW20" s="466"/>
      <c r="AX20" s="467">
        <v>191.97</v>
      </c>
      <c r="AY20" s="467">
        <f t="shared" ref="AY20:AY21" si="62">AX20*$AY$1</f>
        <v>1336.1112</v>
      </c>
      <c r="AZ20" s="494"/>
      <c r="BA20" s="469">
        <f t="shared" ref="BA20:BJ20" si="55">L20*$AY20</f>
        <v>0</v>
      </c>
      <c r="BB20" s="469">
        <f t="shared" si="55"/>
        <v>0</v>
      </c>
      <c r="BC20" s="469">
        <f t="shared" si="55"/>
        <v>0</v>
      </c>
      <c r="BD20" s="469">
        <f t="shared" si="55"/>
        <v>0</v>
      </c>
      <c r="BE20" s="469">
        <f t="shared" si="55"/>
        <v>106888.896</v>
      </c>
      <c r="BF20" s="469">
        <f t="shared" si="55"/>
        <v>133611.12</v>
      </c>
      <c r="BG20" s="469">
        <f t="shared" si="55"/>
        <v>0</v>
      </c>
      <c r="BH20" s="469">
        <f t="shared" si="55"/>
        <v>0</v>
      </c>
      <c r="BI20" s="469">
        <f t="shared" si="55"/>
        <v>26722.224</v>
      </c>
      <c r="BJ20" s="469">
        <f t="shared" si="55"/>
        <v>0</v>
      </c>
      <c r="BK20" s="470">
        <f t="shared" ref="BK20:BK28" si="64">AY20*W20</f>
        <v>267222.24</v>
      </c>
      <c r="BL20" s="469">
        <f t="shared" ref="BL20:BU20" si="56">X20*$AY20</f>
        <v>0</v>
      </c>
      <c r="BM20" s="469">
        <f t="shared" si="56"/>
        <v>0</v>
      </c>
      <c r="BN20" s="469">
        <f t="shared" si="56"/>
        <v>0</v>
      </c>
      <c r="BO20" s="469">
        <f t="shared" si="56"/>
        <v>0</v>
      </c>
      <c r="BP20" s="469">
        <f t="shared" si="56"/>
        <v>0</v>
      </c>
      <c r="BQ20" s="469">
        <f t="shared" si="56"/>
        <v>0</v>
      </c>
      <c r="BR20" s="469">
        <f t="shared" si="56"/>
        <v>0</v>
      </c>
      <c r="BS20" s="469">
        <f t="shared" si="56"/>
        <v>0</v>
      </c>
      <c r="BT20" s="469">
        <f t="shared" si="56"/>
        <v>0</v>
      </c>
      <c r="BU20" s="469">
        <f t="shared" si="56"/>
        <v>0</v>
      </c>
      <c r="BV20" s="470">
        <f t="shared" ref="BV20:BV28" si="66">AY20*AI20</f>
        <v>0</v>
      </c>
      <c r="BW20" s="469">
        <f t="shared" ref="BW20:CF20" si="57">AJ20*$AY20</f>
        <v>0</v>
      </c>
      <c r="BX20" s="469">
        <f t="shared" si="57"/>
        <v>0</v>
      </c>
      <c r="BY20" s="469">
        <f t="shared" si="57"/>
        <v>0</v>
      </c>
      <c r="BZ20" s="469">
        <f t="shared" si="57"/>
        <v>0</v>
      </c>
      <c r="CA20" s="469">
        <f t="shared" si="57"/>
        <v>0</v>
      </c>
      <c r="CB20" s="469">
        <f t="shared" si="57"/>
        <v>0</v>
      </c>
      <c r="CC20" s="469">
        <f t="shared" si="57"/>
        <v>0</v>
      </c>
      <c r="CD20" s="469">
        <f t="shared" si="57"/>
        <v>0</v>
      </c>
      <c r="CE20" s="469">
        <f t="shared" si="57"/>
        <v>0</v>
      </c>
      <c r="CF20" s="469">
        <f t="shared" si="57"/>
        <v>0</v>
      </c>
      <c r="CG20" s="470">
        <f t="shared" ref="CG20:CG28" si="68">AY20*AU20</f>
        <v>0</v>
      </c>
      <c r="CH20" s="470">
        <f t="shared" ref="CH20:CH28" si="69">BK20+BV20+CG20</f>
        <v>267222.24</v>
      </c>
      <c r="CI20" s="471"/>
      <c r="CJ20" s="499" t="s">
        <v>2857</v>
      </c>
      <c r="CK20" s="472">
        <v>1.0</v>
      </c>
      <c r="CL20" s="104">
        <f>VLOOKUP(I20,Cotizacion!$A$2:$E$423,4,FALSE())</f>
        <v>191.97</v>
      </c>
    </row>
    <row r="21" ht="15.75" customHeight="1">
      <c r="A21" s="474" t="s">
        <v>2848</v>
      </c>
      <c r="B21" s="475">
        <v>2.0</v>
      </c>
      <c r="C21" s="476" t="s">
        <v>2808</v>
      </c>
      <c r="D21" s="477" t="s">
        <v>118</v>
      </c>
      <c r="E21" s="476" t="s">
        <v>2708</v>
      </c>
      <c r="F21" s="476" t="s">
        <v>1763</v>
      </c>
      <c r="G21" s="457" t="s">
        <v>2709</v>
      </c>
      <c r="H21" s="457" t="s">
        <v>2760</v>
      </c>
      <c r="I21" s="478" t="s">
        <v>2146</v>
      </c>
      <c r="J21" s="479" t="s">
        <v>130</v>
      </c>
      <c r="K21" s="480" t="s">
        <v>25</v>
      </c>
      <c r="L21" s="481">
        <v>0.0</v>
      </c>
      <c r="M21" s="481">
        <v>0.0</v>
      </c>
      <c r="N21" s="481">
        <v>0.0</v>
      </c>
      <c r="O21" s="481">
        <v>0.0</v>
      </c>
      <c r="P21" s="481">
        <v>0.0</v>
      </c>
      <c r="Q21" s="481">
        <v>0.0</v>
      </c>
      <c r="R21" s="481">
        <v>0.0</v>
      </c>
      <c r="S21" s="481">
        <v>0.0</v>
      </c>
      <c r="T21" s="481">
        <v>0.0</v>
      </c>
      <c r="U21" s="481">
        <v>0.0</v>
      </c>
      <c r="V21" s="481">
        <v>0.0</v>
      </c>
      <c r="W21" s="463">
        <f t="shared" si="58"/>
        <v>0</v>
      </c>
      <c r="X21" s="481">
        <v>48.0</v>
      </c>
      <c r="Y21" s="481">
        <v>48.0</v>
      </c>
      <c r="Z21" s="481">
        <v>72.0</v>
      </c>
      <c r="AA21" s="481">
        <v>50.0</v>
      </c>
      <c r="AB21" s="481">
        <v>74.0</v>
      </c>
      <c r="AC21" s="481">
        <v>98.0</v>
      </c>
      <c r="AD21" s="481">
        <v>88.0</v>
      </c>
      <c r="AE21" s="481">
        <v>88.0</v>
      </c>
      <c r="AF21" s="481">
        <v>32.0</v>
      </c>
      <c r="AG21" s="492">
        <v>0.0</v>
      </c>
      <c r="AH21" s="481">
        <v>0.0</v>
      </c>
      <c r="AI21" s="464">
        <f t="shared" si="59"/>
        <v>598</v>
      </c>
      <c r="AJ21" s="481">
        <v>48.0</v>
      </c>
      <c r="AK21" s="481">
        <v>48.0</v>
      </c>
      <c r="AL21" s="481">
        <v>72.0</v>
      </c>
      <c r="AM21" s="481">
        <v>50.0</v>
      </c>
      <c r="AN21" s="481">
        <v>74.0</v>
      </c>
      <c r="AO21" s="481">
        <v>98.0</v>
      </c>
      <c r="AP21" s="481">
        <v>88.0</v>
      </c>
      <c r="AQ21" s="481">
        <v>88.0</v>
      </c>
      <c r="AR21" s="481">
        <v>32.0</v>
      </c>
      <c r="AS21" s="492">
        <v>0.0</v>
      </c>
      <c r="AT21" s="481">
        <v>0.0</v>
      </c>
      <c r="AU21" s="463">
        <f t="shared" si="60"/>
        <v>598</v>
      </c>
      <c r="AV21" s="483">
        <f t="shared" si="61"/>
        <v>1196</v>
      </c>
      <c r="AW21" s="484"/>
      <c r="AX21" s="485">
        <v>28.61</v>
      </c>
      <c r="AY21" s="485">
        <f t="shared" si="62"/>
        <v>199.1256</v>
      </c>
      <c r="AZ21" s="486"/>
      <c r="BA21" s="487">
        <f t="shared" ref="BA21:BJ21" si="63">L21*$AY21</f>
        <v>0</v>
      </c>
      <c r="BB21" s="487">
        <f t="shared" si="63"/>
        <v>0</v>
      </c>
      <c r="BC21" s="487">
        <f t="shared" si="63"/>
        <v>0</v>
      </c>
      <c r="BD21" s="487">
        <f t="shared" si="63"/>
        <v>0</v>
      </c>
      <c r="BE21" s="487">
        <f t="shared" si="63"/>
        <v>0</v>
      </c>
      <c r="BF21" s="487">
        <f t="shared" si="63"/>
        <v>0</v>
      </c>
      <c r="BG21" s="487">
        <f t="shared" si="63"/>
        <v>0</v>
      </c>
      <c r="BH21" s="487">
        <f t="shared" si="63"/>
        <v>0</v>
      </c>
      <c r="BI21" s="487">
        <f t="shared" si="63"/>
        <v>0</v>
      </c>
      <c r="BJ21" s="487">
        <f t="shared" si="63"/>
        <v>0</v>
      </c>
      <c r="BK21" s="488">
        <f t="shared" si="64"/>
        <v>0</v>
      </c>
      <c r="BL21" s="487">
        <f t="shared" ref="BL21:BU21" si="65">X21*$AY21</f>
        <v>9558.0288</v>
      </c>
      <c r="BM21" s="487">
        <f t="shared" si="65"/>
        <v>9558.0288</v>
      </c>
      <c r="BN21" s="487">
        <f t="shared" si="65"/>
        <v>14337.0432</v>
      </c>
      <c r="BO21" s="487">
        <f t="shared" si="65"/>
        <v>9956.28</v>
      </c>
      <c r="BP21" s="487">
        <f t="shared" si="65"/>
        <v>14735.2944</v>
      </c>
      <c r="BQ21" s="487">
        <f t="shared" si="65"/>
        <v>19514.3088</v>
      </c>
      <c r="BR21" s="487">
        <f t="shared" si="65"/>
        <v>17523.0528</v>
      </c>
      <c r="BS21" s="487">
        <f t="shared" si="65"/>
        <v>17523.0528</v>
      </c>
      <c r="BT21" s="487">
        <f t="shared" si="65"/>
        <v>6372.0192</v>
      </c>
      <c r="BU21" s="487">
        <f t="shared" si="65"/>
        <v>0</v>
      </c>
      <c r="BV21" s="488">
        <f t="shared" si="66"/>
        <v>119077.1088</v>
      </c>
      <c r="BW21" s="487">
        <f t="shared" ref="BW21:CF21" si="67">AJ21*$AY21</f>
        <v>9558.0288</v>
      </c>
      <c r="BX21" s="487">
        <f t="shared" si="67"/>
        <v>9558.0288</v>
      </c>
      <c r="BY21" s="487">
        <f t="shared" si="67"/>
        <v>14337.0432</v>
      </c>
      <c r="BZ21" s="487">
        <f t="shared" si="67"/>
        <v>9956.28</v>
      </c>
      <c r="CA21" s="487">
        <f t="shared" si="67"/>
        <v>14735.2944</v>
      </c>
      <c r="CB21" s="487">
        <f t="shared" si="67"/>
        <v>19514.3088</v>
      </c>
      <c r="CC21" s="487">
        <f t="shared" si="67"/>
        <v>17523.0528</v>
      </c>
      <c r="CD21" s="487">
        <f t="shared" si="67"/>
        <v>17523.0528</v>
      </c>
      <c r="CE21" s="487">
        <f t="shared" si="67"/>
        <v>6372.0192</v>
      </c>
      <c r="CF21" s="487">
        <f t="shared" si="67"/>
        <v>0</v>
      </c>
      <c r="CG21" s="488">
        <f t="shared" si="68"/>
        <v>119077.1088</v>
      </c>
      <c r="CH21" s="488">
        <f t="shared" si="69"/>
        <v>238154.2176</v>
      </c>
      <c r="CI21" s="489"/>
      <c r="CJ21" s="487"/>
      <c r="CK21" s="472">
        <v>1.0</v>
      </c>
      <c r="CL21" s="104">
        <f>VLOOKUP(I21,Cotizacion!$A$2:$E$423,4,FALSE())</f>
        <v>28.61</v>
      </c>
    </row>
    <row r="22" ht="15.75" customHeight="1">
      <c r="A22" s="453" t="s">
        <v>2848</v>
      </c>
      <c r="B22" s="454"/>
      <c r="C22" s="455" t="s">
        <v>2808</v>
      </c>
      <c r="D22" s="456" t="s">
        <v>61</v>
      </c>
      <c r="E22" s="455" t="s">
        <v>2708</v>
      </c>
      <c r="F22" s="455" t="s">
        <v>1763</v>
      </c>
      <c r="G22" s="457" t="s">
        <v>2709</v>
      </c>
      <c r="H22" s="457" t="s">
        <v>2858</v>
      </c>
      <c r="I22" s="495">
        <v>1.0217238E7</v>
      </c>
      <c r="J22" s="456" t="s">
        <v>571</v>
      </c>
      <c r="K22" s="460" t="s">
        <v>25</v>
      </c>
      <c r="L22" s="461">
        <v>0.0</v>
      </c>
      <c r="M22" s="461">
        <v>0.0</v>
      </c>
      <c r="N22" s="461">
        <v>0.0</v>
      </c>
      <c r="O22" s="461">
        <v>0.0</v>
      </c>
      <c r="P22" s="461">
        <v>0.0</v>
      </c>
      <c r="Q22" s="461">
        <v>0.0</v>
      </c>
      <c r="R22" s="461">
        <v>0.0</v>
      </c>
      <c r="S22" s="461">
        <v>0.0</v>
      </c>
      <c r="T22" s="461">
        <v>0.0</v>
      </c>
      <c r="U22" s="461">
        <v>0.0</v>
      </c>
      <c r="V22" s="461">
        <v>0.0</v>
      </c>
      <c r="W22" s="463">
        <f t="shared" si="58"/>
        <v>0</v>
      </c>
      <c r="X22" s="461">
        <v>0.0</v>
      </c>
      <c r="Y22" s="461">
        <v>0.0</v>
      </c>
      <c r="Z22" s="461">
        <v>0.0</v>
      </c>
      <c r="AA22" s="461">
        <v>0.0</v>
      </c>
      <c r="AB22" s="461">
        <v>0.0</v>
      </c>
      <c r="AC22" s="461">
        <v>0.0</v>
      </c>
      <c r="AD22" s="461">
        <v>0.0</v>
      </c>
      <c r="AE22" s="490">
        <v>0.0</v>
      </c>
      <c r="AF22" s="461">
        <v>0.0</v>
      </c>
      <c r="AG22" s="461">
        <v>0.0</v>
      </c>
      <c r="AH22" s="461">
        <v>0.0</v>
      </c>
      <c r="AI22" s="464">
        <f t="shared" si="59"/>
        <v>0</v>
      </c>
      <c r="AJ22" s="461">
        <v>0.0</v>
      </c>
      <c r="AK22" s="461">
        <v>0.0</v>
      </c>
      <c r="AL22" s="461">
        <v>0.0</v>
      </c>
      <c r="AM22" s="461">
        <v>0.0</v>
      </c>
      <c r="AN22" s="461">
        <v>0.0</v>
      </c>
      <c r="AO22" s="461">
        <v>0.0</v>
      </c>
      <c r="AP22" s="461">
        <v>0.0</v>
      </c>
      <c r="AQ22" s="490">
        <v>0.0</v>
      </c>
      <c r="AR22" s="461">
        <v>0.0</v>
      </c>
      <c r="AS22" s="461">
        <v>0.0</v>
      </c>
      <c r="AT22" s="461">
        <v>0.0</v>
      </c>
      <c r="AU22" s="463">
        <f t="shared" si="60"/>
        <v>0</v>
      </c>
      <c r="AV22" s="467">
        <f t="shared" si="61"/>
        <v>0</v>
      </c>
      <c r="AW22" s="466"/>
      <c r="AX22" s="497">
        <v>92.68</v>
      </c>
      <c r="AY22" s="467">
        <v>645.9796</v>
      </c>
      <c r="AZ22" s="468"/>
      <c r="BA22" s="469">
        <f t="shared" ref="BA22:BJ22" si="70">L22*$AY22</f>
        <v>0</v>
      </c>
      <c r="BB22" s="469">
        <f t="shared" si="70"/>
        <v>0</v>
      </c>
      <c r="BC22" s="469">
        <f t="shared" si="70"/>
        <v>0</v>
      </c>
      <c r="BD22" s="469">
        <f t="shared" si="70"/>
        <v>0</v>
      </c>
      <c r="BE22" s="469">
        <f t="shared" si="70"/>
        <v>0</v>
      </c>
      <c r="BF22" s="469">
        <f t="shared" si="70"/>
        <v>0</v>
      </c>
      <c r="BG22" s="469">
        <f t="shared" si="70"/>
        <v>0</v>
      </c>
      <c r="BH22" s="469">
        <f t="shared" si="70"/>
        <v>0</v>
      </c>
      <c r="BI22" s="469">
        <f t="shared" si="70"/>
        <v>0</v>
      </c>
      <c r="BJ22" s="469">
        <f t="shared" si="70"/>
        <v>0</v>
      </c>
      <c r="BK22" s="470">
        <f t="shared" si="64"/>
        <v>0</v>
      </c>
      <c r="BL22" s="469">
        <f t="shared" ref="BL22:BU22" si="71">X22*$AY22</f>
        <v>0</v>
      </c>
      <c r="BM22" s="469">
        <f t="shared" si="71"/>
        <v>0</v>
      </c>
      <c r="BN22" s="469">
        <f t="shared" si="71"/>
        <v>0</v>
      </c>
      <c r="BO22" s="469">
        <f t="shared" si="71"/>
        <v>0</v>
      </c>
      <c r="BP22" s="469">
        <f t="shared" si="71"/>
        <v>0</v>
      </c>
      <c r="BQ22" s="469">
        <f t="shared" si="71"/>
        <v>0</v>
      </c>
      <c r="BR22" s="469">
        <f t="shared" si="71"/>
        <v>0</v>
      </c>
      <c r="BS22" s="469">
        <f t="shared" si="71"/>
        <v>0</v>
      </c>
      <c r="BT22" s="469">
        <f t="shared" si="71"/>
        <v>0</v>
      </c>
      <c r="BU22" s="469">
        <f t="shared" si="71"/>
        <v>0</v>
      </c>
      <c r="BV22" s="470">
        <f t="shared" si="66"/>
        <v>0</v>
      </c>
      <c r="BW22" s="469">
        <f t="shared" ref="BW22:CF22" si="72">AJ22*$AY22</f>
        <v>0</v>
      </c>
      <c r="BX22" s="469">
        <f t="shared" si="72"/>
        <v>0</v>
      </c>
      <c r="BY22" s="469">
        <f t="shared" si="72"/>
        <v>0</v>
      </c>
      <c r="BZ22" s="469">
        <f t="shared" si="72"/>
        <v>0</v>
      </c>
      <c r="CA22" s="469">
        <f t="shared" si="72"/>
        <v>0</v>
      </c>
      <c r="CB22" s="469">
        <f t="shared" si="72"/>
        <v>0</v>
      </c>
      <c r="CC22" s="469">
        <f t="shared" si="72"/>
        <v>0</v>
      </c>
      <c r="CD22" s="469">
        <f t="shared" si="72"/>
        <v>0</v>
      </c>
      <c r="CE22" s="469">
        <f t="shared" si="72"/>
        <v>0</v>
      </c>
      <c r="CF22" s="469">
        <f t="shared" si="72"/>
        <v>0</v>
      </c>
      <c r="CG22" s="470">
        <f t="shared" si="68"/>
        <v>0</v>
      </c>
      <c r="CH22" s="470">
        <f t="shared" si="69"/>
        <v>0</v>
      </c>
      <c r="CI22" s="498"/>
      <c r="CJ22" s="469"/>
      <c r="CK22" s="472">
        <v>1.0</v>
      </c>
    </row>
    <row r="23" ht="15.75" customHeight="1">
      <c r="A23" s="474" t="s">
        <v>2848</v>
      </c>
      <c r="B23" s="475">
        <v>2.0</v>
      </c>
      <c r="C23" s="477" t="s">
        <v>2852</v>
      </c>
      <c r="D23" s="477" t="s">
        <v>52</v>
      </c>
      <c r="E23" s="477" t="s">
        <v>2708</v>
      </c>
      <c r="F23" s="477" t="s">
        <v>1763</v>
      </c>
      <c r="G23" s="457" t="s">
        <v>2709</v>
      </c>
      <c r="H23" s="457" t="s">
        <v>2859</v>
      </c>
      <c r="I23" s="501" t="s">
        <v>2177</v>
      </c>
      <c r="J23" s="479" t="s">
        <v>144</v>
      </c>
      <c r="K23" s="502" t="s">
        <v>25</v>
      </c>
      <c r="L23" s="481">
        <v>0.0</v>
      </c>
      <c r="M23" s="481">
        <v>0.0</v>
      </c>
      <c r="N23" s="481">
        <v>0.0</v>
      </c>
      <c r="O23" s="482">
        <v>80.0</v>
      </c>
      <c r="P23" s="482">
        <v>80.0</v>
      </c>
      <c r="Q23" s="482">
        <v>120.0</v>
      </c>
      <c r="R23" s="482">
        <v>50.0</v>
      </c>
      <c r="S23" s="492">
        <v>50.0</v>
      </c>
      <c r="T23" s="481">
        <v>0.0</v>
      </c>
      <c r="U23" s="492">
        <v>0.0</v>
      </c>
      <c r="V23" s="481">
        <v>0.0</v>
      </c>
      <c r="W23" s="463">
        <f t="shared" si="58"/>
        <v>380</v>
      </c>
      <c r="X23" s="481">
        <v>50.0</v>
      </c>
      <c r="Y23" s="481">
        <v>25.0</v>
      </c>
      <c r="Z23" s="481">
        <v>50.0</v>
      </c>
      <c r="AA23" s="481">
        <v>80.0</v>
      </c>
      <c r="AB23" s="481">
        <v>80.0</v>
      </c>
      <c r="AC23" s="481">
        <v>120.0</v>
      </c>
      <c r="AD23" s="481">
        <v>50.0</v>
      </c>
      <c r="AE23" s="481">
        <v>50.0</v>
      </c>
      <c r="AF23" s="481">
        <v>20.0</v>
      </c>
      <c r="AG23" s="492">
        <v>0.0</v>
      </c>
      <c r="AH23" s="481">
        <v>0.0</v>
      </c>
      <c r="AI23" s="464">
        <f t="shared" si="59"/>
        <v>525</v>
      </c>
      <c r="AJ23" s="481">
        <v>50.0</v>
      </c>
      <c r="AK23" s="481">
        <v>25.0</v>
      </c>
      <c r="AL23" s="481">
        <v>50.0</v>
      </c>
      <c r="AM23" s="481">
        <v>80.0</v>
      </c>
      <c r="AN23" s="481">
        <v>80.0</v>
      </c>
      <c r="AO23" s="481">
        <v>120.0</v>
      </c>
      <c r="AP23" s="481">
        <v>50.0</v>
      </c>
      <c r="AQ23" s="481">
        <v>50.0</v>
      </c>
      <c r="AR23" s="481">
        <v>20.0</v>
      </c>
      <c r="AS23" s="492">
        <v>0.0</v>
      </c>
      <c r="AT23" s="481">
        <v>0.0</v>
      </c>
      <c r="AU23" s="463">
        <f t="shared" si="60"/>
        <v>525</v>
      </c>
      <c r="AV23" s="483">
        <f t="shared" si="61"/>
        <v>1430</v>
      </c>
      <c r="AW23" s="484"/>
      <c r="AX23" s="503">
        <v>22.77</v>
      </c>
      <c r="AY23" s="485">
        <f t="shared" ref="AY23:AY28" si="76">AX23*$AY$1</f>
        <v>158.4792</v>
      </c>
      <c r="AZ23" s="504"/>
      <c r="BA23" s="487">
        <f t="shared" ref="BA23:BJ23" si="73">L23*$AY23</f>
        <v>0</v>
      </c>
      <c r="BB23" s="487">
        <f t="shared" si="73"/>
        <v>0</v>
      </c>
      <c r="BC23" s="487">
        <f t="shared" si="73"/>
        <v>0</v>
      </c>
      <c r="BD23" s="487">
        <f t="shared" si="73"/>
        <v>12678.336</v>
      </c>
      <c r="BE23" s="487">
        <f t="shared" si="73"/>
        <v>12678.336</v>
      </c>
      <c r="BF23" s="487">
        <f t="shared" si="73"/>
        <v>19017.504</v>
      </c>
      <c r="BG23" s="487">
        <f t="shared" si="73"/>
        <v>7923.96</v>
      </c>
      <c r="BH23" s="487">
        <f t="shared" si="73"/>
        <v>7923.96</v>
      </c>
      <c r="BI23" s="487">
        <f t="shared" si="73"/>
        <v>0</v>
      </c>
      <c r="BJ23" s="487">
        <f t="shared" si="73"/>
        <v>0</v>
      </c>
      <c r="BK23" s="488">
        <f t="shared" si="64"/>
        <v>60222.096</v>
      </c>
      <c r="BL23" s="487">
        <f t="shared" ref="BL23:BU23" si="74">X23*$AY23</f>
        <v>7923.96</v>
      </c>
      <c r="BM23" s="487">
        <f t="shared" si="74"/>
        <v>3961.98</v>
      </c>
      <c r="BN23" s="487">
        <f t="shared" si="74"/>
        <v>7923.96</v>
      </c>
      <c r="BO23" s="487">
        <f t="shared" si="74"/>
        <v>12678.336</v>
      </c>
      <c r="BP23" s="487">
        <f t="shared" si="74"/>
        <v>12678.336</v>
      </c>
      <c r="BQ23" s="487">
        <f t="shared" si="74"/>
        <v>19017.504</v>
      </c>
      <c r="BR23" s="487">
        <f t="shared" si="74"/>
        <v>7923.96</v>
      </c>
      <c r="BS23" s="487">
        <f t="shared" si="74"/>
        <v>7923.96</v>
      </c>
      <c r="BT23" s="487">
        <f t="shared" si="74"/>
        <v>3169.584</v>
      </c>
      <c r="BU23" s="487">
        <f t="shared" si="74"/>
        <v>0</v>
      </c>
      <c r="BV23" s="488">
        <f t="shared" si="66"/>
        <v>83201.58</v>
      </c>
      <c r="BW23" s="487">
        <f t="shared" ref="BW23:CF23" si="75">AJ23*$AY23</f>
        <v>7923.96</v>
      </c>
      <c r="BX23" s="487">
        <f t="shared" si="75"/>
        <v>3961.98</v>
      </c>
      <c r="BY23" s="487">
        <f t="shared" si="75"/>
        <v>7923.96</v>
      </c>
      <c r="BZ23" s="487">
        <f t="shared" si="75"/>
        <v>12678.336</v>
      </c>
      <c r="CA23" s="487">
        <f t="shared" si="75"/>
        <v>12678.336</v>
      </c>
      <c r="CB23" s="487">
        <f t="shared" si="75"/>
        <v>19017.504</v>
      </c>
      <c r="CC23" s="487">
        <f t="shared" si="75"/>
        <v>7923.96</v>
      </c>
      <c r="CD23" s="487">
        <f t="shared" si="75"/>
        <v>7923.96</v>
      </c>
      <c r="CE23" s="487">
        <f t="shared" si="75"/>
        <v>3169.584</v>
      </c>
      <c r="CF23" s="487">
        <f t="shared" si="75"/>
        <v>0</v>
      </c>
      <c r="CG23" s="488">
        <f t="shared" si="68"/>
        <v>83201.58</v>
      </c>
      <c r="CH23" s="488">
        <f t="shared" si="69"/>
        <v>226625.256</v>
      </c>
      <c r="CI23" s="489"/>
      <c r="CJ23" s="505"/>
      <c r="CK23" s="472">
        <v>1.0</v>
      </c>
      <c r="CL23" s="104">
        <f>VLOOKUP(I23,Cotizacion!$A$2:$E$423,4,FALSE())</f>
        <v>22.77</v>
      </c>
    </row>
    <row r="24" ht="15.75" customHeight="1">
      <c r="A24" s="453" t="s">
        <v>2848</v>
      </c>
      <c r="B24" s="454">
        <v>2.0</v>
      </c>
      <c r="C24" s="456" t="s">
        <v>2852</v>
      </c>
      <c r="D24" s="456" t="s">
        <v>52</v>
      </c>
      <c r="E24" s="456" t="s">
        <v>2708</v>
      </c>
      <c r="F24" s="456" t="s">
        <v>1763</v>
      </c>
      <c r="G24" s="457" t="s">
        <v>2709</v>
      </c>
      <c r="H24" s="457" t="s">
        <v>2860</v>
      </c>
      <c r="I24" s="514" t="s">
        <v>2027</v>
      </c>
      <c r="J24" s="459" t="s">
        <v>168</v>
      </c>
      <c r="K24" s="515" t="s">
        <v>25</v>
      </c>
      <c r="L24" s="461">
        <v>0.0</v>
      </c>
      <c r="M24" s="461">
        <v>0.0</v>
      </c>
      <c r="N24" s="461">
        <v>0.0</v>
      </c>
      <c r="O24" s="461">
        <v>0.0</v>
      </c>
      <c r="P24" s="462">
        <v>25.0</v>
      </c>
      <c r="Q24" s="461">
        <v>0.0</v>
      </c>
      <c r="R24" s="462">
        <v>50.0</v>
      </c>
      <c r="S24" s="490">
        <v>50.0</v>
      </c>
      <c r="T24" s="461">
        <v>0.0</v>
      </c>
      <c r="U24" s="461">
        <v>0.0</v>
      </c>
      <c r="V24" s="461">
        <v>0.0</v>
      </c>
      <c r="W24" s="463">
        <f t="shared" si="58"/>
        <v>125</v>
      </c>
      <c r="X24" s="461">
        <v>35.0</v>
      </c>
      <c r="Y24" s="461">
        <v>20.0</v>
      </c>
      <c r="Z24" s="461">
        <v>35.0</v>
      </c>
      <c r="AA24" s="462">
        <v>40.0</v>
      </c>
      <c r="AB24" s="461">
        <v>25.0</v>
      </c>
      <c r="AC24" s="461">
        <v>42.0</v>
      </c>
      <c r="AD24" s="461">
        <v>72.0</v>
      </c>
      <c r="AE24" s="461">
        <v>50.0</v>
      </c>
      <c r="AF24" s="461">
        <v>12.0</v>
      </c>
      <c r="AG24" s="490">
        <v>0.0</v>
      </c>
      <c r="AH24" s="461">
        <v>0.0</v>
      </c>
      <c r="AI24" s="464">
        <f t="shared" si="59"/>
        <v>331</v>
      </c>
      <c r="AJ24" s="461">
        <v>35.0</v>
      </c>
      <c r="AK24" s="461">
        <v>20.0</v>
      </c>
      <c r="AL24" s="461">
        <v>35.0</v>
      </c>
      <c r="AM24" s="462">
        <v>40.0</v>
      </c>
      <c r="AN24" s="461">
        <v>25.0</v>
      </c>
      <c r="AO24" s="461">
        <v>42.0</v>
      </c>
      <c r="AP24" s="461">
        <v>72.0</v>
      </c>
      <c r="AQ24" s="461">
        <v>50.0</v>
      </c>
      <c r="AR24" s="461">
        <v>12.0</v>
      </c>
      <c r="AS24" s="490">
        <v>0.0</v>
      </c>
      <c r="AT24" s="461">
        <v>0.0</v>
      </c>
      <c r="AU24" s="463">
        <f t="shared" si="60"/>
        <v>331</v>
      </c>
      <c r="AV24" s="465">
        <f t="shared" si="61"/>
        <v>787</v>
      </c>
      <c r="AW24" s="466"/>
      <c r="AX24" s="516">
        <v>33.73</v>
      </c>
      <c r="AY24" s="467">
        <f t="shared" si="76"/>
        <v>234.7608</v>
      </c>
      <c r="AZ24" s="517"/>
      <c r="BA24" s="469">
        <f t="shared" ref="BA24:BJ24" si="77">L24*$AY24</f>
        <v>0</v>
      </c>
      <c r="BB24" s="469">
        <f t="shared" si="77"/>
        <v>0</v>
      </c>
      <c r="BC24" s="469">
        <f t="shared" si="77"/>
        <v>0</v>
      </c>
      <c r="BD24" s="469">
        <f t="shared" si="77"/>
        <v>0</v>
      </c>
      <c r="BE24" s="469">
        <f t="shared" si="77"/>
        <v>5869.02</v>
      </c>
      <c r="BF24" s="469">
        <f t="shared" si="77"/>
        <v>0</v>
      </c>
      <c r="BG24" s="469">
        <f t="shared" si="77"/>
        <v>11738.04</v>
      </c>
      <c r="BH24" s="469">
        <f t="shared" si="77"/>
        <v>11738.04</v>
      </c>
      <c r="BI24" s="469">
        <f t="shared" si="77"/>
        <v>0</v>
      </c>
      <c r="BJ24" s="469">
        <f t="shared" si="77"/>
        <v>0</v>
      </c>
      <c r="BK24" s="470">
        <f t="shared" si="64"/>
        <v>29345.1</v>
      </c>
      <c r="BL24" s="469">
        <f t="shared" ref="BL24:BU24" si="78">X24*$AY24</f>
        <v>8216.628</v>
      </c>
      <c r="BM24" s="469">
        <f t="shared" si="78"/>
        <v>4695.216</v>
      </c>
      <c r="BN24" s="469">
        <f t="shared" si="78"/>
        <v>8216.628</v>
      </c>
      <c r="BO24" s="469">
        <f t="shared" si="78"/>
        <v>9390.432</v>
      </c>
      <c r="BP24" s="469">
        <f t="shared" si="78"/>
        <v>5869.02</v>
      </c>
      <c r="BQ24" s="469">
        <f t="shared" si="78"/>
        <v>9859.9536</v>
      </c>
      <c r="BR24" s="469">
        <f t="shared" si="78"/>
        <v>16902.7776</v>
      </c>
      <c r="BS24" s="469">
        <f t="shared" si="78"/>
        <v>11738.04</v>
      </c>
      <c r="BT24" s="469">
        <f t="shared" si="78"/>
        <v>2817.1296</v>
      </c>
      <c r="BU24" s="469">
        <f t="shared" si="78"/>
        <v>0</v>
      </c>
      <c r="BV24" s="470">
        <f t="shared" si="66"/>
        <v>77705.8248</v>
      </c>
      <c r="BW24" s="469">
        <f t="shared" ref="BW24:CF24" si="79">AJ24*$AY24</f>
        <v>8216.628</v>
      </c>
      <c r="BX24" s="469">
        <f t="shared" si="79"/>
        <v>4695.216</v>
      </c>
      <c r="BY24" s="469">
        <f t="shared" si="79"/>
        <v>8216.628</v>
      </c>
      <c r="BZ24" s="469">
        <f t="shared" si="79"/>
        <v>9390.432</v>
      </c>
      <c r="CA24" s="469">
        <f t="shared" si="79"/>
        <v>5869.02</v>
      </c>
      <c r="CB24" s="469">
        <f t="shared" si="79"/>
        <v>9859.9536</v>
      </c>
      <c r="CC24" s="469">
        <f t="shared" si="79"/>
        <v>16902.7776</v>
      </c>
      <c r="CD24" s="469">
        <f t="shared" si="79"/>
        <v>11738.04</v>
      </c>
      <c r="CE24" s="469">
        <f t="shared" si="79"/>
        <v>2817.1296</v>
      </c>
      <c r="CF24" s="469">
        <f t="shared" si="79"/>
        <v>0</v>
      </c>
      <c r="CG24" s="470">
        <f t="shared" si="68"/>
        <v>77705.8248</v>
      </c>
      <c r="CH24" s="470">
        <f t="shared" si="69"/>
        <v>184756.7496</v>
      </c>
      <c r="CI24" s="471"/>
      <c r="CJ24" s="518"/>
      <c r="CK24" s="472">
        <v>1.0</v>
      </c>
      <c r="CL24" s="104">
        <f>VLOOKUP(I24,Cotizacion!$A$2:$E$423,4,FALSE())</f>
        <v>33.73</v>
      </c>
    </row>
    <row r="25" ht="15.75" customHeight="1">
      <c r="A25" s="474" t="s">
        <v>2848</v>
      </c>
      <c r="B25" s="475">
        <v>2.0</v>
      </c>
      <c r="C25" s="476" t="s">
        <v>2707</v>
      </c>
      <c r="D25" s="477" t="s">
        <v>150</v>
      </c>
      <c r="E25" s="476" t="s">
        <v>2722</v>
      </c>
      <c r="F25" s="476" t="s">
        <v>1763</v>
      </c>
      <c r="G25" s="457" t="s">
        <v>2723</v>
      </c>
      <c r="H25" s="457" t="s">
        <v>2861</v>
      </c>
      <c r="I25" s="478" t="s">
        <v>2268</v>
      </c>
      <c r="J25" s="479" t="s">
        <v>2862</v>
      </c>
      <c r="K25" s="480" t="s">
        <v>25</v>
      </c>
      <c r="L25" s="481">
        <v>2.0</v>
      </c>
      <c r="M25" s="481">
        <v>1.0</v>
      </c>
      <c r="N25" s="481">
        <v>2.0</v>
      </c>
      <c r="O25" s="481">
        <v>2.0</v>
      </c>
      <c r="P25" s="481">
        <v>2.0</v>
      </c>
      <c r="Q25" s="481">
        <v>2.0</v>
      </c>
      <c r="R25" s="481">
        <v>2.0</v>
      </c>
      <c r="S25" s="481">
        <v>2.0</v>
      </c>
      <c r="T25" s="481">
        <v>0.0</v>
      </c>
      <c r="U25" s="492">
        <v>1.0</v>
      </c>
      <c r="V25" s="481">
        <v>0.0</v>
      </c>
      <c r="W25" s="463">
        <f t="shared" si="58"/>
        <v>16</v>
      </c>
      <c r="X25" s="481">
        <v>2.0</v>
      </c>
      <c r="Y25" s="481">
        <v>1.0</v>
      </c>
      <c r="Z25" s="481">
        <v>2.0</v>
      </c>
      <c r="AA25" s="481">
        <v>2.0</v>
      </c>
      <c r="AB25" s="481">
        <v>2.0</v>
      </c>
      <c r="AC25" s="481">
        <v>2.0</v>
      </c>
      <c r="AD25" s="481">
        <v>2.0</v>
      </c>
      <c r="AE25" s="481">
        <v>4.0</v>
      </c>
      <c r="AF25" s="481">
        <v>0.0</v>
      </c>
      <c r="AG25" s="492">
        <v>1.0</v>
      </c>
      <c r="AH25" s="481">
        <v>0.0</v>
      </c>
      <c r="AI25" s="464">
        <f t="shared" si="59"/>
        <v>18</v>
      </c>
      <c r="AJ25" s="481">
        <v>2.0</v>
      </c>
      <c r="AK25" s="481">
        <v>1.0</v>
      </c>
      <c r="AL25" s="481">
        <v>2.0</v>
      </c>
      <c r="AM25" s="481">
        <v>2.0</v>
      </c>
      <c r="AN25" s="481">
        <v>2.0</v>
      </c>
      <c r="AO25" s="481">
        <v>2.0</v>
      </c>
      <c r="AP25" s="481">
        <v>2.0</v>
      </c>
      <c r="AQ25" s="481">
        <v>4.0</v>
      </c>
      <c r="AR25" s="482">
        <v>1.0</v>
      </c>
      <c r="AS25" s="492">
        <v>1.0</v>
      </c>
      <c r="AT25" s="481">
        <v>0.0</v>
      </c>
      <c r="AU25" s="463">
        <f t="shared" si="60"/>
        <v>19</v>
      </c>
      <c r="AV25" s="483">
        <f t="shared" si="61"/>
        <v>53</v>
      </c>
      <c r="AW25" s="484"/>
      <c r="AX25" s="485">
        <v>485.51</v>
      </c>
      <c r="AY25" s="485">
        <f t="shared" si="76"/>
        <v>3379.1496</v>
      </c>
      <c r="AZ25" s="486"/>
      <c r="BA25" s="487">
        <f t="shared" ref="BA25:BJ25" si="80">L25*$AY25</f>
        <v>6758.2992</v>
      </c>
      <c r="BB25" s="487">
        <f t="shared" si="80"/>
        <v>3379.1496</v>
      </c>
      <c r="BC25" s="487">
        <f t="shared" si="80"/>
        <v>6758.2992</v>
      </c>
      <c r="BD25" s="487">
        <f t="shared" si="80"/>
        <v>6758.2992</v>
      </c>
      <c r="BE25" s="487">
        <f t="shared" si="80"/>
        <v>6758.2992</v>
      </c>
      <c r="BF25" s="487">
        <f t="shared" si="80"/>
        <v>6758.2992</v>
      </c>
      <c r="BG25" s="487">
        <f t="shared" si="80"/>
        <v>6758.2992</v>
      </c>
      <c r="BH25" s="487">
        <f t="shared" si="80"/>
        <v>6758.2992</v>
      </c>
      <c r="BI25" s="487">
        <f t="shared" si="80"/>
        <v>0</v>
      </c>
      <c r="BJ25" s="487">
        <f t="shared" si="80"/>
        <v>3379.1496</v>
      </c>
      <c r="BK25" s="488">
        <f t="shared" si="64"/>
        <v>54066.3936</v>
      </c>
      <c r="BL25" s="487">
        <f t="shared" ref="BL25:BU25" si="81">X25*$AY25</f>
        <v>6758.2992</v>
      </c>
      <c r="BM25" s="487">
        <f t="shared" si="81"/>
        <v>3379.1496</v>
      </c>
      <c r="BN25" s="487">
        <f t="shared" si="81"/>
        <v>6758.2992</v>
      </c>
      <c r="BO25" s="487">
        <f t="shared" si="81"/>
        <v>6758.2992</v>
      </c>
      <c r="BP25" s="487">
        <f t="shared" si="81"/>
        <v>6758.2992</v>
      </c>
      <c r="BQ25" s="487">
        <f t="shared" si="81"/>
        <v>6758.2992</v>
      </c>
      <c r="BR25" s="487">
        <f t="shared" si="81"/>
        <v>6758.2992</v>
      </c>
      <c r="BS25" s="487">
        <f t="shared" si="81"/>
        <v>13516.5984</v>
      </c>
      <c r="BT25" s="487">
        <f t="shared" si="81"/>
        <v>0</v>
      </c>
      <c r="BU25" s="487">
        <f t="shared" si="81"/>
        <v>3379.1496</v>
      </c>
      <c r="BV25" s="488">
        <f t="shared" si="66"/>
        <v>60824.6928</v>
      </c>
      <c r="BW25" s="487">
        <f t="shared" ref="BW25:CF25" si="82">AJ25*$AY25</f>
        <v>6758.2992</v>
      </c>
      <c r="BX25" s="487">
        <f t="shared" si="82"/>
        <v>3379.1496</v>
      </c>
      <c r="BY25" s="487">
        <f t="shared" si="82"/>
        <v>6758.2992</v>
      </c>
      <c r="BZ25" s="487">
        <f t="shared" si="82"/>
        <v>6758.2992</v>
      </c>
      <c r="CA25" s="487">
        <f t="shared" si="82"/>
        <v>6758.2992</v>
      </c>
      <c r="CB25" s="487">
        <f t="shared" si="82"/>
        <v>6758.2992</v>
      </c>
      <c r="CC25" s="487">
        <f t="shared" si="82"/>
        <v>6758.2992</v>
      </c>
      <c r="CD25" s="487">
        <f t="shared" si="82"/>
        <v>13516.5984</v>
      </c>
      <c r="CE25" s="487">
        <f t="shared" si="82"/>
        <v>3379.1496</v>
      </c>
      <c r="CF25" s="487">
        <f t="shared" si="82"/>
        <v>3379.1496</v>
      </c>
      <c r="CG25" s="488">
        <f t="shared" si="68"/>
        <v>64203.8424</v>
      </c>
      <c r="CH25" s="488">
        <f t="shared" si="69"/>
        <v>179094.9288</v>
      </c>
      <c r="CI25" s="489"/>
      <c r="CJ25" s="487"/>
      <c r="CK25" s="472">
        <v>1.0</v>
      </c>
      <c r="CL25" s="104">
        <f>VLOOKUP(I25,Cotizacion!$A$2:$E$423,4,FALSE())</f>
        <v>485.51</v>
      </c>
    </row>
    <row r="26" ht="15.75" customHeight="1">
      <c r="A26" s="453" t="s">
        <v>2848</v>
      </c>
      <c r="B26" s="454">
        <v>2.0</v>
      </c>
      <c r="C26" s="455" t="s">
        <v>2808</v>
      </c>
      <c r="D26" s="456" t="s">
        <v>61</v>
      </c>
      <c r="E26" s="455" t="s">
        <v>2708</v>
      </c>
      <c r="F26" s="455" t="s">
        <v>1763</v>
      </c>
      <c r="G26" s="457" t="s">
        <v>2709</v>
      </c>
      <c r="H26" s="457" t="s">
        <v>2863</v>
      </c>
      <c r="I26" s="458" t="s">
        <v>1952</v>
      </c>
      <c r="J26" s="459" t="s">
        <v>99</v>
      </c>
      <c r="K26" s="460" t="s">
        <v>25</v>
      </c>
      <c r="L26" s="461">
        <v>0.0</v>
      </c>
      <c r="M26" s="461">
        <v>0.0</v>
      </c>
      <c r="N26" s="461">
        <v>0.0</v>
      </c>
      <c r="O26" s="461">
        <v>0.0</v>
      </c>
      <c r="P26" s="461">
        <v>0.0</v>
      </c>
      <c r="Q26" s="461">
        <v>0.0</v>
      </c>
      <c r="R26" s="461">
        <v>0.0</v>
      </c>
      <c r="S26" s="461">
        <v>0.0</v>
      </c>
      <c r="T26" s="461">
        <v>0.0</v>
      </c>
      <c r="U26" s="461">
        <v>0.0</v>
      </c>
      <c r="V26" s="461">
        <v>0.0</v>
      </c>
      <c r="W26" s="463">
        <f t="shared" si="58"/>
        <v>0</v>
      </c>
      <c r="X26" s="461">
        <v>20.0</v>
      </c>
      <c r="Y26" s="461">
        <v>10.0</v>
      </c>
      <c r="Z26" s="461">
        <v>15.0</v>
      </c>
      <c r="AA26" s="461">
        <v>30.0</v>
      </c>
      <c r="AB26" s="461">
        <v>50.0</v>
      </c>
      <c r="AC26" s="461">
        <v>80.0</v>
      </c>
      <c r="AD26" s="519">
        <v>0.0</v>
      </c>
      <c r="AE26" s="490">
        <v>0.0</v>
      </c>
      <c r="AF26" s="461">
        <v>8.0</v>
      </c>
      <c r="AG26" s="490">
        <v>0.0</v>
      </c>
      <c r="AH26" s="461">
        <v>0.0</v>
      </c>
      <c r="AI26" s="464">
        <f t="shared" si="59"/>
        <v>213</v>
      </c>
      <c r="AJ26" s="461">
        <v>20.0</v>
      </c>
      <c r="AK26" s="461">
        <v>10.0</v>
      </c>
      <c r="AL26" s="461">
        <v>15.0</v>
      </c>
      <c r="AM26" s="461">
        <v>30.0</v>
      </c>
      <c r="AN26" s="461">
        <v>50.0</v>
      </c>
      <c r="AO26" s="461">
        <v>80.0</v>
      </c>
      <c r="AP26" s="461">
        <v>10.0</v>
      </c>
      <c r="AQ26" s="461">
        <v>15.0</v>
      </c>
      <c r="AR26" s="461">
        <v>8.0</v>
      </c>
      <c r="AS26" s="490">
        <v>0.0</v>
      </c>
      <c r="AT26" s="461">
        <v>0.0</v>
      </c>
      <c r="AU26" s="463">
        <f t="shared" si="60"/>
        <v>238</v>
      </c>
      <c r="AV26" s="465">
        <f t="shared" si="61"/>
        <v>451</v>
      </c>
      <c r="AW26" s="466"/>
      <c r="AX26" s="467">
        <v>55.84</v>
      </c>
      <c r="AY26" s="467">
        <f t="shared" si="76"/>
        <v>388.6464</v>
      </c>
      <c r="AZ26" s="468"/>
      <c r="BA26" s="469">
        <f t="shared" ref="BA26:BJ26" si="83">L26*$AY26</f>
        <v>0</v>
      </c>
      <c r="BB26" s="469">
        <f t="shared" si="83"/>
        <v>0</v>
      </c>
      <c r="BC26" s="469">
        <f t="shared" si="83"/>
        <v>0</v>
      </c>
      <c r="BD26" s="469">
        <f t="shared" si="83"/>
        <v>0</v>
      </c>
      <c r="BE26" s="469">
        <f t="shared" si="83"/>
        <v>0</v>
      </c>
      <c r="BF26" s="469">
        <f t="shared" si="83"/>
        <v>0</v>
      </c>
      <c r="BG26" s="469">
        <f t="shared" si="83"/>
        <v>0</v>
      </c>
      <c r="BH26" s="469">
        <f t="shared" si="83"/>
        <v>0</v>
      </c>
      <c r="BI26" s="469">
        <f t="shared" si="83"/>
        <v>0</v>
      </c>
      <c r="BJ26" s="469">
        <f t="shared" si="83"/>
        <v>0</v>
      </c>
      <c r="BK26" s="470">
        <f t="shared" si="64"/>
        <v>0</v>
      </c>
      <c r="BL26" s="469">
        <f t="shared" ref="BL26:BU26" si="84">X26*$AY26</f>
        <v>7772.928</v>
      </c>
      <c r="BM26" s="469">
        <f t="shared" si="84"/>
        <v>3886.464</v>
      </c>
      <c r="BN26" s="469">
        <f t="shared" si="84"/>
        <v>5829.696</v>
      </c>
      <c r="BO26" s="469">
        <f t="shared" si="84"/>
        <v>11659.392</v>
      </c>
      <c r="BP26" s="469">
        <f t="shared" si="84"/>
        <v>19432.32</v>
      </c>
      <c r="BQ26" s="469">
        <f t="shared" si="84"/>
        <v>31091.712</v>
      </c>
      <c r="BR26" s="469">
        <f t="shared" si="84"/>
        <v>0</v>
      </c>
      <c r="BS26" s="469">
        <f t="shared" si="84"/>
        <v>0</v>
      </c>
      <c r="BT26" s="469">
        <f t="shared" si="84"/>
        <v>3109.1712</v>
      </c>
      <c r="BU26" s="469">
        <f t="shared" si="84"/>
        <v>0</v>
      </c>
      <c r="BV26" s="470">
        <f t="shared" si="66"/>
        <v>82781.6832</v>
      </c>
      <c r="BW26" s="469">
        <f t="shared" ref="BW26:CF26" si="85">AJ26*$AY26</f>
        <v>7772.928</v>
      </c>
      <c r="BX26" s="469">
        <f t="shared" si="85"/>
        <v>3886.464</v>
      </c>
      <c r="BY26" s="469">
        <f t="shared" si="85"/>
        <v>5829.696</v>
      </c>
      <c r="BZ26" s="469">
        <f t="shared" si="85"/>
        <v>11659.392</v>
      </c>
      <c r="CA26" s="469">
        <f t="shared" si="85"/>
        <v>19432.32</v>
      </c>
      <c r="CB26" s="469">
        <f t="shared" si="85"/>
        <v>31091.712</v>
      </c>
      <c r="CC26" s="469">
        <f t="shared" si="85"/>
        <v>3886.464</v>
      </c>
      <c r="CD26" s="469">
        <f t="shared" si="85"/>
        <v>5829.696</v>
      </c>
      <c r="CE26" s="469">
        <f t="shared" si="85"/>
        <v>3109.1712</v>
      </c>
      <c r="CF26" s="469">
        <f t="shared" si="85"/>
        <v>0</v>
      </c>
      <c r="CG26" s="470">
        <f t="shared" si="68"/>
        <v>92497.8432</v>
      </c>
      <c r="CH26" s="470">
        <f t="shared" si="69"/>
        <v>175279.5264</v>
      </c>
      <c r="CI26" s="471"/>
      <c r="CJ26" s="469"/>
      <c r="CK26" s="472">
        <v>1.0</v>
      </c>
      <c r="CL26" s="104">
        <f>VLOOKUP(I26,Cotizacion!$A$2:$E$423,4,FALSE())</f>
        <v>55.84</v>
      </c>
    </row>
    <row r="27" ht="15.75" customHeight="1">
      <c r="A27" s="474" t="s">
        <v>2848</v>
      </c>
      <c r="B27" s="475">
        <v>2.0</v>
      </c>
      <c r="C27" s="477" t="s">
        <v>2852</v>
      </c>
      <c r="D27" s="477" t="s">
        <v>52</v>
      </c>
      <c r="E27" s="477" t="s">
        <v>2708</v>
      </c>
      <c r="F27" s="477" t="s">
        <v>1763</v>
      </c>
      <c r="G27" s="457" t="s">
        <v>2709</v>
      </c>
      <c r="H27" s="457" t="s">
        <v>2864</v>
      </c>
      <c r="I27" s="501" t="s">
        <v>2124</v>
      </c>
      <c r="J27" s="479" t="s">
        <v>219</v>
      </c>
      <c r="K27" s="502" t="s">
        <v>25</v>
      </c>
      <c r="L27" s="481">
        <v>1.0</v>
      </c>
      <c r="M27" s="481">
        <v>0.0</v>
      </c>
      <c r="N27" s="481">
        <v>1.0</v>
      </c>
      <c r="O27" s="481">
        <v>0.0</v>
      </c>
      <c r="P27" s="481">
        <v>0.0</v>
      </c>
      <c r="Q27" s="481">
        <v>0.0</v>
      </c>
      <c r="R27" s="481">
        <v>1.0</v>
      </c>
      <c r="S27" s="492">
        <v>2.0</v>
      </c>
      <c r="T27" s="481">
        <v>0.0</v>
      </c>
      <c r="U27" s="481">
        <v>0.0</v>
      </c>
      <c r="V27" s="481">
        <v>0.0</v>
      </c>
      <c r="W27" s="463">
        <f t="shared" si="58"/>
        <v>5</v>
      </c>
      <c r="X27" s="481">
        <v>4.0</v>
      </c>
      <c r="Y27" s="481">
        <v>1.0</v>
      </c>
      <c r="Z27" s="481">
        <v>4.0</v>
      </c>
      <c r="AA27" s="481">
        <v>1.0</v>
      </c>
      <c r="AB27" s="481">
        <v>1.0</v>
      </c>
      <c r="AC27" s="481">
        <v>1.0</v>
      </c>
      <c r="AD27" s="481">
        <v>6.0</v>
      </c>
      <c r="AE27" s="492">
        <v>3.0</v>
      </c>
      <c r="AF27" s="481">
        <v>1.0</v>
      </c>
      <c r="AG27" s="492">
        <v>0.0</v>
      </c>
      <c r="AH27" s="481">
        <v>0.0</v>
      </c>
      <c r="AI27" s="464">
        <f t="shared" si="59"/>
        <v>22</v>
      </c>
      <c r="AJ27" s="481">
        <v>4.0</v>
      </c>
      <c r="AK27" s="481">
        <v>1.0</v>
      </c>
      <c r="AL27" s="481">
        <v>4.0</v>
      </c>
      <c r="AM27" s="481">
        <v>1.0</v>
      </c>
      <c r="AN27" s="481">
        <v>1.0</v>
      </c>
      <c r="AO27" s="481">
        <v>1.0</v>
      </c>
      <c r="AP27" s="481">
        <v>6.0</v>
      </c>
      <c r="AQ27" s="492">
        <v>3.0</v>
      </c>
      <c r="AR27" s="481">
        <v>1.0</v>
      </c>
      <c r="AS27" s="492">
        <v>0.0</v>
      </c>
      <c r="AT27" s="481">
        <v>0.0</v>
      </c>
      <c r="AU27" s="463">
        <f t="shared" si="60"/>
        <v>22</v>
      </c>
      <c r="AV27" s="483">
        <f t="shared" si="61"/>
        <v>49</v>
      </c>
      <c r="AW27" s="484"/>
      <c r="AX27" s="503">
        <v>432.48</v>
      </c>
      <c r="AY27" s="485">
        <f t="shared" si="76"/>
        <v>3010.0608</v>
      </c>
      <c r="AZ27" s="504"/>
      <c r="BA27" s="487">
        <f t="shared" ref="BA27:BJ27" si="86">L27*$AY27</f>
        <v>3010.0608</v>
      </c>
      <c r="BB27" s="487">
        <f t="shared" si="86"/>
        <v>0</v>
      </c>
      <c r="BC27" s="487">
        <f t="shared" si="86"/>
        <v>3010.0608</v>
      </c>
      <c r="BD27" s="487">
        <f t="shared" si="86"/>
        <v>0</v>
      </c>
      <c r="BE27" s="487">
        <f t="shared" si="86"/>
        <v>0</v>
      </c>
      <c r="BF27" s="487">
        <f t="shared" si="86"/>
        <v>0</v>
      </c>
      <c r="BG27" s="487">
        <f t="shared" si="86"/>
        <v>3010.0608</v>
      </c>
      <c r="BH27" s="487">
        <f t="shared" si="86"/>
        <v>6020.1216</v>
      </c>
      <c r="BI27" s="487">
        <f t="shared" si="86"/>
        <v>0</v>
      </c>
      <c r="BJ27" s="487">
        <f t="shared" si="86"/>
        <v>0</v>
      </c>
      <c r="BK27" s="488">
        <f t="shared" si="64"/>
        <v>15050.304</v>
      </c>
      <c r="BL27" s="487">
        <f t="shared" ref="BL27:BU27" si="87">X27*$AY27</f>
        <v>12040.2432</v>
      </c>
      <c r="BM27" s="487">
        <f t="shared" si="87"/>
        <v>3010.0608</v>
      </c>
      <c r="BN27" s="487">
        <f t="shared" si="87"/>
        <v>12040.2432</v>
      </c>
      <c r="BO27" s="487">
        <f t="shared" si="87"/>
        <v>3010.0608</v>
      </c>
      <c r="BP27" s="487">
        <f t="shared" si="87"/>
        <v>3010.0608</v>
      </c>
      <c r="BQ27" s="487">
        <f t="shared" si="87"/>
        <v>3010.0608</v>
      </c>
      <c r="BR27" s="487">
        <f t="shared" si="87"/>
        <v>18060.3648</v>
      </c>
      <c r="BS27" s="487">
        <f t="shared" si="87"/>
        <v>9030.1824</v>
      </c>
      <c r="BT27" s="487">
        <f t="shared" si="87"/>
        <v>3010.0608</v>
      </c>
      <c r="BU27" s="487">
        <f t="shared" si="87"/>
        <v>0</v>
      </c>
      <c r="BV27" s="488">
        <f t="shared" si="66"/>
        <v>66221.3376</v>
      </c>
      <c r="BW27" s="487">
        <f t="shared" ref="BW27:CF27" si="88">AJ27*$AY27</f>
        <v>12040.2432</v>
      </c>
      <c r="BX27" s="487">
        <f t="shared" si="88"/>
        <v>3010.0608</v>
      </c>
      <c r="BY27" s="487">
        <f t="shared" si="88"/>
        <v>12040.2432</v>
      </c>
      <c r="BZ27" s="487">
        <f t="shared" si="88"/>
        <v>3010.0608</v>
      </c>
      <c r="CA27" s="487">
        <f t="shared" si="88"/>
        <v>3010.0608</v>
      </c>
      <c r="CB27" s="487">
        <f t="shared" si="88"/>
        <v>3010.0608</v>
      </c>
      <c r="CC27" s="487">
        <f t="shared" si="88"/>
        <v>18060.3648</v>
      </c>
      <c r="CD27" s="487">
        <f t="shared" si="88"/>
        <v>9030.1824</v>
      </c>
      <c r="CE27" s="487">
        <f t="shared" si="88"/>
        <v>3010.0608</v>
      </c>
      <c r="CF27" s="487">
        <f t="shared" si="88"/>
        <v>0</v>
      </c>
      <c r="CG27" s="488">
        <f t="shared" si="68"/>
        <v>66221.3376</v>
      </c>
      <c r="CH27" s="488">
        <f t="shared" si="69"/>
        <v>147492.9792</v>
      </c>
      <c r="CI27" s="489"/>
      <c r="CJ27" s="505"/>
      <c r="CK27" s="472">
        <v>1.0</v>
      </c>
      <c r="CL27" s="104">
        <f>VLOOKUP(I27,Cotizacion!$A$2:$E$423,4,FALSE())</f>
        <v>432.48</v>
      </c>
    </row>
    <row r="28" ht="15.75" customHeight="1">
      <c r="A28" s="453" t="s">
        <v>2848</v>
      </c>
      <c r="B28" s="454">
        <v>2.0</v>
      </c>
      <c r="C28" s="455" t="s">
        <v>2707</v>
      </c>
      <c r="D28" s="456" t="s">
        <v>785</v>
      </c>
      <c r="E28" s="455" t="s">
        <v>2708</v>
      </c>
      <c r="F28" s="455" t="s">
        <v>1763</v>
      </c>
      <c r="G28" s="457" t="s">
        <v>2709</v>
      </c>
      <c r="H28" s="457" t="s">
        <v>2751</v>
      </c>
      <c r="I28" s="458" t="s">
        <v>2092</v>
      </c>
      <c r="J28" s="459" t="s">
        <v>301</v>
      </c>
      <c r="K28" s="460" t="s">
        <v>25</v>
      </c>
      <c r="L28" s="461">
        <v>33.0</v>
      </c>
      <c r="M28" s="461">
        <v>24.0</v>
      </c>
      <c r="N28" s="461">
        <v>33.0</v>
      </c>
      <c r="O28" s="462">
        <v>0.0</v>
      </c>
      <c r="P28" s="462">
        <v>0.0</v>
      </c>
      <c r="Q28" s="462">
        <v>0.0</v>
      </c>
      <c r="R28" s="461">
        <v>33.0</v>
      </c>
      <c r="S28" s="461">
        <v>33.0</v>
      </c>
      <c r="T28" s="461">
        <v>10.0</v>
      </c>
      <c r="U28" s="490">
        <v>0.0</v>
      </c>
      <c r="V28" s="461">
        <v>0.0</v>
      </c>
      <c r="W28" s="463">
        <f t="shared" si="58"/>
        <v>166</v>
      </c>
      <c r="X28" s="461">
        <v>112.0</v>
      </c>
      <c r="Y28" s="461">
        <v>80.0</v>
      </c>
      <c r="Z28" s="461">
        <v>112.0</v>
      </c>
      <c r="AA28" s="462">
        <v>40.0</v>
      </c>
      <c r="AB28" s="462">
        <v>56.0</v>
      </c>
      <c r="AC28" s="462">
        <v>88.0</v>
      </c>
      <c r="AD28" s="461">
        <v>112.0</v>
      </c>
      <c r="AE28" s="461">
        <v>112.0</v>
      </c>
      <c r="AF28" s="461">
        <v>32.0</v>
      </c>
      <c r="AG28" s="490">
        <v>50.0</v>
      </c>
      <c r="AH28" s="461">
        <v>0.0</v>
      </c>
      <c r="AI28" s="464">
        <f t="shared" si="59"/>
        <v>794</v>
      </c>
      <c r="AJ28" s="461">
        <v>112.0</v>
      </c>
      <c r="AK28" s="461">
        <v>80.0</v>
      </c>
      <c r="AL28" s="461">
        <v>112.0</v>
      </c>
      <c r="AM28" s="462">
        <v>40.0</v>
      </c>
      <c r="AN28" s="462">
        <v>56.0</v>
      </c>
      <c r="AO28" s="462">
        <v>88.0</v>
      </c>
      <c r="AP28" s="461">
        <v>112.0</v>
      </c>
      <c r="AQ28" s="461">
        <v>112.0</v>
      </c>
      <c r="AR28" s="461">
        <v>32.0</v>
      </c>
      <c r="AS28" s="461">
        <v>96.0</v>
      </c>
      <c r="AT28" s="461">
        <v>0.0</v>
      </c>
      <c r="AU28" s="463">
        <f t="shared" si="60"/>
        <v>840</v>
      </c>
      <c r="AV28" s="465">
        <f t="shared" si="61"/>
        <v>1800</v>
      </c>
      <c r="AW28" s="466"/>
      <c r="AX28" s="467">
        <v>9.31</v>
      </c>
      <c r="AY28" s="467">
        <f t="shared" si="76"/>
        <v>64.7976</v>
      </c>
      <c r="AZ28" s="468"/>
      <c r="BA28" s="469">
        <f t="shared" ref="BA28:BJ28" si="89">L28*$AY28</f>
        <v>2138.3208</v>
      </c>
      <c r="BB28" s="469">
        <f t="shared" si="89"/>
        <v>1555.1424</v>
      </c>
      <c r="BC28" s="469">
        <f t="shared" si="89"/>
        <v>2138.3208</v>
      </c>
      <c r="BD28" s="469">
        <f t="shared" si="89"/>
        <v>0</v>
      </c>
      <c r="BE28" s="469">
        <f t="shared" si="89"/>
        <v>0</v>
      </c>
      <c r="BF28" s="469">
        <f t="shared" si="89"/>
        <v>0</v>
      </c>
      <c r="BG28" s="469">
        <f t="shared" si="89"/>
        <v>2138.3208</v>
      </c>
      <c r="BH28" s="469">
        <f t="shared" si="89"/>
        <v>2138.3208</v>
      </c>
      <c r="BI28" s="469">
        <f t="shared" si="89"/>
        <v>647.976</v>
      </c>
      <c r="BJ28" s="469">
        <f t="shared" si="89"/>
        <v>0</v>
      </c>
      <c r="BK28" s="470">
        <f t="shared" si="64"/>
        <v>10756.4016</v>
      </c>
      <c r="BL28" s="469">
        <f t="shared" ref="BL28:BU28" si="90">X28*$AY28</f>
        <v>7257.3312</v>
      </c>
      <c r="BM28" s="469">
        <f t="shared" si="90"/>
        <v>5183.808</v>
      </c>
      <c r="BN28" s="469">
        <f t="shared" si="90"/>
        <v>7257.3312</v>
      </c>
      <c r="BO28" s="469">
        <f t="shared" si="90"/>
        <v>2591.904</v>
      </c>
      <c r="BP28" s="469">
        <f t="shared" si="90"/>
        <v>3628.6656</v>
      </c>
      <c r="BQ28" s="469">
        <f t="shared" si="90"/>
        <v>5702.1888</v>
      </c>
      <c r="BR28" s="469">
        <f t="shared" si="90"/>
        <v>7257.3312</v>
      </c>
      <c r="BS28" s="469">
        <f t="shared" si="90"/>
        <v>7257.3312</v>
      </c>
      <c r="BT28" s="469">
        <f t="shared" si="90"/>
        <v>2073.5232</v>
      </c>
      <c r="BU28" s="469">
        <f t="shared" si="90"/>
        <v>3239.88</v>
      </c>
      <c r="BV28" s="470">
        <f t="shared" si="66"/>
        <v>51449.2944</v>
      </c>
      <c r="BW28" s="469">
        <f t="shared" ref="BW28:CF28" si="91">AJ28*$AY28</f>
        <v>7257.3312</v>
      </c>
      <c r="BX28" s="469">
        <f t="shared" si="91"/>
        <v>5183.808</v>
      </c>
      <c r="BY28" s="469">
        <f t="shared" si="91"/>
        <v>7257.3312</v>
      </c>
      <c r="BZ28" s="469">
        <f t="shared" si="91"/>
        <v>2591.904</v>
      </c>
      <c r="CA28" s="469">
        <f t="shared" si="91"/>
        <v>3628.6656</v>
      </c>
      <c r="CB28" s="469">
        <f t="shared" si="91"/>
        <v>5702.1888</v>
      </c>
      <c r="CC28" s="469">
        <f t="shared" si="91"/>
        <v>7257.3312</v>
      </c>
      <c r="CD28" s="469">
        <f t="shared" si="91"/>
        <v>7257.3312</v>
      </c>
      <c r="CE28" s="469">
        <f t="shared" si="91"/>
        <v>2073.5232</v>
      </c>
      <c r="CF28" s="469">
        <f t="shared" si="91"/>
        <v>6220.5696</v>
      </c>
      <c r="CG28" s="470">
        <f t="shared" si="68"/>
        <v>54429.984</v>
      </c>
      <c r="CH28" s="470">
        <f t="shared" si="69"/>
        <v>116635.68</v>
      </c>
      <c r="CI28" s="471"/>
      <c r="CJ28" s="469" t="s">
        <v>2865</v>
      </c>
      <c r="CK28" s="472">
        <v>1.0</v>
      </c>
      <c r="CL28" s="104">
        <f>VLOOKUP(I28,Cotizacion!$A$2:$E$423,4,FALSE())</f>
        <v>9.31</v>
      </c>
    </row>
    <row r="29" ht="15.75" customHeight="1">
      <c r="A29" s="474"/>
      <c r="B29" s="475"/>
      <c r="C29" s="476"/>
      <c r="D29" s="477"/>
      <c r="E29" s="476"/>
      <c r="F29" s="476"/>
      <c r="G29" s="457"/>
      <c r="H29" s="457"/>
      <c r="I29" s="506"/>
      <c r="J29" s="477"/>
      <c r="K29" s="480"/>
      <c r="L29" s="481"/>
      <c r="M29" s="481"/>
      <c r="N29" s="481"/>
      <c r="O29" s="481"/>
      <c r="P29" s="481"/>
      <c r="Q29" s="481"/>
      <c r="R29" s="481"/>
      <c r="S29" s="492"/>
      <c r="T29" s="481"/>
      <c r="U29" s="481"/>
      <c r="V29" s="481"/>
      <c r="W29" s="496"/>
      <c r="X29" s="481"/>
      <c r="Y29" s="481"/>
      <c r="Z29" s="481"/>
      <c r="AA29" s="481"/>
      <c r="AB29" s="481"/>
      <c r="AC29" s="481"/>
      <c r="AD29" s="481"/>
      <c r="AE29" s="520"/>
      <c r="AF29" s="481"/>
      <c r="AG29" s="481"/>
      <c r="AH29" s="481"/>
      <c r="AI29" s="496"/>
      <c r="AJ29" s="481"/>
      <c r="AK29" s="481"/>
      <c r="AL29" s="481"/>
      <c r="AM29" s="481"/>
      <c r="AN29" s="481"/>
      <c r="AO29" s="481"/>
      <c r="AP29" s="481"/>
      <c r="AQ29" s="520"/>
      <c r="AR29" s="481"/>
      <c r="AS29" s="481"/>
      <c r="AT29" s="481"/>
      <c r="AU29" s="496"/>
      <c r="AV29" s="485"/>
      <c r="AW29" s="484"/>
      <c r="AX29" s="507"/>
      <c r="AY29" s="485"/>
      <c r="AZ29" s="486"/>
      <c r="BA29" s="487"/>
      <c r="BB29" s="487"/>
      <c r="BC29" s="487"/>
      <c r="BD29" s="487"/>
      <c r="BE29" s="487"/>
      <c r="BF29" s="487"/>
      <c r="BG29" s="487"/>
      <c r="BH29" s="487"/>
      <c r="BI29" s="487"/>
      <c r="BJ29" s="487"/>
      <c r="BK29" s="488"/>
      <c r="BL29" s="487"/>
      <c r="BM29" s="487"/>
      <c r="BN29" s="487"/>
      <c r="BO29" s="487"/>
      <c r="BP29" s="487"/>
      <c r="BQ29" s="487"/>
      <c r="BR29" s="487"/>
      <c r="BS29" s="487"/>
      <c r="BT29" s="487"/>
      <c r="BU29" s="487"/>
      <c r="BV29" s="488"/>
      <c r="BW29" s="487"/>
      <c r="BX29" s="487"/>
      <c r="BY29" s="487"/>
      <c r="BZ29" s="487"/>
      <c r="CA29" s="487"/>
      <c r="CB29" s="487"/>
      <c r="CC29" s="487"/>
      <c r="CD29" s="487"/>
      <c r="CE29" s="487"/>
      <c r="CF29" s="487"/>
      <c r="CG29" s="488"/>
      <c r="CH29" s="488"/>
      <c r="CI29" s="508"/>
      <c r="CJ29" s="509"/>
      <c r="CK29" s="472"/>
    </row>
    <row r="30" ht="15.75" customHeight="1">
      <c r="A30" s="453"/>
      <c r="B30" s="455"/>
      <c r="C30" s="455"/>
      <c r="D30" s="455"/>
      <c r="E30" s="455"/>
      <c r="F30" s="455"/>
      <c r="G30" s="455"/>
      <c r="H30" s="521"/>
      <c r="I30" s="495"/>
      <c r="J30" s="456"/>
      <c r="K30" s="460"/>
      <c r="L30" s="461"/>
      <c r="M30" s="461"/>
      <c r="N30" s="461"/>
      <c r="O30" s="461"/>
      <c r="P30" s="461"/>
      <c r="Q30" s="461"/>
      <c r="R30" s="461"/>
      <c r="S30" s="461"/>
      <c r="T30" s="461"/>
      <c r="U30" s="461"/>
      <c r="V30" s="461"/>
      <c r="W30" s="522"/>
      <c r="X30" s="461"/>
      <c r="Y30" s="461"/>
      <c r="Z30" s="461"/>
      <c r="AA30" s="461"/>
      <c r="AB30" s="461"/>
      <c r="AC30" s="461"/>
      <c r="AD30" s="461"/>
      <c r="AE30" s="461"/>
      <c r="AF30" s="461"/>
      <c r="AG30" s="461"/>
      <c r="AH30" s="461"/>
      <c r="AI30" s="522"/>
      <c r="AJ30" s="461"/>
      <c r="AK30" s="461"/>
      <c r="AL30" s="461"/>
      <c r="AM30" s="461"/>
      <c r="AN30" s="461"/>
      <c r="AO30" s="461"/>
      <c r="AP30" s="461"/>
      <c r="AQ30" s="461"/>
      <c r="AR30" s="461"/>
      <c r="AS30" s="461"/>
      <c r="AT30" s="461"/>
      <c r="AU30" s="522"/>
      <c r="AV30" s="461"/>
      <c r="AW30" s="466"/>
      <c r="AX30" s="523"/>
      <c r="AY30" s="462"/>
      <c r="AZ30" s="468"/>
      <c r="BA30" s="469"/>
      <c r="BB30" s="469"/>
      <c r="BC30" s="469"/>
      <c r="BD30" s="469"/>
      <c r="BE30" s="469"/>
      <c r="BF30" s="469"/>
      <c r="BG30" s="469"/>
      <c r="BH30" s="469"/>
      <c r="BI30" s="469"/>
      <c r="BJ30" s="469"/>
      <c r="BK30" s="469"/>
      <c r="BL30" s="469"/>
      <c r="BM30" s="469"/>
      <c r="BN30" s="469"/>
      <c r="BO30" s="469"/>
      <c r="BP30" s="469"/>
      <c r="BQ30" s="469"/>
      <c r="BR30" s="469"/>
      <c r="BS30" s="469"/>
      <c r="BT30" s="469"/>
      <c r="BU30" s="469"/>
      <c r="BV30" s="469"/>
      <c r="BW30" s="469"/>
      <c r="BX30" s="469"/>
      <c r="BY30" s="469"/>
      <c r="BZ30" s="469"/>
      <c r="CA30" s="469"/>
      <c r="CB30" s="469"/>
      <c r="CC30" s="469"/>
      <c r="CD30" s="469"/>
      <c r="CE30" s="469"/>
      <c r="CF30" s="469"/>
      <c r="CG30" s="469"/>
      <c r="CH30" s="469"/>
      <c r="CI30" s="498"/>
      <c r="CJ30" s="499"/>
      <c r="CK30" s="472"/>
    </row>
    <row r="31" ht="15.75" customHeight="1">
      <c r="A31" s="474"/>
      <c r="B31" s="475"/>
      <c r="C31" s="476"/>
      <c r="D31" s="477"/>
      <c r="E31" s="476"/>
      <c r="F31" s="476"/>
      <c r="G31" s="457"/>
      <c r="H31" s="457"/>
      <c r="I31" s="506"/>
      <c r="J31" s="477"/>
      <c r="K31" s="480"/>
      <c r="L31" s="481"/>
      <c r="M31" s="481"/>
      <c r="N31" s="481"/>
      <c r="O31" s="482"/>
      <c r="P31" s="482"/>
      <c r="Q31" s="482"/>
      <c r="R31" s="481"/>
      <c r="S31" s="492"/>
      <c r="T31" s="481"/>
      <c r="U31" s="481"/>
      <c r="V31" s="481"/>
      <c r="W31" s="463"/>
      <c r="X31" s="481"/>
      <c r="Y31" s="481"/>
      <c r="Z31" s="481"/>
      <c r="AA31" s="482"/>
      <c r="AB31" s="482"/>
      <c r="AC31" s="482"/>
      <c r="AD31" s="481"/>
      <c r="AE31" s="492"/>
      <c r="AF31" s="481"/>
      <c r="AG31" s="481"/>
      <c r="AH31" s="481"/>
      <c r="AI31" s="464"/>
      <c r="AJ31" s="481"/>
      <c r="AK31" s="481"/>
      <c r="AL31" s="481"/>
      <c r="AM31" s="482"/>
      <c r="AN31" s="482"/>
      <c r="AO31" s="482"/>
      <c r="AP31" s="481"/>
      <c r="AQ31" s="492"/>
      <c r="AR31" s="481"/>
      <c r="AS31" s="481"/>
      <c r="AT31" s="481"/>
      <c r="AU31" s="463"/>
      <c r="AV31" s="485"/>
      <c r="AW31" s="484"/>
      <c r="AX31" s="485"/>
      <c r="AY31" s="485"/>
      <c r="AZ31" s="486"/>
      <c r="BA31" s="487"/>
      <c r="BB31" s="487"/>
      <c r="BC31" s="487"/>
      <c r="BD31" s="487"/>
      <c r="BE31" s="487"/>
      <c r="BF31" s="487"/>
      <c r="BG31" s="487"/>
      <c r="BH31" s="487"/>
      <c r="BI31" s="487"/>
      <c r="BJ31" s="487"/>
      <c r="BK31" s="488"/>
      <c r="BL31" s="487"/>
      <c r="BM31" s="487"/>
      <c r="BN31" s="487"/>
      <c r="BO31" s="487"/>
      <c r="BP31" s="487"/>
      <c r="BQ31" s="487"/>
      <c r="BR31" s="487"/>
      <c r="BS31" s="487"/>
      <c r="BT31" s="487"/>
      <c r="BU31" s="487"/>
      <c r="BV31" s="488"/>
      <c r="BW31" s="487"/>
      <c r="BX31" s="487"/>
      <c r="BY31" s="487"/>
      <c r="BZ31" s="487"/>
      <c r="CA31" s="487"/>
      <c r="CB31" s="487"/>
      <c r="CC31" s="487"/>
      <c r="CD31" s="487"/>
      <c r="CE31" s="487"/>
      <c r="CF31" s="487"/>
      <c r="CG31" s="488"/>
      <c r="CH31" s="488"/>
      <c r="CI31" s="508"/>
      <c r="CJ31" s="509"/>
      <c r="CK31" s="472"/>
    </row>
    <row r="32" ht="15.75" customHeight="1">
      <c r="A32" s="453" t="s">
        <v>2848</v>
      </c>
      <c r="B32" s="454"/>
      <c r="C32" s="455" t="s">
        <v>2808</v>
      </c>
      <c r="D32" s="456" t="s">
        <v>362</v>
      </c>
      <c r="E32" s="455" t="s">
        <v>2708</v>
      </c>
      <c r="F32" s="455" t="s">
        <v>1763</v>
      </c>
      <c r="G32" s="457" t="s">
        <v>2709</v>
      </c>
      <c r="H32" s="457" t="s">
        <v>2866</v>
      </c>
      <c r="I32" s="495">
        <v>1.0863213E7</v>
      </c>
      <c r="J32" s="456" t="s">
        <v>2867</v>
      </c>
      <c r="K32" s="460" t="s">
        <v>25</v>
      </c>
      <c r="L32" s="462">
        <v>0.0</v>
      </c>
      <c r="M32" s="462">
        <v>0.0</v>
      </c>
      <c r="N32" s="462">
        <v>0.0</v>
      </c>
      <c r="O32" s="461">
        <v>0.0</v>
      </c>
      <c r="P32" s="461">
        <v>0.0</v>
      </c>
      <c r="Q32" s="461">
        <v>0.0</v>
      </c>
      <c r="R32" s="462">
        <v>0.0</v>
      </c>
      <c r="S32" s="490">
        <v>0.0</v>
      </c>
      <c r="T32" s="462">
        <v>0.0</v>
      </c>
      <c r="U32" s="461">
        <v>0.0</v>
      </c>
      <c r="V32" s="461">
        <v>0.0</v>
      </c>
      <c r="W32" s="463">
        <f>SUM(L32:V32)</f>
        <v>0</v>
      </c>
      <c r="X32" s="462">
        <v>0.0</v>
      </c>
      <c r="Y32" s="462">
        <v>0.0</v>
      </c>
      <c r="Z32" s="462">
        <v>0.0</v>
      </c>
      <c r="AA32" s="461">
        <v>0.0</v>
      </c>
      <c r="AB32" s="461">
        <v>0.0</v>
      </c>
      <c r="AC32" s="461">
        <v>0.0</v>
      </c>
      <c r="AD32" s="462">
        <v>0.0</v>
      </c>
      <c r="AE32" s="462">
        <v>0.0</v>
      </c>
      <c r="AF32" s="462">
        <v>0.0</v>
      </c>
      <c r="AG32" s="461">
        <v>0.0</v>
      </c>
      <c r="AH32" s="461">
        <v>0.0</v>
      </c>
      <c r="AI32" s="464">
        <f>SUM(X32:AH32)</f>
        <v>0</v>
      </c>
      <c r="AJ32" s="462">
        <v>0.0</v>
      </c>
      <c r="AK32" s="462">
        <v>0.0</v>
      </c>
      <c r="AL32" s="462">
        <v>0.0</v>
      </c>
      <c r="AM32" s="461">
        <v>0.0</v>
      </c>
      <c r="AN32" s="461">
        <v>0.0</v>
      </c>
      <c r="AO32" s="461">
        <v>0.0</v>
      </c>
      <c r="AP32" s="462">
        <v>0.0</v>
      </c>
      <c r="AQ32" s="462">
        <v>0.0</v>
      </c>
      <c r="AR32" s="462">
        <v>0.0</v>
      </c>
      <c r="AS32" s="461">
        <v>0.0</v>
      </c>
      <c r="AT32" s="461">
        <v>0.0</v>
      </c>
      <c r="AU32" s="463">
        <f>ROUNDUP( SUM(AJ32:AT32))</f>
        <v>0</v>
      </c>
      <c r="AV32" s="467">
        <f>W32+AI32+AU32</f>
        <v>0</v>
      </c>
      <c r="AW32" s="466"/>
      <c r="AX32" s="497">
        <v>35.57</v>
      </c>
      <c r="AY32" s="467">
        <v>247.9229</v>
      </c>
      <c r="AZ32" s="468"/>
      <c r="BA32" s="469">
        <f t="shared" ref="BA32:BJ32" si="92">L32*$AY32</f>
        <v>0</v>
      </c>
      <c r="BB32" s="469">
        <f t="shared" si="92"/>
        <v>0</v>
      </c>
      <c r="BC32" s="469">
        <f t="shared" si="92"/>
        <v>0</v>
      </c>
      <c r="BD32" s="469">
        <f t="shared" si="92"/>
        <v>0</v>
      </c>
      <c r="BE32" s="469">
        <f t="shared" si="92"/>
        <v>0</v>
      </c>
      <c r="BF32" s="469">
        <f t="shared" si="92"/>
        <v>0</v>
      </c>
      <c r="BG32" s="469">
        <f t="shared" si="92"/>
        <v>0</v>
      </c>
      <c r="BH32" s="469">
        <f t="shared" si="92"/>
        <v>0</v>
      </c>
      <c r="BI32" s="469">
        <f t="shared" si="92"/>
        <v>0</v>
      </c>
      <c r="BJ32" s="469">
        <f t="shared" si="92"/>
        <v>0</v>
      </c>
      <c r="BK32" s="470">
        <f>AY32*W32</f>
        <v>0</v>
      </c>
      <c r="BL32" s="469">
        <f t="shared" ref="BL32:BU32" si="93">X32*$AY32</f>
        <v>0</v>
      </c>
      <c r="BM32" s="469">
        <f t="shared" si="93"/>
        <v>0</v>
      </c>
      <c r="BN32" s="469">
        <f t="shared" si="93"/>
        <v>0</v>
      </c>
      <c r="BO32" s="469">
        <f t="shared" si="93"/>
        <v>0</v>
      </c>
      <c r="BP32" s="469">
        <f t="shared" si="93"/>
        <v>0</v>
      </c>
      <c r="BQ32" s="469">
        <f t="shared" si="93"/>
        <v>0</v>
      </c>
      <c r="BR32" s="469">
        <f t="shared" si="93"/>
        <v>0</v>
      </c>
      <c r="BS32" s="469">
        <f t="shared" si="93"/>
        <v>0</v>
      </c>
      <c r="BT32" s="469">
        <f t="shared" si="93"/>
        <v>0</v>
      </c>
      <c r="BU32" s="469">
        <f t="shared" si="93"/>
        <v>0</v>
      </c>
      <c r="BV32" s="470">
        <f>AY32*AI32</f>
        <v>0</v>
      </c>
      <c r="BW32" s="469">
        <f t="shared" ref="BW32:CF32" si="94">AJ32*$AY32</f>
        <v>0</v>
      </c>
      <c r="BX32" s="469">
        <f t="shared" si="94"/>
        <v>0</v>
      </c>
      <c r="BY32" s="469">
        <f t="shared" si="94"/>
        <v>0</v>
      </c>
      <c r="BZ32" s="469">
        <f t="shared" si="94"/>
        <v>0</v>
      </c>
      <c r="CA32" s="469">
        <f t="shared" si="94"/>
        <v>0</v>
      </c>
      <c r="CB32" s="469">
        <f t="shared" si="94"/>
        <v>0</v>
      </c>
      <c r="CC32" s="469">
        <f t="shared" si="94"/>
        <v>0</v>
      </c>
      <c r="CD32" s="469">
        <f t="shared" si="94"/>
        <v>0</v>
      </c>
      <c r="CE32" s="469">
        <f t="shared" si="94"/>
        <v>0</v>
      </c>
      <c r="CF32" s="469">
        <f t="shared" si="94"/>
        <v>0</v>
      </c>
      <c r="CG32" s="470">
        <f>AY32*AU32</f>
        <v>0</v>
      </c>
      <c r="CH32" s="470">
        <f>BK32+BV32+CG32</f>
        <v>0</v>
      </c>
      <c r="CI32" s="498"/>
      <c r="CJ32" s="499"/>
      <c r="CK32" s="472">
        <v>1.0</v>
      </c>
    </row>
    <row r="33" ht="15.75" customHeight="1">
      <c r="A33" s="474"/>
      <c r="B33" s="476"/>
      <c r="C33" s="476"/>
      <c r="D33" s="475"/>
      <c r="E33" s="476"/>
      <c r="F33" s="476"/>
      <c r="G33" s="476"/>
      <c r="H33" s="476"/>
      <c r="I33" s="506"/>
      <c r="J33" s="477"/>
      <c r="K33" s="480"/>
      <c r="L33" s="481"/>
      <c r="M33" s="481"/>
      <c r="N33" s="481"/>
      <c r="O33" s="481"/>
      <c r="P33" s="481"/>
      <c r="Q33" s="481"/>
      <c r="R33" s="481"/>
      <c r="S33" s="481"/>
      <c r="T33" s="481"/>
      <c r="U33" s="481"/>
      <c r="V33" s="481"/>
      <c r="W33" s="522"/>
      <c r="X33" s="481"/>
      <c r="Y33" s="481"/>
      <c r="Z33" s="481"/>
      <c r="AA33" s="481"/>
      <c r="AB33" s="481"/>
      <c r="AC33" s="481"/>
      <c r="AD33" s="481"/>
      <c r="AE33" s="481"/>
      <c r="AF33" s="481"/>
      <c r="AG33" s="481"/>
      <c r="AH33" s="481"/>
      <c r="AI33" s="522"/>
      <c r="AJ33" s="481"/>
      <c r="AK33" s="481"/>
      <c r="AL33" s="481"/>
      <c r="AM33" s="481"/>
      <c r="AN33" s="481"/>
      <c r="AO33" s="481"/>
      <c r="AP33" s="481"/>
      <c r="AQ33" s="481"/>
      <c r="AR33" s="481"/>
      <c r="AS33" s="481"/>
      <c r="AT33" s="481"/>
      <c r="AU33" s="524"/>
      <c r="AV33" s="481"/>
      <c r="AW33" s="484"/>
      <c r="AX33" s="525"/>
      <c r="AY33" s="482"/>
      <c r="AZ33" s="486"/>
      <c r="BA33" s="487"/>
      <c r="BB33" s="487"/>
      <c r="BC33" s="487"/>
      <c r="BD33" s="487"/>
      <c r="BE33" s="487"/>
      <c r="BF33" s="487"/>
      <c r="BG33" s="487"/>
      <c r="BH33" s="487"/>
      <c r="BI33" s="487"/>
      <c r="BJ33" s="487"/>
      <c r="BK33" s="487"/>
      <c r="BL33" s="487"/>
      <c r="BM33" s="487"/>
      <c r="BN33" s="487"/>
      <c r="BO33" s="487"/>
      <c r="BP33" s="487"/>
      <c r="BQ33" s="487"/>
      <c r="BR33" s="487"/>
      <c r="BS33" s="487"/>
      <c r="BT33" s="487"/>
      <c r="BU33" s="487"/>
      <c r="BV33" s="487"/>
      <c r="BW33" s="487"/>
      <c r="BX33" s="487"/>
      <c r="BY33" s="487"/>
      <c r="BZ33" s="487"/>
      <c r="CA33" s="487"/>
      <c r="CB33" s="487"/>
      <c r="CC33" s="487"/>
      <c r="CD33" s="487"/>
      <c r="CE33" s="487"/>
      <c r="CF33" s="487"/>
      <c r="CG33" s="487"/>
      <c r="CH33" s="487"/>
      <c r="CI33" s="508"/>
      <c r="CJ33" s="509"/>
      <c r="CK33" s="472"/>
    </row>
    <row r="34" ht="15.75" customHeight="1">
      <c r="A34" s="453"/>
      <c r="B34" s="454"/>
      <c r="C34" s="455"/>
      <c r="D34" s="454"/>
      <c r="E34" s="455"/>
      <c r="F34" s="455"/>
      <c r="G34" s="457"/>
      <c r="H34" s="457"/>
      <c r="I34" s="495"/>
      <c r="J34" s="456"/>
      <c r="K34" s="460"/>
      <c r="L34" s="526"/>
      <c r="M34" s="526"/>
      <c r="N34" s="526"/>
      <c r="O34" s="526"/>
      <c r="P34" s="526"/>
      <c r="Q34" s="526"/>
      <c r="R34" s="526"/>
      <c r="S34" s="526"/>
      <c r="T34" s="526"/>
      <c r="U34" s="461"/>
      <c r="V34" s="461"/>
      <c r="W34" s="496"/>
      <c r="X34" s="526"/>
      <c r="Y34" s="526"/>
      <c r="Z34" s="526"/>
      <c r="AA34" s="526"/>
      <c r="AB34" s="526"/>
      <c r="AC34" s="526"/>
      <c r="AD34" s="527"/>
      <c r="AE34" s="526"/>
      <c r="AF34" s="526"/>
      <c r="AG34" s="461"/>
      <c r="AH34" s="461"/>
      <c r="AI34" s="510"/>
      <c r="AJ34" s="526"/>
      <c r="AK34" s="526"/>
      <c r="AL34" s="526"/>
      <c r="AM34" s="526"/>
      <c r="AN34" s="526"/>
      <c r="AO34" s="526"/>
      <c r="AP34" s="526"/>
      <c r="AQ34" s="527"/>
      <c r="AR34" s="526"/>
      <c r="AS34" s="461"/>
      <c r="AT34" s="461"/>
      <c r="AU34" s="528"/>
      <c r="AV34" s="467"/>
      <c r="AW34" s="466"/>
      <c r="AX34" s="497"/>
      <c r="AY34" s="467"/>
      <c r="AZ34" s="468"/>
      <c r="BA34" s="469"/>
      <c r="BB34" s="469"/>
      <c r="BC34" s="469"/>
      <c r="BD34" s="469"/>
      <c r="BE34" s="469"/>
      <c r="BF34" s="469"/>
      <c r="BG34" s="469"/>
      <c r="BH34" s="469"/>
      <c r="BI34" s="469"/>
      <c r="BJ34" s="469"/>
      <c r="BK34" s="470"/>
      <c r="BL34" s="469"/>
      <c r="BM34" s="469"/>
      <c r="BN34" s="469"/>
      <c r="BO34" s="469"/>
      <c r="BP34" s="469"/>
      <c r="BQ34" s="469"/>
      <c r="BR34" s="469"/>
      <c r="BS34" s="469"/>
      <c r="BT34" s="469"/>
      <c r="BU34" s="469"/>
      <c r="BV34" s="470"/>
      <c r="BW34" s="469"/>
      <c r="BX34" s="469"/>
      <c r="BY34" s="469"/>
      <c r="BZ34" s="469"/>
      <c r="CA34" s="469"/>
      <c r="CB34" s="469"/>
      <c r="CC34" s="469"/>
      <c r="CD34" s="469"/>
      <c r="CE34" s="469"/>
      <c r="CF34" s="469"/>
      <c r="CG34" s="470"/>
      <c r="CH34" s="470"/>
      <c r="CI34" s="498"/>
      <c r="CJ34" s="499"/>
      <c r="CK34" s="472"/>
    </row>
    <row r="35" ht="15.75" customHeight="1">
      <c r="A35" s="474"/>
      <c r="B35" s="475"/>
      <c r="C35" s="476"/>
      <c r="D35" s="475"/>
      <c r="E35" s="476"/>
      <c r="F35" s="476"/>
      <c r="G35" s="457"/>
      <c r="H35" s="457"/>
      <c r="I35" s="529"/>
      <c r="J35" s="530"/>
      <c r="K35" s="480"/>
      <c r="L35" s="481"/>
      <c r="M35" s="481"/>
      <c r="N35" s="481"/>
      <c r="O35" s="481"/>
      <c r="P35" s="481"/>
      <c r="Q35" s="481"/>
      <c r="R35" s="481"/>
      <c r="S35" s="481"/>
      <c r="T35" s="481"/>
      <c r="U35" s="481"/>
      <c r="V35" s="481"/>
      <c r="W35" s="463"/>
      <c r="X35" s="481"/>
      <c r="Y35" s="481"/>
      <c r="Z35" s="481"/>
      <c r="AA35" s="481"/>
      <c r="AB35" s="481"/>
      <c r="AC35" s="481"/>
      <c r="AD35" s="481"/>
      <c r="AE35" s="481"/>
      <c r="AF35" s="481"/>
      <c r="AG35" s="481"/>
      <c r="AH35" s="481"/>
      <c r="AI35" s="464"/>
      <c r="AJ35" s="481"/>
      <c r="AK35" s="481"/>
      <c r="AL35" s="481"/>
      <c r="AM35" s="481"/>
      <c r="AN35" s="481"/>
      <c r="AO35" s="481"/>
      <c r="AP35" s="481"/>
      <c r="AQ35" s="481"/>
      <c r="AR35" s="481"/>
      <c r="AS35" s="481"/>
      <c r="AT35" s="481"/>
      <c r="AU35" s="496"/>
      <c r="AV35" s="485"/>
      <c r="AW35" s="484"/>
      <c r="AX35" s="485"/>
      <c r="AY35" s="485"/>
      <c r="AZ35" s="486"/>
      <c r="BA35" s="487"/>
      <c r="BB35" s="487"/>
      <c r="BC35" s="487"/>
      <c r="BD35" s="487"/>
      <c r="BE35" s="487"/>
      <c r="BF35" s="487"/>
      <c r="BG35" s="487"/>
      <c r="BH35" s="487"/>
      <c r="BI35" s="487"/>
      <c r="BJ35" s="487"/>
      <c r="BK35" s="488"/>
      <c r="BL35" s="487"/>
      <c r="BM35" s="487"/>
      <c r="BN35" s="487"/>
      <c r="BO35" s="487"/>
      <c r="BP35" s="487"/>
      <c r="BQ35" s="487"/>
      <c r="BR35" s="487"/>
      <c r="BS35" s="487"/>
      <c r="BT35" s="487"/>
      <c r="BU35" s="487"/>
      <c r="BV35" s="488"/>
      <c r="BW35" s="487"/>
      <c r="BX35" s="487"/>
      <c r="BY35" s="487"/>
      <c r="BZ35" s="487"/>
      <c r="CA35" s="487"/>
      <c r="CB35" s="487"/>
      <c r="CC35" s="487"/>
      <c r="CD35" s="487"/>
      <c r="CE35" s="487"/>
      <c r="CF35" s="487"/>
      <c r="CG35" s="488"/>
      <c r="CH35" s="488"/>
      <c r="CI35" s="508"/>
      <c r="CJ35" s="509"/>
      <c r="CK35" s="472"/>
    </row>
    <row r="36" ht="15.75" customHeight="1">
      <c r="A36" s="453"/>
      <c r="B36" s="455"/>
      <c r="C36" s="455"/>
      <c r="D36" s="454"/>
      <c r="E36" s="455"/>
      <c r="F36" s="455"/>
      <c r="G36" s="455"/>
      <c r="H36" s="455"/>
      <c r="I36" s="495"/>
      <c r="J36" s="456"/>
      <c r="K36" s="460"/>
      <c r="L36" s="461"/>
      <c r="M36" s="461"/>
      <c r="N36" s="461"/>
      <c r="O36" s="461"/>
      <c r="P36" s="461"/>
      <c r="Q36" s="461"/>
      <c r="R36" s="461"/>
      <c r="S36" s="461"/>
      <c r="T36" s="461"/>
      <c r="U36" s="461"/>
      <c r="V36" s="461"/>
      <c r="W36" s="522"/>
      <c r="X36" s="461"/>
      <c r="Y36" s="461"/>
      <c r="Z36" s="461"/>
      <c r="AA36" s="461"/>
      <c r="AB36" s="461"/>
      <c r="AC36" s="461"/>
      <c r="AD36" s="461"/>
      <c r="AE36" s="461"/>
      <c r="AF36" s="461"/>
      <c r="AG36" s="461"/>
      <c r="AH36" s="461"/>
      <c r="AI36" s="522"/>
      <c r="AJ36" s="461"/>
      <c r="AK36" s="461"/>
      <c r="AL36" s="461"/>
      <c r="AM36" s="461"/>
      <c r="AN36" s="461"/>
      <c r="AO36" s="461"/>
      <c r="AP36" s="461"/>
      <c r="AQ36" s="461"/>
      <c r="AR36" s="461"/>
      <c r="AS36" s="461"/>
      <c r="AT36" s="461"/>
      <c r="AU36" s="522"/>
      <c r="AV36" s="461"/>
      <c r="AW36" s="466"/>
      <c r="AX36" s="523"/>
      <c r="AY36" s="461"/>
      <c r="AZ36" s="468"/>
      <c r="BA36" s="469"/>
      <c r="BB36" s="469"/>
      <c r="BC36" s="469"/>
      <c r="BD36" s="469"/>
      <c r="BE36" s="469"/>
      <c r="BF36" s="469"/>
      <c r="BG36" s="469"/>
      <c r="BH36" s="469"/>
      <c r="BI36" s="469"/>
      <c r="BJ36" s="469"/>
      <c r="BK36" s="469"/>
      <c r="BL36" s="469"/>
      <c r="BM36" s="469"/>
      <c r="BN36" s="469"/>
      <c r="BO36" s="469"/>
      <c r="BP36" s="469"/>
      <c r="BQ36" s="469"/>
      <c r="BR36" s="469"/>
      <c r="BS36" s="469"/>
      <c r="BT36" s="469"/>
      <c r="BU36" s="469"/>
      <c r="BV36" s="469"/>
      <c r="BW36" s="469"/>
      <c r="BX36" s="469"/>
      <c r="BY36" s="469"/>
      <c r="BZ36" s="469"/>
      <c r="CA36" s="469"/>
      <c r="CB36" s="469"/>
      <c r="CC36" s="469"/>
      <c r="CD36" s="469"/>
      <c r="CE36" s="469"/>
      <c r="CF36" s="469"/>
      <c r="CG36" s="469"/>
      <c r="CH36" s="469"/>
      <c r="CI36" s="498"/>
      <c r="CJ36" s="499"/>
      <c r="CK36" s="472"/>
    </row>
    <row r="37" ht="15.75" customHeight="1">
      <c r="A37" s="474" t="s">
        <v>2848</v>
      </c>
      <c r="B37" s="477"/>
      <c r="C37" s="477" t="s">
        <v>2852</v>
      </c>
      <c r="D37" s="477" t="s">
        <v>52</v>
      </c>
      <c r="E37" s="477" t="s">
        <v>2708</v>
      </c>
      <c r="F37" s="531" t="s">
        <v>1774</v>
      </c>
      <c r="G37" s="457" t="s">
        <v>2709</v>
      </c>
      <c r="H37" s="457" t="s">
        <v>2868</v>
      </c>
      <c r="I37" s="501" t="s">
        <v>2869</v>
      </c>
      <c r="J37" s="477" t="s">
        <v>96</v>
      </c>
      <c r="K37" s="502" t="s">
        <v>25</v>
      </c>
      <c r="L37" s="532">
        <v>0.0</v>
      </c>
      <c r="M37" s="532">
        <v>0.0</v>
      </c>
      <c r="N37" s="532">
        <v>0.0</v>
      </c>
      <c r="O37" s="482">
        <v>0.0</v>
      </c>
      <c r="P37" s="532">
        <v>0.0</v>
      </c>
      <c r="Q37" s="482">
        <v>0.0</v>
      </c>
      <c r="R37" s="532">
        <v>0.0</v>
      </c>
      <c r="S37" s="532">
        <v>0.0</v>
      </c>
      <c r="T37" s="532">
        <v>0.0</v>
      </c>
      <c r="U37" s="492">
        <v>0.0</v>
      </c>
      <c r="V37" s="481">
        <v>0.0</v>
      </c>
      <c r="W37" s="533">
        <f t="shared" ref="W37:W68" si="98">SUM(L37:V37)</f>
        <v>0</v>
      </c>
      <c r="X37" s="481">
        <v>10.0</v>
      </c>
      <c r="Y37" s="481">
        <v>6.0</v>
      </c>
      <c r="Z37" s="481">
        <v>10.0</v>
      </c>
      <c r="AA37" s="481">
        <v>10.0</v>
      </c>
      <c r="AB37" s="481">
        <v>10.0</v>
      </c>
      <c r="AC37" s="481">
        <v>20.0</v>
      </c>
      <c r="AD37" s="481">
        <v>4.0</v>
      </c>
      <c r="AE37" s="481">
        <v>4.0</v>
      </c>
      <c r="AF37" s="481">
        <v>2.0</v>
      </c>
      <c r="AG37" s="492">
        <v>0.0</v>
      </c>
      <c r="AH37" s="481">
        <v>0.0</v>
      </c>
      <c r="AI37" s="534">
        <f t="shared" ref="AI37:AI68" si="99">SUM(X37:AH37)</f>
        <v>76</v>
      </c>
      <c r="AJ37" s="481">
        <v>10.0</v>
      </c>
      <c r="AK37" s="481">
        <v>6.0</v>
      </c>
      <c r="AL37" s="481">
        <v>10.0</v>
      </c>
      <c r="AM37" s="481">
        <v>10.0</v>
      </c>
      <c r="AN37" s="481">
        <v>10.0</v>
      </c>
      <c r="AO37" s="481">
        <v>20.0</v>
      </c>
      <c r="AP37" s="481">
        <v>4.0</v>
      </c>
      <c r="AQ37" s="481">
        <v>4.0</v>
      </c>
      <c r="AR37" s="481">
        <v>2.0</v>
      </c>
      <c r="AS37" s="492">
        <v>0.0</v>
      </c>
      <c r="AT37" s="481">
        <v>0.0</v>
      </c>
      <c r="AU37" s="533">
        <f t="shared" ref="AU37:AU68" si="100">ROUNDUP( SUM(AJ37:AT37))</f>
        <v>76</v>
      </c>
      <c r="AV37" s="535">
        <f t="shared" ref="AV37:AV68" si="101">W37+AI37+AU37</f>
        <v>152</v>
      </c>
      <c r="AW37" s="484"/>
      <c r="AX37" s="536">
        <v>261.0</v>
      </c>
      <c r="AY37" s="484">
        <v>1819.1699999999998</v>
      </c>
      <c r="AZ37" s="504"/>
      <c r="BA37" s="487">
        <f t="shared" ref="BA37:BJ37" si="95">L37*$AY37</f>
        <v>0</v>
      </c>
      <c r="BB37" s="487">
        <f t="shared" si="95"/>
        <v>0</v>
      </c>
      <c r="BC37" s="487">
        <f t="shared" si="95"/>
        <v>0</v>
      </c>
      <c r="BD37" s="487">
        <f t="shared" si="95"/>
        <v>0</v>
      </c>
      <c r="BE37" s="487">
        <f t="shared" si="95"/>
        <v>0</v>
      </c>
      <c r="BF37" s="487">
        <f t="shared" si="95"/>
        <v>0</v>
      </c>
      <c r="BG37" s="487">
        <f t="shared" si="95"/>
        <v>0</v>
      </c>
      <c r="BH37" s="487">
        <f t="shared" si="95"/>
        <v>0</v>
      </c>
      <c r="BI37" s="487">
        <f t="shared" si="95"/>
        <v>0</v>
      </c>
      <c r="BJ37" s="487">
        <f t="shared" si="95"/>
        <v>0</v>
      </c>
      <c r="BK37" s="487">
        <f t="shared" ref="BK37:BK68" si="103">AY37*W37</f>
        <v>0</v>
      </c>
      <c r="BL37" s="487">
        <f t="shared" ref="BL37:BU37" si="96">X37*$AY37</f>
        <v>18191.7</v>
      </c>
      <c r="BM37" s="487">
        <f t="shared" si="96"/>
        <v>10915.02</v>
      </c>
      <c r="BN37" s="487">
        <f t="shared" si="96"/>
        <v>18191.7</v>
      </c>
      <c r="BO37" s="487">
        <f t="shared" si="96"/>
        <v>18191.7</v>
      </c>
      <c r="BP37" s="487">
        <f t="shared" si="96"/>
        <v>18191.7</v>
      </c>
      <c r="BQ37" s="487">
        <f t="shared" si="96"/>
        <v>36383.4</v>
      </c>
      <c r="BR37" s="487">
        <f t="shared" si="96"/>
        <v>7276.68</v>
      </c>
      <c r="BS37" s="487">
        <f t="shared" si="96"/>
        <v>7276.68</v>
      </c>
      <c r="BT37" s="487">
        <f t="shared" si="96"/>
        <v>3638.34</v>
      </c>
      <c r="BU37" s="487">
        <f t="shared" si="96"/>
        <v>0</v>
      </c>
      <c r="BV37" s="487">
        <f t="shared" ref="BV37:BV68" si="105">AY37*AI37</f>
        <v>138256.92</v>
      </c>
      <c r="BW37" s="487">
        <f t="shared" ref="BW37:CF37" si="97">AJ37*$AY37</f>
        <v>18191.7</v>
      </c>
      <c r="BX37" s="487">
        <f t="shared" si="97"/>
        <v>10915.02</v>
      </c>
      <c r="BY37" s="487">
        <f t="shared" si="97"/>
        <v>18191.7</v>
      </c>
      <c r="BZ37" s="487">
        <f t="shared" si="97"/>
        <v>18191.7</v>
      </c>
      <c r="CA37" s="487">
        <f t="shared" si="97"/>
        <v>18191.7</v>
      </c>
      <c r="CB37" s="487">
        <f t="shared" si="97"/>
        <v>36383.4</v>
      </c>
      <c r="CC37" s="487">
        <f t="shared" si="97"/>
        <v>7276.68</v>
      </c>
      <c r="CD37" s="487">
        <f t="shared" si="97"/>
        <v>7276.68</v>
      </c>
      <c r="CE37" s="487">
        <f t="shared" si="97"/>
        <v>3638.34</v>
      </c>
      <c r="CF37" s="487">
        <f t="shared" si="97"/>
        <v>0</v>
      </c>
      <c r="CG37" s="487">
        <f t="shared" ref="CG37:CG68" si="107">AY37*AU37</f>
        <v>138256.92</v>
      </c>
      <c r="CH37" s="487">
        <f t="shared" ref="CH37:CH68" si="108">BK37+BV37+CG37</f>
        <v>276513.84</v>
      </c>
      <c r="CI37" s="489"/>
      <c r="CJ37" s="505"/>
      <c r="CK37" s="472">
        <v>1.0</v>
      </c>
    </row>
    <row r="38" ht="15.75" customHeight="1">
      <c r="A38" s="453" t="s">
        <v>2848</v>
      </c>
      <c r="B38" s="454">
        <v>2.0</v>
      </c>
      <c r="C38" s="455" t="s">
        <v>2852</v>
      </c>
      <c r="D38" s="456" t="s">
        <v>46</v>
      </c>
      <c r="E38" s="455" t="s">
        <v>2708</v>
      </c>
      <c r="F38" s="455" t="s">
        <v>1763</v>
      </c>
      <c r="G38" s="457" t="s">
        <v>2709</v>
      </c>
      <c r="H38" s="457" t="s">
        <v>2870</v>
      </c>
      <c r="I38" s="458" t="s">
        <v>2169</v>
      </c>
      <c r="J38" s="459" t="s">
        <v>383</v>
      </c>
      <c r="K38" s="460" t="s">
        <v>25</v>
      </c>
      <c r="L38" s="461">
        <v>0.0</v>
      </c>
      <c r="M38" s="461">
        <v>0.0</v>
      </c>
      <c r="N38" s="461">
        <v>0.0</v>
      </c>
      <c r="O38" s="462">
        <v>40.0</v>
      </c>
      <c r="P38" s="462">
        <v>80.0</v>
      </c>
      <c r="Q38" s="462">
        <v>10.0</v>
      </c>
      <c r="R38" s="461">
        <v>0.0</v>
      </c>
      <c r="S38" s="461">
        <v>0.0</v>
      </c>
      <c r="T38" s="461">
        <v>0.0</v>
      </c>
      <c r="U38" s="490">
        <v>36.0</v>
      </c>
      <c r="V38" s="461">
        <v>0.0</v>
      </c>
      <c r="W38" s="463">
        <f t="shared" si="98"/>
        <v>166</v>
      </c>
      <c r="X38" s="461">
        <v>160.0</v>
      </c>
      <c r="Y38" s="461">
        <v>120.0</v>
      </c>
      <c r="Z38" s="461">
        <v>144.0</v>
      </c>
      <c r="AA38" s="461">
        <v>88.0</v>
      </c>
      <c r="AB38" s="461">
        <v>104.0</v>
      </c>
      <c r="AC38" s="461">
        <v>168.0</v>
      </c>
      <c r="AD38" s="462">
        <v>0.0</v>
      </c>
      <c r="AE38" s="490">
        <v>0.0</v>
      </c>
      <c r="AF38" s="461">
        <v>8.0</v>
      </c>
      <c r="AG38" s="461">
        <v>64.0</v>
      </c>
      <c r="AH38" s="461">
        <v>0.0</v>
      </c>
      <c r="AI38" s="464">
        <f t="shared" si="99"/>
        <v>856</v>
      </c>
      <c r="AJ38" s="461">
        <v>160.0</v>
      </c>
      <c r="AK38" s="461">
        <v>120.0</v>
      </c>
      <c r="AL38" s="461">
        <v>144.0</v>
      </c>
      <c r="AM38" s="461">
        <v>88.0</v>
      </c>
      <c r="AN38" s="461">
        <v>104.0</v>
      </c>
      <c r="AO38" s="461">
        <v>168.0</v>
      </c>
      <c r="AP38" s="462">
        <v>0.0</v>
      </c>
      <c r="AQ38" s="490">
        <v>0.0</v>
      </c>
      <c r="AR38" s="461">
        <v>8.0</v>
      </c>
      <c r="AS38" s="490">
        <v>136.0</v>
      </c>
      <c r="AT38" s="461">
        <v>0.0</v>
      </c>
      <c r="AU38" s="463">
        <f t="shared" si="100"/>
        <v>928</v>
      </c>
      <c r="AV38" s="465">
        <f t="shared" si="101"/>
        <v>1950</v>
      </c>
      <c r="AW38" s="466"/>
      <c r="AX38" s="467">
        <v>8.54</v>
      </c>
      <c r="AY38" s="467">
        <f t="shared" ref="AY38:AY68" si="109">AX38*$AY$1</f>
        <v>59.4384</v>
      </c>
      <c r="AZ38" s="468"/>
      <c r="BA38" s="469">
        <f t="shared" ref="BA38:BJ38" si="102">L38*$AY38</f>
        <v>0</v>
      </c>
      <c r="BB38" s="469">
        <f t="shared" si="102"/>
        <v>0</v>
      </c>
      <c r="BC38" s="469">
        <f t="shared" si="102"/>
        <v>0</v>
      </c>
      <c r="BD38" s="469">
        <f t="shared" si="102"/>
        <v>2377.536</v>
      </c>
      <c r="BE38" s="469">
        <f t="shared" si="102"/>
        <v>4755.072</v>
      </c>
      <c r="BF38" s="469">
        <f t="shared" si="102"/>
        <v>594.384</v>
      </c>
      <c r="BG38" s="469">
        <f t="shared" si="102"/>
        <v>0</v>
      </c>
      <c r="BH38" s="469">
        <f t="shared" si="102"/>
        <v>0</v>
      </c>
      <c r="BI38" s="469">
        <f t="shared" si="102"/>
        <v>0</v>
      </c>
      <c r="BJ38" s="469">
        <f t="shared" si="102"/>
        <v>2139.7824</v>
      </c>
      <c r="BK38" s="470">
        <f t="shared" si="103"/>
        <v>9866.7744</v>
      </c>
      <c r="BL38" s="469">
        <f t="shared" ref="BL38:BU38" si="104">X38*$AY38</f>
        <v>9510.144</v>
      </c>
      <c r="BM38" s="469">
        <f t="shared" si="104"/>
        <v>7132.608</v>
      </c>
      <c r="BN38" s="469">
        <f t="shared" si="104"/>
        <v>8559.1296</v>
      </c>
      <c r="BO38" s="469">
        <f t="shared" si="104"/>
        <v>5230.5792</v>
      </c>
      <c r="BP38" s="469">
        <f t="shared" si="104"/>
        <v>6181.5936</v>
      </c>
      <c r="BQ38" s="469">
        <f t="shared" si="104"/>
        <v>9985.6512</v>
      </c>
      <c r="BR38" s="469">
        <f t="shared" si="104"/>
        <v>0</v>
      </c>
      <c r="BS38" s="469">
        <f t="shared" si="104"/>
        <v>0</v>
      </c>
      <c r="BT38" s="469">
        <f t="shared" si="104"/>
        <v>475.5072</v>
      </c>
      <c r="BU38" s="469">
        <f t="shared" si="104"/>
        <v>3804.0576</v>
      </c>
      <c r="BV38" s="470">
        <f t="shared" si="105"/>
        <v>50879.2704</v>
      </c>
      <c r="BW38" s="469">
        <f t="shared" ref="BW38:CF38" si="106">AJ38*$AY38</f>
        <v>9510.144</v>
      </c>
      <c r="BX38" s="469">
        <f t="shared" si="106"/>
        <v>7132.608</v>
      </c>
      <c r="BY38" s="469">
        <f t="shared" si="106"/>
        <v>8559.1296</v>
      </c>
      <c r="BZ38" s="469">
        <f t="shared" si="106"/>
        <v>5230.5792</v>
      </c>
      <c r="CA38" s="469">
        <f t="shared" si="106"/>
        <v>6181.5936</v>
      </c>
      <c r="CB38" s="469">
        <f t="shared" si="106"/>
        <v>9985.6512</v>
      </c>
      <c r="CC38" s="469">
        <f t="shared" si="106"/>
        <v>0</v>
      </c>
      <c r="CD38" s="469">
        <f t="shared" si="106"/>
        <v>0</v>
      </c>
      <c r="CE38" s="469">
        <f t="shared" si="106"/>
        <v>475.5072</v>
      </c>
      <c r="CF38" s="469">
        <f t="shared" si="106"/>
        <v>8083.6224</v>
      </c>
      <c r="CG38" s="470">
        <f t="shared" si="107"/>
        <v>55158.8352</v>
      </c>
      <c r="CH38" s="470">
        <f t="shared" si="108"/>
        <v>115904.88</v>
      </c>
      <c r="CI38" s="471"/>
      <c r="CJ38" s="469"/>
      <c r="CK38" s="472">
        <v>1.0</v>
      </c>
      <c r="CL38" s="104">
        <f>VLOOKUP(I38,Cotizacion!$A$2:$E$423,4,FALSE())</f>
        <v>8.54</v>
      </c>
    </row>
    <row r="39" ht="15.75" customHeight="1">
      <c r="A39" s="474" t="s">
        <v>2848</v>
      </c>
      <c r="B39" s="475">
        <v>2.0</v>
      </c>
      <c r="C39" s="477" t="s">
        <v>2852</v>
      </c>
      <c r="D39" s="477" t="s">
        <v>52</v>
      </c>
      <c r="E39" s="477" t="s">
        <v>2708</v>
      </c>
      <c r="F39" s="477" t="s">
        <v>1763</v>
      </c>
      <c r="G39" s="457" t="s">
        <v>2709</v>
      </c>
      <c r="H39" s="537"/>
      <c r="I39" s="501" t="s">
        <v>2473</v>
      </c>
      <c r="J39" s="479" t="s">
        <v>353</v>
      </c>
      <c r="K39" s="502" t="s">
        <v>25</v>
      </c>
      <c r="L39" s="481">
        <v>0.0</v>
      </c>
      <c r="M39" s="481">
        <v>0.0</v>
      </c>
      <c r="N39" s="481">
        <v>0.0</v>
      </c>
      <c r="O39" s="481">
        <v>0.0</v>
      </c>
      <c r="P39" s="481">
        <v>0.0</v>
      </c>
      <c r="Q39" s="481">
        <v>0.0</v>
      </c>
      <c r="R39" s="481">
        <v>0.0</v>
      </c>
      <c r="S39" s="492">
        <v>2.0</v>
      </c>
      <c r="T39" s="481">
        <v>0.0</v>
      </c>
      <c r="U39" s="481">
        <v>0.0</v>
      </c>
      <c r="V39" s="481">
        <v>0.0</v>
      </c>
      <c r="W39" s="463">
        <f t="shared" si="98"/>
        <v>2</v>
      </c>
      <c r="X39" s="481">
        <v>3.0</v>
      </c>
      <c r="Y39" s="481">
        <v>2.0</v>
      </c>
      <c r="Z39" s="481">
        <v>3.0</v>
      </c>
      <c r="AA39" s="481">
        <v>2.0</v>
      </c>
      <c r="AB39" s="481">
        <v>3.0</v>
      </c>
      <c r="AC39" s="481">
        <v>5.0</v>
      </c>
      <c r="AD39" s="481">
        <v>2.0</v>
      </c>
      <c r="AE39" s="481">
        <v>2.0</v>
      </c>
      <c r="AF39" s="481">
        <v>0.0</v>
      </c>
      <c r="AG39" s="492">
        <v>0.0</v>
      </c>
      <c r="AH39" s="481">
        <v>0.0</v>
      </c>
      <c r="AI39" s="464">
        <f t="shared" si="99"/>
        <v>22</v>
      </c>
      <c r="AJ39" s="481">
        <v>3.0</v>
      </c>
      <c r="AK39" s="481">
        <v>2.0</v>
      </c>
      <c r="AL39" s="481">
        <v>3.0</v>
      </c>
      <c r="AM39" s="481">
        <v>2.0</v>
      </c>
      <c r="AN39" s="481">
        <v>3.0</v>
      </c>
      <c r="AO39" s="481">
        <v>5.0</v>
      </c>
      <c r="AP39" s="481">
        <v>2.0</v>
      </c>
      <c r="AQ39" s="481">
        <v>2.0</v>
      </c>
      <c r="AR39" s="481">
        <v>0.0</v>
      </c>
      <c r="AS39" s="492">
        <v>0.0</v>
      </c>
      <c r="AT39" s="481">
        <v>0.0</v>
      </c>
      <c r="AU39" s="463">
        <f t="shared" si="100"/>
        <v>22</v>
      </c>
      <c r="AV39" s="483">
        <f t="shared" si="101"/>
        <v>46</v>
      </c>
      <c r="AW39" s="484"/>
      <c r="AX39" s="503">
        <v>357.72</v>
      </c>
      <c r="AY39" s="485">
        <f t="shared" si="109"/>
        <v>2489.7312</v>
      </c>
      <c r="AZ39" s="504"/>
      <c r="BA39" s="487">
        <f t="shared" ref="BA39:BJ39" si="110">L39*$AY39</f>
        <v>0</v>
      </c>
      <c r="BB39" s="487">
        <f t="shared" si="110"/>
        <v>0</v>
      </c>
      <c r="BC39" s="487">
        <f t="shared" si="110"/>
        <v>0</v>
      </c>
      <c r="BD39" s="487">
        <f t="shared" si="110"/>
        <v>0</v>
      </c>
      <c r="BE39" s="487">
        <f t="shared" si="110"/>
        <v>0</v>
      </c>
      <c r="BF39" s="487">
        <f t="shared" si="110"/>
        <v>0</v>
      </c>
      <c r="BG39" s="487">
        <f t="shared" si="110"/>
        <v>0</v>
      </c>
      <c r="BH39" s="487">
        <f t="shared" si="110"/>
        <v>4979.4624</v>
      </c>
      <c r="BI39" s="487">
        <f t="shared" si="110"/>
        <v>0</v>
      </c>
      <c r="BJ39" s="487">
        <f t="shared" si="110"/>
        <v>0</v>
      </c>
      <c r="BK39" s="488">
        <f t="shared" si="103"/>
        <v>4979.4624</v>
      </c>
      <c r="BL39" s="487">
        <f t="shared" ref="BL39:BU39" si="111">X39*$AY39</f>
        <v>7469.1936</v>
      </c>
      <c r="BM39" s="487">
        <f t="shared" si="111"/>
        <v>4979.4624</v>
      </c>
      <c r="BN39" s="487">
        <f t="shared" si="111"/>
        <v>7469.1936</v>
      </c>
      <c r="BO39" s="487">
        <f t="shared" si="111"/>
        <v>4979.4624</v>
      </c>
      <c r="BP39" s="487">
        <f t="shared" si="111"/>
        <v>7469.1936</v>
      </c>
      <c r="BQ39" s="487">
        <f t="shared" si="111"/>
        <v>12448.656</v>
      </c>
      <c r="BR39" s="487">
        <f t="shared" si="111"/>
        <v>4979.4624</v>
      </c>
      <c r="BS39" s="487">
        <f t="shared" si="111"/>
        <v>4979.4624</v>
      </c>
      <c r="BT39" s="487">
        <f t="shared" si="111"/>
        <v>0</v>
      </c>
      <c r="BU39" s="487">
        <f t="shared" si="111"/>
        <v>0</v>
      </c>
      <c r="BV39" s="488">
        <f t="shared" si="105"/>
        <v>54774.0864</v>
      </c>
      <c r="BW39" s="487">
        <f t="shared" ref="BW39:CF39" si="112">AJ39*$AY39</f>
        <v>7469.1936</v>
      </c>
      <c r="BX39" s="487">
        <f t="shared" si="112"/>
        <v>4979.4624</v>
      </c>
      <c r="BY39" s="487">
        <f t="shared" si="112"/>
        <v>7469.1936</v>
      </c>
      <c r="BZ39" s="487">
        <f t="shared" si="112"/>
        <v>4979.4624</v>
      </c>
      <c r="CA39" s="487">
        <f t="shared" si="112"/>
        <v>7469.1936</v>
      </c>
      <c r="CB39" s="487">
        <f t="shared" si="112"/>
        <v>12448.656</v>
      </c>
      <c r="CC39" s="487">
        <f t="shared" si="112"/>
        <v>4979.4624</v>
      </c>
      <c r="CD39" s="487">
        <f t="shared" si="112"/>
        <v>4979.4624</v>
      </c>
      <c r="CE39" s="487">
        <f t="shared" si="112"/>
        <v>0</v>
      </c>
      <c r="CF39" s="487">
        <f t="shared" si="112"/>
        <v>0</v>
      </c>
      <c r="CG39" s="488">
        <f t="shared" si="107"/>
        <v>54774.0864</v>
      </c>
      <c r="CH39" s="488">
        <f t="shared" si="108"/>
        <v>114527.6352</v>
      </c>
      <c r="CI39" s="489"/>
      <c r="CJ39" s="505"/>
      <c r="CK39" s="472">
        <v>1.0</v>
      </c>
      <c r="CL39" s="104">
        <f>VLOOKUP(I39,Cotizacion!$A$2:$E$423,4,FALSE())</f>
        <v>357.72</v>
      </c>
    </row>
    <row r="40" ht="15.75" customHeight="1">
      <c r="A40" s="453" t="s">
        <v>2848</v>
      </c>
      <c r="B40" s="454">
        <v>2.0</v>
      </c>
      <c r="C40" s="456" t="s">
        <v>2852</v>
      </c>
      <c r="D40" s="456" t="s">
        <v>52</v>
      </c>
      <c r="E40" s="456" t="s">
        <v>2708</v>
      </c>
      <c r="F40" s="456" t="s">
        <v>1763</v>
      </c>
      <c r="G40" s="457" t="s">
        <v>2709</v>
      </c>
      <c r="H40" s="457" t="s">
        <v>2871</v>
      </c>
      <c r="I40" s="514" t="s">
        <v>2006</v>
      </c>
      <c r="J40" s="459" t="s">
        <v>469</v>
      </c>
      <c r="K40" s="515" t="s">
        <v>25</v>
      </c>
      <c r="L40" s="461">
        <v>325.0</v>
      </c>
      <c r="M40" s="461">
        <v>193.0</v>
      </c>
      <c r="N40" s="461">
        <v>284.0</v>
      </c>
      <c r="O40" s="461">
        <v>181.0</v>
      </c>
      <c r="P40" s="462">
        <v>504.0</v>
      </c>
      <c r="Q40" s="462">
        <v>0.0</v>
      </c>
      <c r="R40" s="462">
        <v>0.0</v>
      </c>
      <c r="S40" s="461">
        <v>259.0</v>
      </c>
      <c r="T40" s="461">
        <v>45.0</v>
      </c>
      <c r="U40" s="490">
        <v>0.0</v>
      </c>
      <c r="V40" s="461">
        <v>0.0</v>
      </c>
      <c r="W40" s="463">
        <f t="shared" si="98"/>
        <v>1791</v>
      </c>
      <c r="X40" s="461">
        <v>788.0</v>
      </c>
      <c r="Y40" s="461">
        <v>468.0</v>
      </c>
      <c r="Z40" s="461">
        <v>688.0</v>
      </c>
      <c r="AA40" s="461">
        <v>440.0</v>
      </c>
      <c r="AB40" s="461">
        <v>504.0</v>
      </c>
      <c r="AC40" s="461">
        <v>832.0</v>
      </c>
      <c r="AD40" s="461">
        <v>532.0</v>
      </c>
      <c r="AE40" s="461">
        <v>628.0</v>
      </c>
      <c r="AF40" s="461">
        <v>108.0</v>
      </c>
      <c r="AG40" s="461">
        <v>670.0</v>
      </c>
      <c r="AH40" s="461">
        <v>0.0</v>
      </c>
      <c r="AI40" s="464">
        <f t="shared" si="99"/>
        <v>5658</v>
      </c>
      <c r="AJ40" s="461">
        <v>788.0</v>
      </c>
      <c r="AK40" s="461">
        <v>468.0</v>
      </c>
      <c r="AL40" s="461">
        <v>688.0</v>
      </c>
      <c r="AM40" s="461">
        <v>440.0</v>
      </c>
      <c r="AN40" s="461">
        <v>504.0</v>
      </c>
      <c r="AO40" s="461">
        <v>832.0</v>
      </c>
      <c r="AP40" s="461">
        <v>532.0</v>
      </c>
      <c r="AQ40" s="461">
        <v>628.0</v>
      </c>
      <c r="AR40" s="461">
        <v>108.0</v>
      </c>
      <c r="AS40" s="461">
        <v>670.0</v>
      </c>
      <c r="AT40" s="461">
        <v>0.0</v>
      </c>
      <c r="AU40" s="463">
        <f t="shared" si="100"/>
        <v>5658</v>
      </c>
      <c r="AV40" s="465">
        <f t="shared" si="101"/>
        <v>13107</v>
      </c>
      <c r="AW40" s="466"/>
      <c r="AX40" s="516">
        <v>0.81</v>
      </c>
      <c r="AY40" s="467">
        <f t="shared" si="109"/>
        <v>5.6376</v>
      </c>
      <c r="AZ40" s="517"/>
      <c r="BA40" s="469">
        <f t="shared" ref="BA40:BJ40" si="113">L40*$AY40</f>
        <v>1832.22</v>
      </c>
      <c r="BB40" s="469">
        <f t="shared" si="113"/>
        <v>1088.0568</v>
      </c>
      <c r="BC40" s="469">
        <f t="shared" si="113"/>
        <v>1601.0784</v>
      </c>
      <c r="BD40" s="469">
        <f t="shared" si="113"/>
        <v>1020.4056</v>
      </c>
      <c r="BE40" s="469">
        <f t="shared" si="113"/>
        <v>2841.3504</v>
      </c>
      <c r="BF40" s="469">
        <f t="shared" si="113"/>
        <v>0</v>
      </c>
      <c r="BG40" s="469">
        <f t="shared" si="113"/>
        <v>0</v>
      </c>
      <c r="BH40" s="469">
        <f t="shared" si="113"/>
        <v>1460.1384</v>
      </c>
      <c r="BI40" s="469">
        <f t="shared" si="113"/>
        <v>253.692</v>
      </c>
      <c r="BJ40" s="469">
        <f t="shared" si="113"/>
        <v>0</v>
      </c>
      <c r="BK40" s="470">
        <f t="shared" si="103"/>
        <v>10096.9416</v>
      </c>
      <c r="BL40" s="469">
        <f t="shared" ref="BL40:BU40" si="114">X40*$AY40</f>
        <v>4442.4288</v>
      </c>
      <c r="BM40" s="469">
        <f t="shared" si="114"/>
        <v>2638.3968</v>
      </c>
      <c r="BN40" s="469">
        <f t="shared" si="114"/>
        <v>3878.6688</v>
      </c>
      <c r="BO40" s="469">
        <f t="shared" si="114"/>
        <v>2480.544</v>
      </c>
      <c r="BP40" s="469">
        <f t="shared" si="114"/>
        <v>2841.3504</v>
      </c>
      <c r="BQ40" s="469">
        <f t="shared" si="114"/>
        <v>4690.4832</v>
      </c>
      <c r="BR40" s="469">
        <f t="shared" si="114"/>
        <v>2999.2032</v>
      </c>
      <c r="BS40" s="469">
        <f t="shared" si="114"/>
        <v>3540.4128</v>
      </c>
      <c r="BT40" s="469">
        <f t="shared" si="114"/>
        <v>608.8608</v>
      </c>
      <c r="BU40" s="469">
        <f t="shared" si="114"/>
        <v>3777.192</v>
      </c>
      <c r="BV40" s="470">
        <f t="shared" si="105"/>
        <v>31897.5408</v>
      </c>
      <c r="BW40" s="469">
        <f t="shared" ref="BW40:CF40" si="115">AJ40*$AY40</f>
        <v>4442.4288</v>
      </c>
      <c r="BX40" s="469">
        <f t="shared" si="115"/>
        <v>2638.3968</v>
      </c>
      <c r="BY40" s="469">
        <f t="shared" si="115"/>
        <v>3878.6688</v>
      </c>
      <c r="BZ40" s="469">
        <f t="shared" si="115"/>
        <v>2480.544</v>
      </c>
      <c r="CA40" s="469">
        <f t="shared" si="115"/>
        <v>2841.3504</v>
      </c>
      <c r="CB40" s="469">
        <f t="shared" si="115"/>
        <v>4690.4832</v>
      </c>
      <c r="CC40" s="469">
        <f t="shared" si="115"/>
        <v>2999.2032</v>
      </c>
      <c r="CD40" s="469">
        <f t="shared" si="115"/>
        <v>3540.4128</v>
      </c>
      <c r="CE40" s="469">
        <f t="shared" si="115"/>
        <v>608.8608</v>
      </c>
      <c r="CF40" s="469">
        <f t="shared" si="115"/>
        <v>3777.192</v>
      </c>
      <c r="CG40" s="470">
        <f t="shared" si="107"/>
        <v>31897.5408</v>
      </c>
      <c r="CH40" s="470">
        <f t="shared" si="108"/>
        <v>73892.0232</v>
      </c>
      <c r="CI40" s="471"/>
      <c r="CJ40" s="518"/>
      <c r="CK40" s="472">
        <v>1.0</v>
      </c>
      <c r="CL40" s="104">
        <f>VLOOKUP(I40,Cotizacion!$A$2:$E$423,4,FALSE())</f>
        <v>0.81</v>
      </c>
    </row>
    <row r="41" ht="15.75" customHeight="1">
      <c r="A41" s="474" t="s">
        <v>2848</v>
      </c>
      <c r="B41" s="475">
        <v>2.0</v>
      </c>
      <c r="C41" s="476" t="s">
        <v>2707</v>
      </c>
      <c r="D41" s="477" t="s">
        <v>785</v>
      </c>
      <c r="E41" s="476" t="s">
        <v>2708</v>
      </c>
      <c r="F41" s="476" t="s">
        <v>1763</v>
      </c>
      <c r="G41" s="457" t="s">
        <v>2709</v>
      </c>
      <c r="H41" s="457" t="s">
        <v>2791</v>
      </c>
      <c r="I41" s="478" t="s">
        <v>2400</v>
      </c>
      <c r="J41" s="479" t="s">
        <v>450</v>
      </c>
      <c r="K41" s="480" t="s">
        <v>25</v>
      </c>
      <c r="L41" s="481">
        <v>8.0</v>
      </c>
      <c r="M41" s="481">
        <v>3.0</v>
      </c>
      <c r="N41" s="481">
        <v>8.0</v>
      </c>
      <c r="O41" s="481">
        <v>4.0</v>
      </c>
      <c r="P41" s="481">
        <v>5.0</v>
      </c>
      <c r="Q41" s="481">
        <v>9.0</v>
      </c>
      <c r="R41" s="481">
        <v>0.0</v>
      </c>
      <c r="S41" s="481">
        <v>0.0</v>
      </c>
      <c r="T41" s="481">
        <v>0.0</v>
      </c>
      <c r="U41" s="492">
        <v>8.0</v>
      </c>
      <c r="V41" s="481">
        <v>0.0</v>
      </c>
      <c r="W41" s="463">
        <f t="shared" si="98"/>
        <v>45</v>
      </c>
      <c r="X41" s="481">
        <v>8.0</v>
      </c>
      <c r="Y41" s="481">
        <v>3.0</v>
      </c>
      <c r="Z41" s="481">
        <v>8.0</v>
      </c>
      <c r="AA41" s="481">
        <v>5.0</v>
      </c>
      <c r="AB41" s="481">
        <v>5.0</v>
      </c>
      <c r="AC41" s="481">
        <v>10.0</v>
      </c>
      <c r="AD41" s="482">
        <v>0.0</v>
      </c>
      <c r="AE41" s="481">
        <v>0.0</v>
      </c>
      <c r="AF41" s="482">
        <v>0.0</v>
      </c>
      <c r="AG41" s="492">
        <v>8.0</v>
      </c>
      <c r="AH41" s="481">
        <v>0.0</v>
      </c>
      <c r="AI41" s="464">
        <f t="shared" si="99"/>
        <v>47</v>
      </c>
      <c r="AJ41" s="481">
        <v>8.0</v>
      </c>
      <c r="AK41" s="481">
        <v>3.0</v>
      </c>
      <c r="AL41" s="481">
        <v>8.0</v>
      </c>
      <c r="AM41" s="481">
        <v>5.0</v>
      </c>
      <c r="AN41" s="481">
        <v>5.0</v>
      </c>
      <c r="AO41" s="481">
        <v>10.0</v>
      </c>
      <c r="AP41" s="481">
        <v>0.0</v>
      </c>
      <c r="AQ41" s="481">
        <v>0.0</v>
      </c>
      <c r="AR41" s="481">
        <v>0.0</v>
      </c>
      <c r="AS41" s="492">
        <v>8.0</v>
      </c>
      <c r="AT41" s="481">
        <v>0.0</v>
      </c>
      <c r="AU41" s="463">
        <f t="shared" si="100"/>
        <v>47</v>
      </c>
      <c r="AV41" s="483">
        <f t="shared" si="101"/>
        <v>139</v>
      </c>
      <c r="AW41" s="484"/>
      <c r="AX41" s="485">
        <v>70.99</v>
      </c>
      <c r="AY41" s="485">
        <f t="shared" si="109"/>
        <v>494.0904</v>
      </c>
      <c r="AZ41" s="486"/>
      <c r="BA41" s="487">
        <f t="shared" ref="BA41:BJ41" si="116">L41*$AY41</f>
        <v>3952.7232</v>
      </c>
      <c r="BB41" s="487">
        <f t="shared" si="116"/>
        <v>1482.2712</v>
      </c>
      <c r="BC41" s="487">
        <f t="shared" si="116"/>
        <v>3952.7232</v>
      </c>
      <c r="BD41" s="487">
        <f t="shared" si="116"/>
        <v>1976.3616</v>
      </c>
      <c r="BE41" s="487">
        <f t="shared" si="116"/>
        <v>2470.452</v>
      </c>
      <c r="BF41" s="487">
        <f t="shared" si="116"/>
        <v>4446.8136</v>
      </c>
      <c r="BG41" s="487">
        <f t="shared" si="116"/>
        <v>0</v>
      </c>
      <c r="BH41" s="487">
        <f t="shared" si="116"/>
        <v>0</v>
      </c>
      <c r="BI41" s="487">
        <f t="shared" si="116"/>
        <v>0</v>
      </c>
      <c r="BJ41" s="487">
        <f t="shared" si="116"/>
        <v>3952.7232</v>
      </c>
      <c r="BK41" s="488">
        <f t="shared" si="103"/>
        <v>22234.068</v>
      </c>
      <c r="BL41" s="487">
        <f t="shared" ref="BL41:BU41" si="117">X41*$AY41</f>
        <v>3952.7232</v>
      </c>
      <c r="BM41" s="487">
        <f t="shared" si="117"/>
        <v>1482.2712</v>
      </c>
      <c r="BN41" s="487">
        <f t="shared" si="117"/>
        <v>3952.7232</v>
      </c>
      <c r="BO41" s="487">
        <f t="shared" si="117"/>
        <v>2470.452</v>
      </c>
      <c r="BP41" s="487">
        <f t="shared" si="117"/>
        <v>2470.452</v>
      </c>
      <c r="BQ41" s="487">
        <f t="shared" si="117"/>
        <v>4940.904</v>
      </c>
      <c r="BR41" s="487">
        <f t="shared" si="117"/>
        <v>0</v>
      </c>
      <c r="BS41" s="487">
        <f t="shared" si="117"/>
        <v>0</v>
      </c>
      <c r="BT41" s="487">
        <f t="shared" si="117"/>
        <v>0</v>
      </c>
      <c r="BU41" s="487">
        <f t="shared" si="117"/>
        <v>3952.7232</v>
      </c>
      <c r="BV41" s="488">
        <f t="shared" si="105"/>
        <v>23222.2488</v>
      </c>
      <c r="BW41" s="487">
        <f t="shared" ref="BW41:CF41" si="118">AJ41*$AY41</f>
        <v>3952.7232</v>
      </c>
      <c r="BX41" s="487">
        <f t="shared" si="118"/>
        <v>1482.2712</v>
      </c>
      <c r="BY41" s="487">
        <f t="shared" si="118"/>
        <v>3952.7232</v>
      </c>
      <c r="BZ41" s="487">
        <f t="shared" si="118"/>
        <v>2470.452</v>
      </c>
      <c r="CA41" s="487">
        <f t="shared" si="118"/>
        <v>2470.452</v>
      </c>
      <c r="CB41" s="487">
        <f t="shared" si="118"/>
        <v>4940.904</v>
      </c>
      <c r="CC41" s="487">
        <f t="shared" si="118"/>
        <v>0</v>
      </c>
      <c r="CD41" s="487">
        <f t="shared" si="118"/>
        <v>0</v>
      </c>
      <c r="CE41" s="487">
        <f t="shared" si="118"/>
        <v>0</v>
      </c>
      <c r="CF41" s="487">
        <f t="shared" si="118"/>
        <v>3952.7232</v>
      </c>
      <c r="CG41" s="488">
        <f t="shared" si="107"/>
        <v>23222.2488</v>
      </c>
      <c r="CH41" s="488">
        <f t="shared" si="108"/>
        <v>68678.5656</v>
      </c>
      <c r="CI41" s="489"/>
      <c r="CJ41" s="487"/>
      <c r="CK41" s="472">
        <v>1.0</v>
      </c>
      <c r="CL41" s="104">
        <f>VLOOKUP(I41,Cotizacion!$A$2:$E$423,4,FALSE())</f>
        <v>70.99</v>
      </c>
    </row>
    <row r="42" ht="15.75" customHeight="1">
      <c r="A42" s="453" t="s">
        <v>2848</v>
      </c>
      <c r="B42" s="454">
        <v>2.0</v>
      </c>
      <c r="C42" s="455" t="s">
        <v>2808</v>
      </c>
      <c r="D42" s="456" t="s">
        <v>61</v>
      </c>
      <c r="E42" s="455" t="s">
        <v>2708</v>
      </c>
      <c r="F42" s="455" t="s">
        <v>1763</v>
      </c>
      <c r="G42" s="457" t="s">
        <v>2709</v>
      </c>
      <c r="H42" s="457" t="s">
        <v>2872</v>
      </c>
      <c r="I42" s="458" t="s">
        <v>2077</v>
      </c>
      <c r="J42" s="459" t="s">
        <v>507</v>
      </c>
      <c r="K42" s="460" t="s">
        <v>25</v>
      </c>
      <c r="L42" s="461">
        <v>0.0</v>
      </c>
      <c r="M42" s="461">
        <v>0.0</v>
      </c>
      <c r="N42" s="461">
        <v>0.0</v>
      </c>
      <c r="O42" s="461">
        <v>0.0</v>
      </c>
      <c r="P42" s="461">
        <v>0.0</v>
      </c>
      <c r="Q42" s="461">
        <v>0.0</v>
      </c>
      <c r="R42" s="461">
        <v>0.0</v>
      </c>
      <c r="S42" s="461">
        <v>0.0</v>
      </c>
      <c r="T42" s="461">
        <v>0.0</v>
      </c>
      <c r="U42" s="461">
        <v>0.0</v>
      </c>
      <c r="V42" s="461">
        <v>0.0</v>
      </c>
      <c r="W42" s="463">
        <f t="shared" si="98"/>
        <v>0</v>
      </c>
      <c r="X42" s="461">
        <v>15.0</v>
      </c>
      <c r="Y42" s="461">
        <v>10.0</v>
      </c>
      <c r="Z42" s="461">
        <v>15.0</v>
      </c>
      <c r="AA42" s="461">
        <v>0.0</v>
      </c>
      <c r="AB42" s="461">
        <v>12.0</v>
      </c>
      <c r="AC42" s="461">
        <v>0.0</v>
      </c>
      <c r="AD42" s="461">
        <v>0.0</v>
      </c>
      <c r="AE42" s="461">
        <v>0.0</v>
      </c>
      <c r="AF42" s="461">
        <v>2.0</v>
      </c>
      <c r="AG42" s="461">
        <v>0.0</v>
      </c>
      <c r="AH42" s="461">
        <v>0.0</v>
      </c>
      <c r="AI42" s="464">
        <f t="shared" si="99"/>
        <v>54</v>
      </c>
      <c r="AJ42" s="461">
        <v>15.0</v>
      </c>
      <c r="AK42" s="461">
        <v>10.0</v>
      </c>
      <c r="AL42" s="461">
        <v>15.0</v>
      </c>
      <c r="AM42" s="461">
        <v>0.0</v>
      </c>
      <c r="AN42" s="461">
        <v>12.0</v>
      </c>
      <c r="AO42" s="461">
        <v>0.0</v>
      </c>
      <c r="AP42" s="461">
        <v>0.0</v>
      </c>
      <c r="AQ42" s="461">
        <v>0.0</v>
      </c>
      <c r="AR42" s="461">
        <v>2.0</v>
      </c>
      <c r="AS42" s="461">
        <v>0.0</v>
      </c>
      <c r="AT42" s="461">
        <v>0.0</v>
      </c>
      <c r="AU42" s="463">
        <f t="shared" si="100"/>
        <v>54</v>
      </c>
      <c r="AV42" s="465">
        <f t="shared" si="101"/>
        <v>108</v>
      </c>
      <c r="AW42" s="466"/>
      <c r="AX42" s="467">
        <v>86.76</v>
      </c>
      <c r="AY42" s="467">
        <f t="shared" si="109"/>
        <v>603.8496</v>
      </c>
      <c r="AZ42" s="468"/>
      <c r="BA42" s="469">
        <f t="shared" ref="BA42:BJ42" si="119">L42*$AY42</f>
        <v>0</v>
      </c>
      <c r="BB42" s="469">
        <f t="shared" si="119"/>
        <v>0</v>
      </c>
      <c r="BC42" s="469">
        <f t="shared" si="119"/>
        <v>0</v>
      </c>
      <c r="BD42" s="469">
        <f t="shared" si="119"/>
        <v>0</v>
      </c>
      <c r="BE42" s="469">
        <f t="shared" si="119"/>
        <v>0</v>
      </c>
      <c r="BF42" s="469">
        <f t="shared" si="119"/>
        <v>0</v>
      </c>
      <c r="BG42" s="469">
        <f t="shared" si="119"/>
        <v>0</v>
      </c>
      <c r="BH42" s="469">
        <f t="shared" si="119"/>
        <v>0</v>
      </c>
      <c r="BI42" s="469">
        <f t="shared" si="119"/>
        <v>0</v>
      </c>
      <c r="BJ42" s="469">
        <f t="shared" si="119"/>
        <v>0</v>
      </c>
      <c r="BK42" s="470">
        <f t="shared" si="103"/>
        <v>0</v>
      </c>
      <c r="BL42" s="469">
        <f t="shared" ref="BL42:BU42" si="120">X42*$AY42</f>
        <v>9057.744</v>
      </c>
      <c r="BM42" s="469">
        <f t="shared" si="120"/>
        <v>6038.496</v>
      </c>
      <c r="BN42" s="469">
        <f t="shared" si="120"/>
        <v>9057.744</v>
      </c>
      <c r="BO42" s="469">
        <f t="shared" si="120"/>
        <v>0</v>
      </c>
      <c r="BP42" s="469">
        <f t="shared" si="120"/>
        <v>7246.1952</v>
      </c>
      <c r="BQ42" s="469">
        <f t="shared" si="120"/>
        <v>0</v>
      </c>
      <c r="BR42" s="469">
        <f t="shared" si="120"/>
        <v>0</v>
      </c>
      <c r="BS42" s="469">
        <f t="shared" si="120"/>
        <v>0</v>
      </c>
      <c r="BT42" s="469">
        <f t="shared" si="120"/>
        <v>1207.6992</v>
      </c>
      <c r="BU42" s="469">
        <f t="shared" si="120"/>
        <v>0</v>
      </c>
      <c r="BV42" s="470">
        <f t="shared" si="105"/>
        <v>32607.8784</v>
      </c>
      <c r="BW42" s="469">
        <f t="shared" ref="BW42:CF42" si="121">AJ42*$AY42</f>
        <v>9057.744</v>
      </c>
      <c r="BX42" s="469">
        <f t="shared" si="121"/>
        <v>6038.496</v>
      </c>
      <c r="BY42" s="469">
        <f t="shared" si="121"/>
        <v>9057.744</v>
      </c>
      <c r="BZ42" s="469">
        <f t="shared" si="121"/>
        <v>0</v>
      </c>
      <c r="CA42" s="469">
        <f t="shared" si="121"/>
        <v>7246.1952</v>
      </c>
      <c r="CB42" s="469">
        <f t="shared" si="121"/>
        <v>0</v>
      </c>
      <c r="CC42" s="469">
        <f t="shared" si="121"/>
        <v>0</v>
      </c>
      <c r="CD42" s="469">
        <f t="shared" si="121"/>
        <v>0</v>
      </c>
      <c r="CE42" s="469">
        <f t="shared" si="121"/>
        <v>1207.6992</v>
      </c>
      <c r="CF42" s="469">
        <f t="shared" si="121"/>
        <v>0</v>
      </c>
      <c r="CG42" s="470">
        <f t="shared" si="107"/>
        <v>32607.8784</v>
      </c>
      <c r="CH42" s="470">
        <f t="shared" si="108"/>
        <v>65215.7568</v>
      </c>
      <c r="CI42" s="471"/>
      <c r="CJ42" s="469"/>
      <c r="CK42" s="472">
        <v>1.0</v>
      </c>
      <c r="CL42" s="104">
        <f>VLOOKUP(I42,Cotizacion!$A$2:$E$423,4,FALSE())</f>
        <v>86.76</v>
      </c>
    </row>
    <row r="43" ht="15.75" customHeight="1">
      <c r="A43" s="474" t="s">
        <v>2848</v>
      </c>
      <c r="B43" s="475">
        <v>2.0</v>
      </c>
      <c r="C43" s="476" t="s">
        <v>2707</v>
      </c>
      <c r="D43" s="477" t="s">
        <v>56</v>
      </c>
      <c r="E43" s="476" t="s">
        <v>2708</v>
      </c>
      <c r="F43" s="476" t="s">
        <v>1763</v>
      </c>
      <c r="G43" s="457" t="s">
        <v>2709</v>
      </c>
      <c r="H43" s="457" t="s">
        <v>2754</v>
      </c>
      <c r="I43" s="478" t="s">
        <v>2104</v>
      </c>
      <c r="J43" s="479" t="s">
        <v>228</v>
      </c>
      <c r="K43" s="480" t="s">
        <v>25</v>
      </c>
      <c r="L43" s="481">
        <v>14.0</v>
      </c>
      <c r="M43" s="481">
        <v>9.0</v>
      </c>
      <c r="N43" s="481">
        <v>14.0</v>
      </c>
      <c r="O43" s="481">
        <v>9.0</v>
      </c>
      <c r="P43" s="481">
        <v>9.0</v>
      </c>
      <c r="Q43" s="481">
        <v>9.0</v>
      </c>
      <c r="R43" s="481">
        <v>4.0</v>
      </c>
      <c r="S43" s="481">
        <v>5.0</v>
      </c>
      <c r="T43" s="481">
        <v>1.0</v>
      </c>
      <c r="U43" s="492">
        <v>0.0</v>
      </c>
      <c r="V43" s="481">
        <v>0.0</v>
      </c>
      <c r="W43" s="463">
        <f t="shared" si="98"/>
        <v>74</v>
      </c>
      <c r="X43" s="481">
        <v>15.0</v>
      </c>
      <c r="Y43" s="481">
        <v>10.0</v>
      </c>
      <c r="Z43" s="481">
        <v>15.0</v>
      </c>
      <c r="AA43" s="481">
        <v>10.0</v>
      </c>
      <c r="AB43" s="481">
        <v>10.0</v>
      </c>
      <c r="AC43" s="481">
        <v>10.0</v>
      </c>
      <c r="AD43" s="481">
        <v>4.0</v>
      </c>
      <c r="AE43" s="481">
        <v>5.0</v>
      </c>
      <c r="AF43" s="481">
        <v>1.0</v>
      </c>
      <c r="AG43" s="492">
        <v>0.0</v>
      </c>
      <c r="AH43" s="481">
        <v>0.0</v>
      </c>
      <c r="AI43" s="464">
        <f t="shared" si="99"/>
        <v>80</v>
      </c>
      <c r="AJ43" s="481">
        <v>15.0</v>
      </c>
      <c r="AK43" s="481">
        <v>10.0</v>
      </c>
      <c r="AL43" s="481">
        <v>15.0</v>
      </c>
      <c r="AM43" s="481">
        <v>10.0</v>
      </c>
      <c r="AN43" s="481">
        <v>10.0</v>
      </c>
      <c r="AO43" s="481">
        <v>10.0</v>
      </c>
      <c r="AP43" s="481">
        <v>4.0</v>
      </c>
      <c r="AQ43" s="481">
        <v>5.0</v>
      </c>
      <c r="AR43" s="481">
        <v>1.0</v>
      </c>
      <c r="AS43" s="481">
        <v>6.0</v>
      </c>
      <c r="AT43" s="481">
        <v>0.0</v>
      </c>
      <c r="AU43" s="463">
        <f t="shared" si="100"/>
        <v>86</v>
      </c>
      <c r="AV43" s="483">
        <f t="shared" si="101"/>
        <v>240</v>
      </c>
      <c r="AW43" s="484"/>
      <c r="AX43" s="485">
        <v>38.57</v>
      </c>
      <c r="AY43" s="485">
        <f t="shared" si="109"/>
        <v>268.4472</v>
      </c>
      <c r="AZ43" s="486"/>
      <c r="BA43" s="487">
        <f t="shared" ref="BA43:BJ43" si="122">L43*$AY43</f>
        <v>3758.2608</v>
      </c>
      <c r="BB43" s="487">
        <f t="shared" si="122"/>
        <v>2416.0248</v>
      </c>
      <c r="BC43" s="487">
        <f t="shared" si="122"/>
        <v>3758.2608</v>
      </c>
      <c r="BD43" s="487">
        <f t="shared" si="122"/>
        <v>2416.0248</v>
      </c>
      <c r="BE43" s="487">
        <f t="shared" si="122"/>
        <v>2416.0248</v>
      </c>
      <c r="BF43" s="487">
        <f t="shared" si="122"/>
        <v>2416.0248</v>
      </c>
      <c r="BG43" s="487">
        <f t="shared" si="122"/>
        <v>1073.7888</v>
      </c>
      <c r="BH43" s="487">
        <f t="shared" si="122"/>
        <v>1342.236</v>
      </c>
      <c r="BI43" s="487">
        <f t="shared" si="122"/>
        <v>268.4472</v>
      </c>
      <c r="BJ43" s="487">
        <f t="shared" si="122"/>
        <v>0</v>
      </c>
      <c r="BK43" s="488">
        <f t="shared" si="103"/>
        <v>19865.0928</v>
      </c>
      <c r="BL43" s="487">
        <f t="shared" ref="BL43:BU43" si="123">X43*$AY43</f>
        <v>4026.708</v>
      </c>
      <c r="BM43" s="487">
        <f t="shared" si="123"/>
        <v>2684.472</v>
      </c>
      <c r="BN43" s="487">
        <f t="shared" si="123"/>
        <v>4026.708</v>
      </c>
      <c r="BO43" s="487">
        <f t="shared" si="123"/>
        <v>2684.472</v>
      </c>
      <c r="BP43" s="487">
        <f t="shared" si="123"/>
        <v>2684.472</v>
      </c>
      <c r="BQ43" s="487">
        <f t="shared" si="123"/>
        <v>2684.472</v>
      </c>
      <c r="BR43" s="487">
        <f t="shared" si="123"/>
        <v>1073.7888</v>
      </c>
      <c r="BS43" s="487">
        <f t="shared" si="123"/>
        <v>1342.236</v>
      </c>
      <c r="BT43" s="487">
        <f t="shared" si="123"/>
        <v>268.4472</v>
      </c>
      <c r="BU43" s="487">
        <f t="shared" si="123"/>
        <v>0</v>
      </c>
      <c r="BV43" s="488">
        <f t="shared" si="105"/>
        <v>21475.776</v>
      </c>
      <c r="BW43" s="487">
        <f t="shared" ref="BW43:CF43" si="124">AJ43*$AY43</f>
        <v>4026.708</v>
      </c>
      <c r="BX43" s="487">
        <f t="shared" si="124"/>
        <v>2684.472</v>
      </c>
      <c r="BY43" s="487">
        <f t="shared" si="124"/>
        <v>4026.708</v>
      </c>
      <c r="BZ43" s="487">
        <f t="shared" si="124"/>
        <v>2684.472</v>
      </c>
      <c r="CA43" s="487">
        <f t="shared" si="124"/>
        <v>2684.472</v>
      </c>
      <c r="CB43" s="487">
        <f t="shared" si="124"/>
        <v>2684.472</v>
      </c>
      <c r="CC43" s="487">
        <f t="shared" si="124"/>
        <v>1073.7888</v>
      </c>
      <c r="CD43" s="487">
        <f t="shared" si="124"/>
        <v>1342.236</v>
      </c>
      <c r="CE43" s="487">
        <f t="shared" si="124"/>
        <v>268.4472</v>
      </c>
      <c r="CF43" s="487">
        <f t="shared" si="124"/>
        <v>1610.6832</v>
      </c>
      <c r="CG43" s="488">
        <f t="shared" si="107"/>
        <v>23086.4592</v>
      </c>
      <c r="CH43" s="488">
        <f t="shared" si="108"/>
        <v>64427.328</v>
      </c>
      <c r="CI43" s="489"/>
      <c r="CJ43" s="487"/>
      <c r="CK43" s="472">
        <v>1.0</v>
      </c>
      <c r="CL43" s="104">
        <f>VLOOKUP(I43,Cotizacion!$A$2:$E$423,4,FALSE())</f>
        <v>38.57</v>
      </c>
    </row>
    <row r="44" ht="15.75" customHeight="1">
      <c r="A44" s="453" t="s">
        <v>2848</v>
      </c>
      <c r="B44" s="454">
        <v>2.0</v>
      </c>
      <c r="C44" s="456" t="s">
        <v>2852</v>
      </c>
      <c r="D44" s="456" t="s">
        <v>52</v>
      </c>
      <c r="E44" s="456" t="s">
        <v>2708</v>
      </c>
      <c r="F44" s="456" t="s">
        <v>1763</v>
      </c>
      <c r="G44" s="457" t="s">
        <v>2709</v>
      </c>
      <c r="H44" s="457" t="s">
        <v>2873</v>
      </c>
      <c r="I44" s="514" t="s">
        <v>1885</v>
      </c>
      <c r="J44" s="459" t="s">
        <v>545</v>
      </c>
      <c r="K44" s="515" t="s">
        <v>25</v>
      </c>
      <c r="L44" s="461">
        <v>0.0</v>
      </c>
      <c r="M44" s="461">
        <v>0.0</v>
      </c>
      <c r="N44" s="461">
        <v>0.0</v>
      </c>
      <c r="O44" s="462">
        <v>222.0</v>
      </c>
      <c r="P44" s="462">
        <v>104.0</v>
      </c>
      <c r="Q44" s="461">
        <v>0.0</v>
      </c>
      <c r="R44" s="461">
        <v>0.0</v>
      </c>
      <c r="S44" s="490">
        <v>40.0</v>
      </c>
      <c r="T44" s="461">
        <v>0.0</v>
      </c>
      <c r="U44" s="461">
        <v>0.0</v>
      </c>
      <c r="V44" s="461">
        <v>0.0</v>
      </c>
      <c r="W44" s="463">
        <f t="shared" si="98"/>
        <v>366</v>
      </c>
      <c r="X44" s="461">
        <v>394.0</v>
      </c>
      <c r="Y44" s="461">
        <v>234.0</v>
      </c>
      <c r="Z44" s="461">
        <v>344.0</v>
      </c>
      <c r="AA44" s="461">
        <v>222.0</v>
      </c>
      <c r="AB44" s="461">
        <v>254.0</v>
      </c>
      <c r="AC44" s="461">
        <v>420.0</v>
      </c>
      <c r="AD44" s="461">
        <v>266.0</v>
      </c>
      <c r="AE44" s="490">
        <v>354.0</v>
      </c>
      <c r="AF44" s="461">
        <v>54.0</v>
      </c>
      <c r="AG44" s="461">
        <v>350.0</v>
      </c>
      <c r="AH44" s="461">
        <v>0.0</v>
      </c>
      <c r="AI44" s="464">
        <f t="shared" si="99"/>
        <v>2892</v>
      </c>
      <c r="AJ44" s="461">
        <v>394.0</v>
      </c>
      <c r="AK44" s="461">
        <v>234.0</v>
      </c>
      <c r="AL44" s="461">
        <v>344.0</v>
      </c>
      <c r="AM44" s="461">
        <v>222.0</v>
      </c>
      <c r="AN44" s="461">
        <v>254.0</v>
      </c>
      <c r="AO44" s="461">
        <v>420.0</v>
      </c>
      <c r="AP44" s="461">
        <v>266.0</v>
      </c>
      <c r="AQ44" s="490">
        <v>354.0</v>
      </c>
      <c r="AR44" s="461">
        <v>54.0</v>
      </c>
      <c r="AS44" s="461">
        <v>350.0</v>
      </c>
      <c r="AT44" s="461">
        <v>0.0</v>
      </c>
      <c r="AU44" s="463">
        <f t="shared" si="100"/>
        <v>2892</v>
      </c>
      <c r="AV44" s="465">
        <f t="shared" si="101"/>
        <v>6150</v>
      </c>
      <c r="AW44" s="466"/>
      <c r="AX44" s="516">
        <v>1.42</v>
      </c>
      <c r="AY44" s="467">
        <f t="shared" si="109"/>
        <v>9.8832</v>
      </c>
      <c r="AZ44" s="538"/>
      <c r="BA44" s="469">
        <f t="shared" ref="BA44:BJ44" si="125">L44*$AY44</f>
        <v>0</v>
      </c>
      <c r="BB44" s="469">
        <f t="shared" si="125"/>
        <v>0</v>
      </c>
      <c r="BC44" s="469">
        <f t="shared" si="125"/>
        <v>0</v>
      </c>
      <c r="BD44" s="469">
        <f t="shared" si="125"/>
        <v>2194.0704</v>
      </c>
      <c r="BE44" s="469">
        <f t="shared" si="125"/>
        <v>1027.8528</v>
      </c>
      <c r="BF44" s="469">
        <f t="shared" si="125"/>
        <v>0</v>
      </c>
      <c r="BG44" s="469">
        <f t="shared" si="125"/>
        <v>0</v>
      </c>
      <c r="BH44" s="469">
        <f t="shared" si="125"/>
        <v>395.328</v>
      </c>
      <c r="BI44" s="469">
        <f t="shared" si="125"/>
        <v>0</v>
      </c>
      <c r="BJ44" s="469">
        <f t="shared" si="125"/>
        <v>0</v>
      </c>
      <c r="BK44" s="470">
        <f t="shared" si="103"/>
        <v>3617.2512</v>
      </c>
      <c r="BL44" s="469">
        <f t="shared" ref="BL44:BU44" si="126">X44*$AY44</f>
        <v>3893.9808</v>
      </c>
      <c r="BM44" s="469">
        <f t="shared" si="126"/>
        <v>2312.6688</v>
      </c>
      <c r="BN44" s="469">
        <f t="shared" si="126"/>
        <v>3399.8208</v>
      </c>
      <c r="BO44" s="469">
        <f t="shared" si="126"/>
        <v>2194.0704</v>
      </c>
      <c r="BP44" s="469">
        <f t="shared" si="126"/>
        <v>2510.3328</v>
      </c>
      <c r="BQ44" s="469">
        <f t="shared" si="126"/>
        <v>4150.944</v>
      </c>
      <c r="BR44" s="469">
        <f t="shared" si="126"/>
        <v>2628.9312</v>
      </c>
      <c r="BS44" s="469">
        <f t="shared" si="126"/>
        <v>3498.6528</v>
      </c>
      <c r="BT44" s="469">
        <f t="shared" si="126"/>
        <v>533.6928</v>
      </c>
      <c r="BU44" s="469">
        <f t="shared" si="126"/>
        <v>3459.12</v>
      </c>
      <c r="BV44" s="470">
        <f t="shared" si="105"/>
        <v>28582.2144</v>
      </c>
      <c r="BW44" s="469">
        <f t="shared" ref="BW44:CF44" si="127">AJ44*$AY44</f>
        <v>3893.9808</v>
      </c>
      <c r="BX44" s="469">
        <f t="shared" si="127"/>
        <v>2312.6688</v>
      </c>
      <c r="BY44" s="469">
        <f t="shared" si="127"/>
        <v>3399.8208</v>
      </c>
      <c r="BZ44" s="469">
        <f t="shared" si="127"/>
        <v>2194.0704</v>
      </c>
      <c r="CA44" s="469">
        <f t="shared" si="127"/>
        <v>2510.3328</v>
      </c>
      <c r="CB44" s="469">
        <f t="shared" si="127"/>
        <v>4150.944</v>
      </c>
      <c r="CC44" s="469">
        <f t="shared" si="127"/>
        <v>2628.9312</v>
      </c>
      <c r="CD44" s="469">
        <f t="shared" si="127"/>
        <v>3498.6528</v>
      </c>
      <c r="CE44" s="469">
        <f t="shared" si="127"/>
        <v>533.6928</v>
      </c>
      <c r="CF44" s="469">
        <f t="shared" si="127"/>
        <v>3459.12</v>
      </c>
      <c r="CG44" s="470">
        <f t="shared" si="107"/>
        <v>28582.2144</v>
      </c>
      <c r="CH44" s="470">
        <f t="shared" si="108"/>
        <v>60781.68</v>
      </c>
      <c r="CI44" s="471"/>
      <c r="CJ44" s="518"/>
      <c r="CK44" s="472">
        <v>1.0</v>
      </c>
      <c r="CL44" s="104">
        <f>VLOOKUP(I44,Cotizacion!$A$2:$E$423,4,FALSE())</f>
        <v>1.42</v>
      </c>
    </row>
    <row r="45" ht="15.75" customHeight="1">
      <c r="A45" s="474" t="s">
        <v>2848</v>
      </c>
      <c r="B45" s="475">
        <v>2.0</v>
      </c>
      <c r="C45" s="476" t="s">
        <v>2707</v>
      </c>
      <c r="D45" s="477" t="s">
        <v>785</v>
      </c>
      <c r="E45" s="476" t="s">
        <v>2708</v>
      </c>
      <c r="F45" s="476" t="s">
        <v>1763</v>
      </c>
      <c r="G45" s="457" t="s">
        <v>2709</v>
      </c>
      <c r="H45" s="457" t="s">
        <v>2762</v>
      </c>
      <c r="I45" s="478" t="s">
        <v>2157</v>
      </c>
      <c r="J45" s="479" t="s">
        <v>489</v>
      </c>
      <c r="K45" s="480" t="s">
        <v>25</v>
      </c>
      <c r="L45" s="481">
        <v>0.0</v>
      </c>
      <c r="M45" s="481">
        <v>0.0</v>
      </c>
      <c r="N45" s="481">
        <v>0.0</v>
      </c>
      <c r="O45" s="481">
        <v>0.0</v>
      </c>
      <c r="P45" s="481">
        <v>0.0</v>
      </c>
      <c r="Q45" s="481">
        <v>0.0</v>
      </c>
      <c r="R45" s="481">
        <v>0.0</v>
      </c>
      <c r="S45" s="481">
        <v>0.0</v>
      </c>
      <c r="T45" s="481">
        <v>0.0</v>
      </c>
      <c r="U45" s="481">
        <v>0.0</v>
      </c>
      <c r="V45" s="481">
        <v>0.0</v>
      </c>
      <c r="W45" s="463">
        <f t="shared" si="98"/>
        <v>0</v>
      </c>
      <c r="X45" s="481">
        <v>8.0</v>
      </c>
      <c r="Y45" s="481">
        <v>3.0</v>
      </c>
      <c r="Z45" s="481">
        <v>8.0</v>
      </c>
      <c r="AA45" s="481">
        <v>2.0</v>
      </c>
      <c r="AB45" s="481">
        <v>2.0</v>
      </c>
      <c r="AC45" s="481">
        <v>3.0</v>
      </c>
      <c r="AD45" s="481">
        <v>14.0</v>
      </c>
      <c r="AE45" s="481">
        <v>14.0</v>
      </c>
      <c r="AF45" s="481">
        <v>4.0</v>
      </c>
      <c r="AG45" s="481">
        <v>16.0</v>
      </c>
      <c r="AH45" s="481">
        <v>0.0</v>
      </c>
      <c r="AI45" s="464">
        <f t="shared" si="99"/>
        <v>74</v>
      </c>
      <c r="AJ45" s="481">
        <v>8.0</v>
      </c>
      <c r="AK45" s="481">
        <v>3.0</v>
      </c>
      <c r="AL45" s="481">
        <v>8.0</v>
      </c>
      <c r="AM45" s="481">
        <v>2.0</v>
      </c>
      <c r="AN45" s="481">
        <v>2.0</v>
      </c>
      <c r="AO45" s="481">
        <v>3.0</v>
      </c>
      <c r="AP45" s="481">
        <v>14.0</v>
      </c>
      <c r="AQ45" s="481">
        <v>14.0</v>
      </c>
      <c r="AR45" s="481">
        <v>4.0</v>
      </c>
      <c r="AS45" s="481">
        <v>16.0</v>
      </c>
      <c r="AT45" s="481">
        <v>0.0</v>
      </c>
      <c r="AU45" s="463">
        <f t="shared" si="100"/>
        <v>74</v>
      </c>
      <c r="AV45" s="483">
        <f t="shared" si="101"/>
        <v>148</v>
      </c>
      <c r="AW45" s="484"/>
      <c r="AX45" s="485">
        <v>58.61</v>
      </c>
      <c r="AY45" s="485">
        <f t="shared" si="109"/>
        <v>407.9256</v>
      </c>
      <c r="AZ45" s="486"/>
      <c r="BA45" s="487">
        <f t="shared" ref="BA45:BJ45" si="128">L45*$AY45</f>
        <v>0</v>
      </c>
      <c r="BB45" s="487">
        <f t="shared" si="128"/>
        <v>0</v>
      </c>
      <c r="BC45" s="487">
        <f t="shared" si="128"/>
        <v>0</v>
      </c>
      <c r="BD45" s="487">
        <f t="shared" si="128"/>
        <v>0</v>
      </c>
      <c r="BE45" s="487">
        <f t="shared" si="128"/>
        <v>0</v>
      </c>
      <c r="BF45" s="487">
        <f t="shared" si="128"/>
        <v>0</v>
      </c>
      <c r="BG45" s="487">
        <f t="shared" si="128"/>
        <v>0</v>
      </c>
      <c r="BH45" s="487">
        <f t="shared" si="128"/>
        <v>0</v>
      </c>
      <c r="BI45" s="487">
        <f t="shared" si="128"/>
        <v>0</v>
      </c>
      <c r="BJ45" s="487">
        <f t="shared" si="128"/>
        <v>0</v>
      </c>
      <c r="BK45" s="488">
        <f t="shared" si="103"/>
        <v>0</v>
      </c>
      <c r="BL45" s="487">
        <f t="shared" ref="BL45:BU45" si="129">X45*$AY45</f>
        <v>3263.4048</v>
      </c>
      <c r="BM45" s="487">
        <f t="shared" si="129"/>
        <v>1223.7768</v>
      </c>
      <c r="BN45" s="487">
        <f t="shared" si="129"/>
        <v>3263.4048</v>
      </c>
      <c r="BO45" s="487">
        <f t="shared" si="129"/>
        <v>815.8512</v>
      </c>
      <c r="BP45" s="487">
        <f t="shared" si="129"/>
        <v>815.8512</v>
      </c>
      <c r="BQ45" s="487">
        <f t="shared" si="129"/>
        <v>1223.7768</v>
      </c>
      <c r="BR45" s="487">
        <f t="shared" si="129"/>
        <v>5710.9584</v>
      </c>
      <c r="BS45" s="487">
        <f t="shared" si="129"/>
        <v>5710.9584</v>
      </c>
      <c r="BT45" s="487">
        <f t="shared" si="129"/>
        <v>1631.7024</v>
      </c>
      <c r="BU45" s="487">
        <f t="shared" si="129"/>
        <v>6526.8096</v>
      </c>
      <c r="BV45" s="488">
        <f t="shared" si="105"/>
        <v>30186.4944</v>
      </c>
      <c r="BW45" s="487">
        <f t="shared" ref="BW45:CF45" si="130">AJ45*$AY45</f>
        <v>3263.4048</v>
      </c>
      <c r="BX45" s="487">
        <f t="shared" si="130"/>
        <v>1223.7768</v>
      </c>
      <c r="BY45" s="487">
        <f t="shared" si="130"/>
        <v>3263.4048</v>
      </c>
      <c r="BZ45" s="487">
        <f t="shared" si="130"/>
        <v>815.8512</v>
      </c>
      <c r="CA45" s="487">
        <f t="shared" si="130"/>
        <v>815.8512</v>
      </c>
      <c r="CB45" s="487">
        <f t="shared" si="130"/>
        <v>1223.7768</v>
      </c>
      <c r="CC45" s="487">
        <f t="shared" si="130"/>
        <v>5710.9584</v>
      </c>
      <c r="CD45" s="487">
        <f t="shared" si="130"/>
        <v>5710.9584</v>
      </c>
      <c r="CE45" s="487">
        <f t="shared" si="130"/>
        <v>1631.7024</v>
      </c>
      <c r="CF45" s="487">
        <f t="shared" si="130"/>
        <v>6526.8096</v>
      </c>
      <c r="CG45" s="488">
        <f t="shared" si="107"/>
        <v>30186.4944</v>
      </c>
      <c r="CH45" s="488">
        <f t="shared" si="108"/>
        <v>60372.9888</v>
      </c>
      <c r="CI45" s="489"/>
      <c r="CJ45" s="487"/>
      <c r="CK45" s="472">
        <v>1.0</v>
      </c>
      <c r="CL45" s="104">
        <f>VLOOKUP(I45,Cotizacion!$A$2:$E$423,4,FALSE())</f>
        <v>58.61</v>
      </c>
    </row>
    <row r="46" ht="15.75" customHeight="1">
      <c r="A46" s="453" t="s">
        <v>2848</v>
      </c>
      <c r="B46" s="454">
        <v>2.0</v>
      </c>
      <c r="C46" s="455" t="s">
        <v>2707</v>
      </c>
      <c r="D46" s="456" t="s">
        <v>56</v>
      </c>
      <c r="E46" s="455" t="s">
        <v>2708</v>
      </c>
      <c r="F46" s="455" t="s">
        <v>1763</v>
      </c>
      <c r="G46" s="457" t="s">
        <v>2709</v>
      </c>
      <c r="H46" s="457" t="s">
        <v>2776</v>
      </c>
      <c r="I46" s="458" t="s">
        <v>2263</v>
      </c>
      <c r="J46" s="459" t="s">
        <v>423</v>
      </c>
      <c r="K46" s="460" t="s">
        <v>25</v>
      </c>
      <c r="L46" s="461">
        <v>25.0</v>
      </c>
      <c r="M46" s="461">
        <v>5.0</v>
      </c>
      <c r="N46" s="461">
        <v>25.0</v>
      </c>
      <c r="O46" s="461">
        <v>6.0</v>
      </c>
      <c r="P46" s="461">
        <v>4.0</v>
      </c>
      <c r="Q46" s="461">
        <v>4.0</v>
      </c>
      <c r="R46" s="461">
        <v>1.0</v>
      </c>
      <c r="S46" s="461">
        <v>2.0</v>
      </c>
      <c r="T46" s="461">
        <v>1.0</v>
      </c>
      <c r="U46" s="490">
        <v>30.0</v>
      </c>
      <c r="V46" s="461">
        <v>0.0</v>
      </c>
      <c r="W46" s="463">
        <f t="shared" si="98"/>
        <v>103</v>
      </c>
      <c r="X46" s="461">
        <v>25.0</v>
      </c>
      <c r="Y46" s="461">
        <v>5.0</v>
      </c>
      <c r="Z46" s="461">
        <v>25.0</v>
      </c>
      <c r="AA46" s="461">
        <v>6.0</v>
      </c>
      <c r="AB46" s="461">
        <v>4.0</v>
      </c>
      <c r="AC46" s="461">
        <v>4.0</v>
      </c>
      <c r="AD46" s="462">
        <v>2.0</v>
      </c>
      <c r="AE46" s="461">
        <v>2.0</v>
      </c>
      <c r="AF46" s="461">
        <v>1.0</v>
      </c>
      <c r="AG46" s="490">
        <v>30.0</v>
      </c>
      <c r="AH46" s="461">
        <v>0.0</v>
      </c>
      <c r="AI46" s="464">
        <f t="shared" si="99"/>
        <v>104</v>
      </c>
      <c r="AJ46" s="461">
        <v>25.0</v>
      </c>
      <c r="AK46" s="461">
        <v>5.0</v>
      </c>
      <c r="AL46" s="461">
        <v>25.0</v>
      </c>
      <c r="AM46" s="461">
        <v>6.0</v>
      </c>
      <c r="AN46" s="461">
        <v>4.0</v>
      </c>
      <c r="AO46" s="461">
        <v>4.0</v>
      </c>
      <c r="AP46" s="462">
        <v>2.0</v>
      </c>
      <c r="AQ46" s="461">
        <v>2.0</v>
      </c>
      <c r="AR46" s="461">
        <v>1.0</v>
      </c>
      <c r="AS46" s="490">
        <v>30.0</v>
      </c>
      <c r="AT46" s="461">
        <v>0.0</v>
      </c>
      <c r="AU46" s="463">
        <f t="shared" si="100"/>
        <v>104</v>
      </c>
      <c r="AV46" s="465">
        <f t="shared" si="101"/>
        <v>311</v>
      </c>
      <c r="AW46" s="466"/>
      <c r="AX46" s="467">
        <v>26.07</v>
      </c>
      <c r="AY46" s="467">
        <f t="shared" si="109"/>
        <v>181.4472</v>
      </c>
      <c r="AZ46" s="468"/>
      <c r="BA46" s="469">
        <f t="shared" ref="BA46:BJ46" si="131">L46*$AY46</f>
        <v>4536.18</v>
      </c>
      <c r="BB46" s="469">
        <f t="shared" si="131"/>
        <v>907.236</v>
      </c>
      <c r="BC46" s="469">
        <f t="shared" si="131"/>
        <v>4536.18</v>
      </c>
      <c r="BD46" s="469">
        <f t="shared" si="131"/>
        <v>1088.6832</v>
      </c>
      <c r="BE46" s="469">
        <f t="shared" si="131"/>
        <v>725.7888</v>
      </c>
      <c r="BF46" s="469">
        <f t="shared" si="131"/>
        <v>725.7888</v>
      </c>
      <c r="BG46" s="469">
        <f t="shared" si="131"/>
        <v>181.4472</v>
      </c>
      <c r="BH46" s="469">
        <f t="shared" si="131"/>
        <v>362.8944</v>
      </c>
      <c r="BI46" s="469">
        <f t="shared" si="131"/>
        <v>181.4472</v>
      </c>
      <c r="BJ46" s="469">
        <f t="shared" si="131"/>
        <v>5443.416</v>
      </c>
      <c r="BK46" s="470">
        <f t="shared" si="103"/>
        <v>18689.0616</v>
      </c>
      <c r="BL46" s="469">
        <f t="shared" ref="BL46:BU46" si="132">X46*$AY46</f>
        <v>4536.18</v>
      </c>
      <c r="BM46" s="469">
        <f t="shared" si="132"/>
        <v>907.236</v>
      </c>
      <c r="BN46" s="469">
        <f t="shared" si="132"/>
        <v>4536.18</v>
      </c>
      <c r="BO46" s="469">
        <f t="shared" si="132"/>
        <v>1088.6832</v>
      </c>
      <c r="BP46" s="469">
        <f t="shared" si="132"/>
        <v>725.7888</v>
      </c>
      <c r="BQ46" s="469">
        <f t="shared" si="132"/>
        <v>725.7888</v>
      </c>
      <c r="BR46" s="469">
        <f t="shared" si="132"/>
        <v>362.8944</v>
      </c>
      <c r="BS46" s="469">
        <f t="shared" si="132"/>
        <v>362.8944</v>
      </c>
      <c r="BT46" s="469">
        <f t="shared" si="132"/>
        <v>181.4472</v>
      </c>
      <c r="BU46" s="469">
        <f t="shared" si="132"/>
        <v>5443.416</v>
      </c>
      <c r="BV46" s="470">
        <f t="shared" si="105"/>
        <v>18870.5088</v>
      </c>
      <c r="BW46" s="469">
        <f t="shared" ref="BW46:CF46" si="133">AJ46*$AY46</f>
        <v>4536.18</v>
      </c>
      <c r="BX46" s="469">
        <f t="shared" si="133"/>
        <v>907.236</v>
      </c>
      <c r="BY46" s="469">
        <f t="shared" si="133"/>
        <v>4536.18</v>
      </c>
      <c r="BZ46" s="469">
        <f t="shared" si="133"/>
        <v>1088.6832</v>
      </c>
      <c r="CA46" s="469">
        <f t="shared" si="133"/>
        <v>725.7888</v>
      </c>
      <c r="CB46" s="469">
        <f t="shared" si="133"/>
        <v>725.7888</v>
      </c>
      <c r="CC46" s="469">
        <f t="shared" si="133"/>
        <v>362.8944</v>
      </c>
      <c r="CD46" s="469">
        <f t="shared" si="133"/>
        <v>362.8944</v>
      </c>
      <c r="CE46" s="469">
        <f t="shared" si="133"/>
        <v>181.4472</v>
      </c>
      <c r="CF46" s="469">
        <f t="shared" si="133"/>
        <v>5443.416</v>
      </c>
      <c r="CG46" s="470">
        <f t="shared" si="107"/>
        <v>18870.5088</v>
      </c>
      <c r="CH46" s="470">
        <f t="shared" si="108"/>
        <v>56430.0792</v>
      </c>
      <c r="CI46" s="471"/>
      <c r="CJ46" s="469"/>
      <c r="CK46" s="472">
        <v>1.0</v>
      </c>
      <c r="CL46" s="104">
        <f>VLOOKUP(I46,Cotizacion!$A$2:$E$423,4,FALSE())</f>
        <v>26.07</v>
      </c>
    </row>
    <row r="47" ht="15.75" customHeight="1">
      <c r="A47" s="474" t="s">
        <v>2848</v>
      </c>
      <c r="B47" s="475">
        <v>2.0</v>
      </c>
      <c r="C47" s="477" t="s">
        <v>2852</v>
      </c>
      <c r="D47" s="477" t="s">
        <v>52</v>
      </c>
      <c r="E47" s="477" t="s">
        <v>2708</v>
      </c>
      <c r="F47" s="477" t="s">
        <v>1763</v>
      </c>
      <c r="G47" s="457" t="s">
        <v>2709</v>
      </c>
      <c r="H47" s="457" t="s">
        <v>2874</v>
      </c>
      <c r="I47" s="501" t="s">
        <v>2098</v>
      </c>
      <c r="J47" s="479" t="s">
        <v>119</v>
      </c>
      <c r="K47" s="502" t="s">
        <v>25</v>
      </c>
      <c r="L47" s="481">
        <v>0.0</v>
      </c>
      <c r="M47" s="481">
        <v>0.0</v>
      </c>
      <c r="N47" s="481">
        <v>0.0</v>
      </c>
      <c r="O47" s="482">
        <v>2.0</v>
      </c>
      <c r="P47" s="482">
        <v>2.0</v>
      </c>
      <c r="Q47" s="482">
        <v>4.0</v>
      </c>
      <c r="R47" s="481">
        <v>0.0</v>
      </c>
      <c r="S47" s="481">
        <v>0.0</v>
      </c>
      <c r="T47" s="481">
        <v>0.0</v>
      </c>
      <c r="U47" s="481">
        <v>0.0</v>
      </c>
      <c r="V47" s="481">
        <v>0.0</v>
      </c>
      <c r="W47" s="463">
        <f t="shared" si="98"/>
        <v>8</v>
      </c>
      <c r="X47" s="481">
        <v>5.0</v>
      </c>
      <c r="Y47" s="481">
        <v>3.0</v>
      </c>
      <c r="Z47" s="481">
        <v>5.0</v>
      </c>
      <c r="AA47" s="481">
        <v>2.0</v>
      </c>
      <c r="AB47" s="481">
        <v>2.0</v>
      </c>
      <c r="AC47" s="481">
        <v>4.0</v>
      </c>
      <c r="AD47" s="481">
        <v>2.0</v>
      </c>
      <c r="AE47" s="481">
        <v>2.0</v>
      </c>
      <c r="AF47" s="481">
        <v>1.0</v>
      </c>
      <c r="AG47" s="492">
        <v>0.0</v>
      </c>
      <c r="AH47" s="481">
        <v>0.0</v>
      </c>
      <c r="AI47" s="464">
        <f t="shared" si="99"/>
        <v>26</v>
      </c>
      <c r="AJ47" s="481">
        <v>5.0</v>
      </c>
      <c r="AK47" s="481">
        <v>3.0</v>
      </c>
      <c r="AL47" s="481">
        <v>5.0</v>
      </c>
      <c r="AM47" s="481">
        <v>2.0</v>
      </c>
      <c r="AN47" s="481">
        <v>2.0</v>
      </c>
      <c r="AO47" s="481">
        <v>4.0</v>
      </c>
      <c r="AP47" s="481">
        <v>2.0</v>
      </c>
      <c r="AQ47" s="481">
        <v>2.0</v>
      </c>
      <c r="AR47" s="481">
        <v>1.0</v>
      </c>
      <c r="AS47" s="492">
        <v>0.0</v>
      </c>
      <c r="AT47" s="481">
        <v>0.0</v>
      </c>
      <c r="AU47" s="463">
        <f t="shared" si="100"/>
        <v>26</v>
      </c>
      <c r="AV47" s="483">
        <f t="shared" si="101"/>
        <v>60</v>
      </c>
      <c r="AW47" s="484"/>
      <c r="AX47" s="503">
        <v>133.56</v>
      </c>
      <c r="AY47" s="485">
        <f t="shared" si="109"/>
        <v>929.5776</v>
      </c>
      <c r="AZ47" s="504"/>
      <c r="BA47" s="487">
        <f t="shared" ref="BA47:BJ47" si="134">L47*$AY47</f>
        <v>0</v>
      </c>
      <c r="BB47" s="487">
        <f t="shared" si="134"/>
        <v>0</v>
      </c>
      <c r="BC47" s="487">
        <f t="shared" si="134"/>
        <v>0</v>
      </c>
      <c r="BD47" s="487">
        <f t="shared" si="134"/>
        <v>1859.1552</v>
      </c>
      <c r="BE47" s="487">
        <f t="shared" si="134"/>
        <v>1859.1552</v>
      </c>
      <c r="BF47" s="487">
        <f t="shared" si="134"/>
        <v>3718.3104</v>
      </c>
      <c r="BG47" s="487">
        <f t="shared" si="134"/>
        <v>0</v>
      </c>
      <c r="BH47" s="487">
        <f t="shared" si="134"/>
        <v>0</v>
      </c>
      <c r="BI47" s="487">
        <f t="shared" si="134"/>
        <v>0</v>
      </c>
      <c r="BJ47" s="487">
        <f t="shared" si="134"/>
        <v>0</v>
      </c>
      <c r="BK47" s="488">
        <f t="shared" si="103"/>
        <v>7436.6208</v>
      </c>
      <c r="BL47" s="487">
        <f t="shared" ref="BL47:BU47" si="135">X47*$AY47</f>
        <v>4647.888</v>
      </c>
      <c r="BM47" s="487">
        <f t="shared" si="135"/>
        <v>2788.7328</v>
      </c>
      <c r="BN47" s="487">
        <f t="shared" si="135"/>
        <v>4647.888</v>
      </c>
      <c r="BO47" s="487">
        <f t="shared" si="135"/>
        <v>1859.1552</v>
      </c>
      <c r="BP47" s="487">
        <f t="shared" si="135"/>
        <v>1859.1552</v>
      </c>
      <c r="BQ47" s="487">
        <f t="shared" si="135"/>
        <v>3718.3104</v>
      </c>
      <c r="BR47" s="487">
        <f t="shared" si="135"/>
        <v>1859.1552</v>
      </c>
      <c r="BS47" s="487">
        <f t="shared" si="135"/>
        <v>1859.1552</v>
      </c>
      <c r="BT47" s="487">
        <f t="shared" si="135"/>
        <v>929.5776</v>
      </c>
      <c r="BU47" s="487">
        <f t="shared" si="135"/>
        <v>0</v>
      </c>
      <c r="BV47" s="488">
        <f t="shared" si="105"/>
        <v>24169.0176</v>
      </c>
      <c r="BW47" s="487">
        <f t="shared" ref="BW47:CF47" si="136">AJ47*$AY47</f>
        <v>4647.888</v>
      </c>
      <c r="BX47" s="487">
        <f t="shared" si="136"/>
        <v>2788.7328</v>
      </c>
      <c r="BY47" s="487">
        <f t="shared" si="136"/>
        <v>4647.888</v>
      </c>
      <c r="BZ47" s="487">
        <f t="shared" si="136"/>
        <v>1859.1552</v>
      </c>
      <c r="CA47" s="487">
        <f t="shared" si="136"/>
        <v>1859.1552</v>
      </c>
      <c r="CB47" s="487">
        <f t="shared" si="136"/>
        <v>3718.3104</v>
      </c>
      <c r="CC47" s="487">
        <f t="shared" si="136"/>
        <v>1859.1552</v>
      </c>
      <c r="CD47" s="487">
        <f t="shared" si="136"/>
        <v>1859.1552</v>
      </c>
      <c r="CE47" s="487">
        <f t="shared" si="136"/>
        <v>929.5776</v>
      </c>
      <c r="CF47" s="487">
        <f t="shared" si="136"/>
        <v>0</v>
      </c>
      <c r="CG47" s="488">
        <f t="shared" si="107"/>
        <v>24169.0176</v>
      </c>
      <c r="CH47" s="488">
        <f t="shared" si="108"/>
        <v>55774.656</v>
      </c>
      <c r="CI47" s="489"/>
      <c r="CJ47" s="505"/>
      <c r="CK47" s="472">
        <v>1.0</v>
      </c>
      <c r="CL47" s="104">
        <f>VLOOKUP(I47,Cotizacion!$A$2:$E$423,4,FALSE())</f>
        <v>133.56</v>
      </c>
    </row>
    <row r="48" ht="15.75" customHeight="1">
      <c r="A48" s="453" t="s">
        <v>2848</v>
      </c>
      <c r="B48" s="454">
        <v>2.0</v>
      </c>
      <c r="C48" s="455" t="s">
        <v>2808</v>
      </c>
      <c r="D48" s="456" t="s">
        <v>61</v>
      </c>
      <c r="E48" s="455" t="s">
        <v>2708</v>
      </c>
      <c r="F48" s="455" t="s">
        <v>1763</v>
      </c>
      <c r="G48" s="457" t="s">
        <v>2709</v>
      </c>
      <c r="H48" s="457" t="s">
        <v>2875</v>
      </c>
      <c r="I48" s="458" t="s">
        <v>1948</v>
      </c>
      <c r="J48" s="459" t="s">
        <v>548</v>
      </c>
      <c r="K48" s="460" t="s">
        <v>25</v>
      </c>
      <c r="L48" s="461">
        <v>0.0</v>
      </c>
      <c r="M48" s="461">
        <v>0.0</v>
      </c>
      <c r="N48" s="461">
        <v>0.0</v>
      </c>
      <c r="O48" s="461">
        <v>0.0</v>
      </c>
      <c r="P48" s="461">
        <v>0.0</v>
      </c>
      <c r="Q48" s="461">
        <v>0.0</v>
      </c>
      <c r="R48" s="461">
        <v>0.0</v>
      </c>
      <c r="S48" s="461">
        <v>0.0</v>
      </c>
      <c r="T48" s="461">
        <v>0.0</v>
      </c>
      <c r="U48" s="461">
        <v>0.0</v>
      </c>
      <c r="V48" s="461">
        <v>0.0</v>
      </c>
      <c r="W48" s="463">
        <f t="shared" si="98"/>
        <v>0</v>
      </c>
      <c r="X48" s="461">
        <v>10.0</v>
      </c>
      <c r="Y48" s="461">
        <v>10.0</v>
      </c>
      <c r="Z48" s="461">
        <v>10.0</v>
      </c>
      <c r="AA48" s="461">
        <v>0.0</v>
      </c>
      <c r="AB48" s="461">
        <v>0.0</v>
      </c>
      <c r="AC48" s="461">
        <v>10.0</v>
      </c>
      <c r="AD48" s="461">
        <v>0.0</v>
      </c>
      <c r="AE48" s="461">
        <v>0.0</v>
      </c>
      <c r="AF48" s="461">
        <v>0.0</v>
      </c>
      <c r="AG48" s="461">
        <v>0.0</v>
      </c>
      <c r="AH48" s="461">
        <v>0.0</v>
      </c>
      <c r="AI48" s="464">
        <f t="shared" si="99"/>
        <v>40</v>
      </c>
      <c r="AJ48" s="461">
        <v>10.0</v>
      </c>
      <c r="AK48" s="461">
        <v>10.0</v>
      </c>
      <c r="AL48" s="461">
        <v>10.0</v>
      </c>
      <c r="AM48" s="461">
        <v>0.0</v>
      </c>
      <c r="AN48" s="461">
        <v>0.0</v>
      </c>
      <c r="AO48" s="461">
        <v>10.0</v>
      </c>
      <c r="AP48" s="461">
        <v>0.0</v>
      </c>
      <c r="AQ48" s="461">
        <v>0.0</v>
      </c>
      <c r="AR48" s="461">
        <v>0.0</v>
      </c>
      <c r="AS48" s="461">
        <v>0.0</v>
      </c>
      <c r="AT48" s="461">
        <v>0.0</v>
      </c>
      <c r="AU48" s="463">
        <f t="shared" si="100"/>
        <v>40</v>
      </c>
      <c r="AV48" s="465">
        <f t="shared" si="101"/>
        <v>80</v>
      </c>
      <c r="AW48" s="466"/>
      <c r="AX48" s="467">
        <v>99.68</v>
      </c>
      <c r="AY48" s="467">
        <f t="shared" si="109"/>
        <v>693.7728</v>
      </c>
      <c r="AZ48" s="468"/>
      <c r="BA48" s="469">
        <f t="shared" ref="BA48:BJ48" si="137">L48*$AY48</f>
        <v>0</v>
      </c>
      <c r="BB48" s="469">
        <f t="shared" si="137"/>
        <v>0</v>
      </c>
      <c r="BC48" s="469">
        <f t="shared" si="137"/>
        <v>0</v>
      </c>
      <c r="BD48" s="469">
        <f t="shared" si="137"/>
        <v>0</v>
      </c>
      <c r="BE48" s="469">
        <f t="shared" si="137"/>
        <v>0</v>
      </c>
      <c r="BF48" s="469">
        <f t="shared" si="137"/>
        <v>0</v>
      </c>
      <c r="BG48" s="469">
        <f t="shared" si="137"/>
        <v>0</v>
      </c>
      <c r="BH48" s="469">
        <f t="shared" si="137"/>
        <v>0</v>
      </c>
      <c r="BI48" s="469">
        <f t="shared" si="137"/>
        <v>0</v>
      </c>
      <c r="BJ48" s="469">
        <f t="shared" si="137"/>
        <v>0</v>
      </c>
      <c r="BK48" s="470">
        <f t="shared" si="103"/>
        <v>0</v>
      </c>
      <c r="BL48" s="469">
        <f t="shared" ref="BL48:BU48" si="138">X48*$AY48</f>
        <v>6937.728</v>
      </c>
      <c r="BM48" s="469">
        <f t="shared" si="138"/>
        <v>6937.728</v>
      </c>
      <c r="BN48" s="469">
        <f t="shared" si="138"/>
        <v>6937.728</v>
      </c>
      <c r="BO48" s="469">
        <f t="shared" si="138"/>
        <v>0</v>
      </c>
      <c r="BP48" s="469">
        <f t="shared" si="138"/>
        <v>0</v>
      </c>
      <c r="BQ48" s="469">
        <f t="shared" si="138"/>
        <v>6937.728</v>
      </c>
      <c r="BR48" s="469">
        <f t="shared" si="138"/>
        <v>0</v>
      </c>
      <c r="BS48" s="469">
        <f t="shared" si="138"/>
        <v>0</v>
      </c>
      <c r="BT48" s="469">
        <f t="shared" si="138"/>
        <v>0</v>
      </c>
      <c r="BU48" s="469">
        <f t="shared" si="138"/>
        <v>0</v>
      </c>
      <c r="BV48" s="470">
        <f t="shared" si="105"/>
        <v>27750.912</v>
      </c>
      <c r="BW48" s="469">
        <f t="shared" ref="BW48:CF48" si="139">AJ48*$AY48</f>
        <v>6937.728</v>
      </c>
      <c r="BX48" s="469">
        <f t="shared" si="139"/>
        <v>6937.728</v>
      </c>
      <c r="BY48" s="469">
        <f t="shared" si="139"/>
        <v>6937.728</v>
      </c>
      <c r="BZ48" s="469">
        <f t="shared" si="139"/>
        <v>0</v>
      </c>
      <c r="CA48" s="469">
        <f t="shared" si="139"/>
        <v>0</v>
      </c>
      <c r="CB48" s="469">
        <f t="shared" si="139"/>
        <v>6937.728</v>
      </c>
      <c r="CC48" s="469">
        <f t="shared" si="139"/>
        <v>0</v>
      </c>
      <c r="CD48" s="469">
        <f t="shared" si="139"/>
        <v>0</v>
      </c>
      <c r="CE48" s="469">
        <f t="shared" si="139"/>
        <v>0</v>
      </c>
      <c r="CF48" s="469">
        <f t="shared" si="139"/>
        <v>0</v>
      </c>
      <c r="CG48" s="470">
        <f t="shared" si="107"/>
        <v>27750.912</v>
      </c>
      <c r="CH48" s="470">
        <f t="shared" si="108"/>
        <v>55501.824</v>
      </c>
      <c r="CI48" s="471"/>
      <c r="CJ48" s="469"/>
      <c r="CK48" s="472">
        <v>1.0</v>
      </c>
      <c r="CL48" s="104">
        <f>VLOOKUP(I48,Cotizacion!$A$2:$E$423,4,FALSE())</f>
        <v>99.68</v>
      </c>
    </row>
    <row r="49" ht="15.75" customHeight="1">
      <c r="A49" s="474" t="s">
        <v>2848</v>
      </c>
      <c r="B49" s="475">
        <v>2.0</v>
      </c>
      <c r="C49" s="477" t="s">
        <v>2852</v>
      </c>
      <c r="D49" s="477" t="s">
        <v>52</v>
      </c>
      <c r="E49" s="477" t="s">
        <v>2708</v>
      </c>
      <c r="F49" s="477" t="s">
        <v>1763</v>
      </c>
      <c r="G49" s="457" t="s">
        <v>2709</v>
      </c>
      <c r="H49" s="457" t="s">
        <v>2876</v>
      </c>
      <c r="I49" s="501" t="s">
        <v>2022</v>
      </c>
      <c r="J49" s="479" t="s">
        <v>480</v>
      </c>
      <c r="K49" s="502" t="s">
        <v>25</v>
      </c>
      <c r="L49" s="481">
        <v>0.0</v>
      </c>
      <c r="M49" s="481">
        <v>0.0</v>
      </c>
      <c r="N49" s="481">
        <v>0.0</v>
      </c>
      <c r="O49" s="482">
        <v>20.0</v>
      </c>
      <c r="P49" s="482">
        <v>25.0</v>
      </c>
      <c r="Q49" s="481">
        <v>0.0</v>
      </c>
      <c r="R49" s="481">
        <v>0.0</v>
      </c>
      <c r="S49" s="481">
        <v>0.0</v>
      </c>
      <c r="T49" s="481">
        <v>0.0</v>
      </c>
      <c r="U49" s="481">
        <v>0.0</v>
      </c>
      <c r="V49" s="481">
        <v>0.0</v>
      </c>
      <c r="W49" s="463">
        <f t="shared" si="98"/>
        <v>45</v>
      </c>
      <c r="X49" s="481">
        <v>30.0</v>
      </c>
      <c r="Y49" s="481">
        <v>18.0</v>
      </c>
      <c r="Z49" s="481">
        <v>26.0</v>
      </c>
      <c r="AA49" s="481">
        <v>20.0</v>
      </c>
      <c r="AB49" s="481">
        <v>25.0</v>
      </c>
      <c r="AC49" s="481">
        <v>25.0</v>
      </c>
      <c r="AD49" s="481">
        <v>12.0</v>
      </c>
      <c r="AE49" s="481">
        <v>50.0</v>
      </c>
      <c r="AF49" s="481">
        <v>20.0</v>
      </c>
      <c r="AG49" s="492">
        <v>0.0</v>
      </c>
      <c r="AH49" s="481">
        <v>0.0</v>
      </c>
      <c r="AI49" s="464">
        <f t="shared" si="99"/>
        <v>226</v>
      </c>
      <c r="AJ49" s="481">
        <v>30.0</v>
      </c>
      <c r="AK49" s="481">
        <v>18.0</v>
      </c>
      <c r="AL49" s="481">
        <v>26.0</v>
      </c>
      <c r="AM49" s="481">
        <v>20.0</v>
      </c>
      <c r="AN49" s="481">
        <v>25.0</v>
      </c>
      <c r="AO49" s="481">
        <v>25.0</v>
      </c>
      <c r="AP49" s="481">
        <v>12.0</v>
      </c>
      <c r="AQ49" s="481">
        <v>50.0</v>
      </c>
      <c r="AR49" s="481">
        <v>20.0</v>
      </c>
      <c r="AS49" s="492">
        <v>0.0</v>
      </c>
      <c r="AT49" s="481">
        <v>0.0</v>
      </c>
      <c r="AU49" s="463">
        <f t="shared" si="100"/>
        <v>226</v>
      </c>
      <c r="AV49" s="483">
        <f t="shared" si="101"/>
        <v>497</v>
      </c>
      <c r="AW49" s="484"/>
      <c r="AX49" s="503">
        <v>15.65</v>
      </c>
      <c r="AY49" s="485">
        <f t="shared" si="109"/>
        <v>108.924</v>
      </c>
      <c r="AZ49" s="504"/>
      <c r="BA49" s="487">
        <f t="shared" ref="BA49:BJ49" si="140">L49*$AY49</f>
        <v>0</v>
      </c>
      <c r="BB49" s="487">
        <f t="shared" si="140"/>
        <v>0</v>
      </c>
      <c r="BC49" s="487">
        <f t="shared" si="140"/>
        <v>0</v>
      </c>
      <c r="BD49" s="487">
        <f t="shared" si="140"/>
        <v>2178.48</v>
      </c>
      <c r="BE49" s="487">
        <f t="shared" si="140"/>
        <v>2723.1</v>
      </c>
      <c r="BF49" s="487">
        <f t="shared" si="140"/>
        <v>0</v>
      </c>
      <c r="BG49" s="487">
        <f t="shared" si="140"/>
        <v>0</v>
      </c>
      <c r="BH49" s="487">
        <f t="shared" si="140"/>
        <v>0</v>
      </c>
      <c r="BI49" s="487">
        <f t="shared" si="140"/>
        <v>0</v>
      </c>
      <c r="BJ49" s="487">
        <f t="shared" si="140"/>
        <v>0</v>
      </c>
      <c r="BK49" s="488">
        <f t="shared" si="103"/>
        <v>4901.58</v>
      </c>
      <c r="BL49" s="487">
        <f t="shared" ref="BL49:BU49" si="141">X49*$AY49</f>
        <v>3267.72</v>
      </c>
      <c r="BM49" s="487">
        <f t="shared" si="141"/>
        <v>1960.632</v>
      </c>
      <c r="BN49" s="487">
        <f t="shared" si="141"/>
        <v>2832.024</v>
      </c>
      <c r="BO49" s="487">
        <f t="shared" si="141"/>
        <v>2178.48</v>
      </c>
      <c r="BP49" s="487">
        <f t="shared" si="141"/>
        <v>2723.1</v>
      </c>
      <c r="BQ49" s="487">
        <f t="shared" si="141"/>
        <v>2723.1</v>
      </c>
      <c r="BR49" s="487">
        <f t="shared" si="141"/>
        <v>1307.088</v>
      </c>
      <c r="BS49" s="487">
        <f t="shared" si="141"/>
        <v>5446.2</v>
      </c>
      <c r="BT49" s="487">
        <f t="shared" si="141"/>
        <v>2178.48</v>
      </c>
      <c r="BU49" s="487">
        <f t="shared" si="141"/>
        <v>0</v>
      </c>
      <c r="BV49" s="488">
        <f t="shared" si="105"/>
        <v>24616.824</v>
      </c>
      <c r="BW49" s="487">
        <f t="shared" ref="BW49:CF49" si="142">AJ49*$AY49</f>
        <v>3267.72</v>
      </c>
      <c r="BX49" s="487">
        <f t="shared" si="142"/>
        <v>1960.632</v>
      </c>
      <c r="BY49" s="487">
        <f t="shared" si="142"/>
        <v>2832.024</v>
      </c>
      <c r="BZ49" s="487">
        <f t="shared" si="142"/>
        <v>2178.48</v>
      </c>
      <c r="CA49" s="487">
        <f t="shared" si="142"/>
        <v>2723.1</v>
      </c>
      <c r="CB49" s="487">
        <f t="shared" si="142"/>
        <v>2723.1</v>
      </c>
      <c r="CC49" s="487">
        <f t="shared" si="142"/>
        <v>1307.088</v>
      </c>
      <c r="CD49" s="487">
        <f t="shared" si="142"/>
        <v>5446.2</v>
      </c>
      <c r="CE49" s="487">
        <f t="shared" si="142"/>
        <v>2178.48</v>
      </c>
      <c r="CF49" s="487">
        <f t="shared" si="142"/>
        <v>0</v>
      </c>
      <c r="CG49" s="488">
        <f t="shared" si="107"/>
        <v>24616.824</v>
      </c>
      <c r="CH49" s="488">
        <f t="shared" si="108"/>
        <v>54135.228</v>
      </c>
      <c r="CI49" s="489"/>
      <c r="CJ49" s="505"/>
      <c r="CK49" s="472">
        <v>1.0</v>
      </c>
      <c r="CL49" s="104">
        <f>VLOOKUP(I49,Cotizacion!$A$2:$E$423,4,FALSE())</f>
        <v>15.65</v>
      </c>
    </row>
    <row r="50" ht="15.75" customHeight="1">
      <c r="A50" s="453" t="s">
        <v>2848</v>
      </c>
      <c r="B50" s="454">
        <v>2.0</v>
      </c>
      <c r="C50" s="455" t="s">
        <v>2808</v>
      </c>
      <c r="D50" s="456" t="s">
        <v>213</v>
      </c>
      <c r="E50" s="455" t="s">
        <v>2708</v>
      </c>
      <c r="F50" s="455" t="s">
        <v>1763</v>
      </c>
      <c r="G50" s="457" t="s">
        <v>2855</v>
      </c>
      <c r="H50" s="457" t="s">
        <v>2877</v>
      </c>
      <c r="I50" s="458" t="s">
        <v>1920</v>
      </c>
      <c r="J50" s="459" t="s">
        <v>539</v>
      </c>
      <c r="K50" s="460" t="s">
        <v>25</v>
      </c>
      <c r="L50" s="461">
        <v>8.0</v>
      </c>
      <c r="M50" s="461">
        <v>5.0</v>
      </c>
      <c r="N50" s="461">
        <v>10.0</v>
      </c>
      <c r="O50" s="462">
        <v>0.0</v>
      </c>
      <c r="P50" s="462">
        <v>0.0</v>
      </c>
      <c r="Q50" s="462">
        <v>0.0</v>
      </c>
      <c r="R50" s="461">
        <v>10.0</v>
      </c>
      <c r="S50" s="461">
        <v>10.0</v>
      </c>
      <c r="T50" s="461">
        <v>2.0</v>
      </c>
      <c r="U50" s="461">
        <v>10.0</v>
      </c>
      <c r="V50" s="461">
        <v>0.0</v>
      </c>
      <c r="W50" s="463">
        <f t="shared" si="98"/>
        <v>55</v>
      </c>
      <c r="X50" s="461">
        <v>15.0</v>
      </c>
      <c r="Y50" s="461">
        <v>10.0</v>
      </c>
      <c r="Z50" s="461">
        <v>20.0</v>
      </c>
      <c r="AA50" s="461">
        <v>17.0</v>
      </c>
      <c r="AB50" s="461">
        <v>17.0</v>
      </c>
      <c r="AC50" s="461">
        <v>26.0</v>
      </c>
      <c r="AD50" s="461">
        <v>20.0</v>
      </c>
      <c r="AE50" s="461">
        <v>20.0</v>
      </c>
      <c r="AF50" s="461">
        <v>5.0</v>
      </c>
      <c r="AG50" s="461">
        <v>20.0</v>
      </c>
      <c r="AH50" s="461">
        <v>0.0</v>
      </c>
      <c r="AI50" s="464">
        <f t="shared" si="99"/>
        <v>170</v>
      </c>
      <c r="AJ50" s="461">
        <v>15.0</v>
      </c>
      <c r="AK50" s="461">
        <v>10.0</v>
      </c>
      <c r="AL50" s="461">
        <v>20.0</v>
      </c>
      <c r="AM50" s="461">
        <v>17.0</v>
      </c>
      <c r="AN50" s="461">
        <v>17.0</v>
      </c>
      <c r="AO50" s="461">
        <v>26.0</v>
      </c>
      <c r="AP50" s="461">
        <v>20.0</v>
      </c>
      <c r="AQ50" s="461">
        <v>20.0</v>
      </c>
      <c r="AR50" s="461">
        <v>5.0</v>
      </c>
      <c r="AS50" s="461">
        <v>20.0</v>
      </c>
      <c r="AT50" s="461">
        <v>0.0</v>
      </c>
      <c r="AU50" s="463">
        <f t="shared" si="100"/>
        <v>170</v>
      </c>
      <c r="AV50" s="465">
        <f t="shared" si="101"/>
        <v>395</v>
      </c>
      <c r="AW50" s="466"/>
      <c r="AX50" s="467">
        <v>19.19</v>
      </c>
      <c r="AY50" s="467">
        <f t="shared" si="109"/>
        <v>133.5624</v>
      </c>
      <c r="AZ50" s="468"/>
      <c r="BA50" s="469">
        <f t="shared" ref="BA50:BJ50" si="143">L50*$AY50</f>
        <v>1068.4992</v>
      </c>
      <c r="BB50" s="469">
        <f t="shared" si="143"/>
        <v>667.812</v>
      </c>
      <c r="BC50" s="469">
        <f t="shared" si="143"/>
        <v>1335.624</v>
      </c>
      <c r="BD50" s="469">
        <f t="shared" si="143"/>
        <v>0</v>
      </c>
      <c r="BE50" s="469">
        <f t="shared" si="143"/>
        <v>0</v>
      </c>
      <c r="BF50" s="469">
        <f t="shared" si="143"/>
        <v>0</v>
      </c>
      <c r="BG50" s="469">
        <f t="shared" si="143"/>
        <v>1335.624</v>
      </c>
      <c r="BH50" s="469">
        <f t="shared" si="143"/>
        <v>1335.624</v>
      </c>
      <c r="BI50" s="469">
        <f t="shared" si="143"/>
        <v>267.1248</v>
      </c>
      <c r="BJ50" s="469">
        <f t="shared" si="143"/>
        <v>1335.624</v>
      </c>
      <c r="BK50" s="470">
        <f t="shared" si="103"/>
        <v>7345.932</v>
      </c>
      <c r="BL50" s="469">
        <f t="shared" ref="BL50:BU50" si="144">X50*$AY50</f>
        <v>2003.436</v>
      </c>
      <c r="BM50" s="469">
        <f t="shared" si="144"/>
        <v>1335.624</v>
      </c>
      <c r="BN50" s="469">
        <f t="shared" si="144"/>
        <v>2671.248</v>
      </c>
      <c r="BO50" s="469">
        <f t="shared" si="144"/>
        <v>2270.5608</v>
      </c>
      <c r="BP50" s="469">
        <f t="shared" si="144"/>
        <v>2270.5608</v>
      </c>
      <c r="BQ50" s="469">
        <f t="shared" si="144"/>
        <v>3472.6224</v>
      </c>
      <c r="BR50" s="469">
        <f t="shared" si="144"/>
        <v>2671.248</v>
      </c>
      <c r="BS50" s="469">
        <f t="shared" si="144"/>
        <v>2671.248</v>
      </c>
      <c r="BT50" s="469">
        <f t="shared" si="144"/>
        <v>667.812</v>
      </c>
      <c r="BU50" s="469">
        <f t="shared" si="144"/>
        <v>2671.248</v>
      </c>
      <c r="BV50" s="470">
        <f t="shared" si="105"/>
        <v>22705.608</v>
      </c>
      <c r="BW50" s="469">
        <f t="shared" ref="BW50:CF50" si="145">AJ50*$AY50</f>
        <v>2003.436</v>
      </c>
      <c r="BX50" s="469">
        <f t="shared" si="145"/>
        <v>1335.624</v>
      </c>
      <c r="BY50" s="469">
        <f t="shared" si="145"/>
        <v>2671.248</v>
      </c>
      <c r="BZ50" s="469">
        <f t="shared" si="145"/>
        <v>2270.5608</v>
      </c>
      <c r="CA50" s="469">
        <f t="shared" si="145"/>
        <v>2270.5608</v>
      </c>
      <c r="CB50" s="469">
        <f t="shared" si="145"/>
        <v>3472.6224</v>
      </c>
      <c r="CC50" s="469">
        <f t="shared" si="145"/>
        <v>2671.248</v>
      </c>
      <c r="CD50" s="469">
        <f t="shared" si="145"/>
        <v>2671.248</v>
      </c>
      <c r="CE50" s="469">
        <f t="shared" si="145"/>
        <v>667.812</v>
      </c>
      <c r="CF50" s="469">
        <f t="shared" si="145"/>
        <v>2671.248</v>
      </c>
      <c r="CG50" s="470">
        <f t="shared" si="107"/>
        <v>22705.608</v>
      </c>
      <c r="CH50" s="470">
        <f t="shared" si="108"/>
        <v>52757.148</v>
      </c>
      <c r="CI50" s="471"/>
      <c r="CJ50" s="469"/>
      <c r="CK50" s="472">
        <v>1.0</v>
      </c>
      <c r="CL50" s="104">
        <f>VLOOKUP(I50,Cotizacion!$A$2:$E$423,4,FALSE())</f>
        <v>19.19</v>
      </c>
    </row>
    <row r="51" ht="15.75" customHeight="1">
      <c r="A51" s="474" t="s">
        <v>2848</v>
      </c>
      <c r="B51" s="475">
        <v>2.0</v>
      </c>
      <c r="C51" s="476" t="s">
        <v>2707</v>
      </c>
      <c r="D51" s="477" t="s">
        <v>56</v>
      </c>
      <c r="E51" s="476" t="s">
        <v>2708</v>
      </c>
      <c r="F51" s="476" t="s">
        <v>1763</v>
      </c>
      <c r="G51" s="457" t="s">
        <v>2709</v>
      </c>
      <c r="H51" s="457" t="s">
        <v>2775</v>
      </c>
      <c r="I51" s="478" t="s">
        <v>2262</v>
      </c>
      <c r="J51" s="479" t="s">
        <v>527</v>
      </c>
      <c r="K51" s="480" t="s">
        <v>25</v>
      </c>
      <c r="L51" s="481">
        <v>25.0</v>
      </c>
      <c r="M51" s="481">
        <v>5.0</v>
      </c>
      <c r="N51" s="481">
        <v>25.0</v>
      </c>
      <c r="O51" s="481">
        <v>4.0</v>
      </c>
      <c r="P51" s="481">
        <v>4.0</v>
      </c>
      <c r="Q51" s="481">
        <v>4.0</v>
      </c>
      <c r="R51" s="481">
        <v>2.0</v>
      </c>
      <c r="S51" s="481">
        <v>2.0</v>
      </c>
      <c r="T51" s="481">
        <v>1.0</v>
      </c>
      <c r="U51" s="492">
        <v>30.0</v>
      </c>
      <c r="V51" s="481">
        <v>0.0</v>
      </c>
      <c r="W51" s="463">
        <f t="shared" si="98"/>
        <v>102</v>
      </c>
      <c r="X51" s="481">
        <v>25.0</v>
      </c>
      <c r="Y51" s="481">
        <v>5.0</v>
      </c>
      <c r="Z51" s="481">
        <v>25.0</v>
      </c>
      <c r="AA51" s="481">
        <v>4.0</v>
      </c>
      <c r="AB51" s="481">
        <v>4.0</v>
      </c>
      <c r="AC51" s="481">
        <v>4.0</v>
      </c>
      <c r="AD51" s="481">
        <v>2.0</v>
      </c>
      <c r="AE51" s="481">
        <v>2.0</v>
      </c>
      <c r="AF51" s="481">
        <v>1.0</v>
      </c>
      <c r="AG51" s="492">
        <v>30.0</v>
      </c>
      <c r="AH51" s="481">
        <v>0.0</v>
      </c>
      <c r="AI51" s="464">
        <f t="shared" si="99"/>
        <v>102</v>
      </c>
      <c r="AJ51" s="481">
        <v>25.0</v>
      </c>
      <c r="AK51" s="481">
        <v>5.0</v>
      </c>
      <c r="AL51" s="481">
        <v>25.0</v>
      </c>
      <c r="AM51" s="481">
        <v>4.0</v>
      </c>
      <c r="AN51" s="481">
        <v>4.0</v>
      </c>
      <c r="AO51" s="481">
        <v>4.0</v>
      </c>
      <c r="AP51" s="481">
        <v>2.0</v>
      </c>
      <c r="AQ51" s="481">
        <v>2.0</v>
      </c>
      <c r="AR51" s="481">
        <v>1.0</v>
      </c>
      <c r="AS51" s="492">
        <v>30.0</v>
      </c>
      <c r="AT51" s="481">
        <v>0.0</v>
      </c>
      <c r="AU51" s="463">
        <f t="shared" si="100"/>
        <v>102</v>
      </c>
      <c r="AV51" s="483">
        <f t="shared" si="101"/>
        <v>306</v>
      </c>
      <c r="AW51" s="484"/>
      <c r="AX51" s="485">
        <v>23.0</v>
      </c>
      <c r="AY51" s="485">
        <f t="shared" si="109"/>
        <v>160.08</v>
      </c>
      <c r="AZ51" s="486"/>
      <c r="BA51" s="487">
        <f t="shared" ref="BA51:BJ51" si="146">L51*$AY51</f>
        <v>4002</v>
      </c>
      <c r="BB51" s="487">
        <f t="shared" si="146"/>
        <v>800.4</v>
      </c>
      <c r="BC51" s="487">
        <f t="shared" si="146"/>
        <v>4002</v>
      </c>
      <c r="BD51" s="487">
        <f t="shared" si="146"/>
        <v>640.32</v>
      </c>
      <c r="BE51" s="487">
        <f t="shared" si="146"/>
        <v>640.32</v>
      </c>
      <c r="BF51" s="487">
        <f t="shared" si="146"/>
        <v>640.32</v>
      </c>
      <c r="BG51" s="487">
        <f t="shared" si="146"/>
        <v>320.16</v>
      </c>
      <c r="BH51" s="487">
        <f t="shared" si="146"/>
        <v>320.16</v>
      </c>
      <c r="BI51" s="487">
        <f t="shared" si="146"/>
        <v>160.08</v>
      </c>
      <c r="BJ51" s="487">
        <f t="shared" si="146"/>
        <v>4802.4</v>
      </c>
      <c r="BK51" s="488">
        <f t="shared" si="103"/>
        <v>16328.16</v>
      </c>
      <c r="BL51" s="487">
        <f t="shared" ref="BL51:BU51" si="147">X51*$AY51</f>
        <v>4002</v>
      </c>
      <c r="BM51" s="487">
        <f t="shared" si="147"/>
        <v>800.4</v>
      </c>
      <c r="BN51" s="487">
        <f t="shared" si="147"/>
        <v>4002</v>
      </c>
      <c r="BO51" s="487">
        <f t="shared" si="147"/>
        <v>640.32</v>
      </c>
      <c r="BP51" s="487">
        <f t="shared" si="147"/>
        <v>640.32</v>
      </c>
      <c r="BQ51" s="487">
        <f t="shared" si="147"/>
        <v>640.32</v>
      </c>
      <c r="BR51" s="487">
        <f t="shared" si="147"/>
        <v>320.16</v>
      </c>
      <c r="BS51" s="487">
        <f t="shared" si="147"/>
        <v>320.16</v>
      </c>
      <c r="BT51" s="487">
        <f t="shared" si="147"/>
        <v>160.08</v>
      </c>
      <c r="BU51" s="487">
        <f t="shared" si="147"/>
        <v>4802.4</v>
      </c>
      <c r="BV51" s="488">
        <f t="shared" si="105"/>
        <v>16328.16</v>
      </c>
      <c r="BW51" s="487">
        <f t="shared" ref="BW51:CF51" si="148">AJ51*$AY51</f>
        <v>4002</v>
      </c>
      <c r="BX51" s="487">
        <f t="shared" si="148"/>
        <v>800.4</v>
      </c>
      <c r="BY51" s="487">
        <f t="shared" si="148"/>
        <v>4002</v>
      </c>
      <c r="BZ51" s="487">
        <f t="shared" si="148"/>
        <v>640.32</v>
      </c>
      <c r="CA51" s="487">
        <f t="shared" si="148"/>
        <v>640.32</v>
      </c>
      <c r="CB51" s="487">
        <f t="shared" si="148"/>
        <v>640.32</v>
      </c>
      <c r="CC51" s="487">
        <f t="shared" si="148"/>
        <v>320.16</v>
      </c>
      <c r="CD51" s="487">
        <f t="shared" si="148"/>
        <v>320.16</v>
      </c>
      <c r="CE51" s="487">
        <f t="shared" si="148"/>
        <v>160.08</v>
      </c>
      <c r="CF51" s="487">
        <f t="shared" si="148"/>
        <v>4802.4</v>
      </c>
      <c r="CG51" s="488">
        <f t="shared" si="107"/>
        <v>16328.16</v>
      </c>
      <c r="CH51" s="488">
        <f t="shared" si="108"/>
        <v>48984.48</v>
      </c>
      <c r="CI51" s="489"/>
      <c r="CJ51" s="487"/>
      <c r="CK51" s="472">
        <v>1.0</v>
      </c>
      <c r="CL51" s="104">
        <f>VLOOKUP(I51,Cotizacion!$A$2:$E$423,4,FALSE())</f>
        <v>23</v>
      </c>
    </row>
    <row r="52" ht="15.75" customHeight="1">
      <c r="A52" s="453" t="s">
        <v>2848</v>
      </c>
      <c r="B52" s="454">
        <v>2.0</v>
      </c>
      <c r="C52" s="455" t="s">
        <v>2707</v>
      </c>
      <c r="D52" s="456" t="s">
        <v>150</v>
      </c>
      <c r="E52" s="455" t="s">
        <v>2722</v>
      </c>
      <c r="F52" s="455" t="s">
        <v>1763</v>
      </c>
      <c r="G52" s="457" t="s">
        <v>2723</v>
      </c>
      <c r="H52" s="457" t="s">
        <v>2748</v>
      </c>
      <c r="I52" s="539" t="s">
        <v>2048</v>
      </c>
      <c r="J52" s="540" t="s">
        <v>585</v>
      </c>
      <c r="K52" s="460" t="s">
        <v>25</v>
      </c>
      <c r="L52" s="461">
        <v>2.0</v>
      </c>
      <c r="M52" s="461">
        <v>2.0</v>
      </c>
      <c r="N52" s="461">
        <v>2.0</v>
      </c>
      <c r="O52" s="461">
        <v>1.0</v>
      </c>
      <c r="P52" s="461">
        <v>2.0</v>
      </c>
      <c r="Q52" s="461">
        <v>2.0</v>
      </c>
      <c r="R52" s="461">
        <v>2.0</v>
      </c>
      <c r="S52" s="490">
        <v>0.0</v>
      </c>
      <c r="T52" s="461">
        <v>1.0</v>
      </c>
      <c r="U52" s="461">
        <v>2.0</v>
      </c>
      <c r="V52" s="461">
        <v>0.0</v>
      </c>
      <c r="W52" s="463">
        <f t="shared" si="98"/>
        <v>16</v>
      </c>
      <c r="X52" s="461">
        <v>2.0</v>
      </c>
      <c r="Y52" s="461">
        <v>2.0</v>
      </c>
      <c r="Z52" s="461">
        <v>2.0</v>
      </c>
      <c r="AA52" s="461">
        <v>1.0</v>
      </c>
      <c r="AB52" s="461">
        <v>2.0</v>
      </c>
      <c r="AC52" s="461">
        <v>2.0</v>
      </c>
      <c r="AD52" s="461">
        <v>2.0</v>
      </c>
      <c r="AE52" s="461">
        <v>2.0</v>
      </c>
      <c r="AF52" s="461">
        <v>1.0</v>
      </c>
      <c r="AG52" s="461">
        <v>2.0</v>
      </c>
      <c r="AH52" s="461">
        <v>0.0</v>
      </c>
      <c r="AI52" s="464">
        <f t="shared" si="99"/>
        <v>18</v>
      </c>
      <c r="AJ52" s="461">
        <v>2.0</v>
      </c>
      <c r="AK52" s="461">
        <v>2.0</v>
      </c>
      <c r="AL52" s="461">
        <v>2.0</v>
      </c>
      <c r="AM52" s="461">
        <v>1.0</v>
      </c>
      <c r="AN52" s="461">
        <v>2.0</v>
      </c>
      <c r="AO52" s="461">
        <v>2.0</v>
      </c>
      <c r="AP52" s="461">
        <v>2.0</v>
      </c>
      <c r="AQ52" s="461">
        <v>2.0</v>
      </c>
      <c r="AR52" s="461">
        <v>1.0</v>
      </c>
      <c r="AS52" s="461">
        <v>2.0</v>
      </c>
      <c r="AT52" s="461">
        <v>0.0</v>
      </c>
      <c r="AU52" s="463">
        <f t="shared" si="100"/>
        <v>18</v>
      </c>
      <c r="AV52" s="465">
        <f t="shared" si="101"/>
        <v>52</v>
      </c>
      <c r="AW52" s="466"/>
      <c r="AX52" s="467">
        <v>131.21</v>
      </c>
      <c r="AY52" s="467">
        <f t="shared" si="109"/>
        <v>913.2216</v>
      </c>
      <c r="AZ52" s="468"/>
      <c r="BA52" s="469">
        <f t="shared" ref="BA52:BJ52" si="149">L52*$AY52</f>
        <v>1826.4432</v>
      </c>
      <c r="BB52" s="469">
        <f t="shared" si="149"/>
        <v>1826.4432</v>
      </c>
      <c r="BC52" s="469">
        <f t="shared" si="149"/>
        <v>1826.4432</v>
      </c>
      <c r="BD52" s="469">
        <f t="shared" si="149"/>
        <v>913.2216</v>
      </c>
      <c r="BE52" s="469">
        <f t="shared" si="149"/>
        <v>1826.4432</v>
      </c>
      <c r="BF52" s="469">
        <f t="shared" si="149"/>
        <v>1826.4432</v>
      </c>
      <c r="BG52" s="469">
        <f t="shared" si="149"/>
        <v>1826.4432</v>
      </c>
      <c r="BH52" s="469">
        <f t="shared" si="149"/>
        <v>0</v>
      </c>
      <c r="BI52" s="469">
        <f t="shared" si="149"/>
        <v>913.2216</v>
      </c>
      <c r="BJ52" s="469">
        <f t="shared" si="149"/>
        <v>1826.4432</v>
      </c>
      <c r="BK52" s="470">
        <f t="shared" si="103"/>
        <v>14611.5456</v>
      </c>
      <c r="BL52" s="469">
        <f t="shared" ref="BL52:BU52" si="150">X52*$AY52</f>
        <v>1826.4432</v>
      </c>
      <c r="BM52" s="469">
        <f t="shared" si="150"/>
        <v>1826.4432</v>
      </c>
      <c r="BN52" s="469">
        <f t="shared" si="150"/>
        <v>1826.4432</v>
      </c>
      <c r="BO52" s="469">
        <f t="shared" si="150"/>
        <v>913.2216</v>
      </c>
      <c r="BP52" s="469">
        <f t="shared" si="150"/>
        <v>1826.4432</v>
      </c>
      <c r="BQ52" s="469">
        <f t="shared" si="150"/>
        <v>1826.4432</v>
      </c>
      <c r="BR52" s="469">
        <f t="shared" si="150"/>
        <v>1826.4432</v>
      </c>
      <c r="BS52" s="469">
        <f t="shared" si="150"/>
        <v>1826.4432</v>
      </c>
      <c r="BT52" s="469">
        <f t="shared" si="150"/>
        <v>913.2216</v>
      </c>
      <c r="BU52" s="469">
        <f t="shared" si="150"/>
        <v>1826.4432</v>
      </c>
      <c r="BV52" s="470">
        <f t="shared" si="105"/>
        <v>16437.9888</v>
      </c>
      <c r="BW52" s="469">
        <f t="shared" ref="BW52:CF52" si="151">AJ52*$AY52</f>
        <v>1826.4432</v>
      </c>
      <c r="BX52" s="469">
        <f t="shared" si="151"/>
        <v>1826.4432</v>
      </c>
      <c r="BY52" s="469">
        <f t="shared" si="151"/>
        <v>1826.4432</v>
      </c>
      <c r="BZ52" s="469">
        <f t="shared" si="151"/>
        <v>913.2216</v>
      </c>
      <c r="CA52" s="469">
        <f t="shared" si="151"/>
        <v>1826.4432</v>
      </c>
      <c r="CB52" s="469">
        <f t="shared" si="151"/>
        <v>1826.4432</v>
      </c>
      <c r="CC52" s="469">
        <f t="shared" si="151"/>
        <v>1826.4432</v>
      </c>
      <c r="CD52" s="469">
        <f t="shared" si="151"/>
        <v>1826.4432</v>
      </c>
      <c r="CE52" s="469">
        <f t="shared" si="151"/>
        <v>913.2216</v>
      </c>
      <c r="CF52" s="469">
        <f t="shared" si="151"/>
        <v>1826.4432</v>
      </c>
      <c r="CG52" s="470">
        <f t="shared" si="107"/>
        <v>16437.9888</v>
      </c>
      <c r="CH52" s="470">
        <f t="shared" si="108"/>
        <v>47487.5232</v>
      </c>
      <c r="CI52" s="471"/>
      <c r="CJ52" s="469"/>
      <c r="CK52" s="472">
        <v>1.0</v>
      </c>
      <c r="CL52" s="104">
        <f>VLOOKUP(I52,Cotizacion!$A$2:$E$423,4,FALSE())</f>
        <v>131.21</v>
      </c>
    </row>
    <row r="53" ht="15.75" customHeight="1">
      <c r="A53" s="474" t="s">
        <v>2848</v>
      </c>
      <c r="B53" s="475">
        <v>2.0</v>
      </c>
      <c r="C53" s="477" t="s">
        <v>2852</v>
      </c>
      <c r="D53" s="477" t="s">
        <v>52</v>
      </c>
      <c r="E53" s="477" t="s">
        <v>2708</v>
      </c>
      <c r="F53" s="477" t="s">
        <v>1763</v>
      </c>
      <c r="G53" s="457" t="s">
        <v>2709</v>
      </c>
      <c r="H53" s="457" t="s">
        <v>2878</v>
      </c>
      <c r="I53" s="501" t="s">
        <v>2023</v>
      </c>
      <c r="J53" s="479" t="s">
        <v>564</v>
      </c>
      <c r="K53" s="502" t="s">
        <v>25</v>
      </c>
      <c r="L53" s="481">
        <v>0.0</v>
      </c>
      <c r="M53" s="481">
        <v>0.0</v>
      </c>
      <c r="N53" s="481">
        <v>0.0</v>
      </c>
      <c r="O53" s="481">
        <v>0.0</v>
      </c>
      <c r="P53" s="482">
        <v>50.0</v>
      </c>
      <c r="Q53" s="482">
        <v>50.0</v>
      </c>
      <c r="R53" s="481">
        <v>0.0</v>
      </c>
      <c r="S53" s="481">
        <v>0.0</v>
      </c>
      <c r="T53" s="481">
        <v>0.0</v>
      </c>
      <c r="U53" s="481">
        <v>0.0</v>
      </c>
      <c r="V53" s="481">
        <v>0.0</v>
      </c>
      <c r="W53" s="463">
        <f t="shared" si="98"/>
        <v>100</v>
      </c>
      <c r="X53" s="481">
        <v>30.0</v>
      </c>
      <c r="Y53" s="481">
        <v>18.0</v>
      </c>
      <c r="Z53" s="481">
        <v>26.0</v>
      </c>
      <c r="AA53" s="481">
        <v>30.0</v>
      </c>
      <c r="AB53" s="481">
        <v>50.0</v>
      </c>
      <c r="AC53" s="481">
        <v>50.0</v>
      </c>
      <c r="AD53" s="481">
        <v>10.0</v>
      </c>
      <c r="AE53" s="481">
        <v>10.0</v>
      </c>
      <c r="AF53" s="481">
        <v>2.0</v>
      </c>
      <c r="AG53" s="492">
        <v>0.0</v>
      </c>
      <c r="AH53" s="481">
        <v>0.0</v>
      </c>
      <c r="AI53" s="464">
        <f t="shared" si="99"/>
        <v>226</v>
      </c>
      <c r="AJ53" s="481">
        <v>30.0</v>
      </c>
      <c r="AK53" s="481">
        <v>18.0</v>
      </c>
      <c r="AL53" s="481">
        <v>26.0</v>
      </c>
      <c r="AM53" s="481">
        <v>30.0</v>
      </c>
      <c r="AN53" s="481">
        <v>50.0</v>
      </c>
      <c r="AO53" s="481">
        <v>50.0</v>
      </c>
      <c r="AP53" s="481">
        <v>10.0</v>
      </c>
      <c r="AQ53" s="481">
        <v>10.0</v>
      </c>
      <c r="AR53" s="481">
        <v>2.0</v>
      </c>
      <c r="AS53" s="492">
        <v>0.0</v>
      </c>
      <c r="AT53" s="481">
        <v>0.0</v>
      </c>
      <c r="AU53" s="463">
        <f t="shared" si="100"/>
        <v>226</v>
      </c>
      <c r="AV53" s="483">
        <f t="shared" si="101"/>
        <v>552</v>
      </c>
      <c r="AW53" s="484"/>
      <c r="AX53" s="503">
        <v>11.81</v>
      </c>
      <c r="AY53" s="485">
        <f t="shared" si="109"/>
        <v>82.1976</v>
      </c>
      <c r="AZ53" s="504"/>
      <c r="BA53" s="487">
        <f t="shared" ref="BA53:BJ53" si="152">L53*$AY53</f>
        <v>0</v>
      </c>
      <c r="BB53" s="487">
        <f t="shared" si="152"/>
        <v>0</v>
      </c>
      <c r="BC53" s="487">
        <f t="shared" si="152"/>
        <v>0</v>
      </c>
      <c r="BD53" s="487">
        <f t="shared" si="152"/>
        <v>0</v>
      </c>
      <c r="BE53" s="487">
        <f t="shared" si="152"/>
        <v>4109.88</v>
      </c>
      <c r="BF53" s="487">
        <f t="shared" si="152"/>
        <v>4109.88</v>
      </c>
      <c r="BG53" s="487">
        <f t="shared" si="152"/>
        <v>0</v>
      </c>
      <c r="BH53" s="487">
        <f t="shared" si="152"/>
        <v>0</v>
      </c>
      <c r="BI53" s="487">
        <f t="shared" si="152"/>
        <v>0</v>
      </c>
      <c r="BJ53" s="487">
        <f t="shared" si="152"/>
        <v>0</v>
      </c>
      <c r="BK53" s="488">
        <f t="shared" si="103"/>
        <v>8219.76</v>
      </c>
      <c r="BL53" s="487">
        <f t="shared" ref="BL53:BU53" si="153">X53*$AY53</f>
        <v>2465.928</v>
      </c>
      <c r="BM53" s="487">
        <f t="shared" si="153"/>
        <v>1479.5568</v>
      </c>
      <c r="BN53" s="487">
        <f t="shared" si="153"/>
        <v>2137.1376</v>
      </c>
      <c r="BO53" s="487">
        <f t="shared" si="153"/>
        <v>2465.928</v>
      </c>
      <c r="BP53" s="487">
        <f t="shared" si="153"/>
        <v>4109.88</v>
      </c>
      <c r="BQ53" s="487">
        <f t="shared" si="153"/>
        <v>4109.88</v>
      </c>
      <c r="BR53" s="487">
        <f t="shared" si="153"/>
        <v>821.976</v>
      </c>
      <c r="BS53" s="487">
        <f t="shared" si="153"/>
        <v>821.976</v>
      </c>
      <c r="BT53" s="487">
        <f t="shared" si="153"/>
        <v>164.3952</v>
      </c>
      <c r="BU53" s="487">
        <f t="shared" si="153"/>
        <v>0</v>
      </c>
      <c r="BV53" s="488">
        <f t="shared" si="105"/>
        <v>18576.6576</v>
      </c>
      <c r="BW53" s="487">
        <f t="shared" ref="BW53:CF53" si="154">AJ53*$AY53</f>
        <v>2465.928</v>
      </c>
      <c r="BX53" s="487">
        <f t="shared" si="154"/>
        <v>1479.5568</v>
      </c>
      <c r="BY53" s="487">
        <f t="shared" si="154"/>
        <v>2137.1376</v>
      </c>
      <c r="BZ53" s="487">
        <f t="shared" si="154"/>
        <v>2465.928</v>
      </c>
      <c r="CA53" s="487">
        <f t="shared" si="154"/>
        <v>4109.88</v>
      </c>
      <c r="CB53" s="487">
        <f t="shared" si="154"/>
        <v>4109.88</v>
      </c>
      <c r="CC53" s="487">
        <f t="shared" si="154"/>
        <v>821.976</v>
      </c>
      <c r="CD53" s="487">
        <f t="shared" si="154"/>
        <v>821.976</v>
      </c>
      <c r="CE53" s="487">
        <f t="shared" si="154"/>
        <v>164.3952</v>
      </c>
      <c r="CF53" s="487">
        <f t="shared" si="154"/>
        <v>0</v>
      </c>
      <c r="CG53" s="488">
        <f t="shared" si="107"/>
        <v>18576.6576</v>
      </c>
      <c r="CH53" s="488">
        <f t="shared" si="108"/>
        <v>45373.0752</v>
      </c>
      <c r="CI53" s="489"/>
      <c r="CJ53" s="505"/>
      <c r="CK53" s="472">
        <v>1.0</v>
      </c>
      <c r="CL53" s="104">
        <f>VLOOKUP(I53,Cotizacion!$A$2:$E$423,4,FALSE())</f>
        <v>11.81</v>
      </c>
    </row>
    <row r="54" ht="15.75" customHeight="1">
      <c r="A54" s="453" t="s">
        <v>2848</v>
      </c>
      <c r="B54" s="454">
        <v>2.0</v>
      </c>
      <c r="C54" s="456" t="s">
        <v>2852</v>
      </c>
      <c r="D54" s="456" t="s">
        <v>52</v>
      </c>
      <c r="E54" s="456" t="s">
        <v>2708</v>
      </c>
      <c r="F54" s="456" t="s">
        <v>1763</v>
      </c>
      <c r="G54" s="457" t="s">
        <v>2709</v>
      </c>
      <c r="H54" s="457" t="s">
        <v>2879</v>
      </c>
      <c r="I54" s="514" t="s">
        <v>2427</v>
      </c>
      <c r="J54" s="459" t="s">
        <v>316</v>
      </c>
      <c r="K54" s="515" t="s">
        <v>25</v>
      </c>
      <c r="L54" s="461">
        <v>0.0</v>
      </c>
      <c r="M54" s="461">
        <v>0.0</v>
      </c>
      <c r="N54" s="461">
        <v>0.0</v>
      </c>
      <c r="O54" s="461">
        <v>0.0</v>
      </c>
      <c r="P54" s="461">
        <v>0.0</v>
      </c>
      <c r="Q54" s="461">
        <v>0.0</v>
      </c>
      <c r="R54" s="461">
        <v>1.0</v>
      </c>
      <c r="S54" s="461">
        <v>1.0</v>
      </c>
      <c r="T54" s="461">
        <v>1.0</v>
      </c>
      <c r="U54" s="461">
        <v>4.0</v>
      </c>
      <c r="V54" s="461">
        <v>0.0</v>
      </c>
      <c r="W54" s="463">
        <f t="shared" si="98"/>
        <v>7</v>
      </c>
      <c r="X54" s="461">
        <v>0.0</v>
      </c>
      <c r="Y54" s="461">
        <v>0.0</v>
      </c>
      <c r="Z54" s="461">
        <v>0.0</v>
      </c>
      <c r="AA54" s="461">
        <v>0.0</v>
      </c>
      <c r="AB54" s="461">
        <v>0.0</v>
      </c>
      <c r="AC54" s="461">
        <v>0.0</v>
      </c>
      <c r="AD54" s="461">
        <v>1.0</v>
      </c>
      <c r="AE54" s="461">
        <v>1.0</v>
      </c>
      <c r="AF54" s="461">
        <v>1.0</v>
      </c>
      <c r="AG54" s="461">
        <v>4.0</v>
      </c>
      <c r="AH54" s="461">
        <v>0.0</v>
      </c>
      <c r="AI54" s="464">
        <f t="shared" si="99"/>
        <v>7</v>
      </c>
      <c r="AJ54" s="461">
        <v>0.0</v>
      </c>
      <c r="AK54" s="461">
        <v>0.0</v>
      </c>
      <c r="AL54" s="461">
        <v>0.0</v>
      </c>
      <c r="AM54" s="461">
        <v>0.0</v>
      </c>
      <c r="AN54" s="461">
        <v>0.0</v>
      </c>
      <c r="AO54" s="461">
        <v>0.0</v>
      </c>
      <c r="AP54" s="461">
        <v>1.0</v>
      </c>
      <c r="AQ54" s="461">
        <v>1.0</v>
      </c>
      <c r="AR54" s="461">
        <v>1.0</v>
      </c>
      <c r="AS54" s="461">
        <v>4.0</v>
      </c>
      <c r="AT54" s="461">
        <v>0.0</v>
      </c>
      <c r="AU54" s="463">
        <f t="shared" si="100"/>
        <v>7</v>
      </c>
      <c r="AV54" s="465">
        <f t="shared" si="101"/>
        <v>21</v>
      </c>
      <c r="AW54" s="466"/>
      <c r="AX54" s="516">
        <v>302.61</v>
      </c>
      <c r="AY54" s="467">
        <f t="shared" si="109"/>
        <v>2106.1656</v>
      </c>
      <c r="AZ54" s="538"/>
      <c r="BA54" s="469">
        <f t="shared" ref="BA54:BJ54" si="155">L54*$AY54</f>
        <v>0</v>
      </c>
      <c r="BB54" s="469">
        <f t="shared" si="155"/>
        <v>0</v>
      </c>
      <c r="BC54" s="469">
        <f t="shared" si="155"/>
        <v>0</v>
      </c>
      <c r="BD54" s="469">
        <f t="shared" si="155"/>
        <v>0</v>
      </c>
      <c r="BE54" s="469">
        <f t="shared" si="155"/>
        <v>0</v>
      </c>
      <c r="BF54" s="469">
        <f t="shared" si="155"/>
        <v>0</v>
      </c>
      <c r="BG54" s="469">
        <f t="shared" si="155"/>
        <v>2106.1656</v>
      </c>
      <c r="BH54" s="469">
        <f t="shared" si="155"/>
        <v>2106.1656</v>
      </c>
      <c r="BI54" s="469">
        <f t="shared" si="155"/>
        <v>2106.1656</v>
      </c>
      <c r="BJ54" s="469">
        <f t="shared" si="155"/>
        <v>8424.6624</v>
      </c>
      <c r="BK54" s="470">
        <f t="shared" si="103"/>
        <v>14743.1592</v>
      </c>
      <c r="BL54" s="469">
        <f t="shared" ref="BL54:BU54" si="156">X54*$AY54</f>
        <v>0</v>
      </c>
      <c r="BM54" s="469">
        <f t="shared" si="156"/>
        <v>0</v>
      </c>
      <c r="BN54" s="469">
        <f t="shared" si="156"/>
        <v>0</v>
      </c>
      <c r="BO54" s="469">
        <f t="shared" si="156"/>
        <v>0</v>
      </c>
      <c r="BP54" s="469">
        <f t="shared" si="156"/>
        <v>0</v>
      </c>
      <c r="BQ54" s="469">
        <f t="shared" si="156"/>
        <v>0</v>
      </c>
      <c r="BR54" s="469">
        <f t="shared" si="156"/>
        <v>2106.1656</v>
      </c>
      <c r="BS54" s="469">
        <f t="shared" si="156"/>
        <v>2106.1656</v>
      </c>
      <c r="BT54" s="469">
        <f t="shared" si="156"/>
        <v>2106.1656</v>
      </c>
      <c r="BU54" s="469">
        <f t="shared" si="156"/>
        <v>8424.6624</v>
      </c>
      <c r="BV54" s="470">
        <f t="shared" si="105"/>
        <v>14743.1592</v>
      </c>
      <c r="BW54" s="469">
        <f t="shared" ref="BW54:CF54" si="157">AJ54*$AY54</f>
        <v>0</v>
      </c>
      <c r="BX54" s="469">
        <f t="shared" si="157"/>
        <v>0</v>
      </c>
      <c r="BY54" s="469">
        <f t="shared" si="157"/>
        <v>0</v>
      </c>
      <c r="BZ54" s="469">
        <f t="shared" si="157"/>
        <v>0</v>
      </c>
      <c r="CA54" s="469">
        <f t="shared" si="157"/>
        <v>0</v>
      </c>
      <c r="CB54" s="469">
        <f t="shared" si="157"/>
        <v>0</v>
      </c>
      <c r="CC54" s="469">
        <f t="shared" si="157"/>
        <v>2106.1656</v>
      </c>
      <c r="CD54" s="469">
        <f t="shared" si="157"/>
        <v>2106.1656</v>
      </c>
      <c r="CE54" s="469">
        <f t="shared" si="157"/>
        <v>2106.1656</v>
      </c>
      <c r="CF54" s="469">
        <f t="shared" si="157"/>
        <v>8424.6624</v>
      </c>
      <c r="CG54" s="470">
        <f t="shared" si="107"/>
        <v>14743.1592</v>
      </c>
      <c r="CH54" s="470">
        <f t="shared" si="108"/>
        <v>44229.4776</v>
      </c>
      <c r="CI54" s="471"/>
      <c r="CJ54" s="518"/>
      <c r="CK54" s="472">
        <v>1.0</v>
      </c>
      <c r="CL54" s="104">
        <f>VLOOKUP(I54,Cotizacion!$A$2:$E$423,4,FALSE())</f>
        <v>302.61</v>
      </c>
    </row>
    <row r="55" ht="15.75" customHeight="1">
      <c r="A55" s="474" t="s">
        <v>2848</v>
      </c>
      <c r="B55" s="475">
        <v>2.0</v>
      </c>
      <c r="C55" s="476" t="s">
        <v>2707</v>
      </c>
      <c r="D55" s="477" t="s">
        <v>785</v>
      </c>
      <c r="E55" s="476" t="s">
        <v>2708</v>
      </c>
      <c r="F55" s="476" t="s">
        <v>1763</v>
      </c>
      <c r="G55" s="457" t="s">
        <v>2709</v>
      </c>
      <c r="H55" s="457" t="s">
        <v>2728</v>
      </c>
      <c r="I55" s="478" t="s">
        <v>1954</v>
      </c>
      <c r="J55" s="479" t="s">
        <v>627</v>
      </c>
      <c r="K55" s="480" t="s">
        <v>25</v>
      </c>
      <c r="L55" s="481">
        <v>0.0</v>
      </c>
      <c r="M55" s="481">
        <v>0.0</v>
      </c>
      <c r="N55" s="481">
        <v>0.0</v>
      </c>
      <c r="O55" s="481">
        <v>0.0</v>
      </c>
      <c r="P55" s="481">
        <v>0.0</v>
      </c>
      <c r="Q55" s="481">
        <v>0.0</v>
      </c>
      <c r="R55" s="481">
        <v>0.0</v>
      </c>
      <c r="S55" s="481">
        <v>0.0</v>
      </c>
      <c r="T55" s="481">
        <v>0.0</v>
      </c>
      <c r="U55" s="481">
        <v>0.0</v>
      </c>
      <c r="V55" s="481">
        <v>0.0</v>
      </c>
      <c r="W55" s="463">
        <f t="shared" si="98"/>
        <v>0</v>
      </c>
      <c r="X55" s="481">
        <v>6.0</v>
      </c>
      <c r="Y55" s="481">
        <v>3.0</v>
      </c>
      <c r="Z55" s="481">
        <v>6.0</v>
      </c>
      <c r="AA55" s="481">
        <v>40.0</v>
      </c>
      <c r="AB55" s="481">
        <v>56.0</v>
      </c>
      <c r="AC55" s="481">
        <v>88.0</v>
      </c>
      <c r="AD55" s="481">
        <v>56.0</v>
      </c>
      <c r="AE55" s="481">
        <v>56.0</v>
      </c>
      <c r="AF55" s="481">
        <v>16.0</v>
      </c>
      <c r="AG55" s="481">
        <v>48.0</v>
      </c>
      <c r="AH55" s="481">
        <v>0.0</v>
      </c>
      <c r="AI55" s="464">
        <f t="shared" si="99"/>
        <v>375</v>
      </c>
      <c r="AJ55" s="481">
        <v>6.0</v>
      </c>
      <c r="AK55" s="481">
        <v>3.0</v>
      </c>
      <c r="AL55" s="481">
        <v>6.0</v>
      </c>
      <c r="AM55" s="481">
        <v>40.0</v>
      </c>
      <c r="AN55" s="481">
        <v>56.0</v>
      </c>
      <c r="AO55" s="481">
        <v>88.0</v>
      </c>
      <c r="AP55" s="481">
        <v>56.0</v>
      </c>
      <c r="AQ55" s="481">
        <v>56.0</v>
      </c>
      <c r="AR55" s="481">
        <v>16.0</v>
      </c>
      <c r="AS55" s="481">
        <v>48.0</v>
      </c>
      <c r="AT55" s="481">
        <v>0.0</v>
      </c>
      <c r="AU55" s="463">
        <f t="shared" si="100"/>
        <v>375</v>
      </c>
      <c r="AV55" s="483">
        <f t="shared" si="101"/>
        <v>750</v>
      </c>
      <c r="AW55" s="484"/>
      <c r="AX55" s="485">
        <v>8.11</v>
      </c>
      <c r="AY55" s="485">
        <f t="shared" si="109"/>
        <v>56.4456</v>
      </c>
      <c r="AZ55" s="486"/>
      <c r="BA55" s="487">
        <f t="shared" ref="BA55:BJ55" si="158">L55*$AY55</f>
        <v>0</v>
      </c>
      <c r="BB55" s="487">
        <f t="shared" si="158"/>
        <v>0</v>
      </c>
      <c r="BC55" s="487">
        <f t="shared" si="158"/>
        <v>0</v>
      </c>
      <c r="BD55" s="487">
        <f t="shared" si="158"/>
        <v>0</v>
      </c>
      <c r="BE55" s="487">
        <f t="shared" si="158"/>
        <v>0</v>
      </c>
      <c r="BF55" s="487">
        <f t="shared" si="158"/>
        <v>0</v>
      </c>
      <c r="BG55" s="487">
        <f t="shared" si="158"/>
        <v>0</v>
      </c>
      <c r="BH55" s="487">
        <f t="shared" si="158"/>
        <v>0</v>
      </c>
      <c r="BI55" s="487">
        <f t="shared" si="158"/>
        <v>0</v>
      </c>
      <c r="BJ55" s="487">
        <f t="shared" si="158"/>
        <v>0</v>
      </c>
      <c r="BK55" s="488">
        <f t="shared" si="103"/>
        <v>0</v>
      </c>
      <c r="BL55" s="487">
        <f t="shared" ref="BL55:BU55" si="159">X55*$AY55</f>
        <v>338.6736</v>
      </c>
      <c r="BM55" s="487">
        <f t="shared" si="159"/>
        <v>169.3368</v>
      </c>
      <c r="BN55" s="487">
        <f t="shared" si="159"/>
        <v>338.6736</v>
      </c>
      <c r="BO55" s="487">
        <f t="shared" si="159"/>
        <v>2257.824</v>
      </c>
      <c r="BP55" s="487">
        <f t="shared" si="159"/>
        <v>3160.9536</v>
      </c>
      <c r="BQ55" s="487">
        <f t="shared" si="159"/>
        <v>4967.2128</v>
      </c>
      <c r="BR55" s="487">
        <f t="shared" si="159"/>
        <v>3160.9536</v>
      </c>
      <c r="BS55" s="487">
        <f t="shared" si="159"/>
        <v>3160.9536</v>
      </c>
      <c r="BT55" s="487">
        <f t="shared" si="159"/>
        <v>903.1296</v>
      </c>
      <c r="BU55" s="487">
        <f t="shared" si="159"/>
        <v>2709.3888</v>
      </c>
      <c r="BV55" s="488">
        <f t="shared" si="105"/>
        <v>21167.1</v>
      </c>
      <c r="BW55" s="487">
        <f t="shared" ref="BW55:CF55" si="160">AJ55*$AY55</f>
        <v>338.6736</v>
      </c>
      <c r="BX55" s="487">
        <f t="shared" si="160"/>
        <v>169.3368</v>
      </c>
      <c r="BY55" s="487">
        <f t="shared" si="160"/>
        <v>338.6736</v>
      </c>
      <c r="BZ55" s="487">
        <f t="shared" si="160"/>
        <v>2257.824</v>
      </c>
      <c r="CA55" s="487">
        <f t="shared" si="160"/>
        <v>3160.9536</v>
      </c>
      <c r="CB55" s="487">
        <f t="shared" si="160"/>
        <v>4967.2128</v>
      </c>
      <c r="CC55" s="487">
        <f t="shared" si="160"/>
        <v>3160.9536</v>
      </c>
      <c r="CD55" s="487">
        <f t="shared" si="160"/>
        <v>3160.9536</v>
      </c>
      <c r="CE55" s="487">
        <f t="shared" si="160"/>
        <v>903.1296</v>
      </c>
      <c r="CF55" s="487">
        <f t="shared" si="160"/>
        <v>2709.3888</v>
      </c>
      <c r="CG55" s="488">
        <f t="shared" si="107"/>
        <v>21167.1</v>
      </c>
      <c r="CH55" s="488">
        <f t="shared" si="108"/>
        <v>42334.2</v>
      </c>
      <c r="CI55" s="489"/>
      <c r="CJ55" s="487"/>
      <c r="CK55" s="472">
        <v>1.0</v>
      </c>
      <c r="CL55" s="104">
        <f>VLOOKUP(I55,Cotizacion!$A$2:$E$423,4,FALSE())</f>
        <v>8.11</v>
      </c>
    </row>
    <row r="56" ht="15.75" customHeight="1">
      <c r="A56" s="453" t="s">
        <v>2848</v>
      </c>
      <c r="B56" s="454">
        <v>2.0</v>
      </c>
      <c r="C56" s="456" t="s">
        <v>2852</v>
      </c>
      <c r="D56" s="456" t="s">
        <v>52</v>
      </c>
      <c r="E56" s="456" t="s">
        <v>2708</v>
      </c>
      <c r="F56" s="456" t="s">
        <v>1763</v>
      </c>
      <c r="G56" s="457" t="s">
        <v>2709</v>
      </c>
      <c r="H56" s="457" t="s">
        <v>2880</v>
      </c>
      <c r="I56" s="514" t="s">
        <v>2128</v>
      </c>
      <c r="J56" s="459" t="s">
        <v>265</v>
      </c>
      <c r="K56" s="515" t="s">
        <v>25</v>
      </c>
      <c r="L56" s="461">
        <v>0.0</v>
      </c>
      <c r="M56" s="461">
        <v>0.0</v>
      </c>
      <c r="N56" s="461">
        <v>0.0</v>
      </c>
      <c r="O56" s="462">
        <v>6.0</v>
      </c>
      <c r="P56" s="462">
        <v>6.0</v>
      </c>
      <c r="Q56" s="461">
        <v>0.0</v>
      </c>
      <c r="R56" s="461">
        <v>0.0</v>
      </c>
      <c r="S56" s="490">
        <v>5.0</v>
      </c>
      <c r="T56" s="461">
        <v>0.0</v>
      </c>
      <c r="U56" s="490">
        <v>6.0</v>
      </c>
      <c r="V56" s="461">
        <v>0.0</v>
      </c>
      <c r="W56" s="463">
        <f t="shared" si="98"/>
        <v>23</v>
      </c>
      <c r="X56" s="461">
        <v>6.0</v>
      </c>
      <c r="Y56" s="461">
        <v>3.0</v>
      </c>
      <c r="Z56" s="461">
        <v>6.0</v>
      </c>
      <c r="AA56" s="461">
        <v>6.0</v>
      </c>
      <c r="AB56" s="461">
        <v>6.0</v>
      </c>
      <c r="AC56" s="461">
        <v>10.0</v>
      </c>
      <c r="AD56" s="461">
        <v>10.0</v>
      </c>
      <c r="AE56" s="490">
        <v>5.0</v>
      </c>
      <c r="AF56" s="461">
        <v>2.0</v>
      </c>
      <c r="AG56" s="461">
        <v>6.0</v>
      </c>
      <c r="AH56" s="461">
        <v>0.0</v>
      </c>
      <c r="AI56" s="464">
        <f t="shared" si="99"/>
        <v>60</v>
      </c>
      <c r="AJ56" s="461">
        <v>6.0</v>
      </c>
      <c r="AK56" s="461">
        <v>3.0</v>
      </c>
      <c r="AL56" s="461">
        <v>6.0</v>
      </c>
      <c r="AM56" s="461">
        <v>6.0</v>
      </c>
      <c r="AN56" s="461">
        <v>6.0</v>
      </c>
      <c r="AO56" s="461">
        <v>10.0</v>
      </c>
      <c r="AP56" s="461">
        <v>10.0</v>
      </c>
      <c r="AQ56" s="461">
        <v>10.0</v>
      </c>
      <c r="AR56" s="461">
        <v>2.0</v>
      </c>
      <c r="AS56" s="461">
        <v>6.0</v>
      </c>
      <c r="AT56" s="461">
        <v>0.0</v>
      </c>
      <c r="AU56" s="463">
        <f t="shared" si="100"/>
        <v>65</v>
      </c>
      <c r="AV56" s="465">
        <f t="shared" si="101"/>
        <v>148</v>
      </c>
      <c r="AW56" s="466"/>
      <c r="AX56" s="516">
        <v>40.61</v>
      </c>
      <c r="AY56" s="467">
        <f t="shared" si="109"/>
        <v>282.6456</v>
      </c>
      <c r="AZ56" s="517"/>
      <c r="BA56" s="469">
        <f t="shared" ref="BA56:BJ56" si="161">L56*$AY56</f>
        <v>0</v>
      </c>
      <c r="BB56" s="469">
        <f t="shared" si="161"/>
        <v>0</v>
      </c>
      <c r="BC56" s="469">
        <f t="shared" si="161"/>
        <v>0</v>
      </c>
      <c r="BD56" s="469">
        <f t="shared" si="161"/>
        <v>1695.8736</v>
      </c>
      <c r="BE56" s="469">
        <f t="shared" si="161"/>
        <v>1695.8736</v>
      </c>
      <c r="BF56" s="469">
        <f t="shared" si="161"/>
        <v>0</v>
      </c>
      <c r="BG56" s="469">
        <f t="shared" si="161"/>
        <v>0</v>
      </c>
      <c r="BH56" s="469">
        <f t="shared" si="161"/>
        <v>1413.228</v>
      </c>
      <c r="BI56" s="469">
        <f t="shared" si="161"/>
        <v>0</v>
      </c>
      <c r="BJ56" s="469">
        <f t="shared" si="161"/>
        <v>1695.8736</v>
      </c>
      <c r="BK56" s="470">
        <f t="shared" si="103"/>
        <v>6500.8488</v>
      </c>
      <c r="BL56" s="469">
        <f t="shared" ref="BL56:BU56" si="162">X56*$AY56</f>
        <v>1695.8736</v>
      </c>
      <c r="BM56" s="469">
        <f t="shared" si="162"/>
        <v>847.9368</v>
      </c>
      <c r="BN56" s="469">
        <f t="shared" si="162"/>
        <v>1695.8736</v>
      </c>
      <c r="BO56" s="469">
        <f t="shared" si="162"/>
        <v>1695.8736</v>
      </c>
      <c r="BP56" s="469">
        <f t="shared" si="162"/>
        <v>1695.8736</v>
      </c>
      <c r="BQ56" s="469">
        <f t="shared" si="162"/>
        <v>2826.456</v>
      </c>
      <c r="BR56" s="469">
        <f t="shared" si="162"/>
        <v>2826.456</v>
      </c>
      <c r="BS56" s="469">
        <f t="shared" si="162"/>
        <v>1413.228</v>
      </c>
      <c r="BT56" s="469">
        <f t="shared" si="162"/>
        <v>565.2912</v>
      </c>
      <c r="BU56" s="469">
        <f t="shared" si="162"/>
        <v>1695.8736</v>
      </c>
      <c r="BV56" s="470">
        <f t="shared" si="105"/>
        <v>16958.736</v>
      </c>
      <c r="BW56" s="469">
        <f t="shared" ref="BW56:CF56" si="163">AJ56*$AY56</f>
        <v>1695.8736</v>
      </c>
      <c r="BX56" s="469">
        <f t="shared" si="163"/>
        <v>847.9368</v>
      </c>
      <c r="BY56" s="469">
        <f t="shared" si="163"/>
        <v>1695.8736</v>
      </c>
      <c r="BZ56" s="469">
        <f t="shared" si="163"/>
        <v>1695.8736</v>
      </c>
      <c r="CA56" s="469">
        <f t="shared" si="163"/>
        <v>1695.8736</v>
      </c>
      <c r="CB56" s="469">
        <f t="shared" si="163"/>
        <v>2826.456</v>
      </c>
      <c r="CC56" s="469">
        <f t="shared" si="163"/>
        <v>2826.456</v>
      </c>
      <c r="CD56" s="469">
        <f t="shared" si="163"/>
        <v>2826.456</v>
      </c>
      <c r="CE56" s="469">
        <f t="shared" si="163"/>
        <v>565.2912</v>
      </c>
      <c r="CF56" s="469">
        <f t="shared" si="163"/>
        <v>1695.8736</v>
      </c>
      <c r="CG56" s="470">
        <f t="shared" si="107"/>
        <v>18371.964</v>
      </c>
      <c r="CH56" s="470">
        <f t="shared" si="108"/>
        <v>41831.5488</v>
      </c>
      <c r="CI56" s="471"/>
      <c r="CJ56" s="518"/>
      <c r="CK56" s="472">
        <v>1.0</v>
      </c>
      <c r="CL56" s="104">
        <f>VLOOKUP(I56,Cotizacion!$A$2:$E$423,4,FALSE())</f>
        <v>40.61</v>
      </c>
    </row>
    <row r="57" ht="15.75" customHeight="1">
      <c r="A57" s="474" t="s">
        <v>2848</v>
      </c>
      <c r="B57" s="475">
        <v>2.0</v>
      </c>
      <c r="C57" s="476" t="s">
        <v>2707</v>
      </c>
      <c r="D57" s="477" t="s">
        <v>56</v>
      </c>
      <c r="E57" s="476" t="s">
        <v>2708</v>
      </c>
      <c r="F57" s="476" t="s">
        <v>1763</v>
      </c>
      <c r="G57" s="457" t="s">
        <v>2709</v>
      </c>
      <c r="H57" s="457" t="s">
        <v>2881</v>
      </c>
      <c r="I57" s="478" t="s">
        <v>2036</v>
      </c>
      <c r="J57" s="479" t="s">
        <v>141</v>
      </c>
      <c r="K57" s="480" t="s">
        <v>25</v>
      </c>
      <c r="L57" s="481">
        <v>5.0</v>
      </c>
      <c r="M57" s="481">
        <v>2.0</v>
      </c>
      <c r="N57" s="481">
        <v>5.0</v>
      </c>
      <c r="O57" s="481">
        <v>5.0</v>
      </c>
      <c r="P57" s="481">
        <v>5.0</v>
      </c>
      <c r="Q57" s="482">
        <v>6.0</v>
      </c>
      <c r="R57" s="481">
        <v>4.0</v>
      </c>
      <c r="S57" s="481">
        <v>5.0</v>
      </c>
      <c r="T57" s="481">
        <v>1.0</v>
      </c>
      <c r="U57" s="492">
        <v>0.0</v>
      </c>
      <c r="V57" s="481">
        <v>0.0</v>
      </c>
      <c r="W57" s="463">
        <f t="shared" si="98"/>
        <v>38</v>
      </c>
      <c r="X57" s="481">
        <v>5.0</v>
      </c>
      <c r="Y57" s="481">
        <v>2.0</v>
      </c>
      <c r="Z57" s="481">
        <v>5.0</v>
      </c>
      <c r="AA57" s="481">
        <v>5.0</v>
      </c>
      <c r="AB57" s="481">
        <v>5.0</v>
      </c>
      <c r="AC57" s="482">
        <v>6.0</v>
      </c>
      <c r="AD57" s="481">
        <v>4.0</v>
      </c>
      <c r="AE57" s="481">
        <v>5.0</v>
      </c>
      <c r="AF57" s="481">
        <v>1.0</v>
      </c>
      <c r="AG57" s="492">
        <v>0.0</v>
      </c>
      <c r="AH57" s="481">
        <v>0.0</v>
      </c>
      <c r="AI57" s="464">
        <f t="shared" si="99"/>
        <v>38</v>
      </c>
      <c r="AJ57" s="481">
        <v>5.0</v>
      </c>
      <c r="AK57" s="481">
        <v>2.0</v>
      </c>
      <c r="AL57" s="481">
        <v>5.0</v>
      </c>
      <c r="AM57" s="481">
        <v>5.0</v>
      </c>
      <c r="AN57" s="481">
        <v>5.0</v>
      </c>
      <c r="AO57" s="482">
        <v>6.0</v>
      </c>
      <c r="AP57" s="481">
        <v>4.0</v>
      </c>
      <c r="AQ57" s="481">
        <v>5.0</v>
      </c>
      <c r="AR57" s="481">
        <v>1.0</v>
      </c>
      <c r="AS57" s="492">
        <v>0.0</v>
      </c>
      <c r="AT57" s="481">
        <v>0.0</v>
      </c>
      <c r="AU57" s="463">
        <f t="shared" si="100"/>
        <v>38</v>
      </c>
      <c r="AV57" s="483">
        <f t="shared" si="101"/>
        <v>114</v>
      </c>
      <c r="AW57" s="484"/>
      <c r="AX57" s="485">
        <v>47.38</v>
      </c>
      <c r="AY57" s="485">
        <f t="shared" si="109"/>
        <v>329.7648</v>
      </c>
      <c r="AZ57" s="486"/>
      <c r="BA57" s="487">
        <f t="shared" ref="BA57:BJ57" si="164">L57*$AY57</f>
        <v>1648.824</v>
      </c>
      <c r="BB57" s="487">
        <f t="shared" si="164"/>
        <v>659.5296</v>
      </c>
      <c r="BC57" s="487">
        <f t="shared" si="164"/>
        <v>1648.824</v>
      </c>
      <c r="BD57" s="487">
        <f t="shared" si="164"/>
        <v>1648.824</v>
      </c>
      <c r="BE57" s="487">
        <f t="shared" si="164"/>
        <v>1648.824</v>
      </c>
      <c r="BF57" s="487">
        <f t="shared" si="164"/>
        <v>1978.5888</v>
      </c>
      <c r="BG57" s="487">
        <f t="shared" si="164"/>
        <v>1319.0592</v>
      </c>
      <c r="BH57" s="487">
        <f t="shared" si="164"/>
        <v>1648.824</v>
      </c>
      <c r="BI57" s="487">
        <f t="shared" si="164"/>
        <v>329.7648</v>
      </c>
      <c r="BJ57" s="487">
        <f t="shared" si="164"/>
        <v>0</v>
      </c>
      <c r="BK57" s="488">
        <f t="shared" si="103"/>
        <v>12531.0624</v>
      </c>
      <c r="BL57" s="487">
        <f t="shared" ref="BL57:BU57" si="165">X57*$AY57</f>
        <v>1648.824</v>
      </c>
      <c r="BM57" s="487">
        <f t="shared" si="165"/>
        <v>659.5296</v>
      </c>
      <c r="BN57" s="487">
        <f t="shared" si="165"/>
        <v>1648.824</v>
      </c>
      <c r="BO57" s="487">
        <f t="shared" si="165"/>
        <v>1648.824</v>
      </c>
      <c r="BP57" s="487">
        <f t="shared" si="165"/>
        <v>1648.824</v>
      </c>
      <c r="BQ57" s="487">
        <f t="shared" si="165"/>
        <v>1978.5888</v>
      </c>
      <c r="BR57" s="487">
        <f t="shared" si="165"/>
        <v>1319.0592</v>
      </c>
      <c r="BS57" s="487">
        <f t="shared" si="165"/>
        <v>1648.824</v>
      </c>
      <c r="BT57" s="487">
        <f t="shared" si="165"/>
        <v>329.7648</v>
      </c>
      <c r="BU57" s="487">
        <f t="shared" si="165"/>
        <v>0</v>
      </c>
      <c r="BV57" s="488">
        <f t="shared" si="105"/>
        <v>12531.0624</v>
      </c>
      <c r="BW57" s="487">
        <f t="shared" ref="BW57:CF57" si="166">AJ57*$AY57</f>
        <v>1648.824</v>
      </c>
      <c r="BX57" s="487">
        <f t="shared" si="166"/>
        <v>659.5296</v>
      </c>
      <c r="BY57" s="487">
        <f t="shared" si="166"/>
        <v>1648.824</v>
      </c>
      <c r="BZ57" s="487">
        <f t="shared" si="166"/>
        <v>1648.824</v>
      </c>
      <c r="CA57" s="487">
        <f t="shared" si="166"/>
        <v>1648.824</v>
      </c>
      <c r="CB57" s="487">
        <f t="shared" si="166"/>
        <v>1978.5888</v>
      </c>
      <c r="CC57" s="487">
        <f t="shared" si="166"/>
        <v>1319.0592</v>
      </c>
      <c r="CD57" s="487">
        <f t="shared" si="166"/>
        <v>1648.824</v>
      </c>
      <c r="CE57" s="487">
        <f t="shared" si="166"/>
        <v>329.7648</v>
      </c>
      <c r="CF57" s="487">
        <f t="shared" si="166"/>
        <v>0</v>
      </c>
      <c r="CG57" s="488">
        <f t="shared" si="107"/>
        <v>12531.0624</v>
      </c>
      <c r="CH57" s="488">
        <f t="shared" si="108"/>
        <v>37593.1872</v>
      </c>
      <c r="CI57" s="489"/>
      <c r="CJ57" s="487"/>
      <c r="CK57" s="472">
        <v>1.0</v>
      </c>
      <c r="CL57" s="104">
        <f>VLOOKUP(I57,Cotizacion!$A$2:$E$423,4,FALSE())</f>
        <v>47.38</v>
      </c>
    </row>
    <row r="58" ht="15.75" customHeight="1">
      <c r="A58" s="453" t="s">
        <v>2848</v>
      </c>
      <c r="B58" s="454">
        <v>2.0</v>
      </c>
      <c r="C58" s="455" t="s">
        <v>2707</v>
      </c>
      <c r="D58" s="456" t="s">
        <v>56</v>
      </c>
      <c r="E58" s="455" t="s">
        <v>2708</v>
      </c>
      <c r="F58" s="455" t="s">
        <v>1763</v>
      </c>
      <c r="G58" s="457" t="s">
        <v>2709</v>
      </c>
      <c r="H58" s="457" t="s">
        <v>2795</v>
      </c>
      <c r="I58" s="458" t="s">
        <v>2404</v>
      </c>
      <c r="J58" s="459" t="s">
        <v>103</v>
      </c>
      <c r="K58" s="460" t="s">
        <v>25</v>
      </c>
      <c r="L58" s="461">
        <v>0.0</v>
      </c>
      <c r="M58" s="461">
        <v>0.0</v>
      </c>
      <c r="N58" s="461">
        <v>0.0</v>
      </c>
      <c r="O58" s="461">
        <v>0.0</v>
      </c>
      <c r="P58" s="461">
        <v>0.0</v>
      </c>
      <c r="Q58" s="461">
        <v>0.0</v>
      </c>
      <c r="R58" s="461">
        <v>0.0</v>
      </c>
      <c r="S58" s="461">
        <v>0.0</v>
      </c>
      <c r="T58" s="461">
        <v>0.0</v>
      </c>
      <c r="U58" s="490">
        <v>8.0</v>
      </c>
      <c r="V58" s="461">
        <v>0.0</v>
      </c>
      <c r="W58" s="463">
        <f t="shared" si="98"/>
        <v>8</v>
      </c>
      <c r="X58" s="461">
        <v>0.0</v>
      </c>
      <c r="Y58" s="461">
        <v>0.0</v>
      </c>
      <c r="Z58" s="461">
        <v>0.0</v>
      </c>
      <c r="AA58" s="461">
        <v>10.0</v>
      </c>
      <c r="AB58" s="461">
        <v>5.0</v>
      </c>
      <c r="AC58" s="461">
        <v>5.0</v>
      </c>
      <c r="AD58" s="461">
        <v>0.0</v>
      </c>
      <c r="AE58" s="461">
        <v>0.0</v>
      </c>
      <c r="AF58" s="461">
        <v>0.0</v>
      </c>
      <c r="AG58" s="490">
        <v>8.0</v>
      </c>
      <c r="AH58" s="461">
        <v>0.0</v>
      </c>
      <c r="AI58" s="464">
        <f t="shared" si="99"/>
        <v>28</v>
      </c>
      <c r="AJ58" s="461">
        <v>0.0</v>
      </c>
      <c r="AK58" s="461">
        <v>0.0</v>
      </c>
      <c r="AL58" s="461">
        <v>0.0</v>
      </c>
      <c r="AM58" s="461">
        <v>10.0</v>
      </c>
      <c r="AN58" s="461">
        <v>5.0</v>
      </c>
      <c r="AO58" s="461">
        <v>5.0</v>
      </c>
      <c r="AP58" s="461">
        <v>0.0</v>
      </c>
      <c r="AQ58" s="461">
        <v>0.0</v>
      </c>
      <c r="AR58" s="461">
        <v>0.0</v>
      </c>
      <c r="AS58" s="490">
        <v>8.0</v>
      </c>
      <c r="AT58" s="461">
        <v>0.0</v>
      </c>
      <c r="AU58" s="463">
        <f t="shared" si="100"/>
        <v>28</v>
      </c>
      <c r="AV58" s="465">
        <f t="shared" si="101"/>
        <v>64</v>
      </c>
      <c r="AW58" s="466"/>
      <c r="AX58" s="467">
        <v>79.33</v>
      </c>
      <c r="AY58" s="467">
        <f t="shared" si="109"/>
        <v>552.1368</v>
      </c>
      <c r="AZ58" s="468"/>
      <c r="BA58" s="469">
        <f t="shared" ref="BA58:BJ58" si="167">L58*$AY58</f>
        <v>0</v>
      </c>
      <c r="BB58" s="469">
        <f t="shared" si="167"/>
        <v>0</v>
      </c>
      <c r="BC58" s="469">
        <f t="shared" si="167"/>
        <v>0</v>
      </c>
      <c r="BD58" s="469">
        <f t="shared" si="167"/>
        <v>0</v>
      </c>
      <c r="BE58" s="469">
        <f t="shared" si="167"/>
        <v>0</v>
      </c>
      <c r="BF58" s="469">
        <f t="shared" si="167"/>
        <v>0</v>
      </c>
      <c r="BG58" s="469">
        <f t="shared" si="167"/>
        <v>0</v>
      </c>
      <c r="BH58" s="469">
        <f t="shared" si="167"/>
        <v>0</v>
      </c>
      <c r="BI58" s="469">
        <f t="shared" si="167"/>
        <v>0</v>
      </c>
      <c r="BJ58" s="469">
        <f t="shared" si="167"/>
        <v>4417.0944</v>
      </c>
      <c r="BK58" s="470">
        <f t="shared" si="103"/>
        <v>4417.0944</v>
      </c>
      <c r="BL58" s="469">
        <f t="shared" ref="BL58:BU58" si="168">X58*$AY58</f>
        <v>0</v>
      </c>
      <c r="BM58" s="469">
        <f t="shared" si="168"/>
        <v>0</v>
      </c>
      <c r="BN58" s="469">
        <f t="shared" si="168"/>
        <v>0</v>
      </c>
      <c r="BO58" s="469">
        <f t="shared" si="168"/>
        <v>5521.368</v>
      </c>
      <c r="BP58" s="469">
        <f t="shared" si="168"/>
        <v>2760.684</v>
      </c>
      <c r="BQ58" s="469">
        <f t="shared" si="168"/>
        <v>2760.684</v>
      </c>
      <c r="BR58" s="469">
        <f t="shared" si="168"/>
        <v>0</v>
      </c>
      <c r="BS58" s="469">
        <f t="shared" si="168"/>
        <v>0</v>
      </c>
      <c r="BT58" s="469">
        <f t="shared" si="168"/>
        <v>0</v>
      </c>
      <c r="BU58" s="469">
        <f t="shared" si="168"/>
        <v>4417.0944</v>
      </c>
      <c r="BV58" s="470">
        <f t="shared" si="105"/>
        <v>15459.8304</v>
      </c>
      <c r="BW58" s="469">
        <f t="shared" ref="BW58:CF58" si="169">AJ58*$AY58</f>
        <v>0</v>
      </c>
      <c r="BX58" s="469">
        <f t="shared" si="169"/>
        <v>0</v>
      </c>
      <c r="BY58" s="469">
        <f t="shared" si="169"/>
        <v>0</v>
      </c>
      <c r="BZ58" s="469">
        <f t="shared" si="169"/>
        <v>5521.368</v>
      </c>
      <c r="CA58" s="469">
        <f t="shared" si="169"/>
        <v>2760.684</v>
      </c>
      <c r="CB58" s="469">
        <f t="shared" si="169"/>
        <v>2760.684</v>
      </c>
      <c r="CC58" s="469">
        <f t="shared" si="169"/>
        <v>0</v>
      </c>
      <c r="CD58" s="469">
        <f t="shared" si="169"/>
        <v>0</v>
      </c>
      <c r="CE58" s="469">
        <f t="shared" si="169"/>
        <v>0</v>
      </c>
      <c r="CF58" s="469">
        <f t="shared" si="169"/>
        <v>4417.0944</v>
      </c>
      <c r="CG58" s="470">
        <f t="shared" si="107"/>
        <v>15459.8304</v>
      </c>
      <c r="CH58" s="470">
        <f t="shared" si="108"/>
        <v>35336.7552</v>
      </c>
      <c r="CI58" s="471"/>
      <c r="CJ58" s="469"/>
      <c r="CK58" s="472">
        <v>1.0</v>
      </c>
      <c r="CL58" s="104">
        <f>VLOOKUP(I58,Cotizacion!$A$2:$E$423,4,FALSE())</f>
        <v>79.33</v>
      </c>
    </row>
    <row r="59" ht="15.75" customHeight="1">
      <c r="A59" s="474" t="s">
        <v>2848</v>
      </c>
      <c r="B59" s="475">
        <v>2.0</v>
      </c>
      <c r="C59" s="477" t="s">
        <v>2852</v>
      </c>
      <c r="D59" s="477" t="s">
        <v>52</v>
      </c>
      <c r="E59" s="477" t="s">
        <v>2708</v>
      </c>
      <c r="F59" s="477" t="s">
        <v>1763</v>
      </c>
      <c r="G59" s="457" t="s">
        <v>2709</v>
      </c>
      <c r="H59" s="457" t="s">
        <v>2882</v>
      </c>
      <c r="I59" s="501" t="s">
        <v>2126</v>
      </c>
      <c r="J59" s="479" t="s">
        <v>551</v>
      </c>
      <c r="K59" s="502" t="s">
        <v>25</v>
      </c>
      <c r="L59" s="481">
        <v>3.0</v>
      </c>
      <c r="M59" s="481">
        <v>1.0</v>
      </c>
      <c r="N59" s="481">
        <v>3.0</v>
      </c>
      <c r="O59" s="481">
        <v>2.0</v>
      </c>
      <c r="P59" s="481">
        <v>2.0</v>
      </c>
      <c r="Q59" s="481">
        <v>2.0</v>
      </c>
      <c r="R59" s="481">
        <v>2.0</v>
      </c>
      <c r="S59" s="481">
        <v>2.0</v>
      </c>
      <c r="T59" s="481">
        <v>1.0</v>
      </c>
      <c r="U59" s="492">
        <v>0.0</v>
      </c>
      <c r="V59" s="481">
        <v>0.0</v>
      </c>
      <c r="W59" s="463">
        <f t="shared" si="98"/>
        <v>18</v>
      </c>
      <c r="X59" s="481">
        <v>3.0</v>
      </c>
      <c r="Y59" s="481">
        <v>1.0</v>
      </c>
      <c r="Z59" s="481">
        <v>3.0</v>
      </c>
      <c r="AA59" s="481">
        <v>2.0</v>
      </c>
      <c r="AB59" s="481">
        <v>2.0</v>
      </c>
      <c r="AC59" s="481">
        <v>2.0</v>
      </c>
      <c r="AD59" s="481">
        <v>2.0</v>
      </c>
      <c r="AE59" s="481">
        <v>2.0</v>
      </c>
      <c r="AF59" s="481">
        <v>1.0</v>
      </c>
      <c r="AG59" s="492">
        <v>0.0</v>
      </c>
      <c r="AH59" s="481">
        <v>0.0</v>
      </c>
      <c r="AI59" s="464">
        <f t="shared" si="99"/>
        <v>18</v>
      </c>
      <c r="AJ59" s="481">
        <v>3.0</v>
      </c>
      <c r="AK59" s="481">
        <v>1.0</v>
      </c>
      <c r="AL59" s="481">
        <v>3.0</v>
      </c>
      <c r="AM59" s="481">
        <v>2.0</v>
      </c>
      <c r="AN59" s="481">
        <v>2.0</v>
      </c>
      <c r="AO59" s="481">
        <v>2.0</v>
      </c>
      <c r="AP59" s="481">
        <v>2.0</v>
      </c>
      <c r="AQ59" s="481">
        <v>2.0</v>
      </c>
      <c r="AR59" s="481">
        <v>1.0</v>
      </c>
      <c r="AS59" s="492">
        <v>0.0</v>
      </c>
      <c r="AT59" s="481">
        <v>0.0</v>
      </c>
      <c r="AU59" s="463">
        <f t="shared" si="100"/>
        <v>18</v>
      </c>
      <c r="AV59" s="483">
        <f t="shared" si="101"/>
        <v>54</v>
      </c>
      <c r="AW59" s="484"/>
      <c r="AX59" s="503">
        <v>90.49</v>
      </c>
      <c r="AY59" s="485">
        <f t="shared" si="109"/>
        <v>629.8104</v>
      </c>
      <c r="AZ59" s="504"/>
      <c r="BA59" s="487">
        <f t="shared" ref="BA59:BJ59" si="170">L59*$AY59</f>
        <v>1889.4312</v>
      </c>
      <c r="BB59" s="487">
        <f t="shared" si="170"/>
        <v>629.8104</v>
      </c>
      <c r="BC59" s="487">
        <f t="shared" si="170"/>
        <v>1889.4312</v>
      </c>
      <c r="BD59" s="487">
        <f t="shared" si="170"/>
        <v>1259.6208</v>
      </c>
      <c r="BE59" s="487">
        <f t="shared" si="170"/>
        <v>1259.6208</v>
      </c>
      <c r="BF59" s="487">
        <f t="shared" si="170"/>
        <v>1259.6208</v>
      </c>
      <c r="BG59" s="487">
        <f t="shared" si="170"/>
        <v>1259.6208</v>
      </c>
      <c r="BH59" s="487">
        <f t="shared" si="170"/>
        <v>1259.6208</v>
      </c>
      <c r="BI59" s="487">
        <f t="shared" si="170"/>
        <v>629.8104</v>
      </c>
      <c r="BJ59" s="487">
        <f t="shared" si="170"/>
        <v>0</v>
      </c>
      <c r="BK59" s="488">
        <f t="shared" si="103"/>
        <v>11336.5872</v>
      </c>
      <c r="BL59" s="487">
        <f t="shared" ref="BL59:BU59" si="171">X59*$AY59</f>
        <v>1889.4312</v>
      </c>
      <c r="BM59" s="487">
        <f t="shared" si="171"/>
        <v>629.8104</v>
      </c>
      <c r="BN59" s="487">
        <f t="shared" si="171"/>
        <v>1889.4312</v>
      </c>
      <c r="BO59" s="487">
        <f t="shared" si="171"/>
        <v>1259.6208</v>
      </c>
      <c r="BP59" s="487">
        <f t="shared" si="171"/>
        <v>1259.6208</v>
      </c>
      <c r="BQ59" s="487">
        <f t="shared" si="171"/>
        <v>1259.6208</v>
      </c>
      <c r="BR59" s="487">
        <f t="shared" si="171"/>
        <v>1259.6208</v>
      </c>
      <c r="BS59" s="487">
        <f t="shared" si="171"/>
        <v>1259.6208</v>
      </c>
      <c r="BT59" s="487">
        <f t="shared" si="171"/>
        <v>629.8104</v>
      </c>
      <c r="BU59" s="487">
        <f t="shared" si="171"/>
        <v>0</v>
      </c>
      <c r="BV59" s="488">
        <f t="shared" si="105"/>
        <v>11336.5872</v>
      </c>
      <c r="BW59" s="487">
        <f t="shared" ref="BW59:CF59" si="172">AJ59*$AY59</f>
        <v>1889.4312</v>
      </c>
      <c r="BX59" s="487">
        <f t="shared" si="172"/>
        <v>629.8104</v>
      </c>
      <c r="BY59" s="487">
        <f t="shared" si="172"/>
        <v>1889.4312</v>
      </c>
      <c r="BZ59" s="487">
        <f t="shared" si="172"/>
        <v>1259.6208</v>
      </c>
      <c r="CA59" s="487">
        <f t="shared" si="172"/>
        <v>1259.6208</v>
      </c>
      <c r="CB59" s="487">
        <f t="shared" si="172"/>
        <v>1259.6208</v>
      </c>
      <c r="CC59" s="487">
        <f t="shared" si="172"/>
        <v>1259.6208</v>
      </c>
      <c r="CD59" s="487">
        <f t="shared" si="172"/>
        <v>1259.6208</v>
      </c>
      <c r="CE59" s="487">
        <f t="shared" si="172"/>
        <v>629.8104</v>
      </c>
      <c r="CF59" s="487">
        <f t="shared" si="172"/>
        <v>0</v>
      </c>
      <c r="CG59" s="488">
        <f t="shared" si="107"/>
        <v>11336.5872</v>
      </c>
      <c r="CH59" s="488">
        <f t="shared" si="108"/>
        <v>34009.7616</v>
      </c>
      <c r="CI59" s="489"/>
      <c r="CJ59" s="505"/>
      <c r="CK59" s="472">
        <v>1.0</v>
      </c>
      <c r="CL59" s="104">
        <f>VLOOKUP(I59,Cotizacion!$A$2:$E$423,4,FALSE())</f>
        <v>90.49</v>
      </c>
    </row>
    <row r="60" ht="15.75" customHeight="1">
      <c r="A60" s="453" t="s">
        <v>2848</v>
      </c>
      <c r="B60" s="454">
        <v>2.0</v>
      </c>
      <c r="C60" s="456" t="s">
        <v>2852</v>
      </c>
      <c r="D60" s="456" t="s">
        <v>52</v>
      </c>
      <c r="E60" s="456" t="s">
        <v>2708</v>
      </c>
      <c r="F60" s="456" t="s">
        <v>1763</v>
      </c>
      <c r="G60" s="457" t="s">
        <v>2709</v>
      </c>
      <c r="H60" s="457" t="s">
        <v>2883</v>
      </c>
      <c r="I60" s="514" t="s">
        <v>2204</v>
      </c>
      <c r="J60" s="459" t="s">
        <v>492</v>
      </c>
      <c r="K60" s="515" t="s">
        <v>25</v>
      </c>
      <c r="L60" s="461">
        <v>1.0</v>
      </c>
      <c r="M60" s="461">
        <v>1.0</v>
      </c>
      <c r="N60" s="461">
        <v>1.0</v>
      </c>
      <c r="O60" s="461">
        <v>6.0</v>
      </c>
      <c r="P60" s="461">
        <v>6.0</v>
      </c>
      <c r="Q60" s="461">
        <v>4.0</v>
      </c>
      <c r="R60" s="461">
        <v>6.0</v>
      </c>
      <c r="S60" s="461">
        <v>6.0</v>
      </c>
      <c r="T60" s="461">
        <v>2.0</v>
      </c>
      <c r="U60" s="490">
        <v>0.0</v>
      </c>
      <c r="V60" s="461">
        <v>0.0</v>
      </c>
      <c r="W60" s="463">
        <f t="shared" si="98"/>
        <v>33</v>
      </c>
      <c r="X60" s="461">
        <v>1.0</v>
      </c>
      <c r="Y60" s="461">
        <v>1.0</v>
      </c>
      <c r="Z60" s="461">
        <v>1.0</v>
      </c>
      <c r="AA60" s="461">
        <v>6.0</v>
      </c>
      <c r="AB60" s="461">
        <v>6.0</v>
      </c>
      <c r="AC60" s="461">
        <v>4.0</v>
      </c>
      <c r="AD60" s="461">
        <v>6.0</v>
      </c>
      <c r="AE60" s="461">
        <v>6.0</v>
      </c>
      <c r="AF60" s="461">
        <v>2.0</v>
      </c>
      <c r="AG60" s="490">
        <v>0.0</v>
      </c>
      <c r="AH60" s="461">
        <v>0.0</v>
      </c>
      <c r="AI60" s="464">
        <f t="shared" si="99"/>
        <v>33</v>
      </c>
      <c r="AJ60" s="461">
        <v>1.0</v>
      </c>
      <c r="AK60" s="461">
        <v>1.0</v>
      </c>
      <c r="AL60" s="461">
        <v>1.0</v>
      </c>
      <c r="AM60" s="461">
        <v>6.0</v>
      </c>
      <c r="AN60" s="461">
        <v>6.0</v>
      </c>
      <c r="AO60" s="461">
        <v>4.0</v>
      </c>
      <c r="AP60" s="461">
        <v>6.0</v>
      </c>
      <c r="AQ60" s="461">
        <v>6.0</v>
      </c>
      <c r="AR60" s="461">
        <v>2.0</v>
      </c>
      <c r="AS60" s="490">
        <v>0.0</v>
      </c>
      <c r="AT60" s="461">
        <v>0.0</v>
      </c>
      <c r="AU60" s="463">
        <f t="shared" si="100"/>
        <v>33</v>
      </c>
      <c r="AV60" s="465">
        <f t="shared" si="101"/>
        <v>99</v>
      </c>
      <c r="AW60" s="466"/>
      <c r="AX60" s="516">
        <v>49.22</v>
      </c>
      <c r="AY60" s="467">
        <f t="shared" si="109"/>
        <v>342.5712</v>
      </c>
      <c r="AZ60" s="538"/>
      <c r="BA60" s="469">
        <f t="shared" ref="BA60:BJ60" si="173">L60*$AY60</f>
        <v>342.5712</v>
      </c>
      <c r="BB60" s="469">
        <f t="shared" si="173"/>
        <v>342.5712</v>
      </c>
      <c r="BC60" s="469">
        <f t="shared" si="173"/>
        <v>342.5712</v>
      </c>
      <c r="BD60" s="469">
        <f t="shared" si="173"/>
        <v>2055.4272</v>
      </c>
      <c r="BE60" s="469">
        <f t="shared" si="173"/>
        <v>2055.4272</v>
      </c>
      <c r="BF60" s="469">
        <f t="shared" si="173"/>
        <v>1370.2848</v>
      </c>
      <c r="BG60" s="469">
        <f t="shared" si="173"/>
        <v>2055.4272</v>
      </c>
      <c r="BH60" s="469">
        <f t="shared" si="173"/>
        <v>2055.4272</v>
      </c>
      <c r="BI60" s="469">
        <f t="shared" si="173"/>
        <v>685.1424</v>
      </c>
      <c r="BJ60" s="469">
        <f t="shared" si="173"/>
        <v>0</v>
      </c>
      <c r="BK60" s="470">
        <f t="shared" si="103"/>
        <v>11304.8496</v>
      </c>
      <c r="BL60" s="469">
        <f t="shared" ref="BL60:BU60" si="174">X60*$AY60</f>
        <v>342.5712</v>
      </c>
      <c r="BM60" s="469">
        <f t="shared" si="174"/>
        <v>342.5712</v>
      </c>
      <c r="BN60" s="469">
        <f t="shared" si="174"/>
        <v>342.5712</v>
      </c>
      <c r="BO60" s="469">
        <f t="shared" si="174"/>
        <v>2055.4272</v>
      </c>
      <c r="BP60" s="469">
        <f t="shared" si="174"/>
        <v>2055.4272</v>
      </c>
      <c r="BQ60" s="469">
        <f t="shared" si="174"/>
        <v>1370.2848</v>
      </c>
      <c r="BR60" s="469">
        <f t="shared" si="174"/>
        <v>2055.4272</v>
      </c>
      <c r="BS60" s="469">
        <f t="shared" si="174"/>
        <v>2055.4272</v>
      </c>
      <c r="BT60" s="469">
        <f t="shared" si="174"/>
        <v>685.1424</v>
      </c>
      <c r="BU60" s="469">
        <f t="shared" si="174"/>
        <v>0</v>
      </c>
      <c r="BV60" s="470">
        <f t="shared" si="105"/>
        <v>11304.8496</v>
      </c>
      <c r="BW60" s="469">
        <f t="shared" ref="BW60:CF60" si="175">AJ60*$AY60</f>
        <v>342.5712</v>
      </c>
      <c r="BX60" s="469">
        <f t="shared" si="175"/>
        <v>342.5712</v>
      </c>
      <c r="BY60" s="469">
        <f t="shared" si="175"/>
        <v>342.5712</v>
      </c>
      <c r="BZ60" s="469">
        <f t="shared" si="175"/>
        <v>2055.4272</v>
      </c>
      <c r="CA60" s="469">
        <f t="shared" si="175"/>
        <v>2055.4272</v>
      </c>
      <c r="CB60" s="469">
        <f t="shared" si="175"/>
        <v>1370.2848</v>
      </c>
      <c r="CC60" s="469">
        <f t="shared" si="175"/>
        <v>2055.4272</v>
      </c>
      <c r="CD60" s="469">
        <f t="shared" si="175"/>
        <v>2055.4272</v>
      </c>
      <c r="CE60" s="469">
        <f t="shared" si="175"/>
        <v>685.1424</v>
      </c>
      <c r="CF60" s="469">
        <f t="shared" si="175"/>
        <v>0</v>
      </c>
      <c r="CG60" s="470">
        <f t="shared" si="107"/>
        <v>11304.8496</v>
      </c>
      <c r="CH60" s="470">
        <f t="shared" si="108"/>
        <v>33914.5488</v>
      </c>
      <c r="CI60" s="471"/>
      <c r="CJ60" s="518"/>
      <c r="CK60" s="472">
        <v>1.0</v>
      </c>
      <c r="CL60" s="104">
        <f>VLOOKUP(I60,Cotizacion!$A$2:$E$423,4,FALSE())</f>
        <v>49.22</v>
      </c>
    </row>
    <row r="61" ht="15.75" customHeight="1">
      <c r="A61" s="474" t="s">
        <v>2848</v>
      </c>
      <c r="B61" s="475">
        <v>2.0</v>
      </c>
      <c r="C61" s="476" t="s">
        <v>2808</v>
      </c>
      <c r="D61" s="477" t="s">
        <v>1215</v>
      </c>
      <c r="E61" s="476" t="s">
        <v>2708</v>
      </c>
      <c r="F61" s="476" t="s">
        <v>1763</v>
      </c>
      <c r="G61" s="457" t="s">
        <v>2709</v>
      </c>
      <c r="H61" s="457" t="s">
        <v>2884</v>
      </c>
      <c r="I61" s="478" t="s">
        <v>2210</v>
      </c>
      <c r="J61" s="479" t="s">
        <v>685</v>
      </c>
      <c r="K61" s="480" t="s">
        <v>25</v>
      </c>
      <c r="L61" s="481">
        <v>4.0</v>
      </c>
      <c r="M61" s="481">
        <v>4.0</v>
      </c>
      <c r="N61" s="481">
        <v>6.0</v>
      </c>
      <c r="O61" s="482">
        <v>0.0</v>
      </c>
      <c r="P61" s="481">
        <v>6.0</v>
      </c>
      <c r="Q61" s="481">
        <v>8.0</v>
      </c>
      <c r="R61" s="481">
        <v>6.0</v>
      </c>
      <c r="S61" s="481">
        <v>6.0</v>
      </c>
      <c r="T61" s="481">
        <v>2.0</v>
      </c>
      <c r="U61" s="481">
        <v>6.0</v>
      </c>
      <c r="V61" s="481">
        <v>0.0</v>
      </c>
      <c r="W61" s="463">
        <f t="shared" si="98"/>
        <v>48</v>
      </c>
      <c r="X61" s="481">
        <v>4.0</v>
      </c>
      <c r="Y61" s="481">
        <v>4.0</v>
      </c>
      <c r="Z61" s="481">
        <v>6.0</v>
      </c>
      <c r="AA61" s="481">
        <v>4.0</v>
      </c>
      <c r="AB61" s="481">
        <v>6.0</v>
      </c>
      <c r="AC61" s="481">
        <v>8.0</v>
      </c>
      <c r="AD61" s="481">
        <v>6.0</v>
      </c>
      <c r="AE61" s="481">
        <v>6.0</v>
      </c>
      <c r="AF61" s="481">
        <v>2.0</v>
      </c>
      <c r="AG61" s="481">
        <v>6.0</v>
      </c>
      <c r="AH61" s="481">
        <v>0.0</v>
      </c>
      <c r="AI61" s="464">
        <f t="shared" si="99"/>
        <v>52</v>
      </c>
      <c r="AJ61" s="481">
        <v>4.0</v>
      </c>
      <c r="AK61" s="481">
        <v>4.0</v>
      </c>
      <c r="AL61" s="481">
        <v>6.0</v>
      </c>
      <c r="AM61" s="481">
        <v>4.0</v>
      </c>
      <c r="AN61" s="481">
        <v>6.0</v>
      </c>
      <c r="AO61" s="481">
        <v>8.0</v>
      </c>
      <c r="AP61" s="481">
        <v>6.0</v>
      </c>
      <c r="AQ61" s="481">
        <v>6.0</v>
      </c>
      <c r="AR61" s="481">
        <v>2.0</v>
      </c>
      <c r="AS61" s="481">
        <v>6.0</v>
      </c>
      <c r="AT61" s="481">
        <v>0.0</v>
      </c>
      <c r="AU61" s="463">
        <f t="shared" si="100"/>
        <v>52</v>
      </c>
      <c r="AV61" s="483">
        <f t="shared" si="101"/>
        <v>152</v>
      </c>
      <c r="AW61" s="484"/>
      <c r="AX61" s="485">
        <v>30.65</v>
      </c>
      <c r="AY61" s="485">
        <f t="shared" si="109"/>
        <v>213.324</v>
      </c>
      <c r="AZ61" s="486"/>
      <c r="BA61" s="487">
        <f t="shared" ref="BA61:BJ61" si="176">L61*$AY61</f>
        <v>853.296</v>
      </c>
      <c r="BB61" s="487">
        <f t="shared" si="176"/>
        <v>853.296</v>
      </c>
      <c r="BC61" s="487">
        <f t="shared" si="176"/>
        <v>1279.944</v>
      </c>
      <c r="BD61" s="487">
        <f t="shared" si="176"/>
        <v>0</v>
      </c>
      <c r="BE61" s="487">
        <f t="shared" si="176"/>
        <v>1279.944</v>
      </c>
      <c r="BF61" s="487">
        <f t="shared" si="176"/>
        <v>1706.592</v>
      </c>
      <c r="BG61" s="487">
        <f t="shared" si="176"/>
        <v>1279.944</v>
      </c>
      <c r="BH61" s="487">
        <f t="shared" si="176"/>
        <v>1279.944</v>
      </c>
      <c r="BI61" s="487">
        <f t="shared" si="176"/>
        <v>426.648</v>
      </c>
      <c r="BJ61" s="487">
        <f t="shared" si="176"/>
        <v>1279.944</v>
      </c>
      <c r="BK61" s="488">
        <f t="shared" si="103"/>
        <v>10239.552</v>
      </c>
      <c r="BL61" s="487">
        <f t="shared" ref="BL61:BU61" si="177">X61*$AY61</f>
        <v>853.296</v>
      </c>
      <c r="BM61" s="487">
        <f t="shared" si="177"/>
        <v>853.296</v>
      </c>
      <c r="BN61" s="487">
        <f t="shared" si="177"/>
        <v>1279.944</v>
      </c>
      <c r="BO61" s="487">
        <f t="shared" si="177"/>
        <v>853.296</v>
      </c>
      <c r="BP61" s="487">
        <f t="shared" si="177"/>
        <v>1279.944</v>
      </c>
      <c r="BQ61" s="487">
        <f t="shared" si="177"/>
        <v>1706.592</v>
      </c>
      <c r="BR61" s="487">
        <f t="shared" si="177"/>
        <v>1279.944</v>
      </c>
      <c r="BS61" s="487">
        <f t="shared" si="177"/>
        <v>1279.944</v>
      </c>
      <c r="BT61" s="487">
        <f t="shared" si="177"/>
        <v>426.648</v>
      </c>
      <c r="BU61" s="487">
        <f t="shared" si="177"/>
        <v>1279.944</v>
      </c>
      <c r="BV61" s="488">
        <f t="shared" si="105"/>
        <v>11092.848</v>
      </c>
      <c r="BW61" s="487">
        <f t="shared" ref="BW61:CF61" si="178">AJ61*$AY61</f>
        <v>853.296</v>
      </c>
      <c r="BX61" s="487">
        <f t="shared" si="178"/>
        <v>853.296</v>
      </c>
      <c r="BY61" s="487">
        <f t="shared" si="178"/>
        <v>1279.944</v>
      </c>
      <c r="BZ61" s="487">
        <f t="shared" si="178"/>
        <v>853.296</v>
      </c>
      <c r="CA61" s="487">
        <f t="shared" si="178"/>
        <v>1279.944</v>
      </c>
      <c r="CB61" s="487">
        <f t="shared" si="178"/>
        <v>1706.592</v>
      </c>
      <c r="CC61" s="487">
        <f t="shared" si="178"/>
        <v>1279.944</v>
      </c>
      <c r="CD61" s="487">
        <f t="shared" si="178"/>
        <v>1279.944</v>
      </c>
      <c r="CE61" s="487">
        <f t="shared" si="178"/>
        <v>426.648</v>
      </c>
      <c r="CF61" s="487">
        <f t="shared" si="178"/>
        <v>1279.944</v>
      </c>
      <c r="CG61" s="488">
        <f t="shared" si="107"/>
        <v>11092.848</v>
      </c>
      <c r="CH61" s="488">
        <f t="shared" si="108"/>
        <v>32425.248</v>
      </c>
      <c r="CI61" s="489"/>
      <c r="CJ61" s="487"/>
      <c r="CK61" s="472">
        <v>1.0</v>
      </c>
      <c r="CL61" s="104">
        <f>VLOOKUP(I61,Cotizacion!$A$2:$E$423,4,FALSE())</f>
        <v>30.65</v>
      </c>
    </row>
    <row r="62" ht="15.75" customHeight="1">
      <c r="A62" s="453" t="s">
        <v>2848</v>
      </c>
      <c r="B62" s="454">
        <v>2.0</v>
      </c>
      <c r="C62" s="455" t="s">
        <v>2707</v>
      </c>
      <c r="D62" s="456" t="s">
        <v>150</v>
      </c>
      <c r="E62" s="455" t="s">
        <v>2722</v>
      </c>
      <c r="F62" s="455" t="s">
        <v>1763</v>
      </c>
      <c r="G62" s="457" t="s">
        <v>2723</v>
      </c>
      <c r="H62" s="457" t="s">
        <v>2885</v>
      </c>
      <c r="I62" s="458" t="s">
        <v>2044</v>
      </c>
      <c r="J62" s="459" t="s">
        <v>2886</v>
      </c>
      <c r="K62" s="460" t="s">
        <v>25</v>
      </c>
      <c r="L62" s="461">
        <v>0.0</v>
      </c>
      <c r="M62" s="461">
        <v>0.0</v>
      </c>
      <c r="N62" s="461">
        <v>0.0</v>
      </c>
      <c r="O62" s="461">
        <v>0.0</v>
      </c>
      <c r="P62" s="461">
        <v>0.0</v>
      </c>
      <c r="Q62" s="461">
        <v>0.0</v>
      </c>
      <c r="R62" s="461">
        <v>0.0</v>
      </c>
      <c r="S62" s="461">
        <v>1.0</v>
      </c>
      <c r="T62" s="461">
        <v>0.0</v>
      </c>
      <c r="U62" s="490">
        <v>1.0</v>
      </c>
      <c r="V62" s="461">
        <v>0.0</v>
      </c>
      <c r="W62" s="463">
        <f t="shared" si="98"/>
        <v>2</v>
      </c>
      <c r="X62" s="461">
        <v>0.0</v>
      </c>
      <c r="Y62" s="461">
        <v>0.0</v>
      </c>
      <c r="Z62" s="461">
        <v>0.0</v>
      </c>
      <c r="AA62" s="461">
        <v>0.0</v>
      </c>
      <c r="AB62" s="461">
        <v>0.0</v>
      </c>
      <c r="AC62" s="461">
        <v>0.0</v>
      </c>
      <c r="AD62" s="461">
        <v>0.0</v>
      </c>
      <c r="AE62" s="461">
        <v>1.0</v>
      </c>
      <c r="AF62" s="461">
        <v>0.0</v>
      </c>
      <c r="AG62" s="461">
        <v>0.0</v>
      </c>
      <c r="AH62" s="461">
        <v>0.0</v>
      </c>
      <c r="AI62" s="464">
        <f t="shared" si="99"/>
        <v>1</v>
      </c>
      <c r="AJ62" s="461">
        <v>0.0</v>
      </c>
      <c r="AK62" s="461">
        <v>0.0</v>
      </c>
      <c r="AL62" s="461">
        <v>0.0</v>
      </c>
      <c r="AM62" s="461">
        <v>0.0</v>
      </c>
      <c r="AN62" s="461">
        <v>0.0</v>
      </c>
      <c r="AO62" s="461">
        <v>0.0</v>
      </c>
      <c r="AP62" s="461">
        <v>0.0</v>
      </c>
      <c r="AQ62" s="461">
        <v>1.0</v>
      </c>
      <c r="AR62" s="461">
        <v>0.0</v>
      </c>
      <c r="AS62" s="461">
        <v>0.0</v>
      </c>
      <c r="AT62" s="461">
        <v>0.0</v>
      </c>
      <c r="AU62" s="463">
        <f t="shared" si="100"/>
        <v>1</v>
      </c>
      <c r="AV62" s="465">
        <f t="shared" si="101"/>
        <v>4</v>
      </c>
      <c r="AW62" s="466"/>
      <c r="AX62" s="467">
        <v>1078.24</v>
      </c>
      <c r="AY62" s="467">
        <f t="shared" si="109"/>
        <v>7504.5504</v>
      </c>
      <c r="AZ62" s="468"/>
      <c r="BA62" s="469">
        <f t="shared" ref="BA62:BJ62" si="179">L62*$AY62</f>
        <v>0</v>
      </c>
      <c r="BB62" s="469">
        <f t="shared" si="179"/>
        <v>0</v>
      </c>
      <c r="BC62" s="469">
        <f t="shared" si="179"/>
        <v>0</v>
      </c>
      <c r="BD62" s="469">
        <f t="shared" si="179"/>
        <v>0</v>
      </c>
      <c r="BE62" s="469">
        <f t="shared" si="179"/>
        <v>0</v>
      </c>
      <c r="BF62" s="469">
        <f t="shared" si="179"/>
        <v>0</v>
      </c>
      <c r="BG62" s="469">
        <f t="shared" si="179"/>
        <v>0</v>
      </c>
      <c r="BH62" s="469">
        <f t="shared" si="179"/>
        <v>7504.5504</v>
      </c>
      <c r="BI62" s="469">
        <f t="shared" si="179"/>
        <v>0</v>
      </c>
      <c r="BJ62" s="469">
        <f t="shared" si="179"/>
        <v>7504.5504</v>
      </c>
      <c r="BK62" s="470">
        <f t="shared" si="103"/>
        <v>15009.1008</v>
      </c>
      <c r="BL62" s="469">
        <f t="shared" ref="BL62:BU62" si="180">X62*$AY62</f>
        <v>0</v>
      </c>
      <c r="BM62" s="469">
        <f t="shared" si="180"/>
        <v>0</v>
      </c>
      <c r="BN62" s="469">
        <f t="shared" si="180"/>
        <v>0</v>
      </c>
      <c r="BO62" s="469">
        <f t="shared" si="180"/>
        <v>0</v>
      </c>
      <c r="BP62" s="469">
        <f t="shared" si="180"/>
        <v>0</v>
      </c>
      <c r="BQ62" s="469">
        <f t="shared" si="180"/>
        <v>0</v>
      </c>
      <c r="BR62" s="469">
        <f t="shared" si="180"/>
        <v>0</v>
      </c>
      <c r="BS62" s="469">
        <f t="shared" si="180"/>
        <v>7504.5504</v>
      </c>
      <c r="BT62" s="469">
        <f t="shared" si="180"/>
        <v>0</v>
      </c>
      <c r="BU62" s="469">
        <f t="shared" si="180"/>
        <v>0</v>
      </c>
      <c r="BV62" s="470">
        <f t="shared" si="105"/>
        <v>7504.5504</v>
      </c>
      <c r="BW62" s="469">
        <f t="shared" ref="BW62:CF62" si="181">AJ62*$AY62</f>
        <v>0</v>
      </c>
      <c r="BX62" s="469">
        <f t="shared" si="181"/>
        <v>0</v>
      </c>
      <c r="BY62" s="469">
        <f t="shared" si="181"/>
        <v>0</v>
      </c>
      <c r="BZ62" s="469">
        <f t="shared" si="181"/>
        <v>0</v>
      </c>
      <c r="CA62" s="469">
        <f t="shared" si="181"/>
        <v>0</v>
      </c>
      <c r="CB62" s="469">
        <f t="shared" si="181"/>
        <v>0</v>
      </c>
      <c r="CC62" s="469">
        <f t="shared" si="181"/>
        <v>0</v>
      </c>
      <c r="CD62" s="469">
        <f t="shared" si="181"/>
        <v>7504.5504</v>
      </c>
      <c r="CE62" s="469">
        <f t="shared" si="181"/>
        <v>0</v>
      </c>
      <c r="CF62" s="469">
        <f t="shared" si="181"/>
        <v>0</v>
      </c>
      <c r="CG62" s="470">
        <f t="shared" si="107"/>
        <v>7504.5504</v>
      </c>
      <c r="CH62" s="470">
        <f t="shared" si="108"/>
        <v>30018.2016</v>
      </c>
      <c r="CI62" s="471"/>
      <c r="CJ62" s="469"/>
      <c r="CK62" s="472">
        <v>1.0</v>
      </c>
      <c r="CL62" s="104">
        <f>VLOOKUP(I62,Cotizacion!$A$2:$E$423,4,FALSE())</f>
        <v>1078.24</v>
      </c>
    </row>
    <row r="63" ht="15.75" customHeight="1">
      <c r="A63" s="474" t="s">
        <v>2848</v>
      </c>
      <c r="B63" s="475">
        <v>2.0</v>
      </c>
      <c r="C63" s="476" t="s">
        <v>2808</v>
      </c>
      <c r="D63" s="477" t="s">
        <v>118</v>
      </c>
      <c r="E63" s="476" t="s">
        <v>2708</v>
      </c>
      <c r="F63" s="476" t="s">
        <v>1763</v>
      </c>
      <c r="G63" s="457" t="s">
        <v>2709</v>
      </c>
      <c r="H63" s="457" t="s">
        <v>2887</v>
      </c>
      <c r="I63" s="478" t="s">
        <v>2008</v>
      </c>
      <c r="J63" s="479" t="s">
        <v>634</v>
      </c>
      <c r="K63" s="480" t="s">
        <v>25</v>
      </c>
      <c r="L63" s="481">
        <v>97.0</v>
      </c>
      <c r="M63" s="481">
        <v>91.0</v>
      </c>
      <c r="N63" s="481">
        <v>137.0</v>
      </c>
      <c r="O63" s="481">
        <v>0.0</v>
      </c>
      <c r="P63" s="482">
        <v>54.0</v>
      </c>
      <c r="Q63" s="482">
        <v>66.0</v>
      </c>
      <c r="R63" s="481">
        <v>91.0</v>
      </c>
      <c r="S63" s="481">
        <v>92.0</v>
      </c>
      <c r="T63" s="481">
        <v>0.0</v>
      </c>
      <c r="U63" s="481">
        <v>103.0</v>
      </c>
      <c r="V63" s="481">
        <v>0.0</v>
      </c>
      <c r="W63" s="463">
        <f t="shared" si="98"/>
        <v>731</v>
      </c>
      <c r="X63" s="481">
        <v>34.0</v>
      </c>
      <c r="Y63" s="481">
        <v>32.0</v>
      </c>
      <c r="Z63" s="481">
        <v>48.0</v>
      </c>
      <c r="AA63" s="481">
        <v>0.0</v>
      </c>
      <c r="AB63" s="481">
        <v>54.0</v>
      </c>
      <c r="AC63" s="481">
        <v>66.0</v>
      </c>
      <c r="AD63" s="481">
        <v>32.0</v>
      </c>
      <c r="AE63" s="481">
        <v>32.0</v>
      </c>
      <c r="AF63" s="481">
        <v>0.0</v>
      </c>
      <c r="AG63" s="481">
        <v>36.0</v>
      </c>
      <c r="AH63" s="481">
        <v>0.0</v>
      </c>
      <c r="AI63" s="464">
        <f t="shared" si="99"/>
        <v>334</v>
      </c>
      <c r="AJ63" s="481">
        <v>34.0</v>
      </c>
      <c r="AK63" s="481">
        <v>32.0</v>
      </c>
      <c r="AL63" s="481">
        <v>48.0</v>
      </c>
      <c r="AM63" s="481">
        <v>0.0</v>
      </c>
      <c r="AN63" s="481">
        <v>54.0</v>
      </c>
      <c r="AO63" s="481">
        <v>66.0</v>
      </c>
      <c r="AP63" s="481">
        <v>32.0</v>
      </c>
      <c r="AQ63" s="481">
        <v>32.0</v>
      </c>
      <c r="AR63" s="481">
        <v>0.0</v>
      </c>
      <c r="AS63" s="481">
        <v>36.0</v>
      </c>
      <c r="AT63" s="481">
        <v>0.0</v>
      </c>
      <c r="AU63" s="463">
        <f t="shared" si="100"/>
        <v>334</v>
      </c>
      <c r="AV63" s="483">
        <f t="shared" si="101"/>
        <v>1399</v>
      </c>
      <c r="AW63" s="484"/>
      <c r="AX63" s="485">
        <v>3.08</v>
      </c>
      <c r="AY63" s="485">
        <f t="shared" si="109"/>
        <v>21.4368</v>
      </c>
      <c r="AZ63" s="486"/>
      <c r="BA63" s="487">
        <f t="shared" ref="BA63:BJ63" si="182">L63*$AY63</f>
        <v>2079.3696</v>
      </c>
      <c r="BB63" s="487">
        <f t="shared" si="182"/>
        <v>1950.7488</v>
      </c>
      <c r="BC63" s="487">
        <f t="shared" si="182"/>
        <v>2936.8416</v>
      </c>
      <c r="BD63" s="487">
        <f t="shared" si="182"/>
        <v>0</v>
      </c>
      <c r="BE63" s="487">
        <f t="shared" si="182"/>
        <v>1157.5872</v>
      </c>
      <c r="BF63" s="487">
        <f t="shared" si="182"/>
        <v>1414.8288</v>
      </c>
      <c r="BG63" s="487">
        <f t="shared" si="182"/>
        <v>1950.7488</v>
      </c>
      <c r="BH63" s="487">
        <f t="shared" si="182"/>
        <v>1972.1856</v>
      </c>
      <c r="BI63" s="487">
        <f t="shared" si="182"/>
        <v>0</v>
      </c>
      <c r="BJ63" s="487">
        <f t="shared" si="182"/>
        <v>2207.9904</v>
      </c>
      <c r="BK63" s="488">
        <f t="shared" si="103"/>
        <v>15670.3008</v>
      </c>
      <c r="BL63" s="487">
        <f t="shared" ref="BL63:BU63" si="183">X63*$AY63</f>
        <v>728.8512</v>
      </c>
      <c r="BM63" s="487">
        <f t="shared" si="183"/>
        <v>685.9776</v>
      </c>
      <c r="BN63" s="487">
        <f t="shared" si="183"/>
        <v>1028.9664</v>
      </c>
      <c r="BO63" s="487">
        <f t="shared" si="183"/>
        <v>0</v>
      </c>
      <c r="BP63" s="487">
        <f t="shared" si="183"/>
        <v>1157.5872</v>
      </c>
      <c r="BQ63" s="487">
        <f t="shared" si="183"/>
        <v>1414.8288</v>
      </c>
      <c r="BR63" s="487">
        <f t="shared" si="183"/>
        <v>685.9776</v>
      </c>
      <c r="BS63" s="487">
        <f t="shared" si="183"/>
        <v>685.9776</v>
      </c>
      <c r="BT63" s="487">
        <f t="shared" si="183"/>
        <v>0</v>
      </c>
      <c r="BU63" s="487">
        <f t="shared" si="183"/>
        <v>771.7248</v>
      </c>
      <c r="BV63" s="488">
        <f t="shared" si="105"/>
        <v>7159.8912</v>
      </c>
      <c r="BW63" s="487">
        <f t="shared" ref="BW63:CF63" si="184">AJ63*$AY63</f>
        <v>728.8512</v>
      </c>
      <c r="BX63" s="487">
        <f t="shared" si="184"/>
        <v>685.9776</v>
      </c>
      <c r="BY63" s="487">
        <f t="shared" si="184"/>
        <v>1028.9664</v>
      </c>
      <c r="BZ63" s="487">
        <f t="shared" si="184"/>
        <v>0</v>
      </c>
      <c r="CA63" s="487">
        <f t="shared" si="184"/>
        <v>1157.5872</v>
      </c>
      <c r="CB63" s="487">
        <f t="shared" si="184"/>
        <v>1414.8288</v>
      </c>
      <c r="CC63" s="487">
        <f t="shared" si="184"/>
        <v>685.9776</v>
      </c>
      <c r="CD63" s="487">
        <f t="shared" si="184"/>
        <v>685.9776</v>
      </c>
      <c r="CE63" s="487">
        <f t="shared" si="184"/>
        <v>0</v>
      </c>
      <c r="CF63" s="487">
        <f t="shared" si="184"/>
        <v>771.7248</v>
      </c>
      <c r="CG63" s="488">
        <f t="shared" si="107"/>
        <v>7159.8912</v>
      </c>
      <c r="CH63" s="488">
        <f t="shared" si="108"/>
        <v>29990.0832</v>
      </c>
      <c r="CI63" s="489"/>
      <c r="CJ63" s="487"/>
      <c r="CK63" s="472">
        <v>1.0</v>
      </c>
      <c r="CL63" s="104">
        <f>VLOOKUP(I63,Cotizacion!$A$2:$E$423,4,FALSE())</f>
        <v>3.08</v>
      </c>
    </row>
    <row r="64" ht="15.75" customHeight="1">
      <c r="A64" s="453" t="s">
        <v>2848</v>
      </c>
      <c r="B64" s="454">
        <v>2.0</v>
      </c>
      <c r="C64" s="456" t="s">
        <v>2852</v>
      </c>
      <c r="D64" s="456" t="s">
        <v>52</v>
      </c>
      <c r="E64" s="456" t="s">
        <v>2708</v>
      </c>
      <c r="F64" s="456" t="s">
        <v>1763</v>
      </c>
      <c r="G64" s="457" t="s">
        <v>2709</v>
      </c>
      <c r="H64" s="457" t="s">
        <v>2888</v>
      </c>
      <c r="I64" s="514" t="s">
        <v>1956</v>
      </c>
      <c r="J64" s="459" t="s">
        <v>328</v>
      </c>
      <c r="K64" s="515" t="s">
        <v>25</v>
      </c>
      <c r="L64" s="461">
        <v>0.0</v>
      </c>
      <c r="M64" s="461">
        <v>0.0</v>
      </c>
      <c r="N64" s="461">
        <v>0.0</v>
      </c>
      <c r="O64" s="461">
        <v>0.0</v>
      </c>
      <c r="P64" s="461">
        <v>0.0</v>
      </c>
      <c r="Q64" s="461">
        <v>0.0</v>
      </c>
      <c r="R64" s="461">
        <v>0.0</v>
      </c>
      <c r="S64" s="461">
        <v>0.0</v>
      </c>
      <c r="T64" s="461">
        <v>0.0</v>
      </c>
      <c r="U64" s="461">
        <v>0.0</v>
      </c>
      <c r="V64" s="461">
        <v>0.0</v>
      </c>
      <c r="W64" s="463">
        <f t="shared" si="98"/>
        <v>0</v>
      </c>
      <c r="X64" s="461">
        <v>30.0</v>
      </c>
      <c r="Y64" s="461">
        <v>18.0</v>
      </c>
      <c r="Z64" s="461">
        <v>26.0</v>
      </c>
      <c r="AA64" s="461">
        <v>10.0</v>
      </c>
      <c r="AB64" s="461">
        <v>25.0</v>
      </c>
      <c r="AC64" s="461">
        <v>20.0</v>
      </c>
      <c r="AD64" s="461">
        <v>10.0</v>
      </c>
      <c r="AE64" s="461">
        <v>10.0</v>
      </c>
      <c r="AF64" s="461">
        <v>6.0</v>
      </c>
      <c r="AG64" s="461">
        <v>0.0</v>
      </c>
      <c r="AH64" s="461">
        <v>0.0</v>
      </c>
      <c r="AI64" s="464">
        <f t="shared" si="99"/>
        <v>155</v>
      </c>
      <c r="AJ64" s="461">
        <v>30.0</v>
      </c>
      <c r="AK64" s="461">
        <v>18.0</v>
      </c>
      <c r="AL64" s="461">
        <v>26.0</v>
      </c>
      <c r="AM64" s="461">
        <v>10.0</v>
      </c>
      <c r="AN64" s="461">
        <v>25.0</v>
      </c>
      <c r="AO64" s="461">
        <v>20.0</v>
      </c>
      <c r="AP64" s="461">
        <v>10.0</v>
      </c>
      <c r="AQ64" s="461">
        <v>10.0</v>
      </c>
      <c r="AR64" s="461">
        <v>6.0</v>
      </c>
      <c r="AS64" s="461">
        <v>0.0</v>
      </c>
      <c r="AT64" s="461">
        <v>0.0</v>
      </c>
      <c r="AU64" s="463">
        <f t="shared" si="100"/>
        <v>155</v>
      </c>
      <c r="AV64" s="465">
        <f t="shared" si="101"/>
        <v>310</v>
      </c>
      <c r="AW64" s="466"/>
      <c r="AX64" s="516">
        <v>13.42</v>
      </c>
      <c r="AY64" s="467">
        <f t="shared" si="109"/>
        <v>93.4032</v>
      </c>
      <c r="AZ64" s="517"/>
      <c r="BA64" s="469">
        <f t="shared" ref="BA64:BJ64" si="185">L64*$AY64</f>
        <v>0</v>
      </c>
      <c r="BB64" s="469">
        <f t="shared" si="185"/>
        <v>0</v>
      </c>
      <c r="BC64" s="469">
        <f t="shared" si="185"/>
        <v>0</v>
      </c>
      <c r="BD64" s="469">
        <f t="shared" si="185"/>
        <v>0</v>
      </c>
      <c r="BE64" s="469">
        <f t="shared" si="185"/>
        <v>0</v>
      </c>
      <c r="BF64" s="469">
        <f t="shared" si="185"/>
        <v>0</v>
      </c>
      <c r="BG64" s="469">
        <f t="shared" si="185"/>
        <v>0</v>
      </c>
      <c r="BH64" s="469">
        <f t="shared" si="185"/>
        <v>0</v>
      </c>
      <c r="BI64" s="469">
        <f t="shared" si="185"/>
        <v>0</v>
      </c>
      <c r="BJ64" s="469">
        <f t="shared" si="185"/>
        <v>0</v>
      </c>
      <c r="BK64" s="470">
        <f t="shared" si="103"/>
        <v>0</v>
      </c>
      <c r="BL64" s="469">
        <f t="shared" ref="BL64:BU64" si="186">X64*$AY64</f>
        <v>2802.096</v>
      </c>
      <c r="BM64" s="469">
        <f t="shared" si="186"/>
        <v>1681.2576</v>
      </c>
      <c r="BN64" s="469">
        <f t="shared" si="186"/>
        <v>2428.4832</v>
      </c>
      <c r="BO64" s="469">
        <f t="shared" si="186"/>
        <v>934.032</v>
      </c>
      <c r="BP64" s="469">
        <f t="shared" si="186"/>
        <v>2335.08</v>
      </c>
      <c r="BQ64" s="469">
        <f t="shared" si="186"/>
        <v>1868.064</v>
      </c>
      <c r="BR64" s="469">
        <f t="shared" si="186"/>
        <v>934.032</v>
      </c>
      <c r="BS64" s="469">
        <f t="shared" si="186"/>
        <v>934.032</v>
      </c>
      <c r="BT64" s="469">
        <f t="shared" si="186"/>
        <v>560.4192</v>
      </c>
      <c r="BU64" s="469">
        <f t="shared" si="186"/>
        <v>0</v>
      </c>
      <c r="BV64" s="470">
        <f t="shared" si="105"/>
        <v>14477.496</v>
      </c>
      <c r="BW64" s="469">
        <f t="shared" ref="BW64:CF64" si="187">AJ64*$AY64</f>
        <v>2802.096</v>
      </c>
      <c r="BX64" s="469">
        <f t="shared" si="187"/>
        <v>1681.2576</v>
      </c>
      <c r="BY64" s="469">
        <f t="shared" si="187"/>
        <v>2428.4832</v>
      </c>
      <c r="BZ64" s="469">
        <f t="shared" si="187"/>
        <v>934.032</v>
      </c>
      <c r="CA64" s="469">
        <f t="shared" si="187"/>
        <v>2335.08</v>
      </c>
      <c r="CB64" s="469">
        <f t="shared" si="187"/>
        <v>1868.064</v>
      </c>
      <c r="CC64" s="469">
        <f t="shared" si="187"/>
        <v>934.032</v>
      </c>
      <c r="CD64" s="469">
        <f t="shared" si="187"/>
        <v>934.032</v>
      </c>
      <c r="CE64" s="469">
        <f t="shared" si="187"/>
        <v>560.4192</v>
      </c>
      <c r="CF64" s="469">
        <f t="shared" si="187"/>
        <v>0</v>
      </c>
      <c r="CG64" s="470">
        <f t="shared" si="107"/>
        <v>14477.496</v>
      </c>
      <c r="CH64" s="470">
        <f t="shared" si="108"/>
        <v>28954.992</v>
      </c>
      <c r="CI64" s="471"/>
      <c r="CJ64" s="518"/>
      <c r="CK64" s="472">
        <v>1.0</v>
      </c>
      <c r="CL64" s="104">
        <f>VLOOKUP(I64,Cotizacion!$A$2:$E$423,4,FALSE())</f>
        <v>13.42</v>
      </c>
    </row>
    <row r="65" ht="15.75" customHeight="1">
      <c r="A65" s="474" t="s">
        <v>2848</v>
      </c>
      <c r="B65" s="475">
        <v>2.0</v>
      </c>
      <c r="C65" s="476" t="s">
        <v>2707</v>
      </c>
      <c r="D65" s="477" t="s">
        <v>150</v>
      </c>
      <c r="E65" s="476" t="s">
        <v>2722</v>
      </c>
      <c r="F65" s="476" t="s">
        <v>1763</v>
      </c>
      <c r="G65" s="457" t="s">
        <v>2723</v>
      </c>
      <c r="H65" s="457" t="s">
        <v>2749</v>
      </c>
      <c r="I65" s="478" t="s">
        <v>2049</v>
      </c>
      <c r="J65" s="479" t="s">
        <v>806</v>
      </c>
      <c r="K65" s="480" t="s">
        <v>25</v>
      </c>
      <c r="L65" s="481">
        <v>2.0</v>
      </c>
      <c r="M65" s="481">
        <v>1.0</v>
      </c>
      <c r="N65" s="481">
        <v>2.0</v>
      </c>
      <c r="O65" s="481">
        <v>1.0</v>
      </c>
      <c r="P65" s="481">
        <v>2.0</v>
      </c>
      <c r="Q65" s="482">
        <v>1.0</v>
      </c>
      <c r="R65" s="481">
        <v>0.0</v>
      </c>
      <c r="S65" s="481">
        <v>0.0</v>
      </c>
      <c r="T65" s="481">
        <v>0.0</v>
      </c>
      <c r="U65" s="481">
        <v>0.0</v>
      </c>
      <c r="V65" s="481">
        <v>0.0</v>
      </c>
      <c r="W65" s="463">
        <f t="shared" si="98"/>
        <v>9</v>
      </c>
      <c r="X65" s="481">
        <v>2.0</v>
      </c>
      <c r="Y65" s="481">
        <v>1.0</v>
      </c>
      <c r="Z65" s="481">
        <v>2.0</v>
      </c>
      <c r="AA65" s="481">
        <v>1.0</v>
      </c>
      <c r="AB65" s="481">
        <v>2.0</v>
      </c>
      <c r="AC65" s="482">
        <v>1.0</v>
      </c>
      <c r="AD65" s="482">
        <v>1.0</v>
      </c>
      <c r="AE65" s="481">
        <v>0.0</v>
      </c>
      <c r="AF65" s="481">
        <v>0.0</v>
      </c>
      <c r="AG65" s="481">
        <v>0.0</v>
      </c>
      <c r="AH65" s="481">
        <v>0.0</v>
      </c>
      <c r="AI65" s="464">
        <f t="shared" si="99"/>
        <v>10</v>
      </c>
      <c r="AJ65" s="481">
        <v>2.0</v>
      </c>
      <c r="AK65" s="481">
        <v>1.0</v>
      </c>
      <c r="AL65" s="481">
        <v>2.0</v>
      </c>
      <c r="AM65" s="481">
        <v>1.0</v>
      </c>
      <c r="AN65" s="481">
        <v>2.0</v>
      </c>
      <c r="AO65" s="482">
        <v>1.0</v>
      </c>
      <c r="AP65" s="482">
        <v>1.0</v>
      </c>
      <c r="AQ65" s="481">
        <v>0.0</v>
      </c>
      <c r="AR65" s="481">
        <v>0.0</v>
      </c>
      <c r="AS65" s="481">
        <v>0.0</v>
      </c>
      <c r="AT65" s="481">
        <v>0.0</v>
      </c>
      <c r="AU65" s="463">
        <f t="shared" si="100"/>
        <v>10</v>
      </c>
      <c r="AV65" s="483">
        <f t="shared" si="101"/>
        <v>29</v>
      </c>
      <c r="AW65" s="484"/>
      <c r="AX65" s="485">
        <v>141.79</v>
      </c>
      <c r="AY65" s="485">
        <f t="shared" si="109"/>
        <v>986.8584</v>
      </c>
      <c r="AZ65" s="486"/>
      <c r="BA65" s="487">
        <f t="shared" ref="BA65:BJ65" si="188">L65*$AY65</f>
        <v>1973.7168</v>
      </c>
      <c r="BB65" s="487">
        <f t="shared" si="188"/>
        <v>986.8584</v>
      </c>
      <c r="BC65" s="487">
        <f t="shared" si="188"/>
        <v>1973.7168</v>
      </c>
      <c r="BD65" s="487">
        <f t="shared" si="188"/>
        <v>986.8584</v>
      </c>
      <c r="BE65" s="487">
        <f t="shared" si="188"/>
        <v>1973.7168</v>
      </c>
      <c r="BF65" s="487">
        <f t="shared" si="188"/>
        <v>986.8584</v>
      </c>
      <c r="BG65" s="487">
        <f t="shared" si="188"/>
        <v>0</v>
      </c>
      <c r="BH65" s="487">
        <f t="shared" si="188"/>
        <v>0</v>
      </c>
      <c r="BI65" s="487">
        <f t="shared" si="188"/>
        <v>0</v>
      </c>
      <c r="BJ65" s="487">
        <f t="shared" si="188"/>
        <v>0</v>
      </c>
      <c r="BK65" s="488">
        <f t="shared" si="103"/>
        <v>8881.7256</v>
      </c>
      <c r="BL65" s="487">
        <f t="shared" ref="BL65:BU65" si="189">X65*$AY65</f>
        <v>1973.7168</v>
      </c>
      <c r="BM65" s="487">
        <f t="shared" si="189"/>
        <v>986.8584</v>
      </c>
      <c r="BN65" s="487">
        <f t="shared" si="189"/>
        <v>1973.7168</v>
      </c>
      <c r="BO65" s="487">
        <f t="shared" si="189"/>
        <v>986.8584</v>
      </c>
      <c r="BP65" s="487">
        <f t="shared" si="189"/>
        <v>1973.7168</v>
      </c>
      <c r="BQ65" s="487">
        <f t="shared" si="189"/>
        <v>986.8584</v>
      </c>
      <c r="BR65" s="487">
        <f t="shared" si="189"/>
        <v>986.8584</v>
      </c>
      <c r="BS65" s="487">
        <f t="shared" si="189"/>
        <v>0</v>
      </c>
      <c r="BT65" s="487">
        <f t="shared" si="189"/>
        <v>0</v>
      </c>
      <c r="BU65" s="487">
        <f t="shared" si="189"/>
        <v>0</v>
      </c>
      <c r="BV65" s="488">
        <f t="shared" si="105"/>
        <v>9868.584</v>
      </c>
      <c r="BW65" s="487">
        <f t="shared" ref="BW65:CF65" si="190">AJ65*$AY65</f>
        <v>1973.7168</v>
      </c>
      <c r="BX65" s="487">
        <f t="shared" si="190"/>
        <v>986.8584</v>
      </c>
      <c r="BY65" s="487">
        <f t="shared" si="190"/>
        <v>1973.7168</v>
      </c>
      <c r="BZ65" s="487">
        <f t="shared" si="190"/>
        <v>986.8584</v>
      </c>
      <c r="CA65" s="487">
        <f t="shared" si="190"/>
        <v>1973.7168</v>
      </c>
      <c r="CB65" s="487">
        <f t="shared" si="190"/>
        <v>986.8584</v>
      </c>
      <c r="CC65" s="487">
        <f t="shared" si="190"/>
        <v>986.8584</v>
      </c>
      <c r="CD65" s="487">
        <f t="shared" si="190"/>
        <v>0</v>
      </c>
      <c r="CE65" s="487">
        <f t="shared" si="190"/>
        <v>0</v>
      </c>
      <c r="CF65" s="487">
        <f t="shared" si="190"/>
        <v>0</v>
      </c>
      <c r="CG65" s="488">
        <f t="shared" si="107"/>
        <v>9868.584</v>
      </c>
      <c r="CH65" s="488">
        <f t="shared" si="108"/>
        <v>28618.8936</v>
      </c>
      <c r="CI65" s="489"/>
      <c r="CJ65" s="487"/>
      <c r="CK65" s="472">
        <v>1.0</v>
      </c>
      <c r="CL65" s="104">
        <f>VLOOKUP(I65,Cotizacion!$A$2:$E$423,4,FALSE())</f>
        <v>141.79</v>
      </c>
    </row>
    <row r="66" ht="15.75" customHeight="1">
      <c r="A66" s="453" t="s">
        <v>2848</v>
      </c>
      <c r="B66" s="454">
        <v>2.0</v>
      </c>
      <c r="C66" s="455" t="s">
        <v>2707</v>
      </c>
      <c r="D66" s="456" t="s">
        <v>56</v>
      </c>
      <c r="E66" s="455" t="s">
        <v>2708</v>
      </c>
      <c r="F66" s="455" t="s">
        <v>1763</v>
      </c>
      <c r="G66" s="457" t="s">
        <v>2709</v>
      </c>
      <c r="H66" s="457" t="s">
        <v>2887</v>
      </c>
      <c r="I66" s="458" t="s">
        <v>2008</v>
      </c>
      <c r="J66" s="459" t="s">
        <v>634</v>
      </c>
      <c r="K66" s="460" t="s">
        <v>25</v>
      </c>
      <c r="L66" s="461">
        <v>10.0</v>
      </c>
      <c r="M66" s="461">
        <v>6.0</v>
      </c>
      <c r="N66" s="461">
        <v>10.0</v>
      </c>
      <c r="O66" s="462">
        <v>30.0</v>
      </c>
      <c r="P66" s="462">
        <v>0.0</v>
      </c>
      <c r="Q66" s="462">
        <v>0.0</v>
      </c>
      <c r="R66" s="461">
        <v>88.0</v>
      </c>
      <c r="S66" s="461">
        <v>130.0</v>
      </c>
      <c r="T66" s="461">
        <v>39.0</v>
      </c>
      <c r="U66" s="490">
        <v>0.0</v>
      </c>
      <c r="V66" s="461">
        <v>0.0</v>
      </c>
      <c r="W66" s="463">
        <f t="shared" si="98"/>
        <v>313</v>
      </c>
      <c r="X66" s="461">
        <v>5.0</v>
      </c>
      <c r="Y66" s="461">
        <v>3.0</v>
      </c>
      <c r="Z66" s="461">
        <v>5.0</v>
      </c>
      <c r="AA66" s="461">
        <v>120.0</v>
      </c>
      <c r="AB66" s="461">
        <v>70.0</v>
      </c>
      <c r="AC66" s="461">
        <v>100.0</v>
      </c>
      <c r="AD66" s="461">
        <v>45.0</v>
      </c>
      <c r="AE66" s="461">
        <v>66.0</v>
      </c>
      <c r="AF66" s="461">
        <v>20.0</v>
      </c>
      <c r="AG66" s="490">
        <v>0.0</v>
      </c>
      <c r="AH66" s="461">
        <v>0.0</v>
      </c>
      <c r="AI66" s="464">
        <f t="shared" si="99"/>
        <v>434</v>
      </c>
      <c r="AJ66" s="461">
        <v>5.0</v>
      </c>
      <c r="AK66" s="461">
        <v>3.0</v>
      </c>
      <c r="AL66" s="461">
        <v>5.0</v>
      </c>
      <c r="AM66" s="461">
        <v>120.0</v>
      </c>
      <c r="AN66" s="461">
        <v>70.0</v>
      </c>
      <c r="AO66" s="461">
        <v>100.0</v>
      </c>
      <c r="AP66" s="461">
        <v>45.0</v>
      </c>
      <c r="AQ66" s="461">
        <v>66.0</v>
      </c>
      <c r="AR66" s="461">
        <v>20.0</v>
      </c>
      <c r="AS66" s="490">
        <v>0.0</v>
      </c>
      <c r="AT66" s="461">
        <v>0.0</v>
      </c>
      <c r="AU66" s="463">
        <f t="shared" si="100"/>
        <v>434</v>
      </c>
      <c r="AV66" s="465">
        <f t="shared" si="101"/>
        <v>1181</v>
      </c>
      <c r="AW66" s="466"/>
      <c r="AX66" s="467">
        <v>3.08</v>
      </c>
      <c r="AY66" s="467">
        <f t="shared" si="109"/>
        <v>21.4368</v>
      </c>
      <c r="AZ66" s="494"/>
      <c r="BA66" s="469">
        <f t="shared" ref="BA66:BJ66" si="191">L66*$AY66</f>
        <v>214.368</v>
      </c>
      <c r="BB66" s="469">
        <f t="shared" si="191"/>
        <v>128.6208</v>
      </c>
      <c r="BC66" s="469">
        <f t="shared" si="191"/>
        <v>214.368</v>
      </c>
      <c r="BD66" s="469">
        <f t="shared" si="191"/>
        <v>643.104</v>
      </c>
      <c r="BE66" s="469">
        <f t="shared" si="191"/>
        <v>0</v>
      </c>
      <c r="BF66" s="469">
        <f t="shared" si="191"/>
        <v>0</v>
      </c>
      <c r="BG66" s="469">
        <f t="shared" si="191"/>
        <v>1886.4384</v>
      </c>
      <c r="BH66" s="469">
        <f t="shared" si="191"/>
        <v>2786.784</v>
      </c>
      <c r="BI66" s="469">
        <f t="shared" si="191"/>
        <v>836.0352</v>
      </c>
      <c r="BJ66" s="469">
        <f t="shared" si="191"/>
        <v>0</v>
      </c>
      <c r="BK66" s="470">
        <f t="shared" si="103"/>
        <v>6709.7184</v>
      </c>
      <c r="BL66" s="469">
        <f t="shared" ref="BL66:BU66" si="192">X66*$AY66</f>
        <v>107.184</v>
      </c>
      <c r="BM66" s="469">
        <f t="shared" si="192"/>
        <v>64.3104</v>
      </c>
      <c r="BN66" s="469">
        <f t="shared" si="192"/>
        <v>107.184</v>
      </c>
      <c r="BO66" s="469">
        <f t="shared" si="192"/>
        <v>2572.416</v>
      </c>
      <c r="BP66" s="469">
        <f t="shared" si="192"/>
        <v>1500.576</v>
      </c>
      <c r="BQ66" s="469">
        <f t="shared" si="192"/>
        <v>2143.68</v>
      </c>
      <c r="BR66" s="469">
        <f t="shared" si="192"/>
        <v>964.656</v>
      </c>
      <c r="BS66" s="469">
        <f t="shared" si="192"/>
        <v>1414.8288</v>
      </c>
      <c r="BT66" s="469">
        <f t="shared" si="192"/>
        <v>428.736</v>
      </c>
      <c r="BU66" s="469">
        <f t="shared" si="192"/>
        <v>0</v>
      </c>
      <c r="BV66" s="470">
        <f t="shared" si="105"/>
        <v>9303.5712</v>
      </c>
      <c r="BW66" s="469">
        <f t="shared" ref="BW66:CF66" si="193">AJ66*$AY66</f>
        <v>107.184</v>
      </c>
      <c r="BX66" s="469">
        <f t="shared" si="193"/>
        <v>64.3104</v>
      </c>
      <c r="BY66" s="469">
        <f t="shared" si="193"/>
        <v>107.184</v>
      </c>
      <c r="BZ66" s="469">
        <f t="shared" si="193"/>
        <v>2572.416</v>
      </c>
      <c r="CA66" s="469">
        <f t="shared" si="193"/>
        <v>1500.576</v>
      </c>
      <c r="CB66" s="469">
        <f t="shared" si="193"/>
        <v>2143.68</v>
      </c>
      <c r="CC66" s="469">
        <f t="shared" si="193"/>
        <v>964.656</v>
      </c>
      <c r="CD66" s="469">
        <f t="shared" si="193"/>
        <v>1414.8288</v>
      </c>
      <c r="CE66" s="469">
        <f t="shared" si="193"/>
        <v>428.736</v>
      </c>
      <c r="CF66" s="469">
        <f t="shared" si="193"/>
        <v>0</v>
      </c>
      <c r="CG66" s="470">
        <f t="shared" si="107"/>
        <v>9303.5712</v>
      </c>
      <c r="CH66" s="470">
        <f t="shared" si="108"/>
        <v>25316.8608</v>
      </c>
      <c r="CI66" s="471"/>
      <c r="CJ66" s="469"/>
      <c r="CK66" s="472">
        <v>1.0</v>
      </c>
      <c r="CL66" s="104">
        <f>VLOOKUP(I66,Cotizacion!$A$2:$E$423,4,FALSE())</f>
        <v>3.08</v>
      </c>
    </row>
    <row r="67" ht="15.75" customHeight="1">
      <c r="A67" s="474" t="s">
        <v>2848</v>
      </c>
      <c r="B67" s="475">
        <v>2.0</v>
      </c>
      <c r="C67" s="477" t="s">
        <v>2852</v>
      </c>
      <c r="D67" s="477" t="s">
        <v>52</v>
      </c>
      <c r="E67" s="477" t="s">
        <v>2708</v>
      </c>
      <c r="F67" s="477" t="s">
        <v>1763</v>
      </c>
      <c r="G67" s="457" t="s">
        <v>2709</v>
      </c>
      <c r="H67" s="457" t="s">
        <v>2889</v>
      </c>
      <c r="I67" s="501" t="s">
        <v>2020</v>
      </c>
      <c r="J67" s="479" t="s">
        <v>389</v>
      </c>
      <c r="K67" s="502" t="s">
        <v>25</v>
      </c>
      <c r="L67" s="481">
        <v>0.0</v>
      </c>
      <c r="M67" s="481">
        <v>0.0</v>
      </c>
      <c r="N67" s="481">
        <v>0.0</v>
      </c>
      <c r="O67" s="481">
        <v>0.0</v>
      </c>
      <c r="P67" s="482">
        <v>25.0</v>
      </c>
      <c r="Q67" s="481">
        <v>0.0</v>
      </c>
      <c r="R67" s="481">
        <v>0.0</v>
      </c>
      <c r="S67" s="481">
        <v>0.0</v>
      </c>
      <c r="T67" s="481">
        <v>0.0</v>
      </c>
      <c r="U67" s="481">
        <v>0.0</v>
      </c>
      <c r="V67" s="481">
        <v>0.0</v>
      </c>
      <c r="W67" s="463">
        <f t="shared" si="98"/>
        <v>25</v>
      </c>
      <c r="X67" s="481">
        <v>30.0</v>
      </c>
      <c r="Y67" s="481">
        <v>18.0</v>
      </c>
      <c r="Z67" s="481">
        <v>26.0</v>
      </c>
      <c r="AA67" s="481">
        <v>20.0</v>
      </c>
      <c r="AB67" s="481">
        <v>25.0</v>
      </c>
      <c r="AC67" s="481">
        <v>20.0</v>
      </c>
      <c r="AD67" s="481">
        <v>10.0</v>
      </c>
      <c r="AE67" s="481">
        <v>10.0</v>
      </c>
      <c r="AF67" s="481">
        <v>6.0</v>
      </c>
      <c r="AG67" s="492">
        <v>0.0</v>
      </c>
      <c r="AH67" s="481">
        <v>0.0</v>
      </c>
      <c r="AI67" s="464">
        <f t="shared" si="99"/>
        <v>165</v>
      </c>
      <c r="AJ67" s="481">
        <v>30.0</v>
      </c>
      <c r="AK67" s="481">
        <v>18.0</v>
      </c>
      <c r="AL67" s="481">
        <v>26.0</v>
      </c>
      <c r="AM67" s="481">
        <v>20.0</v>
      </c>
      <c r="AN67" s="481">
        <v>25.0</v>
      </c>
      <c r="AO67" s="481">
        <v>20.0</v>
      </c>
      <c r="AP67" s="481">
        <v>10.0</v>
      </c>
      <c r="AQ67" s="481">
        <v>10.0</v>
      </c>
      <c r="AR67" s="481">
        <v>6.0</v>
      </c>
      <c r="AS67" s="492">
        <v>0.0</v>
      </c>
      <c r="AT67" s="481">
        <v>0.0</v>
      </c>
      <c r="AU67" s="463">
        <f t="shared" si="100"/>
        <v>165</v>
      </c>
      <c r="AV67" s="483">
        <f t="shared" si="101"/>
        <v>355</v>
      </c>
      <c r="AW67" s="484"/>
      <c r="AX67" s="503">
        <v>10.04</v>
      </c>
      <c r="AY67" s="485">
        <f t="shared" si="109"/>
        <v>69.8784</v>
      </c>
      <c r="AZ67" s="504"/>
      <c r="BA67" s="487">
        <f t="shared" ref="BA67:BJ67" si="194">L67*$AY67</f>
        <v>0</v>
      </c>
      <c r="BB67" s="487">
        <f t="shared" si="194"/>
        <v>0</v>
      </c>
      <c r="BC67" s="487">
        <f t="shared" si="194"/>
        <v>0</v>
      </c>
      <c r="BD67" s="487">
        <f t="shared" si="194"/>
        <v>0</v>
      </c>
      <c r="BE67" s="487">
        <f t="shared" si="194"/>
        <v>1746.96</v>
      </c>
      <c r="BF67" s="487">
        <f t="shared" si="194"/>
        <v>0</v>
      </c>
      <c r="BG67" s="487">
        <f t="shared" si="194"/>
        <v>0</v>
      </c>
      <c r="BH67" s="487">
        <f t="shared" si="194"/>
        <v>0</v>
      </c>
      <c r="BI67" s="487">
        <f t="shared" si="194"/>
        <v>0</v>
      </c>
      <c r="BJ67" s="487">
        <f t="shared" si="194"/>
        <v>0</v>
      </c>
      <c r="BK67" s="488">
        <f t="shared" si="103"/>
        <v>1746.96</v>
      </c>
      <c r="BL67" s="487">
        <f t="shared" ref="BL67:BU67" si="195">X67*$AY67</f>
        <v>2096.352</v>
      </c>
      <c r="BM67" s="487">
        <f t="shared" si="195"/>
        <v>1257.8112</v>
      </c>
      <c r="BN67" s="487">
        <f t="shared" si="195"/>
        <v>1816.8384</v>
      </c>
      <c r="BO67" s="487">
        <f t="shared" si="195"/>
        <v>1397.568</v>
      </c>
      <c r="BP67" s="487">
        <f t="shared" si="195"/>
        <v>1746.96</v>
      </c>
      <c r="BQ67" s="487">
        <f t="shared" si="195"/>
        <v>1397.568</v>
      </c>
      <c r="BR67" s="487">
        <f t="shared" si="195"/>
        <v>698.784</v>
      </c>
      <c r="BS67" s="487">
        <f t="shared" si="195"/>
        <v>698.784</v>
      </c>
      <c r="BT67" s="487">
        <f t="shared" si="195"/>
        <v>419.2704</v>
      </c>
      <c r="BU67" s="487">
        <f t="shared" si="195"/>
        <v>0</v>
      </c>
      <c r="BV67" s="488">
        <f t="shared" si="105"/>
        <v>11529.936</v>
      </c>
      <c r="BW67" s="487">
        <f t="shared" ref="BW67:CF67" si="196">AJ67*$AY67</f>
        <v>2096.352</v>
      </c>
      <c r="BX67" s="487">
        <f t="shared" si="196"/>
        <v>1257.8112</v>
      </c>
      <c r="BY67" s="487">
        <f t="shared" si="196"/>
        <v>1816.8384</v>
      </c>
      <c r="BZ67" s="487">
        <f t="shared" si="196"/>
        <v>1397.568</v>
      </c>
      <c r="CA67" s="487">
        <f t="shared" si="196"/>
        <v>1746.96</v>
      </c>
      <c r="CB67" s="487">
        <f t="shared" si="196"/>
        <v>1397.568</v>
      </c>
      <c r="CC67" s="487">
        <f t="shared" si="196"/>
        <v>698.784</v>
      </c>
      <c r="CD67" s="487">
        <f t="shared" si="196"/>
        <v>698.784</v>
      </c>
      <c r="CE67" s="487">
        <f t="shared" si="196"/>
        <v>419.2704</v>
      </c>
      <c r="CF67" s="487">
        <f t="shared" si="196"/>
        <v>0</v>
      </c>
      <c r="CG67" s="488">
        <f t="shared" si="107"/>
        <v>11529.936</v>
      </c>
      <c r="CH67" s="488">
        <f t="shared" si="108"/>
        <v>24806.832</v>
      </c>
      <c r="CI67" s="489"/>
      <c r="CJ67" s="505"/>
      <c r="CK67" s="472">
        <v>1.0</v>
      </c>
      <c r="CL67" s="104">
        <f>VLOOKUP(I67,Cotizacion!$A$2:$E$423,4,FALSE())</f>
        <v>10.04</v>
      </c>
    </row>
    <row r="68" ht="15.75" customHeight="1">
      <c r="A68" s="453" t="s">
        <v>2848</v>
      </c>
      <c r="B68" s="454">
        <v>2.0</v>
      </c>
      <c r="C68" s="455" t="s">
        <v>2808</v>
      </c>
      <c r="D68" s="456" t="s">
        <v>118</v>
      </c>
      <c r="E68" s="455" t="s">
        <v>2708</v>
      </c>
      <c r="F68" s="455" t="s">
        <v>1763</v>
      </c>
      <c r="G68" s="457" t="s">
        <v>2709</v>
      </c>
      <c r="H68" s="457" t="s">
        <v>2890</v>
      </c>
      <c r="I68" s="458" t="s">
        <v>2280</v>
      </c>
      <c r="J68" s="459" t="s">
        <v>795</v>
      </c>
      <c r="K68" s="460" t="s">
        <v>25</v>
      </c>
      <c r="L68" s="461">
        <v>1.0</v>
      </c>
      <c r="M68" s="461">
        <v>0.0</v>
      </c>
      <c r="N68" s="461">
        <v>1.0</v>
      </c>
      <c r="O68" s="461">
        <v>0.0</v>
      </c>
      <c r="P68" s="461">
        <v>0.0</v>
      </c>
      <c r="Q68" s="461">
        <v>0.0</v>
      </c>
      <c r="R68" s="461">
        <v>0.0</v>
      </c>
      <c r="S68" s="461">
        <v>0.0</v>
      </c>
      <c r="T68" s="461">
        <v>0.0</v>
      </c>
      <c r="U68" s="461">
        <v>1.0</v>
      </c>
      <c r="V68" s="461">
        <v>0.0</v>
      </c>
      <c r="W68" s="463">
        <f t="shared" si="98"/>
        <v>3</v>
      </c>
      <c r="X68" s="461">
        <v>1.0</v>
      </c>
      <c r="Y68" s="461">
        <v>0.0</v>
      </c>
      <c r="Z68" s="461">
        <v>1.0</v>
      </c>
      <c r="AA68" s="461">
        <v>0.0</v>
      </c>
      <c r="AB68" s="461">
        <v>0.0</v>
      </c>
      <c r="AC68" s="461">
        <v>0.0</v>
      </c>
      <c r="AD68" s="461">
        <v>0.0</v>
      </c>
      <c r="AE68" s="461">
        <v>0.0</v>
      </c>
      <c r="AF68" s="461">
        <v>0.0</v>
      </c>
      <c r="AG68" s="461">
        <v>1.0</v>
      </c>
      <c r="AH68" s="461">
        <v>0.0</v>
      </c>
      <c r="AI68" s="464">
        <f t="shared" si="99"/>
        <v>3</v>
      </c>
      <c r="AJ68" s="461">
        <v>1.0</v>
      </c>
      <c r="AK68" s="461">
        <v>0.0</v>
      </c>
      <c r="AL68" s="461">
        <v>1.0</v>
      </c>
      <c r="AM68" s="461">
        <v>0.0</v>
      </c>
      <c r="AN68" s="461">
        <v>0.0</v>
      </c>
      <c r="AO68" s="461">
        <v>0.0</v>
      </c>
      <c r="AP68" s="461">
        <v>0.0</v>
      </c>
      <c r="AQ68" s="461">
        <v>0.0</v>
      </c>
      <c r="AR68" s="461">
        <v>0.0</v>
      </c>
      <c r="AS68" s="461">
        <v>1.0</v>
      </c>
      <c r="AT68" s="461">
        <v>0.0</v>
      </c>
      <c r="AU68" s="463">
        <f t="shared" si="100"/>
        <v>3</v>
      </c>
      <c r="AV68" s="465">
        <f t="shared" si="101"/>
        <v>9</v>
      </c>
      <c r="AW68" s="466"/>
      <c r="AX68" s="467">
        <v>384.33</v>
      </c>
      <c r="AY68" s="467">
        <f t="shared" si="109"/>
        <v>2674.9368</v>
      </c>
      <c r="AZ68" s="468"/>
      <c r="BA68" s="469">
        <f t="shared" ref="BA68:BJ68" si="197">L68*$AY68</f>
        <v>2674.9368</v>
      </c>
      <c r="BB68" s="469">
        <f t="shared" si="197"/>
        <v>0</v>
      </c>
      <c r="BC68" s="469">
        <f t="shared" si="197"/>
        <v>2674.9368</v>
      </c>
      <c r="BD68" s="469">
        <f t="shared" si="197"/>
        <v>0</v>
      </c>
      <c r="BE68" s="469">
        <f t="shared" si="197"/>
        <v>0</v>
      </c>
      <c r="BF68" s="469">
        <f t="shared" si="197"/>
        <v>0</v>
      </c>
      <c r="BG68" s="469">
        <f t="shared" si="197"/>
        <v>0</v>
      </c>
      <c r="BH68" s="469">
        <f t="shared" si="197"/>
        <v>0</v>
      </c>
      <c r="BI68" s="469">
        <f t="shared" si="197"/>
        <v>0</v>
      </c>
      <c r="BJ68" s="469">
        <f t="shared" si="197"/>
        <v>2674.9368</v>
      </c>
      <c r="BK68" s="470">
        <f t="shared" si="103"/>
        <v>8024.8104</v>
      </c>
      <c r="BL68" s="469">
        <f t="shared" ref="BL68:BU68" si="198">X68*$AY68</f>
        <v>2674.9368</v>
      </c>
      <c r="BM68" s="469">
        <f t="shared" si="198"/>
        <v>0</v>
      </c>
      <c r="BN68" s="469">
        <f t="shared" si="198"/>
        <v>2674.9368</v>
      </c>
      <c r="BO68" s="469">
        <f t="shared" si="198"/>
        <v>0</v>
      </c>
      <c r="BP68" s="469">
        <f t="shared" si="198"/>
        <v>0</v>
      </c>
      <c r="BQ68" s="469">
        <f t="shared" si="198"/>
        <v>0</v>
      </c>
      <c r="BR68" s="469">
        <f t="shared" si="198"/>
        <v>0</v>
      </c>
      <c r="BS68" s="469">
        <f t="shared" si="198"/>
        <v>0</v>
      </c>
      <c r="BT68" s="469">
        <f t="shared" si="198"/>
        <v>0</v>
      </c>
      <c r="BU68" s="469">
        <f t="shared" si="198"/>
        <v>2674.9368</v>
      </c>
      <c r="BV68" s="470">
        <f t="shared" si="105"/>
        <v>8024.8104</v>
      </c>
      <c r="BW68" s="469">
        <f t="shared" ref="BW68:CF68" si="199">AJ68*$AY68</f>
        <v>2674.9368</v>
      </c>
      <c r="BX68" s="469">
        <f t="shared" si="199"/>
        <v>0</v>
      </c>
      <c r="BY68" s="469">
        <f t="shared" si="199"/>
        <v>2674.9368</v>
      </c>
      <c r="BZ68" s="469">
        <f t="shared" si="199"/>
        <v>0</v>
      </c>
      <c r="CA68" s="469">
        <f t="shared" si="199"/>
        <v>0</v>
      </c>
      <c r="CB68" s="469">
        <f t="shared" si="199"/>
        <v>0</v>
      </c>
      <c r="CC68" s="469">
        <f t="shared" si="199"/>
        <v>0</v>
      </c>
      <c r="CD68" s="469">
        <f t="shared" si="199"/>
        <v>0</v>
      </c>
      <c r="CE68" s="469">
        <f t="shared" si="199"/>
        <v>0</v>
      </c>
      <c r="CF68" s="469">
        <f t="shared" si="199"/>
        <v>2674.9368</v>
      </c>
      <c r="CG68" s="470">
        <f t="shared" si="107"/>
        <v>8024.8104</v>
      </c>
      <c r="CH68" s="470">
        <f t="shared" si="108"/>
        <v>24074.4312</v>
      </c>
      <c r="CI68" s="471"/>
      <c r="CJ68" s="469"/>
      <c r="CK68" s="472">
        <v>1.0</v>
      </c>
      <c r="CL68" s="104">
        <f>VLOOKUP(I68,Cotizacion!$A$2:$E$423,4,FALSE())</f>
        <v>384.33</v>
      </c>
    </row>
    <row r="69" ht="15.75" customHeight="1">
      <c r="A69" s="474"/>
      <c r="B69" s="477"/>
      <c r="C69" s="477"/>
      <c r="D69" s="477"/>
      <c r="E69" s="477"/>
      <c r="F69" s="477"/>
      <c r="G69" s="477"/>
      <c r="H69" s="477"/>
      <c r="I69" s="541"/>
      <c r="J69" s="477"/>
      <c r="K69" s="502"/>
      <c r="L69" s="481"/>
      <c r="M69" s="481"/>
      <c r="N69" s="481"/>
      <c r="O69" s="481"/>
      <c r="P69" s="481"/>
      <c r="Q69" s="481"/>
      <c r="R69" s="481"/>
      <c r="S69" s="481"/>
      <c r="T69" s="481"/>
      <c r="U69" s="481"/>
      <c r="V69" s="481"/>
      <c r="W69" s="522"/>
      <c r="X69" s="481"/>
      <c r="Y69" s="481"/>
      <c r="Z69" s="481"/>
      <c r="AA69" s="481"/>
      <c r="AB69" s="481"/>
      <c r="AC69" s="481"/>
      <c r="AD69" s="481"/>
      <c r="AE69" s="481"/>
      <c r="AF69" s="481"/>
      <c r="AG69" s="481"/>
      <c r="AH69" s="481"/>
      <c r="AI69" s="522"/>
      <c r="AJ69" s="481"/>
      <c r="AK69" s="481"/>
      <c r="AL69" s="481"/>
      <c r="AM69" s="481"/>
      <c r="AN69" s="481"/>
      <c r="AO69" s="481"/>
      <c r="AP69" s="481"/>
      <c r="AQ69" s="481"/>
      <c r="AR69" s="481"/>
      <c r="AS69" s="481"/>
      <c r="AT69" s="481"/>
      <c r="AU69" s="522"/>
      <c r="AV69" s="484"/>
      <c r="AW69" s="484"/>
      <c r="AX69" s="542"/>
      <c r="AY69" s="484"/>
      <c r="AZ69" s="486"/>
      <c r="BA69" s="487"/>
      <c r="BB69" s="487"/>
      <c r="BC69" s="487"/>
      <c r="BD69" s="487"/>
      <c r="BE69" s="487"/>
      <c r="BF69" s="487"/>
      <c r="BG69" s="487"/>
      <c r="BH69" s="487"/>
      <c r="BI69" s="487"/>
      <c r="BJ69" s="487"/>
      <c r="BK69" s="487"/>
      <c r="BL69" s="487"/>
      <c r="BM69" s="487"/>
      <c r="BN69" s="487"/>
      <c r="BO69" s="487"/>
      <c r="BP69" s="487"/>
      <c r="BQ69" s="487"/>
      <c r="BR69" s="487"/>
      <c r="BS69" s="487"/>
      <c r="BT69" s="487"/>
      <c r="BU69" s="487"/>
      <c r="BV69" s="487"/>
      <c r="BW69" s="487"/>
      <c r="BX69" s="487"/>
      <c r="BY69" s="487"/>
      <c r="BZ69" s="487"/>
      <c r="CA69" s="487"/>
      <c r="CB69" s="487"/>
      <c r="CC69" s="487"/>
      <c r="CD69" s="487"/>
      <c r="CE69" s="487"/>
      <c r="CF69" s="487"/>
      <c r="CG69" s="487"/>
      <c r="CH69" s="487"/>
      <c r="CI69" s="508"/>
      <c r="CJ69" s="509"/>
      <c r="CK69" s="472"/>
    </row>
    <row r="70" ht="15.75" customHeight="1">
      <c r="A70" s="453" t="s">
        <v>2848</v>
      </c>
      <c r="B70" s="454">
        <v>2.0</v>
      </c>
      <c r="C70" s="455" t="s">
        <v>2707</v>
      </c>
      <c r="D70" s="456" t="s">
        <v>56</v>
      </c>
      <c r="E70" s="455" t="s">
        <v>2708</v>
      </c>
      <c r="F70" s="455" t="s">
        <v>1763</v>
      </c>
      <c r="G70" s="457" t="s">
        <v>2709</v>
      </c>
      <c r="H70" s="457" t="s">
        <v>2770</v>
      </c>
      <c r="I70" s="458" t="s">
        <v>2245</v>
      </c>
      <c r="J70" s="459" t="s">
        <v>739</v>
      </c>
      <c r="K70" s="460" t="s">
        <v>25</v>
      </c>
      <c r="L70" s="461">
        <v>4.0</v>
      </c>
      <c r="M70" s="461">
        <v>3.0</v>
      </c>
      <c r="N70" s="461">
        <v>4.0</v>
      </c>
      <c r="O70" s="461">
        <v>71.0</v>
      </c>
      <c r="P70" s="461">
        <v>85.0</v>
      </c>
      <c r="Q70" s="461">
        <v>122.0</v>
      </c>
      <c r="R70" s="461">
        <v>90.0</v>
      </c>
      <c r="S70" s="461">
        <v>108.0</v>
      </c>
      <c r="T70" s="461">
        <v>28.0</v>
      </c>
      <c r="U70" s="461">
        <v>72.0</v>
      </c>
      <c r="V70" s="461">
        <v>0.0</v>
      </c>
      <c r="W70" s="463">
        <f t="shared" ref="W70:W80" si="203">SUM(L70:V70)</f>
        <v>587</v>
      </c>
      <c r="X70" s="461">
        <v>3.0</v>
      </c>
      <c r="Y70" s="461">
        <v>2.0</v>
      </c>
      <c r="Z70" s="461">
        <v>3.0</v>
      </c>
      <c r="AA70" s="461">
        <v>50.0</v>
      </c>
      <c r="AB70" s="461">
        <v>60.0</v>
      </c>
      <c r="AC70" s="461">
        <v>85.0</v>
      </c>
      <c r="AD70" s="461">
        <v>63.0</v>
      </c>
      <c r="AE70" s="461">
        <v>76.0</v>
      </c>
      <c r="AF70" s="461">
        <v>20.0</v>
      </c>
      <c r="AG70" s="461">
        <v>50.0</v>
      </c>
      <c r="AH70" s="461">
        <v>0.0</v>
      </c>
      <c r="AI70" s="464">
        <f t="shared" ref="AI70:AI80" si="204">SUM(X70:AH70)</f>
        <v>412</v>
      </c>
      <c r="AJ70" s="461">
        <v>3.0</v>
      </c>
      <c r="AK70" s="461">
        <v>2.0</v>
      </c>
      <c r="AL70" s="461">
        <v>3.0</v>
      </c>
      <c r="AM70" s="461">
        <v>50.0</v>
      </c>
      <c r="AN70" s="461">
        <v>60.0</v>
      </c>
      <c r="AO70" s="461">
        <v>85.0</v>
      </c>
      <c r="AP70" s="461">
        <v>63.0</v>
      </c>
      <c r="AQ70" s="461">
        <v>76.0</v>
      </c>
      <c r="AR70" s="461">
        <v>20.0</v>
      </c>
      <c r="AS70" s="461">
        <v>50.0</v>
      </c>
      <c r="AT70" s="461">
        <v>0.0</v>
      </c>
      <c r="AU70" s="463">
        <f t="shared" ref="AU70:AU80" si="205">ROUNDUP( SUM(AJ70:AT70))</f>
        <v>412</v>
      </c>
      <c r="AV70" s="465">
        <f t="shared" ref="AV70:AV80" si="206">W70+AI70+AU70</f>
        <v>1411</v>
      </c>
      <c r="AW70" s="466"/>
      <c r="AX70" s="467">
        <v>2.42</v>
      </c>
      <c r="AY70" s="467">
        <f t="shared" ref="AY70:AY74" si="207">AX70*$AY$1</f>
        <v>16.8432</v>
      </c>
      <c r="AZ70" s="468"/>
      <c r="BA70" s="469">
        <f t="shared" ref="BA70:BJ70" si="200">L70*$AY70</f>
        <v>67.3728</v>
      </c>
      <c r="BB70" s="469">
        <f t="shared" si="200"/>
        <v>50.5296</v>
      </c>
      <c r="BC70" s="469">
        <f t="shared" si="200"/>
        <v>67.3728</v>
      </c>
      <c r="BD70" s="469">
        <f t="shared" si="200"/>
        <v>1195.8672</v>
      </c>
      <c r="BE70" s="469">
        <f t="shared" si="200"/>
        <v>1431.672</v>
      </c>
      <c r="BF70" s="469">
        <f t="shared" si="200"/>
        <v>2054.8704</v>
      </c>
      <c r="BG70" s="469">
        <f t="shared" si="200"/>
        <v>1515.888</v>
      </c>
      <c r="BH70" s="469">
        <f t="shared" si="200"/>
        <v>1819.0656</v>
      </c>
      <c r="BI70" s="469">
        <f t="shared" si="200"/>
        <v>471.6096</v>
      </c>
      <c r="BJ70" s="469">
        <f t="shared" si="200"/>
        <v>1212.7104</v>
      </c>
      <c r="BK70" s="470">
        <f t="shared" ref="BK70:BK80" si="209">AY70*W70</f>
        <v>9886.9584</v>
      </c>
      <c r="BL70" s="469">
        <f t="shared" ref="BL70:BU70" si="201">X70*$AY70</f>
        <v>50.5296</v>
      </c>
      <c r="BM70" s="469">
        <f t="shared" si="201"/>
        <v>33.6864</v>
      </c>
      <c r="BN70" s="469">
        <f t="shared" si="201"/>
        <v>50.5296</v>
      </c>
      <c r="BO70" s="469">
        <f t="shared" si="201"/>
        <v>842.16</v>
      </c>
      <c r="BP70" s="469">
        <f t="shared" si="201"/>
        <v>1010.592</v>
      </c>
      <c r="BQ70" s="469">
        <f t="shared" si="201"/>
        <v>1431.672</v>
      </c>
      <c r="BR70" s="469">
        <f t="shared" si="201"/>
        <v>1061.1216</v>
      </c>
      <c r="BS70" s="469">
        <f t="shared" si="201"/>
        <v>1280.0832</v>
      </c>
      <c r="BT70" s="469">
        <f t="shared" si="201"/>
        <v>336.864</v>
      </c>
      <c r="BU70" s="469">
        <f t="shared" si="201"/>
        <v>842.16</v>
      </c>
      <c r="BV70" s="470">
        <f t="shared" ref="BV70:BV80" si="211">AY70*AI70</f>
        <v>6939.3984</v>
      </c>
      <c r="BW70" s="469">
        <f t="shared" ref="BW70:CF70" si="202">AJ70*$AY70</f>
        <v>50.5296</v>
      </c>
      <c r="BX70" s="469">
        <f t="shared" si="202"/>
        <v>33.6864</v>
      </c>
      <c r="BY70" s="469">
        <f t="shared" si="202"/>
        <v>50.5296</v>
      </c>
      <c r="BZ70" s="469">
        <f t="shared" si="202"/>
        <v>842.16</v>
      </c>
      <c r="CA70" s="469">
        <f t="shared" si="202"/>
        <v>1010.592</v>
      </c>
      <c r="CB70" s="469">
        <f t="shared" si="202"/>
        <v>1431.672</v>
      </c>
      <c r="CC70" s="469">
        <f t="shared" si="202"/>
        <v>1061.1216</v>
      </c>
      <c r="CD70" s="469">
        <f t="shared" si="202"/>
        <v>1280.0832</v>
      </c>
      <c r="CE70" s="469">
        <f t="shared" si="202"/>
        <v>336.864</v>
      </c>
      <c r="CF70" s="469">
        <f t="shared" si="202"/>
        <v>842.16</v>
      </c>
      <c r="CG70" s="470">
        <f t="shared" ref="CG70:CG80" si="213">AY70*AU70</f>
        <v>6939.3984</v>
      </c>
      <c r="CH70" s="470">
        <f t="shared" ref="CH70:CH80" si="214">BK70+BV70+CG70</f>
        <v>23765.7552</v>
      </c>
      <c r="CI70" s="471"/>
      <c r="CJ70" s="469"/>
      <c r="CK70" s="472">
        <v>1.0</v>
      </c>
      <c r="CL70" s="104">
        <f>VLOOKUP(I70,Cotizacion!$A$2:$E$423,4,FALSE())</f>
        <v>2.42</v>
      </c>
    </row>
    <row r="71" ht="15.75" customHeight="1">
      <c r="A71" s="474" t="s">
        <v>2848</v>
      </c>
      <c r="B71" s="475">
        <v>2.0</v>
      </c>
      <c r="C71" s="476" t="s">
        <v>2808</v>
      </c>
      <c r="D71" s="477" t="s">
        <v>61</v>
      </c>
      <c r="E71" s="476" t="s">
        <v>2708</v>
      </c>
      <c r="F71" s="476" t="s">
        <v>1763</v>
      </c>
      <c r="G71" s="457" t="s">
        <v>2709</v>
      </c>
      <c r="H71" s="457" t="s">
        <v>2891</v>
      </c>
      <c r="I71" s="478" t="s">
        <v>2003</v>
      </c>
      <c r="J71" s="479" t="s">
        <v>732</v>
      </c>
      <c r="K71" s="480" t="s">
        <v>25</v>
      </c>
      <c r="L71" s="481">
        <v>0.0</v>
      </c>
      <c r="M71" s="481">
        <v>0.0</v>
      </c>
      <c r="N71" s="481">
        <v>0.0</v>
      </c>
      <c r="O71" s="481">
        <v>0.0</v>
      </c>
      <c r="P71" s="481">
        <v>0.0</v>
      </c>
      <c r="Q71" s="481">
        <v>0.0</v>
      </c>
      <c r="R71" s="481">
        <v>0.0</v>
      </c>
      <c r="S71" s="481">
        <v>0.0</v>
      </c>
      <c r="T71" s="481">
        <v>0.0</v>
      </c>
      <c r="U71" s="481">
        <v>0.0</v>
      </c>
      <c r="V71" s="481">
        <v>0.0</v>
      </c>
      <c r="W71" s="463">
        <f t="shared" si="203"/>
        <v>0</v>
      </c>
      <c r="X71" s="481">
        <v>0.0</v>
      </c>
      <c r="Y71" s="481">
        <v>0.0</v>
      </c>
      <c r="Z71" s="481">
        <v>0.0</v>
      </c>
      <c r="AA71" s="481">
        <v>0.0</v>
      </c>
      <c r="AB71" s="481">
        <v>0.0</v>
      </c>
      <c r="AC71" s="481">
        <v>0.0</v>
      </c>
      <c r="AD71" s="481">
        <v>0.0</v>
      </c>
      <c r="AE71" s="492">
        <v>5.0</v>
      </c>
      <c r="AF71" s="481">
        <v>0.0</v>
      </c>
      <c r="AG71" s="481">
        <v>10.0</v>
      </c>
      <c r="AH71" s="481">
        <v>0.0</v>
      </c>
      <c r="AI71" s="464">
        <f t="shared" si="204"/>
        <v>15</v>
      </c>
      <c r="AJ71" s="481">
        <v>0.0</v>
      </c>
      <c r="AK71" s="481">
        <v>0.0</v>
      </c>
      <c r="AL71" s="481">
        <v>0.0</v>
      </c>
      <c r="AM71" s="481">
        <v>0.0</v>
      </c>
      <c r="AN71" s="481">
        <v>0.0</v>
      </c>
      <c r="AO71" s="481">
        <v>0.0</v>
      </c>
      <c r="AP71" s="482">
        <v>10.0</v>
      </c>
      <c r="AQ71" s="492">
        <v>5.0</v>
      </c>
      <c r="AR71" s="481">
        <v>0.0</v>
      </c>
      <c r="AS71" s="481">
        <v>10.0</v>
      </c>
      <c r="AT71" s="481">
        <v>0.0</v>
      </c>
      <c r="AU71" s="463">
        <f t="shared" si="205"/>
        <v>25</v>
      </c>
      <c r="AV71" s="483">
        <f t="shared" si="206"/>
        <v>40</v>
      </c>
      <c r="AW71" s="484"/>
      <c r="AX71" s="485">
        <v>83.87</v>
      </c>
      <c r="AY71" s="485">
        <f t="shared" si="207"/>
        <v>583.7352</v>
      </c>
      <c r="AZ71" s="486"/>
      <c r="BA71" s="487">
        <f t="shared" ref="BA71:BJ71" si="208">L71*$AY71</f>
        <v>0</v>
      </c>
      <c r="BB71" s="487">
        <f t="shared" si="208"/>
        <v>0</v>
      </c>
      <c r="BC71" s="487">
        <f t="shared" si="208"/>
        <v>0</v>
      </c>
      <c r="BD71" s="487">
        <f t="shared" si="208"/>
        <v>0</v>
      </c>
      <c r="BE71" s="487">
        <f t="shared" si="208"/>
        <v>0</v>
      </c>
      <c r="BF71" s="487">
        <f t="shared" si="208"/>
        <v>0</v>
      </c>
      <c r="BG71" s="487">
        <f t="shared" si="208"/>
        <v>0</v>
      </c>
      <c r="BH71" s="487">
        <f t="shared" si="208"/>
        <v>0</v>
      </c>
      <c r="BI71" s="487">
        <f t="shared" si="208"/>
        <v>0</v>
      </c>
      <c r="BJ71" s="487">
        <f t="shared" si="208"/>
        <v>0</v>
      </c>
      <c r="BK71" s="488">
        <f t="shared" si="209"/>
        <v>0</v>
      </c>
      <c r="BL71" s="487">
        <f t="shared" ref="BL71:BU71" si="210">X71*$AY71</f>
        <v>0</v>
      </c>
      <c r="BM71" s="487">
        <f t="shared" si="210"/>
        <v>0</v>
      </c>
      <c r="BN71" s="487">
        <f t="shared" si="210"/>
        <v>0</v>
      </c>
      <c r="BO71" s="487">
        <f t="shared" si="210"/>
        <v>0</v>
      </c>
      <c r="BP71" s="487">
        <f t="shared" si="210"/>
        <v>0</v>
      </c>
      <c r="BQ71" s="487">
        <f t="shared" si="210"/>
        <v>0</v>
      </c>
      <c r="BR71" s="487">
        <f t="shared" si="210"/>
        <v>0</v>
      </c>
      <c r="BS71" s="487">
        <f t="shared" si="210"/>
        <v>2918.676</v>
      </c>
      <c r="BT71" s="487">
        <f t="shared" si="210"/>
        <v>0</v>
      </c>
      <c r="BU71" s="487">
        <f t="shared" si="210"/>
        <v>5837.352</v>
      </c>
      <c r="BV71" s="488">
        <f t="shared" si="211"/>
        <v>8756.028</v>
      </c>
      <c r="BW71" s="487">
        <f t="shared" ref="BW71:CF71" si="212">AJ71*$AY71</f>
        <v>0</v>
      </c>
      <c r="BX71" s="487">
        <f t="shared" si="212"/>
        <v>0</v>
      </c>
      <c r="BY71" s="487">
        <f t="shared" si="212"/>
        <v>0</v>
      </c>
      <c r="BZ71" s="487">
        <f t="shared" si="212"/>
        <v>0</v>
      </c>
      <c r="CA71" s="487">
        <f t="shared" si="212"/>
        <v>0</v>
      </c>
      <c r="CB71" s="487">
        <f t="shared" si="212"/>
        <v>0</v>
      </c>
      <c r="CC71" s="487">
        <f t="shared" si="212"/>
        <v>5837.352</v>
      </c>
      <c r="CD71" s="487">
        <f t="shared" si="212"/>
        <v>2918.676</v>
      </c>
      <c r="CE71" s="487">
        <f t="shared" si="212"/>
        <v>0</v>
      </c>
      <c r="CF71" s="487">
        <f t="shared" si="212"/>
        <v>5837.352</v>
      </c>
      <c r="CG71" s="488">
        <f t="shared" si="213"/>
        <v>14593.38</v>
      </c>
      <c r="CH71" s="488">
        <f t="shared" si="214"/>
        <v>23349.408</v>
      </c>
      <c r="CI71" s="489"/>
      <c r="CJ71" s="487"/>
      <c r="CK71" s="472">
        <v>1.0</v>
      </c>
      <c r="CL71" s="104">
        <f>VLOOKUP(I71,Cotizacion!$A$2:$E$423,4,FALSE())</f>
        <v>83.87</v>
      </c>
    </row>
    <row r="72" ht="15.75" customHeight="1">
      <c r="A72" s="453" t="s">
        <v>2848</v>
      </c>
      <c r="B72" s="454">
        <v>2.0</v>
      </c>
      <c r="C72" s="455" t="s">
        <v>2707</v>
      </c>
      <c r="D72" s="456" t="s">
        <v>785</v>
      </c>
      <c r="E72" s="455" t="s">
        <v>2708</v>
      </c>
      <c r="F72" s="455" t="s">
        <v>1763</v>
      </c>
      <c r="G72" s="457" t="s">
        <v>2709</v>
      </c>
      <c r="H72" s="457" t="s">
        <v>2741</v>
      </c>
      <c r="I72" s="458" t="s">
        <v>2031</v>
      </c>
      <c r="J72" s="459" t="s">
        <v>612</v>
      </c>
      <c r="K72" s="460" t="s">
        <v>25</v>
      </c>
      <c r="L72" s="461">
        <v>5.0</v>
      </c>
      <c r="M72" s="461">
        <v>3.0</v>
      </c>
      <c r="N72" s="461">
        <v>5.0</v>
      </c>
      <c r="O72" s="461">
        <v>4.0</v>
      </c>
      <c r="P72" s="461">
        <v>4.0</v>
      </c>
      <c r="Q72" s="461">
        <v>5.0</v>
      </c>
      <c r="R72" s="461">
        <v>6.0</v>
      </c>
      <c r="S72" s="461">
        <v>6.0</v>
      </c>
      <c r="T72" s="461">
        <v>2.0</v>
      </c>
      <c r="U72" s="490">
        <v>0.0</v>
      </c>
      <c r="V72" s="461">
        <v>0.0</v>
      </c>
      <c r="W72" s="463">
        <f t="shared" si="203"/>
        <v>40</v>
      </c>
      <c r="X72" s="461">
        <v>5.0</v>
      </c>
      <c r="Y72" s="461">
        <v>3.0</v>
      </c>
      <c r="Z72" s="461">
        <v>5.0</v>
      </c>
      <c r="AA72" s="461">
        <v>4.0</v>
      </c>
      <c r="AB72" s="461">
        <v>4.0</v>
      </c>
      <c r="AC72" s="461">
        <v>5.0</v>
      </c>
      <c r="AD72" s="461">
        <v>6.0</v>
      </c>
      <c r="AE72" s="461">
        <v>6.0</v>
      </c>
      <c r="AF72" s="461">
        <v>2.0</v>
      </c>
      <c r="AG72" s="490">
        <v>0.0</v>
      </c>
      <c r="AH72" s="461">
        <v>0.0</v>
      </c>
      <c r="AI72" s="464">
        <f t="shared" si="204"/>
        <v>40</v>
      </c>
      <c r="AJ72" s="461">
        <v>5.0</v>
      </c>
      <c r="AK72" s="461">
        <v>3.0</v>
      </c>
      <c r="AL72" s="461">
        <v>5.0</v>
      </c>
      <c r="AM72" s="461">
        <v>4.0</v>
      </c>
      <c r="AN72" s="461">
        <v>4.0</v>
      </c>
      <c r="AO72" s="461">
        <v>5.0</v>
      </c>
      <c r="AP72" s="461">
        <v>6.0</v>
      </c>
      <c r="AQ72" s="461">
        <v>6.0</v>
      </c>
      <c r="AR72" s="461">
        <v>2.0</v>
      </c>
      <c r="AS72" s="461">
        <v>6.0</v>
      </c>
      <c r="AT72" s="461">
        <v>0.0</v>
      </c>
      <c r="AU72" s="463">
        <f t="shared" si="205"/>
        <v>46</v>
      </c>
      <c r="AV72" s="465">
        <f t="shared" si="206"/>
        <v>126</v>
      </c>
      <c r="AW72" s="466"/>
      <c r="AX72" s="467">
        <v>25.5</v>
      </c>
      <c r="AY72" s="467">
        <f t="shared" si="207"/>
        <v>177.48</v>
      </c>
      <c r="AZ72" s="468"/>
      <c r="BA72" s="469">
        <f t="shared" ref="BA72:BJ72" si="215">L72*$AY72</f>
        <v>887.4</v>
      </c>
      <c r="BB72" s="469">
        <f t="shared" si="215"/>
        <v>532.44</v>
      </c>
      <c r="BC72" s="469">
        <f t="shared" si="215"/>
        <v>887.4</v>
      </c>
      <c r="BD72" s="469">
        <f t="shared" si="215"/>
        <v>709.92</v>
      </c>
      <c r="BE72" s="469">
        <f t="shared" si="215"/>
        <v>709.92</v>
      </c>
      <c r="BF72" s="469">
        <f t="shared" si="215"/>
        <v>887.4</v>
      </c>
      <c r="BG72" s="469">
        <f t="shared" si="215"/>
        <v>1064.88</v>
      </c>
      <c r="BH72" s="469">
        <f t="shared" si="215"/>
        <v>1064.88</v>
      </c>
      <c r="BI72" s="469">
        <f t="shared" si="215"/>
        <v>354.96</v>
      </c>
      <c r="BJ72" s="469">
        <f t="shared" si="215"/>
        <v>0</v>
      </c>
      <c r="BK72" s="470">
        <f t="shared" si="209"/>
        <v>7099.2</v>
      </c>
      <c r="BL72" s="469">
        <f t="shared" ref="BL72:BU72" si="216">X72*$AY72</f>
        <v>887.4</v>
      </c>
      <c r="BM72" s="469">
        <f t="shared" si="216"/>
        <v>532.44</v>
      </c>
      <c r="BN72" s="469">
        <f t="shared" si="216"/>
        <v>887.4</v>
      </c>
      <c r="BO72" s="469">
        <f t="shared" si="216"/>
        <v>709.92</v>
      </c>
      <c r="BP72" s="469">
        <f t="shared" si="216"/>
        <v>709.92</v>
      </c>
      <c r="BQ72" s="469">
        <f t="shared" si="216"/>
        <v>887.4</v>
      </c>
      <c r="BR72" s="469">
        <f t="shared" si="216"/>
        <v>1064.88</v>
      </c>
      <c r="BS72" s="469">
        <f t="shared" si="216"/>
        <v>1064.88</v>
      </c>
      <c r="BT72" s="469">
        <f t="shared" si="216"/>
        <v>354.96</v>
      </c>
      <c r="BU72" s="469">
        <f t="shared" si="216"/>
        <v>0</v>
      </c>
      <c r="BV72" s="470">
        <f t="shared" si="211"/>
        <v>7099.2</v>
      </c>
      <c r="BW72" s="469">
        <f t="shared" ref="BW72:CF72" si="217">AJ72*$AY72</f>
        <v>887.4</v>
      </c>
      <c r="BX72" s="469">
        <f t="shared" si="217"/>
        <v>532.44</v>
      </c>
      <c r="BY72" s="469">
        <f t="shared" si="217"/>
        <v>887.4</v>
      </c>
      <c r="BZ72" s="469">
        <f t="shared" si="217"/>
        <v>709.92</v>
      </c>
      <c r="CA72" s="469">
        <f t="shared" si="217"/>
        <v>709.92</v>
      </c>
      <c r="CB72" s="469">
        <f t="shared" si="217"/>
        <v>887.4</v>
      </c>
      <c r="CC72" s="469">
        <f t="shared" si="217"/>
        <v>1064.88</v>
      </c>
      <c r="CD72" s="469">
        <f t="shared" si="217"/>
        <v>1064.88</v>
      </c>
      <c r="CE72" s="469">
        <f t="shared" si="217"/>
        <v>354.96</v>
      </c>
      <c r="CF72" s="469">
        <f t="shared" si="217"/>
        <v>1064.88</v>
      </c>
      <c r="CG72" s="470">
        <f t="shared" si="213"/>
        <v>8164.08</v>
      </c>
      <c r="CH72" s="470">
        <f t="shared" si="214"/>
        <v>22362.48</v>
      </c>
      <c r="CI72" s="471"/>
      <c r="CJ72" s="469"/>
      <c r="CK72" s="472">
        <v>1.0</v>
      </c>
      <c r="CL72" s="104">
        <f>VLOOKUP(I72,Cotizacion!$A$2:$E$423,4,FALSE())</f>
        <v>25.5</v>
      </c>
    </row>
    <row r="73" ht="15.75" customHeight="1">
      <c r="A73" s="474" t="s">
        <v>2848</v>
      </c>
      <c r="B73" s="475">
        <v>2.0</v>
      </c>
      <c r="C73" s="476" t="s">
        <v>2808</v>
      </c>
      <c r="D73" s="477" t="s">
        <v>118</v>
      </c>
      <c r="E73" s="476" t="s">
        <v>2708</v>
      </c>
      <c r="F73" s="476" t="s">
        <v>1763</v>
      </c>
      <c r="G73" s="457" t="s">
        <v>2709</v>
      </c>
      <c r="H73" s="457" t="s">
        <v>2770</v>
      </c>
      <c r="I73" s="543" t="s">
        <v>2245</v>
      </c>
      <c r="J73" s="479" t="s">
        <v>739</v>
      </c>
      <c r="K73" s="480" t="s">
        <v>25</v>
      </c>
      <c r="L73" s="481">
        <v>50.0</v>
      </c>
      <c r="M73" s="481">
        <v>25.0</v>
      </c>
      <c r="N73" s="481">
        <v>37.0</v>
      </c>
      <c r="O73" s="482">
        <v>0.0</v>
      </c>
      <c r="P73" s="482">
        <v>0.0</v>
      </c>
      <c r="Q73" s="482">
        <v>0.0</v>
      </c>
      <c r="R73" s="481">
        <v>38.0</v>
      </c>
      <c r="S73" s="481">
        <v>37.0</v>
      </c>
      <c r="T73" s="481">
        <v>12.0</v>
      </c>
      <c r="U73" s="492">
        <v>0.0</v>
      </c>
      <c r="V73" s="481">
        <v>0.0</v>
      </c>
      <c r="W73" s="463">
        <f t="shared" si="203"/>
        <v>199</v>
      </c>
      <c r="X73" s="481">
        <v>48.0</v>
      </c>
      <c r="Y73" s="481">
        <v>24.0</v>
      </c>
      <c r="Z73" s="481">
        <v>36.0</v>
      </c>
      <c r="AA73" s="481">
        <v>75.0</v>
      </c>
      <c r="AB73" s="481">
        <v>111.0</v>
      </c>
      <c r="AC73" s="481">
        <v>147.0</v>
      </c>
      <c r="AD73" s="482">
        <v>38.0</v>
      </c>
      <c r="AE73" s="481">
        <v>36.0</v>
      </c>
      <c r="AF73" s="481">
        <v>12.0</v>
      </c>
      <c r="AG73" s="492">
        <v>0.0</v>
      </c>
      <c r="AH73" s="481">
        <v>0.0</v>
      </c>
      <c r="AI73" s="464">
        <f t="shared" si="204"/>
        <v>527</v>
      </c>
      <c r="AJ73" s="481">
        <v>48.0</v>
      </c>
      <c r="AK73" s="481">
        <v>24.0</v>
      </c>
      <c r="AL73" s="481">
        <v>36.0</v>
      </c>
      <c r="AM73" s="481">
        <v>75.0</v>
      </c>
      <c r="AN73" s="481">
        <v>111.0</v>
      </c>
      <c r="AO73" s="481">
        <v>147.0</v>
      </c>
      <c r="AP73" s="482">
        <v>38.0</v>
      </c>
      <c r="AQ73" s="481">
        <v>36.0</v>
      </c>
      <c r="AR73" s="481">
        <v>12.0</v>
      </c>
      <c r="AS73" s="492">
        <v>0.0</v>
      </c>
      <c r="AT73" s="481">
        <v>0.0</v>
      </c>
      <c r="AU73" s="463">
        <f t="shared" si="205"/>
        <v>527</v>
      </c>
      <c r="AV73" s="483">
        <f t="shared" si="206"/>
        <v>1253</v>
      </c>
      <c r="AW73" s="484"/>
      <c r="AX73" s="485">
        <v>2.42</v>
      </c>
      <c r="AY73" s="485">
        <f t="shared" si="207"/>
        <v>16.8432</v>
      </c>
      <c r="AZ73" s="486"/>
      <c r="BA73" s="487">
        <f t="shared" ref="BA73:BJ73" si="218">L73*$AY73</f>
        <v>842.16</v>
      </c>
      <c r="BB73" s="487">
        <f t="shared" si="218"/>
        <v>421.08</v>
      </c>
      <c r="BC73" s="487">
        <f t="shared" si="218"/>
        <v>623.1984</v>
      </c>
      <c r="BD73" s="487">
        <f t="shared" si="218"/>
        <v>0</v>
      </c>
      <c r="BE73" s="487">
        <f t="shared" si="218"/>
        <v>0</v>
      </c>
      <c r="BF73" s="487">
        <f t="shared" si="218"/>
        <v>0</v>
      </c>
      <c r="BG73" s="487">
        <f t="shared" si="218"/>
        <v>640.0416</v>
      </c>
      <c r="BH73" s="487">
        <f t="shared" si="218"/>
        <v>623.1984</v>
      </c>
      <c r="BI73" s="487">
        <f t="shared" si="218"/>
        <v>202.1184</v>
      </c>
      <c r="BJ73" s="487">
        <f t="shared" si="218"/>
        <v>0</v>
      </c>
      <c r="BK73" s="488">
        <f t="shared" si="209"/>
        <v>3351.7968</v>
      </c>
      <c r="BL73" s="487">
        <f t="shared" ref="BL73:BU73" si="219">X73*$AY73</f>
        <v>808.4736</v>
      </c>
      <c r="BM73" s="487">
        <f t="shared" si="219"/>
        <v>404.2368</v>
      </c>
      <c r="BN73" s="487">
        <f t="shared" si="219"/>
        <v>606.3552</v>
      </c>
      <c r="BO73" s="487">
        <f t="shared" si="219"/>
        <v>1263.24</v>
      </c>
      <c r="BP73" s="487">
        <f t="shared" si="219"/>
        <v>1869.5952</v>
      </c>
      <c r="BQ73" s="487">
        <f t="shared" si="219"/>
        <v>2475.9504</v>
      </c>
      <c r="BR73" s="487">
        <f t="shared" si="219"/>
        <v>640.0416</v>
      </c>
      <c r="BS73" s="487">
        <f t="shared" si="219"/>
        <v>606.3552</v>
      </c>
      <c r="BT73" s="487">
        <f t="shared" si="219"/>
        <v>202.1184</v>
      </c>
      <c r="BU73" s="487">
        <f t="shared" si="219"/>
        <v>0</v>
      </c>
      <c r="BV73" s="488">
        <f t="shared" si="211"/>
        <v>8876.3664</v>
      </c>
      <c r="BW73" s="487">
        <f t="shared" ref="BW73:CF73" si="220">AJ73*$AY73</f>
        <v>808.4736</v>
      </c>
      <c r="BX73" s="487">
        <f t="shared" si="220"/>
        <v>404.2368</v>
      </c>
      <c r="BY73" s="487">
        <f t="shared" si="220"/>
        <v>606.3552</v>
      </c>
      <c r="BZ73" s="487">
        <f t="shared" si="220"/>
        <v>1263.24</v>
      </c>
      <c r="CA73" s="487">
        <f t="shared" si="220"/>
        <v>1869.5952</v>
      </c>
      <c r="CB73" s="487">
        <f t="shared" si="220"/>
        <v>2475.9504</v>
      </c>
      <c r="CC73" s="487">
        <f t="shared" si="220"/>
        <v>640.0416</v>
      </c>
      <c r="CD73" s="487">
        <f t="shared" si="220"/>
        <v>606.3552</v>
      </c>
      <c r="CE73" s="487">
        <f t="shared" si="220"/>
        <v>202.1184</v>
      </c>
      <c r="CF73" s="487">
        <f t="shared" si="220"/>
        <v>0</v>
      </c>
      <c r="CG73" s="488">
        <f t="shared" si="213"/>
        <v>8876.3664</v>
      </c>
      <c r="CH73" s="488">
        <f t="shared" si="214"/>
        <v>21104.5296</v>
      </c>
      <c r="CI73" s="489"/>
      <c r="CJ73" s="487"/>
      <c r="CK73" s="472">
        <v>1.0</v>
      </c>
      <c r="CL73" s="104">
        <f>VLOOKUP(I73,Cotizacion!$A$2:$E$423,4,FALSE())</f>
        <v>2.42</v>
      </c>
    </row>
    <row r="74" ht="15.75" customHeight="1">
      <c r="A74" s="453" t="s">
        <v>2848</v>
      </c>
      <c r="B74" s="454">
        <v>2.0</v>
      </c>
      <c r="C74" s="455" t="s">
        <v>2707</v>
      </c>
      <c r="D74" s="456" t="s">
        <v>785</v>
      </c>
      <c r="E74" s="455" t="s">
        <v>2708</v>
      </c>
      <c r="F74" s="455" t="s">
        <v>1763</v>
      </c>
      <c r="G74" s="457" t="s">
        <v>2709</v>
      </c>
      <c r="H74" s="457" t="s">
        <v>2770</v>
      </c>
      <c r="I74" s="458" t="s">
        <v>2245</v>
      </c>
      <c r="J74" s="459" t="s">
        <v>739</v>
      </c>
      <c r="K74" s="460" t="s">
        <v>25</v>
      </c>
      <c r="L74" s="461">
        <v>0.0</v>
      </c>
      <c r="M74" s="461">
        <v>0.0</v>
      </c>
      <c r="N74" s="461">
        <v>0.0</v>
      </c>
      <c r="O74" s="461">
        <v>65.0</v>
      </c>
      <c r="P74" s="461">
        <v>91.0</v>
      </c>
      <c r="Q74" s="461">
        <v>143.0</v>
      </c>
      <c r="R74" s="461">
        <v>91.0</v>
      </c>
      <c r="S74" s="461">
        <v>91.0</v>
      </c>
      <c r="T74" s="461">
        <v>28.0</v>
      </c>
      <c r="U74" s="490">
        <v>0.0</v>
      </c>
      <c r="V74" s="461">
        <v>0.0</v>
      </c>
      <c r="W74" s="463">
        <f t="shared" si="203"/>
        <v>509</v>
      </c>
      <c r="X74" s="461">
        <v>0.0</v>
      </c>
      <c r="Y74" s="461">
        <v>0.0</v>
      </c>
      <c r="Z74" s="461">
        <v>0.0</v>
      </c>
      <c r="AA74" s="461">
        <v>40.0</v>
      </c>
      <c r="AB74" s="461">
        <v>56.0</v>
      </c>
      <c r="AC74" s="461">
        <v>88.0</v>
      </c>
      <c r="AD74" s="461">
        <v>56.0</v>
      </c>
      <c r="AE74" s="461">
        <v>56.0</v>
      </c>
      <c r="AF74" s="461">
        <v>16.0</v>
      </c>
      <c r="AG74" s="461">
        <v>48.0</v>
      </c>
      <c r="AH74" s="461">
        <v>0.0</v>
      </c>
      <c r="AI74" s="464">
        <f t="shared" si="204"/>
        <v>360</v>
      </c>
      <c r="AJ74" s="461">
        <v>0.0</v>
      </c>
      <c r="AK74" s="461">
        <v>0.0</v>
      </c>
      <c r="AL74" s="461">
        <v>0.0</v>
      </c>
      <c r="AM74" s="461">
        <v>40.0</v>
      </c>
      <c r="AN74" s="461">
        <v>56.0</v>
      </c>
      <c r="AO74" s="461">
        <v>88.0</v>
      </c>
      <c r="AP74" s="461">
        <v>56.0</v>
      </c>
      <c r="AQ74" s="461">
        <v>56.0</v>
      </c>
      <c r="AR74" s="461">
        <v>16.0</v>
      </c>
      <c r="AS74" s="461">
        <v>48.0</v>
      </c>
      <c r="AT74" s="461">
        <v>0.0</v>
      </c>
      <c r="AU74" s="463">
        <f t="shared" si="205"/>
        <v>360</v>
      </c>
      <c r="AV74" s="465">
        <f t="shared" si="206"/>
        <v>1229</v>
      </c>
      <c r="AW74" s="466"/>
      <c r="AX74" s="467">
        <v>2.42</v>
      </c>
      <c r="AY74" s="467">
        <f t="shared" si="207"/>
        <v>16.8432</v>
      </c>
      <c r="AZ74" s="468"/>
      <c r="BA74" s="469">
        <f t="shared" ref="BA74:BJ74" si="221">L74*$AY74</f>
        <v>0</v>
      </c>
      <c r="BB74" s="469">
        <f t="shared" si="221"/>
        <v>0</v>
      </c>
      <c r="BC74" s="469">
        <f t="shared" si="221"/>
        <v>0</v>
      </c>
      <c r="BD74" s="469">
        <f t="shared" si="221"/>
        <v>1094.808</v>
      </c>
      <c r="BE74" s="469">
        <f t="shared" si="221"/>
        <v>1532.7312</v>
      </c>
      <c r="BF74" s="469">
        <f t="shared" si="221"/>
        <v>2408.5776</v>
      </c>
      <c r="BG74" s="469">
        <f t="shared" si="221"/>
        <v>1532.7312</v>
      </c>
      <c r="BH74" s="469">
        <f t="shared" si="221"/>
        <v>1532.7312</v>
      </c>
      <c r="BI74" s="469">
        <f t="shared" si="221"/>
        <v>471.6096</v>
      </c>
      <c r="BJ74" s="469">
        <f t="shared" si="221"/>
        <v>0</v>
      </c>
      <c r="BK74" s="470">
        <f t="shared" si="209"/>
        <v>8573.1888</v>
      </c>
      <c r="BL74" s="469">
        <f t="shared" ref="BL74:BU74" si="222">X74*$AY74</f>
        <v>0</v>
      </c>
      <c r="BM74" s="469">
        <f t="shared" si="222"/>
        <v>0</v>
      </c>
      <c r="BN74" s="469">
        <f t="shared" si="222"/>
        <v>0</v>
      </c>
      <c r="BO74" s="469">
        <f t="shared" si="222"/>
        <v>673.728</v>
      </c>
      <c r="BP74" s="469">
        <f t="shared" si="222"/>
        <v>943.2192</v>
      </c>
      <c r="BQ74" s="469">
        <f t="shared" si="222"/>
        <v>1482.2016</v>
      </c>
      <c r="BR74" s="469">
        <f t="shared" si="222"/>
        <v>943.2192</v>
      </c>
      <c r="BS74" s="469">
        <f t="shared" si="222"/>
        <v>943.2192</v>
      </c>
      <c r="BT74" s="469">
        <f t="shared" si="222"/>
        <v>269.4912</v>
      </c>
      <c r="BU74" s="469">
        <f t="shared" si="222"/>
        <v>808.4736</v>
      </c>
      <c r="BV74" s="470">
        <f t="shared" si="211"/>
        <v>6063.552</v>
      </c>
      <c r="BW74" s="469">
        <f t="shared" ref="BW74:CF74" si="223">AJ74*$AY74</f>
        <v>0</v>
      </c>
      <c r="BX74" s="469">
        <f t="shared" si="223"/>
        <v>0</v>
      </c>
      <c r="BY74" s="469">
        <f t="shared" si="223"/>
        <v>0</v>
      </c>
      <c r="BZ74" s="469">
        <f t="shared" si="223"/>
        <v>673.728</v>
      </c>
      <c r="CA74" s="469">
        <f t="shared" si="223"/>
        <v>943.2192</v>
      </c>
      <c r="CB74" s="469">
        <f t="shared" si="223"/>
        <v>1482.2016</v>
      </c>
      <c r="CC74" s="469">
        <f t="shared" si="223"/>
        <v>943.2192</v>
      </c>
      <c r="CD74" s="469">
        <f t="shared" si="223"/>
        <v>943.2192</v>
      </c>
      <c r="CE74" s="469">
        <f t="shared" si="223"/>
        <v>269.4912</v>
      </c>
      <c r="CF74" s="469">
        <f t="shared" si="223"/>
        <v>808.4736</v>
      </c>
      <c r="CG74" s="470">
        <f t="shared" si="213"/>
        <v>6063.552</v>
      </c>
      <c r="CH74" s="470">
        <f t="shared" si="214"/>
        <v>20700.2928</v>
      </c>
      <c r="CI74" s="471"/>
      <c r="CJ74" s="469"/>
      <c r="CK74" s="472">
        <v>1.0</v>
      </c>
      <c r="CL74" s="104">
        <f>VLOOKUP(I74,Cotizacion!$A$2:$E$423,4,FALSE())</f>
        <v>2.42</v>
      </c>
    </row>
    <row r="75" ht="15.75" customHeight="1">
      <c r="A75" s="474" t="s">
        <v>2848</v>
      </c>
      <c r="B75" s="475"/>
      <c r="C75" s="477" t="s">
        <v>2852</v>
      </c>
      <c r="D75" s="477" t="s">
        <v>52</v>
      </c>
      <c r="E75" s="477" t="s">
        <v>2708</v>
      </c>
      <c r="F75" s="477" t="s">
        <v>1763</v>
      </c>
      <c r="G75" s="457" t="s">
        <v>2709</v>
      </c>
      <c r="H75" s="537"/>
      <c r="I75" s="541">
        <v>1.1355248E7</v>
      </c>
      <c r="J75" s="477" t="s">
        <v>2892</v>
      </c>
      <c r="K75" s="502" t="s">
        <v>25</v>
      </c>
      <c r="L75" s="481">
        <v>0.0</v>
      </c>
      <c r="M75" s="481">
        <v>0.0</v>
      </c>
      <c r="N75" s="481">
        <v>0.0</v>
      </c>
      <c r="O75" s="481">
        <v>0.0</v>
      </c>
      <c r="P75" s="481">
        <v>0.0</v>
      </c>
      <c r="Q75" s="481">
        <v>0.0</v>
      </c>
      <c r="R75" s="481">
        <v>0.0</v>
      </c>
      <c r="S75" s="492">
        <v>0.0</v>
      </c>
      <c r="T75" s="481">
        <v>0.0</v>
      </c>
      <c r="U75" s="481">
        <v>0.0</v>
      </c>
      <c r="V75" s="481">
        <v>0.0</v>
      </c>
      <c r="W75" s="463">
        <f t="shared" si="203"/>
        <v>0</v>
      </c>
      <c r="X75" s="481">
        <v>0.0</v>
      </c>
      <c r="Y75" s="481">
        <v>0.0</v>
      </c>
      <c r="Z75" s="481">
        <v>0.0</v>
      </c>
      <c r="AA75" s="481">
        <v>0.0</v>
      </c>
      <c r="AB75" s="481">
        <v>0.0</v>
      </c>
      <c r="AC75" s="481">
        <v>0.0</v>
      </c>
      <c r="AD75" s="481">
        <v>0.0</v>
      </c>
      <c r="AE75" s="492">
        <v>0.0</v>
      </c>
      <c r="AF75" s="481">
        <v>0.0</v>
      </c>
      <c r="AG75" s="481">
        <v>0.0</v>
      </c>
      <c r="AH75" s="481">
        <v>0.0</v>
      </c>
      <c r="AI75" s="464">
        <f t="shared" si="204"/>
        <v>0</v>
      </c>
      <c r="AJ75" s="481">
        <v>0.0</v>
      </c>
      <c r="AK75" s="481">
        <v>0.0</v>
      </c>
      <c r="AL75" s="481">
        <v>0.0</v>
      </c>
      <c r="AM75" s="481">
        <v>0.0</v>
      </c>
      <c r="AN75" s="481">
        <v>0.0</v>
      </c>
      <c r="AO75" s="481">
        <v>0.0</v>
      </c>
      <c r="AP75" s="481">
        <v>0.0</v>
      </c>
      <c r="AQ75" s="492">
        <v>0.0</v>
      </c>
      <c r="AR75" s="481">
        <v>0.0</v>
      </c>
      <c r="AS75" s="481">
        <v>0.0</v>
      </c>
      <c r="AT75" s="481">
        <v>0.0</v>
      </c>
      <c r="AU75" s="463">
        <f t="shared" si="205"/>
        <v>0</v>
      </c>
      <c r="AV75" s="485">
        <f t="shared" si="206"/>
        <v>0</v>
      </c>
      <c r="AW75" s="484"/>
      <c r="AX75" s="544">
        <v>93.64</v>
      </c>
      <c r="AY75" s="503">
        <v>652.6708</v>
      </c>
      <c r="AZ75" s="504"/>
      <c r="BA75" s="487">
        <f t="shared" ref="BA75:BJ75" si="224">L75*$AY75</f>
        <v>0</v>
      </c>
      <c r="BB75" s="487">
        <f t="shared" si="224"/>
        <v>0</v>
      </c>
      <c r="BC75" s="487">
        <f t="shared" si="224"/>
        <v>0</v>
      </c>
      <c r="BD75" s="487">
        <f t="shared" si="224"/>
        <v>0</v>
      </c>
      <c r="BE75" s="487">
        <f t="shared" si="224"/>
        <v>0</v>
      </c>
      <c r="BF75" s="487">
        <f t="shared" si="224"/>
        <v>0</v>
      </c>
      <c r="BG75" s="487">
        <f t="shared" si="224"/>
        <v>0</v>
      </c>
      <c r="BH75" s="487">
        <f t="shared" si="224"/>
        <v>0</v>
      </c>
      <c r="BI75" s="487">
        <f t="shared" si="224"/>
        <v>0</v>
      </c>
      <c r="BJ75" s="487">
        <f t="shared" si="224"/>
        <v>0</v>
      </c>
      <c r="BK75" s="488">
        <f t="shared" si="209"/>
        <v>0</v>
      </c>
      <c r="BL75" s="487">
        <f t="shared" ref="BL75:BU75" si="225">X75*$AY75</f>
        <v>0</v>
      </c>
      <c r="BM75" s="487">
        <f t="shared" si="225"/>
        <v>0</v>
      </c>
      <c r="BN75" s="487">
        <f t="shared" si="225"/>
        <v>0</v>
      </c>
      <c r="BO75" s="487">
        <f t="shared" si="225"/>
        <v>0</v>
      </c>
      <c r="BP75" s="487">
        <f t="shared" si="225"/>
        <v>0</v>
      </c>
      <c r="BQ75" s="487">
        <f t="shared" si="225"/>
        <v>0</v>
      </c>
      <c r="BR75" s="487">
        <f t="shared" si="225"/>
        <v>0</v>
      </c>
      <c r="BS75" s="487">
        <f t="shared" si="225"/>
        <v>0</v>
      </c>
      <c r="BT75" s="487">
        <f t="shared" si="225"/>
        <v>0</v>
      </c>
      <c r="BU75" s="487">
        <f t="shared" si="225"/>
        <v>0</v>
      </c>
      <c r="BV75" s="488">
        <f t="shared" si="211"/>
        <v>0</v>
      </c>
      <c r="BW75" s="487">
        <f t="shared" ref="BW75:CF75" si="226">AJ75*$AY75</f>
        <v>0</v>
      </c>
      <c r="BX75" s="487">
        <f t="shared" si="226"/>
        <v>0</v>
      </c>
      <c r="BY75" s="487">
        <f t="shared" si="226"/>
        <v>0</v>
      </c>
      <c r="BZ75" s="487">
        <f t="shared" si="226"/>
        <v>0</v>
      </c>
      <c r="CA75" s="487">
        <f t="shared" si="226"/>
        <v>0</v>
      </c>
      <c r="CB75" s="487">
        <f t="shared" si="226"/>
        <v>0</v>
      </c>
      <c r="CC75" s="487">
        <f t="shared" si="226"/>
        <v>0</v>
      </c>
      <c r="CD75" s="487">
        <f t="shared" si="226"/>
        <v>0</v>
      </c>
      <c r="CE75" s="487">
        <f t="shared" si="226"/>
        <v>0</v>
      </c>
      <c r="CF75" s="487">
        <f t="shared" si="226"/>
        <v>0</v>
      </c>
      <c r="CG75" s="488">
        <f t="shared" si="213"/>
        <v>0</v>
      </c>
      <c r="CH75" s="488">
        <f t="shared" si="214"/>
        <v>0</v>
      </c>
      <c r="CI75" s="508"/>
      <c r="CJ75" s="505"/>
      <c r="CK75" s="472">
        <v>1.0</v>
      </c>
    </row>
    <row r="76" ht="15.75" customHeight="1">
      <c r="A76" s="453" t="s">
        <v>2848</v>
      </c>
      <c r="B76" s="454">
        <v>2.0</v>
      </c>
      <c r="C76" s="455" t="s">
        <v>2852</v>
      </c>
      <c r="D76" s="456" t="s">
        <v>46</v>
      </c>
      <c r="E76" s="455" t="s">
        <v>2708</v>
      </c>
      <c r="F76" s="455" t="s">
        <v>1763</v>
      </c>
      <c r="G76" s="457" t="s">
        <v>2709</v>
      </c>
      <c r="H76" s="457" t="s">
        <v>2893</v>
      </c>
      <c r="I76" s="458" t="s">
        <v>60</v>
      </c>
      <c r="J76" s="545" t="s">
        <v>62</v>
      </c>
      <c r="K76" s="460" t="s">
        <v>25</v>
      </c>
      <c r="L76" s="461">
        <v>0.0</v>
      </c>
      <c r="M76" s="461">
        <v>0.0</v>
      </c>
      <c r="N76" s="461">
        <v>0.0</v>
      </c>
      <c r="O76" s="461">
        <v>0.0</v>
      </c>
      <c r="P76" s="461">
        <v>0.0</v>
      </c>
      <c r="Q76" s="461">
        <v>0.0</v>
      </c>
      <c r="R76" s="461">
        <v>0.0</v>
      </c>
      <c r="S76" s="461">
        <v>0.0</v>
      </c>
      <c r="T76" s="461">
        <v>0.0</v>
      </c>
      <c r="U76" s="461">
        <v>0.0</v>
      </c>
      <c r="V76" s="461">
        <v>0.0</v>
      </c>
      <c r="W76" s="463">
        <f t="shared" si="203"/>
        <v>0</v>
      </c>
      <c r="X76" s="461">
        <v>1.0</v>
      </c>
      <c r="Y76" s="546"/>
      <c r="Z76" s="546"/>
      <c r="AA76" s="461">
        <v>0.0</v>
      </c>
      <c r="AB76" s="461">
        <v>0.0</v>
      </c>
      <c r="AC76" s="461">
        <v>0.0</v>
      </c>
      <c r="AD76" s="546"/>
      <c r="AE76" s="546"/>
      <c r="AF76" s="546"/>
      <c r="AG76" s="546"/>
      <c r="AH76" s="461">
        <v>0.0</v>
      </c>
      <c r="AI76" s="464">
        <f t="shared" si="204"/>
        <v>1</v>
      </c>
      <c r="AJ76" s="512"/>
      <c r="AK76" s="512"/>
      <c r="AL76" s="512"/>
      <c r="AM76" s="461">
        <v>0.0</v>
      </c>
      <c r="AN76" s="461">
        <v>0.0</v>
      </c>
      <c r="AO76" s="461">
        <v>0.0</v>
      </c>
      <c r="AP76" s="512"/>
      <c r="AQ76" s="512"/>
      <c r="AR76" s="512"/>
      <c r="AS76" s="512"/>
      <c r="AT76" s="461">
        <v>0.0</v>
      </c>
      <c r="AU76" s="463">
        <f t="shared" si="205"/>
        <v>0</v>
      </c>
      <c r="AV76" s="465">
        <f t="shared" si="206"/>
        <v>1</v>
      </c>
      <c r="AW76" s="466"/>
      <c r="AX76" s="467">
        <v>2937.98</v>
      </c>
      <c r="AY76" s="467">
        <f>AX76*$AY$1</f>
        <v>20448.3408</v>
      </c>
      <c r="AZ76" s="468"/>
      <c r="BA76" s="469">
        <f t="shared" ref="BA76:BJ76" si="227">L76*$AY76</f>
        <v>0</v>
      </c>
      <c r="BB76" s="469">
        <f t="shared" si="227"/>
        <v>0</v>
      </c>
      <c r="BC76" s="469">
        <f t="shared" si="227"/>
        <v>0</v>
      </c>
      <c r="BD76" s="469">
        <f t="shared" si="227"/>
        <v>0</v>
      </c>
      <c r="BE76" s="469">
        <f t="shared" si="227"/>
        <v>0</v>
      </c>
      <c r="BF76" s="469">
        <f t="shared" si="227"/>
        <v>0</v>
      </c>
      <c r="BG76" s="469">
        <f t="shared" si="227"/>
        <v>0</v>
      </c>
      <c r="BH76" s="469">
        <f t="shared" si="227"/>
        <v>0</v>
      </c>
      <c r="BI76" s="469">
        <f t="shared" si="227"/>
        <v>0</v>
      </c>
      <c r="BJ76" s="469">
        <f t="shared" si="227"/>
        <v>0</v>
      </c>
      <c r="BK76" s="470">
        <f t="shared" si="209"/>
        <v>0</v>
      </c>
      <c r="BL76" s="469">
        <f t="shared" ref="BL76:BU76" si="228">X76*$AY76</f>
        <v>20448.3408</v>
      </c>
      <c r="BM76" s="469">
        <f t="shared" si="228"/>
        <v>0</v>
      </c>
      <c r="BN76" s="469">
        <f t="shared" si="228"/>
        <v>0</v>
      </c>
      <c r="BO76" s="469">
        <f t="shared" si="228"/>
        <v>0</v>
      </c>
      <c r="BP76" s="469">
        <f t="shared" si="228"/>
        <v>0</v>
      </c>
      <c r="BQ76" s="469">
        <f t="shared" si="228"/>
        <v>0</v>
      </c>
      <c r="BR76" s="469">
        <f t="shared" si="228"/>
        <v>0</v>
      </c>
      <c r="BS76" s="469">
        <f t="shared" si="228"/>
        <v>0</v>
      </c>
      <c r="BT76" s="469">
        <f t="shared" si="228"/>
        <v>0</v>
      </c>
      <c r="BU76" s="469">
        <f t="shared" si="228"/>
        <v>0</v>
      </c>
      <c r="BV76" s="470">
        <f t="shared" si="211"/>
        <v>20448.3408</v>
      </c>
      <c r="BW76" s="469">
        <f t="shared" ref="BW76:CF76" si="229">AJ76*$AY76</f>
        <v>0</v>
      </c>
      <c r="BX76" s="469">
        <f t="shared" si="229"/>
        <v>0</v>
      </c>
      <c r="BY76" s="469">
        <f t="shared" si="229"/>
        <v>0</v>
      </c>
      <c r="BZ76" s="469">
        <f t="shared" si="229"/>
        <v>0</v>
      </c>
      <c r="CA76" s="469">
        <f t="shared" si="229"/>
        <v>0</v>
      </c>
      <c r="CB76" s="469">
        <f t="shared" si="229"/>
        <v>0</v>
      </c>
      <c r="CC76" s="469">
        <f t="shared" si="229"/>
        <v>0</v>
      </c>
      <c r="CD76" s="469">
        <f t="shared" si="229"/>
        <v>0</v>
      </c>
      <c r="CE76" s="469">
        <f t="shared" si="229"/>
        <v>0</v>
      </c>
      <c r="CF76" s="469">
        <f t="shared" si="229"/>
        <v>0</v>
      </c>
      <c r="CG76" s="470">
        <f t="shared" si="213"/>
        <v>0</v>
      </c>
      <c r="CH76" s="470">
        <f t="shared" si="214"/>
        <v>20448.3408</v>
      </c>
      <c r="CI76" s="498"/>
      <c r="CJ76" s="547" t="s">
        <v>2894</v>
      </c>
      <c r="CK76" s="472">
        <v>1.0</v>
      </c>
      <c r="CL76" s="104">
        <f>VLOOKUP(I76,Cotizacion!$A$2:$E$423,4,FALSE())</f>
        <v>2937.98</v>
      </c>
    </row>
    <row r="77" ht="15.75" customHeight="1">
      <c r="A77" s="474" t="s">
        <v>2848</v>
      </c>
      <c r="B77" s="477"/>
      <c r="C77" s="477" t="s">
        <v>2852</v>
      </c>
      <c r="D77" s="477" t="s">
        <v>52</v>
      </c>
      <c r="E77" s="477" t="s">
        <v>2708</v>
      </c>
      <c r="F77" s="531" t="s">
        <v>1774</v>
      </c>
      <c r="G77" s="457" t="s">
        <v>2709</v>
      </c>
      <c r="H77" s="548" t="s">
        <v>2895</v>
      </c>
      <c r="I77" s="501" t="s">
        <v>2896</v>
      </c>
      <c r="J77" s="477" t="s">
        <v>2897</v>
      </c>
      <c r="K77" s="502" t="s">
        <v>25</v>
      </c>
      <c r="L77" s="549"/>
      <c r="M77" s="549"/>
      <c r="N77" s="549"/>
      <c r="O77" s="549"/>
      <c r="P77" s="549"/>
      <c r="Q77" s="549"/>
      <c r="R77" s="500"/>
      <c r="S77" s="550"/>
      <c r="T77" s="549"/>
      <c r="U77" s="550"/>
      <c r="V77" s="549"/>
      <c r="W77" s="533">
        <f t="shared" si="203"/>
        <v>0</v>
      </c>
      <c r="X77" s="481">
        <v>10.0</v>
      </c>
      <c r="Y77" s="481">
        <v>5.0</v>
      </c>
      <c r="Z77" s="481">
        <v>10.0</v>
      </c>
      <c r="AA77" s="481">
        <v>30.0</v>
      </c>
      <c r="AB77" s="481">
        <v>30.0</v>
      </c>
      <c r="AC77" s="481">
        <v>40.0</v>
      </c>
      <c r="AD77" s="481">
        <v>15.0</v>
      </c>
      <c r="AE77" s="492">
        <v>10.0</v>
      </c>
      <c r="AF77" s="481">
        <v>3.0</v>
      </c>
      <c r="AG77" s="492">
        <v>0.0</v>
      </c>
      <c r="AH77" s="481">
        <v>0.0</v>
      </c>
      <c r="AI77" s="534">
        <f t="shared" si="204"/>
        <v>153</v>
      </c>
      <c r="AJ77" s="481">
        <v>10.0</v>
      </c>
      <c r="AK77" s="481">
        <v>5.0</v>
      </c>
      <c r="AL77" s="481">
        <v>10.0</v>
      </c>
      <c r="AM77" s="481">
        <v>30.0</v>
      </c>
      <c r="AN77" s="481">
        <v>30.0</v>
      </c>
      <c r="AO77" s="481">
        <v>40.0</v>
      </c>
      <c r="AP77" s="481">
        <v>15.0</v>
      </c>
      <c r="AQ77" s="492">
        <v>10.0</v>
      </c>
      <c r="AR77" s="481">
        <v>3.0</v>
      </c>
      <c r="AS77" s="492">
        <v>0.0</v>
      </c>
      <c r="AT77" s="481">
        <v>0.0</v>
      </c>
      <c r="AU77" s="533">
        <f t="shared" si="205"/>
        <v>153</v>
      </c>
      <c r="AV77" s="535">
        <f t="shared" si="206"/>
        <v>306</v>
      </c>
      <c r="AW77" s="484"/>
      <c r="AX77" s="536">
        <v>439.02</v>
      </c>
      <c r="AY77" s="484">
        <v>3059.9694</v>
      </c>
      <c r="AZ77" s="504"/>
      <c r="BA77" s="487">
        <f t="shared" ref="BA77:BJ77" si="230">L77*$AY77</f>
        <v>0</v>
      </c>
      <c r="BB77" s="487">
        <f t="shared" si="230"/>
        <v>0</v>
      </c>
      <c r="BC77" s="487">
        <f t="shared" si="230"/>
        <v>0</v>
      </c>
      <c r="BD77" s="487">
        <f t="shared" si="230"/>
        <v>0</v>
      </c>
      <c r="BE77" s="487">
        <f t="shared" si="230"/>
        <v>0</v>
      </c>
      <c r="BF77" s="487">
        <f t="shared" si="230"/>
        <v>0</v>
      </c>
      <c r="BG77" s="487">
        <f t="shared" si="230"/>
        <v>0</v>
      </c>
      <c r="BH77" s="487">
        <f t="shared" si="230"/>
        <v>0</v>
      </c>
      <c r="BI77" s="487">
        <f t="shared" si="230"/>
        <v>0</v>
      </c>
      <c r="BJ77" s="487">
        <f t="shared" si="230"/>
        <v>0</v>
      </c>
      <c r="BK77" s="487">
        <f t="shared" si="209"/>
        <v>0</v>
      </c>
      <c r="BL77" s="487">
        <f t="shared" ref="BL77:BU77" si="231">X77*$AY77</f>
        <v>30599.694</v>
      </c>
      <c r="BM77" s="487">
        <f t="shared" si="231"/>
        <v>15299.847</v>
      </c>
      <c r="BN77" s="487">
        <f t="shared" si="231"/>
        <v>30599.694</v>
      </c>
      <c r="BO77" s="487">
        <f t="shared" si="231"/>
        <v>91799.082</v>
      </c>
      <c r="BP77" s="487">
        <f t="shared" si="231"/>
        <v>91799.082</v>
      </c>
      <c r="BQ77" s="487">
        <f t="shared" si="231"/>
        <v>122398.776</v>
      </c>
      <c r="BR77" s="487">
        <f t="shared" si="231"/>
        <v>45899.541</v>
      </c>
      <c r="BS77" s="487">
        <f t="shared" si="231"/>
        <v>30599.694</v>
      </c>
      <c r="BT77" s="487">
        <f t="shared" si="231"/>
        <v>9179.9082</v>
      </c>
      <c r="BU77" s="487">
        <f t="shared" si="231"/>
        <v>0</v>
      </c>
      <c r="BV77" s="487">
        <f t="shared" si="211"/>
        <v>468175.3182</v>
      </c>
      <c r="BW77" s="487">
        <f t="shared" ref="BW77:CF77" si="232">AJ77*$AY77</f>
        <v>30599.694</v>
      </c>
      <c r="BX77" s="487">
        <f t="shared" si="232"/>
        <v>15299.847</v>
      </c>
      <c r="BY77" s="487">
        <f t="shared" si="232"/>
        <v>30599.694</v>
      </c>
      <c r="BZ77" s="487">
        <f t="shared" si="232"/>
        <v>91799.082</v>
      </c>
      <c r="CA77" s="487">
        <f t="shared" si="232"/>
        <v>91799.082</v>
      </c>
      <c r="CB77" s="487">
        <f t="shared" si="232"/>
        <v>122398.776</v>
      </c>
      <c r="CC77" s="487">
        <f t="shared" si="232"/>
        <v>45899.541</v>
      </c>
      <c r="CD77" s="487">
        <f t="shared" si="232"/>
        <v>30599.694</v>
      </c>
      <c r="CE77" s="487">
        <f t="shared" si="232"/>
        <v>9179.9082</v>
      </c>
      <c r="CF77" s="487">
        <f t="shared" si="232"/>
        <v>0</v>
      </c>
      <c r="CG77" s="487">
        <f t="shared" si="213"/>
        <v>468175.3182</v>
      </c>
      <c r="CH77" s="487">
        <f t="shared" si="214"/>
        <v>936350.6364</v>
      </c>
      <c r="CI77" s="489"/>
      <c r="CJ77" s="505" t="s">
        <v>2898</v>
      </c>
      <c r="CK77" s="472">
        <v>1.0</v>
      </c>
    </row>
    <row r="78" ht="15.75" customHeight="1">
      <c r="A78" s="453" t="s">
        <v>2848</v>
      </c>
      <c r="B78" s="454">
        <v>2.0</v>
      </c>
      <c r="C78" s="456" t="s">
        <v>2852</v>
      </c>
      <c r="D78" s="456" t="s">
        <v>52</v>
      </c>
      <c r="E78" s="456" t="s">
        <v>2708</v>
      </c>
      <c r="F78" s="456" t="s">
        <v>1763</v>
      </c>
      <c r="G78" s="457" t="s">
        <v>2709</v>
      </c>
      <c r="H78" s="457" t="s">
        <v>2899</v>
      </c>
      <c r="I78" s="514" t="s">
        <v>1862</v>
      </c>
      <c r="J78" s="459" t="s">
        <v>786</v>
      </c>
      <c r="K78" s="515" t="s">
        <v>25</v>
      </c>
      <c r="L78" s="461">
        <v>197.0</v>
      </c>
      <c r="M78" s="461">
        <v>117.0</v>
      </c>
      <c r="N78" s="461">
        <v>172.0</v>
      </c>
      <c r="O78" s="461">
        <v>222.0</v>
      </c>
      <c r="P78" s="461">
        <v>254.0</v>
      </c>
      <c r="Q78" s="461">
        <v>420.0</v>
      </c>
      <c r="R78" s="462">
        <v>0.0</v>
      </c>
      <c r="S78" s="461">
        <v>314.0</v>
      </c>
      <c r="T78" s="461">
        <v>54.0</v>
      </c>
      <c r="U78" s="490">
        <v>0.0</v>
      </c>
      <c r="V78" s="461">
        <v>0.0</v>
      </c>
      <c r="W78" s="463">
        <f t="shared" si="203"/>
        <v>1750</v>
      </c>
      <c r="X78" s="461">
        <v>197.0</v>
      </c>
      <c r="Y78" s="461">
        <v>117.0</v>
      </c>
      <c r="Z78" s="461">
        <v>172.0</v>
      </c>
      <c r="AA78" s="461">
        <v>222.0</v>
      </c>
      <c r="AB78" s="461">
        <v>254.0</v>
      </c>
      <c r="AC78" s="461">
        <v>420.0</v>
      </c>
      <c r="AD78" s="462">
        <v>0.0</v>
      </c>
      <c r="AE78" s="461">
        <v>314.0</v>
      </c>
      <c r="AF78" s="461">
        <v>54.0</v>
      </c>
      <c r="AG78" s="490">
        <v>0.0</v>
      </c>
      <c r="AH78" s="461">
        <v>0.0</v>
      </c>
      <c r="AI78" s="464">
        <f t="shared" si="204"/>
        <v>1750</v>
      </c>
      <c r="AJ78" s="461">
        <v>197.0</v>
      </c>
      <c r="AK78" s="461">
        <v>117.0</v>
      </c>
      <c r="AL78" s="461">
        <v>172.0</v>
      </c>
      <c r="AM78" s="461">
        <v>222.0</v>
      </c>
      <c r="AN78" s="461">
        <v>254.0</v>
      </c>
      <c r="AO78" s="461">
        <v>420.0</v>
      </c>
      <c r="AP78" s="461">
        <v>266.0</v>
      </c>
      <c r="AQ78" s="461">
        <v>314.0</v>
      </c>
      <c r="AR78" s="461">
        <v>54.0</v>
      </c>
      <c r="AS78" s="461">
        <v>330.0</v>
      </c>
      <c r="AT78" s="461">
        <v>0.0</v>
      </c>
      <c r="AU78" s="463">
        <f t="shared" si="205"/>
        <v>2346</v>
      </c>
      <c r="AV78" s="465">
        <f t="shared" si="206"/>
        <v>5846</v>
      </c>
      <c r="AW78" s="466"/>
      <c r="AX78" s="516">
        <v>0.5</v>
      </c>
      <c r="AY78" s="467">
        <f t="shared" ref="AY78:AY80" si="236">AX78*$AY$1</f>
        <v>3.48</v>
      </c>
      <c r="AZ78" s="538"/>
      <c r="BA78" s="469">
        <f t="shared" ref="BA78:BJ78" si="233">L78*$AY78</f>
        <v>685.56</v>
      </c>
      <c r="BB78" s="469">
        <f t="shared" si="233"/>
        <v>407.16</v>
      </c>
      <c r="BC78" s="469">
        <f t="shared" si="233"/>
        <v>598.56</v>
      </c>
      <c r="BD78" s="469">
        <f t="shared" si="233"/>
        <v>772.56</v>
      </c>
      <c r="BE78" s="469">
        <f t="shared" si="233"/>
        <v>883.92</v>
      </c>
      <c r="BF78" s="469">
        <f t="shared" si="233"/>
        <v>1461.6</v>
      </c>
      <c r="BG78" s="469">
        <f t="shared" si="233"/>
        <v>0</v>
      </c>
      <c r="BH78" s="469">
        <f t="shared" si="233"/>
        <v>1092.72</v>
      </c>
      <c r="BI78" s="469">
        <f t="shared" si="233"/>
        <v>187.92</v>
      </c>
      <c r="BJ78" s="469">
        <f t="shared" si="233"/>
        <v>0</v>
      </c>
      <c r="BK78" s="470">
        <f t="shared" si="209"/>
        <v>6090</v>
      </c>
      <c r="BL78" s="469">
        <f t="shared" ref="BL78:BU78" si="234">X78*$AY78</f>
        <v>685.56</v>
      </c>
      <c r="BM78" s="469">
        <f t="shared" si="234"/>
        <v>407.16</v>
      </c>
      <c r="BN78" s="469">
        <f t="shared" si="234"/>
        <v>598.56</v>
      </c>
      <c r="BO78" s="469">
        <f t="shared" si="234"/>
        <v>772.56</v>
      </c>
      <c r="BP78" s="469">
        <f t="shared" si="234"/>
        <v>883.92</v>
      </c>
      <c r="BQ78" s="469">
        <f t="shared" si="234"/>
        <v>1461.6</v>
      </c>
      <c r="BR78" s="469">
        <f t="shared" si="234"/>
        <v>0</v>
      </c>
      <c r="BS78" s="469">
        <f t="shared" si="234"/>
        <v>1092.72</v>
      </c>
      <c r="BT78" s="469">
        <f t="shared" si="234"/>
        <v>187.92</v>
      </c>
      <c r="BU78" s="469">
        <f t="shared" si="234"/>
        <v>0</v>
      </c>
      <c r="BV78" s="470">
        <f t="shared" si="211"/>
        <v>6090</v>
      </c>
      <c r="BW78" s="469">
        <f t="shared" ref="BW78:CF78" si="235">AJ78*$AY78</f>
        <v>685.56</v>
      </c>
      <c r="BX78" s="469">
        <f t="shared" si="235"/>
        <v>407.16</v>
      </c>
      <c r="BY78" s="469">
        <f t="shared" si="235"/>
        <v>598.56</v>
      </c>
      <c r="BZ78" s="469">
        <f t="shared" si="235"/>
        <v>772.56</v>
      </c>
      <c r="CA78" s="469">
        <f t="shared" si="235"/>
        <v>883.92</v>
      </c>
      <c r="CB78" s="469">
        <f t="shared" si="235"/>
        <v>1461.6</v>
      </c>
      <c r="CC78" s="469">
        <f t="shared" si="235"/>
        <v>925.68</v>
      </c>
      <c r="CD78" s="469">
        <f t="shared" si="235"/>
        <v>1092.72</v>
      </c>
      <c r="CE78" s="469">
        <f t="shared" si="235"/>
        <v>187.92</v>
      </c>
      <c r="CF78" s="469">
        <f t="shared" si="235"/>
        <v>1148.4</v>
      </c>
      <c r="CG78" s="470">
        <f t="shared" si="213"/>
        <v>8164.08</v>
      </c>
      <c r="CH78" s="470">
        <f t="shared" si="214"/>
        <v>20344.08</v>
      </c>
      <c r="CI78" s="471"/>
      <c r="CJ78" s="518"/>
      <c r="CK78" s="472">
        <v>1.0</v>
      </c>
      <c r="CL78" s="104">
        <f>VLOOKUP(I78,Cotizacion!$A$2:$E$423,4,FALSE())</f>
        <v>0.5</v>
      </c>
    </row>
    <row r="79" ht="15.75" customHeight="1">
      <c r="A79" s="474" t="s">
        <v>2848</v>
      </c>
      <c r="B79" s="475">
        <v>2.0</v>
      </c>
      <c r="C79" s="477" t="s">
        <v>2852</v>
      </c>
      <c r="D79" s="477" t="s">
        <v>52</v>
      </c>
      <c r="E79" s="477" t="s">
        <v>2708</v>
      </c>
      <c r="F79" s="477" t="s">
        <v>1763</v>
      </c>
      <c r="G79" s="457" t="s">
        <v>2709</v>
      </c>
      <c r="H79" s="457" t="s">
        <v>2900</v>
      </c>
      <c r="I79" s="501" t="s">
        <v>2018</v>
      </c>
      <c r="J79" s="479" t="s">
        <v>726</v>
      </c>
      <c r="K79" s="502" t="s">
        <v>25</v>
      </c>
      <c r="L79" s="481">
        <v>23.0</v>
      </c>
      <c r="M79" s="481">
        <v>18.0</v>
      </c>
      <c r="N79" s="481">
        <v>28.0</v>
      </c>
      <c r="O79" s="481">
        <v>20.0</v>
      </c>
      <c r="P79" s="481">
        <v>23.0</v>
      </c>
      <c r="Q79" s="481">
        <v>39.0</v>
      </c>
      <c r="R79" s="481">
        <v>18.0</v>
      </c>
      <c r="S79" s="481">
        <v>18.0</v>
      </c>
      <c r="T79" s="481">
        <v>9.0</v>
      </c>
      <c r="U79" s="481">
        <v>28.0</v>
      </c>
      <c r="V79" s="481">
        <v>0.0</v>
      </c>
      <c r="W79" s="463">
        <f t="shared" si="203"/>
        <v>224</v>
      </c>
      <c r="X79" s="481">
        <v>25.0</v>
      </c>
      <c r="Y79" s="481">
        <v>20.0</v>
      </c>
      <c r="Z79" s="481">
        <v>30.0</v>
      </c>
      <c r="AA79" s="481">
        <v>22.0</v>
      </c>
      <c r="AB79" s="481">
        <v>25.0</v>
      </c>
      <c r="AC79" s="481">
        <v>42.0</v>
      </c>
      <c r="AD79" s="481">
        <v>20.0</v>
      </c>
      <c r="AE79" s="481">
        <v>20.0</v>
      </c>
      <c r="AF79" s="481">
        <v>10.0</v>
      </c>
      <c r="AG79" s="481">
        <v>30.0</v>
      </c>
      <c r="AH79" s="481">
        <v>0.0</v>
      </c>
      <c r="AI79" s="464">
        <f t="shared" si="204"/>
        <v>244</v>
      </c>
      <c r="AJ79" s="481">
        <v>25.0</v>
      </c>
      <c r="AK79" s="481">
        <v>20.0</v>
      </c>
      <c r="AL79" s="481">
        <v>30.0</v>
      </c>
      <c r="AM79" s="481">
        <v>22.0</v>
      </c>
      <c r="AN79" s="481">
        <v>25.0</v>
      </c>
      <c r="AO79" s="481">
        <v>42.0</v>
      </c>
      <c r="AP79" s="481">
        <v>20.0</v>
      </c>
      <c r="AQ79" s="481">
        <v>20.0</v>
      </c>
      <c r="AR79" s="481">
        <v>10.0</v>
      </c>
      <c r="AS79" s="481">
        <v>30.0</v>
      </c>
      <c r="AT79" s="481">
        <v>0.0</v>
      </c>
      <c r="AU79" s="463">
        <f t="shared" si="205"/>
        <v>244</v>
      </c>
      <c r="AV79" s="483">
        <f t="shared" si="206"/>
        <v>712</v>
      </c>
      <c r="AW79" s="484"/>
      <c r="AX79" s="503">
        <v>3.81</v>
      </c>
      <c r="AY79" s="485">
        <f t="shared" si="236"/>
        <v>26.5176</v>
      </c>
      <c r="AZ79" s="504"/>
      <c r="BA79" s="487">
        <f t="shared" ref="BA79:BJ79" si="237">L79*$AY79</f>
        <v>609.9048</v>
      </c>
      <c r="BB79" s="487">
        <f t="shared" si="237"/>
        <v>477.3168</v>
      </c>
      <c r="BC79" s="487">
        <f t="shared" si="237"/>
        <v>742.4928</v>
      </c>
      <c r="BD79" s="487">
        <f t="shared" si="237"/>
        <v>530.352</v>
      </c>
      <c r="BE79" s="487">
        <f t="shared" si="237"/>
        <v>609.9048</v>
      </c>
      <c r="BF79" s="487">
        <f t="shared" si="237"/>
        <v>1034.1864</v>
      </c>
      <c r="BG79" s="487">
        <f t="shared" si="237"/>
        <v>477.3168</v>
      </c>
      <c r="BH79" s="487">
        <f t="shared" si="237"/>
        <v>477.3168</v>
      </c>
      <c r="BI79" s="487">
        <f t="shared" si="237"/>
        <v>238.6584</v>
      </c>
      <c r="BJ79" s="487">
        <f t="shared" si="237"/>
        <v>742.4928</v>
      </c>
      <c r="BK79" s="488">
        <f t="shared" si="209"/>
        <v>5939.9424</v>
      </c>
      <c r="BL79" s="487">
        <f t="shared" ref="BL79:BU79" si="238">X79*$AY79</f>
        <v>662.94</v>
      </c>
      <c r="BM79" s="487">
        <f t="shared" si="238"/>
        <v>530.352</v>
      </c>
      <c r="BN79" s="487">
        <f t="shared" si="238"/>
        <v>795.528</v>
      </c>
      <c r="BO79" s="487">
        <f t="shared" si="238"/>
        <v>583.3872</v>
      </c>
      <c r="BP79" s="487">
        <f t="shared" si="238"/>
        <v>662.94</v>
      </c>
      <c r="BQ79" s="487">
        <f t="shared" si="238"/>
        <v>1113.7392</v>
      </c>
      <c r="BR79" s="487">
        <f t="shared" si="238"/>
        <v>530.352</v>
      </c>
      <c r="BS79" s="487">
        <f t="shared" si="238"/>
        <v>530.352</v>
      </c>
      <c r="BT79" s="487">
        <f t="shared" si="238"/>
        <v>265.176</v>
      </c>
      <c r="BU79" s="487">
        <f t="shared" si="238"/>
        <v>795.528</v>
      </c>
      <c r="BV79" s="488">
        <f t="shared" si="211"/>
        <v>6470.2944</v>
      </c>
      <c r="BW79" s="487">
        <f t="shared" ref="BW79:CF79" si="239">AJ79*$AY79</f>
        <v>662.94</v>
      </c>
      <c r="BX79" s="487">
        <f t="shared" si="239"/>
        <v>530.352</v>
      </c>
      <c r="BY79" s="487">
        <f t="shared" si="239"/>
        <v>795.528</v>
      </c>
      <c r="BZ79" s="487">
        <f t="shared" si="239"/>
        <v>583.3872</v>
      </c>
      <c r="CA79" s="487">
        <f t="shared" si="239"/>
        <v>662.94</v>
      </c>
      <c r="CB79" s="487">
        <f t="shared" si="239"/>
        <v>1113.7392</v>
      </c>
      <c r="CC79" s="487">
        <f t="shared" si="239"/>
        <v>530.352</v>
      </c>
      <c r="CD79" s="487">
        <f t="shared" si="239"/>
        <v>530.352</v>
      </c>
      <c r="CE79" s="487">
        <f t="shared" si="239"/>
        <v>265.176</v>
      </c>
      <c r="CF79" s="487">
        <f t="shared" si="239"/>
        <v>795.528</v>
      </c>
      <c r="CG79" s="488">
        <f t="shared" si="213"/>
        <v>6470.2944</v>
      </c>
      <c r="CH79" s="488">
        <f t="shared" si="214"/>
        <v>18880.5312</v>
      </c>
      <c r="CI79" s="489"/>
      <c r="CJ79" s="505"/>
      <c r="CK79" s="472">
        <v>1.0</v>
      </c>
      <c r="CL79" s="104">
        <f>VLOOKUP(I79,Cotizacion!$A$2:$E$423,4,FALSE())</f>
        <v>3.81</v>
      </c>
    </row>
    <row r="80" ht="15.75" customHeight="1">
      <c r="A80" s="453" t="s">
        <v>2848</v>
      </c>
      <c r="B80" s="454">
        <v>2.0</v>
      </c>
      <c r="C80" s="455" t="s">
        <v>2852</v>
      </c>
      <c r="D80" s="456" t="s">
        <v>46</v>
      </c>
      <c r="E80" s="455" t="s">
        <v>2708</v>
      </c>
      <c r="F80" s="455" t="s">
        <v>1763</v>
      </c>
      <c r="G80" s="457" t="s">
        <v>2709</v>
      </c>
      <c r="H80" s="457" t="s">
        <v>2901</v>
      </c>
      <c r="I80" s="458" t="s">
        <v>2213</v>
      </c>
      <c r="J80" s="459" t="s">
        <v>774</v>
      </c>
      <c r="K80" s="460" t="s">
        <v>25</v>
      </c>
      <c r="L80" s="461">
        <v>80.0</v>
      </c>
      <c r="M80" s="461">
        <v>60.0</v>
      </c>
      <c r="N80" s="461">
        <v>72.0</v>
      </c>
      <c r="O80" s="462">
        <v>0.0</v>
      </c>
      <c r="P80" s="462">
        <v>0.0</v>
      </c>
      <c r="Q80" s="462">
        <v>0.0</v>
      </c>
      <c r="R80" s="462">
        <v>0.0</v>
      </c>
      <c r="S80" s="461">
        <v>64.0</v>
      </c>
      <c r="T80" s="461">
        <v>12.0</v>
      </c>
      <c r="U80" s="490">
        <v>0.0</v>
      </c>
      <c r="V80" s="461">
        <v>0.0</v>
      </c>
      <c r="W80" s="463">
        <f t="shared" si="203"/>
        <v>288</v>
      </c>
      <c r="X80" s="461">
        <v>80.0</v>
      </c>
      <c r="Y80" s="461">
        <v>60.0</v>
      </c>
      <c r="Z80" s="461">
        <v>72.0</v>
      </c>
      <c r="AA80" s="461">
        <v>44.0</v>
      </c>
      <c r="AB80" s="461">
        <v>52.0</v>
      </c>
      <c r="AC80" s="461">
        <v>84.0</v>
      </c>
      <c r="AD80" s="461">
        <v>52.0</v>
      </c>
      <c r="AE80" s="461">
        <v>64.0</v>
      </c>
      <c r="AF80" s="461">
        <v>12.0</v>
      </c>
      <c r="AG80" s="490">
        <v>0.0</v>
      </c>
      <c r="AH80" s="461">
        <v>0.0</v>
      </c>
      <c r="AI80" s="464">
        <f t="shared" si="204"/>
        <v>520</v>
      </c>
      <c r="AJ80" s="461">
        <v>80.0</v>
      </c>
      <c r="AK80" s="461">
        <v>60.0</v>
      </c>
      <c r="AL80" s="461">
        <v>72.0</v>
      </c>
      <c r="AM80" s="461">
        <v>44.0</v>
      </c>
      <c r="AN80" s="461">
        <v>52.0</v>
      </c>
      <c r="AO80" s="461">
        <v>84.0</v>
      </c>
      <c r="AP80" s="461">
        <v>52.0</v>
      </c>
      <c r="AQ80" s="461">
        <v>64.0</v>
      </c>
      <c r="AR80" s="461">
        <v>12.0</v>
      </c>
      <c r="AS80" s="490">
        <v>0.0</v>
      </c>
      <c r="AT80" s="461">
        <v>0.0</v>
      </c>
      <c r="AU80" s="463">
        <f t="shared" si="205"/>
        <v>520</v>
      </c>
      <c r="AV80" s="465">
        <f t="shared" si="206"/>
        <v>1328</v>
      </c>
      <c r="AW80" s="466"/>
      <c r="AX80" s="467">
        <v>2.04</v>
      </c>
      <c r="AY80" s="467">
        <f t="shared" si="236"/>
        <v>14.1984</v>
      </c>
      <c r="AZ80" s="468"/>
      <c r="BA80" s="469">
        <f t="shared" ref="BA80:BJ80" si="240">L80*$AY80</f>
        <v>1135.872</v>
      </c>
      <c r="BB80" s="469">
        <f t="shared" si="240"/>
        <v>851.904</v>
      </c>
      <c r="BC80" s="469">
        <f t="shared" si="240"/>
        <v>1022.2848</v>
      </c>
      <c r="BD80" s="469">
        <f t="shared" si="240"/>
        <v>0</v>
      </c>
      <c r="BE80" s="469">
        <f t="shared" si="240"/>
        <v>0</v>
      </c>
      <c r="BF80" s="469">
        <f t="shared" si="240"/>
        <v>0</v>
      </c>
      <c r="BG80" s="469">
        <f t="shared" si="240"/>
        <v>0</v>
      </c>
      <c r="BH80" s="469">
        <f t="shared" si="240"/>
        <v>908.6976</v>
      </c>
      <c r="BI80" s="469">
        <f t="shared" si="240"/>
        <v>170.3808</v>
      </c>
      <c r="BJ80" s="469">
        <f t="shared" si="240"/>
        <v>0</v>
      </c>
      <c r="BK80" s="470">
        <f t="shared" si="209"/>
        <v>4089.1392</v>
      </c>
      <c r="BL80" s="469">
        <f t="shared" ref="BL80:BU80" si="241">X80*$AY80</f>
        <v>1135.872</v>
      </c>
      <c r="BM80" s="469">
        <f t="shared" si="241"/>
        <v>851.904</v>
      </c>
      <c r="BN80" s="469">
        <f t="shared" si="241"/>
        <v>1022.2848</v>
      </c>
      <c r="BO80" s="469">
        <f t="shared" si="241"/>
        <v>624.7296</v>
      </c>
      <c r="BP80" s="469">
        <f t="shared" si="241"/>
        <v>738.3168</v>
      </c>
      <c r="BQ80" s="469">
        <f t="shared" si="241"/>
        <v>1192.6656</v>
      </c>
      <c r="BR80" s="469">
        <f t="shared" si="241"/>
        <v>738.3168</v>
      </c>
      <c r="BS80" s="469">
        <f t="shared" si="241"/>
        <v>908.6976</v>
      </c>
      <c r="BT80" s="469">
        <f t="shared" si="241"/>
        <v>170.3808</v>
      </c>
      <c r="BU80" s="469">
        <f t="shared" si="241"/>
        <v>0</v>
      </c>
      <c r="BV80" s="470">
        <f t="shared" si="211"/>
        <v>7383.168</v>
      </c>
      <c r="BW80" s="469">
        <f t="shared" ref="BW80:CF80" si="242">AJ80*$AY80</f>
        <v>1135.872</v>
      </c>
      <c r="BX80" s="469">
        <f t="shared" si="242"/>
        <v>851.904</v>
      </c>
      <c r="BY80" s="469">
        <f t="shared" si="242"/>
        <v>1022.2848</v>
      </c>
      <c r="BZ80" s="469">
        <f t="shared" si="242"/>
        <v>624.7296</v>
      </c>
      <c r="CA80" s="469">
        <f t="shared" si="242"/>
        <v>738.3168</v>
      </c>
      <c r="CB80" s="469">
        <f t="shared" si="242"/>
        <v>1192.6656</v>
      </c>
      <c r="CC80" s="469">
        <f t="shared" si="242"/>
        <v>738.3168</v>
      </c>
      <c r="CD80" s="469">
        <f t="shared" si="242"/>
        <v>908.6976</v>
      </c>
      <c r="CE80" s="469">
        <f t="shared" si="242"/>
        <v>170.3808</v>
      </c>
      <c r="CF80" s="469">
        <f t="shared" si="242"/>
        <v>0</v>
      </c>
      <c r="CG80" s="470">
        <f t="shared" si="213"/>
        <v>7383.168</v>
      </c>
      <c r="CH80" s="470">
        <f t="shared" si="214"/>
        <v>18855.4752</v>
      </c>
      <c r="CI80" s="471"/>
      <c r="CJ80" s="469"/>
      <c r="CK80" s="472">
        <v>1.0</v>
      </c>
      <c r="CL80" s="104">
        <f>VLOOKUP(I80,Cotizacion!$A$2:$E$423,4,FALSE())</f>
        <v>2.04</v>
      </c>
    </row>
    <row r="81" ht="15.75" customHeight="1">
      <c r="A81" s="474"/>
      <c r="B81" s="476"/>
      <c r="C81" s="476"/>
      <c r="D81" s="476"/>
      <c r="E81" s="476"/>
      <c r="F81" s="476"/>
      <c r="G81" s="476"/>
      <c r="H81" s="476"/>
      <c r="I81" s="506"/>
      <c r="J81" s="477"/>
      <c r="K81" s="480"/>
      <c r="L81" s="481"/>
      <c r="M81" s="481"/>
      <c r="N81" s="481"/>
      <c r="O81" s="481"/>
      <c r="P81" s="481"/>
      <c r="Q81" s="481"/>
      <c r="R81" s="481"/>
      <c r="S81" s="481"/>
      <c r="T81" s="481"/>
      <c r="U81" s="481"/>
      <c r="V81" s="481"/>
      <c r="W81" s="522"/>
      <c r="X81" s="481"/>
      <c r="Y81" s="481"/>
      <c r="Z81" s="481"/>
      <c r="AA81" s="481"/>
      <c r="AB81" s="481"/>
      <c r="AC81" s="481"/>
      <c r="AD81" s="481"/>
      <c r="AE81" s="481"/>
      <c r="AF81" s="481"/>
      <c r="AG81" s="481"/>
      <c r="AH81" s="481"/>
      <c r="AI81" s="522"/>
      <c r="AJ81" s="481"/>
      <c r="AK81" s="481"/>
      <c r="AL81" s="481"/>
      <c r="AM81" s="481"/>
      <c r="AN81" s="481"/>
      <c r="AO81" s="481"/>
      <c r="AP81" s="481"/>
      <c r="AQ81" s="481"/>
      <c r="AR81" s="481"/>
      <c r="AS81" s="481"/>
      <c r="AT81" s="481"/>
      <c r="AU81" s="522"/>
      <c r="AV81" s="481"/>
      <c r="AW81" s="484"/>
      <c r="AX81" s="525"/>
      <c r="AY81" s="481"/>
      <c r="AZ81" s="486"/>
      <c r="BA81" s="487"/>
      <c r="BB81" s="487"/>
      <c r="BC81" s="487"/>
      <c r="BD81" s="487"/>
      <c r="BE81" s="487"/>
      <c r="BF81" s="487"/>
      <c r="BG81" s="487"/>
      <c r="BH81" s="487"/>
      <c r="BI81" s="487"/>
      <c r="BJ81" s="487"/>
      <c r="BK81" s="487"/>
      <c r="BL81" s="487"/>
      <c r="BM81" s="487"/>
      <c r="BN81" s="487"/>
      <c r="BO81" s="487"/>
      <c r="BP81" s="487"/>
      <c r="BQ81" s="487"/>
      <c r="BR81" s="487"/>
      <c r="BS81" s="487"/>
      <c r="BT81" s="487"/>
      <c r="BU81" s="487"/>
      <c r="BV81" s="487"/>
      <c r="BW81" s="487"/>
      <c r="BX81" s="487"/>
      <c r="BY81" s="487"/>
      <c r="BZ81" s="487"/>
      <c r="CA81" s="487"/>
      <c r="CB81" s="487"/>
      <c r="CC81" s="487"/>
      <c r="CD81" s="487"/>
      <c r="CE81" s="487"/>
      <c r="CF81" s="487"/>
      <c r="CG81" s="487"/>
      <c r="CH81" s="487"/>
      <c r="CI81" s="508"/>
      <c r="CJ81" s="509"/>
      <c r="CK81" s="472"/>
    </row>
    <row r="82" ht="15.75" customHeight="1">
      <c r="A82" s="453" t="s">
        <v>2848</v>
      </c>
      <c r="B82" s="454">
        <v>2.0</v>
      </c>
      <c r="C82" s="455" t="s">
        <v>2808</v>
      </c>
      <c r="D82" s="456" t="s">
        <v>61</v>
      </c>
      <c r="E82" s="455" t="s">
        <v>2708</v>
      </c>
      <c r="F82" s="455" t="s">
        <v>1763</v>
      </c>
      <c r="G82" s="457" t="s">
        <v>2709</v>
      </c>
      <c r="H82" s="457" t="s">
        <v>2902</v>
      </c>
      <c r="I82" s="458" t="s">
        <v>2063</v>
      </c>
      <c r="J82" s="459" t="s">
        <v>882</v>
      </c>
      <c r="K82" s="460" t="s">
        <v>25</v>
      </c>
      <c r="L82" s="461">
        <v>0.0</v>
      </c>
      <c r="M82" s="461">
        <v>0.0</v>
      </c>
      <c r="N82" s="461">
        <v>0.0</v>
      </c>
      <c r="O82" s="461">
        <v>0.0</v>
      </c>
      <c r="P82" s="461">
        <v>0.0</v>
      </c>
      <c r="Q82" s="461">
        <v>0.0</v>
      </c>
      <c r="R82" s="461">
        <v>0.0</v>
      </c>
      <c r="S82" s="461">
        <v>0.0</v>
      </c>
      <c r="T82" s="461">
        <v>0.0</v>
      </c>
      <c r="U82" s="461">
        <v>0.0</v>
      </c>
      <c r="V82" s="461">
        <v>0.0</v>
      </c>
      <c r="W82" s="463">
        <f t="shared" ref="W82:W108" si="246">SUM(L82:V82)</f>
        <v>0</v>
      </c>
      <c r="X82" s="461">
        <v>0.0</v>
      </c>
      <c r="Y82" s="461">
        <v>0.0</v>
      </c>
      <c r="Z82" s="461">
        <v>0.0</v>
      </c>
      <c r="AA82" s="461">
        <v>0.0</v>
      </c>
      <c r="AB82" s="461">
        <v>0.0</v>
      </c>
      <c r="AC82" s="461">
        <v>0.0</v>
      </c>
      <c r="AD82" s="461">
        <v>0.0</v>
      </c>
      <c r="AE82" s="490">
        <v>6.0</v>
      </c>
      <c r="AF82" s="461">
        <v>0.0</v>
      </c>
      <c r="AG82" s="461">
        <v>10.0</v>
      </c>
      <c r="AH82" s="461">
        <v>0.0</v>
      </c>
      <c r="AI82" s="464">
        <f t="shared" ref="AI82:AI108" si="247">SUM(X82:AH82)</f>
        <v>16</v>
      </c>
      <c r="AJ82" s="461">
        <v>0.0</v>
      </c>
      <c r="AK82" s="461">
        <v>0.0</v>
      </c>
      <c r="AL82" s="461">
        <v>0.0</v>
      </c>
      <c r="AM82" s="461">
        <v>0.0</v>
      </c>
      <c r="AN82" s="461">
        <v>0.0</v>
      </c>
      <c r="AO82" s="461">
        <v>0.0</v>
      </c>
      <c r="AP82" s="462">
        <v>10.0</v>
      </c>
      <c r="AQ82" s="490">
        <v>6.0</v>
      </c>
      <c r="AR82" s="461">
        <v>0.0</v>
      </c>
      <c r="AS82" s="461">
        <v>10.0</v>
      </c>
      <c r="AT82" s="461">
        <v>0.0</v>
      </c>
      <c r="AU82" s="463">
        <f t="shared" ref="AU82:AU108" si="248">ROUNDUP( SUM(AJ82:AT82))</f>
        <v>26</v>
      </c>
      <c r="AV82" s="465">
        <f t="shared" ref="AV82:AV108" si="249">W82+AI82+AU82</f>
        <v>42</v>
      </c>
      <c r="AW82" s="466"/>
      <c r="AX82" s="467">
        <v>64.26</v>
      </c>
      <c r="AY82" s="467">
        <f t="shared" ref="AY82:AY108" si="250">AX82*$AY$1</f>
        <v>447.2496</v>
      </c>
      <c r="AZ82" s="468"/>
      <c r="BA82" s="469">
        <f t="shared" ref="BA82:BJ82" si="243">L82*$AY82</f>
        <v>0</v>
      </c>
      <c r="BB82" s="469">
        <f t="shared" si="243"/>
        <v>0</v>
      </c>
      <c r="BC82" s="469">
        <f t="shared" si="243"/>
        <v>0</v>
      </c>
      <c r="BD82" s="469">
        <f t="shared" si="243"/>
        <v>0</v>
      </c>
      <c r="BE82" s="469">
        <f t="shared" si="243"/>
        <v>0</v>
      </c>
      <c r="BF82" s="469">
        <f t="shared" si="243"/>
        <v>0</v>
      </c>
      <c r="BG82" s="469">
        <f t="shared" si="243"/>
        <v>0</v>
      </c>
      <c r="BH82" s="469">
        <f t="shared" si="243"/>
        <v>0</v>
      </c>
      <c r="BI82" s="469">
        <f t="shared" si="243"/>
        <v>0</v>
      </c>
      <c r="BJ82" s="469">
        <f t="shared" si="243"/>
        <v>0</v>
      </c>
      <c r="BK82" s="470">
        <f t="shared" ref="BK82:BK108" si="252">AY82*W82</f>
        <v>0</v>
      </c>
      <c r="BL82" s="469">
        <f t="shared" ref="BL82:BU82" si="244">X82*$AY82</f>
        <v>0</v>
      </c>
      <c r="BM82" s="469">
        <f t="shared" si="244"/>
        <v>0</v>
      </c>
      <c r="BN82" s="469">
        <f t="shared" si="244"/>
        <v>0</v>
      </c>
      <c r="BO82" s="469">
        <f t="shared" si="244"/>
        <v>0</v>
      </c>
      <c r="BP82" s="469">
        <f t="shared" si="244"/>
        <v>0</v>
      </c>
      <c r="BQ82" s="469">
        <f t="shared" si="244"/>
        <v>0</v>
      </c>
      <c r="BR82" s="469">
        <f t="shared" si="244"/>
        <v>0</v>
      </c>
      <c r="BS82" s="469">
        <f t="shared" si="244"/>
        <v>2683.4976</v>
      </c>
      <c r="BT82" s="469">
        <f t="shared" si="244"/>
        <v>0</v>
      </c>
      <c r="BU82" s="469">
        <f t="shared" si="244"/>
        <v>4472.496</v>
      </c>
      <c r="BV82" s="470">
        <f t="shared" ref="BV82:BV108" si="254">AY82*AI82</f>
        <v>7155.9936</v>
      </c>
      <c r="BW82" s="469">
        <f t="shared" ref="BW82:CF82" si="245">AJ82*$AY82</f>
        <v>0</v>
      </c>
      <c r="BX82" s="469">
        <f t="shared" si="245"/>
        <v>0</v>
      </c>
      <c r="BY82" s="469">
        <f t="shared" si="245"/>
        <v>0</v>
      </c>
      <c r="BZ82" s="469">
        <f t="shared" si="245"/>
        <v>0</v>
      </c>
      <c r="CA82" s="469">
        <f t="shared" si="245"/>
        <v>0</v>
      </c>
      <c r="CB82" s="469">
        <f t="shared" si="245"/>
        <v>0</v>
      </c>
      <c r="CC82" s="469">
        <f t="shared" si="245"/>
        <v>4472.496</v>
      </c>
      <c r="CD82" s="469">
        <f t="shared" si="245"/>
        <v>2683.4976</v>
      </c>
      <c r="CE82" s="469">
        <f t="shared" si="245"/>
        <v>0</v>
      </c>
      <c r="CF82" s="469">
        <f t="shared" si="245"/>
        <v>4472.496</v>
      </c>
      <c r="CG82" s="470">
        <f t="shared" ref="CG82:CG108" si="256">AY82*AU82</f>
        <v>11628.4896</v>
      </c>
      <c r="CH82" s="470">
        <f t="shared" ref="CH82:CH108" si="257">BK82+BV82+CG82</f>
        <v>18784.4832</v>
      </c>
      <c r="CI82" s="471"/>
      <c r="CJ82" s="469"/>
      <c r="CK82" s="472">
        <v>1.0</v>
      </c>
      <c r="CL82" s="104">
        <f>VLOOKUP(I82,Cotizacion!$A$2:$E$423,4,FALSE())</f>
        <v>64.26</v>
      </c>
    </row>
    <row r="83" ht="15.75" customHeight="1">
      <c r="A83" s="474" t="s">
        <v>2848</v>
      </c>
      <c r="B83" s="475">
        <v>2.0</v>
      </c>
      <c r="C83" s="477" t="s">
        <v>2852</v>
      </c>
      <c r="D83" s="477" t="s">
        <v>52</v>
      </c>
      <c r="E83" s="477" t="s">
        <v>2708</v>
      </c>
      <c r="F83" s="477" t="s">
        <v>1763</v>
      </c>
      <c r="G83" s="457" t="s">
        <v>2709</v>
      </c>
      <c r="H83" s="457" t="s">
        <v>2903</v>
      </c>
      <c r="I83" s="501" t="s">
        <v>1881</v>
      </c>
      <c r="J83" s="479" t="s">
        <v>854</v>
      </c>
      <c r="K83" s="502" t="s">
        <v>25</v>
      </c>
      <c r="L83" s="481">
        <v>277.0</v>
      </c>
      <c r="M83" s="481">
        <v>165.0</v>
      </c>
      <c r="N83" s="481">
        <v>242.0</v>
      </c>
      <c r="O83" s="482">
        <v>0.0</v>
      </c>
      <c r="P83" s="482">
        <v>0.0</v>
      </c>
      <c r="Q83" s="482">
        <v>0.0</v>
      </c>
      <c r="R83" s="482">
        <v>266.0</v>
      </c>
      <c r="S83" s="492">
        <v>83.0</v>
      </c>
      <c r="T83" s="481">
        <v>38.0</v>
      </c>
      <c r="U83" s="492">
        <v>340.0</v>
      </c>
      <c r="V83" s="481">
        <v>0.0</v>
      </c>
      <c r="W83" s="463">
        <f t="shared" si="246"/>
        <v>1411</v>
      </c>
      <c r="X83" s="481">
        <v>394.0</v>
      </c>
      <c r="Y83" s="481">
        <v>234.0</v>
      </c>
      <c r="Z83" s="481">
        <v>344.0</v>
      </c>
      <c r="AA83" s="481">
        <v>222.0</v>
      </c>
      <c r="AB83" s="481">
        <v>254.0</v>
      </c>
      <c r="AC83" s="481">
        <v>420.0</v>
      </c>
      <c r="AD83" s="481">
        <v>266.0</v>
      </c>
      <c r="AE83" s="481">
        <v>314.0</v>
      </c>
      <c r="AF83" s="481">
        <v>54.0</v>
      </c>
      <c r="AG83" s="481">
        <v>330.0</v>
      </c>
      <c r="AH83" s="481">
        <v>0.0</v>
      </c>
      <c r="AI83" s="464">
        <f t="shared" si="247"/>
        <v>2832</v>
      </c>
      <c r="AJ83" s="481">
        <v>394.0</v>
      </c>
      <c r="AK83" s="481">
        <v>234.0</v>
      </c>
      <c r="AL83" s="481">
        <v>344.0</v>
      </c>
      <c r="AM83" s="481">
        <v>222.0</v>
      </c>
      <c r="AN83" s="481">
        <v>254.0</v>
      </c>
      <c r="AO83" s="481">
        <v>420.0</v>
      </c>
      <c r="AP83" s="481">
        <v>266.0</v>
      </c>
      <c r="AQ83" s="481">
        <v>314.0</v>
      </c>
      <c r="AR83" s="481">
        <v>54.0</v>
      </c>
      <c r="AS83" s="481">
        <v>330.0</v>
      </c>
      <c r="AT83" s="481">
        <v>0.0</v>
      </c>
      <c r="AU83" s="463">
        <f t="shared" si="248"/>
        <v>2832</v>
      </c>
      <c r="AV83" s="483">
        <f t="shared" si="249"/>
        <v>7075</v>
      </c>
      <c r="AW83" s="484"/>
      <c r="AX83" s="503">
        <v>0.35</v>
      </c>
      <c r="AY83" s="485">
        <f t="shared" si="250"/>
        <v>2.436</v>
      </c>
      <c r="AZ83" s="504"/>
      <c r="BA83" s="487">
        <f t="shared" ref="BA83:BJ83" si="251">L83*$AY83</f>
        <v>674.772</v>
      </c>
      <c r="BB83" s="487">
        <f t="shared" si="251"/>
        <v>401.94</v>
      </c>
      <c r="BC83" s="487">
        <f t="shared" si="251"/>
        <v>589.512</v>
      </c>
      <c r="BD83" s="487">
        <f t="shared" si="251"/>
        <v>0</v>
      </c>
      <c r="BE83" s="487">
        <f t="shared" si="251"/>
        <v>0</v>
      </c>
      <c r="BF83" s="487">
        <f t="shared" si="251"/>
        <v>0</v>
      </c>
      <c r="BG83" s="487">
        <f t="shared" si="251"/>
        <v>647.976</v>
      </c>
      <c r="BH83" s="487">
        <f t="shared" si="251"/>
        <v>202.188</v>
      </c>
      <c r="BI83" s="487">
        <f t="shared" si="251"/>
        <v>92.568</v>
      </c>
      <c r="BJ83" s="487">
        <f t="shared" si="251"/>
        <v>828.24</v>
      </c>
      <c r="BK83" s="488">
        <f t="shared" si="252"/>
        <v>3437.196</v>
      </c>
      <c r="BL83" s="487">
        <f t="shared" ref="BL83:BU83" si="253">X83*$AY83</f>
        <v>959.784</v>
      </c>
      <c r="BM83" s="487">
        <f t="shared" si="253"/>
        <v>570.024</v>
      </c>
      <c r="BN83" s="487">
        <f t="shared" si="253"/>
        <v>837.984</v>
      </c>
      <c r="BO83" s="487">
        <f t="shared" si="253"/>
        <v>540.792</v>
      </c>
      <c r="BP83" s="487">
        <f t="shared" si="253"/>
        <v>618.744</v>
      </c>
      <c r="BQ83" s="487">
        <f t="shared" si="253"/>
        <v>1023.12</v>
      </c>
      <c r="BR83" s="487">
        <f t="shared" si="253"/>
        <v>647.976</v>
      </c>
      <c r="BS83" s="487">
        <f t="shared" si="253"/>
        <v>764.904</v>
      </c>
      <c r="BT83" s="487">
        <f t="shared" si="253"/>
        <v>131.544</v>
      </c>
      <c r="BU83" s="487">
        <f t="shared" si="253"/>
        <v>803.88</v>
      </c>
      <c r="BV83" s="488">
        <f t="shared" si="254"/>
        <v>6898.752</v>
      </c>
      <c r="BW83" s="487">
        <f t="shared" ref="BW83:CF83" si="255">AJ83*$AY83</f>
        <v>959.784</v>
      </c>
      <c r="BX83" s="487">
        <f t="shared" si="255"/>
        <v>570.024</v>
      </c>
      <c r="BY83" s="487">
        <f t="shared" si="255"/>
        <v>837.984</v>
      </c>
      <c r="BZ83" s="487">
        <f t="shared" si="255"/>
        <v>540.792</v>
      </c>
      <c r="CA83" s="487">
        <f t="shared" si="255"/>
        <v>618.744</v>
      </c>
      <c r="CB83" s="487">
        <f t="shared" si="255"/>
        <v>1023.12</v>
      </c>
      <c r="CC83" s="487">
        <f t="shared" si="255"/>
        <v>647.976</v>
      </c>
      <c r="CD83" s="487">
        <f t="shared" si="255"/>
        <v>764.904</v>
      </c>
      <c r="CE83" s="487">
        <f t="shared" si="255"/>
        <v>131.544</v>
      </c>
      <c r="CF83" s="487">
        <f t="shared" si="255"/>
        <v>803.88</v>
      </c>
      <c r="CG83" s="488">
        <f t="shared" si="256"/>
        <v>6898.752</v>
      </c>
      <c r="CH83" s="488">
        <f t="shared" si="257"/>
        <v>17234.7</v>
      </c>
      <c r="CI83" s="489"/>
      <c r="CJ83" s="505"/>
      <c r="CK83" s="472">
        <v>1.0</v>
      </c>
      <c r="CL83" s="104">
        <f>VLOOKUP(I83,Cotizacion!$A$2:$E$423,4,FALSE())</f>
        <v>0.35</v>
      </c>
    </row>
    <row r="84" ht="15.75" customHeight="1">
      <c r="A84" s="453" t="s">
        <v>2848</v>
      </c>
      <c r="B84" s="454">
        <v>2.0</v>
      </c>
      <c r="C84" s="456" t="s">
        <v>2852</v>
      </c>
      <c r="D84" s="456" t="s">
        <v>52</v>
      </c>
      <c r="E84" s="456" t="s">
        <v>2708</v>
      </c>
      <c r="F84" s="456" t="s">
        <v>1763</v>
      </c>
      <c r="G84" s="457" t="s">
        <v>2709</v>
      </c>
      <c r="H84" s="457" t="s">
        <v>2904</v>
      </c>
      <c r="I84" s="514" t="s">
        <v>2479</v>
      </c>
      <c r="J84" s="459" t="s">
        <v>268</v>
      </c>
      <c r="K84" s="515" t="s">
        <v>25</v>
      </c>
      <c r="L84" s="461">
        <v>0.0</v>
      </c>
      <c r="M84" s="461">
        <v>0.0</v>
      </c>
      <c r="N84" s="461">
        <v>0.0</v>
      </c>
      <c r="O84" s="461">
        <v>0.0</v>
      </c>
      <c r="P84" s="461">
        <v>0.0</v>
      </c>
      <c r="Q84" s="461">
        <v>0.0</v>
      </c>
      <c r="R84" s="461">
        <v>0.0</v>
      </c>
      <c r="S84" s="461">
        <v>0.0</v>
      </c>
      <c r="T84" s="461">
        <v>0.0</v>
      </c>
      <c r="U84" s="461">
        <v>0.0</v>
      </c>
      <c r="V84" s="461">
        <v>0.0</v>
      </c>
      <c r="W84" s="463">
        <f t="shared" si="246"/>
        <v>0</v>
      </c>
      <c r="X84" s="461">
        <v>2.0</v>
      </c>
      <c r="Y84" s="461">
        <v>2.0</v>
      </c>
      <c r="Z84" s="461">
        <v>2.0</v>
      </c>
      <c r="AA84" s="461">
        <v>2.0</v>
      </c>
      <c r="AB84" s="461">
        <v>2.0</v>
      </c>
      <c r="AC84" s="461">
        <v>4.0</v>
      </c>
      <c r="AD84" s="461">
        <v>4.0</v>
      </c>
      <c r="AE84" s="461">
        <v>0.0</v>
      </c>
      <c r="AF84" s="461">
        <v>0.0</v>
      </c>
      <c r="AG84" s="490">
        <v>0.0</v>
      </c>
      <c r="AH84" s="461">
        <v>0.0</v>
      </c>
      <c r="AI84" s="464">
        <f t="shared" si="247"/>
        <v>18</v>
      </c>
      <c r="AJ84" s="461">
        <v>2.0</v>
      </c>
      <c r="AK84" s="461">
        <v>2.0</v>
      </c>
      <c r="AL84" s="461">
        <v>2.0</v>
      </c>
      <c r="AM84" s="461">
        <v>2.0</v>
      </c>
      <c r="AN84" s="461">
        <v>2.0</v>
      </c>
      <c r="AO84" s="461">
        <v>4.0</v>
      </c>
      <c r="AP84" s="461">
        <v>4.0</v>
      </c>
      <c r="AQ84" s="461">
        <v>0.0</v>
      </c>
      <c r="AR84" s="461">
        <v>0.0</v>
      </c>
      <c r="AS84" s="490">
        <v>0.0</v>
      </c>
      <c r="AT84" s="461">
        <v>0.0</v>
      </c>
      <c r="AU84" s="463">
        <f t="shared" si="248"/>
        <v>18</v>
      </c>
      <c r="AV84" s="465">
        <f t="shared" si="249"/>
        <v>36</v>
      </c>
      <c r="AW84" s="466"/>
      <c r="AX84" s="516">
        <v>65.03</v>
      </c>
      <c r="AY84" s="467">
        <f t="shared" si="250"/>
        <v>452.6088</v>
      </c>
      <c r="AZ84" s="538"/>
      <c r="BA84" s="469">
        <f t="shared" ref="BA84:BJ84" si="258">L84*$AY84</f>
        <v>0</v>
      </c>
      <c r="BB84" s="469">
        <f t="shared" si="258"/>
        <v>0</v>
      </c>
      <c r="BC84" s="469">
        <f t="shared" si="258"/>
        <v>0</v>
      </c>
      <c r="BD84" s="469">
        <f t="shared" si="258"/>
        <v>0</v>
      </c>
      <c r="BE84" s="469">
        <f t="shared" si="258"/>
        <v>0</v>
      </c>
      <c r="BF84" s="469">
        <f t="shared" si="258"/>
        <v>0</v>
      </c>
      <c r="BG84" s="469">
        <f t="shared" si="258"/>
        <v>0</v>
      </c>
      <c r="BH84" s="469">
        <f t="shared" si="258"/>
        <v>0</v>
      </c>
      <c r="BI84" s="469">
        <f t="shared" si="258"/>
        <v>0</v>
      </c>
      <c r="BJ84" s="469">
        <f t="shared" si="258"/>
        <v>0</v>
      </c>
      <c r="BK84" s="470">
        <f t="shared" si="252"/>
        <v>0</v>
      </c>
      <c r="BL84" s="469">
        <f t="shared" ref="BL84:BU84" si="259">X84*$AY84</f>
        <v>905.2176</v>
      </c>
      <c r="BM84" s="469">
        <f t="shared" si="259"/>
        <v>905.2176</v>
      </c>
      <c r="BN84" s="469">
        <f t="shared" si="259"/>
        <v>905.2176</v>
      </c>
      <c r="BO84" s="469">
        <f t="shared" si="259"/>
        <v>905.2176</v>
      </c>
      <c r="BP84" s="469">
        <f t="shared" si="259"/>
        <v>905.2176</v>
      </c>
      <c r="BQ84" s="469">
        <f t="shared" si="259"/>
        <v>1810.4352</v>
      </c>
      <c r="BR84" s="469">
        <f t="shared" si="259"/>
        <v>1810.4352</v>
      </c>
      <c r="BS84" s="469">
        <f t="shared" si="259"/>
        <v>0</v>
      </c>
      <c r="BT84" s="469">
        <f t="shared" si="259"/>
        <v>0</v>
      </c>
      <c r="BU84" s="469">
        <f t="shared" si="259"/>
        <v>0</v>
      </c>
      <c r="BV84" s="470">
        <f t="shared" si="254"/>
        <v>8146.9584</v>
      </c>
      <c r="BW84" s="469">
        <f t="shared" ref="BW84:CF84" si="260">AJ84*$AY84</f>
        <v>905.2176</v>
      </c>
      <c r="BX84" s="469">
        <f t="shared" si="260"/>
        <v>905.2176</v>
      </c>
      <c r="BY84" s="469">
        <f t="shared" si="260"/>
        <v>905.2176</v>
      </c>
      <c r="BZ84" s="469">
        <f t="shared" si="260"/>
        <v>905.2176</v>
      </c>
      <c r="CA84" s="469">
        <f t="shared" si="260"/>
        <v>905.2176</v>
      </c>
      <c r="CB84" s="469">
        <f t="shared" si="260"/>
        <v>1810.4352</v>
      </c>
      <c r="CC84" s="469">
        <f t="shared" si="260"/>
        <v>1810.4352</v>
      </c>
      <c r="CD84" s="469">
        <f t="shared" si="260"/>
        <v>0</v>
      </c>
      <c r="CE84" s="469">
        <f t="shared" si="260"/>
        <v>0</v>
      </c>
      <c r="CF84" s="469">
        <f t="shared" si="260"/>
        <v>0</v>
      </c>
      <c r="CG84" s="470">
        <f t="shared" si="256"/>
        <v>8146.9584</v>
      </c>
      <c r="CH84" s="470">
        <f t="shared" si="257"/>
        <v>16293.9168</v>
      </c>
      <c r="CI84" s="471"/>
      <c r="CJ84" s="518"/>
      <c r="CK84" s="472">
        <v>1.0</v>
      </c>
      <c r="CL84" s="104">
        <f>VLOOKUP(I84,Cotizacion!$A$2:$E$423,4,FALSE())</f>
        <v>65.03</v>
      </c>
    </row>
    <row r="85" ht="21.0" customHeight="1">
      <c r="A85" s="474" t="s">
        <v>2848</v>
      </c>
      <c r="B85" s="475">
        <v>2.0</v>
      </c>
      <c r="C85" s="477" t="s">
        <v>2852</v>
      </c>
      <c r="D85" s="477" t="s">
        <v>52</v>
      </c>
      <c r="E85" s="477" t="s">
        <v>2708</v>
      </c>
      <c r="F85" s="477" t="s">
        <v>1763</v>
      </c>
      <c r="G85" s="457" t="s">
        <v>2709</v>
      </c>
      <c r="H85" s="457" t="s">
        <v>2905</v>
      </c>
      <c r="I85" s="501" t="s">
        <v>2192</v>
      </c>
      <c r="J85" s="479" t="s">
        <v>885</v>
      </c>
      <c r="K85" s="502" t="s">
        <v>25</v>
      </c>
      <c r="L85" s="481">
        <v>4.0</v>
      </c>
      <c r="M85" s="481">
        <v>2.0</v>
      </c>
      <c r="N85" s="481">
        <v>4.0</v>
      </c>
      <c r="O85" s="481">
        <v>2.0</v>
      </c>
      <c r="P85" s="481">
        <v>2.0</v>
      </c>
      <c r="Q85" s="481">
        <v>4.0</v>
      </c>
      <c r="R85" s="481">
        <v>1.0</v>
      </c>
      <c r="S85" s="481">
        <v>1.0</v>
      </c>
      <c r="T85" s="481">
        <v>1.0</v>
      </c>
      <c r="U85" s="481">
        <v>1.0</v>
      </c>
      <c r="V85" s="481">
        <v>0.0</v>
      </c>
      <c r="W85" s="463">
        <f t="shared" si="246"/>
        <v>22</v>
      </c>
      <c r="X85" s="481">
        <v>4.0</v>
      </c>
      <c r="Y85" s="481">
        <v>2.0</v>
      </c>
      <c r="Z85" s="481">
        <v>4.0</v>
      </c>
      <c r="AA85" s="481">
        <v>2.0</v>
      </c>
      <c r="AB85" s="481">
        <v>2.0</v>
      </c>
      <c r="AC85" s="481">
        <v>4.0</v>
      </c>
      <c r="AD85" s="481">
        <v>1.0</v>
      </c>
      <c r="AE85" s="481">
        <v>1.0</v>
      </c>
      <c r="AF85" s="481">
        <v>1.0</v>
      </c>
      <c r="AG85" s="481">
        <v>1.0</v>
      </c>
      <c r="AH85" s="481">
        <v>0.0</v>
      </c>
      <c r="AI85" s="464">
        <f t="shared" si="247"/>
        <v>22</v>
      </c>
      <c r="AJ85" s="481">
        <v>4.0</v>
      </c>
      <c r="AK85" s="481">
        <v>2.0</v>
      </c>
      <c r="AL85" s="481">
        <v>4.0</v>
      </c>
      <c r="AM85" s="481">
        <v>2.0</v>
      </c>
      <c r="AN85" s="481">
        <v>2.0</v>
      </c>
      <c r="AO85" s="481">
        <v>4.0</v>
      </c>
      <c r="AP85" s="481">
        <v>1.0</v>
      </c>
      <c r="AQ85" s="481">
        <v>1.0</v>
      </c>
      <c r="AR85" s="481">
        <v>1.0</v>
      </c>
      <c r="AS85" s="481">
        <v>1.0</v>
      </c>
      <c r="AT85" s="481">
        <v>0.0</v>
      </c>
      <c r="AU85" s="463">
        <f t="shared" si="248"/>
        <v>22</v>
      </c>
      <c r="AV85" s="483">
        <f t="shared" si="249"/>
        <v>66</v>
      </c>
      <c r="AW85" s="484"/>
      <c r="AX85" s="503">
        <v>33.92</v>
      </c>
      <c r="AY85" s="485">
        <f t="shared" si="250"/>
        <v>236.0832</v>
      </c>
      <c r="AZ85" s="504"/>
      <c r="BA85" s="487">
        <f t="shared" ref="BA85:BJ85" si="261">L85*$AY85</f>
        <v>944.3328</v>
      </c>
      <c r="BB85" s="487">
        <f t="shared" si="261"/>
        <v>472.1664</v>
      </c>
      <c r="BC85" s="487">
        <f t="shared" si="261"/>
        <v>944.3328</v>
      </c>
      <c r="BD85" s="487">
        <f t="shared" si="261"/>
        <v>472.1664</v>
      </c>
      <c r="BE85" s="487">
        <f t="shared" si="261"/>
        <v>472.1664</v>
      </c>
      <c r="BF85" s="487">
        <f t="shared" si="261"/>
        <v>944.3328</v>
      </c>
      <c r="BG85" s="487">
        <f t="shared" si="261"/>
        <v>236.0832</v>
      </c>
      <c r="BH85" s="487">
        <f t="shared" si="261"/>
        <v>236.0832</v>
      </c>
      <c r="BI85" s="487">
        <f t="shared" si="261"/>
        <v>236.0832</v>
      </c>
      <c r="BJ85" s="487">
        <f t="shared" si="261"/>
        <v>236.0832</v>
      </c>
      <c r="BK85" s="488">
        <f t="shared" si="252"/>
        <v>5193.8304</v>
      </c>
      <c r="BL85" s="487">
        <f t="shared" ref="BL85:BU85" si="262">X85*$AY85</f>
        <v>944.3328</v>
      </c>
      <c r="BM85" s="487">
        <f t="shared" si="262"/>
        <v>472.1664</v>
      </c>
      <c r="BN85" s="487">
        <f t="shared" si="262"/>
        <v>944.3328</v>
      </c>
      <c r="BO85" s="487">
        <f t="shared" si="262"/>
        <v>472.1664</v>
      </c>
      <c r="BP85" s="487">
        <f t="shared" si="262"/>
        <v>472.1664</v>
      </c>
      <c r="BQ85" s="487">
        <f t="shared" si="262"/>
        <v>944.3328</v>
      </c>
      <c r="BR85" s="487">
        <f t="shared" si="262"/>
        <v>236.0832</v>
      </c>
      <c r="BS85" s="487">
        <f t="shared" si="262"/>
        <v>236.0832</v>
      </c>
      <c r="BT85" s="487">
        <f t="shared" si="262"/>
        <v>236.0832</v>
      </c>
      <c r="BU85" s="487">
        <f t="shared" si="262"/>
        <v>236.0832</v>
      </c>
      <c r="BV85" s="488">
        <f t="shared" si="254"/>
        <v>5193.8304</v>
      </c>
      <c r="BW85" s="487">
        <f t="shared" ref="BW85:CF85" si="263">AJ85*$AY85</f>
        <v>944.3328</v>
      </c>
      <c r="BX85" s="487">
        <f t="shared" si="263"/>
        <v>472.1664</v>
      </c>
      <c r="BY85" s="487">
        <f t="shared" si="263"/>
        <v>944.3328</v>
      </c>
      <c r="BZ85" s="487">
        <f t="shared" si="263"/>
        <v>472.1664</v>
      </c>
      <c r="CA85" s="487">
        <f t="shared" si="263"/>
        <v>472.1664</v>
      </c>
      <c r="CB85" s="487">
        <f t="shared" si="263"/>
        <v>944.3328</v>
      </c>
      <c r="CC85" s="487">
        <f t="shared" si="263"/>
        <v>236.0832</v>
      </c>
      <c r="CD85" s="487">
        <f t="shared" si="263"/>
        <v>236.0832</v>
      </c>
      <c r="CE85" s="487">
        <f t="shared" si="263"/>
        <v>236.0832</v>
      </c>
      <c r="CF85" s="487">
        <f t="shared" si="263"/>
        <v>236.0832</v>
      </c>
      <c r="CG85" s="488">
        <f t="shared" si="256"/>
        <v>5193.8304</v>
      </c>
      <c r="CH85" s="488">
        <f t="shared" si="257"/>
        <v>15581.4912</v>
      </c>
      <c r="CI85" s="489"/>
      <c r="CJ85" s="505"/>
      <c r="CK85" s="472">
        <v>1.0</v>
      </c>
      <c r="CL85" s="104">
        <f>VLOOKUP(I85,Cotizacion!$A$2:$E$423,4,FALSE())</f>
        <v>33.92</v>
      </c>
    </row>
    <row r="86" ht="15.75" customHeight="1">
      <c r="A86" s="453" t="s">
        <v>2848</v>
      </c>
      <c r="B86" s="454">
        <v>2.0</v>
      </c>
      <c r="C86" s="455" t="s">
        <v>2707</v>
      </c>
      <c r="D86" s="456" t="s">
        <v>150</v>
      </c>
      <c r="E86" s="455" t="s">
        <v>2722</v>
      </c>
      <c r="F86" s="455" t="s">
        <v>1763</v>
      </c>
      <c r="G86" s="457" t="s">
        <v>2723</v>
      </c>
      <c r="H86" s="457" t="s">
        <v>2747</v>
      </c>
      <c r="I86" s="458" t="s">
        <v>2047</v>
      </c>
      <c r="J86" s="459" t="s">
        <v>891</v>
      </c>
      <c r="K86" s="460" t="s">
        <v>25</v>
      </c>
      <c r="L86" s="461">
        <v>0.0</v>
      </c>
      <c r="M86" s="461">
        <v>0.0</v>
      </c>
      <c r="N86" s="461">
        <v>0.0</v>
      </c>
      <c r="O86" s="461">
        <v>0.0</v>
      </c>
      <c r="P86" s="461">
        <v>0.0</v>
      </c>
      <c r="Q86" s="461">
        <v>0.0</v>
      </c>
      <c r="R86" s="461">
        <v>2.0</v>
      </c>
      <c r="S86" s="461">
        <v>2.0</v>
      </c>
      <c r="T86" s="461">
        <v>0.0</v>
      </c>
      <c r="U86" s="461">
        <v>2.0</v>
      </c>
      <c r="V86" s="461">
        <v>0.0</v>
      </c>
      <c r="W86" s="463">
        <f t="shared" si="246"/>
        <v>6</v>
      </c>
      <c r="X86" s="461">
        <v>0.0</v>
      </c>
      <c r="Y86" s="461">
        <v>0.0</v>
      </c>
      <c r="Z86" s="461">
        <v>0.0</v>
      </c>
      <c r="AA86" s="461">
        <v>0.0</v>
      </c>
      <c r="AB86" s="461">
        <v>0.0</v>
      </c>
      <c r="AC86" s="461">
        <v>0.0</v>
      </c>
      <c r="AD86" s="461">
        <v>2.0</v>
      </c>
      <c r="AE86" s="461">
        <v>2.0</v>
      </c>
      <c r="AF86" s="461">
        <v>0.0</v>
      </c>
      <c r="AG86" s="461">
        <v>2.0</v>
      </c>
      <c r="AH86" s="461">
        <v>0.0</v>
      </c>
      <c r="AI86" s="464">
        <f t="shared" si="247"/>
        <v>6</v>
      </c>
      <c r="AJ86" s="461">
        <v>0.0</v>
      </c>
      <c r="AK86" s="461">
        <v>0.0</v>
      </c>
      <c r="AL86" s="461">
        <v>0.0</v>
      </c>
      <c r="AM86" s="461">
        <v>0.0</v>
      </c>
      <c r="AN86" s="461">
        <v>0.0</v>
      </c>
      <c r="AO86" s="461">
        <v>0.0</v>
      </c>
      <c r="AP86" s="461">
        <v>2.0</v>
      </c>
      <c r="AQ86" s="461">
        <v>2.0</v>
      </c>
      <c r="AR86" s="461">
        <v>0.0</v>
      </c>
      <c r="AS86" s="461">
        <v>2.0</v>
      </c>
      <c r="AT86" s="461">
        <v>0.0</v>
      </c>
      <c r="AU86" s="463">
        <f t="shared" si="248"/>
        <v>6</v>
      </c>
      <c r="AV86" s="465">
        <f t="shared" si="249"/>
        <v>18</v>
      </c>
      <c r="AW86" s="466"/>
      <c r="AX86" s="467">
        <v>120.56</v>
      </c>
      <c r="AY86" s="467">
        <f t="shared" si="250"/>
        <v>839.0976</v>
      </c>
      <c r="AZ86" s="468"/>
      <c r="BA86" s="469">
        <f t="shared" ref="BA86:BJ86" si="264">L86*$AY86</f>
        <v>0</v>
      </c>
      <c r="BB86" s="469">
        <f t="shared" si="264"/>
        <v>0</v>
      </c>
      <c r="BC86" s="469">
        <f t="shared" si="264"/>
        <v>0</v>
      </c>
      <c r="BD86" s="469">
        <f t="shared" si="264"/>
        <v>0</v>
      </c>
      <c r="BE86" s="469">
        <f t="shared" si="264"/>
        <v>0</v>
      </c>
      <c r="BF86" s="469">
        <f t="shared" si="264"/>
        <v>0</v>
      </c>
      <c r="BG86" s="469">
        <f t="shared" si="264"/>
        <v>1678.1952</v>
      </c>
      <c r="BH86" s="469">
        <f t="shared" si="264"/>
        <v>1678.1952</v>
      </c>
      <c r="BI86" s="469">
        <f t="shared" si="264"/>
        <v>0</v>
      </c>
      <c r="BJ86" s="469">
        <f t="shared" si="264"/>
        <v>1678.1952</v>
      </c>
      <c r="BK86" s="470">
        <f t="shared" si="252"/>
        <v>5034.5856</v>
      </c>
      <c r="BL86" s="469">
        <f t="shared" ref="BL86:BU86" si="265">X86*$AY86</f>
        <v>0</v>
      </c>
      <c r="BM86" s="469">
        <f t="shared" si="265"/>
        <v>0</v>
      </c>
      <c r="BN86" s="469">
        <f t="shared" si="265"/>
        <v>0</v>
      </c>
      <c r="BO86" s="469">
        <f t="shared" si="265"/>
        <v>0</v>
      </c>
      <c r="BP86" s="469">
        <f t="shared" si="265"/>
        <v>0</v>
      </c>
      <c r="BQ86" s="469">
        <f t="shared" si="265"/>
        <v>0</v>
      </c>
      <c r="BR86" s="469">
        <f t="shared" si="265"/>
        <v>1678.1952</v>
      </c>
      <c r="BS86" s="469">
        <f t="shared" si="265"/>
        <v>1678.1952</v>
      </c>
      <c r="BT86" s="469">
        <f t="shared" si="265"/>
        <v>0</v>
      </c>
      <c r="BU86" s="469">
        <f t="shared" si="265"/>
        <v>1678.1952</v>
      </c>
      <c r="BV86" s="470">
        <f t="shared" si="254"/>
        <v>5034.5856</v>
      </c>
      <c r="BW86" s="469">
        <f t="shared" ref="BW86:CF86" si="266">AJ86*$AY86</f>
        <v>0</v>
      </c>
      <c r="BX86" s="469">
        <f t="shared" si="266"/>
        <v>0</v>
      </c>
      <c r="BY86" s="469">
        <f t="shared" si="266"/>
        <v>0</v>
      </c>
      <c r="BZ86" s="469">
        <f t="shared" si="266"/>
        <v>0</v>
      </c>
      <c r="CA86" s="469">
        <f t="shared" si="266"/>
        <v>0</v>
      </c>
      <c r="CB86" s="469">
        <f t="shared" si="266"/>
        <v>0</v>
      </c>
      <c r="CC86" s="469">
        <f t="shared" si="266"/>
        <v>1678.1952</v>
      </c>
      <c r="CD86" s="469">
        <f t="shared" si="266"/>
        <v>1678.1952</v>
      </c>
      <c r="CE86" s="469">
        <f t="shared" si="266"/>
        <v>0</v>
      </c>
      <c r="CF86" s="469">
        <f t="shared" si="266"/>
        <v>1678.1952</v>
      </c>
      <c r="CG86" s="470">
        <f t="shared" si="256"/>
        <v>5034.5856</v>
      </c>
      <c r="CH86" s="470">
        <f t="shared" si="257"/>
        <v>15103.7568</v>
      </c>
      <c r="CI86" s="471"/>
      <c r="CJ86" s="469"/>
      <c r="CK86" s="472">
        <v>1.0</v>
      </c>
      <c r="CL86" s="104">
        <f>VLOOKUP(I86,Cotizacion!$A$2:$E$423,4,FALSE())</f>
        <v>120.56</v>
      </c>
    </row>
    <row r="87" ht="15.75" customHeight="1">
      <c r="A87" s="474" t="s">
        <v>2848</v>
      </c>
      <c r="B87" s="475">
        <v>2.0</v>
      </c>
      <c r="C87" s="476" t="s">
        <v>2852</v>
      </c>
      <c r="D87" s="477" t="s">
        <v>46</v>
      </c>
      <c r="E87" s="476" t="s">
        <v>2708</v>
      </c>
      <c r="F87" s="476" t="s">
        <v>1763</v>
      </c>
      <c r="G87" s="457" t="s">
        <v>2709</v>
      </c>
      <c r="H87" s="457" t="s">
        <v>2711</v>
      </c>
      <c r="I87" s="478" t="s">
        <v>1856</v>
      </c>
      <c r="J87" s="479" t="s">
        <v>803</v>
      </c>
      <c r="K87" s="480" t="s">
        <v>25</v>
      </c>
      <c r="L87" s="481">
        <v>200.0</v>
      </c>
      <c r="M87" s="481">
        <v>150.0</v>
      </c>
      <c r="N87" s="481">
        <v>180.0</v>
      </c>
      <c r="O87" s="482">
        <v>0.0</v>
      </c>
      <c r="P87" s="482">
        <v>0.0</v>
      </c>
      <c r="Q87" s="482">
        <v>0.0</v>
      </c>
      <c r="R87" s="482">
        <v>0.0</v>
      </c>
      <c r="S87" s="492">
        <v>0.0</v>
      </c>
      <c r="T87" s="481">
        <v>30.0</v>
      </c>
      <c r="U87" s="520">
        <v>0.0</v>
      </c>
      <c r="V87" s="481">
        <v>0.0</v>
      </c>
      <c r="W87" s="463">
        <f t="shared" si="246"/>
        <v>560</v>
      </c>
      <c r="X87" s="481">
        <v>160.0</v>
      </c>
      <c r="Y87" s="481">
        <v>120.0</v>
      </c>
      <c r="Z87" s="481">
        <v>144.0</v>
      </c>
      <c r="AA87" s="481">
        <v>88.0</v>
      </c>
      <c r="AB87" s="481">
        <v>104.0</v>
      </c>
      <c r="AC87" s="481">
        <v>168.0</v>
      </c>
      <c r="AD87" s="481">
        <v>104.0</v>
      </c>
      <c r="AE87" s="492">
        <v>0.0</v>
      </c>
      <c r="AF87" s="481">
        <v>24.0</v>
      </c>
      <c r="AG87" s="520">
        <v>0.0</v>
      </c>
      <c r="AH87" s="481">
        <v>0.0</v>
      </c>
      <c r="AI87" s="464">
        <f t="shared" si="247"/>
        <v>912</v>
      </c>
      <c r="AJ87" s="481">
        <v>160.0</v>
      </c>
      <c r="AK87" s="481">
        <v>120.0</v>
      </c>
      <c r="AL87" s="481">
        <v>144.0</v>
      </c>
      <c r="AM87" s="481">
        <v>88.0</v>
      </c>
      <c r="AN87" s="481">
        <v>104.0</v>
      </c>
      <c r="AO87" s="481">
        <v>168.0</v>
      </c>
      <c r="AP87" s="481">
        <v>104.0</v>
      </c>
      <c r="AQ87" s="492">
        <v>0.0</v>
      </c>
      <c r="AR87" s="481">
        <v>24.0</v>
      </c>
      <c r="AS87" s="520">
        <v>0.0</v>
      </c>
      <c r="AT87" s="481">
        <v>0.0</v>
      </c>
      <c r="AU87" s="463">
        <f t="shared" si="248"/>
        <v>912</v>
      </c>
      <c r="AV87" s="483">
        <f t="shared" si="249"/>
        <v>2384</v>
      </c>
      <c r="AW87" s="484"/>
      <c r="AX87" s="485">
        <v>0.89</v>
      </c>
      <c r="AY87" s="485">
        <f t="shared" si="250"/>
        <v>6.1944</v>
      </c>
      <c r="AZ87" s="486"/>
      <c r="BA87" s="487">
        <f t="shared" ref="BA87:BJ87" si="267">L87*$AY87</f>
        <v>1238.88</v>
      </c>
      <c r="BB87" s="487">
        <f t="shared" si="267"/>
        <v>929.16</v>
      </c>
      <c r="BC87" s="487">
        <f t="shared" si="267"/>
        <v>1114.992</v>
      </c>
      <c r="BD87" s="487">
        <f t="shared" si="267"/>
        <v>0</v>
      </c>
      <c r="BE87" s="487">
        <f t="shared" si="267"/>
        <v>0</v>
      </c>
      <c r="BF87" s="487">
        <f t="shared" si="267"/>
        <v>0</v>
      </c>
      <c r="BG87" s="487">
        <f t="shared" si="267"/>
        <v>0</v>
      </c>
      <c r="BH87" s="487">
        <f t="shared" si="267"/>
        <v>0</v>
      </c>
      <c r="BI87" s="487">
        <f t="shared" si="267"/>
        <v>185.832</v>
      </c>
      <c r="BJ87" s="487">
        <f t="shared" si="267"/>
        <v>0</v>
      </c>
      <c r="BK87" s="488">
        <f t="shared" si="252"/>
        <v>3468.864</v>
      </c>
      <c r="BL87" s="487">
        <f t="shared" ref="BL87:BU87" si="268">X87*$AY87</f>
        <v>991.104</v>
      </c>
      <c r="BM87" s="487">
        <f t="shared" si="268"/>
        <v>743.328</v>
      </c>
      <c r="BN87" s="487">
        <f t="shared" si="268"/>
        <v>891.9936</v>
      </c>
      <c r="BO87" s="487">
        <f t="shared" si="268"/>
        <v>545.1072</v>
      </c>
      <c r="BP87" s="487">
        <f t="shared" si="268"/>
        <v>644.2176</v>
      </c>
      <c r="BQ87" s="487">
        <f t="shared" si="268"/>
        <v>1040.6592</v>
      </c>
      <c r="BR87" s="487">
        <f t="shared" si="268"/>
        <v>644.2176</v>
      </c>
      <c r="BS87" s="487">
        <f t="shared" si="268"/>
        <v>0</v>
      </c>
      <c r="BT87" s="487">
        <f t="shared" si="268"/>
        <v>148.6656</v>
      </c>
      <c r="BU87" s="487">
        <f t="shared" si="268"/>
        <v>0</v>
      </c>
      <c r="BV87" s="488">
        <f t="shared" si="254"/>
        <v>5649.2928</v>
      </c>
      <c r="BW87" s="487">
        <f t="shared" ref="BW87:CF87" si="269">AJ87*$AY87</f>
        <v>991.104</v>
      </c>
      <c r="BX87" s="487">
        <f t="shared" si="269"/>
        <v>743.328</v>
      </c>
      <c r="BY87" s="487">
        <f t="shared" si="269"/>
        <v>891.9936</v>
      </c>
      <c r="BZ87" s="487">
        <f t="shared" si="269"/>
        <v>545.1072</v>
      </c>
      <c r="CA87" s="487">
        <f t="shared" si="269"/>
        <v>644.2176</v>
      </c>
      <c r="CB87" s="487">
        <f t="shared" si="269"/>
        <v>1040.6592</v>
      </c>
      <c r="CC87" s="487">
        <f t="shared" si="269"/>
        <v>644.2176</v>
      </c>
      <c r="CD87" s="487">
        <f t="shared" si="269"/>
        <v>0</v>
      </c>
      <c r="CE87" s="487">
        <f t="shared" si="269"/>
        <v>148.6656</v>
      </c>
      <c r="CF87" s="487">
        <f t="shared" si="269"/>
        <v>0</v>
      </c>
      <c r="CG87" s="488">
        <f t="shared" si="256"/>
        <v>5649.2928</v>
      </c>
      <c r="CH87" s="488">
        <f t="shared" si="257"/>
        <v>14767.4496</v>
      </c>
      <c r="CI87" s="489"/>
      <c r="CJ87" s="487"/>
      <c r="CK87" s="472">
        <v>1.0</v>
      </c>
      <c r="CL87" s="104">
        <f>VLOOKUP(I87,Cotizacion!$A$2:$E$423,4,FALSE())</f>
        <v>0.89</v>
      </c>
    </row>
    <row r="88" ht="15.75" customHeight="1">
      <c r="A88" s="453" t="s">
        <v>2848</v>
      </c>
      <c r="B88" s="454">
        <v>2.0</v>
      </c>
      <c r="C88" s="456" t="s">
        <v>2852</v>
      </c>
      <c r="D88" s="456" t="s">
        <v>52</v>
      </c>
      <c r="E88" s="456" t="s">
        <v>2708</v>
      </c>
      <c r="F88" s="456" t="s">
        <v>1763</v>
      </c>
      <c r="G88" s="457" t="s">
        <v>2709</v>
      </c>
      <c r="H88" s="457" t="s">
        <v>2906</v>
      </c>
      <c r="I88" s="514" t="s">
        <v>2138</v>
      </c>
      <c r="J88" s="459" t="s">
        <v>764</v>
      </c>
      <c r="K88" s="515" t="s">
        <v>25</v>
      </c>
      <c r="L88" s="461">
        <v>2.0</v>
      </c>
      <c r="M88" s="461">
        <v>2.0</v>
      </c>
      <c r="N88" s="461">
        <v>2.0</v>
      </c>
      <c r="O88" s="461">
        <v>2.0</v>
      </c>
      <c r="P88" s="461">
        <v>2.0</v>
      </c>
      <c r="Q88" s="461">
        <v>2.0</v>
      </c>
      <c r="R88" s="461">
        <v>2.0</v>
      </c>
      <c r="S88" s="461">
        <v>2.0</v>
      </c>
      <c r="T88" s="461">
        <v>1.0</v>
      </c>
      <c r="U88" s="490">
        <v>0.0</v>
      </c>
      <c r="V88" s="461">
        <v>0.0</v>
      </c>
      <c r="W88" s="463">
        <f t="shared" si="246"/>
        <v>17</v>
      </c>
      <c r="X88" s="461">
        <v>10.0</v>
      </c>
      <c r="Y88" s="461">
        <v>10.0</v>
      </c>
      <c r="Z88" s="461">
        <v>10.0</v>
      </c>
      <c r="AA88" s="461">
        <v>10.0</v>
      </c>
      <c r="AB88" s="461">
        <v>10.0</v>
      </c>
      <c r="AC88" s="461">
        <v>10.0</v>
      </c>
      <c r="AD88" s="461">
        <v>10.0</v>
      </c>
      <c r="AE88" s="461">
        <v>10.0</v>
      </c>
      <c r="AF88" s="461">
        <v>5.0</v>
      </c>
      <c r="AG88" s="490">
        <v>0.0</v>
      </c>
      <c r="AH88" s="461">
        <v>0.0</v>
      </c>
      <c r="AI88" s="464">
        <f t="shared" si="247"/>
        <v>85</v>
      </c>
      <c r="AJ88" s="461">
        <v>10.0</v>
      </c>
      <c r="AK88" s="461">
        <v>10.0</v>
      </c>
      <c r="AL88" s="461">
        <v>10.0</v>
      </c>
      <c r="AM88" s="461">
        <v>10.0</v>
      </c>
      <c r="AN88" s="461">
        <v>10.0</v>
      </c>
      <c r="AO88" s="461">
        <v>10.0</v>
      </c>
      <c r="AP88" s="461">
        <v>10.0</v>
      </c>
      <c r="AQ88" s="461">
        <v>10.0</v>
      </c>
      <c r="AR88" s="461">
        <v>5.0</v>
      </c>
      <c r="AS88" s="490">
        <v>0.0</v>
      </c>
      <c r="AT88" s="461">
        <v>0.0</v>
      </c>
      <c r="AU88" s="463">
        <f t="shared" si="248"/>
        <v>85</v>
      </c>
      <c r="AV88" s="465">
        <f t="shared" si="249"/>
        <v>187</v>
      </c>
      <c r="AW88" s="466"/>
      <c r="AX88" s="516">
        <v>11.11</v>
      </c>
      <c r="AY88" s="467">
        <f t="shared" si="250"/>
        <v>77.3256</v>
      </c>
      <c r="AZ88" s="538"/>
      <c r="BA88" s="469">
        <f t="shared" ref="BA88:BJ88" si="270">L88*$AY88</f>
        <v>154.6512</v>
      </c>
      <c r="BB88" s="469">
        <f t="shared" si="270"/>
        <v>154.6512</v>
      </c>
      <c r="BC88" s="469">
        <f t="shared" si="270"/>
        <v>154.6512</v>
      </c>
      <c r="BD88" s="469">
        <f t="shared" si="270"/>
        <v>154.6512</v>
      </c>
      <c r="BE88" s="469">
        <f t="shared" si="270"/>
        <v>154.6512</v>
      </c>
      <c r="BF88" s="469">
        <f t="shared" si="270"/>
        <v>154.6512</v>
      </c>
      <c r="BG88" s="469">
        <f t="shared" si="270"/>
        <v>154.6512</v>
      </c>
      <c r="BH88" s="469">
        <f t="shared" si="270"/>
        <v>154.6512</v>
      </c>
      <c r="BI88" s="469">
        <f t="shared" si="270"/>
        <v>77.3256</v>
      </c>
      <c r="BJ88" s="469">
        <f t="shared" si="270"/>
        <v>0</v>
      </c>
      <c r="BK88" s="470">
        <f t="shared" si="252"/>
        <v>1314.5352</v>
      </c>
      <c r="BL88" s="469">
        <f t="shared" ref="BL88:BU88" si="271">X88*$AY88</f>
        <v>773.256</v>
      </c>
      <c r="BM88" s="469">
        <f t="shared" si="271"/>
        <v>773.256</v>
      </c>
      <c r="BN88" s="469">
        <f t="shared" si="271"/>
        <v>773.256</v>
      </c>
      <c r="BO88" s="469">
        <f t="shared" si="271"/>
        <v>773.256</v>
      </c>
      <c r="BP88" s="469">
        <f t="shared" si="271"/>
        <v>773.256</v>
      </c>
      <c r="BQ88" s="469">
        <f t="shared" si="271"/>
        <v>773.256</v>
      </c>
      <c r="BR88" s="469">
        <f t="shared" si="271"/>
        <v>773.256</v>
      </c>
      <c r="BS88" s="469">
        <f t="shared" si="271"/>
        <v>773.256</v>
      </c>
      <c r="BT88" s="469">
        <f t="shared" si="271"/>
        <v>386.628</v>
      </c>
      <c r="BU88" s="469">
        <f t="shared" si="271"/>
        <v>0</v>
      </c>
      <c r="BV88" s="470">
        <f t="shared" si="254"/>
        <v>6572.676</v>
      </c>
      <c r="BW88" s="469">
        <f t="shared" ref="BW88:CF88" si="272">AJ88*$AY88</f>
        <v>773.256</v>
      </c>
      <c r="BX88" s="469">
        <f t="shared" si="272"/>
        <v>773.256</v>
      </c>
      <c r="BY88" s="469">
        <f t="shared" si="272"/>
        <v>773.256</v>
      </c>
      <c r="BZ88" s="469">
        <f t="shared" si="272"/>
        <v>773.256</v>
      </c>
      <c r="CA88" s="469">
        <f t="shared" si="272"/>
        <v>773.256</v>
      </c>
      <c r="CB88" s="469">
        <f t="shared" si="272"/>
        <v>773.256</v>
      </c>
      <c r="CC88" s="469">
        <f t="shared" si="272"/>
        <v>773.256</v>
      </c>
      <c r="CD88" s="469">
        <f t="shared" si="272"/>
        <v>773.256</v>
      </c>
      <c r="CE88" s="469">
        <f t="shared" si="272"/>
        <v>386.628</v>
      </c>
      <c r="CF88" s="469">
        <f t="shared" si="272"/>
        <v>0</v>
      </c>
      <c r="CG88" s="470">
        <f t="shared" si="256"/>
        <v>6572.676</v>
      </c>
      <c r="CH88" s="470">
        <f t="shared" si="257"/>
        <v>14459.8872</v>
      </c>
      <c r="CI88" s="471"/>
      <c r="CJ88" s="518"/>
      <c r="CK88" s="472">
        <v>1.0</v>
      </c>
      <c r="CL88" s="104">
        <f>VLOOKUP(I88,Cotizacion!$A$2:$E$423,4,FALSE())</f>
        <v>11.11</v>
      </c>
    </row>
    <row r="89" ht="15.75" customHeight="1">
      <c r="A89" s="474" t="s">
        <v>2848</v>
      </c>
      <c r="B89" s="475">
        <v>2.0</v>
      </c>
      <c r="C89" s="476" t="s">
        <v>2707</v>
      </c>
      <c r="D89" s="477" t="s">
        <v>150</v>
      </c>
      <c r="E89" s="476" t="s">
        <v>2722</v>
      </c>
      <c r="F89" s="476" t="s">
        <v>1763</v>
      </c>
      <c r="G89" s="457" t="s">
        <v>2723</v>
      </c>
      <c r="H89" s="457" t="s">
        <v>2907</v>
      </c>
      <c r="I89" s="478" t="s">
        <v>2313</v>
      </c>
      <c r="J89" s="479" t="s">
        <v>2908</v>
      </c>
      <c r="K89" s="480" t="s">
        <v>25</v>
      </c>
      <c r="L89" s="481">
        <v>0.0</v>
      </c>
      <c r="M89" s="481">
        <v>0.0</v>
      </c>
      <c r="N89" s="481">
        <v>0.0</v>
      </c>
      <c r="O89" s="481">
        <v>0.0</v>
      </c>
      <c r="P89" s="481">
        <v>0.0</v>
      </c>
      <c r="Q89" s="481">
        <v>0.0</v>
      </c>
      <c r="R89" s="481">
        <v>1.0</v>
      </c>
      <c r="S89" s="481">
        <v>2.0</v>
      </c>
      <c r="T89" s="481">
        <v>0.0</v>
      </c>
      <c r="U89" s="492">
        <v>1.0</v>
      </c>
      <c r="V89" s="481">
        <v>0.0</v>
      </c>
      <c r="W89" s="463">
        <f t="shared" si="246"/>
        <v>4</v>
      </c>
      <c r="X89" s="481">
        <v>0.0</v>
      </c>
      <c r="Y89" s="481">
        <v>0.0</v>
      </c>
      <c r="Z89" s="481">
        <v>0.0</v>
      </c>
      <c r="AA89" s="481">
        <v>0.0</v>
      </c>
      <c r="AB89" s="481">
        <v>0.0</v>
      </c>
      <c r="AC89" s="481">
        <v>0.0</v>
      </c>
      <c r="AD89" s="481">
        <v>1.0</v>
      </c>
      <c r="AE89" s="481">
        <v>2.0</v>
      </c>
      <c r="AF89" s="481">
        <v>0.0</v>
      </c>
      <c r="AG89" s="492">
        <v>1.0</v>
      </c>
      <c r="AH89" s="481">
        <v>0.0</v>
      </c>
      <c r="AI89" s="464">
        <f t="shared" si="247"/>
        <v>4</v>
      </c>
      <c r="AJ89" s="481">
        <v>0.0</v>
      </c>
      <c r="AK89" s="481">
        <v>0.0</v>
      </c>
      <c r="AL89" s="481">
        <v>0.0</v>
      </c>
      <c r="AM89" s="481">
        <v>0.0</v>
      </c>
      <c r="AN89" s="481">
        <v>0.0</v>
      </c>
      <c r="AO89" s="481">
        <v>0.0</v>
      </c>
      <c r="AP89" s="481">
        <v>1.0</v>
      </c>
      <c r="AQ89" s="481">
        <v>2.0</v>
      </c>
      <c r="AR89" s="481">
        <v>0.0</v>
      </c>
      <c r="AS89" s="492">
        <v>1.0</v>
      </c>
      <c r="AT89" s="481">
        <v>0.0</v>
      </c>
      <c r="AU89" s="463">
        <f t="shared" si="248"/>
        <v>4</v>
      </c>
      <c r="AV89" s="483">
        <f t="shared" si="249"/>
        <v>12</v>
      </c>
      <c r="AW89" s="484"/>
      <c r="AX89" s="485">
        <v>172.21</v>
      </c>
      <c r="AY89" s="485">
        <f t="shared" si="250"/>
        <v>1198.5816</v>
      </c>
      <c r="AZ89" s="486"/>
      <c r="BA89" s="487">
        <f t="shared" ref="BA89:BJ89" si="273">L89*$AY89</f>
        <v>0</v>
      </c>
      <c r="BB89" s="487">
        <f t="shared" si="273"/>
        <v>0</v>
      </c>
      <c r="BC89" s="487">
        <f t="shared" si="273"/>
        <v>0</v>
      </c>
      <c r="BD89" s="487">
        <f t="shared" si="273"/>
        <v>0</v>
      </c>
      <c r="BE89" s="487">
        <f t="shared" si="273"/>
        <v>0</v>
      </c>
      <c r="BF89" s="487">
        <f t="shared" si="273"/>
        <v>0</v>
      </c>
      <c r="BG89" s="487">
        <f t="shared" si="273"/>
        <v>1198.5816</v>
      </c>
      <c r="BH89" s="487">
        <f t="shared" si="273"/>
        <v>2397.1632</v>
      </c>
      <c r="BI89" s="487">
        <f t="shared" si="273"/>
        <v>0</v>
      </c>
      <c r="BJ89" s="487">
        <f t="shared" si="273"/>
        <v>1198.5816</v>
      </c>
      <c r="BK89" s="488">
        <f t="shared" si="252"/>
        <v>4794.3264</v>
      </c>
      <c r="BL89" s="487">
        <f t="shared" ref="BL89:BU89" si="274">X89*$AY89</f>
        <v>0</v>
      </c>
      <c r="BM89" s="487">
        <f t="shared" si="274"/>
        <v>0</v>
      </c>
      <c r="BN89" s="487">
        <f t="shared" si="274"/>
        <v>0</v>
      </c>
      <c r="BO89" s="487">
        <f t="shared" si="274"/>
        <v>0</v>
      </c>
      <c r="BP89" s="487">
        <f t="shared" si="274"/>
        <v>0</v>
      </c>
      <c r="BQ89" s="487">
        <f t="shared" si="274"/>
        <v>0</v>
      </c>
      <c r="BR89" s="487">
        <f t="shared" si="274"/>
        <v>1198.5816</v>
      </c>
      <c r="BS89" s="487">
        <f t="shared" si="274"/>
        <v>2397.1632</v>
      </c>
      <c r="BT89" s="487">
        <f t="shared" si="274"/>
        <v>0</v>
      </c>
      <c r="BU89" s="487">
        <f t="shared" si="274"/>
        <v>1198.5816</v>
      </c>
      <c r="BV89" s="488">
        <f t="shared" si="254"/>
        <v>4794.3264</v>
      </c>
      <c r="BW89" s="487">
        <f t="shared" ref="BW89:CF89" si="275">AJ89*$AY89</f>
        <v>0</v>
      </c>
      <c r="BX89" s="487">
        <f t="shared" si="275"/>
        <v>0</v>
      </c>
      <c r="BY89" s="487">
        <f t="shared" si="275"/>
        <v>0</v>
      </c>
      <c r="BZ89" s="487">
        <f t="shared" si="275"/>
        <v>0</v>
      </c>
      <c r="CA89" s="487">
        <f t="shared" si="275"/>
        <v>0</v>
      </c>
      <c r="CB89" s="487">
        <f t="shared" si="275"/>
        <v>0</v>
      </c>
      <c r="CC89" s="487">
        <f t="shared" si="275"/>
        <v>1198.5816</v>
      </c>
      <c r="CD89" s="487">
        <f t="shared" si="275"/>
        <v>2397.1632</v>
      </c>
      <c r="CE89" s="487">
        <f t="shared" si="275"/>
        <v>0</v>
      </c>
      <c r="CF89" s="487">
        <f t="shared" si="275"/>
        <v>1198.5816</v>
      </c>
      <c r="CG89" s="488">
        <f t="shared" si="256"/>
        <v>4794.3264</v>
      </c>
      <c r="CH89" s="488">
        <f t="shared" si="257"/>
        <v>14382.9792</v>
      </c>
      <c r="CI89" s="489"/>
      <c r="CJ89" s="487"/>
      <c r="CK89" s="472">
        <v>1.0</v>
      </c>
      <c r="CL89" s="104">
        <f>VLOOKUP(I89,Cotizacion!$A$2:$E$423,4,FALSE())</f>
        <v>172.21</v>
      </c>
    </row>
    <row r="90" ht="15.75" customHeight="1">
      <c r="A90" s="453" t="s">
        <v>2848</v>
      </c>
      <c r="B90" s="454">
        <v>2.0</v>
      </c>
      <c r="C90" s="455" t="s">
        <v>2707</v>
      </c>
      <c r="D90" s="456" t="s">
        <v>56</v>
      </c>
      <c r="E90" s="455" t="s">
        <v>2708</v>
      </c>
      <c r="F90" s="455" t="s">
        <v>1763</v>
      </c>
      <c r="G90" s="457" t="s">
        <v>2709</v>
      </c>
      <c r="H90" s="457" t="s">
        <v>2793</v>
      </c>
      <c r="I90" s="458" t="s">
        <v>2402</v>
      </c>
      <c r="J90" s="459" t="s">
        <v>624</v>
      </c>
      <c r="K90" s="460" t="s">
        <v>25</v>
      </c>
      <c r="L90" s="461">
        <v>0.0</v>
      </c>
      <c r="M90" s="461">
        <v>0.0</v>
      </c>
      <c r="N90" s="461">
        <v>0.0</v>
      </c>
      <c r="O90" s="461">
        <v>0.0</v>
      </c>
      <c r="P90" s="461">
        <v>0.0</v>
      </c>
      <c r="Q90" s="461">
        <v>0.0</v>
      </c>
      <c r="R90" s="461">
        <v>0.0</v>
      </c>
      <c r="S90" s="461">
        <v>0.0</v>
      </c>
      <c r="T90" s="461">
        <v>0.0</v>
      </c>
      <c r="U90" s="461">
        <v>0.0</v>
      </c>
      <c r="V90" s="461">
        <v>0.0</v>
      </c>
      <c r="W90" s="463">
        <f t="shared" si="246"/>
        <v>0</v>
      </c>
      <c r="X90" s="461">
        <v>0.0</v>
      </c>
      <c r="Y90" s="461">
        <v>0.0</v>
      </c>
      <c r="Z90" s="461">
        <v>0.0</v>
      </c>
      <c r="AA90" s="461">
        <v>5.0</v>
      </c>
      <c r="AB90" s="461">
        <v>5.0</v>
      </c>
      <c r="AC90" s="461">
        <v>6.0</v>
      </c>
      <c r="AD90" s="461">
        <v>2.0</v>
      </c>
      <c r="AE90" s="461">
        <v>2.0</v>
      </c>
      <c r="AF90" s="461">
        <v>0.0</v>
      </c>
      <c r="AG90" s="551">
        <v>0.0</v>
      </c>
      <c r="AH90" s="461">
        <v>0.0</v>
      </c>
      <c r="AI90" s="464">
        <f t="shared" si="247"/>
        <v>20</v>
      </c>
      <c r="AJ90" s="461">
        <v>0.0</v>
      </c>
      <c r="AK90" s="461">
        <v>0.0</v>
      </c>
      <c r="AL90" s="461">
        <v>0.0</v>
      </c>
      <c r="AM90" s="461">
        <v>5.0</v>
      </c>
      <c r="AN90" s="461">
        <v>5.0</v>
      </c>
      <c r="AO90" s="461">
        <v>6.0</v>
      </c>
      <c r="AP90" s="461">
        <v>2.0</v>
      </c>
      <c r="AQ90" s="461">
        <v>2.0</v>
      </c>
      <c r="AR90" s="461">
        <v>0.0</v>
      </c>
      <c r="AS90" s="551">
        <v>0.0</v>
      </c>
      <c r="AT90" s="461">
        <v>0.0</v>
      </c>
      <c r="AU90" s="463">
        <f t="shared" si="248"/>
        <v>20</v>
      </c>
      <c r="AV90" s="465">
        <f t="shared" si="249"/>
        <v>40</v>
      </c>
      <c r="AW90" s="466"/>
      <c r="AX90" s="467">
        <v>50.92</v>
      </c>
      <c r="AY90" s="467">
        <f t="shared" si="250"/>
        <v>354.4032</v>
      </c>
      <c r="AZ90" s="468"/>
      <c r="BA90" s="469">
        <f t="shared" ref="BA90:BJ90" si="276">L90*$AY90</f>
        <v>0</v>
      </c>
      <c r="BB90" s="469">
        <f t="shared" si="276"/>
        <v>0</v>
      </c>
      <c r="BC90" s="469">
        <f t="shared" si="276"/>
        <v>0</v>
      </c>
      <c r="BD90" s="469">
        <f t="shared" si="276"/>
        <v>0</v>
      </c>
      <c r="BE90" s="469">
        <f t="shared" si="276"/>
        <v>0</v>
      </c>
      <c r="BF90" s="469">
        <f t="shared" si="276"/>
        <v>0</v>
      </c>
      <c r="BG90" s="469">
        <f t="shared" si="276"/>
        <v>0</v>
      </c>
      <c r="BH90" s="469">
        <f t="shared" si="276"/>
        <v>0</v>
      </c>
      <c r="BI90" s="469">
        <f t="shared" si="276"/>
        <v>0</v>
      </c>
      <c r="BJ90" s="469">
        <f t="shared" si="276"/>
        <v>0</v>
      </c>
      <c r="BK90" s="470">
        <f t="shared" si="252"/>
        <v>0</v>
      </c>
      <c r="BL90" s="469">
        <f t="shared" ref="BL90:BU90" si="277">X90*$AY90</f>
        <v>0</v>
      </c>
      <c r="BM90" s="469">
        <f t="shared" si="277"/>
        <v>0</v>
      </c>
      <c r="BN90" s="469">
        <f t="shared" si="277"/>
        <v>0</v>
      </c>
      <c r="BO90" s="469">
        <f t="shared" si="277"/>
        <v>1772.016</v>
      </c>
      <c r="BP90" s="469">
        <f t="shared" si="277"/>
        <v>1772.016</v>
      </c>
      <c r="BQ90" s="469">
        <f t="shared" si="277"/>
        <v>2126.4192</v>
      </c>
      <c r="BR90" s="469">
        <f t="shared" si="277"/>
        <v>708.8064</v>
      </c>
      <c r="BS90" s="469">
        <f t="shared" si="277"/>
        <v>708.8064</v>
      </c>
      <c r="BT90" s="469">
        <f t="shared" si="277"/>
        <v>0</v>
      </c>
      <c r="BU90" s="469">
        <f t="shared" si="277"/>
        <v>0</v>
      </c>
      <c r="BV90" s="470">
        <f t="shared" si="254"/>
        <v>7088.064</v>
      </c>
      <c r="BW90" s="469">
        <f t="shared" ref="BW90:CF90" si="278">AJ90*$AY90</f>
        <v>0</v>
      </c>
      <c r="BX90" s="469">
        <f t="shared" si="278"/>
        <v>0</v>
      </c>
      <c r="BY90" s="469">
        <f t="shared" si="278"/>
        <v>0</v>
      </c>
      <c r="BZ90" s="469">
        <f t="shared" si="278"/>
        <v>1772.016</v>
      </c>
      <c r="CA90" s="469">
        <f t="shared" si="278"/>
        <v>1772.016</v>
      </c>
      <c r="CB90" s="469">
        <f t="shared" si="278"/>
        <v>2126.4192</v>
      </c>
      <c r="CC90" s="469">
        <f t="shared" si="278"/>
        <v>708.8064</v>
      </c>
      <c r="CD90" s="469">
        <f t="shared" si="278"/>
        <v>708.8064</v>
      </c>
      <c r="CE90" s="469">
        <f t="shared" si="278"/>
        <v>0</v>
      </c>
      <c r="CF90" s="469">
        <f t="shared" si="278"/>
        <v>0</v>
      </c>
      <c r="CG90" s="470">
        <f t="shared" si="256"/>
        <v>7088.064</v>
      </c>
      <c r="CH90" s="470">
        <f t="shared" si="257"/>
        <v>14176.128</v>
      </c>
      <c r="CI90" s="471"/>
      <c r="CJ90" s="469"/>
      <c r="CK90" s="472">
        <v>1.0</v>
      </c>
      <c r="CL90" s="104">
        <f>VLOOKUP(I90,Cotizacion!$A$2:$E$423,4,FALSE())</f>
        <v>50.92</v>
      </c>
    </row>
    <row r="91" ht="15.75" customHeight="1">
      <c r="A91" s="474" t="s">
        <v>2848</v>
      </c>
      <c r="B91" s="475">
        <v>2.0</v>
      </c>
      <c r="C91" s="476" t="s">
        <v>2707</v>
      </c>
      <c r="D91" s="477" t="s">
        <v>150</v>
      </c>
      <c r="E91" s="476" t="s">
        <v>2722</v>
      </c>
      <c r="F91" s="476" t="s">
        <v>1763</v>
      </c>
      <c r="G91" s="457" t="s">
        <v>2723</v>
      </c>
      <c r="H91" s="457" t="s">
        <v>2746</v>
      </c>
      <c r="I91" s="478" t="s">
        <v>2046</v>
      </c>
      <c r="J91" s="479" t="s">
        <v>918</v>
      </c>
      <c r="K91" s="480" t="s">
        <v>25</v>
      </c>
      <c r="L91" s="481">
        <v>0.0</v>
      </c>
      <c r="M91" s="481">
        <v>0.0</v>
      </c>
      <c r="N91" s="481">
        <v>0.0</v>
      </c>
      <c r="O91" s="481">
        <v>0.0</v>
      </c>
      <c r="P91" s="481">
        <v>0.0</v>
      </c>
      <c r="Q91" s="481">
        <v>0.0</v>
      </c>
      <c r="R91" s="481">
        <v>2.0</v>
      </c>
      <c r="S91" s="481">
        <v>2.0</v>
      </c>
      <c r="T91" s="481">
        <v>0.0</v>
      </c>
      <c r="U91" s="481">
        <v>2.0</v>
      </c>
      <c r="V91" s="481">
        <v>0.0</v>
      </c>
      <c r="W91" s="463">
        <f t="shared" si="246"/>
        <v>6</v>
      </c>
      <c r="X91" s="481">
        <v>0.0</v>
      </c>
      <c r="Y91" s="481">
        <v>0.0</v>
      </c>
      <c r="Z91" s="481">
        <v>0.0</v>
      </c>
      <c r="AA91" s="481">
        <v>0.0</v>
      </c>
      <c r="AB91" s="481">
        <v>0.0</v>
      </c>
      <c r="AC91" s="481">
        <v>0.0</v>
      </c>
      <c r="AD91" s="481">
        <v>2.0</v>
      </c>
      <c r="AE91" s="481">
        <v>2.0</v>
      </c>
      <c r="AF91" s="481">
        <v>0.0</v>
      </c>
      <c r="AG91" s="481">
        <v>2.0</v>
      </c>
      <c r="AH91" s="481">
        <v>0.0</v>
      </c>
      <c r="AI91" s="464">
        <f t="shared" si="247"/>
        <v>6</v>
      </c>
      <c r="AJ91" s="481">
        <v>0.0</v>
      </c>
      <c r="AK91" s="481">
        <v>0.0</v>
      </c>
      <c r="AL91" s="481">
        <v>0.0</v>
      </c>
      <c r="AM91" s="481">
        <v>0.0</v>
      </c>
      <c r="AN91" s="481">
        <v>0.0</v>
      </c>
      <c r="AO91" s="481">
        <v>0.0</v>
      </c>
      <c r="AP91" s="481">
        <v>2.0</v>
      </c>
      <c r="AQ91" s="481">
        <v>2.0</v>
      </c>
      <c r="AR91" s="481">
        <v>0.0</v>
      </c>
      <c r="AS91" s="481">
        <v>2.0</v>
      </c>
      <c r="AT91" s="481">
        <v>0.0</v>
      </c>
      <c r="AU91" s="463">
        <f t="shared" si="248"/>
        <v>6</v>
      </c>
      <c r="AV91" s="483">
        <f t="shared" si="249"/>
        <v>18</v>
      </c>
      <c r="AW91" s="484"/>
      <c r="AX91" s="485">
        <v>111.25</v>
      </c>
      <c r="AY91" s="485">
        <f t="shared" si="250"/>
        <v>774.3</v>
      </c>
      <c r="AZ91" s="486"/>
      <c r="BA91" s="487">
        <f t="shared" ref="BA91:BJ91" si="279">L91*$AY91</f>
        <v>0</v>
      </c>
      <c r="BB91" s="487">
        <f t="shared" si="279"/>
        <v>0</v>
      </c>
      <c r="BC91" s="487">
        <f t="shared" si="279"/>
        <v>0</v>
      </c>
      <c r="BD91" s="487">
        <f t="shared" si="279"/>
        <v>0</v>
      </c>
      <c r="BE91" s="487">
        <f t="shared" si="279"/>
        <v>0</v>
      </c>
      <c r="BF91" s="487">
        <f t="shared" si="279"/>
        <v>0</v>
      </c>
      <c r="BG91" s="487">
        <f t="shared" si="279"/>
        <v>1548.6</v>
      </c>
      <c r="BH91" s="487">
        <f t="shared" si="279"/>
        <v>1548.6</v>
      </c>
      <c r="BI91" s="487">
        <f t="shared" si="279"/>
        <v>0</v>
      </c>
      <c r="BJ91" s="487">
        <f t="shared" si="279"/>
        <v>1548.6</v>
      </c>
      <c r="BK91" s="488">
        <f t="shared" si="252"/>
        <v>4645.8</v>
      </c>
      <c r="BL91" s="487">
        <f t="shared" ref="BL91:BU91" si="280">X91*$AY91</f>
        <v>0</v>
      </c>
      <c r="BM91" s="487">
        <f t="shared" si="280"/>
        <v>0</v>
      </c>
      <c r="BN91" s="487">
        <f t="shared" si="280"/>
        <v>0</v>
      </c>
      <c r="BO91" s="487">
        <f t="shared" si="280"/>
        <v>0</v>
      </c>
      <c r="BP91" s="487">
        <f t="shared" si="280"/>
        <v>0</v>
      </c>
      <c r="BQ91" s="487">
        <f t="shared" si="280"/>
        <v>0</v>
      </c>
      <c r="BR91" s="487">
        <f t="shared" si="280"/>
        <v>1548.6</v>
      </c>
      <c r="BS91" s="487">
        <f t="shared" si="280"/>
        <v>1548.6</v>
      </c>
      <c r="BT91" s="487">
        <f t="shared" si="280"/>
        <v>0</v>
      </c>
      <c r="BU91" s="487">
        <f t="shared" si="280"/>
        <v>1548.6</v>
      </c>
      <c r="BV91" s="488">
        <f t="shared" si="254"/>
        <v>4645.8</v>
      </c>
      <c r="BW91" s="487">
        <f t="shared" ref="BW91:CF91" si="281">AJ91*$AY91</f>
        <v>0</v>
      </c>
      <c r="BX91" s="487">
        <f t="shared" si="281"/>
        <v>0</v>
      </c>
      <c r="BY91" s="487">
        <f t="shared" si="281"/>
        <v>0</v>
      </c>
      <c r="BZ91" s="487">
        <f t="shared" si="281"/>
        <v>0</v>
      </c>
      <c r="CA91" s="487">
        <f t="shared" si="281"/>
        <v>0</v>
      </c>
      <c r="CB91" s="487">
        <f t="shared" si="281"/>
        <v>0</v>
      </c>
      <c r="CC91" s="487">
        <f t="shared" si="281"/>
        <v>1548.6</v>
      </c>
      <c r="CD91" s="487">
        <f t="shared" si="281"/>
        <v>1548.6</v>
      </c>
      <c r="CE91" s="487">
        <f t="shared" si="281"/>
        <v>0</v>
      </c>
      <c r="CF91" s="487">
        <f t="shared" si="281"/>
        <v>1548.6</v>
      </c>
      <c r="CG91" s="488">
        <f t="shared" si="256"/>
        <v>4645.8</v>
      </c>
      <c r="CH91" s="488">
        <f t="shared" si="257"/>
        <v>13937.4</v>
      </c>
      <c r="CI91" s="489"/>
      <c r="CJ91" s="487"/>
      <c r="CK91" s="472">
        <v>1.0</v>
      </c>
      <c r="CL91" s="104">
        <f>VLOOKUP(I91,Cotizacion!$A$2:$E$423,4,FALSE())</f>
        <v>111.25</v>
      </c>
    </row>
    <row r="92" ht="15.75" customHeight="1">
      <c r="A92" s="453" t="s">
        <v>2848</v>
      </c>
      <c r="B92" s="454">
        <v>2.0</v>
      </c>
      <c r="C92" s="456" t="s">
        <v>2852</v>
      </c>
      <c r="D92" s="456" t="s">
        <v>52</v>
      </c>
      <c r="E92" s="456" t="s">
        <v>2708</v>
      </c>
      <c r="F92" s="456" t="s">
        <v>1763</v>
      </c>
      <c r="G92" s="457" t="s">
        <v>2709</v>
      </c>
      <c r="H92" s="457" t="s">
        <v>2909</v>
      </c>
      <c r="I92" s="514" t="s">
        <v>1883</v>
      </c>
      <c r="J92" s="459" t="s">
        <v>869</v>
      </c>
      <c r="K92" s="515" t="s">
        <v>25</v>
      </c>
      <c r="L92" s="461">
        <v>507.0</v>
      </c>
      <c r="M92" s="461">
        <v>301.0</v>
      </c>
      <c r="N92" s="461">
        <v>443.0</v>
      </c>
      <c r="O92" s="462">
        <v>0.0</v>
      </c>
      <c r="P92" s="462">
        <v>254.0</v>
      </c>
      <c r="Q92" s="462">
        <v>0.0</v>
      </c>
      <c r="R92" s="462">
        <v>0.0</v>
      </c>
      <c r="S92" s="490">
        <v>0.0</v>
      </c>
      <c r="T92" s="461">
        <v>70.0</v>
      </c>
      <c r="U92" s="490">
        <v>0.0</v>
      </c>
      <c r="V92" s="461">
        <v>0.0</v>
      </c>
      <c r="W92" s="463">
        <f t="shared" si="246"/>
        <v>1575</v>
      </c>
      <c r="X92" s="461">
        <v>394.0</v>
      </c>
      <c r="Y92" s="461">
        <v>234.0</v>
      </c>
      <c r="Z92" s="461">
        <v>344.0</v>
      </c>
      <c r="AA92" s="461">
        <v>222.0</v>
      </c>
      <c r="AB92" s="461">
        <v>254.0</v>
      </c>
      <c r="AC92" s="461">
        <v>420.0</v>
      </c>
      <c r="AD92" s="461">
        <v>266.0</v>
      </c>
      <c r="AE92" s="461">
        <v>314.0</v>
      </c>
      <c r="AF92" s="461">
        <v>54.0</v>
      </c>
      <c r="AG92" s="461">
        <v>330.0</v>
      </c>
      <c r="AH92" s="461">
        <v>0.0</v>
      </c>
      <c r="AI92" s="464">
        <f t="shared" si="247"/>
        <v>2832</v>
      </c>
      <c r="AJ92" s="461">
        <v>394.0</v>
      </c>
      <c r="AK92" s="461">
        <v>234.0</v>
      </c>
      <c r="AL92" s="461">
        <v>344.0</v>
      </c>
      <c r="AM92" s="461">
        <v>222.0</v>
      </c>
      <c r="AN92" s="461">
        <v>254.0</v>
      </c>
      <c r="AO92" s="461">
        <v>420.0</v>
      </c>
      <c r="AP92" s="461">
        <v>266.0</v>
      </c>
      <c r="AQ92" s="461">
        <v>314.0</v>
      </c>
      <c r="AR92" s="461">
        <v>54.0</v>
      </c>
      <c r="AS92" s="461">
        <v>330.0</v>
      </c>
      <c r="AT92" s="461">
        <v>0.0</v>
      </c>
      <c r="AU92" s="463">
        <f t="shared" si="248"/>
        <v>2832</v>
      </c>
      <c r="AV92" s="465">
        <f t="shared" si="249"/>
        <v>7239</v>
      </c>
      <c r="AW92" s="466"/>
      <c r="AX92" s="516">
        <v>0.27</v>
      </c>
      <c r="AY92" s="467">
        <f t="shared" si="250"/>
        <v>1.8792</v>
      </c>
      <c r="AZ92" s="538"/>
      <c r="BA92" s="469">
        <f t="shared" ref="BA92:BJ92" si="282">L92*$AY92</f>
        <v>952.7544</v>
      </c>
      <c r="BB92" s="469">
        <f t="shared" si="282"/>
        <v>565.6392</v>
      </c>
      <c r="BC92" s="469">
        <f t="shared" si="282"/>
        <v>832.4856</v>
      </c>
      <c r="BD92" s="469">
        <f t="shared" si="282"/>
        <v>0</v>
      </c>
      <c r="BE92" s="469">
        <f t="shared" si="282"/>
        <v>477.3168</v>
      </c>
      <c r="BF92" s="469">
        <f t="shared" si="282"/>
        <v>0</v>
      </c>
      <c r="BG92" s="469">
        <f t="shared" si="282"/>
        <v>0</v>
      </c>
      <c r="BH92" s="469">
        <f t="shared" si="282"/>
        <v>0</v>
      </c>
      <c r="BI92" s="469">
        <f t="shared" si="282"/>
        <v>131.544</v>
      </c>
      <c r="BJ92" s="469">
        <f t="shared" si="282"/>
        <v>0</v>
      </c>
      <c r="BK92" s="470">
        <f t="shared" si="252"/>
        <v>2959.74</v>
      </c>
      <c r="BL92" s="469">
        <f t="shared" ref="BL92:BU92" si="283">X92*$AY92</f>
        <v>740.4048</v>
      </c>
      <c r="BM92" s="469">
        <f t="shared" si="283"/>
        <v>439.7328</v>
      </c>
      <c r="BN92" s="469">
        <f t="shared" si="283"/>
        <v>646.4448</v>
      </c>
      <c r="BO92" s="469">
        <f t="shared" si="283"/>
        <v>417.1824</v>
      </c>
      <c r="BP92" s="469">
        <f t="shared" si="283"/>
        <v>477.3168</v>
      </c>
      <c r="BQ92" s="469">
        <f t="shared" si="283"/>
        <v>789.264</v>
      </c>
      <c r="BR92" s="469">
        <f t="shared" si="283"/>
        <v>499.8672</v>
      </c>
      <c r="BS92" s="469">
        <f t="shared" si="283"/>
        <v>590.0688</v>
      </c>
      <c r="BT92" s="469">
        <f t="shared" si="283"/>
        <v>101.4768</v>
      </c>
      <c r="BU92" s="469">
        <f t="shared" si="283"/>
        <v>620.136</v>
      </c>
      <c r="BV92" s="470">
        <f t="shared" si="254"/>
        <v>5321.8944</v>
      </c>
      <c r="BW92" s="469">
        <f t="shared" ref="BW92:CF92" si="284">AJ92*$AY92</f>
        <v>740.4048</v>
      </c>
      <c r="BX92" s="469">
        <f t="shared" si="284"/>
        <v>439.7328</v>
      </c>
      <c r="BY92" s="469">
        <f t="shared" si="284"/>
        <v>646.4448</v>
      </c>
      <c r="BZ92" s="469">
        <f t="shared" si="284"/>
        <v>417.1824</v>
      </c>
      <c r="CA92" s="469">
        <f t="shared" si="284"/>
        <v>477.3168</v>
      </c>
      <c r="CB92" s="469">
        <f t="shared" si="284"/>
        <v>789.264</v>
      </c>
      <c r="CC92" s="469">
        <f t="shared" si="284"/>
        <v>499.8672</v>
      </c>
      <c r="CD92" s="469">
        <f t="shared" si="284"/>
        <v>590.0688</v>
      </c>
      <c r="CE92" s="469">
        <f t="shared" si="284"/>
        <v>101.4768</v>
      </c>
      <c r="CF92" s="469">
        <f t="shared" si="284"/>
        <v>620.136</v>
      </c>
      <c r="CG92" s="470">
        <f t="shared" si="256"/>
        <v>5321.8944</v>
      </c>
      <c r="CH92" s="470">
        <f t="shared" si="257"/>
        <v>13603.5288</v>
      </c>
      <c r="CI92" s="471"/>
      <c r="CJ92" s="518"/>
      <c r="CK92" s="472">
        <v>1.0</v>
      </c>
      <c r="CL92" s="104">
        <f>VLOOKUP(I92,Cotizacion!$A$2:$E$423,4,FALSE())</f>
        <v>0.27</v>
      </c>
    </row>
    <row r="93" ht="15.75" customHeight="1">
      <c r="A93" s="474" t="s">
        <v>2848</v>
      </c>
      <c r="B93" s="475">
        <v>2.0</v>
      </c>
      <c r="C93" s="477" t="s">
        <v>2852</v>
      </c>
      <c r="D93" s="477" t="s">
        <v>52</v>
      </c>
      <c r="E93" s="477" t="s">
        <v>2708</v>
      </c>
      <c r="F93" s="477" t="s">
        <v>1763</v>
      </c>
      <c r="G93" s="457" t="s">
        <v>2709</v>
      </c>
      <c r="H93" s="457" t="s">
        <v>2910</v>
      </c>
      <c r="I93" s="501" t="s">
        <v>2136</v>
      </c>
      <c r="J93" s="479" t="s">
        <v>986</v>
      </c>
      <c r="K93" s="502" t="s">
        <v>25</v>
      </c>
      <c r="L93" s="481">
        <v>4.0</v>
      </c>
      <c r="M93" s="481">
        <v>4.0</v>
      </c>
      <c r="N93" s="481">
        <v>4.0</v>
      </c>
      <c r="O93" s="481">
        <v>4.0</v>
      </c>
      <c r="P93" s="481">
        <v>4.0</v>
      </c>
      <c r="Q93" s="481">
        <v>4.0</v>
      </c>
      <c r="R93" s="481">
        <v>1.0</v>
      </c>
      <c r="S93" s="481">
        <v>1.0</v>
      </c>
      <c r="T93" s="481">
        <v>1.0</v>
      </c>
      <c r="U93" s="481">
        <v>1.0</v>
      </c>
      <c r="V93" s="481">
        <v>0.0</v>
      </c>
      <c r="W93" s="463">
        <f t="shared" si="246"/>
        <v>28</v>
      </c>
      <c r="X93" s="481">
        <v>4.0</v>
      </c>
      <c r="Y93" s="481">
        <v>4.0</v>
      </c>
      <c r="Z93" s="481">
        <v>4.0</v>
      </c>
      <c r="AA93" s="481">
        <v>4.0</v>
      </c>
      <c r="AB93" s="481">
        <v>4.0</v>
      </c>
      <c r="AC93" s="481">
        <v>4.0</v>
      </c>
      <c r="AD93" s="481">
        <v>1.0</v>
      </c>
      <c r="AE93" s="481">
        <v>1.0</v>
      </c>
      <c r="AF93" s="481">
        <v>1.0</v>
      </c>
      <c r="AG93" s="481">
        <v>1.0</v>
      </c>
      <c r="AH93" s="481">
        <v>0.0</v>
      </c>
      <c r="AI93" s="464">
        <f t="shared" si="247"/>
        <v>28</v>
      </c>
      <c r="AJ93" s="481">
        <v>4.0</v>
      </c>
      <c r="AK93" s="481">
        <v>4.0</v>
      </c>
      <c r="AL93" s="481">
        <v>4.0</v>
      </c>
      <c r="AM93" s="481">
        <v>4.0</v>
      </c>
      <c r="AN93" s="481">
        <v>4.0</v>
      </c>
      <c r="AO93" s="481">
        <v>4.0</v>
      </c>
      <c r="AP93" s="482">
        <v>4.0</v>
      </c>
      <c r="AQ93" s="481">
        <v>1.0</v>
      </c>
      <c r="AR93" s="482">
        <v>2.0</v>
      </c>
      <c r="AS93" s="481">
        <v>1.0</v>
      </c>
      <c r="AT93" s="481">
        <v>0.0</v>
      </c>
      <c r="AU93" s="463">
        <f t="shared" si="248"/>
        <v>32</v>
      </c>
      <c r="AV93" s="483">
        <f t="shared" si="249"/>
        <v>88</v>
      </c>
      <c r="AW93" s="484"/>
      <c r="AX93" s="503">
        <v>19.34</v>
      </c>
      <c r="AY93" s="485">
        <f t="shared" si="250"/>
        <v>134.6064</v>
      </c>
      <c r="AZ93" s="504"/>
      <c r="BA93" s="487">
        <f t="shared" ref="BA93:BJ93" si="285">L93*$AY93</f>
        <v>538.4256</v>
      </c>
      <c r="BB93" s="487">
        <f t="shared" si="285"/>
        <v>538.4256</v>
      </c>
      <c r="BC93" s="487">
        <f t="shared" si="285"/>
        <v>538.4256</v>
      </c>
      <c r="BD93" s="487">
        <f t="shared" si="285"/>
        <v>538.4256</v>
      </c>
      <c r="BE93" s="487">
        <f t="shared" si="285"/>
        <v>538.4256</v>
      </c>
      <c r="BF93" s="487">
        <f t="shared" si="285"/>
        <v>538.4256</v>
      </c>
      <c r="BG93" s="487">
        <f t="shared" si="285"/>
        <v>134.6064</v>
      </c>
      <c r="BH93" s="487">
        <f t="shared" si="285"/>
        <v>134.6064</v>
      </c>
      <c r="BI93" s="487">
        <f t="shared" si="285"/>
        <v>134.6064</v>
      </c>
      <c r="BJ93" s="487">
        <f t="shared" si="285"/>
        <v>134.6064</v>
      </c>
      <c r="BK93" s="488">
        <f t="shared" si="252"/>
        <v>3768.9792</v>
      </c>
      <c r="BL93" s="487">
        <f t="shared" ref="BL93:BU93" si="286">X93*$AY93</f>
        <v>538.4256</v>
      </c>
      <c r="BM93" s="487">
        <f t="shared" si="286"/>
        <v>538.4256</v>
      </c>
      <c r="BN93" s="487">
        <f t="shared" si="286"/>
        <v>538.4256</v>
      </c>
      <c r="BO93" s="487">
        <f t="shared" si="286"/>
        <v>538.4256</v>
      </c>
      <c r="BP93" s="487">
        <f t="shared" si="286"/>
        <v>538.4256</v>
      </c>
      <c r="BQ93" s="487">
        <f t="shared" si="286"/>
        <v>538.4256</v>
      </c>
      <c r="BR93" s="487">
        <f t="shared" si="286"/>
        <v>134.6064</v>
      </c>
      <c r="BS93" s="487">
        <f t="shared" si="286"/>
        <v>134.6064</v>
      </c>
      <c r="BT93" s="487">
        <f t="shared" si="286"/>
        <v>134.6064</v>
      </c>
      <c r="BU93" s="487">
        <f t="shared" si="286"/>
        <v>134.6064</v>
      </c>
      <c r="BV93" s="488">
        <f t="shared" si="254"/>
        <v>3768.9792</v>
      </c>
      <c r="BW93" s="487">
        <f t="shared" ref="BW93:CF93" si="287">AJ93*$AY93</f>
        <v>538.4256</v>
      </c>
      <c r="BX93" s="487">
        <f t="shared" si="287"/>
        <v>538.4256</v>
      </c>
      <c r="BY93" s="487">
        <f t="shared" si="287"/>
        <v>538.4256</v>
      </c>
      <c r="BZ93" s="487">
        <f t="shared" si="287"/>
        <v>538.4256</v>
      </c>
      <c r="CA93" s="487">
        <f t="shared" si="287"/>
        <v>538.4256</v>
      </c>
      <c r="CB93" s="487">
        <f t="shared" si="287"/>
        <v>538.4256</v>
      </c>
      <c r="CC93" s="487">
        <f t="shared" si="287"/>
        <v>538.4256</v>
      </c>
      <c r="CD93" s="487">
        <f t="shared" si="287"/>
        <v>134.6064</v>
      </c>
      <c r="CE93" s="487">
        <f t="shared" si="287"/>
        <v>269.2128</v>
      </c>
      <c r="CF93" s="487">
        <f t="shared" si="287"/>
        <v>134.6064</v>
      </c>
      <c r="CG93" s="488">
        <f t="shared" si="256"/>
        <v>4307.4048</v>
      </c>
      <c r="CH93" s="488">
        <f t="shared" si="257"/>
        <v>11845.3632</v>
      </c>
      <c r="CI93" s="489"/>
      <c r="CJ93" s="505"/>
      <c r="CK93" s="472">
        <v>1.0</v>
      </c>
      <c r="CL93" s="104">
        <f>VLOOKUP(I93,Cotizacion!$A$2:$E$423,4,FALSE())</f>
        <v>19.34</v>
      </c>
    </row>
    <row r="94" ht="15.75" customHeight="1">
      <c r="A94" s="453" t="s">
        <v>2848</v>
      </c>
      <c r="B94" s="454">
        <v>2.0</v>
      </c>
      <c r="C94" s="456" t="s">
        <v>2852</v>
      </c>
      <c r="D94" s="456" t="s">
        <v>52</v>
      </c>
      <c r="E94" s="456" t="s">
        <v>2708</v>
      </c>
      <c r="F94" s="456" t="s">
        <v>1763</v>
      </c>
      <c r="G94" s="457" t="s">
        <v>2709</v>
      </c>
      <c r="H94" s="457" t="s">
        <v>2911</v>
      </c>
      <c r="I94" s="514" t="s">
        <v>2299</v>
      </c>
      <c r="J94" s="459" t="s">
        <v>1016</v>
      </c>
      <c r="K94" s="515" t="s">
        <v>25</v>
      </c>
      <c r="L94" s="461">
        <v>4.0</v>
      </c>
      <c r="M94" s="461">
        <v>2.0</v>
      </c>
      <c r="N94" s="461">
        <v>4.0</v>
      </c>
      <c r="O94" s="461">
        <v>2.0</v>
      </c>
      <c r="P94" s="461">
        <v>2.0</v>
      </c>
      <c r="Q94" s="461">
        <v>4.0</v>
      </c>
      <c r="R94" s="461">
        <v>2.0</v>
      </c>
      <c r="S94" s="461">
        <v>2.0</v>
      </c>
      <c r="T94" s="461">
        <v>0.0</v>
      </c>
      <c r="U94" s="461">
        <v>2.0</v>
      </c>
      <c r="V94" s="461">
        <v>0.0</v>
      </c>
      <c r="W94" s="463">
        <f t="shared" si="246"/>
        <v>24</v>
      </c>
      <c r="X94" s="461">
        <v>5.0</v>
      </c>
      <c r="Y94" s="461">
        <v>2.0</v>
      </c>
      <c r="Z94" s="461">
        <v>5.0</v>
      </c>
      <c r="AA94" s="461">
        <v>2.0</v>
      </c>
      <c r="AB94" s="461">
        <v>2.0</v>
      </c>
      <c r="AC94" s="461">
        <v>4.0</v>
      </c>
      <c r="AD94" s="461">
        <v>2.0</v>
      </c>
      <c r="AE94" s="461">
        <v>2.0</v>
      </c>
      <c r="AF94" s="461">
        <v>0.0</v>
      </c>
      <c r="AG94" s="461">
        <v>2.0</v>
      </c>
      <c r="AH94" s="461">
        <v>0.0</v>
      </c>
      <c r="AI94" s="464">
        <f t="shared" si="247"/>
        <v>26</v>
      </c>
      <c r="AJ94" s="461">
        <v>5.0</v>
      </c>
      <c r="AK94" s="461">
        <v>2.0</v>
      </c>
      <c r="AL94" s="461">
        <v>5.0</v>
      </c>
      <c r="AM94" s="461">
        <v>2.0</v>
      </c>
      <c r="AN94" s="461">
        <v>2.0</v>
      </c>
      <c r="AO94" s="461">
        <v>4.0</v>
      </c>
      <c r="AP94" s="461">
        <v>2.0</v>
      </c>
      <c r="AQ94" s="461">
        <v>2.0</v>
      </c>
      <c r="AR94" s="461">
        <v>0.0</v>
      </c>
      <c r="AS94" s="461">
        <v>2.0</v>
      </c>
      <c r="AT94" s="461">
        <v>0.0</v>
      </c>
      <c r="AU94" s="463">
        <f t="shared" si="248"/>
        <v>26</v>
      </c>
      <c r="AV94" s="465">
        <f t="shared" si="249"/>
        <v>76</v>
      </c>
      <c r="AW94" s="466"/>
      <c r="AX94" s="516">
        <v>19.34</v>
      </c>
      <c r="AY94" s="467">
        <f t="shared" si="250"/>
        <v>134.6064</v>
      </c>
      <c r="AZ94" s="538"/>
      <c r="BA94" s="469">
        <f t="shared" ref="BA94:BJ94" si="288">L94*$AY94</f>
        <v>538.4256</v>
      </c>
      <c r="BB94" s="469">
        <f t="shared" si="288"/>
        <v>269.2128</v>
      </c>
      <c r="BC94" s="469">
        <f t="shared" si="288"/>
        <v>538.4256</v>
      </c>
      <c r="BD94" s="469">
        <f t="shared" si="288"/>
        <v>269.2128</v>
      </c>
      <c r="BE94" s="469">
        <f t="shared" si="288"/>
        <v>269.2128</v>
      </c>
      <c r="BF94" s="469">
        <f t="shared" si="288"/>
        <v>538.4256</v>
      </c>
      <c r="BG94" s="469">
        <f t="shared" si="288"/>
        <v>269.2128</v>
      </c>
      <c r="BH94" s="469">
        <f t="shared" si="288"/>
        <v>269.2128</v>
      </c>
      <c r="BI94" s="469">
        <f t="shared" si="288"/>
        <v>0</v>
      </c>
      <c r="BJ94" s="469">
        <f t="shared" si="288"/>
        <v>269.2128</v>
      </c>
      <c r="BK94" s="470">
        <f t="shared" si="252"/>
        <v>3230.5536</v>
      </c>
      <c r="BL94" s="469">
        <f t="shared" ref="BL94:BU94" si="289">X94*$AY94</f>
        <v>673.032</v>
      </c>
      <c r="BM94" s="469">
        <f t="shared" si="289"/>
        <v>269.2128</v>
      </c>
      <c r="BN94" s="469">
        <f t="shared" si="289"/>
        <v>673.032</v>
      </c>
      <c r="BO94" s="469">
        <f t="shared" si="289"/>
        <v>269.2128</v>
      </c>
      <c r="BP94" s="469">
        <f t="shared" si="289"/>
        <v>269.2128</v>
      </c>
      <c r="BQ94" s="469">
        <f t="shared" si="289"/>
        <v>538.4256</v>
      </c>
      <c r="BR94" s="469">
        <f t="shared" si="289"/>
        <v>269.2128</v>
      </c>
      <c r="BS94" s="469">
        <f t="shared" si="289"/>
        <v>269.2128</v>
      </c>
      <c r="BT94" s="469">
        <f t="shared" si="289"/>
        <v>0</v>
      </c>
      <c r="BU94" s="469">
        <f t="shared" si="289"/>
        <v>269.2128</v>
      </c>
      <c r="BV94" s="470">
        <f t="shared" si="254"/>
        <v>3499.7664</v>
      </c>
      <c r="BW94" s="469">
        <f t="shared" ref="BW94:CF94" si="290">AJ94*$AY94</f>
        <v>673.032</v>
      </c>
      <c r="BX94" s="469">
        <f t="shared" si="290"/>
        <v>269.2128</v>
      </c>
      <c r="BY94" s="469">
        <f t="shared" si="290"/>
        <v>673.032</v>
      </c>
      <c r="BZ94" s="469">
        <f t="shared" si="290"/>
        <v>269.2128</v>
      </c>
      <c r="CA94" s="469">
        <f t="shared" si="290"/>
        <v>269.2128</v>
      </c>
      <c r="CB94" s="469">
        <f t="shared" si="290"/>
        <v>538.4256</v>
      </c>
      <c r="CC94" s="469">
        <f t="shared" si="290"/>
        <v>269.2128</v>
      </c>
      <c r="CD94" s="469">
        <f t="shared" si="290"/>
        <v>269.2128</v>
      </c>
      <c r="CE94" s="469">
        <f t="shared" si="290"/>
        <v>0</v>
      </c>
      <c r="CF94" s="469">
        <f t="shared" si="290"/>
        <v>269.2128</v>
      </c>
      <c r="CG94" s="470">
        <f t="shared" si="256"/>
        <v>3499.7664</v>
      </c>
      <c r="CH94" s="470">
        <f t="shared" si="257"/>
        <v>10230.0864</v>
      </c>
      <c r="CI94" s="471"/>
      <c r="CJ94" s="518"/>
      <c r="CK94" s="472">
        <v>1.0</v>
      </c>
      <c r="CL94" s="104">
        <f>VLOOKUP(I94,Cotizacion!$A$2:$E$423,4,FALSE())</f>
        <v>19.34</v>
      </c>
    </row>
    <row r="95" ht="15.75" customHeight="1">
      <c r="A95" s="474" t="s">
        <v>2848</v>
      </c>
      <c r="B95" s="475">
        <v>2.0</v>
      </c>
      <c r="C95" s="476" t="s">
        <v>2808</v>
      </c>
      <c r="D95" s="477" t="s">
        <v>118</v>
      </c>
      <c r="E95" s="476" t="s">
        <v>2708</v>
      </c>
      <c r="F95" s="476" t="s">
        <v>1763</v>
      </c>
      <c r="G95" s="457" t="s">
        <v>2709</v>
      </c>
      <c r="H95" s="457" t="s">
        <v>2912</v>
      </c>
      <c r="I95" s="478" t="s">
        <v>2147</v>
      </c>
      <c r="J95" s="479" t="s">
        <v>486</v>
      </c>
      <c r="K95" s="480" t="s">
        <v>25</v>
      </c>
      <c r="L95" s="481">
        <v>1.0</v>
      </c>
      <c r="M95" s="481">
        <v>0.0</v>
      </c>
      <c r="N95" s="532">
        <v>0.0</v>
      </c>
      <c r="O95" s="481">
        <v>0.0</v>
      </c>
      <c r="P95" s="481">
        <v>0.0</v>
      </c>
      <c r="Q95" s="481">
        <v>0.0</v>
      </c>
      <c r="R95" s="481">
        <v>0.0</v>
      </c>
      <c r="S95" s="482">
        <v>0.0</v>
      </c>
      <c r="T95" s="481">
        <v>0.0</v>
      </c>
      <c r="U95" s="481">
        <v>0.0</v>
      </c>
      <c r="V95" s="481">
        <v>0.0</v>
      </c>
      <c r="W95" s="463">
        <f t="shared" si="246"/>
        <v>1</v>
      </c>
      <c r="X95" s="481">
        <v>1.0</v>
      </c>
      <c r="Y95" s="481">
        <v>0.0</v>
      </c>
      <c r="Z95" s="481">
        <v>1.0</v>
      </c>
      <c r="AA95" s="481">
        <v>0.0</v>
      </c>
      <c r="AB95" s="481">
        <v>0.0</v>
      </c>
      <c r="AC95" s="481">
        <v>0.0</v>
      </c>
      <c r="AD95" s="481">
        <v>0.0</v>
      </c>
      <c r="AE95" s="481">
        <v>0.0</v>
      </c>
      <c r="AF95" s="481">
        <v>0.0</v>
      </c>
      <c r="AG95" s="481">
        <v>0.0</v>
      </c>
      <c r="AH95" s="481">
        <v>0.0</v>
      </c>
      <c r="AI95" s="464">
        <f t="shared" si="247"/>
        <v>2</v>
      </c>
      <c r="AJ95" s="481">
        <v>1.0</v>
      </c>
      <c r="AK95" s="481">
        <v>0.0</v>
      </c>
      <c r="AL95" s="481">
        <v>1.0</v>
      </c>
      <c r="AM95" s="481">
        <v>0.0</v>
      </c>
      <c r="AN95" s="481">
        <v>0.0</v>
      </c>
      <c r="AO95" s="481">
        <v>0.0</v>
      </c>
      <c r="AP95" s="481">
        <v>0.0</v>
      </c>
      <c r="AQ95" s="481">
        <v>0.0</v>
      </c>
      <c r="AR95" s="481">
        <v>0.0</v>
      </c>
      <c r="AS95" s="481">
        <v>0.0</v>
      </c>
      <c r="AT95" s="481">
        <v>0.0</v>
      </c>
      <c r="AU95" s="463">
        <f t="shared" si="248"/>
        <v>2</v>
      </c>
      <c r="AV95" s="483">
        <f t="shared" si="249"/>
        <v>5</v>
      </c>
      <c r="AW95" s="484"/>
      <c r="AX95" s="485">
        <v>279.15</v>
      </c>
      <c r="AY95" s="485">
        <f t="shared" si="250"/>
        <v>1942.884</v>
      </c>
      <c r="AZ95" s="486"/>
      <c r="BA95" s="487">
        <f t="shared" ref="BA95:BJ95" si="291">L95*$AY95</f>
        <v>1942.884</v>
      </c>
      <c r="BB95" s="487">
        <f t="shared" si="291"/>
        <v>0</v>
      </c>
      <c r="BC95" s="487">
        <f t="shared" si="291"/>
        <v>0</v>
      </c>
      <c r="BD95" s="487">
        <f t="shared" si="291"/>
        <v>0</v>
      </c>
      <c r="BE95" s="487">
        <f t="shared" si="291"/>
        <v>0</v>
      </c>
      <c r="BF95" s="487">
        <f t="shared" si="291"/>
        <v>0</v>
      </c>
      <c r="BG95" s="487">
        <f t="shared" si="291"/>
        <v>0</v>
      </c>
      <c r="BH95" s="487">
        <f t="shared" si="291"/>
        <v>0</v>
      </c>
      <c r="BI95" s="487">
        <f t="shared" si="291"/>
        <v>0</v>
      </c>
      <c r="BJ95" s="487">
        <f t="shared" si="291"/>
        <v>0</v>
      </c>
      <c r="BK95" s="488">
        <f t="shared" si="252"/>
        <v>1942.884</v>
      </c>
      <c r="BL95" s="487">
        <f t="shared" ref="BL95:BU95" si="292">X95*$AY95</f>
        <v>1942.884</v>
      </c>
      <c r="BM95" s="487">
        <f t="shared" si="292"/>
        <v>0</v>
      </c>
      <c r="BN95" s="487">
        <f t="shared" si="292"/>
        <v>1942.884</v>
      </c>
      <c r="BO95" s="487">
        <f t="shared" si="292"/>
        <v>0</v>
      </c>
      <c r="BP95" s="487">
        <f t="shared" si="292"/>
        <v>0</v>
      </c>
      <c r="BQ95" s="487">
        <f t="shared" si="292"/>
        <v>0</v>
      </c>
      <c r="BR95" s="487">
        <f t="shared" si="292"/>
        <v>0</v>
      </c>
      <c r="BS95" s="487">
        <f t="shared" si="292"/>
        <v>0</v>
      </c>
      <c r="BT95" s="487">
        <f t="shared" si="292"/>
        <v>0</v>
      </c>
      <c r="BU95" s="487">
        <f t="shared" si="292"/>
        <v>0</v>
      </c>
      <c r="BV95" s="488">
        <f t="shared" si="254"/>
        <v>3885.768</v>
      </c>
      <c r="BW95" s="487">
        <f t="shared" ref="BW95:CF95" si="293">AJ95*$AY95</f>
        <v>1942.884</v>
      </c>
      <c r="BX95" s="487">
        <f t="shared" si="293"/>
        <v>0</v>
      </c>
      <c r="BY95" s="487">
        <f t="shared" si="293"/>
        <v>1942.884</v>
      </c>
      <c r="BZ95" s="487">
        <f t="shared" si="293"/>
        <v>0</v>
      </c>
      <c r="CA95" s="487">
        <f t="shared" si="293"/>
        <v>0</v>
      </c>
      <c r="CB95" s="487">
        <f t="shared" si="293"/>
        <v>0</v>
      </c>
      <c r="CC95" s="487">
        <f t="shared" si="293"/>
        <v>0</v>
      </c>
      <c r="CD95" s="487">
        <f t="shared" si="293"/>
        <v>0</v>
      </c>
      <c r="CE95" s="487">
        <f t="shared" si="293"/>
        <v>0</v>
      </c>
      <c r="CF95" s="487">
        <f t="shared" si="293"/>
        <v>0</v>
      </c>
      <c r="CG95" s="488">
        <f t="shared" si="256"/>
        <v>3885.768</v>
      </c>
      <c r="CH95" s="488">
        <f t="shared" si="257"/>
        <v>9714.42</v>
      </c>
      <c r="CI95" s="489"/>
      <c r="CJ95" s="487"/>
      <c r="CK95" s="472">
        <v>1.0</v>
      </c>
      <c r="CL95" s="104">
        <f>VLOOKUP(I95,Cotizacion!$A$2:$E$423,4,FALSE())</f>
        <v>279.15</v>
      </c>
    </row>
    <row r="96" ht="15.75" customHeight="1">
      <c r="A96" s="453" t="s">
        <v>2848</v>
      </c>
      <c r="B96" s="454">
        <v>2.0</v>
      </c>
      <c r="C96" s="455" t="s">
        <v>2808</v>
      </c>
      <c r="D96" s="456" t="s">
        <v>590</v>
      </c>
      <c r="E96" s="455" t="s">
        <v>2708</v>
      </c>
      <c r="F96" s="455" t="s">
        <v>1763</v>
      </c>
      <c r="G96" s="457" t="s">
        <v>2709</v>
      </c>
      <c r="H96" s="457" t="s">
        <v>2913</v>
      </c>
      <c r="I96" s="458" t="s">
        <v>2182</v>
      </c>
      <c r="J96" s="459" t="s">
        <v>912</v>
      </c>
      <c r="K96" s="460" t="s">
        <v>25</v>
      </c>
      <c r="L96" s="461">
        <v>1.0</v>
      </c>
      <c r="M96" s="461">
        <v>1.0</v>
      </c>
      <c r="N96" s="461">
        <v>1.0</v>
      </c>
      <c r="O96" s="461">
        <v>0.0</v>
      </c>
      <c r="P96" s="461">
        <v>0.0</v>
      </c>
      <c r="Q96" s="461">
        <v>0.0</v>
      </c>
      <c r="R96" s="461">
        <v>1.0</v>
      </c>
      <c r="S96" s="461">
        <v>1.0</v>
      </c>
      <c r="T96" s="461">
        <v>0.0</v>
      </c>
      <c r="U96" s="461">
        <v>1.0</v>
      </c>
      <c r="V96" s="461">
        <v>0.0</v>
      </c>
      <c r="W96" s="463">
        <f t="shared" si="246"/>
        <v>6</v>
      </c>
      <c r="X96" s="461">
        <v>2.0</v>
      </c>
      <c r="Y96" s="461">
        <v>1.0</v>
      </c>
      <c r="Z96" s="461">
        <v>2.0</v>
      </c>
      <c r="AA96" s="461">
        <v>0.0</v>
      </c>
      <c r="AB96" s="461">
        <v>0.0</v>
      </c>
      <c r="AC96" s="461">
        <v>0.0</v>
      </c>
      <c r="AD96" s="461">
        <v>2.0</v>
      </c>
      <c r="AE96" s="461">
        <v>2.0</v>
      </c>
      <c r="AF96" s="461">
        <v>1.0</v>
      </c>
      <c r="AG96" s="461">
        <v>2.0</v>
      </c>
      <c r="AH96" s="461">
        <v>0.0</v>
      </c>
      <c r="AI96" s="464">
        <f t="shared" si="247"/>
        <v>12</v>
      </c>
      <c r="AJ96" s="461">
        <v>2.0</v>
      </c>
      <c r="AK96" s="461">
        <v>1.0</v>
      </c>
      <c r="AL96" s="461">
        <v>2.0</v>
      </c>
      <c r="AM96" s="461">
        <v>0.0</v>
      </c>
      <c r="AN96" s="461">
        <v>0.0</v>
      </c>
      <c r="AO96" s="461">
        <v>0.0</v>
      </c>
      <c r="AP96" s="461">
        <v>2.0</v>
      </c>
      <c r="AQ96" s="461">
        <v>2.0</v>
      </c>
      <c r="AR96" s="461">
        <v>1.0</v>
      </c>
      <c r="AS96" s="461">
        <v>2.0</v>
      </c>
      <c r="AT96" s="461">
        <v>0.0</v>
      </c>
      <c r="AU96" s="463">
        <f t="shared" si="248"/>
        <v>12</v>
      </c>
      <c r="AV96" s="465">
        <f t="shared" si="249"/>
        <v>30</v>
      </c>
      <c r="AW96" s="466"/>
      <c r="AX96" s="467">
        <v>45.03</v>
      </c>
      <c r="AY96" s="467">
        <f t="shared" si="250"/>
        <v>313.4088</v>
      </c>
      <c r="AZ96" s="468"/>
      <c r="BA96" s="469">
        <f t="shared" ref="BA96:BJ96" si="294">L96*$AY96</f>
        <v>313.4088</v>
      </c>
      <c r="BB96" s="469">
        <f t="shared" si="294"/>
        <v>313.4088</v>
      </c>
      <c r="BC96" s="469">
        <f t="shared" si="294"/>
        <v>313.4088</v>
      </c>
      <c r="BD96" s="469">
        <f t="shared" si="294"/>
        <v>0</v>
      </c>
      <c r="BE96" s="469">
        <f t="shared" si="294"/>
        <v>0</v>
      </c>
      <c r="BF96" s="469">
        <f t="shared" si="294"/>
        <v>0</v>
      </c>
      <c r="BG96" s="469">
        <f t="shared" si="294"/>
        <v>313.4088</v>
      </c>
      <c r="BH96" s="469">
        <f t="shared" si="294"/>
        <v>313.4088</v>
      </c>
      <c r="BI96" s="469">
        <f t="shared" si="294"/>
        <v>0</v>
      </c>
      <c r="BJ96" s="469">
        <f t="shared" si="294"/>
        <v>313.4088</v>
      </c>
      <c r="BK96" s="470">
        <f t="shared" si="252"/>
        <v>1880.4528</v>
      </c>
      <c r="BL96" s="469">
        <f t="shared" ref="BL96:BU96" si="295">X96*$AY96</f>
        <v>626.8176</v>
      </c>
      <c r="BM96" s="469">
        <f t="shared" si="295"/>
        <v>313.4088</v>
      </c>
      <c r="BN96" s="469">
        <f t="shared" si="295"/>
        <v>626.8176</v>
      </c>
      <c r="BO96" s="469">
        <f t="shared" si="295"/>
        <v>0</v>
      </c>
      <c r="BP96" s="469">
        <f t="shared" si="295"/>
        <v>0</v>
      </c>
      <c r="BQ96" s="469">
        <f t="shared" si="295"/>
        <v>0</v>
      </c>
      <c r="BR96" s="469">
        <f t="shared" si="295"/>
        <v>626.8176</v>
      </c>
      <c r="BS96" s="469">
        <f t="shared" si="295"/>
        <v>626.8176</v>
      </c>
      <c r="BT96" s="469">
        <f t="shared" si="295"/>
        <v>313.4088</v>
      </c>
      <c r="BU96" s="469">
        <f t="shared" si="295"/>
        <v>626.8176</v>
      </c>
      <c r="BV96" s="470">
        <f t="shared" si="254"/>
        <v>3760.9056</v>
      </c>
      <c r="BW96" s="469">
        <f t="shared" ref="BW96:CF96" si="296">AJ96*$AY96</f>
        <v>626.8176</v>
      </c>
      <c r="BX96" s="469">
        <f t="shared" si="296"/>
        <v>313.4088</v>
      </c>
      <c r="BY96" s="469">
        <f t="shared" si="296"/>
        <v>626.8176</v>
      </c>
      <c r="BZ96" s="469">
        <f t="shared" si="296"/>
        <v>0</v>
      </c>
      <c r="CA96" s="469">
        <f t="shared" si="296"/>
        <v>0</v>
      </c>
      <c r="CB96" s="469">
        <f t="shared" si="296"/>
        <v>0</v>
      </c>
      <c r="CC96" s="469">
        <f t="shared" si="296"/>
        <v>626.8176</v>
      </c>
      <c r="CD96" s="469">
        <f t="shared" si="296"/>
        <v>626.8176</v>
      </c>
      <c r="CE96" s="469">
        <f t="shared" si="296"/>
        <v>313.4088</v>
      </c>
      <c r="CF96" s="469">
        <f t="shared" si="296"/>
        <v>626.8176</v>
      </c>
      <c r="CG96" s="470">
        <f t="shared" si="256"/>
        <v>3760.9056</v>
      </c>
      <c r="CH96" s="470">
        <f t="shared" si="257"/>
        <v>9402.264</v>
      </c>
      <c r="CI96" s="471"/>
      <c r="CJ96" s="469"/>
      <c r="CK96" s="472">
        <v>1.0</v>
      </c>
      <c r="CL96" s="104">
        <f>VLOOKUP(I96,Cotizacion!$A$2:$E$423,4,FALSE())</f>
        <v>45.03</v>
      </c>
    </row>
    <row r="97" ht="15.75" customHeight="1">
      <c r="A97" s="474" t="s">
        <v>2848</v>
      </c>
      <c r="B97" s="475">
        <v>2.0</v>
      </c>
      <c r="C97" s="476" t="s">
        <v>2707</v>
      </c>
      <c r="D97" s="477" t="s">
        <v>785</v>
      </c>
      <c r="E97" s="476" t="s">
        <v>2708</v>
      </c>
      <c r="F97" s="476" t="s">
        <v>1763</v>
      </c>
      <c r="G97" s="457" t="s">
        <v>2709</v>
      </c>
      <c r="H97" s="457" t="s">
        <v>2727</v>
      </c>
      <c r="I97" s="478" t="s">
        <v>1951</v>
      </c>
      <c r="J97" s="479" t="s">
        <v>1042</v>
      </c>
      <c r="K97" s="480" t="s">
        <v>25</v>
      </c>
      <c r="L97" s="481">
        <v>8.0</v>
      </c>
      <c r="M97" s="481">
        <v>6.0</v>
      </c>
      <c r="N97" s="481">
        <v>8.0</v>
      </c>
      <c r="O97" s="481">
        <v>4.0</v>
      </c>
      <c r="P97" s="481">
        <v>4.0</v>
      </c>
      <c r="Q97" s="481">
        <v>8.0</v>
      </c>
      <c r="R97" s="481">
        <v>2.0</v>
      </c>
      <c r="S97" s="520">
        <v>0.0</v>
      </c>
      <c r="T97" s="481">
        <v>2.0</v>
      </c>
      <c r="U97" s="481">
        <v>2.0</v>
      </c>
      <c r="V97" s="481">
        <v>0.0</v>
      </c>
      <c r="W97" s="463">
        <f t="shared" si="246"/>
        <v>44</v>
      </c>
      <c r="X97" s="481">
        <v>8.0</v>
      </c>
      <c r="Y97" s="481">
        <v>6.0</v>
      </c>
      <c r="Z97" s="481">
        <v>8.0</v>
      </c>
      <c r="AA97" s="481">
        <v>4.0</v>
      </c>
      <c r="AB97" s="481">
        <v>4.0</v>
      </c>
      <c r="AC97" s="481">
        <v>8.0</v>
      </c>
      <c r="AD97" s="481">
        <v>2.0</v>
      </c>
      <c r="AE97" s="520">
        <v>0.0</v>
      </c>
      <c r="AF97" s="481">
        <v>2.0</v>
      </c>
      <c r="AG97" s="481">
        <v>2.0</v>
      </c>
      <c r="AH97" s="481">
        <v>0.0</v>
      </c>
      <c r="AI97" s="464">
        <f t="shared" si="247"/>
        <v>44</v>
      </c>
      <c r="AJ97" s="481">
        <v>8.0</v>
      </c>
      <c r="AK97" s="481">
        <v>6.0</v>
      </c>
      <c r="AL97" s="481">
        <v>8.0</v>
      </c>
      <c r="AM97" s="481">
        <v>4.0</v>
      </c>
      <c r="AN97" s="481">
        <v>4.0</v>
      </c>
      <c r="AO97" s="481">
        <v>8.0</v>
      </c>
      <c r="AP97" s="481">
        <v>2.0</v>
      </c>
      <c r="AQ97" s="520">
        <v>0.0</v>
      </c>
      <c r="AR97" s="481">
        <v>2.0</v>
      </c>
      <c r="AS97" s="481">
        <v>2.0</v>
      </c>
      <c r="AT97" s="481">
        <v>0.0</v>
      </c>
      <c r="AU97" s="463">
        <f t="shared" si="248"/>
        <v>44</v>
      </c>
      <c r="AV97" s="483">
        <f t="shared" si="249"/>
        <v>132</v>
      </c>
      <c r="AW97" s="484"/>
      <c r="AX97" s="485">
        <v>9.81</v>
      </c>
      <c r="AY97" s="485">
        <f t="shared" si="250"/>
        <v>68.2776</v>
      </c>
      <c r="AZ97" s="486"/>
      <c r="BA97" s="487">
        <f t="shared" ref="BA97:BJ97" si="297">L97*$AY97</f>
        <v>546.2208</v>
      </c>
      <c r="BB97" s="487">
        <f t="shared" si="297"/>
        <v>409.6656</v>
      </c>
      <c r="BC97" s="487">
        <f t="shared" si="297"/>
        <v>546.2208</v>
      </c>
      <c r="BD97" s="487">
        <f t="shared" si="297"/>
        <v>273.1104</v>
      </c>
      <c r="BE97" s="487">
        <f t="shared" si="297"/>
        <v>273.1104</v>
      </c>
      <c r="BF97" s="487">
        <f t="shared" si="297"/>
        <v>546.2208</v>
      </c>
      <c r="BG97" s="487">
        <f t="shared" si="297"/>
        <v>136.5552</v>
      </c>
      <c r="BH97" s="487">
        <f t="shared" si="297"/>
        <v>0</v>
      </c>
      <c r="BI97" s="487">
        <f t="shared" si="297"/>
        <v>136.5552</v>
      </c>
      <c r="BJ97" s="487">
        <f t="shared" si="297"/>
        <v>136.5552</v>
      </c>
      <c r="BK97" s="488">
        <f t="shared" si="252"/>
        <v>3004.2144</v>
      </c>
      <c r="BL97" s="487">
        <f t="shared" ref="BL97:BU97" si="298">X97*$AY97</f>
        <v>546.2208</v>
      </c>
      <c r="BM97" s="487">
        <f t="shared" si="298"/>
        <v>409.6656</v>
      </c>
      <c r="BN97" s="487">
        <f t="shared" si="298"/>
        <v>546.2208</v>
      </c>
      <c r="BO97" s="487">
        <f t="shared" si="298"/>
        <v>273.1104</v>
      </c>
      <c r="BP97" s="487">
        <f t="shared" si="298"/>
        <v>273.1104</v>
      </c>
      <c r="BQ97" s="487">
        <f t="shared" si="298"/>
        <v>546.2208</v>
      </c>
      <c r="BR97" s="487">
        <f t="shared" si="298"/>
        <v>136.5552</v>
      </c>
      <c r="BS97" s="487">
        <f t="shared" si="298"/>
        <v>0</v>
      </c>
      <c r="BT97" s="487">
        <f t="shared" si="298"/>
        <v>136.5552</v>
      </c>
      <c r="BU97" s="487">
        <f t="shared" si="298"/>
        <v>136.5552</v>
      </c>
      <c r="BV97" s="488">
        <f t="shared" si="254"/>
        <v>3004.2144</v>
      </c>
      <c r="BW97" s="487">
        <f t="shared" ref="BW97:CF97" si="299">AJ97*$AY97</f>
        <v>546.2208</v>
      </c>
      <c r="BX97" s="487">
        <f t="shared" si="299"/>
        <v>409.6656</v>
      </c>
      <c r="BY97" s="487">
        <f t="shared" si="299"/>
        <v>546.2208</v>
      </c>
      <c r="BZ97" s="487">
        <f t="shared" si="299"/>
        <v>273.1104</v>
      </c>
      <c r="CA97" s="487">
        <f t="shared" si="299"/>
        <v>273.1104</v>
      </c>
      <c r="CB97" s="487">
        <f t="shared" si="299"/>
        <v>546.2208</v>
      </c>
      <c r="CC97" s="487">
        <f t="shared" si="299"/>
        <v>136.5552</v>
      </c>
      <c r="CD97" s="487">
        <f t="shared" si="299"/>
        <v>0</v>
      </c>
      <c r="CE97" s="487">
        <f t="shared" si="299"/>
        <v>136.5552</v>
      </c>
      <c r="CF97" s="487">
        <f t="shared" si="299"/>
        <v>136.5552</v>
      </c>
      <c r="CG97" s="488">
        <f t="shared" si="256"/>
        <v>3004.2144</v>
      </c>
      <c r="CH97" s="488">
        <f t="shared" si="257"/>
        <v>9012.6432</v>
      </c>
      <c r="CI97" s="489"/>
      <c r="CJ97" s="487"/>
      <c r="CK97" s="472">
        <v>1.0</v>
      </c>
      <c r="CL97" s="104">
        <f>VLOOKUP(I97,Cotizacion!$A$2:$E$423,4,FALSE())</f>
        <v>9.81</v>
      </c>
    </row>
    <row r="98" ht="15.75" customHeight="1">
      <c r="A98" s="453" t="s">
        <v>2848</v>
      </c>
      <c r="B98" s="454">
        <v>2.0</v>
      </c>
      <c r="C98" s="456" t="s">
        <v>2852</v>
      </c>
      <c r="D98" s="456" t="s">
        <v>52</v>
      </c>
      <c r="E98" s="456" t="s">
        <v>2708</v>
      </c>
      <c r="F98" s="456" t="s">
        <v>1763</v>
      </c>
      <c r="G98" s="457" t="s">
        <v>2709</v>
      </c>
      <c r="H98" s="457" t="s">
        <v>2914</v>
      </c>
      <c r="I98" s="514" t="s">
        <v>1879</v>
      </c>
      <c r="J98" s="459" t="s">
        <v>1052</v>
      </c>
      <c r="K98" s="515" t="s">
        <v>25</v>
      </c>
      <c r="L98" s="461">
        <v>0.0</v>
      </c>
      <c r="M98" s="461">
        <v>0.0</v>
      </c>
      <c r="N98" s="461">
        <v>0.0</v>
      </c>
      <c r="O98" s="461">
        <v>0.0</v>
      </c>
      <c r="P98" s="461">
        <v>0.0</v>
      </c>
      <c r="Q98" s="461">
        <v>0.0</v>
      </c>
      <c r="R98" s="461">
        <v>0.0</v>
      </c>
      <c r="S98" s="461">
        <v>0.0</v>
      </c>
      <c r="T98" s="461">
        <v>0.0</v>
      </c>
      <c r="U98" s="461">
        <v>0.0</v>
      </c>
      <c r="V98" s="461">
        <v>0.0</v>
      </c>
      <c r="W98" s="463">
        <f t="shared" si="246"/>
        <v>0</v>
      </c>
      <c r="X98" s="461">
        <v>394.0</v>
      </c>
      <c r="Y98" s="461">
        <v>234.0</v>
      </c>
      <c r="Z98" s="461">
        <v>344.0</v>
      </c>
      <c r="AA98" s="461">
        <v>222.0</v>
      </c>
      <c r="AB98" s="461">
        <v>254.0</v>
      </c>
      <c r="AC98" s="461">
        <v>420.0</v>
      </c>
      <c r="AD98" s="461">
        <v>266.0</v>
      </c>
      <c r="AE98" s="461">
        <v>314.0</v>
      </c>
      <c r="AF98" s="461">
        <v>54.0</v>
      </c>
      <c r="AG98" s="490">
        <v>100.0</v>
      </c>
      <c r="AH98" s="461">
        <v>0.0</v>
      </c>
      <c r="AI98" s="464">
        <f t="shared" si="247"/>
        <v>2602</v>
      </c>
      <c r="AJ98" s="461">
        <v>394.0</v>
      </c>
      <c r="AK98" s="461">
        <v>234.0</v>
      </c>
      <c r="AL98" s="461">
        <v>344.0</v>
      </c>
      <c r="AM98" s="461">
        <v>222.0</v>
      </c>
      <c r="AN98" s="461">
        <v>254.0</v>
      </c>
      <c r="AO98" s="461">
        <v>420.0</v>
      </c>
      <c r="AP98" s="461">
        <v>266.0</v>
      </c>
      <c r="AQ98" s="461">
        <v>314.0</v>
      </c>
      <c r="AR98" s="461">
        <v>54.0</v>
      </c>
      <c r="AS98" s="461">
        <v>330.0</v>
      </c>
      <c r="AT98" s="461">
        <v>0.0</v>
      </c>
      <c r="AU98" s="463">
        <f t="shared" si="248"/>
        <v>2832</v>
      </c>
      <c r="AV98" s="465">
        <f t="shared" si="249"/>
        <v>5434</v>
      </c>
      <c r="AW98" s="466"/>
      <c r="AX98" s="516">
        <v>0.23</v>
      </c>
      <c r="AY98" s="467">
        <f t="shared" si="250"/>
        <v>1.6008</v>
      </c>
      <c r="AZ98" s="538"/>
      <c r="BA98" s="469">
        <f t="shared" ref="BA98:BJ98" si="300">L98*$AY98</f>
        <v>0</v>
      </c>
      <c r="BB98" s="469">
        <f t="shared" si="300"/>
        <v>0</v>
      </c>
      <c r="BC98" s="469">
        <f t="shared" si="300"/>
        <v>0</v>
      </c>
      <c r="BD98" s="469">
        <f t="shared" si="300"/>
        <v>0</v>
      </c>
      <c r="BE98" s="469">
        <f t="shared" si="300"/>
        <v>0</v>
      </c>
      <c r="BF98" s="469">
        <f t="shared" si="300"/>
        <v>0</v>
      </c>
      <c r="BG98" s="469">
        <f t="shared" si="300"/>
        <v>0</v>
      </c>
      <c r="BH98" s="469">
        <f t="shared" si="300"/>
        <v>0</v>
      </c>
      <c r="BI98" s="469">
        <f t="shared" si="300"/>
        <v>0</v>
      </c>
      <c r="BJ98" s="469">
        <f t="shared" si="300"/>
        <v>0</v>
      </c>
      <c r="BK98" s="470">
        <f t="shared" si="252"/>
        <v>0</v>
      </c>
      <c r="BL98" s="469">
        <f t="shared" ref="BL98:BU98" si="301">X98*$AY98</f>
        <v>630.7152</v>
      </c>
      <c r="BM98" s="469">
        <f t="shared" si="301"/>
        <v>374.5872</v>
      </c>
      <c r="BN98" s="469">
        <f t="shared" si="301"/>
        <v>550.6752</v>
      </c>
      <c r="BO98" s="469">
        <f t="shared" si="301"/>
        <v>355.3776</v>
      </c>
      <c r="BP98" s="469">
        <f t="shared" si="301"/>
        <v>406.6032</v>
      </c>
      <c r="BQ98" s="469">
        <f t="shared" si="301"/>
        <v>672.336</v>
      </c>
      <c r="BR98" s="469">
        <f t="shared" si="301"/>
        <v>425.8128</v>
      </c>
      <c r="BS98" s="469">
        <f t="shared" si="301"/>
        <v>502.6512</v>
      </c>
      <c r="BT98" s="469">
        <f t="shared" si="301"/>
        <v>86.4432</v>
      </c>
      <c r="BU98" s="469">
        <f t="shared" si="301"/>
        <v>160.08</v>
      </c>
      <c r="BV98" s="470">
        <f t="shared" si="254"/>
        <v>4165.2816</v>
      </c>
      <c r="BW98" s="469">
        <f t="shared" ref="BW98:CF98" si="302">AJ98*$AY98</f>
        <v>630.7152</v>
      </c>
      <c r="BX98" s="469">
        <f t="shared" si="302"/>
        <v>374.5872</v>
      </c>
      <c r="BY98" s="469">
        <f t="shared" si="302"/>
        <v>550.6752</v>
      </c>
      <c r="BZ98" s="469">
        <f t="shared" si="302"/>
        <v>355.3776</v>
      </c>
      <c r="CA98" s="469">
        <f t="shared" si="302"/>
        <v>406.6032</v>
      </c>
      <c r="CB98" s="469">
        <f t="shared" si="302"/>
        <v>672.336</v>
      </c>
      <c r="CC98" s="469">
        <f t="shared" si="302"/>
        <v>425.8128</v>
      </c>
      <c r="CD98" s="469">
        <f t="shared" si="302"/>
        <v>502.6512</v>
      </c>
      <c r="CE98" s="469">
        <f t="shared" si="302"/>
        <v>86.4432</v>
      </c>
      <c r="CF98" s="469">
        <f t="shared" si="302"/>
        <v>528.264</v>
      </c>
      <c r="CG98" s="470">
        <f t="shared" si="256"/>
        <v>4533.4656</v>
      </c>
      <c r="CH98" s="470">
        <f t="shared" si="257"/>
        <v>8698.7472</v>
      </c>
      <c r="CI98" s="471"/>
      <c r="CJ98" s="518"/>
      <c r="CK98" s="472">
        <v>1.0</v>
      </c>
      <c r="CL98" s="104">
        <f>VLOOKUP(I98,Cotizacion!$A$2:$E$423,4,FALSE())</f>
        <v>0.23</v>
      </c>
    </row>
    <row r="99" ht="15.75" customHeight="1">
      <c r="A99" s="474" t="s">
        <v>2848</v>
      </c>
      <c r="B99" s="475">
        <v>2.0</v>
      </c>
      <c r="C99" s="477" t="s">
        <v>2852</v>
      </c>
      <c r="D99" s="477" t="s">
        <v>52</v>
      </c>
      <c r="E99" s="477" t="s">
        <v>2708</v>
      </c>
      <c r="F99" s="477" t="s">
        <v>1763</v>
      </c>
      <c r="G99" s="457" t="s">
        <v>2709</v>
      </c>
      <c r="H99" s="537"/>
      <c r="I99" s="501" t="s">
        <v>2130</v>
      </c>
      <c r="J99" s="479" t="s">
        <v>1057</v>
      </c>
      <c r="K99" s="502" t="s">
        <v>25</v>
      </c>
      <c r="L99" s="481">
        <v>1.0</v>
      </c>
      <c r="M99" s="481">
        <v>1.0</v>
      </c>
      <c r="N99" s="481">
        <v>1.0</v>
      </c>
      <c r="O99" s="481">
        <v>1.0</v>
      </c>
      <c r="P99" s="481">
        <v>1.0</v>
      </c>
      <c r="Q99" s="481">
        <v>1.0</v>
      </c>
      <c r="R99" s="481">
        <v>1.0</v>
      </c>
      <c r="S99" s="481">
        <v>1.0</v>
      </c>
      <c r="T99" s="481">
        <v>1.0</v>
      </c>
      <c r="U99" s="481">
        <v>1.0</v>
      </c>
      <c r="V99" s="481">
        <v>0.0</v>
      </c>
      <c r="W99" s="463">
        <f t="shared" si="246"/>
        <v>10</v>
      </c>
      <c r="X99" s="481">
        <v>1.0</v>
      </c>
      <c r="Y99" s="481">
        <v>1.0</v>
      </c>
      <c r="Z99" s="481">
        <v>1.0</v>
      </c>
      <c r="AA99" s="481">
        <v>1.0</v>
      </c>
      <c r="AB99" s="481">
        <v>1.0</v>
      </c>
      <c r="AC99" s="481">
        <v>1.0</v>
      </c>
      <c r="AD99" s="481">
        <v>1.0</v>
      </c>
      <c r="AE99" s="481">
        <v>1.0</v>
      </c>
      <c r="AF99" s="481">
        <v>1.0</v>
      </c>
      <c r="AG99" s="481">
        <v>1.0</v>
      </c>
      <c r="AH99" s="481">
        <v>0.0</v>
      </c>
      <c r="AI99" s="464">
        <f t="shared" si="247"/>
        <v>10</v>
      </c>
      <c r="AJ99" s="481">
        <v>1.0</v>
      </c>
      <c r="AK99" s="481">
        <v>1.0</v>
      </c>
      <c r="AL99" s="481">
        <v>1.0</v>
      </c>
      <c r="AM99" s="481">
        <v>1.0</v>
      </c>
      <c r="AN99" s="481">
        <v>1.0</v>
      </c>
      <c r="AO99" s="481">
        <v>1.0</v>
      </c>
      <c r="AP99" s="481">
        <v>1.0</v>
      </c>
      <c r="AQ99" s="481">
        <v>1.0</v>
      </c>
      <c r="AR99" s="481">
        <v>1.0</v>
      </c>
      <c r="AS99" s="481">
        <v>1.0</v>
      </c>
      <c r="AT99" s="481">
        <v>0.0</v>
      </c>
      <c r="AU99" s="463">
        <f t="shared" si="248"/>
        <v>10</v>
      </c>
      <c r="AV99" s="483">
        <f t="shared" si="249"/>
        <v>30</v>
      </c>
      <c r="AW99" s="484"/>
      <c r="AX99" s="503">
        <v>40.65</v>
      </c>
      <c r="AY99" s="485">
        <f t="shared" si="250"/>
        <v>282.924</v>
      </c>
      <c r="AZ99" s="504"/>
      <c r="BA99" s="487">
        <f t="shared" ref="BA99:BJ99" si="303">L99*$AY99</f>
        <v>282.924</v>
      </c>
      <c r="BB99" s="487">
        <f t="shared" si="303"/>
        <v>282.924</v>
      </c>
      <c r="BC99" s="487">
        <f t="shared" si="303"/>
        <v>282.924</v>
      </c>
      <c r="BD99" s="487">
        <f t="shared" si="303"/>
        <v>282.924</v>
      </c>
      <c r="BE99" s="487">
        <f t="shared" si="303"/>
        <v>282.924</v>
      </c>
      <c r="BF99" s="487">
        <f t="shared" si="303"/>
        <v>282.924</v>
      </c>
      <c r="BG99" s="487">
        <f t="shared" si="303"/>
        <v>282.924</v>
      </c>
      <c r="BH99" s="487">
        <f t="shared" si="303"/>
        <v>282.924</v>
      </c>
      <c r="BI99" s="487">
        <f t="shared" si="303"/>
        <v>282.924</v>
      </c>
      <c r="BJ99" s="487">
        <f t="shared" si="303"/>
        <v>282.924</v>
      </c>
      <c r="BK99" s="488">
        <f t="shared" si="252"/>
        <v>2829.24</v>
      </c>
      <c r="BL99" s="487">
        <f t="shared" ref="BL99:BU99" si="304">X99*$AY99</f>
        <v>282.924</v>
      </c>
      <c r="BM99" s="487">
        <f t="shared" si="304"/>
        <v>282.924</v>
      </c>
      <c r="BN99" s="487">
        <f t="shared" si="304"/>
        <v>282.924</v>
      </c>
      <c r="BO99" s="487">
        <f t="shared" si="304"/>
        <v>282.924</v>
      </c>
      <c r="BP99" s="487">
        <f t="shared" si="304"/>
        <v>282.924</v>
      </c>
      <c r="BQ99" s="487">
        <f t="shared" si="304"/>
        <v>282.924</v>
      </c>
      <c r="BR99" s="487">
        <f t="shared" si="304"/>
        <v>282.924</v>
      </c>
      <c r="BS99" s="487">
        <f t="shared" si="304"/>
        <v>282.924</v>
      </c>
      <c r="BT99" s="487">
        <f t="shared" si="304"/>
        <v>282.924</v>
      </c>
      <c r="BU99" s="487">
        <f t="shared" si="304"/>
        <v>282.924</v>
      </c>
      <c r="BV99" s="488">
        <f t="shared" si="254"/>
        <v>2829.24</v>
      </c>
      <c r="BW99" s="487">
        <f t="shared" ref="BW99:CF99" si="305">AJ99*$AY99</f>
        <v>282.924</v>
      </c>
      <c r="BX99" s="487">
        <f t="shared" si="305"/>
        <v>282.924</v>
      </c>
      <c r="BY99" s="487">
        <f t="shared" si="305"/>
        <v>282.924</v>
      </c>
      <c r="BZ99" s="487">
        <f t="shared" si="305"/>
        <v>282.924</v>
      </c>
      <c r="CA99" s="487">
        <f t="shared" si="305"/>
        <v>282.924</v>
      </c>
      <c r="CB99" s="487">
        <f t="shared" si="305"/>
        <v>282.924</v>
      </c>
      <c r="CC99" s="487">
        <f t="shared" si="305"/>
        <v>282.924</v>
      </c>
      <c r="CD99" s="487">
        <f t="shared" si="305"/>
        <v>282.924</v>
      </c>
      <c r="CE99" s="487">
        <f t="shared" si="305"/>
        <v>282.924</v>
      </c>
      <c r="CF99" s="487">
        <f t="shared" si="305"/>
        <v>282.924</v>
      </c>
      <c r="CG99" s="488">
        <f t="shared" si="256"/>
        <v>2829.24</v>
      </c>
      <c r="CH99" s="488">
        <f t="shared" si="257"/>
        <v>8487.72</v>
      </c>
      <c r="CI99" s="489"/>
      <c r="CJ99" s="505"/>
      <c r="CK99" s="472">
        <v>1.0</v>
      </c>
      <c r="CL99" s="104">
        <f>VLOOKUP(I99,Cotizacion!$A$2:$E$423,4,FALSE())</f>
        <v>40.65</v>
      </c>
      <c r="CM99" s="1"/>
    </row>
    <row r="100" ht="15.75" customHeight="1">
      <c r="A100" s="453" t="s">
        <v>2848</v>
      </c>
      <c r="B100" s="454">
        <v>2.0</v>
      </c>
      <c r="C100" s="456" t="s">
        <v>2852</v>
      </c>
      <c r="D100" s="456" t="s">
        <v>52</v>
      </c>
      <c r="E100" s="456" t="s">
        <v>2708</v>
      </c>
      <c r="F100" s="456" t="s">
        <v>1763</v>
      </c>
      <c r="G100" s="457" t="s">
        <v>2709</v>
      </c>
      <c r="H100" s="457" t="s">
        <v>2915</v>
      </c>
      <c r="I100" s="514" t="s">
        <v>2184</v>
      </c>
      <c r="J100" s="459" t="s">
        <v>780</v>
      </c>
      <c r="K100" s="515" t="s">
        <v>25</v>
      </c>
      <c r="L100" s="461">
        <v>0.0</v>
      </c>
      <c r="M100" s="461">
        <v>0.0</v>
      </c>
      <c r="N100" s="461">
        <v>0.0</v>
      </c>
      <c r="O100" s="461">
        <v>0.0</v>
      </c>
      <c r="P100" s="461">
        <v>0.0</v>
      </c>
      <c r="Q100" s="461">
        <v>0.0</v>
      </c>
      <c r="R100" s="461">
        <v>0.0</v>
      </c>
      <c r="S100" s="461">
        <v>0.0</v>
      </c>
      <c r="T100" s="461">
        <v>0.0</v>
      </c>
      <c r="U100" s="461">
        <v>0.0</v>
      </c>
      <c r="V100" s="461">
        <v>0.0</v>
      </c>
      <c r="W100" s="463">
        <f t="shared" si="246"/>
        <v>0</v>
      </c>
      <c r="X100" s="461">
        <v>6.0</v>
      </c>
      <c r="Y100" s="461">
        <v>3.0</v>
      </c>
      <c r="Z100" s="461">
        <v>10.0</v>
      </c>
      <c r="AA100" s="461">
        <v>2.0</v>
      </c>
      <c r="AB100" s="461">
        <v>2.0</v>
      </c>
      <c r="AC100" s="461">
        <v>10.0</v>
      </c>
      <c r="AD100" s="461">
        <v>3.0</v>
      </c>
      <c r="AE100" s="461">
        <v>3.0</v>
      </c>
      <c r="AF100" s="461">
        <v>1.0</v>
      </c>
      <c r="AG100" s="490">
        <v>0.0</v>
      </c>
      <c r="AH100" s="461">
        <v>0.0</v>
      </c>
      <c r="AI100" s="464">
        <f t="shared" si="247"/>
        <v>40</v>
      </c>
      <c r="AJ100" s="461">
        <v>6.0</v>
      </c>
      <c r="AK100" s="461">
        <v>3.0</v>
      </c>
      <c r="AL100" s="461">
        <v>10.0</v>
      </c>
      <c r="AM100" s="461">
        <v>2.0</v>
      </c>
      <c r="AN100" s="461">
        <v>2.0</v>
      </c>
      <c r="AO100" s="461">
        <v>10.0</v>
      </c>
      <c r="AP100" s="461">
        <v>3.0</v>
      </c>
      <c r="AQ100" s="461">
        <v>3.0</v>
      </c>
      <c r="AR100" s="461">
        <v>1.0</v>
      </c>
      <c r="AS100" s="490">
        <v>0.0</v>
      </c>
      <c r="AT100" s="461">
        <v>0.0</v>
      </c>
      <c r="AU100" s="463">
        <f t="shared" si="248"/>
        <v>40</v>
      </c>
      <c r="AV100" s="465">
        <f t="shared" si="249"/>
        <v>80</v>
      </c>
      <c r="AW100" s="466"/>
      <c r="AX100" s="516">
        <v>14.96</v>
      </c>
      <c r="AY100" s="467">
        <f t="shared" si="250"/>
        <v>104.1216</v>
      </c>
      <c r="AZ100" s="538"/>
      <c r="BA100" s="469">
        <f t="shared" ref="BA100:BJ100" si="306">L100*$AY100</f>
        <v>0</v>
      </c>
      <c r="BB100" s="469">
        <f t="shared" si="306"/>
        <v>0</v>
      </c>
      <c r="BC100" s="469">
        <f t="shared" si="306"/>
        <v>0</v>
      </c>
      <c r="BD100" s="469">
        <f t="shared" si="306"/>
        <v>0</v>
      </c>
      <c r="BE100" s="469">
        <f t="shared" si="306"/>
        <v>0</v>
      </c>
      <c r="BF100" s="469">
        <f t="shared" si="306"/>
        <v>0</v>
      </c>
      <c r="BG100" s="469">
        <f t="shared" si="306"/>
        <v>0</v>
      </c>
      <c r="BH100" s="469">
        <f t="shared" si="306"/>
        <v>0</v>
      </c>
      <c r="BI100" s="469">
        <f t="shared" si="306"/>
        <v>0</v>
      </c>
      <c r="BJ100" s="469">
        <f t="shared" si="306"/>
        <v>0</v>
      </c>
      <c r="BK100" s="470">
        <f t="shared" si="252"/>
        <v>0</v>
      </c>
      <c r="BL100" s="469">
        <f t="shared" ref="BL100:BU100" si="307">X100*$AY100</f>
        <v>624.7296</v>
      </c>
      <c r="BM100" s="469">
        <f t="shared" si="307"/>
        <v>312.3648</v>
      </c>
      <c r="BN100" s="469">
        <f t="shared" si="307"/>
        <v>1041.216</v>
      </c>
      <c r="BO100" s="469">
        <f t="shared" si="307"/>
        <v>208.2432</v>
      </c>
      <c r="BP100" s="469">
        <f t="shared" si="307"/>
        <v>208.2432</v>
      </c>
      <c r="BQ100" s="469">
        <f t="shared" si="307"/>
        <v>1041.216</v>
      </c>
      <c r="BR100" s="469">
        <f t="shared" si="307"/>
        <v>312.3648</v>
      </c>
      <c r="BS100" s="469">
        <f t="shared" si="307"/>
        <v>312.3648</v>
      </c>
      <c r="BT100" s="469">
        <f t="shared" si="307"/>
        <v>104.1216</v>
      </c>
      <c r="BU100" s="469">
        <f t="shared" si="307"/>
        <v>0</v>
      </c>
      <c r="BV100" s="470">
        <f t="shared" si="254"/>
        <v>4164.864</v>
      </c>
      <c r="BW100" s="469">
        <f t="shared" ref="BW100:CF100" si="308">AJ100*$AY100</f>
        <v>624.7296</v>
      </c>
      <c r="BX100" s="469">
        <f t="shared" si="308"/>
        <v>312.3648</v>
      </c>
      <c r="BY100" s="469">
        <f t="shared" si="308"/>
        <v>1041.216</v>
      </c>
      <c r="BZ100" s="469">
        <f t="shared" si="308"/>
        <v>208.2432</v>
      </c>
      <c r="CA100" s="469">
        <f t="shared" si="308"/>
        <v>208.2432</v>
      </c>
      <c r="CB100" s="469">
        <f t="shared" si="308"/>
        <v>1041.216</v>
      </c>
      <c r="CC100" s="469">
        <f t="shared" si="308"/>
        <v>312.3648</v>
      </c>
      <c r="CD100" s="469">
        <f t="shared" si="308"/>
        <v>312.3648</v>
      </c>
      <c r="CE100" s="469">
        <f t="shared" si="308"/>
        <v>104.1216</v>
      </c>
      <c r="CF100" s="469">
        <f t="shared" si="308"/>
        <v>0</v>
      </c>
      <c r="CG100" s="470">
        <f t="shared" si="256"/>
        <v>4164.864</v>
      </c>
      <c r="CH100" s="470">
        <f t="shared" si="257"/>
        <v>8329.728</v>
      </c>
      <c r="CI100" s="471"/>
      <c r="CJ100" s="518"/>
      <c r="CK100" s="472">
        <v>1.0</v>
      </c>
      <c r="CL100" s="104">
        <f>VLOOKUP(I100,Cotizacion!$A$2:$E$423,4,FALSE())</f>
        <v>14.96</v>
      </c>
      <c r="CM100" s="1"/>
    </row>
    <row r="101" ht="15.75" customHeight="1">
      <c r="A101" s="474" t="s">
        <v>2848</v>
      </c>
      <c r="B101" s="475">
        <v>2.0</v>
      </c>
      <c r="C101" s="476" t="s">
        <v>2808</v>
      </c>
      <c r="D101" s="477" t="s">
        <v>590</v>
      </c>
      <c r="E101" s="476" t="s">
        <v>2708</v>
      </c>
      <c r="F101" s="476" t="s">
        <v>1763</v>
      </c>
      <c r="G101" s="457" t="s">
        <v>2709</v>
      </c>
      <c r="H101" s="457" t="s">
        <v>2916</v>
      </c>
      <c r="I101" s="478" t="s">
        <v>2061</v>
      </c>
      <c r="J101" s="479" t="s">
        <v>591</v>
      </c>
      <c r="K101" s="480" t="s">
        <v>25</v>
      </c>
      <c r="L101" s="481">
        <v>0.0</v>
      </c>
      <c r="M101" s="481">
        <v>0.0</v>
      </c>
      <c r="N101" s="481">
        <v>0.0</v>
      </c>
      <c r="O101" s="481">
        <v>0.0</v>
      </c>
      <c r="P101" s="481">
        <v>0.0</v>
      </c>
      <c r="Q101" s="481">
        <v>0.0</v>
      </c>
      <c r="R101" s="481">
        <v>0.0</v>
      </c>
      <c r="S101" s="481">
        <v>0.0</v>
      </c>
      <c r="T101" s="481">
        <v>0.0</v>
      </c>
      <c r="U101" s="481">
        <v>0.0</v>
      </c>
      <c r="V101" s="481">
        <v>0.0</v>
      </c>
      <c r="W101" s="463">
        <f t="shared" si="246"/>
        <v>0</v>
      </c>
      <c r="X101" s="481">
        <v>2.0</v>
      </c>
      <c r="Y101" s="481">
        <v>0.0</v>
      </c>
      <c r="Z101" s="481">
        <v>2.0</v>
      </c>
      <c r="AA101" s="481">
        <v>0.0</v>
      </c>
      <c r="AB101" s="481">
        <v>0.0</v>
      </c>
      <c r="AC101" s="481">
        <v>0.0</v>
      </c>
      <c r="AD101" s="481">
        <v>0.0</v>
      </c>
      <c r="AE101" s="481">
        <v>0.0</v>
      </c>
      <c r="AF101" s="481">
        <v>0.0</v>
      </c>
      <c r="AG101" s="481">
        <v>0.0</v>
      </c>
      <c r="AH101" s="481">
        <v>0.0</v>
      </c>
      <c r="AI101" s="464">
        <f t="shared" si="247"/>
        <v>4</v>
      </c>
      <c r="AJ101" s="481">
        <v>2.0</v>
      </c>
      <c r="AK101" s="481">
        <v>0.0</v>
      </c>
      <c r="AL101" s="481">
        <v>2.0</v>
      </c>
      <c r="AM101" s="481">
        <v>0.0</v>
      </c>
      <c r="AN101" s="481">
        <v>0.0</v>
      </c>
      <c r="AO101" s="481">
        <v>0.0</v>
      </c>
      <c r="AP101" s="481">
        <v>0.0</v>
      </c>
      <c r="AQ101" s="481">
        <v>0.0</v>
      </c>
      <c r="AR101" s="481">
        <v>0.0</v>
      </c>
      <c r="AS101" s="481">
        <v>0.0</v>
      </c>
      <c r="AT101" s="481">
        <v>0.0</v>
      </c>
      <c r="AU101" s="463">
        <f t="shared" si="248"/>
        <v>4</v>
      </c>
      <c r="AV101" s="483">
        <f t="shared" si="249"/>
        <v>8</v>
      </c>
      <c r="AW101" s="484"/>
      <c r="AX101" s="485">
        <v>145.09</v>
      </c>
      <c r="AY101" s="485">
        <f t="shared" si="250"/>
        <v>1009.8264</v>
      </c>
      <c r="AZ101" s="486"/>
      <c r="BA101" s="487">
        <f t="shared" ref="BA101:BJ101" si="309">L101*$AY101</f>
        <v>0</v>
      </c>
      <c r="BB101" s="487">
        <f t="shared" si="309"/>
        <v>0</v>
      </c>
      <c r="BC101" s="487">
        <f t="shared" si="309"/>
        <v>0</v>
      </c>
      <c r="BD101" s="487">
        <f t="shared" si="309"/>
        <v>0</v>
      </c>
      <c r="BE101" s="487">
        <f t="shared" si="309"/>
        <v>0</v>
      </c>
      <c r="BF101" s="487">
        <f t="shared" si="309"/>
        <v>0</v>
      </c>
      <c r="BG101" s="487">
        <f t="shared" si="309"/>
        <v>0</v>
      </c>
      <c r="BH101" s="487">
        <f t="shared" si="309"/>
        <v>0</v>
      </c>
      <c r="BI101" s="487">
        <f t="shared" si="309"/>
        <v>0</v>
      </c>
      <c r="BJ101" s="487">
        <f t="shared" si="309"/>
        <v>0</v>
      </c>
      <c r="BK101" s="488">
        <f t="shared" si="252"/>
        <v>0</v>
      </c>
      <c r="BL101" s="487">
        <f t="shared" ref="BL101:BU101" si="310">X101*$AY101</f>
        <v>2019.6528</v>
      </c>
      <c r="BM101" s="487">
        <f t="shared" si="310"/>
        <v>0</v>
      </c>
      <c r="BN101" s="487">
        <f t="shared" si="310"/>
        <v>2019.6528</v>
      </c>
      <c r="BO101" s="487">
        <f t="shared" si="310"/>
        <v>0</v>
      </c>
      <c r="BP101" s="487">
        <f t="shared" si="310"/>
        <v>0</v>
      </c>
      <c r="BQ101" s="487">
        <f t="shared" si="310"/>
        <v>0</v>
      </c>
      <c r="BR101" s="487">
        <f t="shared" si="310"/>
        <v>0</v>
      </c>
      <c r="BS101" s="487">
        <f t="shared" si="310"/>
        <v>0</v>
      </c>
      <c r="BT101" s="487">
        <f t="shared" si="310"/>
        <v>0</v>
      </c>
      <c r="BU101" s="487">
        <f t="shared" si="310"/>
        <v>0</v>
      </c>
      <c r="BV101" s="488">
        <f t="shared" si="254"/>
        <v>4039.3056</v>
      </c>
      <c r="BW101" s="487">
        <f t="shared" ref="BW101:CF101" si="311">AJ101*$AY101</f>
        <v>2019.6528</v>
      </c>
      <c r="BX101" s="487">
        <f t="shared" si="311"/>
        <v>0</v>
      </c>
      <c r="BY101" s="487">
        <f t="shared" si="311"/>
        <v>2019.6528</v>
      </c>
      <c r="BZ101" s="487">
        <f t="shared" si="311"/>
        <v>0</v>
      </c>
      <c r="CA101" s="487">
        <f t="shared" si="311"/>
        <v>0</v>
      </c>
      <c r="CB101" s="487">
        <f t="shared" si="311"/>
        <v>0</v>
      </c>
      <c r="CC101" s="487">
        <f t="shared" si="311"/>
        <v>0</v>
      </c>
      <c r="CD101" s="487">
        <f t="shared" si="311"/>
        <v>0</v>
      </c>
      <c r="CE101" s="487">
        <f t="shared" si="311"/>
        <v>0</v>
      </c>
      <c r="CF101" s="487">
        <f t="shared" si="311"/>
        <v>0</v>
      </c>
      <c r="CG101" s="488">
        <f t="shared" si="256"/>
        <v>4039.3056</v>
      </c>
      <c r="CH101" s="488">
        <f t="shared" si="257"/>
        <v>8078.6112</v>
      </c>
      <c r="CI101" s="489"/>
      <c r="CJ101" s="487"/>
      <c r="CK101" s="472">
        <v>1.0</v>
      </c>
      <c r="CL101" s="104">
        <f>VLOOKUP(I101,Cotizacion!$A$2:$E$423,4,FALSE())</f>
        <v>145.09</v>
      </c>
    </row>
    <row r="102" ht="15.75" customHeight="1">
      <c r="A102" s="453" t="s">
        <v>2848</v>
      </c>
      <c r="B102" s="454">
        <v>2.0</v>
      </c>
      <c r="C102" s="455" t="s">
        <v>2707</v>
      </c>
      <c r="D102" s="456" t="s">
        <v>56</v>
      </c>
      <c r="E102" s="455" t="s">
        <v>2708</v>
      </c>
      <c r="F102" s="455" t="s">
        <v>1763</v>
      </c>
      <c r="G102" s="457" t="s">
        <v>2709</v>
      </c>
      <c r="H102" s="457" t="s">
        <v>2917</v>
      </c>
      <c r="I102" s="458" t="s">
        <v>2110</v>
      </c>
      <c r="J102" s="459" t="s">
        <v>454</v>
      </c>
      <c r="K102" s="460" t="s">
        <v>25</v>
      </c>
      <c r="L102" s="461">
        <v>0.0</v>
      </c>
      <c r="M102" s="461">
        <v>0.0</v>
      </c>
      <c r="N102" s="461">
        <v>0.0</v>
      </c>
      <c r="O102" s="461">
        <v>0.0</v>
      </c>
      <c r="P102" s="461">
        <v>0.0</v>
      </c>
      <c r="Q102" s="461">
        <v>0.0</v>
      </c>
      <c r="R102" s="461">
        <v>0.0</v>
      </c>
      <c r="S102" s="461">
        <v>0.0</v>
      </c>
      <c r="T102" s="461">
        <v>0.0</v>
      </c>
      <c r="U102" s="461">
        <v>0.0</v>
      </c>
      <c r="V102" s="461">
        <v>0.0</v>
      </c>
      <c r="W102" s="463">
        <f t="shared" si="246"/>
        <v>0</v>
      </c>
      <c r="X102" s="461">
        <v>0.0</v>
      </c>
      <c r="Y102" s="461">
        <v>0.0</v>
      </c>
      <c r="Z102" s="461">
        <v>0.0</v>
      </c>
      <c r="AA102" s="461">
        <v>0.0</v>
      </c>
      <c r="AB102" s="461">
        <v>0.0</v>
      </c>
      <c r="AC102" s="461">
        <v>0.0</v>
      </c>
      <c r="AD102" s="461">
        <v>0.0</v>
      </c>
      <c r="AE102" s="461">
        <v>0.0</v>
      </c>
      <c r="AF102" s="461">
        <v>0.0</v>
      </c>
      <c r="AG102" s="461">
        <v>1.0</v>
      </c>
      <c r="AH102" s="461">
        <v>0.0</v>
      </c>
      <c r="AI102" s="464">
        <f t="shared" si="247"/>
        <v>1</v>
      </c>
      <c r="AJ102" s="461">
        <v>0.0</v>
      </c>
      <c r="AK102" s="461">
        <v>0.0</v>
      </c>
      <c r="AL102" s="461">
        <v>0.0</v>
      </c>
      <c r="AM102" s="461">
        <v>0.0</v>
      </c>
      <c r="AN102" s="461">
        <v>0.0</v>
      </c>
      <c r="AO102" s="461">
        <v>0.0</v>
      </c>
      <c r="AP102" s="461">
        <v>0.0</v>
      </c>
      <c r="AQ102" s="461">
        <v>0.0</v>
      </c>
      <c r="AR102" s="461">
        <v>0.0</v>
      </c>
      <c r="AS102" s="461">
        <v>1.0</v>
      </c>
      <c r="AT102" s="461">
        <v>0.0</v>
      </c>
      <c r="AU102" s="463">
        <f t="shared" si="248"/>
        <v>1</v>
      </c>
      <c r="AV102" s="465">
        <f t="shared" si="249"/>
        <v>2</v>
      </c>
      <c r="AW102" s="466"/>
      <c r="AX102" s="467">
        <v>571.27</v>
      </c>
      <c r="AY102" s="467">
        <f t="shared" si="250"/>
        <v>3976.0392</v>
      </c>
      <c r="AZ102" s="468"/>
      <c r="BA102" s="469">
        <f t="shared" ref="BA102:BJ102" si="312">L102*$AY102</f>
        <v>0</v>
      </c>
      <c r="BB102" s="469">
        <f t="shared" si="312"/>
        <v>0</v>
      </c>
      <c r="BC102" s="469">
        <f t="shared" si="312"/>
        <v>0</v>
      </c>
      <c r="BD102" s="469">
        <f t="shared" si="312"/>
        <v>0</v>
      </c>
      <c r="BE102" s="469">
        <f t="shared" si="312"/>
        <v>0</v>
      </c>
      <c r="BF102" s="469">
        <f t="shared" si="312"/>
        <v>0</v>
      </c>
      <c r="BG102" s="469">
        <f t="shared" si="312"/>
        <v>0</v>
      </c>
      <c r="BH102" s="469">
        <f t="shared" si="312"/>
        <v>0</v>
      </c>
      <c r="BI102" s="469">
        <f t="shared" si="312"/>
        <v>0</v>
      </c>
      <c r="BJ102" s="469">
        <f t="shared" si="312"/>
        <v>0</v>
      </c>
      <c r="BK102" s="470">
        <f t="shared" si="252"/>
        <v>0</v>
      </c>
      <c r="BL102" s="469">
        <f t="shared" ref="BL102:BU102" si="313">X102*$AY102</f>
        <v>0</v>
      </c>
      <c r="BM102" s="469">
        <f t="shared" si="313"/>
        <v>0</v>
      </c>
      <c r="BN102" s="469">
        <f t="shared" si="313"/>
        <v>0</v>
      </c>
      <c r="BO102" s="469">
        <f t="shared" si="313"/>
        <v>0</v>
      </c>
      <c r="BP102" s="469">
        <f t="shared" si="313"/>
        <v>0</v>
      </c>
      <c r="BQ102" s="469">
        <f t="shared" si="313"/>
        <v>0</v>
      </c>
      <c r="BR102" s="469">
        <f t="shared" si="313"/>
        <v>0</v>
      </c>
      <c r="BS102" s="469">
        <f t="shared" si="313"/>
        <v>0</v>
      </c>
      <c r="BT102" s="469">
        <f t="shared" si="313"/>
        <v>0</v>
      </c>
      <c r="BU102" s="469">
        <f t="shared" si="313"/>
        <v>3976.0392</v>
      </c>
      <c r="BV102" s="470">
        <f t="shared" si="254"/>
        <v>3976.0392</v>
      </c>
      <c r="BW102" s="469">
        <f t="shared" ref="BW102:CF102" si="314">AJ102*$AY102</f>
        <v>0</v>
      </c>
      <c r="BX102" s="469">
        <f t="shared" si="314"/>
        <v>0</v>
      </c>
      <c r="BY102" s="469">
        <f t="shared" si="314"/>
        <v>0</v>
      </c>
      <c r="BZ102" s="469">
        <f t="shared" si="314"/>
        <v>0</v>
      </c>
      <c r="CA102" s="469">
        <f t="shared" si="314"/>
        <v>0</v>
      </c>
      <c r="CB102" s="469">
        <f t="shared" si="314"/>
        <v>0</v>
      </c>
      <c r="CC102" s="469">
        <f t="shared" si="314"/>
        <v>0</v>
      </c>
      <c r="CD102" s="469">
        <f t="shared" si="314"/>
        <v>0</v>
      </c>
      <c r="CE102" s="469">
        <f t="shared" si="314"/>
        <v>0</v>
      </c>
      <c r="CF102" s="469">
        <f t="shared" si="314"/>
        <v>3976.0392</v>
      </c>
      <c r="CG102" s="470">
        <f t="shared" si="256"/>
        <v>3976.0392</v>
      </c>
      <c r="CH102" s="470">
        <f t="shared" si="257"/>
        <v>7952.0784</v>
      </c>
      <c r="CI102" s="471"/>
      <c r="CJ102" s="469"/>
      <c r="CK102" s="472">
        <v>1.0</v>
      </c>
      <c r="CL102" s="104">
        <f>VLOOKUP(I102,Cotizacion!$A$2:$E$423,4,FALSE())</f>
        <v>571.27</v>
      </c>
    </row>
    <row r="103" ht="15.75" customHeight="1">
      <c r="A103" s="474" t="s">
        <v>2848</v>
      </c>
      <c r="B103" s="475">
        <v>2.0</v>
      </c>
      <c r="C103" s="476" t="s">
        <v>2852</v>
      </c>
      <c r="D103" s="477" t="s">
        <v>46</v>
      </c>
      <c r="E103" s="476" t="s">
        <v>2708</v>
      </c>
      <c r="F103" s="476" t="s">
        <v>1763</v>
      </c>
      <c r="G103" s="457" t="s">
        <v>2709</v>
      </c>
      <c r="H103" s="457" t="s">
        <v>2918</v>
      </c>
      <c r="I103" s="478" t="s">
        <v>2212</v>
      </c>
      <c r="J103" s="479" t="s">
        <v>1160</v>
      </c>
      <c r="K103" s="480" t="s">
        <v>25</v>
      </c>
      <c r="L103" s="481">
        <v>0.0</v>
      </c>
      <c r="M103" s="481">
        <v>0.0</v>
      </c>
      <c r="N103" s="481">
        <v>0.0</v>
      </c>
      <c r="O103" s="481">
        <v>0.0</v>
      </c>
      <c r="P103" s="481">
        <v>0.0</v>
      </c>
      <c r="Q103" s="481">
        <v>0.0</v>
      </c>
      <c r="R103" s="481">
        <v>0.0</v>
      </c>
      <c r="S103" s="520">
        <v>4.0</v>
      </c>
      <c r="T103" s="481">
        <v>0.0</v>
      </c>
      <c r="U103" s="481">
        <v>0.0</v>
      </c>
      <c r="V103" s="481">
        <v>0.0</v>
      </c>
      <c r="W103" s="463">
        <f t="shared" si="246"/>
        <v>4</v>
      </c>
      <c r="X103" s="481">
        <v>0.0</v>
      </c>
      <c r="Y103" s="481">
        <v>0.0</v>
      </c>
      <c r="Z103" s="481">
        <v>0.0</v>
      </c>
      <c r="AA103" s="481">
        <v>0.0</v>
      </c>
      <c r="AB103" s="481">
        <v>0.0</v>
      </c>
      <c r="AC103" s="481">
        <v>0.0</v>
      </c>
      <c r="AD103" s="481">
        <v>4.0</v>
      </c>
      <c r="AE103" s="481">
        <v>4.0</v>
      </c>
      <c r="AF103" s="481">
        <v>0.0</v>
      </c>
      <c r="AG103" s="481">
        <v>4.0</v>
      </c>
      <c r="AH103" s="481">
        <v>0.0</v>
      </c>
      <c r="AI103" s="464">
        <f t="shared" si="247"/>
        <v>12</v>
      </c>
      <c r="AJ103" s="481">
        <v>0.0</v>
      </c>
      <c r="AK103" s="481">
        <v>0.0</v>
      </c>
      <c r="AL103" s="481">
        <v>0.0</v>
      </c>
      <c r="AM103" s="481">
        <v>0.0</v>
      </c>
      <c r="AN103" s="481">
        <v>0.0</v>
      </c>
      <c r="AO103" s="481">
        <v>0.0</v>
      </c>
      <c r="AP103" s="481">
        <v>4.0</v>
      </c>
      <c r="AQ103" s="481">
        <v>4.0</v>
      </c>
      <c r="AR103" s="481">
        <v>0.0</v>
      </c>
      <c r="AS103" s="481">
        <v>4.0</v>
      </c>
      <c r="AT103" s="481">
        <v>0.0</v>
      </c>
      <c r="AU103" s="463">
        <f t="shared" si="248"/>
        <v>12</v>
      </c>
      <c r="AV103" s="483">
        <f t="shared" si="249"/>
        <v>28</v>
      </c>
      <c r="AW103" s="484"/>
      <c r="AX103" s="485">
        <v>32.92</v>
      </c>
      <c r="AY103" s="485">
        <f t="shared" si="250"/>
        <v>229.1232</v>
      </c>
      <c r="AZ103" s="486"/>
      <c r="BA103" s="487">
        <f t="shared" ref="BA103:BJ103" si="315">L103*$AY103</f>
        <v>0</v>
      </c>
      <c r="BB103" s="487">
        <f t="shared" si="315"/>
        <v>0</v>
      </c>
      <c r="BC103" s="487">
        <f t="shared" si="315"/>
        <v>0</v>
      </c>
      <c r="BD103" s="487">
        <f t="shared" si="315"/>
        <v>0</v>
      </c>
      <c r="BE103" s="487">
        <f t="shared" si="315"/>
        <v>0</v>
      </c>
      <c r="BF103" s="487">
        <f t="shared" si="315"/>
        <v>0</v>
      </c>
      <c r="BG103" s="487">
        <f t="shared" si="315"/>
        <v>0</v>
      </c>
      <c r="BH103" s="487">
        <f t="shared" si="315"/>
        <v>916.4928</v>
      </c>
      <c r="BI103" s="487">
        <f t="shared" si="315"/>
        <v>0</v>
      </c>
      <c r="BJ103" s="487">
        <f t="shared" si="315"/>
        <v>0</v>
      </c>
      <c r="BK103" s="488">
        <f t="shared" si="252"/>
        <v>916.4928</v>
      </c>
      <c r="BL103" s="487">
        <f t="shared" ref="BL103:BU103" si="316">X103*$AY103</f>
        <v>0</v>
      </c>
      <c r="BM103" s="487">
        <f t="shared" si="316"/>
        <v>0</v>
      </c>
      <c r="BN103" s="487">
        <f t="shared" si="316"/>
        <v>0</v>
      </c>
      <c r="BO103" s="487">
        <f t="shared" si="316"/>
        <v>0</v>
      </c>
      <c r="BP103" s="487">
        <f t="shared" si="316"/>
        <v>0</v>
      </c>
      <c r="BQ103" s="487">
        <f t="shared" si="316"/>
        <v>0</v>
      </c>
      <c r="BR103" s="487">
        <f t="shared" si="316"/>
        <v>916.4928</v>
      </c>
      <c r="BS103" s="487">
        <f t="shared" si="316"/>
        <v>916.4928</v>
      </c>
      <c r="BT103" s="487">
        <f t="shared" si="316"/>
        <v>0</v>
      </c>
      <c r="BU103" s="487">
        <f t="shared" si="316"/>
        <v>916.4928</v>
      </c>
      <c r="BV103" s="488">
        <f t="shared" si="254"/>
        <v>2749.4784</v>
      </c>
      <c r="BW103" s="487">
        <f t="shared" ref="BW103:CF103" si="317">AJ103*$AY103</f>
        <v>0</v>
      </c>
      <c r="BX103" s="487">
        <f t="shared" si="317"/>
        <v>0</v>
      </c>
      <c r="BY103" s="487">
        <f t="shared" si="317"/>
        <v>0</v>
      </c>
      <c r="BZ103" s="487">
        <f t="shared" si="317"/>
        <v>0</v>
      </c>
      <c r="CA103" s="487">
        <f t="shared" si="317"/>
        <v>0</v>
      </c>
      <c r="CB103" s="487">
        <f t="shared" si="317"/>
        <v>0</v>
      </c>
      <c r="CC103" s="487">
        <f t="shared" si="317"/>
        <v>916.4928</v>
      </c>
      <c r="CD103" s="487">
        <f t="shared" si="317"/>
        <v>916.4928</v>
      </c>
      <c r="CE103" s="487">
        <f t="shared" si="317"/>
        <v>0</v>
      </c>
      <c r="CF103" s="487">
        <f t="shared" si="317"/>
        <v>916.4928</v>
      </c>
      <c r="CG103" s="488">
        <f t="shared" si="256"/>
        <v>2749.4784</v>
      </c>
      <c r="CH103" s="488">
        <f t="shared" si="257"/>
        <v>6415.4496</v>
      </c>
      <c r="CI103" s="489"/>
      <c r="CJ103" s="487"/>
      <c r="CK103" s="472">
        <v>1.0</v>
      </c>
      <c r="CL103" s="104">
        <f>VLOOKUP(I103,Cotizacion!$A$2:$E$423,4,FALSE())</f>
        <v>32.92</v>
      </c>
      <c r="CM103" s="1"/>
    </row>
    <row r="104" ht="15.75" customHeight="1">
      <c r="A104" s="453" t="s">
        <v>2848</v>
      </c>
      <c r="B104" s="454">
        <v>2.0</v>
      </c>
      <c r="C104" s="456" t="s">
        <v>2852</v>
      </c>
      <c r="D104" s="456" t="s">
        <v>52</v>
      </c>
      <c r="E104" s="456" t="s">
        <v>2708</v>
      </c>
      <c r="F104" s="456" t="s">
        <v>1763</v>
      </c>
      <c r="G104" s="457" t="s">
        <v>2709</v>
      </c>
      <c r="H104" s="457" t="s">
        <v>2919</v>
      </c>
      <c r="I104" s="514" t="s">
        <v>2025</v>
      </c>
      <c r="J104" s="459" t="s">
        <v>1125</v>
      </c>
      <c r="K104" s="515" t="s">
        <v>25</v>
      </c>
      <c r="L104" s="461">
        <v>25.0</v>
      </c>
      <c r="M104" s="461">
        <v>20.0</v>
      </c>
      <c r="N104" s="461">
        <v>20.0</v>
      </c>
      <c r="O104" s="461">
        <v>30.0</v>
      </c>
      <c r="P104" s="461">
        <v>20.0</v>
      </c>
      <c r="Q104" s="462">
        <v>50.0</v>
      </c>
      <c r="R104" s="461">
        <v>40.0</v>
      </c>
      <c r="S104" s="461">
        <v>40.0</v>
      </c>
      <c r="T104" s="461">
        <v>20.0</v>
      </c>
      <c r="U104" s="490">
        <v>30.0</v>
      </c>
      <c r="V104" s="461">
        <v>0.0</v>
      </c>
      <c r="W104" s="463">
        <f t="shared" si="246"/>
        <v>295</v>
      </c>
      <c r="X104" s="461">
        <v>25.0</v>
      </c>
      <c r="Y104" s="461">
        <v>20.0</v>
      </c>
      <c r="Z104" s="461">
        <v>20.0</v>
      </c>
      <c r="AA104" s="461">
        <v>30.0</v>
      </c>
      <c r="AB104" s="461">
        <v>20.0</v>
      </c>
      <c r="AC104" s="462">
        <v>50.0</v>
      </c>
      <c r="AD104" s="461">
        <v>40.0</v>
      </c>
      <c r="AE104" s="461">
        <v>40.0</v>
      </c>
      <c r="AF104" s="461">
        <v>20.0</v>
      </c>
      <c r="AG104" s="490">
        <v>30.0</v>
      </c>
      <c r="AH104" s="461">
        <v>0.0</v>
      </c>
      <c r="AI104" s="464">
        <f t="shared" si="247"/>
        <v>295</v>
      </c>
      <c r="AJ104" s="461">
        <v>25.0</v>
      </c>
      <c r="AK104" s="461">
        <v>20.0</v>
      </c>
      <c r="AL104" s="461">
        <v>20.0</v>
      </c>
      <c r="AM104" s="461">
        <v>30.0</v>
      </c>
      <c r="AN104" s="461">
        <v>20.0</v>
      </c>
      <c r="AO104" s="462">
        <v>50.0</v>
      </c>
      <c r="AP104" s="461">
        <v>40.0</v>
      </c>
      <c r="AQ104" s="461">
        <v>40.0</v>
      </c>
      <c r="AR104" s="461">
        <v>20.0</v>
      </c>
      <c r="AS104" s="490">
        <v>30.0</v>
      </c>
      <c r="AT104" s="461">
        <v>0.0</v>
      </c>
      <c r="AU104" s="463">
        <f t="shared" si="248"/>
        <v>295</v>
      </c>
      <c r="AV104" s="465">
        <f t="shared" si="249"/>
        <v>885</v>
      </c>
      <c r="AW104" s="466"/>
      <c r="AX104" s="516">
        <v>1.04</v>
      </c>
      <c r="AY104" s="467">
        <f t="shared" si="250"/>
        <v>7.2384</v>
      </c>
      <c r="AZ104" s="538"/>
      <c r="BA104" s="469">
        <f t="shared" ref="BA104:BJ104" si="318">L104*$AY104</f>
        <v>180.96</v>
      </c>
      <c r="BB104" s="469">
        <f t="shared" si="318"/>
        <v>144.768</v>
      </c>
      <c r="BC104" s="469">
        <f t="shared" si="318"/>
        <v>144.768</v>
      </c>
      <c r="BD104" s="469">
        <f t="shared" si="318"/>
        <v>217.152</v>
      </c>
      <c r="BE104" s="469">
        <f t="shared" si="318"/>
        <v>144.768</v>
      </c>
      <c r="BF104" s="469">
        <f t="shared" si="318"/>
        <v>361.92</v>
      </c>
      <c r="BG104" s="469">
        <f t="shared" si="318"/>
        <v>289.536</v>
      </c>
      <c r="BH104" s="469">
        <f t="shared" si="318"/>
        <v>289.536</v>
      </c>
      <c r="BI104" s="469">
        <f t="shared" si="318"/>
        <v>144.768</v>
      </c>
      <c r="BJ104" s="469">
        <f t="shared" si="318"/>
        <v>217.152</v>
      </c>
      <c r="BK104" s="470">
        <f t="shared" si="252"/>
        <v>2135.328</v>
      </c>
      <c r="BL104" s="469">
        <f t="shared" ref="BL104:BU104" si="319">X104*$AY104</f>
        <v>180.96</v>
      </c>
      <c r="BM104" s="469">
        <f t="shared" si="319"/>
        <v>144.768</v>
      </c>
      <c r="BN104" s="469">
        <f t="shared" si="319"/>
        <v>144.768</v>
      </c>
      <c r="BO104" s="469">
        <f t="shared" si="319"/>
        <v>217.152</v>
      </c>
      <c r="BP104" s="469">
        <f t="shared" si="319"/>
        <v>144.768</v>
      </c>
      <c r="BQ104" s="469">
        <f t="shared" si="319"/>
        <v>361.92</v>
      </c>
      <c r="BR104" s="469">
        <f t="shared" si="319"/>
        <v>289.536</v>
      </c>
      <c r="BS104" s="469">
        <f t="shared" si="319"/>
        <v>289.536</v>
      </c>
      <c r="BT104" s="469">
        <f t="shared" si="319"/>
        <v>144.768</v>
      </c>
      <c r="BU104" s="469">
        <f t="shared" si="319"/>
        <v>217.152</v>
      </c>
      <c r="BV104" s="470">
        <f t="shared" si="254"/>
        <v>2135.328</v>
      </c>
      <c r="BW104" s="469">
        <f t="shared" ref="BW104:CF104" si="320">AJ104*$AY104</f>
        <v>180.96</v>
      </c>
      <c r="BX104" s="469">
        <f t="shared" si="320"/>
        <v>144.768</v>
      </c>
      <c r="BY104" s="469">
        <f t="shared" si="320"/>
        <v>144.768</v>
      </c>
      <c r="BZ104" s="469">
        <f t="shared" si="320"/>
        <v>217.152</v>
      </c>
      <c r="CA104" s="469">
        <f t="shared" si="320"/>
        <v>144.768</v>
      </c>
      <c r="CB104" s="469">
        <f t="shared" si="320"/>
        <v>361.92</v>
      </c>
      <c r="CC104" s="469">
        <f t="shared" si="320"/>
        <v>289.536</v>
      </c>
      <c r="CD104" s="469">
        <f t="shared" si="320"/>
        <v>289.536</v>
      </c>
      <c r="CE104" s="469">
        <f t="shared" si="320"/>
        <v>144.768</v>
      </c>
      <c r="CF104" s="469">
        <f t="shared" si="320"/>
        <v>217.152</v>
      </c>
      <c r="CG104" s="470">
        <f t="shared" si="256"/>
        <v>2135.328</v>
      </c>
      <c r="CH104" s="470">
        <f t="shared" si="257"/>
        <v>6405.984</v>
      </c>
      <c r="CI104" s="471"/>
      <c r="CJ104" s="518"/>
      <c r="CK104" s="472">
        <v>1.0</v>
      </c>
      <c r="CL104" s="104">
        <f>VLOOKUP(I104,Cotizacion!$A$2:$E$423,4,FALSE())</f>
        <v>1.04</v>
      </c>
    </row>
    <row r="105" ht="15.75" customHeight="1">
      <c r="A105" s="474" t="s">
        <v>2848</v>
      </c>
      <c r="B105" s="475">
        <v>2.0</v>
      </c>
      <c r="C105" s="476" t="s">
        <v>2808</v>
      </c>
      <c r="D105" s="477" t="s">
        <v>61</v>
      </c>
      <c r="E105" s="476" t="s">
        <v>2708</v>
      </c>
      <c r="F105" s="476" t="s">
        <v>1763</v>
      </c>
      <c r="G105" s="457" t="s">
        <v>2709</v>
      </c>
      <c r="H105" s="457" t="s">
        <v>2920</v>
      </c>
      <c r="I105" s="478" t="s">
        <v>2072</v>
      </c>
      <c r="J105" s="479" t="s">
        <v>630</v>
      </c>
      <c r="K105" s="480" t="s">
        <v>25</v>
      </c>
      <c r="L105" s="481">
        <v>0.0</v>
      </c>
      <c r="M105" s="481">
        <v>0.0</v>
      </c>
      <c r="N105" s="481">
        <v>0.0</v>
      </c>
      <c r="O105" s="481">
        <v>0.0</v>
      </c>
      <c r="P105" s="481">
        <v>0.0</v>
      </c>
      <c r="Q105" s="481">
        <v>0.0</v>
      </c>
      <c r="R105" s="481">
        <v>0.0</v>
      </c>
      <c r="S105" s="481">
        <v>0.0</v>
      </c>
      <c r="T105" s="481">
        <v>0.0</v>
      </c>
      <c r="U105" s="481">
        <v>0.0</v>
      </c>
      <c r="V105" s="481">
        <v>0.0</v>
      </c>
      <c r="W105" s="463">
        <f t="shared" si="246"/>
        <v>0</v>
      </c>
      <c r="X105" s="481">
        <v>0.0</v>
      </c>
      <c r="Y105" s="481">
        <v>0.0</v>
      </c>
      <c r="Z105" s="481">
        <v>0.0</v>
      </c>
      <c r="AA105" s="481">
        <v>0.0</v>
      </c>
      <c r="AB105" s="481">
        <v>0.0</v>
      </c>
      <c r="AC105" s="481">
        <v>0.0</v>
      </c>
      <c r="AD105" s="481">
        <v>0.0</v>
      </c>
      <c r="AE105" s="492">
        <v>4.0</v>
      </c>
      <c r="AF105" s="481">
        <v>0.0</v>
      </c>
      <c r="AG105" s="481">
        <v>0.0</v>
      </c>
      <c r="AH105" s="481">
        <v>0.0</v>
      </c>
      <c r="AI105" s="464">
        <f t="shared" si="247"/>
        <v>4</v>
      </c>
      <c r="AJ105" s="481">
        <v>0.0</v>
      </c>
      <c r="AK105" s="481">
        <v>0.0</v>
      </c>
      <c r="AL105" s="481">
        <v>0.0</v>
      </c>
      <c r="AM105" s="481">
        <v>0.0</v>
      </c>
      <c r="AN105" s="481">
        <v>0.0</v>
      </c>
      <c r="AO105" s="481">
        <v>0.0</v>
      </c>
      <c r="AP105" s="481">
        <v>0.0</v>
      </c>
      <c r="AQ105" s="492">
        <v>4.0</v>
      </c>
      <c r="AR105" s="481">
        <v>0.0</v>
      </c>
      <c r="AS105" s="481">
        <v>0.0</v>
      </c>
      <c r="AT105" s="481">
        <v>0.0</v>
      </c>
      <c r="AU105" s="463">
        <f t="shared" si="248"/>
        <v>4</v>
      </c>
      <c r="AV105" s="483">
        <f t="shared" si="249"/>
        <v>8</v>
      </c>
      <c r="AW105" s="484"/>
      <c r="AX105" s="485">
        <v>100.29</v>
      </c>
      <c r="AY105" s="485">
        <f t="shared" si="250"/>
        <v>698.0184</v>
      </c>
      <c r="AZ105" s="486"/>
      <c r="BA105" s="487">
        <f t="shared" ref="BA105:BJ105" si="321">L105*$AY105</f>
        <v>0</v>
      </c>
      <c r="BB105" s="487">
        <f t="shared" si="321"/>
        <v>0</v>
      </c>
      <c r="BC105" s="487">
        <f t="shared" si="321"/>
        <v>0</v>
      </c>
      <c r="BD105" s="487">
        <f t="shared" si="321"/>
        <v>0</v>
      </c>
      <c r="BE105" s="487">
        <f t="shared" si="321"/>
        <v>0</v>
      </c>
      <c r="BF105" s="487">
        <f t="shared" si="321"/>
        <v>0</v>
      </c>
      <c r="BG105" s="487">
        <f t="shared" si="321"/>
        <v>0</v>
      </c>
      <c r="BH105" s="487">
        <f t="shared" si="321"/>
        <v>0</v>
      </c>
      <c r="BI105" s="487">
        <f t="shared" si="321"/>
        <v>0</v>
      </c>
      <c r="BJ105" s="487">
        <f t="shared" si="321"/>
        <v>0</v>
      </c>
      <c r="BK105" s="488">
        <f t="shared" si="252"/>
        <v>0</v>
      </c>
      <c r="BL105" s="487">
        <f t="shared" ref="BL105:BU105" si="322">X105*$AY105</f>
        <v>0</v>
      </c>
      <c r="BM105" s="487">
        <f t="shared" si="322"/>
        <v>0</v>
      </c>
      <c r="BN105" s="487">
        <f t="shared" si="322"/>
        <v>0</v>
      </c>
      <c r="BO105" s="487">
        <f t="shared" si="322"/>
        <v>0</v>
      </c>
      <c r="BP105" s="487">
        <f t="shared" si="322"/>
        <v>0</v>
      </c>
      <c r="BQ105" s="487">
        <f t="shared" si="322"/>
        <v>0</v>
      </c>
      <c r="BR105" s="487">
        <f t="shared" si="322"/>
        <v>0</v>
      </c>
      <c r="BS105" s="487">
        <f t="shared" si="322"/>
        <v>2792.0736</v>
      </c>
      <c r="BT105" s="487">
        <f t="shared" si="322"/>
        <v>0</v>
      </c>
      <c r="BU105" s="487">
        <f t="shared" si="322"/>
        <v>0</v>
      </c>
      <c r="BV105" s="488">
        <f t="shared" si="254"/>
        <v>2792.0736</v>
      </c>
      <c r="BW105" s="487">
        <f t="shared" ref="BW105:CF105" si="323">AJ105*$AY105</f>
        <v>0</v>
      </c>
      <c r="BX105" s="487">
        <f t="shared" si="323"/>
        <v>0</v>
      </c>
      <c r="BY105" s="487">
        <f t="shared" si="323"/>
        <v>0</v>
      </c>
      <c r="BZ105" s="487">
        <f t="shared" si="323"/>
        <v>0</v>
      </c>
      <c r="CA105" s="487">
        <f t="shared" si="323"/>
        <v>0</v>
      </c>
      <c r="CB105" s="487">
        <f t="shared" si="323"/>
        <v>0</v>
      </c>
      <c r="CC105" s="487">
        <f t="shared" si="323"/>
        <v>0</v>
      </c>
      <c r="CD105" s="487">
        <f t="shared" si="323"/>
        <v>2792.0736</v>
      </c>
      <c r="CE105" s="487">
        <f t="shared" si="323"/>
        <v>0</v>
      </c>
      <c r="CF105" s="487">
        <f t="shared" si="323"/>
        <v>0</v>
      </c>
      <c r="CG105" s="488">
        <f t="shared" si="256"/>
        <v>2792.0736</v>
      </c>
      <c r="CH105" s="488">
        <f t="shared" si="257"/>
        <v>5584.1472</v>
      </c>
      <c r="CI105" s="489"/>
      <c r="CJ105" s="487"/>
      <c r="CK105" s="472">
        <v>1.0</v>
      </c>
      <c r="CL105" s="104">
        <f>VLOOKUP(I105,Cotizacion!$A$2:$E$423,4,FALSE())</f>
        <v>100.29</v>
      </c>
    </row>
    <row r="106" ht="15.75" customHeight="1">
      <c r="A106" s="453" t="s">
        <v>2848</v>
      </c>
      <c r="B106" s="454">
        <v>2.0</v>
      </c>
      <c r="C106" s="455" t="s">
        <v>2707</v>
      </c>
      <c r="D106" s="456" t="s">
        <v>56</v>
      </c>
      <c r="E106" s="455" t="s">
        <v>2708</v>
      </c>
      <c r="F106" s="455" t="s">
        <v>1763</v>
      </c>
      <c r="G106" s="457" t="s">
        <v>2709</v>
      </c>
      <c r="H106" s="457" t="s">
        <v>2921</v>
      </c>
      <c r="I106" s="458" t="s">
        <v>2250</v>
      </c>
      <c r="J106" s="459" t="s">
        <v>1068</v>
      </c>
      <c r="K106" s="460" t="s">
        <v>25</v>
      </c>
      <c r="L106" s="461">
        <v>0.0</v>
      </c>
      <c r="M106" s="461">
        <v>0.0</v>
      </c>
      <c r="N106" s="461">
        <v>0.0</v>
      </c>
      <c r="O106" s="461">
        <v>3.0</v>
      </c>
      <c r="P106" s="461">
        <v>3.0</v>
      </c>
      <c r="Q106" s="461">
        <v>3.0</v>
      </c>
      <c r="R106" s="462">
        <v>1.0</v>
      </c>
      <c r="S106" s="461">
        <v>1.0</v>
      </c>
      <c r="T106" s="461">
        <v>0.0</v>
      </c>
      <c r="U106" s="461">
        <v>1.0</v>
      </c>
      <c r="V106" s="461">
        <v>0.0</v>
      </c>
      <c r="W106" s="463">
        <f t="shared" si="246"/>
        <v>12</v>
      </c>
      <c r="X106" s="461">
        <v>0.0</v>
      </c>
      <c r="Y106" s="461">
        <v>0.0</v>
      </c>
      <c r="Z106" s="461">
        <v>0.0</v>
      </c>
      <c r="AA106" s="461">
        <v>5.0</v>
      </c>
      <c r="AB106" s="461">
        <v>5.0</v>
      </c>
      <c r="AC106" s="461">
        <v>5.0</v>
      </c>
      <c r="AD106" s="461">
        <v>2.0</v>
      </c>
      <c r="AE106" s="461">
        <v>2.0</v>
      </c>
      <c r="AF106" s="461">
        <v>0.0</v>
      </c>
      <c r="AG106" s="461">
        <v>2.0</v>
      </c>
      <c r="AH106" s="461">
        <v>0.0</v>
      </c>
      <c r="AI106" s="464">
        <f t="shared" si="247"/>
        <v>21</v>
      </c>
      <c r="AJ106" s="461">
        <v>0.0</v>
      </c>
      <c r="AK106" s="461">
        <v>0.0</v>
      </c>
      <c r="AL106" s="461">
        <v>0.0</v>
      </c>
      <c r="AM106" s="461">
        <v>5.0</v>
      </c>
      <c r="AN106" s="461">
        <v>5.0</v>
      </c>
      <c r="AO106" s="461">
        <v>5.0</v>
      </c>
      <c r="AP106" s="461">
        <v>2.0</v>
      </c>
      <c r="AQ106" s="461">
        <v>2.0</v>
      </c>
      <c r="AR106" s="461">
        <v>0.0</v>
      </c>
      <c r="AS106" s="461">
        <v>2.0</v>
      </c>
      <c r="AT106" s="461">
        <v>0.0</v>
      </c>
      <c r="AU106" s="463">
        <f t="shared" si="248"/>
        <v>21</v>
      </c>
      <c r="AV106" s="465">
        <f t="shared" si="249"/>
        <v>54</v>
      </c>
      <c r="AW106" s="466"/>
      <c r="AX106" s="467">
        <v>14.31</v>
      </c>
      <c r="AY106" s="467">
        <f t="shared" si="250"/>
        <v>99.5976</v>
      </c>
      <c r="AZ106" s="468"/>
      <c r="BA106" s="469">
        <f t="shared" ref="BA106:BJ106" si="324">L106*$AY106</f>
        <v>0</v>
      </c>
      <c r="BB106" s="469">
        <f t="shared" si="324"/>
        <v>0</v>
      </c>
      <c r="BC106" s="469">
        <f t="shared" si="324"/>
        <v>0</v>
      </c>
      <c r="BD106" s="469">
        <f t="shared" si="324"/>
        <v>298.7928</v>
      </c>
      <c r="BE106" s="469">
        <f t="shared" si="324"/>
        <v>298.7928</v>
      </c>
      <c r="BF106" s="469">
        <f t="shared" si="324"/>
        <v>298.7928</v>
      </c>
      <c r="BG106" s="469">
        <f t="shared" si="324"/>
        <v>99.5976</v>
      </c>
      <c r="BH106" s="469">
        <f t="shared" si="324"/>
        <v>99.5976</v>
      </c>
      <c r="BI106" s="469">
        <f t="shared" si="324"/>
        <v>0</v>
      </c>
      <c r="BJ106" s="469">
        <f t="shared" si="324"/>
        <v>99.5976</v>
      </c>
      <c r="BK106" s="470">
        <f t="shared" si="252"/>
        <v>1195.1712</v>
      </c>
      <c r="BL106" s="469">
        <f t="shared" ref="BL106:BU106" si="325">X106*$AY106</f>
        <v>0</v>
      </c>
      <c r="BM106" s="469">
        <f t="shared" si="325"/>
        <v>0</v>
      </c>
      <c r="BN106" s="469">
        <f t="shared" si="325"/>
        <v>0</v>
      </c>
      <c r="BO106" s="469">
        <f t="shared" si="325"/>
        <v>497.988</v>
      </c>
      <c r="BP106" s="469">
        <f t="shared" si="325"/>
        <v>497.988</v>
      </c>
      <c r="BQ106" s="469">
        <f t="shared" si="325"/>
        <v>497.988</v>
      </c>
      <c r="BR106" s="469">
        <f t="shared" si="325"/>
        <v>199.1952</v>
      </c>
      <c r="BS106" s="469">
        <f t="shared" si="325"/>
        <v>199.1952</v>
      </c>
      <c r="BT106" s="469">
        <f t="shared" si="325"/>
        <v>0</v>
      </c>
      <c r="BU106" s="469">
        <f t="shared" si="325"/>
        <v>199.1952</v>
      </c>
      <c r="BV106" s="470">
        <f t="shared" si="254"/>
        <v>2091.5496</v>
      </c>
      <c r="BW106" s="469">
        <f t="shared" ref="BW106:CF106" si="326">AJ106*$AY106</f>
        <v>0</v>
      </c>
      <c r="BX106" s="469">
        <f t="shared" si="326"/>
        <v>0</v>
      </c>
      <c r="BY106" s="469">
        <f t="shared" si="326"/>
        <v>0</v>
      </c>
      <c r="BZ106" s="469">
        <f t="shared" si="326"/>
        <v>497.988</v>
      </c>
      <c r="CA106" s="469">
        <f t="shared" si="326"/>
        <v>497.988</v>
      </c>
      <c r="CB106" s="469">
        <f t="shared" si="326"/>
        <v>497.988</v>
      </c>
      <c r="CC106" s="469">
        <f t="shared" si="326"/>
        <v>199.1952</v>
      </c>
      <c r="CD106" s="469">
        <f t="shared" si="326"/>
        <v>199.1952</v>
      </c>
      <c r="CE106" s="469">
        <f t="shared" si="326"/>
        <v>0</v>
      </c>
      <c r="CF106" s="469">
        <f t="shared" si="326"/>
        <v>199.1952</v>
      </c>
      <c r="CG106" s="470">
        <f t="shared" si="256"/>
        <v>2091.5496</v>
      </c>
      <c r="CH106" s="470">
        <f t="shared" si="257"/>
        <v>5378.2704</v>
      </c>
      <c r="CI106" s="471"/>
      <c r="CJ106" s="469"/>
      <c r="CK106" s="472">
        <v>1.0</v>
      </c>
      <c r="CL106" s="104">
        <f>VLOOKUP(I106,Cotizacion!$A$2:$E$423,4,FALSE())</f>
        <v>14.31</v>
      </c>
    </row>
    <row r="107" ht="15.75" customHeight="1">
      <c r="A107" s="474" t="s">
        <v>2848</v>
      </c>
      <c r="B107" s="475">
        <v>2.0</v>
      </c>
      <c r="C107" s="476" t="s">
        <v>2852</v>
      </c>
      <c r="D107" s="477" t="s">
        <v>46</v>
      </c>
      <c r="E107" s="476" t="s">
        <v>2708</v>
      </c>
      <c r="F107" s="476" t="s">
        <v>1763</v>
      </c>
      <c r="G107" s="457" t="s">
        <v>2709</v>
      </c>
      <c r="H107" s="457" t="s">
        <v>2922</v>
      </c>
      <c r="I107" s="478" t="s">
        <v>2214</v>
      </c>
      <c r="J107" s="479" t="s">
        <v>1136</v>
      </c>
      <c r="K107" s="480" t="s">
        <v>25</v>
      </c>
      <c r="L107" s="481">
        <v>80.0</v>
      </c>
      <c r="M107" s="481">
        <v>60.0</v>
      </c>
      <c r="N107" s="481">
        <v>72.0</v>
      </c>
      <c r="O107" s="481">
        <v>44.0</v>
      </c>
      <c r="P107" s="481">
        <v>52.0</v>
      </c>
      <c r="Q107" s="481">
        <v>84.0</v>
      </c>
      <c r="R107" s="482">
        <v>0.0</v>
      </c>
      <c r="S107" s="481">
        <v>64.0</v>
      </c>
      <c r="T107" s="481">
        <v>12.0</v>
      </c>
      <c r="U107" s="492">
        <v>0.0</v>
      </c>
      <c r="V107" s="481">
        <v>0.0</v>
      </c>
      <c r="W107" s="463">
        <f t="shared" si="246"/>
        <v>468</v>
      </c>
      <c r="X107" s="481">
        <v>80.0</v>
      </c>
      <c r="Y107" s="481">
        <v>60.0</v>
      </c>
      <c r="Z107" s="481">
        <v>72.0</v>
      </c>
      <c r="AA107" s="481">
        <v>44.0</v>
      </c>
      <c r="AB107" s="481">
        <v>52.0</v>
      </c>
      <c r="AC107" s="481">
        <v>84.0</v>
      </c>
      <c r="AD107" s="481">
        <v>52.0</v>
      </c>
      <c r="AE107" s="481">
        <v>64.0</v>
      </c>
      <c r="AF107" s="481">
        <v>12.0</v>
      </c>
      <c r="AG107" s="492">
        <v>0.0</v>
      </c>
      <c r="AH107" s="481">
        <v>0.0</v>
      </c>
      <c r="AI107" s="464">
        <f t="shared" si="247"/>
        <v>520</v>
      </c>
      <c r="AJ107" s="481">
        <v>80.0</v>
      </c>
      <c r="AK107" s="481">
        <v>60.0</v>
      </c>
      <c r="AL107" s="481">
        <v>72.0</v>
      </c>
      <c r="AM107" s="481">
        <v>44.0</v>
      </c>
      <c r="AN107" s="481">
        <v>52.0</v>
      </c>
      <c r="AO107" s="481">
        <v>84.0</v>
      </c>
      <c r="AP107" s="481">
        <v>52.0</v>
      </c>
      <c r="AQ107" s="481">
        <v>64.0</v>
      </c>
      <c r="AR107" s="481">
        <v>12.0</v>
      </c>
      <c r="AS107" s="492">
        <v>0.0</v>
      </c>
      <c r="AT107" s="481">
        <v>0.0</v>
      </c>
      <c r="AU107" s="463">
        <f t="shared" si="248"/>
        <v>520</v>
      </c>
      <c r="AV107" s="483">
        <f t="shared" si="249"/>
        <v>1508</v>
      </c>
      <c r="AW107" s="484"/>
      <c r="AX107" s="485">
        <v>0.5</v>
      </c>
      <c r="AY107" s="485">
        <f t="shared" si="250"/>
        <v>3.48</v>
      </c>
      <c r="AZ107" s="486"/>
      <c r="BA107" s="487">
        <f t="shared" ref="BA107:BJ107" si="327">L107*$AY107</f>
        <v>278.4</v>
      </c>
      <c r="BB107" s="487">
        <f t="shared" si="327"/>
        <v>208.8</v>
      </c>
      <c r="BC107" s="487">
        <f t="shared" si="327"/>
        <v>250.56</v>
      </c>
      <c r="BD107" s="487">
        <f t="shared" si="327"/>
        <v>153.12</v>
      </c>
      <c r="BE107" s="487">
        <f t="shared" si="327"/>
        <v>180.96</v>
      </c>
      <c r="BF107" s="487">
        <f t="shared" si="327"/>
        <v>292.32</v>
      </c>
      <c r="BG107" s="487">
        <f t="shared" si="327"/>
        <v>0</v>
      </c>
      <c r="BH107" s="487">
        <f t="shared" si="327"/>
        <v>222.72</v>
      </c>
      <c r="BI107" s="487">
        <f t="shared" si="327"/>
        <v>41.76</v>
      </c>
      <c r="BJ107" s="487">
        <f t="shared" si="327"/>
        <v>0</v>
      </c>
      <c r="BK107" s="488">
        <f t="shared" si="252"/>
        <v>1628.64</v>
      </c>
      <c r="BL107" s="487">
        <f t="shared" ref="BL107:BU107" si="328">X107*$AY107</f>
        <v>278.4</v>
      </c>
      <c r="BM107" s="487">
        <f t="shared" si="328"/>
        <v>208.8</v>
      </c>
      <c r="BN107" s="487">
        <f t="shared" si="328"/>
        <v>250.56</v>
      </c>
      <c r="BO107" s="487">
        <f t="shared" si="328"/>
        <v>153.12</v>
      </c>
      <c r="BP107" s="487">
        <f t="shared" si="328"/>
        <v>180.96</v>
      </c>
      <c r="BQ107" s="487">
        <f t="shared" si="328"/>
        <v>292.32</v>
      </c>
      <c r="BR107" s="487">
        <f t="shared" si="328"/>
        <v>180.96</v>
      </c>
      <c r="BS107" s="487">
        <f t="shared" si="328"/>
        <v>222.72</v>
      </c>
      <c r="BT107" s="487">
        <f t="shared" si="328"/>
        <v>41.76</v>
      </c>
      <c r="BU107" s="487">
        <f t="shared" si="328"/>
        <v>0</v>
      </c>
      <c r="BV107" s="488">
        <f t="shared" si="254"/>
        <v>1809.6</v>
      </c>
      <c r="BW107" s="487">
        <f t="shared" ref="BW107:CF107" si="329">AJ107*$AY107</f>
        <v>278.4</v>
      </c>
      <c r="BX107" s="487">
        <f t="shared" si="329"/>
        <v>208.8</v>
      </c>
      <c r="BY107" s="487">
        <f t="shared" si="329"/>
        <v>250.56</v>
      </c>
      <c r="BZ107" s="487">
        <f t="shared" si="329"/>
        <v>153.12</v>
      </c>
      <c r="CA107" s="487">
        <f t="shared" si="329"/>
        <v>180.96</v>
      </c>
      <c r="CB107" s="487">
        <f t="shared" si="329"/>
        <v>292.32</v>
      </c>
      <c r="CC107" s="487">
        <f t="shared" si="329"/>
        <v>180.96</v>
      </c>
      <c r="CD107" s="487">
        <f t="shared" si="329"/>
        <v>222.72</v>
      </c>
      <c r="CE107" s="487">
        <f t="shared" si="329"/>
        <v>41.76</v>
      </c>
      <c r="CF107" s="487">
        <f t="shared" si="329"/>
        <v>0</v>
      </c>
      <c r="CG107" s="488">
        <f t="shared" si="256"/>
        <v>1809.6</v>
      </c>
      <c r="CH107" s="488">
        <f t="shared" si="257"/>
        <v>5247.84</v>
      </c>
      <c r="CI107" s="489"/>
      <c r="CJ107" s="487"/>
      <c r="CK107" s="472">
        <v>1.0</v>
      </c>
      <c r="CL107" s="104">
        <f>VLOOKUP(I107,Cotizacion!$A$2:$E$423,4,FALSE())</f>
        <v>0.5</v>
      </c>
    </row>
    <row r="108" ht="15.75" customHeight="1">
      <c r="A108" s="453" t="s">
        <v>2848</v>
      </c>
      <c r="B108" s="454">
        <v>2.0</v>
      </c>
      <c r="C108" s="455" t="s">
        <v>2707</v>
      </c>
      <c r="D108" s="456" t="s">
        <v>785</v>
      </c>
      <c r="E108" s="455" t="s">
        <v>2708</v>
      </c>
      <c r="F108" s="455" t="s">
        <v>1763</v>
      </c>
      <c r="G108" s="457" t="s">
        <v>2709</v>
      </c>
      <c r="H108" s="457" t="s">
        <v>2923</v>
      </c>
      <c r="I108" s="458" t="s">
        <v>2158</v>
      </c>
      <c r="J108" s="459" t="s">
        <v>1186</v>
      </c>
      <c r="K108" s="460" t="s">
        <v>25</v>
      </c>
      <c r="L108" s="461">
        <v>8.0</v>
      </c>
      <c r="M108" s="461">
        <v>3.0</v>
      </c>
      <c r="N108" s="461">
        <v>8.0</v>
      </c>
      <c r="O108" s="461">
        <v>8.0</v>
      </c>
      <c r="P108" s="461">
        <v>8.0</v>
      </c>
      <c r="Q108" s="461">
        <v>10.0</v>
      </c>
      <c r="R108" s="461">
        <v>8.0</v>
      </c>
      <c r="S108" s="461">
        <v>8.0</v>
      </c>
      <c r="T108" s="461">
        <v>8.0</v>
      </c>
      <c r="U108" s="461">
        <v>18.0</v>
      </c>
      <c r="V108" s="461">
        <v>0.0</v>
      </c>
      <c r="W108" s="463">
        <f t="shared" si="246"/>
        <v>87</v>
      </c>
      <c r="X108" s="461">
        <v>8.0</v>
      </c>
      <c r="Y108" s="461">
        <v>3.0</v>
      </c>
      <c r="Z108" s="461">
        <v>8.0</v>
      </c>
      <c r="AA108" s="461">
        <v>8.0</v>
      </c>
      <c r="AB108" s="461">
        <v>8.0</v>
      </c>
      <c r="AC108" s="461">
        <v>10.0</v>
      </c>
      <c r="AD108" s="461">
        <v>8.0</v>
      </c>
      <c r="AE108" s="461">
        <v>8.0</v>
      </c>
      <c r="AF108" s="461">
        <v>8.0</v>
      </c>
      <c r="AG108" s="461">
        <v>18.0</v>
      </c>
      <c r="AH108" s="461">
        <v>0.0</v>
      </c>
      <c r="AI108" s="464">
        <f t="shared" si="247"/>
        <v>87</v>
      </c>
      <c r="AJ108" s="461">
        <v>8.0</v>
      </c>
      <c r="AK108" s="461">
        <v>3.0</v>
      </c>
      <c r="AL108" s="461">
        <v>8.0</v>
      </c>
      <c r="AM108" s="461">
        <v>8.0</v>
      </c>
      <c r="AN108" s="461">
        <v>8.0</v>
      </c>
      <c r="AO108" s="461">
        <v>10.0</v>
      </c>
      <c r="AP108" s="461">
        <v>8.0</v>
      </c>
      <c r="AQ108" s="461">
        <v>8.0</v>
      </c>
      <c r="AR108" s="461">
        <v>8.0</v>
      </c>
      <c r="AS108" s="461">
        <v>18.0</v>
      </c>
      <c r="AT108" s="461">
        <v>0.0</v>
      </c>
      <c r="AU108" s="463">
        <f t="shared" si="248"/>
        <v>87</v>
      </c>
      <c r="AV108" s="465">
        <f t="shared" si="249"/>
        <v>261</v>
      </c>
      <c r="AW108" s="466"/>
      <c r="AX108" s="467">
        <v>2.85</v>
      </c>
      <c r="AY108" s="467">
        <f t="shared" si="250"/>
        <v>19.836</v>
      </c>
      <c r="AZ108" s="468"/>
      <c r="BA108" s="469">
        <f t="shared" ref="BA108:BJ108" si="330">L108*$AY108</f>
        <v>158.688</v>
      </c>
      <c r="BB108" s="469">
        <f t="shared" si="330"/>
        <v>59.508</v>
      </c>
      <c r="BC108" s="469">
        <f t="shared" si="330"/>
        <v>158.688</v>
      </c>
      <c r="BD108" s="469">
        <f t="shared" si="330"/>
        <v>158.688</v>
      </c>
      <c r="BE108" s="469">
        <f t="shared" si="330"/>
        <v>158.688</v>
      </c>
      <c r="BF108" s="469">
        <f t="shared" si="330"/>
        <v>198.36</v>
      </c>
      <c r="BG108" s="469">
        <f t="shared" si="330"/>
        <v>158.688</v>
      </c>
      <c r="BH108" s="469">
        <f t="shared" si="330"/>
        <v>158.688</v>
      </c>
      <c r="BI108" s="469">
        <f t="shared" si="330"/>
        <v>158.688</v>
      </c>
      <c r="BJ108" s="469">
        <f t="shared" si="330"/>
        <v>357.048</v>
      </c>
      <c r="BK108" s="470">
        <f t="shared" si="252"/>
        <v>1725.732</v>
      </c>
      <c r="BL108" s="469">
        <f t="shared" ref="BL108:BU108" si="331">X108*$AY108</f>
        <v>158.688</v>
      </c>
      <c r="BM108" s="469">
        <f t="shared" si="331"/>
        <v>59.508</v>
      </c>
      <c r="BN108" s="469">
        <f t="shared" si="331"/>
        <v>158.688</v>
      </c>
      <c r="BO108" s="469">
        <f t="shared" si="331"/>
        <v>158.688</v>
      </c>
      <c r="BP108" s="469">
        <f t="shared" si="331"/>
        <v>158.688</v>
      </c>
      <c r="BQ108" s="469">
        <f t="shared" si="331"/>
        <v>198.36</v>
      </c>
      <c r="BR108" s="469">
        <f t="shared" si="331"/>
        <v>158.688</v>
      </c>
      <c r="BS108" s="469">
        <f t="shared" si="331"/>
        <v>158.688</v>
      </c>
      <c r="BT108" s="469">
        <f t="shared" si="331"/>
        <v>158.688</v>
      </c>
      <c r="BU108" s="469">
        <f t="shared" si="331"/>
        <v>357.048</v>
      </c>
      <c r="BV108" s="470">
        <f t="shared" si="254"/>
        <v>1725.732</v>
      </c>
      <c r="BW108" s="469">
        <f t="shared" ref="BW108:CF108" si="332">AJ108*$AY108</f>
        <v>158.688</v>
      </c>
      <c r="BX108" s="469">
        <f t="shared" si="332"/>
        <v>59.508</v>
      </c>
      <c r="BY108" s="469">
        <f t="shared" si="332"/>
        <v>158.688</v>
      </c>
      <c r="BZ108" s="469">
        <f t="shared" si="332"/>
        <v>158.688</v>
      </c>
      <c r="CA108" s="469">
        <f t="shared" si="332"/>
        <v>158.688</v>
      </c>
      <c r="CB108" s="469">
        <f t="shared" si="332"/>
        <v>198.36</v>
      </c>
      <c r="CC108" s="469">
        <f t="shared" si="332"/>
        <v>158.688</v>
      </c>
      <c r="CD108" s="469">
        <f t="shared" si="332"/>
        <v>158.688</v>
      </c>
      <c r="CE108" s="469">
        <f t="shared" si="332"/>
        <v>158.688</v>
      </c>
      <c r="CF108" s="469">
        <f t="shared" si="332"/>
        <v>357.048</v>
      </c>
      <c r="CG108" s="470">
        <f t="shared" si="256"/>
        <v>1725.732</v>
      </c>
      <c r="CH108" s="470">
        <f t="shared" si="257"/>
        <v>5177.196</v>
      </c>
      <c r="CI108" s="471"/>
      <c r="CJ108" s="469"/>
      <c r="CK108" s="472">
        <v>1.0</v>
      </c>
      <c r="CL108" s="104">
        <f>VLOOKUP(I108,Cotizacion!$A$2:$E$423,4,FALSE())</f>
        <v>2.85</v>
      </c>
      <c r="CM108" s="1"/>
    </row>
    <row r="109" ht="15.75" customHeight="1">
      <c r="A109" s="474"/>
      <c r="B109" s="476"/>
      <c r="C109" s="476"/>
      <c r="D109" s="476"/>
      <c r="E109" s="476"/>
      <c r="F109" s="476"/>
      <c r="G109" s="476"/>
      <c r="H109" s="476"/>
      <c r="I109" s="506"/>
      <c r="J109" s="477"/>
      <c r="K109" s="480"/>
      <c r="L109" s="481"/>
      <c r="M109" s="481"/>
      <c r="N109" s="481"/>
      <c r="O109" s="481"/>
      <c r="P109" s="481"/>
      <c r="Q109" s="481"/>
      <c r="R109" s="481"/>
      <c r="S109" s="481"/>
      <c r="T109" s="481"/>
      <c r="U109" s="481"/>
      <c r="V109" s="481"/>
      <c r="W109" s="522"/>
      <c r="X109" s="481"/>
      <c r="Y109" s="481"/>
      <c r="Z109" s="481"/>
      <c r="AA109" s="481"/>
      <c r="AB109" s="481"/>
      <c r="AC109" s="481"/>
      <c r="AD109" s="481"/>
      <c r="AE109" s="481"/>
      <c r="AF109" s="481"/>
      <c r="AG109" s="481"/>
      <c r="AH109" s="481"/>
      <c r="AI109" s="522"/>
      <c r="AJ109" s="481"/>
      <c r="AK109" s="481"/>
      <c r="AL109" s="481"/>
      <c r="AM109" s="481"/>
      <c r="AN109" s="481"/>
      <c r="AO109" s="481"/>
      <c r="AP109" s="481"/>
      <c r="AQ109" s="481"/>
      <c r="AR109" s="481"/>
      <c r="AS109" s="481"/>
      <c r="AT109" s="481"/>
      <c r="AU109" s="522"/>
      <c r="AV109" s="481"/>
      <c r="AW109" s="484"/>
      <c r="AX109" s="525"/>
      <c r="AY109" s="481"/>
      <c r="AZ109" s="486"/>
      <c r="BA109" s="487"/>
      <c r="BB109" s="487"/>
      <c r="BC109" s="487"/>
      <c r="BD109" s="487"/>
      <c r="BE109" s="487"/>
      <c r="BF109" s="487"/>
      <c r="BG109" s="487"/>
      <c r="BH109" s="487"/>
      <c r="BI109" s="487"/>
      <c r="BJ109" s="487"/>
      <c r="BK109" s="487"/>
      <c r="BL109" s="487"/>
      <c r="BM109" s="487"/>
      <c r="BN109" s="487"/>
      <c r="BO109" s="487"/>
      <c r="BP109" s="487"/>
      <c r="BQ109" s="487"/>
      <c r="BR109" s="487"/>
      <c r="BS109" s="487"/>
      <c r="BT109" s="487"/>
      <c r="BU109" s="487"/>
      <c r="BV109" s="487"/>
      <c r="BW109" s="487"/>
      <c r="BX109" s="487"/>
      <c r="BY109" s="487"/>
      <c r="BZ109" s="487"/>
      <c r="CA109" s="487"/>
      <c r="CB109" s="487"/>
      <c r="CC109" s="487"/>
      <c r="CD109" s="487"/>
      <c r="CE109" s="487"/>
      <c r="CF109" s="487"/>
      <c r="CG109" s="487"/>
      <c r="CH109" s="487"/>
      <c r="CI109" s="508"/>
      <c r="CJ109" s="509"/>
      <c r="CK109" s="472"/>
      <c r="CM109" s="1"/>
    </row>
    <row r="110" ht="15.75" customHeight="1">
      <c r="A110" s="453" t="s">
        <v>2848</v>
      </c>
      <c r="B110" s="454">
        <v>2.0</v>
      </c>
      <c r="C110" s="456" t="s">
        <v>2852</v>
      </c>
      <c r="D110" s="456" t="s">
        <v>52</v>
      </c>
      <c r="E110" s="456" t="s">
        <v>2708</v>
      </c>
      <c r="F110" s="456" t="s">
        <v>1763</v>
      </c>
      <c r="G110" s="457" t="s">
        <v>2709</v>
      </c>
      <c r="H110" s="457" t="s">
        <v>2924</v>
      </c>
      <c r="I110" s="514" t="s">
        <v>1854</v>
      </c>
      <c r="J110" s="459" t="s">
        <v>1106</v>
      </c>
      <c r="K110" s="515" t="s">
        <v>25</v>
      </c>
      <c r="L110" s="461">
        <v>220.0</v>
      </c>
      <c r="M110" s="461">
        <v>131.0</v>
      </c>
      <c r="N110" s="461">
        <v>192.0</v>
      </c>
      <c r="O110" s="461">
        <v>124.0</v>
      </c>
      <c r="P110" s="461">
        <v>142.0</v>
      </c>
      <c r="Q110" s="461">
        <v>235.0</v>
      </c>
      <c r="R110" s="462">
        <v>0.0</v>
      </c>
      <c r="S110" s="490">
        <v>0.0</v>
      </c>
      <c r="T110" s="461">
        <v>30.0</v>
      </c>
      <c r="U110" s="490">
        <v>0.0</v>
      </c>
      <c r="V110" s="461">
        <v>0.0</v>
      </c>
      <c r="W110" s="463">
        <f t="shared" ref="W110:W126" si="336">SUM(L110:V110)</f>
        <v>1074</v>
      </c>
      <c r="X110" s="461">
        <v>197.0</v>
      </c>
      <c r="Y110" s="461">
        <v>117.0</v>
      </c>
      <c r="Z110" s="461">
        <v>172.0</v>
      </c>
      <c r="AA110" s="461">
        <v>111.0</v>
      </c>
      <c r="AB110" s="461">
        <v>127.0</v>
      </c>
      <c r="AC110" s="461">
        <v>210.0</v>
      </c>
      <c r="AD110" s="462">
        <v>0.0</v>
      </c>
      <c r="AE110" s="490">
        <v>0.0</v>
      </c>
      <c r="AF110" s="461">
        <v>27.0</v>
      </c>
      <c r="AG110" s="490">
        <v>0.0</v>
      </c>
      <c r="AH110" s="461">
        <v>0.0</v>
      </c>
      <c r="AI110" s="464">
        <f t="shared" ref="AI110:AI126" si="337">SUM(X110:AH110)</f>
        <v>961</v>
      </c>
      <c r="AJ110" s="461">
        <v>197.0</v>
      </c>
      <c r="AK110" s="461">
        <v>117.0</v>
      </c>
      <c r="AL110" s="461">
        <v>172.0</v>
      </c>
      <c r="AM110" s="461">
        <v>111.0</v>
      </c>
      <c r="AN110" s="461">
        <v>127.0</v>
      </c>
      <c r="AO110" s="461">
        <v>210.0</v>
      </c>
      <c r="AP110" s="462">
        <v>0.0</v>
      </c>
      <c r="AQ110" s="490">
        <v>0.0</v>
      </c>
      <c r="AR110" s="461">
        <v>27.0</v>
      </c>
      <c r="AS110" s="490">
        <v>0.0</v>
      </c>
      <c r="AT110" s="461">
        <v>0.0</v>
      </c>
      <c r="AU110" s="463">
        <f t="shared" ref="AU110:AU126" si="338">ROUNDUP( SUM(AJ110:AT110))</f>
        <v>961</v>
      </c>
      <c r="AV110" s="465">
        <f t="shared" ref="AV110:AV126" si="339">W110+AI110+AU110</f>
        <v>2996</v>
      </c>
      <c r="AW110" s="466"/>
      <c r="AX110" s="516">
        <v>0.23</v>
      </c>
      <c r="AY110" s="467">
        <f t="shared" ref="AY110:AY126" si="340">AX110*$AY$1</f>
        <v>1.6008</v>
      </c>
      <c r="AZ110" s="538"/>
      <c r="BA110" s="469">
        <f t="shared" ref="BA110:BJ110" si="333">L110*$AY110</f>
        <v>352.176</v>
      </c>
      <c r="BB110" s="469">
        <f t="shared" si="333"/>
        <v>209.7048</v>
      </c>
      <c r="BC110" s="469">
        <f t="shared" si="333"/>
        <v>307.3536</v>
      </c>
      <c r="BD110" s="469">
        <f t="shared" si="333"/>
        <v>198.4992</v>
      </c>
      <c r="BE110" s="469">
        <f t="shared" si="333"/>
        <v>227.3136</v>
      </c>
      <c r="BF110" s="469">
        <f t="shared" si="333"/>
        <v>376.188</v>
      </c>
      <c r="BG110" s="469">
        <f t="shared" si="333"/>
        <v>0</v>
      </c>
      <c r="BH110" s="469">
        <f t="shared" si="333"/>
        <v>0</v>
      </c>
      <c r="BI110" s="469">
        <f t="shared" si="333"/>
        <v>48.024</v>
      </c>
      <c r="BJ110" s="469">
        <f t="shared" si="333"/>
        <v>0</v>
      </c>
      <c r="BK110" s="470">
        <f t="shared" ref="BK110:BK126" si="342">AY110*W110</f>
        <v>1719.2592</v>
      </c>
      <c r="BL110" s="469">
        <f t="shared" ref="BL110:BU110" si="334">X110*$AY110</f>
        <v>315.3576</v>
      </c>
      <c r="BM110" s="469">
        <f t="shared" si="334"/>
        <v>187.2936</v>
      </c>
      <c r="BN110" s="469">
        <f t="shared" si="334"/>
        <v>275.3376</v>
      </c>
      <c r="BO110" s="469">
        <f t="shared" si="334"/>
        <v>177.6888</v>
      </c>
      <c r="BP110" s="469">
        <f t="shared" si="334"/>
        <v>203.3016</v>
      </c>
      <c r="BQ110" s="469">
        <f t="shared" si="334"/>
        <v>336.168</v>
      </c>
      <c r="BR110" s="469">
        <f t="shared" si="334"/>
        <v>0</v>
      </c>
      <c r="BS110" s="469">
        <f t="shared" si="334"/>
        <v>0</v>
      </c>
      <c r="BT110" s="469">
        <f t="shared" si="334"/>
        <v>43.2216</v>
      </c>
      <c r="BU110" s="469">
        <f t="shared" si="334"/>
        <v>0</v>
      </c>
      <c r="BV110" s="470">
        <f t="shared" ref="BV110:BV126" si="344">AY110*AI110</f>
        <v>1538.3688</v>
      </c>
      <c r="BW110" s="469">
        <f t="shared" ref="BW110:CF110" si="335">AJ110*$AY110</f>
        <v>315.3576</v>
      </c>
      <c r="BX110" s="469">
        <f t="shared" si="335"/>
        <v>187.2936</v>
      </c>
      <c r="BY110" s="469">
        <f t="shared" si="335"/>
        <v>275.3376</v>
      </c>
      <c r="BZ110" s="469">
        <f t="shared" si="335"/>
        <v>177.6888</v>
      </c>
      <c r="CA110" s="469">
        <f t="shared" si="335"/>
        <v>203.3016</v>
      </c>
      <c r="CB110" s="469">
        <f t="shared" si="335"/>
        <v>336.168</v>
      </c>
      <c r="CC110" s="469">
        <f t="shared" si="335"/>
        <v>0</v>
      </c>
      <c r="CD110" s="469">
        <f t="shared" si="335"/>
        <v>0</v>
      </c>
      <c r="CE110" s="469">
        <f t="shared" si="335"/>
        <v>43.2216</v>
      </c>
      <c r="CF110" s="469">
        <f t="shared" si="335"/>
        <v>0</v>
      </c>
      <c r="CG110" s="470">
        <f t="shared" ref="CG110:CG126" si="346">AY110*AU110</f>
        <v>1538.3688</v>
      </c>
      <c r="CH110" s="470">
        <f t="shared" ref="CH110:CH126" si="347">BK110+BV110+CG110</f>
        <v>4795.9968</v>
      </c>
      <c r="CI110" s="471"/>
      <c r="CJ110" s="518"/>
      <c r="CK110" s="472">
        <v>1.0</v>
      </c>
      <c r="CL110" s="104">
        <f>VLOOKUP(I110,Cotizacion!$A$2:$E$423,4,FALSE())</f>
        <v>0.23</v>
      </c>
      <c r="CM110" s="1"/>
    </row>
    <row r="111" ht="15.75" customHeight="1">
      <c r="A111" s="474" t="s">
        <v>2848</v>
      </c>
      <c r="B111" s="475">
        <v>2.0</v>
      </c>
      <c r="C111" s="476" t="s">
        <v>2707</v>
      </c>
      <c r="D111" s="477" t="s">
        <v>785</v>
      </c>
      <c r="E111" s="476" t="s">
        <v>2708</v>
      </c>
      <c r="F111" s="476" t="s">
        <v>1763</v>
      </c>
      <c r="G111" s="457" t="s">
        <v>2709</v>
      </c>
      <c r="H111" s="457" t="s">
        <v>2711</v>
      </c>
      <c r="I111" s="478" t="s">
        <v>1856</v>
      </c>
      <c r="J111" s="479" t="s">
        <v>803</v>
      </c>
      <c r="K111" s="480" t="s">
        <v>25</v>
      </c>
      <c r="L111" s="481">
        <v>11.0</v>
      </c>
      <c r="M111" s="481">
        <v>6.0</v>
      </c>
      <c r="N111" s="481">
        <v>10.0</v>
      </c>
      <c r="O111" s="482">
        <v>0.0</v>
      </c>
      <c r="P111" s="482">
        <v>0.0</v>
      </c>
      <c r="Q111" s="482">
        <v>0.0</v>
      </c>
      <c r="R111" s="481">
        <v>170.0</v>
      </c>
      <c r="S111" s="520">
        <v>0.0</v>
      </c>
      <c r="T111" s="481">
        <v>48.0</v>
      </c>
      <c r="U111" s="520">
        <v>0.0</v>
      </c>
      <c r="V111" s="481">
        <v>0.0</v>
      </c>
      <c r="W111" s="463">
        <f t="shared" si="336"/>
        <v>245</v>
      </c>
      <c r="X111" s="481">
        <v>44.0</v>
      </c>
      <c r="Y111" s="481">
        <v>28.0</v>
      </c>
      <c r="Z111" s="481">
        <v>44.0</v>
      </c>
      <c r="AA111" s="481">
        <v>20.0</v>
      </c>
      <c r="AB111" s="481">
        <v>28.0</v>
      </c>
      <c r="AC111" s="481">
        <v>44.0</v>
      </c>
      <c r="AD111" s="481">
        <v>28.0</v>
      </c>
      <c r="AE111" s="520">
        <v>0.0</v>
      </c>
      <c r="AF111" s="481">
        <v>8.0</v>
      </c>
      <c r="AG111" s="520">
        <v>0.0</v>
      </c>
      <c r="AH111" s="481">
        <v>0.0</v>
      </c>
      <c r="AI111" s="464">
        <f t="shared" si="337"/>
        <v>244</v>
      </c>
      <c r="AJ111" s="481">
        <v>44.0</v>
      </c>
      <c r="AK111" s="481">
        <v>28.0</v>
      </c>
      <c r="AL111" s="481">
        <v>44.0</v>
      </c>
      <c r="AM111" s="481">
        <v>20.0</v>
      </c>
      <c r="AN111" s="481">
        <v>28.0</v>
      </c>
      <c r="AO111" s="481">
        <v>44.0</v>
      </c>
      <c r="AP111" s="481">
        <v>28.0</v>
      </c>
      <c r="AQ111" s="481">
        <v>28.0</v>
      </c>
      <c r="AR111" s="481">
        <v>8.0</v>
      </c>
      <c r="AS111" s="520">
        <v>0.0</v>
      </c>
      <c r="AT111" s="481">
        <v>0.0</v>
      </c>
      <c r="AU111" s="463">
        <f t="shared" si="338"/>
        <v>272</v>
      </c>
      <c r="AV111" s="483">
        <f t="shared" si="339"/>
        <v>761</v>
      </c>
      <c r="AW111" s="484"/>
      <c r="AX111" s="485">
        <v>0.89</v>
      </c>
      <c r="AY111" s="485">
        <f t="shared" si="340"/>
        <v>6.1944</v>
      </c>
      <c r="AZ111" s="486"/>
      <c r="BA111" s="487">
        <f t="shared" ref="BA111:BJ111" si="341">L111*$AY111</f>
        <v>68.1384</v>
      </c>
      <c r="BB111" s="487">
        <f t="shared" si="341"/>
        <v>37.1664</v>
      </c>
      <c r="BC111" s="487">
        <f t="shared" si="341"/>
        <v>61.944</v>
      </c>
      <c r="BD111" s="487">
        <f t="shared" si="341"/>
        <v>0</v>
      </c>
      <c r="BE111" s="487">
        <f t="shared" si="341"/>
        <v>0</v>
      </c>
      <c r="BF111" s="487">
        <f t="shared" si="341"/>
        <v>0</v>
      </c>
      <c r="BG111" s="487">
        <f t="shared" si="341"/>
        <v>1053.048</v>
      </c>
      <c r="BH111" s="487">
        <f t="shared" si="341"/>
        <v>0</v>
      </c>
      <c r="BI111" s="487">
        <f t="shared" si="341"/>
        <v>297.3312</v>
      </c>
      <c r="BJ111" s="487">
        <f t="shared" si="341"/>
        <v>0</v>
      </c>
      <c r="BK111" s="488">
        <f t="shared" si="342"/>
        <v>1517.628</v>
      </c>
      <c r="BL111" s="487">
        <f t="shared" ref="BL111:BU111" si="343">X111*$AY111</f>
        <v>272.5536</v>
      </c>
      <c r="BM111" s="487">
        <f t="shared" si="343"/>
        <v>173.4432</v>
      </c>
      <c r="BN111" s="487">
        <f t="shared" si="343"/>
        <v>272.5536</v>
      </c>
      <c r="BO111" s="487">
        <f t="shared" si="343"/>
        <v>123.888</v>
      </c>
      <c r="BP111" s="487">
        <f t="shared" si="343"/>
        <v>173.4432</v>
      </c>
      <c r="BQ111" s="487">
        <f t="shared" si="343"/>
        <v>272.5536</v>
      </c>
      <c r="BR111" s="487">
        <f t="shared" si="343"/>
        <v>173.4432</v>
      </c>
      <c r="BS111" s="487">
        <f t="shared" si="343"/>
        <v>0</v>
      </c>
      <c r="BT111" s="487">
        <f t="shared" si="343"/>
        <v>49.5552</v>
      </c>
      <c r="BU111" s="487">
        <f t="shared" si="343"/>
        <v>0</v>
      </c>
      <c r="BV111" s="488">
        <f t="shared" si="344"/>
        <v>1511.4336</v>
      </c>
      <c r="BW111" s="487">
        <f t="shared" ref="BW111:CF111" si="345">AJ111*$AY111</f>
        <v>272.5536</v>
      </c>
      <c r="BX111" s="487">
        <f t="shared" si="345"/>
        <v>173.4432</v>
      </c>
      <c r="BY111" s="487">
        <f t="shared" si="345"/>
        <v>272.5536</v>
      </c>
      <c r="BZ111" s="487">
        <f t="shared" si="345"/>
        <v>123.888</v>
      </c>
      <c r="CA111" s="487">
        <f t="shared" si="345"/>
        <v>173.4432</v>
      </c>
      <c r="CB111" s="487">
        <f t="shared" si="345"/>
        <v>272.5536</v>
      </c>
      <c r="CC111" s="487">
        <f t="shared" si="345"/>
        <v>173.4432</v>
      </c>
      <c r="CD111" s="487">
        <f t="shared" si="345"/>
        <v>173.4432</v>
      </c>
      <c r="CE111" s="487">
        <f t="shared" si="345"/>
        <v>49.5552</v>
      </c>
      <c r="CF111" s="487">
        <f t="shared" si="345"/>
        <v>0</v>
      </c>
      <c r="CG111" s="488">
        <f t="shared" si="346"/>
        <v>1684.8768</v>
      </c>
      <c r="CH111" s="488">
        <f t="shared" si="347"/>
        <v>4713.9384</v>
      </c>
      <c r="CI111" s="489"/>
      <c r="CJ111" s="487"/>
      <c r="CK111" s="472">
        <v>1.0</v>
      </c>
      <c r="CL111" s="104">
        <f>VLOOKUP(I111,Cotizacion!$A$2:$E$423,4,FALSE())</f>
        <v>0.89</v>
      </c>
      <c r="CM111" s="1"/>
    </row>
    <row r="112" ht="15.75" customHeight="1">
      <c r="A112" s="453" t="s">
        <v>2848</v>
      </c>
      <c r="B112" s="454">
        <v>2.0</v>
      </c>
      <c r="C112" s="455" t="s">
        <v>2707</v>
      </c>
      <c r="D112" s="456" t="s">
        <v>56</v>
      </c>
      <c r="E112" s="455" t="s">
        <v>2708</v>
      </c>
      <c r="F112" s="455" t="s">
        <v>1763</v>
      </c>
      <c r="G112" s="457" t="s">
        <v>2709</v>
      </c>
      <c r="H112" s="457" t="s">
        <v>2771</v>
      </c>
      <c r="I112" s="458" t="s">
        <v>2249</v>
      </c>
      <c r="J112" s="459" t="s">
        <v>1022</v>
      </c>
      <c r="K112" s="460" t="s">
        <v>25</v>
      </c>
      <c r="L112" s="461">
        <v>0.0</v>
      </c>
      <c r="M112" s="461">
        <v>0.0</v>
      </c>
      <c r="N112" s="461">
        <v>0.0</v>
      </c>
      <c r="O112" s="461">
        <v>1.0</v>
      </c>
      <c r="P112" s="461">
        <v>1.0</v>
      </c>
      <c r="Q112" s="461">
        <v>1.0</v>
      </c>
      <c r="R112" s="461">
        <v>0.0</v>
      </c>
      <c r="S112" s="461">
        <v>0.0</v>
      </c>
      <c r="T112" s="461">
        <v>0.0</v>
      </c>
      <c r="U112" s="461">
        <v>0.0</v>
      </c>
      <c r="V112" s="461">
        <v>0.0</v>
      </c>
      <c r="W112" s="463">
        <f t="shared" si="336"/>
        <v>3</v>
      </c>
      <c r="X112" s="461">
        <v>0.0</v>
      </c>
      <c r="Y112" s="461">
        <v>0.0</v>
      </c>
      <c r="Z112" s="461">
        <v>0.0</v>
      </c>
      <c r="AA112" s="461">
        <v>5.0</v>
      </c>
      <c r="AB112" s="461">
        <v>5.0</v>
      </c>
      <c r="AC112" s="461">
        <v>5.0</v>
      </c>
      <c r="AD112" s="461">
        <v>0.0</v>
      </c>
      <c r="AE112" s="461">
        <v>0.0</v>
      </c>
      <c r="AF112" s="461">
        <v>0.0</v>
      </c>
      <c r="AG112" s="461">
        <v>2.0</v>
      </c>
      <c r="AH112" s="461">
        <v>0.0</v>
      </c>
      <c r="AI112" s="464">
        <f t="shared" si="337"/>
        <v>17</v>
      </c>
      <c r="AJ112" s="461">
        <v>0.0</v>
      </c>
      <c r="AK112" s="461">
        <v>0.0</v>
      </c>
      <c r="AL112" s="461">
        <v>0.0</v>
      </c>
      <c r="AM112" s="461">
        <v>5.0</v>
      </c>
      <c r="AN112" s="461">
        <v>5.0</v>
      </c>
      <c r="AO112" s="461">
        <v>5.0</v>
      </c>
      <c r="AP112" s="461">
        <v>0.0</v>
      </c>
      <c r="AQ112" s="461">
        <v>0.0</v>
      </c>
      <c r="AR112" s="461">
        <v>0.0</v>
      </c>
      <c r="AS112" s="461">
        <v>2.0</v>
      </c>
      <c r="AT112" s="461">
        <v>0.0</v>
      </c>
      <c r="AU112" s="463">
        <f t="shared" si="338"/>
        <v>17</v>
      </c>
      <c r="AV112" s="465">
        <f t="shared" si="339"/>
        <v>37</v>
      </c>
      <c r="AW112" s="466"/>
      <c r="AX112" s="467">
        <v>17.88</v>
      </c>
      <c r="AY112" s="467">
        <f t="shared" si="340"/>
        <v>124.4448</v>
      </c>
      <c r="AZ112" s="468"/>
      <c r="BA112" s="469">
        <f t="shared" ref="BA112:BJ112" si="348">L112*$AY112</f>
        <v>0</v>
      </c>
      <c r="BB112" s="469">
        <f t="shared" si="348"/>
        <v>0</v>
      </c>
      <c r="BC112" s="469">
        <f t="shared" si="348"/>
        <v>0</v>
      </c>
      <c r="BD112" s="469">
        <f t="shared" si="348"/>
        <v>124.4448</v>
      </c>
      <c r="BE112" s="469">
        <f t="shared" si="348"/>
        <v>124.4448</v>
      </c>
      <c r="BF112" s="469">
        <f t="shared" si="348"/>
        <v>124.4448</v>
      </c>
      <c r="BG112" s="469">
        <f t="shared" si="348"/>
        <v>0</v>
      </c>
      <c r="BH112" s="469">
        <f t="shared" si="348"/>
        <v>0</v>
      </c>
      <c r="BI112" s="469">
        <f t="shared" si="348"/>
        <v>0</v>
      </c>
      <c r="BJ112" s="469">
        <f t="shared" si="348"/>
        <v>0</v>
      </c>
      <c r="BK112" s="470">
        <f t="shared" si="342"/>
        <v>373.3344</v>
      </c>
      <c r="BL112" s="469">
        <f t="shared" ref="BL112:BU112" si="349">X112*$AY112</f>
        <v>0</v>
      </c>
      <c r="BM112" s="469">
        <f t="shared" si="349"/>
        <v>0</v>
      </c>
      <c r="BN112" s="469">
        <f t="shared" si="349"/>
        <v>0</v>
      </c>
      <c r="BO112" s="469">
        <f t="shared" si="349"/>
        <v>622.224</v>
      </c>
      <c r="BP112" s="469">
        <f t="shared" si="349"/>
        <v>622.224</v>
      </c>
      <c r="BQ112" s="469">
        <f t="shared" si="349"/>
        <v>622.224</v>
      </c>
      <c r="BR112" s="469">
        <f t="shared" si="349"/>
        <v>0</v>
      </c>
      <c r="BS112" s="469">
        <f t="shared" si="349"/>
        <v>0</v>
      </c>
      <c r="BT112" s="469">
        <f t="shared" si="349"/>
        <v>0</v>
      </c>
      <c r="BU112" s="469">
        <f t="shared" si="349"/>
        <v>248.8896</v>
      </c>
      <c r="BV112" s="470">
        <f t="shared" si="344"/>
        <v>2115.5616</v>
      </c>
      <c r="BW112" s="469">
        <f t="shared" ref="BW112:CF112" si="350">AJ112*$AY112</f>
        <v>0</v>
      </c>
      <c r="BX112" s="469">
        <f t="shared" si="350"/>
        <v>0</v>
      </c>
      <c r="BY112" s="469">
        <f t="shared" si="350"/>
        <v>0</v>
      </c>
      <c r="BZ112" s="469">
        <f t="shared" si="350"/>
        <v>622.224</v>
      </c>
      <c r="CA112" s="469">
        <f t="shared" si="350"/>
        <v>622.224</v>
      </c>
      <c r="CB112" s="469">
        <f t="shared" si="350"/>
        <v>622.224</v>
      </c>
      <c r="CC112" s="469">
        <f t="shared" si="350"/>
        <v>0</v>
      </c>
      <c r="CD112" s="469">
        <f t="shared" si="350"/>
        <v>0</v>
      </c>
      <c r="CE112" s="469">
        <f t="shared" si="350"/>
        <v>0</v>
      </c>
      <c r="CF112" s="469">
        <f t="shared" si="350"/>
        <v>248.8896</v>
      </c>
      <c r="CG112" s="470">
        <f t="shared" si="346"/>
        <v>2115.5616</v>
      </c>
      <c r="CH112" s="470">
        <f t="shared" si="347"/>
        <v>4604.4576</v>
      </c>
      <c r="CI112" s="471"/>
      <c r="CJ112" s="469"/>
      <c r="CK112" s="472">
        <v>1.0</v>
      </c>
      <c r="CL112" s="104">
        <f>VLOOKUP(I112,Cotizacion!$A$2:$E$423,4,FALSE())</f>
        <v>17.88</v>
      </c>
      <c r="CM112" s="1"/>
    </row>
    <row r="113" ht="15.75" customHeight="1">
      <c r="A113" s="474" t="s">
        <v>2848</v>
      </c>
      <c r="B113" s="475">
        <v>2.0</v>
      </c>
      <c r="C113" s="476" t="s">
        <v>2707</v>
      </c>
      <c r="D113" s="477" t="s">
        <v>785</v>
      </c>
      <c r="E113" s="476" t="s">
        <v>2708</v>
      </c>
      <c r="F113" s="476" t="s">
        <v>1763</v>
      </c>
      <c r="G113" s="457" t="s">
        <v>2709</v>
      </c>
      <c r="H113" s="457" t="s">
        <v>2737</v>
      </c>
      <c r="I113" s="478" t="s">
        <v>1985</v>
      </c>
      <c r="J113" s="479" t="s">
        <v>1179</v>
      </c>
      <c r="K113" s="480" t="s">
        <v>25</v>
      </c>
      <c r="L113" s="481">
        <v>0.0</v>
      </c>
      <c r="M113" s="481">
        <v>0.0</v>
      </c>
      <c r="N113" s="481">
        <v>0.0</v>
      </c>
      <c r="O113" s="481">
        <v>0.0</v>
      </c>
      <c r="P113" s="481">
        <v>0.0</v>
      </c>
      <c r="Q113" s="481">
        <v>0.0</v>
      </c>
      <c r="R113" s="481">
        <v>0.0</v>
      </c>
      <c r="S113" s="481">
        <v>0.0</v>
      </c>
      <c r="T113" s="481">
        <v>0.0</v>
      </c>
      <c r="U113" s="520">
        <v>2.0</v>
      </c>
      <c r="V113" s="481">
        <v>0.0</v>
      </c>
      <c r="W113" s="463">
        <f t="shared" si="336"/>
        <v>2</v>
      </c>
      <c r="X113" s="481">
        <v>6.0</v>
      </c>
      <c r="Y113" s="481">
        <v>4.0</v>
      </c>
      <c r="Z113" s="481">
        <v>6.0</v>
      </c>
      <c r="AA113" s="481">
        <v>2.0</v>
      </c>
      <c r="AB113" s="481">
        <v>2.0</v>
      </c>
      <c r="AC113" s="481">
        <v>4.0</v>
      </c>
      <c r="AD113" s="481">
        <v>2.0</v>
      </c>
      <c r="AE113" s="481">
        <v>2.0</v>
      </c>
      <c r="AF113" s="481">
        <v>1.0</v>
      </c>
      <c r="AG113" s="481">
        <v>2.0</v>
      </c>
      <c r="AH113" s="481">
        <v>0.0</v>
      </c>
      <c r="AI113" s="464">
        <f t="shared" si="337"/>
        <v>31</v>
      </c>
      <c r="AJ113" s="481">
        <v>6.0</v>
      </c>
      <c r="AK113" s="481">
        <v>4.0</v>
      </c>
      <c r="AL113" s="481">
        <v>6.0</v>
      </c>
      <c r="AM113" s="481">
        <v>2.0</v>
      </c>
      <c r="AN113" s="481">
        <v>2.0</v>
      </c>
      <c r="AO113" s="481">
        <v>4.0</v>
      </c>
      <c r="AP113" s="481">
        <v>2.0</v>
      </c>
      <c r="AQ113" s="481">
        <v>2.0</v>
      </c>
      <c r="AR113" s="481">
        <v>1.0</v>
      </c>
      <c r="AS113" s="481">
        <v>2.0</v>
      </c>
      <c r="AT113" s="481">
        <v>0.0</v>
      </c>
      <c r="AU113" s="463">
        <f t="shared" si="338"/>
        <v>31</v>
      </c>
      <c r="AV113" s="483">
        <f t="shared" si="339"/>
        <v>64</v>
      </c>
      <c r="AW113" s="484"/>
      <c r="AX113" s="485">
        <v>9.15</v>
      </c>
      <c r="AY113" s="485">
        <f t="shared" si="340"/>
        <v>63.684</v>
      </c>
      <c r="AZ113" s="486"/>
      <c r="BA113" s="487">
        <f t="shared" ref="BA113:BJ113" si="351">L113*$AY113</f>
        <v>0</v>
      </c>
      <c r="BB113" s="487">
        <f t="shared" si="351"/>
        <v>0</v>
      </c>
      <c r="BC113" s="487">
        <f t="shared" si="351"/>
        <v>0</v>
      </c>
      <c r="BD113" s="487">
        <f t="shared" si="351"/>
        <v>0</v>
      </c>
      <c r="BE113" s="487">
        <f t="shared" si="351"/>
        <v>0</v>
      </c>
      <c r="BF113" s="487">
        <f t="shared" si="351"/>
        <v>0</v>
      </c>
      <c r="BG113" s="487">
        <f t="shared" si="351"/>
        <v>0</v>
      </c>
      <c r="BH113" s="487">
        <f t="shared" si="351"/>
        <v>0</v>
      </c>
      <c r="BI113" s="487">
        <f t="shared" si="351"/>
        <v>0</v>
      </c>
      <c r="BJ113" s="487">
        <f t="shared" si="351"/>
        <v>127.368</v>
      </c>
      <c r="BK113" s="488">
        <f t="shared" si="342"/>
        <v>127.368</v>
      </c>
      <c r="BL113" s="487">
        <f t="shared" ref="BL113:BU113" si="352">X113*$AY113</f>
        <v>382.104</v>
      </c>
      <c r="BM113" s="487">
        <f t="shared" si="352"/>
        <v>254.736</v>
      </c>
      <c r="BN113" s="487">
        <f t="shared" si="352"/>
        <v>382.104</v>
      </c>
      <c r="BO113" s="487">
        <f t="shared" si="352"/>
        <v>127.368</v>
      </c>
      <c r="BP113" s="487">
        <f t="shared" si="352"/>
        <v>127.368</v>
      </c>
      <c r="BQ113" s="487">
        <f t="shared" si="352"/>
        <v>254.736</v>
      </c>
      <c r="BR113" s="487">
        <f t="shared" si="352"/>
        <v>127.368</v>
      </c>
      <c r="BS113" s="487">
        <f t="shared" si="352"/>
        <v>127.368</v>
      </c>
      <c r="BT113" s="487">
        <f t="shared" si="352"/>
        <v>63.684</v>
      </c>
      <c r="BU113" s="487">
        <f t="shared" si="352"/>
        <v>127.368</v>
      </c>
      <c r="BV113" s="488">
        <f t="shared" si="344"/>
        <v>1974.204</v>
      </c>
      <c r="BW113" s="487">
        <f t="shared" ref="BW113:CF113" si="353">AJ113*$AY113</f>
        <v>382.104</v>
      </c>
      <c r="BX113" s="487">
        <f t="shared" si="353"/>
        <v>254.736</v>
      </c>
      <c r="BY113" s="487">
        <f t="shared" si="353"/>
        <v>382.104</v>
      </c>
      <c r="BZ113" s="487">
        <f t="shared" si="353"/>
        <v>127.368</v>
      </c>
      <c r="CA113" s="487">
        <f t="shared" si="353"/>
        <v>127.368</v>
      </c>
      <c r="CB113" s="487">
        <f t="shared" si="353"/>
        <v>254.736</v>
      </c>
      <c r="CC113" s="487">
        <f t="shared" si="353"/>
        <v>127.368</v>
      </c>
      <c r="CD113" s="487">
        <f t="shared" si="353"/>
        <v>127.368</v>
      </c>
      <c r="CE113" s="487">
        <f t="shared" si="353"/>
        <v>63.684</v>
      </c>
      <c r="CF113" s="487">
        <f t="shared" si="353"/>
        <v>127.368</v>
      </c>
      <c r="CG113" s="488">
        <f t="shared" si="346"/>
        <v>1974.204</v>
      </c>
      <c r="CH113" s="488">
        <f t="shared" si="347"/>
        <v>4075.776</v>
      </c>
      <c r="CI113" s="489"/>
      <c r="CJ113" s="487"/>
      <c r="CK113" s="472">
        <v>1.0</v>
      </c>
      <c r="CL113" s="104">
        <f>VLOOKUP(I113,Cotizacion!$A$2:$E$423,4,FALSE())</f>
        <v>9.15</v>
      </c>
      <c r="CM113" s="1"/>
    </row>
    <row r="114" ht="15.75" customHeight="1">
      <c r="A114" s="453" t="s">
        <v>2848</v>
      </c>
      <c r="B114" s="454">
        <v>2.0</v>
      </c>
      <c r="C114" s="456" t="s">
        <v>2852</v>
      </c>
      <c r="D114" s="456" t="s">
        <v>52</v>
      </c>
      <c r="E114" s="456" t="s">
        <v>2708</v>
      </c>
      <c r="F114" s="456" t="s">
        <v>1763</v>
      </c>
      <c r="G114" s="457" t="s">
        <v>2709</v>
      </c>
      <c r="H114" s="457" t="s">
        <v>2925</v>
      </c>
      <c r="I114" s="514" t="s">
        <v>1897</v>
      </c>
      <c r="J114" s="459" t="s">
        <v>1283</v>
      </c>
      <c r="K114" s="515" t="s">
        <v>25</v>
      </c>
      <c r="L114" s="461">
        <v>14.0</v>
      </c>
      <c r="M114" s="461">
        <v>9.0</v>
      </c>
      <c r="N114" s="461">
        <v>14.0</v>
      </c>
      <c r="O114" s="461">
        <v>18.0</v>
      </c>
      <c r="P114" s="461">
        <v>152.0</v>
      </c>
      <c r="Q114" s="461">
        <v>252.0</v>
      </c>
      <c r="R114" s="461">
        <v>5.0</v>
      </c>
      <c r="S114" s="461">
        <v>5.0</v>
      </c>
      <c r="T114" s="461">
        <v>1.0</v>
      </c>
      <c r="U114" s="490">
        <v>0.0</v>
      </c>
      <c r="V114" s="461">
        <v>0.0</v>
      </c>
      <c r="W114" s="463">
        <f t="shared" si="336"/>
        <v>470</v>
      </c>
      <c r="X114" s="461">
        <v>15.0</v>
      </c>
      <c r="Y114" s="461">
        <v>10.0</v>
      </c>
      <c r="Z114" s="461">
        <v>15.0</v>
      </c>
      <c r="AA114" s="461">
        <v>20.0</v>
      </c>
      <c r="AB114" s="461">
        <v>168.0</v>
      </c>
      <c r="AC114" s="461">
        <v>278.0</v>
      </c>
      <c r="AD114" s="461">
        <v>6.0</v>
      </c>
      <c r="AE114" s="461">
        <v>6.0</v>
      </c>
      <c r="AF114" s="461">
        <v>1.0</v>
      </c>
      <c r="AG114" s="490">
        <v>0.0</v>
      </c>
      <c r="AH114" s="461">
        <v>0.0</v>
      </c>
      <c r="AI114" s="464">
        <f t="shared" si="337"/>
        <v>519</v>
      </c>
      <c r="AJ114" s="461">
        <v>15.0</v>
      </c>
      <c r="AK114" s="461">
        <v>10.0</v>
      </c>
      <c r="AL114" s="461">
        <v>15.0</v>
      </c>
      <c r="AM114" s="461">
        <v>20.0</v>
      </c>
      <c r="AN114" s="461">
        <v>168.0</v>
      </c>
      <c r="AO114" s="461">
        <v>278.0</v>
      </c>
      <c r="AP114" s="461">
        <v>6.0</v>
      </c>
      <c r="AQ114" s="461">
        <v>6.0</v>
      </c>
      <c r="AR114" s="461">
        <v>1.0</v>
      </c>
      <c r="AS114" s="490">
        <v>0.0</v>
      </c>
      <c r="AT114" s="461">
        <v>0.0</v>
      </c>
      <c r="AU114" s="463">
        <f t="shared" si="338"/>
        <v>519</v>
      </c>
      <c r="AV114" s="465">
        <f t="shared" si="339"/>
        <v>1508</v>
      </c>
      <c r="AW114" s="466"/>
      <c r="AX114" s="516">
        <v>0.31</v>
      </c>
      <c r="AY114" s="467">
        <f t="shared" si="340"/>
        <v>2.1576</v>
      </c>
      <c r="AZ114" s="538"/>
      <c r="BA114" s="469">
        <f t="shared" ref="BA114:BJ114" si="354">L114*$AY114</f>
        <v>30.2064</v>
      </c>
      <c r="BB114" s="469">
        <f t="shared" si="354"/>
        <v>19.4184</v>
      </c>
      <c r="BC114" s="469">
        <f t="shared" si="354"/>
        <v>30.2064</v>
      </c>
      <c r="BD114" s="469">
        <f t="shared" si="354"/>
        <v>38.8368</v>
      </c>
      <c r="BE114" s="469">
        <f t="shared" si="354"/>
        <v>327.9552</v>
      </c>
      <c r="BF114" s="469">
        <f t="shared" si="354"/>
        <v>543.7152</v>
      </c>
      <c r="BG114" s="469">
        <f t="shared" si="354"/>
        <v>10.788</v>
      </c>
      <c r="BH114" s="469">
        <f t="shared" si="354"/>
        <v>10.788</v>
      </c>
      <c r="BI114" s="469">
        <f t="shared" si="354"/>
        <v>2.1576</v>
      </c>
      <c r="BJ114" s="469">
        <f t="shared" si="354"/>
        <v>0</v>
      </c>
      <c r="BK114" s="470">
        <f t="shared" si="342"/>
        <v>1014.072</v>
      </c>
      <c r="BL114" s="469">
        <f t="shared" ref="BL114:BU114" si="355">X114*$AY114</f>
        <v>32.364</v>
      </c>
      <c r="BM114" s="469">
        <f t="shared" si="355"/>
        <v>21.576</v>
      </c>
      <c r="BN114" s="469">
        <f t="shared" si="355"/>
        <v>32.364</v>
      </c>
      <c r="BO114" s="469">
        <f t="shared" si="355"/>
        <v>43.152</v>
      </c>
      <c r="BP114" s="469">
        <f t="shared" si="355"/>
        <v>362.4768</v>
      </c>
      <c r="BQ114" s="469">
        <f t="shared" si="355"/>
        <v>599.8128</v>
      </c>
      <c r="BR114" s="469">
        <f t="shared" si="355"/>
        <v>12.9456</v>
      </c>
      <c r="BS114" s="469">
        <f t="shared" si="355"/>
        <v>12.9456</v>
      </c>
      <c r="BT114" s="469">
        <f t="shared" si="355"/>
        <v>2.1576</v>
      </c>
      <c r="BU114" s="469">
        <f t="shared" si="355"/>
        <v>0</v>
      </c>
      <c r="BV114" s="470">
        <f t="shared" si="344"/>
        <v>1119.7944</v>
      </c>
      <c r="BW114" s="469">
        <f t="shared" ref="BW114:CF114" si="356">AJ114*$AY114</f>
        <v>32.364</v>
      </c>
      <c r="BX114" s="469">
        <f t="shared" si="356"/>
        <v>21.576</v>
      </c>
      <c r="BY114" s="469">
        <f t="shared" si="356"/>
        <v>32.364</v>
      </c>
      <c r="BZ114" s="469">
        <f t="shared" si="356"/>
        <v>43.152</v>
      </c>
      <c r="CA114" s="469">
        <f t="shared" si="356"/>
        <v>362.4768</v>
      </c>
      <c r="CB114" s="469">
        <f t="shared" si="356"/>
        <v>599.8128</v>
      </c>
      <c r="CC114" s="469">
        <f t="shared" si="356"/>
        <v>12.9456</v>
      </c>
      <c r="CD114" s="469">
        <f t="shared" si="356"/>
        <v>12.9456</v>
      </c>
      <c r="CE114" s="469">
        <f t="shared" si="356"/>
        <v>2.1576</v>
      </c>
      <c r="CF114" s="469">
        <f t="shared" si="356"/>
        <v>0</v>
      </c>
      <c r="CG114" s="470">
        <f t="shared" si="346"/>
        <v>1119.7944</v>
      </c>
      <c r="CH114" s="470">
        <f t="shared" si="347"/>
        <v>3253.6608</v>
      </c>
      <c r="CI114" s="471"/>
      <c r="CJ114" s="518"/>
      <c r="CK114" s="472">
        <v>1.0</v>
      </c>
      <c r="CL114" s="104">
        <f>VLOOKUP(I114,Cotizacion!$A$2:$E$423,4,FALSE())</f>
        <v>0.31</v>
      </c>
      <c r="CM114" s="1"/>
    </row>
    <row r="115" ht="15.75" customHeight="1">
      <c r="A115" s="474" t="s">
        <v>2848</v>
      </c>
      <c r="B115" s="475">
        <v>2.0</v>
      </c>
      <c r="C115" s="477" t="s">
        <v>2852</v>
      </c>
      <c r="D115" s="477" t="s">
        <v>52</v>
      </c>
      <c r="E115" s="477" t="s">
        <v>2708</v>
      </c>
      <c r="F115" s="477" t="s">
        <v>1763</v>
      </c>
      <c r="G115" s="457" t="s">
        <v>2709</v>
      </c>
      <c r="H115" s="457" t="s">
        <v>2926</v>
      </c>
      <c r="I115" s="501" t="s">
        <v>2132</v>
      </c>
      <c r="J115" s="479" t="s">
        <v>1321</v>
      </c>
      <c r="K115" s="502" t="s">
        <v>25</v>
      </c>
      <c r="L115" s="481">
        <v>5.0</v>
      </c>
      <c r="M115" s="481">
        <v>5.0</v>
      </c>
      <c r="N115" s="481">
        <v>5.0</v>
      </c>
      <c r="O115" s="481">
        <v>4.0</v>
      </c>
      <c r="P115" s="481">
        <v>4.0</v>
      </c>
      <c r="Q115" s="481">
        <v>6.0</v>
      </c>
      <c r="R115" s="481">
        <v>4.0</v>
      </c>
      <c r="S115" s="481">
        <v>4.0</v>
      </c>
      <c r="T115" s="481">
        <v>2.0</v>
      </c>
      <c r="U115" s="481">
        <v>5.0</v>
      </c>
      <c r="V115" s="481">
        <v>0.0</v>
      </c>
      <c r="W115" s="463">
        <f t="shared" si="336"/>
        <v>44</v>
      </c>
      <c r="X115" s="481">
        <v>5.0</v>
      </c>
      <c r="Y115" s="481">
        <v>5.0</v>
      </c>
      <c r="Z115" s="481">
        <v>5.0</v>
      </c>
      <c r="AA115" s="481">
        <v>4.0</v>
      </c>
      <c r="AB115" s="481">
        <v>4.0</v>
      </c>
      <c r="AC115" s="481">
        <v>6.0</v>
      </c>
      <c r="AD115" s="481">
        <v>4.0</v>
      </c>
      <c r="AE115" s="481">
        <v>4.0</v>
      </c>
      <c r="AF115" s="481">
        <v>2.0</v>
      </c>
      <c r="AG115" s="481">
        <v>5.0</v>
      </c>
      <c r="AH115" s="481">
        <v>0.0</v>
      </c>
      <c r="AI115" s="464">
        <f t="shared" si="337"/>
        <v>44</v>
      </c>
      <c r="AJ115" s="481">
        <v>5.0</v>
      </c>
      <c r="AK115" s="481">
        <v>5.0</v>
      </c>
      <c r="AL115" s="481">
        <v>5.0</v>
      </c>
      <c r="AM115" s="481">
        <v>4.0</v>
      </c>
      <c r="AN115" s="481">
        <v>4.0</v>
      </c>
      <c r="AO115" s="481">
        <v>6.0</v>
      </c>
      <c r="AP115" s="481">
        <v>4.0</v>
      </c>
      <c r="AQ115" s="481">
        <v>4.0</v>
      </c>
      <c r="AR115" s="481">
        <v>2.0</v>
      </c>
      <c r="AS115" s="481">
        <v>5.0</v>
      </c>
      <c r="AT115" s="481">
        <v>0.0</v>
      </c>
      <c r="AU115" s="463">
        <f t="shared" si="338"/>
        <v>44</v>
      </c>
      <c r="AV115" s="483">
        <f t="shared" si="339"/>
        <v>132</v>
      </c>
      <c r="AW115" s="484"/>
      <c r="AX115" s="503">
        <v>3.04</v>
      </c>
      <c r="AY115" s="485">
        <f t="shared" si="340"/>
        <v>21.1584</v>
      </c>
      <c r="AZ115" s="504"/>
      <c r="BA115" s="487">
        <f t="shared" ref="BA115:BJ115" si="357">L115*$AY115</f>
        <v>105.792</v>
      </c>
      <c r="BB115" s="487">
        <f t="shared" si="357"/>
        <v>105.792</v>
      </c>
      <c r="BC115" s="487">
        <f t="shared" si="357"/>
        <v>105.792</v>
      </c>
      <c r="BD115" s="487">
        <f t="shared" si="357"/>
        <v>84.6336</v>
      </c>
      <c r="BE115" s="487">
        <f t="shared" si="357"/>
        <v>84.6336</v>
      </c>
      <c r="BF115" s="487">
        <f t="shared" si="357"/>
        <v>126.9504</v>
      </c>
      <c r="BG115" s="487">
        <f t="shared" si="357"/>
        <v>84.6336</v>
      </c>
      <c r="BH115" s="487">
        <f t="shared" si="357"/>
        <v>84.6336</v>
      </c>
      <c r="BI115" s="487">
        <f t="shared" si="357"/>
        <v>42.3168</v>
      </c>
      <c r="BJ115" s="487">
        <f t="shared" si="357"/>
        <v>105.792</v>
      </c>
      <c r="BK115" s="488">
        <f t="shared" si="342"/>
        <v>930.9696</v>
      </c>
      <c r="BL115" s="487">
        <f t="shared" ref="BL115:BU115" si="358">X115*$AY115</f>
        <v>105.792</v>
      </c>
      <c r="BM115" s="487">
        <f t="shared" si="358"/>
        <v>105.792</v>
      </c>
      <c r="BN115" s="487">
        <f t="shared" si="358"/>
        <v>105.792</v>
      </c>
      <c r="BO115" s="487">
        <f t="shared" si="358"/>
        <v>84.6336</v>
      </c>
      <c r="BP115" s="487">
        <f t="shared" si="358"/>
        <v>84.6336</v>
      </c>
      <c r="BQ115" s="487">
        <f t="shared" si="358"/>
        <v>126.9504</v>
      </c>
      <c r="BR115" s="487">
        <f t="shared" si="358"/>
        <v>84.6336</v>
      </c>
      <c r="BS115" s="487">
        <f t="shared" si="358"/>
        <v>84.6336</v>
      </c>
      <c r="BT115" s="487">
        <f t="shared" si="358"/>
        <v>42.3168</v>
      </c>
      <c r="BU115" s="487">
        <f t="shared" si="358"/>
        <v>105.792</v>
      </c>
      <c r="BV115" s="488">
        <f t="shared" si="344"/>
        <v>930.9696</v>
      </c>
      <c r="BW115" s="487">
        <f t="shared" ref="BW115:CF115" si="359">AJ115*$AY115</f>
        <v>105.792</v>
      </c>
      <c r="BX115" s="487">
        <f t="shared" si="359"/>
        <v>105.792</v>
      </c>
      <c r="BY115" s="487">
        <f t="shared" si="359"/>
        <v>105.792</v>
      </c>
      <c r="BZ115" s="487">
        <f t="shared" si="359"/>
        <v>84.6336</v>
      </c>
      <c r="CA115" s="487">
        <f t="shared" si="359"/>
        <v>84.6336</v>
      </c>
      <c r="CB115" s="487">
        <f t="shared" si="359"/>
        <v>126.9504</v>
      </c>
      <c r="CC115" s="487">
        <f t="shared" si="359"/>
        <v>84.6336</v>
      </c>
      <c r="CD115" s="487">
        <f t="shared" si="359"/>
        <v>84.6336</v>
      </c>
      <c r="CE115" s="487">
        <f t="shared" si="359"/>
        <v>42.3168</v>
      </c>
      <c r="CF115" s="487">
        <f t="shared" si="359"/>
        <v>105.792</v>
      </c>
      <c r="CG115" s="488">
        <f t="shared" si="346"/>
        <v>930.9696</v>
      </c>
      <c r="CH115" s="488">
        <f t="shared" si="347"/>
        <v>2792.9088</v>
      </c>
      <c r="CI115" s="489"/>
      <c r="CJ115" s="505"/>
      <c r="CK115" s="472">
        <v>1.0</v>
      </c>
      <c r="CL115" s="104">
        <f>VLOOKUP(I115,Cotizacion!$A$2:$E$423,4,FALSE())</f>
        <v>3.04</v>
      </c>
      <c r="CM115" s="1"/>
    </row>
    <row r="116" ht="15.75" customHeight="1">
      <c r="A116" s="453" t="s">
        <v>2848</v>
      </c>
      <c r="B116" s="454">
        <v>2.0</v>
      </c>
      <c r="C116" s="455" t="s">
        <v>2707</v>
      </c>
      <c r="D116" s="456" t="s">
        <v>150</v>
      </c>
      <c r="E116" s="455" t="s">
        <v>2722</v>
      </c>
      <c r="F116" s="455" t="s">
        <v>1763</v>
      </c>
      <c r="G116" s="457" t="s">
        <v>2723</v>
      </c>
      <c r="H116" s="457" t="s">
        <v>2927</v>
      </c>
      <c r="I116" s="458" t="s">
        <v>2412</v>
      </c>
      <c r="J116" s="459" t="s">
        <v>1422</v>
      </c>
      <c r="K116" s="460" t="s">
        <v>25</v>
      </c>
      <c r="L116" s="461">
        <v>0.0</v>
      </c>
      <c r="M116" s="461">
        <v>0.0</v>
      </c>
      <c r="N116" s="461">
        <v>0.0</v>
      </c>
      <c r="O116" s="461">
        <v>0.0</v>
      </c>
      <c r="P116" s="461">
        <v>0.0</v>
      </c>
      <c r="Q116" s="461">
        <v>0.0</v>
      </c>
      <c r="R116" s="461">
        <v>0.0</v>
      </c>
      <c r="S116" s="461">
        <v>1.0</v>
      </c>
      <c r="T116" s="461">
        <v>0.0</v>
      </c>
      <c r="U116" s="490">
        <v>1.0</v>
      </c>
      <c r="V116" s="461">
        <v>0.0</v>
      </c>
      <c r="W116" s="463">
        <f t="shared" si="336"/>
        <v>2</v>
      </c>
      <c r="X116" s="461">
        <v>0.0</v>
      </c>
      <c r="Y116" s="461">
        <v>0.0</v>
      </c>
      <c r="Z116" s="461">
        <v>0.0</v>
      </c>
      <c r="AA116" s="461">
        <v>0.0</v>
      </c>
      <c r="AB116" s="461">
        <v>0.0</v>
      </c>
      <c r="AC116" s="461">
        <v>0.0</v>
      </c>
      <c r="AD116" s="461">
        <v>0.0</v>
      </c>
      <c r="AE116" s="461">
        <v>1.0</v>
      </c>
      <c r="AF116" s="461">
        <v>0.0</v>
      </c>
      <c r="AG116" s="490">
        <v>1.0</v>
      </c>
      <c r="AH116" s="461">
        <v>0.0</v>
      </c>
      <c r="AI116" s="464">
        <f t="shared" si="337"/>
        <v>2</v>
      </c>
      <c r="AJ116" s="461">
        <v>0.0</v>
      </c>
      <c r="AK116" s="461">
        <v>0.0</v>
      </c>
      <c r="AL116" s="461">
        <v>0.0</v>
      </c>
      <c r="AM116" s="461">
        <v>0.0</v>
      </c>
      <c r="AN116" s="461">
        <v>0.0</v>
      </c>
      <c r="AO116" s="461">
        <v>0.0</v>
      </c>
      <c r="AP116" s="461">
        <v>0.0</v>
      </c>
      <c r="AQ116" s="461">
        <v>1.0</v>
      </c>
      <c r="AR116" s="461">
        <v>0.0</v>
      </c>
      <c r="AS116" s="490">
        <v>1.0</v>
      </c>
      <c r="AT116" s="461">
        <v>0.0</v>
      </c>
      <c r="AU116" s="463">
        <f t="shared" si="338"/>
        <v>2</v>
      </c>
      <c r="AV116" s="465">
        <f t="shared" si="339"/>
        <v>6</v>
      </c>
      <c r="AW116" s="466"/>
      <c r="AX116" s="467">
        <v>66.72</v>
      </c>
      <c r="AY116" s="467">
        <f t="shared" si="340"/>
        <v>464.3712</v>
      </c>
      <c r="AZ116" s="468"/>
      <c r="BA116" s="469">
        <f t="shared" ref="BA116:BJ116" si="360">L116*$AY116</f>
        <v>0</v>
      </c>
      <c r="BB116" s="469">
        <f t="shared" si="360"/>
        <v>0</v>
      </c>
      <c r="BC116" s="469">
        <f t="shared" si="360"/>
        <v>0</v>
      </c>
      <c r="BD116" s="469">
        <f t="shared" si="360"/>
        <v>0</v>
      </c>
      <c r="BE116" s="469">
        <f t="shared" si="360"/>
        <v>0</v>
      </c>
      <c r="BF116" s="469">
        <f t="shared" si="360"/>
        <v>0</v>
      </c>
      <c r="BG116" s="469">
        <f t="shared" si="360"/>
        <v>0</v>
      </c>
      <c r="BH116" s="469">
        <f t="shared" si="360"/>
        <v>464.3712</v>
      </c>
      <c r="BI116" s="469">
        <f t="shared" si="360"/>
        <v>0</v>
      </c>
      <c r="BJ116" s="469">
        <f t="shared" si="360"/>
        <v>464.3712</v>
      </c>
      <c r="BK116" s="470">
        <f t="shared" si="342"/>
        <v>928.7424</v>
      </c>
      <c r="BL116" s="469">
        <f t="shared" ref="BL116:BU116" si="361">X116*$AY116</f>
        <v>0</v>
      </c>
      <c r="BM116" s="469">
        <f t="shared" si="361"/>
        <v>0</v>
      </c>
      <c r="BN116" s="469">
        <f t="shared" si="361"/>
        <v>0</v>
      </c>
      <c r="BO116" s="469">
        <f t="shared" si="361"/>
        <v>0</v>
      </c>
      <c r="BP116" s="469">
        <f t="shared" si="361"/>
        <v>0</v>
      </c>
      <c r="BQ116" s="469">
        <f t="shared" si="361"/>
        <v>0</v>
      </c>
      <c r="BR116" s="469">
        <f t="shared" si="361"/>
        <v>0</v>
      </c>
      <c r="BS116" s="469">
        <f t="shared" si="361"/>
        <v>464.3712</v>
      </c>
      <c r="BT116" s="469">
        <f t="shared" si="361"/>
        <v>0</v>
      </c>
      <c r="BU116" s="469">
        <f t="shared" si="361"/>
        <v>464.3712</v>
      </c>
      <c r="BV116" s="470">
        <f t="shared" si="344"/>
        <v>928.7424</v>
      </c>
      <c r="BW116" s="469">
        <f t="shared" ref="BW116:CF116" si="362">AJ116*$AY116</f>
        <v>0</v>
      </c>
      <c r="BX116" s="469">
        <f t="shared" si="362"/>
        <v>0</v>
      </c>
      <c r="BY116" s="469">
        <f t="shared" si="362"/>
        <v>0</v>
      </c>
      <c r="BZ116" s="469">
        <f t="shared" si="362"/>
        <v>0</v>
      </c>
      <c r="CA116" s="469">
        <f t="shared" si="362"/>
        <v>0</v>
      </c>
      <c r="CB116" s="469">
        <f t="shared" si="362"/>
        <v>0</v>
      </c>
      <c r="CC116" s="469">
        <f t="shared" si="362"/>
        <v>0</v>
      </c>
      <c r="CD116" s="469">
        <f t="shared" si="362"/>
        <v>464.3712</v>
      </c>
      <c r="CE116" s="469">
        <f t="shared" si="362"/>
        <v>0</v>
      </c>
      <c r="CF116" s="469">
        <f t="shared" si="362"/>
        <v>464.3712</v>
      </c>
      <c r="CG116" s="470">
        <f t="shared" si="346"/>
        <v>928.7424</v>
      </c>
      <c r="CH116" s="470">
        <f t="shared" si="347"/>
        <v>2786.2272</v>
      </c>
      <c r="CI116" s="471"/>
      <c r="CJ116" s="469"/>
      <c r="CK116" s="472">
        <v>1.0</v>
      </c>
      <c r="CL116" s="104">
        <f>VLOOKUP(I116,Cotizacion!$A$2:$E$423,4,FALSE())</f>
        <v>66.72</v>
      </c>
      <c r="CM116" s="1"/>
    </row>
    <row r="117" ht="15.75" customHeight="1">
      <c r="A117" s="474" t="s">
        <v>2848</v>
      </c>
      <c r="B117" s="475">
        <v>2.0</v>
      </c>
      <c r="C117" s="477" t="s">
        <v>2852</v>
      </c>
      <c r="D117" s="477" t="s">
        <v>52</v>
      </c>
      <c r="E117" s="477" t="s">
        <v>2708</v>
      </c>
      <c r="F117" s="477" t="s">
        <v>1763</v>
      </c>
      <c r="G117" s="457" t="s">
        <v>2709</v>
      </c>
      <c r="H117" s="457" t="s">
        <v>2928</v>
      </c>
      <c r="I117" s="501" t="s">
        <v>2034</v>
      </c>
      <c r="J117" s="479" t="s">
        <v>1329</v>
      </c>
      <c r="K117" s="502" t="s">
        <v>25</v>
      </c>
      <c r="L117" s="481">
        <v>0.0</v>
      </c>
      <c r="M117" s="481">
        <v>0.0</v>
      </c>
      <c r="N117" s="481">
        <v>0.0</v>
      </c>
      <c r="O117" s="481">
        <v>0.0</v>
      </c>
      <c r="P117" s="481">
        <v>0.0</v>
      </c>
      <c r="Q117" s="481">
        <v>0.0</v>
      </c>
      <c r="R117" s="481">
        <v>0.0</v>
      </c>
      <c r="S117" s="481">
        <v>0.0</v>
      </c>
      <c r="T117" s="481">
        <v>0.0</v>
      </c>
      <c r="U117" s="481">
        <v>0.0</v>
      </c>
      <c r="V117" s="481">
        <v>0.0</v>
      </c>
      <c r="W117" s="463">
        <f t="shared" si="336"/>
        <v>0</v>
      </c>
      <c r="X117" s="481">
        <v>2.0</v>
      </c>
      <c r="Y117" s="481">
        <v>2.0</v>
      </c>
      <c r="Z117" s="481">
        <v>2.0</v>
      </c>
      <c r="AA117" s="481">
        <v>2.0</v>
      </c>
      <c r="AB117" s="481">
        <v>2.0</v>
      </c>
      <c r="AC117" s="481">
        <v>4.0</v>
      </c>
      <c r="AD117" s="481">
        <v>1.0</v>
      </c>
      <c r="AE117" s="481">
        <v>1.0</v>
      </c>
      <c r="AF117" s="481">
        <v>1.0</v>
      </c>
      <c r="AG117" s="492">
        <v>0.0</v>
      </c>
      <c r="AH117" s="481">
        <v>0.0</v>
      </c>
      <c r="AI117" s="464">
        <f t="shared" si="337"/>
        <v>17</v>
      </c>
      <c r="AJ117" s="481">
        <v>2.0</v>
      </c>
      <c r="AK117" s="481">
        <v>2.0</v>
      </c>
      <c r="AL117" s="481">
        <v>2.0</v>
      </c>
      <c r="AM117" s="481">
        <v>2.0</v>
      </c>
      <c r="AN117" s="481">
        <v>2.0</v>
      </c>
      <c r="AO117" s="481">
        <v>4.0</v>
      </c>
      <c r="AP117" s="481">
        <v>1.0</v>
      </c>
      <c r="AQ117" s="481">
        <v>1.0</v>
      </c>
      <c r="AR117" s="481">
        <v>1.0</v>
      </c>
      <c r="AS117" s="492">
        <v>0.0</v>
      </c>
      <c r="AT117" s="481">
        <v>0.0</v>
      </c>
      <c r="AU117" s="463">
        <f t="shared" si="338"/>
        <v>17</v>
      </c>
      <c r="AV117" s="483">
        <f t="shared" si="339"/>
        <v>34</v>
      </c>
      <c r="AW117" s="484"/>
      <c r="AX117" s="503">
        <v>10.96</v>
      </c>
      <c r="AY117" s="485">
        <f t="shared" si="340"/>
        <v>76.2816</v>
      </c>
      <c r="AZ117" s="504"/>
      <c r="BA117" s="487">
        <f t="shared" ref="BA117:BJ117" si="363">L117*$AY117</f>
        <v>0</v>
      </c>
      <c r="BB117" s="487">
        <f t="shared" si="363"/>
        <v>0</v>
      </c>
      <c r="BC117" s="487">
        <f t="shared" si="363"/>
        <v>0</v>
      </c>
      <c r="BD117" s="487">
        <f t="shared" si="363"/>
        <v>0</v>
      </c>
      <c r="BE117" s="487">
        <f t="shared" si="363"/>
        <v>0</v>
      </c>
      <c r="BF117" s="487">
        <f t="shared" si="363"/>
        <v>0</v>
      </c>
      <c r="BG117" s="487">
        <f t="shared" si="363"/>
        <v>0</v>
      </c>
      <c r="BH117" s="487">
        <f t="shared" si="363"/>
        <v>0</v>
      </c>
      <c r="BI117" s="487">
        <f t="shared" si="363"/>
        <v>0</v>
      </c>
      <c r="BJ117" s="487">
        <f t="shared" si="363"/>
        <v>0</v>
      </c>
      <c r="BK117" s="488">
        <f t="shared" si="342"/>
        <v>0</v>
      </c>
      <c r="BL117" s="487">
        <f t="shared" ref="BL117:BU117" si="364">X117*$AY117</f>
        <v>152.5632</v>
      </c>
      <c r="BM117" s="487">
        <f t="shared" si="364"/>
        <v>152.5632</v>
      </c>
      <c r="BN117" s="487">
        <f t="shared" si="364"/>
        <v>152.5632</v>
      </c>
      <c r="BO117" s="487">
        <f t="shared" si="364"/>
        <v>152.5632</v>
      </c>
      <c r="BP117" s="487">
        <f t="shared" si="364"/>
        <v>152.5632</v>
      </c>
      <c r="BQ117" s="487">
        <f t="shared" si="364"/>
        <v>305.1264</v>
      </c>
      <c r="BR117" s="487">
        <f t="shared" si="364"/>
        <v>76.2816</v>
      </c>
      <c r="BS117" s="487">
        <f t="shared" si="364"/>
        <v>76.2816</v>
      </c>
      <c r="BT117" s="487">
        <f t="shared" si="364"/>
        <v>76.2816</v>
      </c>
      <c r="BU117" s="487">
        <f t="shared" si="364"/>
        <v>0</v>
      </c>
      <c r="BV117" s="488">
        <f t="shared" si="344"/>
        <v>1296.7872</v>
      </c>
      <c r="BW117" s="487">
        <f t="shared" ref="BW117:CF117" si="365">AJ117*$AY117</f>
        <v>152.5632</v>
      </c>
      <c r="BX117" s="487">
        <f t="shared" si="365"/>
        <v>152.5632</v>
      </c>
      <c r="BY117" s="487">
        <f t="shared" si="365"/>
        <v>152.5632</v>
      </c>
      <c r="BZ117" s="487">
        <f t="shared" si="365"/>
        <v>152.5632</v>
      </c>
      <c r="CA117" s="487">
        <f t="shared" si="365"/>
        <v>152.5632</v>
      </c>
      <c r="CB117" s="487">
        <f t="shared" si="365"/>
        <v>305.1264</v>
      </c>
      <c r="CC117" s="487">
        <f t="shared" si="365"/>
        <v>76.2816</v>
      </c>
      <c r="CD117" s="487">
        <f t="shared" si="365"/>
        <v>76.2816</v>
      </c>
      <c r="CE117" s="487">
        <f t="shared" si="365"/>
        <v>76.2816</v>
      </c>
      <c r="CF117" s="487">
        <f t="shared" si="365"/>
        <v>0</v>
      </c>
      <c r="CG117" s="488">
        <f t="shared" si="346"/>
        <v>1296.7872</v>
      </c>
      <c r="CH117" s="488">
        <f t="shared" si="347"/>
        <v>2593.5744</v>
      </c>
      <c r="CI117" s="489"/>
      <c r="CJ117" s="505"/>
      <c r="CK117" s="472">
        <v>1.0</v>
      </c>
      <c r="CL117" s="104">
        <f>VLOOKUP(I117,Cotizacion!$A$2:$E$423,4,FALSE())</f>
        <v>10.96</v>
      </c>
      <c r="CM117" s="1"/>
    </row>
    <row r="118" ht="15.75" customHeight="1">
      <c r="A118" s="453" t="s">
        <v>2848</v>
      </c>
      <c r="B118" s="454">
        <v>2.0</v>
      </c>
      <c r="C118" s="456" t="s">
        <v>2852</v>
      </c>
      <c r="D118" s="456" t="s">
        <v>52</v>
      </c>
      <c r="E118" s="456" t="s">
        <v>2708</v>
      </c>
      <c r="F118" s="456" t="s">
        <v>1763</v>
      </c>
      <c r="G118" s="457" t="s">
        <v>2709</v>
      </c>
      <c r="H118" s="457" t="s">
        <v>2929</v>
      </c>
      <c r="I118" s="514" t="s">
        <v>2288</v>
      </c>
      <c r="J118" s="459" t="s">
        <v>1343</v>
      </c>
      <c r="K118" s="515" t="s">
        <v>25</v>
      </c>
      <c r="L118" s="461">
        <v>0.0</v>
      </c>
      <c r="M118" s="461">
        <v>0.0</v>
      </c>
      <c r="N118" s="461">
        <v>0.0</v>
      </c>
      <c r="O118" s="461">
        <v>0.0</v>
      </c>
      <c r="P118" s="461">
        <v>0.0</v>
      </c>
      <c r="Q118" s="461">
        <v>0.0</v>
      </c>
      <c r="R118" s="461">
        <v>0.0</v>
      </c>
      <c r="S118" s="461">
        <v>0.0</v>
      </c>
      <c r="T118" s="461">
        <v>0.0</v>
      </c>
      <c r="U118" s="461">
        <v>0.0</v>
      </c>
      <c r="V118" s="461">
        <v>0.0</v>
      </c>
      <c r="W118" s="463">
        <f t="shared" si="336"/>
        <v>0</v>
      </c>
      <c r="X118" s="461">
        <v>1.0</v>
      </c>
      <c r="Y118" s="461">
        <v>0.0</v>
      </c>
      <c r="Z118" s="461">
        <v>0.0</v>
      </c>
      <c r="AA118" s="461">
        <v>0.0</v>
      </c>
      <c r="AB118" s="461">
        <v>0.0</v>
      </c>
      <c r="AC118" s="461">
        <v>0.0</v>
      </c>
      <c r="AD118" s="461">
        <v>0.0</v>
      </c>
      <c r="AE118" s="461">
        <v>0.0</v>
      </c>
      <c r="AF118" s="461">
        <v>0.0</v>
      </c>
      <c r="AG118" s="461">
        <v>0.0</v>
      </c>
      <c r="AH118" s="461">
        <v>0.0</v>
      </c>
      <c r="AI118" s="464">
        <f t="shared" si="337"/>
        <v>1</v>
      </c>
      <c r="AJ118" s="461">
        <v>1.0</v>
      </c>
      <c r="AK118" s="461">
        <v>0.0</v>
      </c>
      <c r="AL118" s="461">
        <v>0.0</v>
      </c>
      <c r="AM118" s="461">
        <v>0.0</v>
      </c>
      <c r="AN118" s="461">
        <v>0.0</v>
      </c>
      <c r="AO118" s="461">
        <v>0.0</v>
      </c>
      <c r="AP118" s="461">
        <v>0.0</v>
      </c>
      <c r="AQ118" s="461">
        <v>0.0</v>
      </c>
      <c r="AR118" s="461">
        <v>0.0</v>
      </c>
      <c r="AS118" s="461">
        <v>0.0</v>
      </c>
      <c r="AT118" s="461">
        <v>0.0</v>
      </c>
      <c r="AU118" s="463">
        <f t="shared" si="338"/>
        <v>1</v>
      </c>
      <c r="AV118" s="465">
        <f t="shared" si="339"/>
        <v>2</v>
      </c>
      <c r="AW118" s="466"/>
      <c r="AX118" s="516">
        <v>184.9</v>
      </c>
      <c r="AY118" s="467">
        <f t="shared" si="340"/>
        <v>1286.904</v>
      </c>
      <c r="AZ118" s="538"/>
      <c r="BA118" s="469">
        <f t="shared" ref="BA118:BJ118" si="366">L118*$AY118</f>
        <v>0</v>
      </c>
      <c r="BB118" s="469">
        <f t="shared" si="366"/>
        <v>0</v>
      </c>
      <c r="BC118" s="469">
        <f t="shared" si="366"/>
        <v>0</v>
      </c>
      <c r="BD118" s="469">
        <f t="shared" si="366"/>
        <v>0</v>
      </c>
      <c r="BE118" s="469">
        <f t="shared" si="366"/>
        <v>0</v>
      </c>
      <c r="BF118" s="469">
        <f t="shared" si="366"/>
        <v>0</v>
      </c>
      <c r="BG118" s="469">
        <f t="shared" si="366"/>
        <v>0</v>
      </c>
      <c r="BH118" s="469">
        <f t="shared" si="366"/>
        <v>0</v>
      </c>
      <c r="BI118" s="469">
        <f t="shared" si="366"/>
        <v>0</v>
      </c>
      <c r="BJ118" s="469">
        <f t="shared" si="366"/>
        <v>0</v>
      </c>
      <c r="BK118" s="470">
        <f t="shared" si="342"/>
        <v>0</v>
      </c>
      <c r="BL118" s="469">
        <f t="shared" ref="BL118:BU118" si="367">X118*$AY118</f>
        <v>1286.904</v>
      </c>
      <c r="BM118" s="469">
        <f t="shared" si="367"/>
        <v>0</v>
      </c>
      <c r="BN118" s="469">
        <f t="shared" si="367"/>
        <v>0</v>
      </c>
      <c r="BO118" s="469">
        <f t="shared" si="367"/>
        <v>0</v>
      </c>
      <c r="BP118" s="469">
        <f t="shared" si="367"/>
        <v>0</v>
      </c>
      <c r="BQ118" s="469">
        <f t="shared" si="367"/>
        <v>0</v>
      </c>
      <c r="BR118" s="469">
        <f t="shared" si="367"/>
        <v>0</v>
      </c>
      <c r="BS118" s="469">
        <f t="shared" si="367"/>
        <v>0</v>
      </c>
      <c r="BT118" s="469">
        <f t="shared" si="367"/>
        <v>0</v>
      </c>
      <c r="BU118" s="469">
        <f t="shared" si="367"/>
        <v>0</v>
      </c>
      <c r="BV118" s="470">
        <f t="shared" si="344"/>
        <v>1286.904</v>
      </c>
      <c r="BW118" s="469">
        <f t="shared" ref="BW118:CF118" si="368">AJ118*$AY118</f>
        <v>1286.904</v>
      </c>
      <c r="BX118" s="469">
        <f t="shared" si="368"/>
        <v>0</v>
      </c>
      <c r="BY118" s="469">
        <f t="shared" si="368"/>
        <v>0</v>
      </c>
      <c r="BZ118" s="469">
        <f t="shared" si="368"/>
        <v>0</v>
      </c>
      <c r="CA118" s="469">
        <f t="shared" si="368"/>
        <v>0</v>
      </c>
      <c r="CB118" s="469">
        <f t="shared" si="368"/>
        <v>0</v>
      </c>
      <c r="CC118" s="469">
        <f t="shared" si="368"/>
        <v>0</v>
      </c>
      <c r="CD118" s="469">
        <f t="shared" si="368"/>
        <v>0</v>
      </c>
      <c r="CE118" s="469">
        <f t="shared" si="368"/>
        <v>0</v>
      </c>
      <c r="CF118" s="469">
        <f t="shared" si="368"/>
        <v>0</v>
      </c>
      <c r="CG118" s="470">
        <f t="shared" si="346"/>
        <v>1286.904</v>
      </c>
      <c r="CH118" s="470">
        <f t="shared" si="347"/>
        <v>2573.808</v>
      </c>
      <c r="CI118" s="471"/>
      <c r="CJ118" s="518"/>
      <c r="CK118" s="472">
        <v>1.0</v>
      </c>
      <c r="CL118" s="104">
        <f>VLOOKUP(I118,Cotizacion!$A$2:$E$423,4,FALSE())</f>
        <v>184.9</v>
      </c>
      <c r="CM118" s="1"/>
    </row>
    <row r="119" ht="15.75" customHeight="1">
      <c r="A119" s="474" t="s">
        <v>2848</v>
      </c>
      <c r="B119" s="475">
        <v>2.0</v>
      </c>
      <c r="C119" s="476" t="s">
        <v>2808</v>
      </c>
      <c r="D119" s="477" t="s">
        <v>118</v>
      </c>
      <c r="E119" s="476" t="s">
        <v>2708</v>
      </c>
      <c r="F119" s="476" t="s">
        <v>1763</v>
      </c>
      <c r="G119" s="457" t="s">
        <v>2709</v>
      </c>
      <c r="H119" s="457" t="s">
        <v>2930</v>
      </c>
      <c r="I119" s="478" t="s">
        <v>1939</v>
      </c>
      <c r="J119" s="479" t="s">
        <v>1296</v>
      </c>
      <c r="K119" s="480" t="s">
        <v>25</v>
      </c>
      <c r="L119" s="481">
        <v>1.0</v>
      </c>
      <c r="M119" s="481">
        <v>0.0</v>
      </c>
      <c r="N119" s="481">
        <v>1.0</v>
      </c>
      <c r="O119" s="481">
        <v>0.0</v>
      </c>
      <c r="P119" s="481">
        <v>0.0</v>
      </c>
      <c r="Q119" s="481">
        <v>0.0</v>
      </c>
      <c r="R119" s="481">
        <v>1.0</v>
      </c>
      <c r="S119" s="481">
        <v>1.0</v>
      </c>
      <c r="T119" s="481">
        <v>0.0</v>
      </c>
      <c r="U119" s="492">
        <v>0.0</v>
      </c>
      <c r="V119" s="481">
        <v>0.0</v>
      </c>
      <c r="W119" s="463">
        <f t="shared" si="336"/>
        <v>4</v>
      </c>
      <c r="X119" s="481">
        <v>1.0</v>
      </c>
      <c r="Y119" s="481">
        <v>0.0</v>
      </c>
      <c r="Z119" s="481">
        <v>1.0</v>
      </c>
      <c r="AA119" s="481">
        <v>0.0</v>
      </c>
      <c r="AB119" s="481">
        <v>0.0</v>
      </c>
      <c r="AC119" s="481">
        <v>0.0</v>
      </c>
      <c r="AD119" s="481">
        <v>1.0</v>
      </c>
      <c r="AE119" s="481">
        <v>1.0</v>
      </c>
      <c r="AF119" s="481">
        <v>0.0</v>
      </c>
      <c r="AG119" s="492">
        <v>0.0</v>
      </c>
      <c r="AH119" s="481">
        <v>0.0</v>
      </c>
      <c r="AI119" s="464">
        <f t="shared" si="337"/>
        <v>4</v>
      </c>
      <c r="AJ119" s="481">
        <v>1.0</v>
      </c>
      <c r="AK119" s="481">
        <v>0.0</v>
      </c>
      <c r="AL119" s="481">
        <v>1.0</v>
      </c>
      <c r="AM119" s="481">
        <v>0.0</v>
      </c>
      <c r="AN119" s="481">
        <v>0.0</v>
      </c>
      <c r="AO119" s="481">
        <v>0.0</v>
      </c>
      <c r="AP119" s="481">
        <v>1.0</v>
      </c>
      <c r="AQ119" s="481">
        <v>1.0</v>
      </c>
      <c r="AR119" s="481">
        <v>0.0</v>
      </c>
      <c r="AS119" s="492">
        <v>0.0</v>
      </c>
      <c r="AT119" s="481">
        <v>0.0</v>
      </c>
      <c r="AU119" s="463">
        <f t="shared" si="338"/>
        <v>4</v>
      </c>
      <c r="AV119" s="483">
        <f t="shared" si="339"/>
        <v>12</v>
      </c>
      <c r="AW119" s="484"/>
      <c r="AX119" s="485">
        <v>30.11</v>
      </c>
      <c r="AY119" s="485">
        <f t="shared" si="340"/>
        <v>209.5656</v>
      </c>
      <c r="AZ119" s="486"/>
      <c r="BA119" s="487">
        <f t="shared" ref="BA119:BJ119" si="369">L119*$AY119</f>
        <v>209.5656</v>
      </c>
      <c r="BB119" s="487">
        <f t="shared" si="369"/>
        <v>0</v>
      </c>
      <c r="BC119" s="487">
        <f t="shared" si="369"/>
        <v>209.5656</v>
      </c>
      <c r="BD119" s="487">
        <f t="shared" si="369"/>
        <v>0</v>
      </c>
      <c r="BE119" s="487">
        <f t="shared" si="369"/>
        <v>0</v>
      </c>
      <c r="BF119" s="487">
        <f t="shared" si="369"/>
        <v>0</v>
      </c>
      <c r="BG119" s="487">
        <f t="shared" si="369"/>
        <v>209.5656</v>
      </c>
      <c r="BH119" s="487">
        <f t="shared" si="369"/>
        <v>209.5656</v>
      </c>
      <c r="BI119" s="487">
        <f t="shared" si="369"/>
        <v>0</v>
      </c>
      <c r="BJ119" s="487">
        <f t="shared" si="369"/>
        <v>0</v>
      </c>
      <c r="BK119" s="488">
        <f t="shared" si="342"/>
        <v>838.2624</v>
      </c>
      <c r="BL119" s="487">
        <f t="shared" ref="BL119:BU119" si="370">X119*$AY119</f>
        <v>209.5656</v>
      </c>
      <c r="BM119" s="487">
        <f t="shared" si="370"/>
        <v>0</v>
      </c>
      <c r="BN119" s="487">
        <f t="shared" si="370"/>
        <v>209.5656</v>
      </c>
      <c r="BO119" s="487">
        <f t="shared" si="370"/>
        <v>0</v>
      </c>
      <c r="BP119" s="487">
        <f t="shared" si="370"/>
        <v>0</v>
      </c>
      <c r="BQ119" s="487">
        <f t="shared" si="370"/>
        <v>0</v>
      </c>
      <c r="BR119" s="487">
        <f t="shared" si="370"/>
        <v>209.5656</v>
      </c>
      <c r="BS119" s="487">
        <f t="shared" si="370"/>
        <v>209.5656</v>
      </c>
      <c r="BT119" s="487">
        <f t="shared" si="370"/>
        <v>0</v>
      </c>
      <c r="BU119" s="487">
        <f t="shared" si="370"/>
        <v>0</v>
      </c>
      <c r="BV119" s="488">
        <f t="shared" si="344"/>
        <v>838.2624</v>
      </c>
      <c r="BW119" s="487">
        <f t="shared" ref="BW119:CF119" si="371">AJ119*$AY119</f>
        <v>209.5656</v>
      </c>
      <c r="BX119" s="487">
        <f t="shared" si="371"/>
        <v>0</v>
      </c>
      <c r="BY119" s="487">
        <f t="shared" si="371"/>
        <v>209.5656</v>
      </c>
      <c r="BZ119" s="487">
        <f t="shared" si="371"/>
        <v>0</v>
      </c>
      <c r="CA119" s="487">
        <f t="shared" si="371"/>
        <v>0</v>
      </c>
      <c r="CB119" s="487">
        <f t="shared" si="371"/>
        <v>0</v>
      </c>
      <c r="CC119" s="487">
        <f t="shared" si="371"/>
        <v>209.5656</v>
      </c>
      <c r="CD119" s="487">
        <f t="shared" si="371"/>
        <v>209.5656</v>
      </c>
      <c r="CE119" s="487">
        <f t="shared" si="371"/>
        <v>0</v>
      </c>
      <c r="CF119" s="487">
        <f t="shared" si="371"/>
        <v>0</v>
      </c>
      <c r="CG119" s="488">
        <f t="shared" si="346"/>
        <v>838.2624</v>
      </c>
      <c r="CH119" s="488">
        <f t="shared" si="347"/>
        <v>2514.7872</v>
      </c>
      <c r="CI119" s="489"/>
      <c r="CJ119" s="487"/>
      <c r="CK119" s="472">
        <v>1.0</v>
      </c>
      <c r="CL119" s="104">
        <f>VLOOKUP(I119,Cotizacion!$A$2:$E$423,4,FALSE())</f>
        <v>30.11</v>
      </c>
    </row>
    <row r="120" ht="15.75" customHeight="1">
      <c r="A120" s="453" t="s">
        <v>2848</v>
      </c>
      <c r="B120" s="454">
        <v>2.0</v>
      </c>
      <c r="C120" s="455" t="s">
        <v>2808</v>
      </c>
      <c r="D120" s="456" t="s">
        <v>590</v>
      </c>
      <c r="E120" s="455" t="s">
        <v>2708</v>
      </c>
      <c r="F120" s="455" t="s">
        <v>1763</v>
      </c>
      <c r="G120" s="457" t="s">
        <v>2709</v>
      </c>
      <c r="H120" s="457" t="s">
        <v>2728</v>
      </c>
      <c r="I120" s="458" t="s">
        <v>1954</v>
      </c>
      <c r="J120" s="459" t="s">
        <v>627</v>
      </c>
      <c r="K120" s="460" t="s">
        <v>25</v>
      </c>
      <c r="L120" s="461">
        <v>0.0</v>
      </c>
      <c r="M120" s="461">
        <v>0.0</v>
      </c>
      <c r="N120" s="461">
        <v>0.0</v>
      </c>
      <c r="O120" s="461">
        <v>0.0</v>
      </c>
      <c r="P120" s="461">
        <v>0.0</v>
      </c>
      <c r="Q120" s="461">
        <v>0.0</v>
      </c>
      <c r="R120" s="462">
        <v>2.0</v>
      </c>
      <c r="S120" s="490">
        <v>2.0</v>
      </c>
      <c r="T120" s="461">
        <v>0.0</v>
      </c>
      <c r="U120" s="461">
        <v>0.0</v>
      </c>
      <c r="V120" s="461">
        <v>0.0</v>
      </c>
      <c r="W120" s="463">
        <f t="shared" si="336"/>
        <v>4</v>
      </c>
      <c r="X120" s="461">
        <v>2.0</v>
      </c>
      <c r="Y120" s="461">
        <v>2.0</v>
      </c>
      <c r="Z120" s="461">
        <v>2.0</v>
      </c>
      <c r="AA120" s="461">
        <v>0.0</v>
      </c>
      <c r="AB120" s="461">
        <v>0.0</v>
      </c>
      <c r="AC120" s="461">
        <v>0.0</v>
      </c>
      <c r="AD120" s="461">
        <v>4.0</v>
      </c>
      <c r="AE120" s="461">
        <v>4.0</v>
      </c>
      <c r="AF120" s="461">
        <v>2.0</v>
      </c>
      <c r="AG120" s="461">
        <v>4.0</v>
      </c>
      <c r="AH120" s="461">
        <v>0.0</v>
      </c>
      <c r="AI120" s="464">
        <f t="shared" si="337"/>
        <v>20</v>
      </c>
      <c r="AJ120" s="461">
        <v>2.0</v>
      </c>
      <c r="AK120" s="461">
        <v>2.0</v>
      </c>
      <c r="AL120" s="461">
        <v>2.0</v>
      </c>
      <c r="AM120" s="461">
        <v>0.0</v>
      </c>
      <c r="AN120" s="461">
        <v>0.0</v>
      </c>
      <c r="AO120" s="461">
        <v>0.0</v>
      </c>
      <c r="AP120" s="461">
        <v>4.0</v>
      </c>
      <c r="AQ120" s="461">
        <v>4.0</v>
      </c>
      <c r="AR120" s="461">
        <v>2.0</v>
      </c>
      <c r="AS120" s="461">
        <v>4.0</v>
      </c>
      <c r="AT120" s="461">
        <v>0.0</v>
      </c>
      <c r="AU120" s="463">
        <f t="shared" si="338"/>
        <v>20</v>
      </c>
      <c r="AV120" s="465">
        <f t="shared" si="339"/>
        <v>44</v>
      </c>
      <c r="AW120" s="466"/>
      <c r="AX120" s="467">
        <v>8.11</v>
      </c>
      <c r="AY120" s="467">
        <f t="shared" si="340"/>
        <v>56.4456</v>
      </c>
      <c r="AZ120" s="468"/>
      <c r="BA120" s="469">
        <f t="shared" ref="BA120:BJ120" si="372">L120*$AY120</f>
        <v>0</v>
      </c>
      <c r="BB120" s="469">
        <f t="shared" si="372"/>
        <v>0</v>
      </c>
      <c r="BC120" s="469">
        <f t="shared" si="372"/>
        <v>0</v>
      </c>
      <c r="BD120" s="469">
        <f t="shared" si="372"/>
        <v>0</v>
      </c>
      <c r="BE120" s="469">
        <f t="shared" si="372"/>
        <v>0</v>
      </c>
      <c r="BF120" s="469">
        <f t="shared" si="372"/>
        <v>0</v>
      </c>
      <c r="BG120" s="469">
        <f t="shared" si="372"/>
        <v>112.8912</v>
      </c>
      <c r="BH120" s="469">
        <f t="shared" si="372"/>
        <v>112.8912</v>
      </c>
      <c r="BI120" s="469">
        <f t="shared" si="372"/>
        <v>0</v>
      </c>
      <c r="BJ120" s="469">
        <f t="shared" si="372"/>
        <v>0</v>
      </c>
      <c r="BK120" s="470">
        <f t="shared" si="342"/>
        <v>225.7824</v>
      </c>
      <c r="BL120" s="469">
        <f t="shared" ref="BL120:BU120" si="373">X120*$AY120</f>
        <v>112.8912</v>
      </c>
      <c r="BM120" s="469">
        <f t="shared" si="373"/>
        <v>112.8912</v>
      </c>
      <c r="BN120" s="469">
        <f t="shared" si="373"/>
        <v>112.8912</v>
      </c>
      <c r="BO120" s="469">
        <f t="shared" si="373"/>
        <v>0</v>
      </c>
      <c r="BP120" s="469">
        <f t="shared" si="373"/>
        <v>0</v>
      </c>
      <c r="BQ120" s="469">
        <f t="shared" si="373"/>
        <v>0</v>
      </c>
      <c r="BR120" s="469">
        <f t="shared" si="373"/>
        <v>225.7824</v>
      </c>
      <c r="BS120" s="469">
        <f t="shared" si="373"/>
        <v>225.7824</v>
      </c>
      <c r="BT120" s="469">
        <f t="shared" si="373"/>
        <v>112.8912</v>
      </c>
      <c r="BU120" s="469">
        <f t="shared" si="373"/>
        <v>225.7824</v>
      </c>
      <c r="BV120" s="470">
        <f t="shared" si="344"/>
        <v>1128.912</v>
      </c>
      <c r="BW120" s="469">
        <f t="shared" ref="BW120:CF120" si="374">AJ120*$AY120</f>
        <v>112.8912</v>
      </c>
      <c r="BX120" s="469">
        <f t="shared" si="374"/>
        <v>112.8912</v>
      </c>
      <c r="BY120" s="469">
        <f t="shared" si="374"/>
        <v>112.8912</v>
      </c>
      <c r="BZ120" s="469">
        <f t="shared" si="374"/>
        <v>0</v>
      </c>
      <c r="CA120" s="469">
        <f t="shared" si="374"/>
        <v>0</v>
      </c>
      <c r="CB120" s="469">
        <f t="shared" si="374"/>
        <v>0</v>
      </c>
      <c r="CC120" s="469">
        <f t="shared" si="374"/>
        <v>225.7824</v>
      </c>
      <c r="CD120" s="469">
        <f t="shared" si="374"/>
        <v>225.7824</v>
      </c>
      <c r="CE120" s="469">
        <f t="shared" si="374"/>
        <v>112.8912</v>
      </c>
      <c r="CF120" s="469">
        <f t="shared" si="374"/>
        <v>225.7824</v>
      </c>
      <c r="CG120" s="470">
        <f t="shared" si="346"/>
        <v>1128.912</v>
      </c>
      <c r="CH120" s="470">
        <f t="shared" si="347"/>
        <v>2483.6064</v>
      </c>
      <c r="CI120" s="471"/>
      <c r="CJ120" s="469"/>
      <c r="CK120" s="472">
        <v>1.0</v>
      </c>
      <c r="CL120" s="104">
        <f>VLOOKUP(I120,Cotizacion!$A$2:$E$423,4,FALSE())</f>
        <v>8.11</v>
      </c>
      <c r="CM120" s="1"/>
    </row>
    <row r="121" ht="15.75" customHeight="1">
      <c r="A121" s="474" t="s">
        <v>2848</v>
      </c>
      <c r="B121" s="475">
        <v>2.0</v>
      </c>
      <c r="C121" s="476" t="s">
        <v>2852</v>
      </c>
      <c r="D121" s="477" t="s">
        <v>46</v>
      </c>
      <c r="E121" s="476" t="s">
        <v>2708</v>
      </c>
      <c r="F121" s="476" t="s">
        <v>1763</v>
      </c>
      <c r="G121" s="457" t="s">
        <v>2709</v>
      </c>
      <c r="H121" s="457" t="s">
        <v>2871</v>
      </c>
      <c r="I121" s="478" t="s">
        <v>2006</v>
      </c>
      <c r="J121" s="479" t="s">
        <v>469</v>
      </c>
      <c r="K121" s="480" t="s">
        <v>25</v>
      </c>
      <c r="L121" s="481">
        <v>0.0</v>
      </c>
      <c r="M121" s="481">
        <v>0.0</v>
      </c>
      <c r="N121" s="481">
        <v>0.0</v>
      </c>
      <c r="O121" s="481">
        <v>0.0</v>
      </c>
      <c r="P121" s="481">
        <v>0.0</v>
      </c>
      <c r="Q121" s="481">
        <v>0.0</v>
      </c>
      <c r="R121" s="481">
        <v>0.0</v>
      </c>
      <c r="S121" s="481">
        <v>0.0</v>
      </c>
      <c r="T121" s="481">
        <v>0.0</v>
      </c>
      <c r="U121" s="481">
        <v>0.0</v>
      </c>
      <c r="V121" s="481">
        <v>0.0</v>
      </c>
      <c r="W121" s="463">
        <f t="shared" si="336"/>
        <v>0</v>
      </c>
      <c r="X121" s="481">
        <v>40.0</v>
      </c>
      <c r="Y121" s="481">
        <v>30.0</v>
      </c>
      <c r="Z121" s="481">
        <v>36.0</v>
      </c>
      <c r="AA121" s="481">
        <v>22.0</v>
      </c>
      <c r="AB121" s="481">
        <v>26.0</v>
      </c>
      <c r="AC121" s="481">
        <v>42.0</v>
      </c>
      <c r="AD121" s="482">
        <v>0.0</v>
      </c>
      <c r="AE121" s="492">
        <v>0.0</v>
      </c>
      <c r="AF121" s="481">
        <v>12.0</v>
      </c>
      <c r="AG121" s="481">
        <v>0.0</v>
      </c>
      <c r="AH121" s="481">
        <v>0.0</v>
      </c>
      <c r="AI121" s="464">
        <f t="shared" si="337"/>
        <v>208</v>
      </c>
      <c r="AJ121" s="481">
        <v>40.0</v>
      </c>
      <c r="AK121" s="481">
        <v>30.0</v>
      </c>
      <c r="AL121" s="481">
        <v>36.0</v>
      </c>
      <c r="AM121" s="481">
        <v>22.0</v>
      </c>
      <c r="AN121" s="481">
        <v>26.0</v>
      </c>
      <c r="AO121" s="481">
        <v>42.0</v>
      </c>
      <c r="AP121" s="482">
        <v>0.0</v>
      </c>
      <c r="AQ121" s="492">
        <v>0.0</v>
      </c>
      <c r="AR121" s="481">
        <v>12.0</v>
      </c>
      <c r="AS121" s="481">
        <v>0.0</v>
      </c>
      <c r="AT121" s="481">
        <v>0.0</v>
      </c>
      <c r="AU121" s="463">
        <f t="shared" si="338"/>
        <v>208</v>
      </c>
      <c r="AV121" s="483">
        <f t="shared" si="339"/>
        <v>416</v>
      </c>
      <c r="AW121" s="484"/>
      <c r="AX121" s="485">
        <v>0.81</v>
      </c>
      <c r="AY121" s="485">
        <f t="shared" si="340"/>
        <v>5.6376</v>
      </c>
      <c r="AZ121" s="486"/>
      <c r="BA121" s="487">
        <f t="shared" ref="BA121:BJ121" si="375">L121*$AY121</f>
        <v>0</v>
      </c>
      <c r="BB121" s="487">
        <f t="shared" si="375"/>
        <v>0</v>
      </c>
      <c r="BC121" s="487">
        <f t="shared" si="375"/>
        <v>0</v>
      </c>
      <c r="BD121" s="487">
        <f t="shared" si="375"/>
        <v>0</v>
      </c>
      <c r="BE121" s="487">
        <f t="shared" si="375"/>
        <v>0</v>
      </c>
      <c r="BF121" s="487">
        <f t="shared" si="375"/>
        <v>0</v>
      </c>
      <c r="BG121" s="487">
        <f t="shared" si="375"/>
        <v>0</v>
      </c>
      <c r="BH121" s="487">
        <f t="shared" si="375"/>
        <v>0</v>
      </c>
      <c r="BI121" s="487">
        <f t="shared" si="375"/>
        <v>0</v>
      </c>
      <c r="BJ121" s="487">
        <f t="shared" si="375"/>
        <v>0</v>
      </c>
      <c r="BK121" s="488">
        <f t="shared" si="342"/>
        <v>0</v>
      </c>
      <c r="BL121" s="487">
        <f t="shared" ref="BL121:BU121" si="376">X121*$AY121</f>
        <v>225.504</v>
      </c>
      <c r="BM121" s="487">
        <f t="shared" si="376"/>
        <v>169.128</v>
      </c>
      <c r="BN121" s="487">
        <f t="shared" si="376"/>
        <v>202.9536</v>
      </c>
      <c r="BO121" s="487">
        <f t="shared" si="376"/>
        <v>124.0272</v>
      </c>
      <c r="BP121" s="487">
        <f t="shared" si="376"/>
        <v>146.5776</v>
      </c>
      <c r="BQ121" s="487">
        <f t="shared" si="376"/>
        <v>236.7792</v>
      </c>
      <c r="BR121" s="487">
        <f t="shared" si="376"/>
        <v>0</v>
      </c>
      <c r="BS121" s="487">
        <f t="shared" si="376"/>
        <v>0</v>
      </c>
      <c r="BT121" s="487">
        <f t="shared" si="376"/>
        <v>67.6512</v>
      </c>
      <c r="BU121" s="487">
        <f t="shared" si="376"/>
        <v>0</v>
      </c>
      <c r="BV121" s="488">
        <f t="shared" si="344"/>
        <v>1172.6208</v>
      </c>
      <c r="BW121" s="487">
        <f t="shared" ref="BW121:CF121" si="377">AJ121*$AY121</f>
        <v>225.504</v>
      </c>
      <c r="BX121" s="487">
        <f t="shared" si="377"/>
        <v>169.128</v>
      </c>
      <c r="BY121" s="487">
        <f t="shared" si="377"/>
        <v>202.9536</v>
      </c>
      <c r="BZ121" s="487">
        <f t="shared" si="377"/>
        <v>124.0272</v>
      </c>
      <c r="CA121" s="487">
        <f t="shared" si="377"/>
        <v>146.5776</v>
      </c>
      <c r="CB121" s="487">
        <f t="shared" si="377"/>
        <v>236.7792</v>
      </c>
      <c r="CC121" s="487">
        <f t="shared" si="377"/>
        <v>0</v>
      </c>
      <c r="CD121" s="487">
        <f t="shared" si="377"/>
        <v>0</v>
      </c>
      <c r="CE121" s="487">
        <f t="shared" si="377"/>
        <v>67.6512</v>
      </c>
      <c r="CF121" s="487">
        <f t="shared" si="377"/>
        <v>0</v>
      </c>
      <c r="CG121" s="488">
        <f t="shared" si="346"/>
        <v>1172.6208</v>
      </c>
      <c r="CH121" s="488">
        <f t="shared" si="347"/>
        <v>2345.2416</v>
      </c>
      <c r="CI121" s="489"/>
      <c r="CJ121" s="487"/>
      <c r="CK121" s="472">
        <v>1.0</v>
      </c>
      <c r="CL121" s="104">
        <f>VLOOKUP(I121,Cotizacion!$A$2:$E$423,4,FALSE())</f>
        <v>0.81</v>
      </c>
    </row>
    <row r="122" ht="15.75" customHeight="1">
      <c r="A122" s="453" t="s">
        <v>2848</v>
      </c>
      <c r="B122" s="454">
        <v>2.0</v>
      </c>
      <c r="C122" s="456" t="s">
        <v>2852</v>
      </c>
      <c r="D122" s="456" t="s">
        <v>52</v>
      </c>
      <c r="E122" s="456" t="s">
        <v>2708</v>
      </c>
      <c r="F122" s="456" t="s">
        <v>1763</v>
      </c>
      <c r="G122" s="457" t="s">
        <v>2709</v>
      </c>
      <c r="H122" s="457" t="s">
        <v>2769</v>
      </c>
      <c r="I122" s="514" t="s">
        <v>2215</v>
      </c>
      <c r="J122" s="459" t="s">
        <v>812</v>
      </c>
      <c r="K122" s="515" t="s">
        <v>25</v>
      </c>
      <c r="L122" s="461">
        <v>15.0</v>
      </c>
      <c r="M122" s="461">
        <v>9.0</v>
      </c>
      <c r="N122" s="461">
        <v>4.0</v>
      </c>
      <c r="O122" s="461">
        <v>5.0</v>
      </c>
      <c r="P122" s="461">
        <v>5.0</v>
      </c>
      <c r="Q122" s="461">
        <v>5.0</v>
      </c>
      <c r="R122" s="461">
        <v>4.0</v>
      </c>
      <c r="S122" s="461">
        <v>4.0</v>
      </c>
      <c r="T122" s="461">
        <v>2.0</v>
      </c>
      <c r="U122" s="490">
        <v>0.0</v>
      </c>
      <c r="V122" s="461">
        <v>0.0</v>
      </c>
      <c r="W122" s="463">
        <f t="shared" si="336"/>
        <v>53</v>
      </c>
      <c r="X122" s="461">
        <v>15.0</v>
      </c>
      <c r="Y122" s="461">
        <v>9.0</v>
      </c>
      <c r="Z122" s="461">
        <v>4.0</v>
      </c>
      <c r="AA122" s="461">
        <v>5.0</v>
      </c>
      <c r="AB122" s="461">
        <v>5.0</v>
      </c>
      <c r="AC122" s="461">
        <v>5.0</v>
      </c>
      <c r="AD122" s="461">
        <v>4.0</v>
      </c>
      <c r="AE122" s="461">
        <v>4.0</v>
      </c>
      <c r="AF122" s="461">
        <v>2.0</v>
      </c>
      <c r="AG122" s="490">
        <v>0.0</v>
      </c>
      <c r="AH122" s="461">
        <v>0.0</v>
      </c>
      <c r="AI122" s="464">
        <f t="shared" si="337"/>
        <v>53</v>
      </c>
      <c r="AJ122" s="461">
        <v>15.0</v>
      </c>
      <c r="AK122" s="461">
        <v>9.0</v>
      </c>
      <c r="AL122" s="461">
        <v>4.0</v>
      </c>
      <c r="AM122" s="461">
        <v>5.0</v>
      </c>
      <c r="AN122" s="461">
        <v>5.0</v>
      </c>
      <c r="AO122" s="461">
        <v>5.0</v>
      </c>
      <c r="AP122" s="461">
        <v>4.0</v>
      </c>
      <c r="AQ122" s="461">
        <v>4.0</v>
      </c>
      <c r="AR122" s="461">
        <v>2.0</v>
      </c>
      <c r="AS122" s="490">
        <v>0.0</v>
      </c>
      <c r="AT122" s="461">
        <v>0.0</v>
      </c>
      <c r="AU122" s="463">
        <f t="shared" si="338"/>
        <v>53</v>
      </c>
      <c r="AV122" s="465">
        <f t="shared" si="339"/>
        <v>159</v>
      </c>
      <c r="AW122" s="466"/>
      <c r="AX122" s="516">
        <v>2.11</v>
      </c>
      <c r="AY122" s="467">
        <f t="shared" si="340"/>
        <v>14.6856</v>
      </c>
      <c r="AZ122" s="538"/>
      <c r="BA122" s="469">
        <f t="shared" ref="BA122:BJ122" si="378">L122*$AY122</f>
        <v>220.284</v>
      </c>
      <c r="BB122" s="469">
        <f t="shared" si="378"/>
        <v>132.1704</v>
      </c>
      <c r="BC122" s="469">
        <f t="shared" si="378"/>
        <v>58.7424</v>
      </c>
      <c r="BD122" s="469">
        <f t="shared" si="378"/>
        <v>73.428</v>
      </c>
      <c r="BE122" s="469">
        <f t="shared" si="378"/>
        <v>73.428</v>
      </c>
      <c r="BF122" s="469">
        <f t="shared" si="378"/>
        <v>73.428</v>
      </c>
      <c r="BG122" s="469">
        <f t="shared" si="378"/>
        <v>58.7424</v>
      </c>
      <c r="BH122" s="469">
        <f t="shared" si="378"/>
        <v>58.7424</v>
      </c>
      <c r="BI122" s="469">
        <f t="shared" si="378"/>
        <v>29.3712</v>
      </c>
      <c r="BJ122" s="469">
        <f t="shared" si="378"/>
        <v>0</v>
      </c>
      <c r="BK122" s="470">
        <f t="shared" si="342"/>
        <v>778.3368</v>
      </c>
      <c r="BL122" s="469">
        <f t="shared" ref="BL122:BU122" si="379">X122*$AY122</f>
        <v>220.284</v>
      </c>
      <c r="BM122" s="469">
        <f t="shared" si="379"/>
        <v>132.1704</v>
      </c>
      <c r="BN122" s="469">
        <f t="shared" si="379"/>
        <v>58.7424</v>
      </c>
      <c r="BO122" s="469">
        <f t="shared" si="379"/>
        <v>73.428</v>
      </c>
      <c r="BP122" s="469">
        <f t="shared" si="379"/>
        <v>73.428</v>
      </c>
      <c r="BQ122" s="469">
        <f t="shared" si="379"/>
        <v>73.428</v>
      </c>
      <c r="BR122" s="469">
        <f t="shared" si="379"/>
        <v>58.7424</v>
      </c>
      <c r="BS122" s="469">
        <f t="shared" si="379"/>
        <v>58.7424</v>
      </c>
      <c r="BT122" s="469">
        <f t="shared" si="379"/>
        <v>29.3712</v>
      </c>
      <c r="BU122" s="469">
        <f t="shared" si="379"/>
        <v>0</v>
      </c>
      <c r="BV122" s="470">
        <f t="shared" si="344"/>
        <v>778.3368</v>
      </c>
      <c r="BW122" s="469">
        <f t="shared" ref="BW122:CF122" si="380">AJ122*$AY122</f>
        <v>220.284</v>
      </c>
      <c r="BX122" s="469">
        <f t="shared" si="380"/>
        <v>132.1704</v>
      </c>
      <c r="BY122" s="469">
        <f t="shared" si="380"/>
        <v>58.7424</v>
      </c>
      <c r="BZ122" s="469">
        <f t="shared" si="380"/>
        <v>73.428</v>
      </c>
      <c r="CA122" s="469">
        <f t="shared" si="380"/>
        <v>73.428</v>
      </c>
      <c r="CB122" s="469">
        <f t="shared" si="380"/>
        <v>73.428</v>
      </c>
      <c r="CC122" s="469">
        <f t="shared" si="380"/>
        <v>58.7424</v>
      </c>
      <c r="CD122" s="469">
        <f t="shared" si="380"/>
        <v>58.7424</v>
      </c>
      <c r="CE122" s="469">
        <f t="shared" si="380"/>
        <v>29.3712</v>
      </c>
      <c r="CF122" s="469">
        <f t="shared" si="380"/>
        <v>0</v>
      </c>
      <c r="CG122" s="470">
        <f t="shared" si="346"/>
        <v>778.3368</v>
      </c>
      <c r="CH122" s="470">
        <f t="shared" si="347"/>
        <v>2335.0104</v>
      </c>
      <c r="CI122" s="471"/>
      <c r="CJ122" s="518"/>
      <c r="CK122" s="472">
        <v>1.0</v>
      </c>
      <c r="CL122" s="104">
        <f>VLOOKUP(I122,Cotizacion!$A$2:$E$423,4,FALSE())</f>
        <v>2.11</v>
      </c>
    </row>
    <row r="123" ht="15.75" customHeight="1">
      <c r="A123" s="474" t="s">
        <v>2848</v>
      </c>
      <c r="B123" s="475">
        <v>2.0</v>
      </c>
      <c r="C123" s="477" t="s">
        <v>2852</v>
      </c>
      <c r="D123" s="477" t="s">
        <v>52</v>
      </c>
      <c r="E123" s="477" t="s">
        <v>2708</v>
      </c>
      <c r="F123" s="477" t="s">
        <v>1763</v>
      </c>
      <c r="G123" s="457" t="s">
        <v>2709</v>
      </c>
      <c r="H123" s="457" t="s">
        <v>2931</v>
      </c>
      <c r="I123" s="501" t="s">
        <v>2134</v>
      </c>
      <c r="J123" s="479" t="s">
        <v>1353</v>
      </c>
      <c r="K123" s="502" t="s">
        <v>25</v>
      </c>
      <c r="L123" s="481">
        <v>5.0</v>
      </c>
      <c r="M123" s="481">
        <v>2.0</v>
      </c>
      <c r="N123" s="481">
        <v>2.0</v>
      </c>
      <c r="O123" s="481">
        <v>2.0</v>
      </c>
      <c r="P123" s="481">
        <v>2.0</v>
      </c>
      <c r="Q123" s="481">
        <v>2.0</v>
      </c>
      <c r="R123" s="481">
        <v>2.0</v>
      </c>
      <c r="S123" s="481">
        <v>2.0</v>
      </c>
      <c r="T123" s="481">
        <v>2.0</v>
      </c>
      <c r="U123" s="492">
        <v>0.0</v>
      </c>
      <c r="V123" s="481">
        <v>0.0</v>
      </c>
      <c r="W123" s="463">
        <f t="shared" si="336"/>
        <v>21</v>
      </c>
      <c r="X123" s="481">
        <v>5.0</v>
      </c>
      <c r="Y123" s="481">
        <v>2.0</v>
      </c>
      <c r="Z123" s="481">
        <v>2.0</v>
      </c>
      <c r="AA123" s="481">
        <v>2.0</v>
      </c>
      <c r="AB123" s="481">
        <v>2.0</v>
      </c>
      <c r="AC123" s="481">
        <v>2.0</v>
      </c>
      <c r="AD123" s="481">
        <v>2.0</v>
      </c>
      <c r="AE123" s="481">
        <v>2.0</v>
      </c>
      <c r="AF123" s="481">
        <v>2.0</v>
      </c>
      <c r="AG123" s="492">
        <v>0.0</v>
      </c>
      <c r="AH123" s="481">
        <v>0.0</v>
      </c>
      <c r="AI123" s="464">
        <f t="shared" si="337"/>
        <v>21</v>
      </c>
      <c r="AJ123" s="481">
        <v>5.0</v>
      </c>
      <c r="AK123" s="481">
        <v>2.0</v>
      </c>
      <c r="AL123" s="481">
        <v>2.0</v>
      </c>
      <c r="AM123" s="481">
        <v>2.0</v>
      </c>
      <c r="AN123" s="481">
        <v>2.0</v>
      </c>
      <c r="AO123" s="481">
        <v>2.0</v>
      </c>
      <c r="AP123" s="481">
        <v>2.0</v>
      </c>
      <c r="AQ123" s="481">
        <v>2.0</v>
      </c>
      <c r="AR123" s="481">
        <v>2.0</v>
      </c>
      <c r="AS123" s="492">
        <v>0.0</v>
      </c>
      <c r="AT123" s="481">
        <v>0.0</v>
      </c>
      <c r="AU123" s="463">
        <f t="shared" si="338"/>
        <v>21</v>
      </c>
      <c r="AV123" s="483">
        <f t="shared" si="339"/>
        <v>63</v>
      </c>
      <c r="AW123" s="484"/>
      <c r="AX123" s="503">
        <v>5.0</v>
      </c>
      <c r="AY123" s="485">
        <f t="shared" si="340"/>
        <v>34.8</v>
      </c>
      <c r="AZ123" s="504"/>
      <c r="BA123" s="487">
        <f t="shared" ref="BA123:BJ123" si="381">L123*$AY123</f>
        <v>174</v>
      </c>
      <c r="BB123" s="487">
        <f t="shared" si="381"/>
        <v>69.6</v>
      </c>
      <c r="BC123" s="487">
        <f t="shared" si="381"/>
        <v>69.6</v>
      </c>
      <c r="BD123" s="487">
        <f t="shared" si="381"/>
        <v>69.6</v>
      </c>
      <c r="BE123" s="487">
        <f t="shared" si="381"/>
        <v>69.6</v>
      </c>
      <c r="BF123" s="487">
        <f t="shared" si="381"/>
        <v>69.6</v>
      </c>
      <c r="BG123" s="487">
        <f t="shared" si="381"/>
        <v>69.6</v>
      </c>
      <c r="BH123" s="487">
        <f t="shared" si="381"/>
        <v>69.6</v>
      </c>
      <c r="BI123" s="487">
        <f t="shared" si="381"/>
        <v>69.6</v>
      </c>
      <c r="BJ123" s="487">
        <f t="shared" si="381"/>
        <v>0</v>
      </c>
      <c r="BK123" s="488">
        <f t="shared" si="342"/>
        <v>730.8</v>
      </c>
      <c r="BL123" s="487">
        <f t="shared" ref="BL123:BU123" si="382">X123*$AY123</f>
        <v>174</v>
      </c>
      <c r="BM123" s="487">
        <f t="shared" si="382"/>
        <v>69.6</v>
      </c>
      <c r="BN123" s="487">
        <f t="shared" si="382"/>
        <v>69.6</v>
      </c>
      <c r="BO123" s="487">
        <f t="shared" si="382"/>
        <v>69.6</v>
      </c>
      <c r="BP123" s="487">
        <f t="shared" si="382"/>
        <v>69.6</v>
      </c>
      <c r="BQ123" s="487">
        <f t="shared" si="382"/>
        <v>69.6</v>
      </c>
      <c r="BR123" s="487">
        <f t="shared" si="382"/>
        <v>69.6</v>
      </c>
      <c r="BS123" s="487">
        <f t="shared" si="382"/>
        <v>69.6</v>
      </c>
      <c r="BT123" s="487">
        <f t="shared" si="382"/>
        <v>69.6</v>
      </c>
      <c r="BU123" s="487">
        <f t="shared" si="382"/>
        <v>0</v>
      </c>
      <c r="BV123" s="488">
        <f t="shared" si="344"/>
        <v>730.8</v>
      </c>
      <c r="BW123" s="487">
        <f t="shared" ref="BW123:CF123" si="383">AJ123*$AY123</f>
        <v>174</v>
      </c>
      <c r="BX123" s="487">
        <f t="shared" si="383"/>
        <v>69.6</v>
      </c>
      <c r="BY123" s="487">
        <f t="shared" si="383"/>
        <v>69.6</v>
      </c>
      <c r="BZ123" s="487">
        <f t="shared" si="383"/>
        <v>69.6</v>
      </c>
      <c r="CA123" s="487">
        <f t="shared" si="383"/>
        <v>69.6</v>
      </c>
      <c r="CB123" s="487">
        <f t="shared" si="383"/>
        <v>69.6</v>
      </c>
      <c r="CC123" s="487">
        <f t="shared" si="383"/>
        <v>69.6</v>
      </c>
      <c r="CD123" s="487">
        <f t="shared" si="383"/>
        <v>69.6</v>
      </c>
      <c r="CE123" s="487">
        <f t="shared" si="383"/>
        <v>69.6</v>
      </c>
      <c r="CF123" s="487">
        <f t="shared" si="383"/>
        <v>0</v>
      </c>
      <c r="CG123" s="488">
        <f t="shared" si="346"/>
        <v>730.8</v>
      </c>
      <c r="CH123" s="488">
        <f t="shared" si="347"/>
        <v>2192.4</v>
      </c>
      <c r="CI123" s="489"/>
      <c r="CJ123" s="505"/>
      <c r="CK123" s="472">
        <v>1.0</v>
      </c>
      <c r="CL123" s="104">
        <f>VLOOKUP(I123,Cotizacion!$A$2:$E$423,4,FALSE())</f>
        <v>5</v>
      </c>
      <c r="CM123" s="1"/>
    </row>
    <row r="124" ht="15.75" customHeight="1">
      <c r="A124" s="453" t="s">
        <v>2848</v>
      </c>
      <c r="B124" s="454">
        <v>2.0</v>
      </c>
      <c r="C124" s="455" t="s">
        <v>2707</v>
      </c>
      <c r="D124" s="456" t="s">
        <v>785</v>
      </c>
      <c r="E124" s="455" t="s">
        <v>2708</v>
      </c>
      <c r="F124" s="455" t="s">
        <v>1763</v>
      </c>
      <c r="G124" s="457" t="s">
        <v>2709</v>
      </c>
      <c r="H124" s="457" t="s">
        <v>2769</v>
      </c>
      <c r="I124" s="458" t="s">
        <v>2215</v>
      </c>
      <c r="J124" s="459" t="s">
        <v>812</v>
      </c>
      <c r="K124" s="460" t="s">
        <v>25</v>
      </c>
      <c r="L124" s="461">
        <v>6.0</v>
      </c>
      <c r="M124" s="461">
        <v>3.0</v>
      </c>
      <c r="N124" s="461">
        <v>6.0</v>
      </c>
      <c r="O124" s="461">
        <v>7.0</v>
      </c>
      <c r="P124" s="461">
        <v>7.0</v>
      </c>
      <c r="Q124" s="461">
        <v>29.0</v>
      </c>
      <c r="R124" s="461">
        <v>0.0</v>
      </c>
      <c r="S124" s="461">
        <v>0.0</v>
      </c>
      <c r="T124" s="461">
        <v>0.0</v>
      </c>
      <c r="U124" s="461">
        <v>0.0</v>
      </c>
      <c r="V124" s="461">
        <v>0.0</v>
      </c>
      <c r="W124" s="463">
        <f t="shared" si="336"/>
        <v>58</v>
      </c>
      <c r="X124" s="461">
        <v>4.0</v>
      </c>
      <c r="Y124" s="461">
        <v>2.0</v>
      </c>
      <c r="Z124" s="461">
        <v>4.0</v>
      </c>
      <c r="AA124" s="461">
        <v>5.0</v>
      </c>
      <c r="AB124" s="461">
        <v>5.0</v>
      </c>
      <c r="AC124" s="461">
        <v>20.0</v>
      </c>
      <c r="AD124" s="461">
        <v>0.0</v>
      </c>
      <c r="AE124" s="461">
        <v>0.0</v>
      </c>
      <c r="AF124" s="461">
        <v>0.0</v>
      </c>
      <c r="AG124" s="461">
        <v>0.0</v>
      </c>
      <c r="AH124" s="461">
        <v>0.0</v>
      </c>
      <c r="AI124" s="464">
        <f t="shared" si="337"/>
        <v>40</v>
      </c>
      <c r="AJ124" s="461">
        <v>4.0</v>
      </c>
      <c r="AK124" s="461">
        <v>2.0</v>
      </c>
      <c r="AL124" s="461">
        <v>4.0</v>
      </c>
      <c r="AM124" s="461">
        <v>5.0</v>
      </c>
      <c r="AN124" s="461">
        <v>5.0</v>
      </c>
      <c r="AO124" s="461">
        <v>20.0</v>
      </c>
      <c r="AP124" s="461">
        <v>0.0</v>
      </c>
      <c r="AQ124" s="461">
        <v>0.0</v>
      </c>
      <c r="AR124" s="461">
        <v>0.0</v>
      </c>
      <c r="AS124" s="461">
        <v>0.0</v>
      </c>
      <c r="AT124" s="461">
        <v>0.0</v>
      </c>
      <c r="AU124" s="463">
        <f t="shared" si="338"/>
        <v>40</v>
      </c>
      <c r="AV124" s="465">
        <f t="shared" si="339"/>
        <v>138</v>
      </c>
      <c r="AW124" s="466"/>
      <c r="AX124" s="467">
        <v>2.11</v>
      </c>
      <c r="AY124" s="467">
        <f t="shared" si="340"/>
        <v>14.6856</v>
      </c>
      <c r="AZ124" s="468"/>
      <c r="BA124" s="469">
        <f t="shared" ref="BA124:BJ124" si="384">L124*$AY124</f>
        <v>88.1136</v>
      </c>
      <c r="BB124" s="469">
        <f t="shared" si="384"/>
        <v>44.0568</v>
      </c>
      <c r="BC124" s="469">
        <f t="shared" si="384"/>
        <v>88.1136</v>
      </c>
      <c r="BD124" s="469">
        <f t="shared" si="384"/>
        <v>102.7992</v>
      </c>
      <c r="BE124" s="469">
        <f t="shared" si="384"/>
        <v>102.7992</v>
      </c>
      <c r="BF124" s="469">
        <f t="shared" si="384"/>
        <v>425.8824</v>
      </c>
      <c r="BG124" s="469">
        <f t="shared" si="384"/>
        <v>0</v>
      </c>
      <c r="BH124" s="469">
        <f t="shared" si="384"/>
        <v>0</v>
      </c>
      <c r="BI124" s="469">
        <f t="shared" si="384"/>
        <v>0</v>
      </c>
      <c r="BJ124" s="469">
        <f t="shared" si="384"/>
        <v>0</v>
      </c>
      <c r="BK124" s="470">
        <f t="shared" si="342"/>
        <v>851.7648</v>
      </c>
      <c r="BL124" s="469">
        <f t="shared" ref="BL124:BU124" si="385">X124*$AY124</f>
        <v>58.7424</v>
      </c>
      <c r="BM124" s="469">
        <f t="shared" si="385"/>
        <v>29.3712</v>
      </c>
      <c r="BN124" s="469">
        <f t="shared" si="385"/>
        <v>58.7424</v>
      </c>
      <c r="BO124" s="469">
        <f t="shared" si="385"/>
        <v>73.428</v>
      </c>
      <c r="BP124" s="469">
        <f t="shared" si="385"/>
        <v>73.428</v>
      </c>
      <c r="BQ124" s="469">
        <f t="shared" si="385"/>
        <v>293.712</v>
      </c>
      <c r="BR124" s="469">
        <f t="shared" si="385"/>
        <v>0</v>
      </c>
      <c r="BS124" s="469">
        <f t="shared" si="385"/>
        <v>0</v>
      </c>
      <c r="BT124" s="469">
        <f t="shared" si="385"/>
        <v>0</v>
      </c>
      <c r="BU124" s="469">
        <f t="shared" si="385"/>
        <v>0</v>
      </c>
      <c r="BV124" s="470">
        <f t="shared" si="344"/>
        <v>587.424</v>
      </c>
      <c r="BW124" s="469">
        <f t="shared" ref="BW124:CF124" si="386">AJ124*$AY124</f>
        <v>58.7424</v>
      </c>
      <c r="BX124" s="469">
        <f t="shared" si="386"/>
        <v>29.3712</v>
      </c>
      <c r="BY124" s="469">
        <f t="shared" si="386"/>
        <v>58.7424</v>
      </c>
      <c r="BZ124" s="469">
        <f t="shared" si="386"/>
        <v>73.428</v>
      </c>
      <c r="CA124" s="469">
        <f t="shared" si="386"/>
        <v>73.428</v>
      </c>
      <c r="CB124" s="469">
        <f t="shared" si="386"/>
        <v>293.712</v>
      </c>
      <c r="CC124" s="469">
        <f t="shared" si="386"/>
        <v>0</v>
      </c>
      <c r="CD124" s="469">
        <f t="shared" si="386"/>
        <v>0</v>
      </c>
      <c r="CE124" s="469">
        <f t="shared" si="386"/>
        <v>0</v>
      </c>
      <c r="CF124" s="469">
        <f t="shared" si="386"/>
        <v>0</v>
      </c>
      <c r="CG124" s="470">
        <f t="shared" si="346"/>
        <v>587.424</v>
      </c>
      <c r="CH124" s="470">
        <f t="shared" si="347"/>
        <v>2026.6128</v>
      </c>
      <c r="CI124" s="471"/>
      <c r="CJ124" s="469"/>
      <c r="CK124" s="472">
        <v>1.0</v>
      </c>
      <c r="CL124" s="104">
        <f>VLOOKUP(I124,Cotizacion!$A$2:$E$423,4,FALSE())</f>
        <v>2.11</v>
      </c>
    </row>
    <row r="125" ht="15.75" customHeight="1">
      <c r="A125" s="474" t="s">
        <v>2848</v>
      </c>
      <c r="B125" s="475">
        <v>2.0</v>
      </c>
      <c r="C125" s="476" t="s">
        <v>2707</v>
      </c>
      <c r="D125" s="477" t="s">
        <v>56</v>
      </c>
      <c r="E125" s="476" t="s">
        <v>2708</v>
      </c>
      <c r="F125" s="476" t="s">
        <v>1763</v>
      </c>
      <c r="G125" s="457" t="s">
        <v>2709</v>
      </c>
      <c r="H125" s="457" t="s">
        <v>2718</v>
      </c>
      <c r="I125" s="478" t="s">
        <v>1873</v>
      </c>
      <c r="J125" s="479" t="s">
        <v>1288</v>
      </c>
      <c r="K125" s="480" t="s">
        <v>25</v>
      </c>
      <c r="L125" s="481">
        <v>0.0</v>
      </c>
      <c r="M125" s="481">
        <v>0.0</v>
      </c>
      <c r="N125" s="481">
        <v>0.0</v>
      </c>
      <c r="O125" s="481">
        <v>0.0</v>
      </c>
      <c r="P125" s="481">
        <v>0.0</v>
      </c>
      <c r="Q125" s="481">
        <v>0.0</v>
      </c>
      <c r="R125" s="481">
        <v>0.0</v>
      </c>
      <c r="S125" s="481">
        <v>0.0</v>
      </c>
      <c r="T125" s="481">
        <v>0.0</v>
      </c>
      <c r="U125" s="520">
        <v>4.0</v>
      </c>
      <c r="V125" s="481">
        <v>0.0</v>
      </c>
      <c r="W125" s="463">
        <f t="shared" si="336"/>
        <v>4</v>
      </c>
      <c r="X125" s="481">
        <v>0.0</v>
      </c>
      <c r="Y125" s="481">
        <v>0.0</v>
      </c>
      <c r="Z125" s="481">
        <v>0.0</v>
      </c>
      <c r="AA125" s="481">
        <v>6.0</v>
      </c>
      <c r="AB125" s="481">
        <v>6.0</v>
      </c>
      <c r="AC125" s="481">
        <v>6.0</v>
      </c>
      <c r="AD125" s="481">
        <v>2.0</v>
      </c>
      <c r="AE125" s="481">
        <v>2.0</v>
      </c>
      <c r="AF125" s="481">
        <v>0.0</v>
      </c>
      <c r="AG125" s="481">
        <v>4.0</v>
      </c>
      <c r="AH125" s="481">
        <v>0.0</v>
      </c>
      <c r="AI125" s="464">
        <f t="shared" si="337"/>
        <v>26</v>
      </c>
      <c r="AJ125" s="481">
        <v>0.0</v>
      </c>
      <c r="AK125" s="481">
        <v>0.0</v>
      </c>
      <c r="AL125" s="481">
        <v>0.0</v>
      </c>
      <c r="AM125" s="481">
        <v>6.0</v>
      </c>
      <c r="AN125" s="481">
        <v>6.0</v>
      </c>
      <c r="AO125" s="481">
        <v>6.0</v>
      </c>
      <c r="AP125" s="481">
        <v>2.0</v>
      </c>
      <c r="AQ125" s="481">
        <v>2.0</v>
      </c>
      <c r="AR125" s="481">
        <v>0.0</v>
      </c>
      <c r="AS125" s="481">
        <v>4.0</v>
      </c>
      <c r="AT125" s="481">
        <v>0.0</v>
      </c>
      <c r="AU125" s="463">
        <f t="shared" si="338"/>
        <v>26</v>
      </c>
      <c r="AV125" s="483">
        <f t="shared" si="339"/>
        <v>56</v>
      </c>
      <c r="AW125" s="484"/>
      <c r="AX125" s="485">
        <v>4.73</v>
      </c>
      <c r="AY125" s="485">
        <f t="shared" si="340"/>
        <v>32.9208</v>
      </c>
      <c r="AZ125" s="486"/>
      <c r="BA125" s="487">
        <f t="shared" ref="BA125:BJ125" si="387">L125*$AY125</f>
        <v>0</v>
      </c>
      <c r="BB125" s="487">
        <f t="shared" si="387"/>
        <v>0</v>
      </c>
      <c r="BC125" s="487">
        <f t="shared" si="387"/>
        <v>0</v>
      </c>
      <c r="BD125" s="487">
        <f t="shared" si="387"/>
        <v>0</v>
      </c>
      <c r="BE125" s="487">
        <f t="shared" si="387"/>
        <v>0</v>
      </c>
      <c r="BF125" s="487">
        <f t="shared" si="387"/>
        <v>0</v>
      </c>
      <c r="BG125" s="487">
        <f t="shared" si="387"/>
        <v>0</v>
      </c>
      <c r="BH125" s="487">
        <f t="shared" si="387"/>
        <v>0</v>
      </c>
      <c r="BI125" s="487">
        <f t="shared" si="387"/>
        <v>0</v>
      </c>
      <c r="BJ125" s="487">
        <f t="shared" si="387"/>
        <v>131.6832</v>
      </c>
      <c r="BK125" s="488">
        <f t="shared" si="342"/>
        <v>131.6832</v>
      </c>
      <c r="BL125" s="487">
        <f t="shared" ref="BL125:BU125" si="388">X125*$AY125</f>
        <v>0</v>
      </c>
      <c r="BM125" s="487">
        <f t="shared" si="388"/>
        <v>0</v>
      </c>
      <c r="BN125" s="487">
        <f t="shared" si="388"/>
        <v>0</v>
      </c>
      <c r="BO125" s="487">
        <f t="shared" si="388"/>
        <v>197.5248</v>
      </c>
      <c r="BP125" s="487">
        <f t="shared" si="388"/>
        <v>197.5248</v>
      </c>
      <c r="BQ125" s="487">
        <f t="shared" si="388"/>
        <v>197.5248</v>
      </c>
      <c r="BR125" s="487">
        <f t="shared" si="388"/>
        <v>65.8416</v>
      </c>
      <c r="BS125" s="487">
        <f t="shared" si="388"/>
        <v>65.8416</v>
      </c>
      <c r="BT125" s="487">
        <f t="shared" si="388"/>
        <v>0</v>
      </c>
      <c r="BU125" s="487">
        <f t="shared" si="388"/>
        <v>131.6832</v>
      </c>
      <c r="BV125" s="488">
        <f t="shared" si="344"/>
        <v>855.9408</v>
      </c>
      <c r="BW125" s="487">
        <f t="shared" ref="BW125:CF125" si="389">AJ125*$AY125</f>
        <v>0</v>
      </c>
      <c r="BX125" s="487">
        <f t="shared" si="389"/>
        <v>0</v>
      </c>
      <c r="BY125" s="487">
        <f t="shared" si="389"/>
        <v>0</v>
      </c>
      <c r="BZ125" s="487">
        <f t="shared" si="389"/>
        <v>197.5248</v>
      </c>
      <c r="CA125" s="487">
        <f t="shared" si="389"/>
        <v>197.5248</v>
      </c>
      <c r="CB125" s="487">
        <f t="shared" si="389"/>
        <v>197.5248</v>
      </c>
      <c r="CC125" s="487">
        <f t="shared" si="389"/>
        <v>65.8416</v>
      </c>
      <c r="CD125" s="487">
        <f t="shared" si="389"/>
        <v>65.8416</v>
      </c>
      <c r="CE125" s="487">
        <f t="shared" si="389"/>
        <v>0</v>
      </c>
      <c r="CF125" s="487">
        <f t="shared" si="389"/>
        <v>131.6832</v>
      </c>
      <c r="CG125" s="488">
        <f t="shared" si="346"/>
        <v>855.9408</v>
      </c>
      <c r="CH125" s="488">
        <f t="shared" si="347"/>
        <v>1843.5648</v>
      </c>
      <c r="CI125" s="489"/>
      <c r="CJ125" s="487"/>
      <c r="CK125" s="472">
        <v>1.0</v>
      </c>
      <c r="CL125" s="104">
        <f>VLOOKUP(I125,Cotizacion!$A$2:$E$423,4,FALSE())</f>
        <v>4.73</v>
      </c>
    </row>
    <row r="126" ht="15.75" customHeight="1">
      <c r="A126" s="453" t="s">
        <v>2848</v>
      </c>
      <c r="B126" s="454">
        <v>2.0</v>
      </c>
      <c r="C126" s="455" t="s">
        <v>2707</v>
      </c>
      <c r="D126" s="456" t="s">
        <v>150</v>
      </c>
      <c r="E126" s="455" t="s">
        <v>2722</v>
      </c>
      <c r="F126" s="455" t="s">
        <v>1763</v>
      </c>
      <c r="G126" s="457" t="s">
        <v>2723</v>
      </c>
      <c r="H126" s="457" t="s">
        <v>2932</v>
      </c>
      <c r="I126" s="458" t="s">
        <v>2143</v>
      </c>
      <c r="J126" s="459" t="s">
        <v>1401</v>
      </c>
      <c r="K126" s="460" t="s">
        <v>25</v>
      </c>
      <c r="L126" s="461">
        <v>2.0</v>
      </c>
      <c r="M126" s="461">
        <v>2.0</v>
      </c>
      <c r="N126" s="461">
        <v>2.0</v>
      </c>
      <c r="O126" s="461">
        <v>2.0</v>
      </c>
      <c r="P126" s="461">
        <v>2.0</v>
      </c>
      <c r="Q126" s="461">
        <v>2.0</v>
      </c>
      <c r="R126" s="461">
        <v>2.0</v>
      </c>
      <c r="S126" s="461">
        <v>4.0</v>
      </c>
      <c r="T126" s="461">
        <v>2.0</v>
      </c>
      <c r="U126" s="461">
        <v>4.0</v>
      </c>
      <c r="V126" s="461">
        <v>0.0</v>
      </c>
      <c r="W126" s="463">
        <f t="shared" si="336"/>
        <v>24</v>
      </c>
      <c r="X126" s="461">
        <v>2.0</v>
      </c>
      <c r="Y126" s="461">
        <v>2.0</v>
      </c>
      <c r="Z126" s="461">
        <v>2.0</v>
      </c>
      <c r="AA126" s="461">
        <v>2.0</v>
      </c>
      <c r="AB126" s="461">
        <v>2.0</v>
      </c>
      <c r="AC126" s="461">
        <v>2.0</v>
      </c>
      <c r="AD126" s="461">
        <v>2.0</v>
      </c>
      <c r="AE126" s="461">
        <v>4.0</v>
      </c>
      <c r="AF126" s="461">
        <v>2.0</v>
      </c>
      <c r="AG126" s="461">
        <v>4.0</v>
      </c>
      <c r="AH126" s="461">
        <v>0.0</v>
      </c>
      <c r="AI126" s="464">
        <f t="shared" si="337"/>
        <v>24</v>
      </c>
      <c r="AJ126" s="461">
        <v>2.0</v>
      </c>
      <c r="AK126" s="461">
        <v>2.0</v>
      </c>
      <c r="AL126" s="461">
        <v>2.0</v>
      </c>
      <c r="AM126" s="461">
        <v>2.0</v>
      </c>
      <c r="AN126" s="461">
        <v>2.0</v>
      </c>
      <c r="AO126" s="461">
        <v>2.0</v>
      </c>
      <c r="AP126" s="461">
        <v>2.0</v>
      </c>
      <c r="AQ126" s="461">
        <v>4.0</v>
      </c>
      <c r="AR126" s="461">
        <v>2.0</v>
      </c>
      <c r="AS126" s="461">
        <v>4.0</v>
      </c>
      <c r="AT126" s="461">
        <v>0.0</v>
      </c>
      <c r="AU126" s="463">
        <f t="shared" si="338"/>
        <v>24</v>
      </c>
      <c r="AV126" s="465">
        <f t="shared" si="339"/>
        <v>72</v>
      </c>
      <c r="AW126" s="466"/>
      <c r="AX126" s="467">
        <v>3.35</v>
      </c>
      <c r="AY126" s="467">
        <f t="shared" si="340"/>
        <v>23.316</v>
      </c>
      <c r="AZ126" s="468"/>
      <c r="BA126" s="469">
        <f t="shared" ref="BA126:BJ126" si="390">L126*$AY126</f>
        <v>46.632</v>
      </c>
      <c r="BB126" s="469">
        <f t="shared" si="390"/>
        <v>46.632</v>
      </c>
      <c r="BC126" s="469">
        <f t="shared" si="390"/>
        <v>46.632</v>
      </c>
      <c r="BD126" s="469">
        <f t="shared" si="390"/>
        <v>46.632</v>
      </c>
      <c r="BE126" s="469">
        <f t="shared" si="390"/>
        <v>46.632</v>
      </c>
      <c r="BF126" s="469">
        <f t="shared" si="390"/>
        <v>46.632</v>
      </c>
      <c r="BG126" s="469">
        <f t="shared" si="390"/>
        <v>46.632</v>
      </c>
      <c r="BH126" s="469">
        <f t="shared" si="390"/>
        <v>93.264</v>
      </c>
      <c r="BI126" s="469">
        <f t="shared" si="390"/>
        <v>46.632</v>
      </c>
      <c r="BJ126" s="469">
        <f t="shared" si="390"/>
        <v>93.264</v>
      </c>
      <c r="BK126" s="470">
        <f t="shared" si="342"/>
        <v>559.584</v>
      </c>
      <c r="BL126" s="469">
        <f t="shared" ref="BL126:BU126" si="391">X126*$AY126</f>
        <v>46.632</v>
      </c>
      <c r="BM126" s="469">
        <f t="shared" si="391"/>
        <v>46.632</v>
      </c>
      <c r="BN126" s="469">
        <f t="shared" si="391"/>
        <v>46.632</v>
      </c>
      <c r="BO126" s="469">
        <f t="shared" si="391"/>
        <v>46.632</v>
      </c>
      <c r="BP126" s="469">
        <f t="shared" si="391"/>
        <v>46.632</v>
      </c>
      <c r="BQ126" s="469">
        <f t="shared" si="391"/>
        <v>46.632</v>
      </c>
      <c r="BR126" s="469">
        <f t="shared" si="391"/>
        <v>46.632</v>
      </c>
      <c r="BS126" s="469">
        <f t="shared" si="391"/>
        <v>93.264</v>
      </c>
      <c r="BT126" s="469">
        <f t="shared" si="391"/>
        <v>46.632</v>
      </c>
      <c r="BU126" s="469">
        <f t="shared" si="391"/>
        <v>93.264</v>
      </c>
      <c r="BV126" s="470">
        <f t="shared" si="344"/>
        <v>559.584</v>
      </c>
      <c r="BW126" s="469">
        <f t="shared" ref="BW126:CF126" si="392">AJ126*$AY126</f>
        <v>46.632</v>
      </c>
      <c r="BX126" s="469">
        <f t="shared" si="392"/>
        <v>46.632</v>
      </c>
      <c r="BY126" s="469">
        <f t="shared" si="392"/>
        <v>46.632</v>
      </c>
      <c r="BZ126" s="469">
        <f t="shared" si="392"/>
        <v>46.632</v>
      </c>
      <c r="CA126" s="469">
        <f t="shared" si="392"/>
        <v>46.632</v>
      </c>
      <c r="CB126" s="469">
        <f t="shared" si="392"/>
        <v>46.632</v>
      </c>
      <c r="CC126" s="469">
        <f t="shared" si="392"/>
        <v>46.632</v>
      </c>
      <c r="CD126" s="469">
        <f t="shared" si="392"/>
        <v>93.264</v>
      </c>
      <c r="CE126" s="469">
        <f t="shared" si="392"/>
        <v>46.632</v>
      </c>
      <c r="CF126" s="469">
        <f t="shared" si="392"/>
        <v>93.264</v>
      </c>
      <c r="CG126" s="470">
        <f t="shared" si="346"/>
        <v>559.584</v>
      </c>
      <c r="CH126" s="470">
        <f t="shared" si="347"/>
        <v>1678.752</v>
      </c>
      <c r="CI126" s="471"/>
      <c r="CJ126" s="469"/>
      <c r="CK126" s="472">
        <v>1.0</v>
      </c>
      <c r="CL126" s="104">
        <f>VLOOKUP(I126,Cotizacion!$A$2:$E$423,4,FALSE())</f>
        <v>3.35</v>
      </c>
      <c r="CM126" s="1"/>
    </row>
    <row r="127" ht="15.75" customHeight="1">
      <c r="A127" s="474"/>
      <c r="B127" s="476"/>
      <c r="C127" s="476"/>
      <c r="D127" s="476"/>
      <c r="E127" s="476"/>
      <c r="F127" s="476"/>
      <c r="G127" s="476"/>
      <c r="H127" s="476"/>
      <c r="I127" s="506"/>
      <c r="J127" s="477"/>
      <c r="K127" s="480"/>
      <c r="L127" s="481"/>
      <c r="M127" s="481"/>
      <c r="N127" s="481"/>
      <c r="O127" s="481"/>
      <c r="P127" s="481"/>
      <c r="Q127" s="481"/>
      <c r="R127" s="481"/>
      <c r="S127" s="481"/>
      <c r="T127" s="481"/>
      <c r="U127" s="481"/>
      <c r="V127" s="481"/>
      <c r="W127" s="522"/>
      <c r="X127" s="481"/>
      <c r="Y127" s="481"/>
      <c r="Z127" s="481"/>
      <c r="AA127" s="481"/>
      <c r="AB127" s="481"/>
      <c r="AC127" s="481"/>
      <c r="AD127" s="481"/>
      <c r="AE127" s="481"/>
      <c r="AF127" s="481"/>
      <c r="AG127" s="481"/>
      <c r="AH127" s="481"/>
      <c r="AI127" s="522"/>
      <c r="AJ127" s="481"/>
      <c r="AK127" s="481"/>
      <c r="AL127" s="481"/>
      <c r="AM127" s="481"/>
      <c r="AN127" s="481"/>
      <c r="AO127" s="481"/>
      <c r="AP127" s="481"/>
      <c r="AQ127" s="481"/>
      <c r="AR127" s="481"/>
      <c r="AS127" s="481"/>
      <c r="AT127" s="481"/>
      <c r="AU127" s="522"/>
      <c r="AV127" s="481"/>
      <c r="AW127" s="484"/>
      <c r="AX127" s="525"/>
      <c r="AY127" s="481"/>
      <c r="AZ127" s="486"/>
      <c r="BA127" s="487"/>
      <c r="BB127" s="487"/>
      <c r="BC127" s="487"/>
      <c r="BD127" s="487"/>
      <c r="BE127" s="487"/>
      <c r="BF127" s="487"/>
      <c r="BG127" s="487"/>
      <c r="BH127" s="487"/>
      <c r="BI127" s="487"/>
      <c r="BJ127" s="487"/>
      <c r="BK127" s="487"/>
      <c r="BL127" s="487"/>
      <c r="BM127" s="487"/>
      <c r="BN127" s="487"/>
      <c r="BO127" s="487"/>
      <c r="BP127" s="487"/>
      <c r="BQ127" s="487"/>
      <c r="BR127" s="487"/>
      <c r="BS127" s="487"/>
      <c r="BT127" s="487"/>
      <c r="BU127" s="487"/>
      <c r="BV127" s="487"/>
      <c r="BW127" s="487"/>
      <c r="BX127" s="487"/>
      <c r="BY127" s="487"/>
      <c r="BZ127" s="487"/>
      <c r="CA127" s="487"/>
      <c r="CB127" s="487"/>
      <c r="CC127" s="487"/>
      <c r="CD127" s="487"/>
      <c r="CE127" s="487"/>
      <c r="CF127" s="487"/>
      <c r="CG127" s="487"/>
      <c r="CH127" s="487"/>
      <c r="CI127" s="508"/>
      <c r="CJ127" s="509"/>
      <c r="CK127" s="472"/>
    </row>
    <row r="128" ht="15.75" customHeight="1">
      <c r="A128" s="453" t="s">
        <v>2848</v>
      </c>
      <c r="B128" s="454">
        <v>2.0</v>
      </c>
      <c r="C128" s="455" t="s">
        <v>2707</v>
      </c>
      <c r="D128" s="456" t="s">
        <v>785</v>
      </c>
      <c r="E128" s="455" t="s">
        <v>2708</v>
      </c>
      <c r="F128" s="455" t="s">
        <v>1763</v>
      </c>
      <c r="G128" s="457" t="s">
        <v>2709</v>
      </c>
      <c r="H128" s="457" t="s">
        <v>2933</v>
      </c>
      <c r="I128" s="458" t="s">
        <v>2397</v>
      </c>
      <c r="J128" s="459" t="s">
        <v>1413</v>
      </c>
      <c r="K128" s="460" t="s">
        <v>25</v>
      </c>
      <c r="L128" s="461">
        <v>4.0</v>
      </c>
      <c r="M128" s="461">
        <v>1.0</v>
      </c>
      <c r="N128" s="461">
        <v>2.0</v>
      </c>
      <c r="O128" s="461">
        <v>2.0</v>
      </c>
      <c r="P128" s="461">
        <v>2.0</v>
      </c>
      <c r="Q128" s="461">
        <v>4.0</v>
      </c>
      <c r="R128" s="461">
        <v>2.0</v>
      </c>
      <c r="S128" s="461">
        <v>2.0</v>
      </c>
      <c r="T128" s="461">
        <v>1.0</v>
      </c>
      <c r="U128" s="461">
        <v>2.0</v>
      </c>
      <c r="V128" s="461">
        <v>0.0</v>
      </c>
      <c r="W128" s="463">
        <f t="shared" ref="W128:W140" si="396">SUM(L128:V128)</f>
        <v>22</v>
      </c>
      <c r="X128" s="461">
        <v>2.0</v>
      </c>
      <c r="Y128" s="461">
        <v>1.0</v>
      </c>
      <c r="Z128" s="461">
        <v>2.0</v>
      </c>
      <c r="AA128" s="461">
        <v>2.0</v>
      </c>
      <c r="AB128" s="461">
        <v>2.0</v>
      </c>
      <c r="AC128" s="461">
        <v>4.0</v>
      </c>
      <c r="AD128" s="461">
        <v>2.0</v>
      </c>
      <c r="AE128" s="461">
        <v>2.0</v>
      </c>
      <c r="AF128" s="461">
        <v>1.0</v>
      </c>
      <c r="AG128" s="461">
        <v>2.0</v>
      </c>
      <c r="AH128" s="461">
        <v>0.0</v>
      </c>
      <c r="AI128" s="464">
        <f t="shared" ref="AI128:AI140" si="397">SUM(X128:AH128)</f>
        <v>20</v>
      </c>
      <c r="AJ128" s="461">
        <v>2.0</v>
      </c>
      <c r="AK128" s="461">
        <v>1.0</v>
      </c>
      <c r="AL128" s="461">
        <v>2.0</v>
      </c>
      <c r="AM128" s="461">
        <v>2.0</v>
      </c>
      <c r="AN128" s="461">
        <v>2.0</v>
      </c>
      <c r="AO128" s="461">
        <v>4.0</v>
      </c>
      <c r="AP128" s="461">
        <v>2.0</v>
      </c>
      <c r="AQ128" s="461">
        <v>2.0</v>
      </c>
      <c r="AR128" s="461">
        <v>1.0</v>
      </c>
      <c r="AS128" s="461">
        <v>2.0</v>
      </c>
      <c r="AT128" s="461">
        <v>0.0</v>
      </c>
      <c r="AU128" s="463">
        <f t="shared" ref="AU128:AU140" si="398">ROUNDUP( SUM(AJ128:AT128))</f>
        <v>20</v>
      </c>
      <c r="AV128" s="465">
        <f t="shared" ref="AV128:AV140" si="399">W128+AI128+AU128</f>
        <v>62</v>
      </c>
      <c r="AW128" s="466"/>
      <c r="AX128" s="467">
        <v>3.19</v>
      </c>
      <c r="AY128" s="467">
        <f t="shared" ref="AY128:AY140" si="400">AX128*$AY$1</f>
        <v>22.2024</v>
      </c>
      <c r="AZ128" s="468"/>
      <c r="BA128" s="469">
        <f t="shared" ref="BA128:BJ128" si="393">L128*$AY128</f>
        <v>88.8096</v>
      </c>
      <c r="BB128" s="469">
        <f t="shared" si="393"/>
        <v>22.2024</v>
      </c>
      <c r="BC128" s="469">
        <f t="shared" si="393"/>
        <v>44.4048</v>
      </c>
      <c r="BD128" s="469">
        <f t="shared" si="393"/>
        <v>44.4048</v>
      </c>
      <c r="BE128" s="469">
        <f t="shared" si="393"/>
        <v>44.4048</v>
      </c>
      <c r="BF128" s="469">
        <f t="shared" si="393"/>
        <v>88.8096</v>
      </c>
      <c r="BG128" s="469">
        <f t="shared" si="393"/>
        <v>44.4048</v>
      </c>
      <c r="BH128" s="469">
        <f t="shared" si="393"/>
        <v>44.4048</v>
      </c>
      <c r="BI128" s="469">
        <f t="shared" si="393"/>
        <v>22.2024</v>
      </c>
      <c r="BJ128" s="469">
        <f t="shared" si="393"/>
        <v>44.4048</v>
      </c>
      <c r="BK128" s="470">
        <f t="shared" ref="BK128:BK140" si="402">AY128*W128</f>
        <v>488.4528</v>
      </c>
      <c r="BL128" s="469">
        <f t="shared" ref="BL128:BU128" si="394">X128*$AY128</f>
        <v>44.4048</v>
      </c>
      <c r="BM128" s="469">
        <f t="shared" si="394"/>
        <v>22.2024</v>
      </c>
      <c r="BN128" s="469">
        <f t="shared" si="394"/>
        <v>44.4048</v>
      </c>
      <c r="BO128" s="469">
        <f t="shared" si="394"/>
        <v>44.4048</v>
      </c>
      <c r="BP128" s="469">
        <f t="shared" si="394"/>
        <v>44.4048</v>
      </c>
      <c r="BQ128" s="469">
        <f t="shared" si="394"/>
        <v>88.8096</v>
      </c>
      <c r="BR128" s="469">
        <f t="shared" si="394"/>
        <v>44.4048</v>
      </c>
      <c r="BS128" s="469">
        <f t="shared" si="394"/>
        <v>44.4048</v>
      </c>
      <c r="BT128" s="469">
        <f t="shared" si="394"/>
        <v>22.2024</v>
      </c>
      <c r="BU128" s="469">
        <f t="shared" si="394"/>
        <v>44.4048</v>
      </c>
      <c r="BV128" s="470">
        <f t="shared" ref="BV128:BV140" si="404">AY128*AI128</f>
        <v>444.048</v>
      </c>
      <c r="BW128" s="469">
        <f t="shared" ref="BW128:CF128" si="395">AJ128*$AY128</f>
        <v>44.4048</v>
      </c>
      <c r="BX128" s="469">
        <f t="shared" si="395"/>
        <v>22.2024</v>
      </c>
      <c r="BY128" s="469">
        <f t="shared" si="395"/>
        <v>44.4048</v>
      </c>
      <c r="BZ128" s="469">
        <f t="shared" si="395"/>
        <v>44.4048</v>
      </c>
      <c r="CA128" s="469">
        <f t="shared" si="395"/>
        <v>44.4048</v>
      </c>
      <c r="CB128" s="469">
        <f t="shared" si="395"/>
        <v>88.8096</v>
      </c>
      <c r="CC128" s="469">
        <f t="shared" si="395"/>
        <v>44.4048</v>
      </c>
      <c r="CD128" s="469">
        <f t="shared" si="395"/>
        <v>44.4048</v>
      </c>
      <c r="CE128" s="469">
        <f t="shared" si="395"/>
        <v>22.2024</v>
      </c>
      <c r="CF128" s="469">
        <f t="shared" si="395"/>
        <v>44.4048</v>
      </c>
      <c r="CG128" s="470">
        <f t="shared" ref="CG128:CG140" si="406">AY128*AU128</f>
        <v>444.048</v>
      </c>
      <c r="CH128" s="470">
        <f t="shared" ref="CH128:CH140" si="407">BK128+BV128+CG128</f>
        <v>1376.5488</v>
      </c>
      <c r="CI128" s="471"/>
      <c r="CJ128" s="469"/>
      <c r="CK128" s="472">
        <v>1.0</v>
      </c>
      <c r="CL128" s="104">
        <f>VLOOKUP(I128,Cotizacion!$A$2:$E$423,4,FALSE())</f>
        <v>3.19</v>
      </c>
    </row>
    <row r="129" ht="15.75" customHeight="1">
      <c r="A129" s="474" t="s">
        <v>2848</v>
      </c>
      <c r="B129" s="475">
        <v>2.0</v>
      </c>
      <c r="C129" s="476" t="s">
        <v>2852</v>
      </c>
      <c r="D129" s="477" t="s">
        <v>46</v>
      </c>
      <c r="E129" s="476" t="s">
        <v>2708</v>
      </c>
      <c r="F129" s="476" t="s">
        <v>1763</v>
      </c>
      <c r="G129" s="457" t="s">
        <v>2709</v>
      </c>
      <c r="H129" s="457" t="s">
        <v>2934</v>
      </c>
      <c r="I129" s="478" t="s">
        <v>1875</v>
      </c>
      <c r="J129" s="479" t="s">
        <v>1372</v>
      </c>
      <c r="K129" s="480" t="s">
        <v>25</v>
      </c>
      <c r="L129" s="481">
        <v>202.0</v>
      </c>
      <c r="M129" s="481">
        <v>151.0</v>
      </c>
      <c r="N129" s="481">
        <v>182.0</v>
      </c>
      <c r="O129" s="482">
        <v>0.0</v>
      </c>
      <c r="P129" s="482">
        <v>0.0</v>
      </c>
      <c r="Q129" s="482">
        <v>0.0</v>
      </c>
      <c r="R129" s="482">
        <v>0.0</v>
      </c>
      <c r="S129" s="492">
        <v>0.0</v>
      </c>
      <c r="T129" s="481">
        <v>30.0</v>
      </c>
      <c r="U129" s="520">
        <v>0.0</v>
      </c>
      <c r="V129" s="481">
        <v>0.0</v>
      </c>
      <c r="W129" s="463">
        <f t="shared" si="396"/>
        <v>565</v>
      </c>
      <c r="X129" s="481">
        <v>160.0</v>
      </c>
      <c r="Y129" s="481">
        <v>120.0</v>
      </c>
      <c r="Z129" s="481">
        <v>144.0</v>
      </c>
      <c r="AA129" s="481">
        <v>88.0</v>
      </c>
      <c r="AB129" s="481">
        <v>104.0</v>
      </c>
      <c r="AC129" s="481">
        <v>168.0</v>
      </c>
      <c r="AD129" s="481">
        <v>104.0</v>
      </c>
      <c r="AE129" s="492">
        <v>0.0</v>
      </c>
      <c r="AF129" s="481">
        <v>24.0</v>
      </c>
      <c r="AG129" s="520">
        <v>0.0</v>
      </c>
      <c r="AH129" s="481">
        <v>0.0</v>
      </c>
      <c r="AI129" s="464">
        <f t="shared" si="397"/>
        <v>912</v>
      </c>
      <c r="AJ129" s="481">
        <v>160.0</v>
      </c>
      <c r="AK129" s="481">
        <v>120.0</v>
      </c>
      <c r="AL129" s="481">
        <v>144.0</v>
      </c>
      <c r="AM129" s="481">
        <v>88.0</v>
      </c>
      <c r="AN129" s="481">
        <v>104.0</v>
      </c>
      <c r="AO129" s="481">
        <v>168.0</v>
      </c>
      <c r="AP129" s="481">
        <v>104.0</v>
      </c>
      <c r="AQ129" s="492">
        <v>0.0</v>
      </c>
      <c r="AR129" s="481">
        <v>24.0</v>
      </c>
      <c r="AS129" s="520">
        <v>0.0</v>
      </c>
      <c r="AT129" s="481">
        <v>0.0</v>
      </c>
      <c r="AU129" s="463">
        <f t="shared" si="398"/>
        <v>912</v>
      </c>
      <c r="AV129" s="483">
        <f t="shared" si="399"/>
        <v>2389</v>
      </c>
      <c r="AW129" s="484"/>
      <c r="AX129" s="485">
        <v>0.08</v>
      </c>
      <c r="AY129" s="485">
        <f t="shared" si="400"/>
        <v>0.5568</v>
      </c>
      <c r="AZ129" s="486"/>
      <c r="BA129" s="487">
        <f t="shared" ref="BA129:BJ129" si="401">L129*$AY129</f>
        <v>112.4736</v>
      </c>
      <c r="BB129" s="487">
        <f t="shared" si="401"/>
        <v>84.0768</v>
      </c>
      <c r="BC129" s="487">
        <f t="shared" si="401"/>
        <v>101.3376</v>
      </c>
      <c r="BD129" s="487">
        <f t="shared" si="401"/>
        <v>0</v>
      </c>
      <c r="BE129" s="487">
        <f t="shared" si="401"/>
        <v>0</v>
      </c>
      <c r="BF129" s="487">
        <f t="shared" si="401"/>
        <v>0</v>
      </c>
      <c r="BG129" s="487">
        <f t="shared" si="401"/>
        <v>0</v>
      </c>
      <c r="BH129" s="487">
        <f t="shared" si="401"/>
        <v>0</v>
      </c>
      <c r="BI129" s="487">
        <f t="shared" si="401"/>
        <v>16.704</v>
      </c>
      <c r="BJ129" s="487">
        <f t="shared" si="401"/>
        <v>0</v>
      </c>
      <c r="BK129" s="488">
        <f t="shared" si="402"/>
        <v>314.592</v>
      </c>
      <c r="BL129" s="487">
        <f t="shared" ref="BL129:BU129" si="403">X129*$AY129</f>
        <v>89.088</v>
      </c>
      <c r="BM129" s="487">
        <f t="shared" si="403"/>
        <v>66.816</v>
      </c>
      <c r="BN129" s="487">
        <f t="shared" si="403"/>
        <v>80.1792</v>
      </c>
      <c r="BO129" s="487">
        <f t="shared" si="403"/>
        <v>48.9984</v>
      </c>
      <c r="BP129" s="487">
        <f t="shared" si="403"/>
        <v>57.9072</v>
      </c>
      <c r="BQ129" s="487">
        <f t="shared" si="403"/>
        <v>93.5424</v>
      </c>
      <c r="BR129" s="487">
        <f t="shared" si="403"/>
        <v>57.9072</v>
      </c>
      <c r="BS129" s="487">
        <f t="shared" si="403"/>
        <v>0</v>
      </c>
      <c r="BT129" s="487">
        <f t="shared" si="403"/>
        <v>13.3632</v>
      </c>
      <c r="BU129" s="487">
        <f t="shared" si="403"/>
        <v>0</v>
      </c>
      <c r="BV129" s="488">
        <f t="shared" si="404"/>
        <v>507.8016</v>
      </c>
      <c r="BW129" s="487">
        <f t="shared" ref="BW129:CF129" si="405">AJ129*$AY129</f>
        <v>89.088</v>
      </c>
      <c r="BX129" s="487">
        <f t="shared" si="405"/>
        <v>66.816</v>
      </c>
      <c r="BY129" s="487">
        <f t="shared" si="405"/>
        <v>80.1792</v>
      </c>
      <c r="BZ129" s="487">
        <f t="shared" si="405"/>
        <v>48.9984</v>
      </c>
      <c r="CA129" s="487">
        <f t="shared" si="405"/>
        <v>57.9072</v>
      </c>
      <c r="CB129" s="487">
        <f t="shared" si="405"/>
        <v>93.5424</v>
      </c>
      <c r="CC129" s="487">
        <f t="shared" si="405"/>
        <v>57.9072</v>
      </c>
      <c r="CD129" s="487">
        <f t="shared" si="405"/>
        <v>0</v>
      </c>
      <c r="CE129" s="487">
        <f t="shared" si="405"/>
        <v>13.3632</v>
      </c>
      <c r="CF129" s="487">
        <f t="shared" si="405"/>
        <v>0</v>
      </c>
      <c r="CG129" s="488">
        <f t="shared" si="406"/>
        <v>507.8016</v>
      </c>
      <c r="CH129" s="488">
        <f t="shared" si="407"/>
        <v>1330.1952</v>
      </c>
      <c r="CI129" s="489"/>
      <c r="CJ129" s="487"/>
      <c r="CK129" s="472">
        <v>1.0</v>
      </c>
      <c r="CL129" s="104">
        <f>VLOOKUP(I129,Cotizacion!$A$2:$E$423,4,FALSE())</f>
        <v>0.08</v>
      </c>
      <c r="CM129" s="1"/>
    </row>
    <row r="130" ht="15.75" customHeight="1">
      <c r="A130" s="453" t="s">
        <v>2848</v>
      </c>
      <c r="B130" s="454">
        <v>2.0</v>
      </c>
      <c r="C130" s="455" t="s">
        <v>2707</v>
      </c>
      <c r="D130" s="456" t="s">
        <v>785</v>
      </c>
      <c r="E130" s="455" t="s">
        <v>2708</v>
      </c>
      <c r="F130" s="455" t="s">
        <v>1763</v>
      </c>
      <c r="G130" s="457" t="s">
        <v>2709</v>
      </c>
      <c r="H130" s="457" t="s">
        <v>2787</v>
      </c>
      <c r="I130" s="458" t="s">
        <v>2342</v>
      </c>
      <c r="J130" s="459" t="s">
        <v>1472</v>
      </c>
      <c r="K130" s="460" t="s">
        <v>25</v>
      </c>
      <c r="L130" s="461">
        <v>4.0</v>
      </c>
      <c r="M130" s="461">
        <v>2.0</v>
      </c>
      <c r="N130" s="461">
        <v>4.0</v>
      </c>
      <c r="O130" s="461">
        <v>4.0</v>
      </c>
      <c r="P130" s="461">
        <v>6.0</v>
      </c>
      <c r="Q130" s="461">
        <v>4.0</v>
      </c>
      <c r="R130" s="461">
        <v>0.0</v>
      </c>
      <c r="S130" s="461">
        <v>0.0</v>
      </c>
      <c r="T130" s="461">
        <v>0.0</v>
      </c>
      <c r="U130" s="490">
        <v>4.0</v>
      </c>
      <c r="V130" s="461">
        <v>0.0</v>
      </c>
      <c r="W130" s="463">
        <f t="shared" si="396"/>
        <v>28</v>
      </c>
      <c r="X130" s="461">
        <v>4.0</v>
      </c>
      <c r="Y130" s="461">
        <v>2.0</v>
      </c>
      <c r="Z130" s="461">
        <v>4.0</v>
      </c>
      <c r="AA130" s="461">
        <v>4.0</v>
      </c>
      <c r="AB130" s="461">
        <v>6.0</v>
      </c>
      <c r="AC130" s="461">
        <v>4.0</v>
      </c>
      <c r="AD130" s="462">
        <v>4.0</v>
      </c>
      <c r="AE130" s="461">
        <v>0.0</v>
      </c>
      <c r="AF130" s="462">
        <v>2.0</v>
      </c>
      <c r="AG130" s="490">
        <v>4.0</v>
      </c>
      <c r="AH130" s="461">
        <v>0.0</v>
      </c>
      <c r="AI130" s="464">
        <f t="shared" si="397"/>
        <v>34</v>
      </c>
      <c r="AJ130" s="461">
        <v>4.0</v>
      </c>
      <c r="AK130" s="461">
        <v>2.0</v>
      </c>
      <c r="AL130" s="461">
        <v>4.0</v>
      </c>
      <c r="AM130" s="461">
        <v>4.0</v>
      </c>
      <c r="AN130" s="461">
        <v>6.0</v>
      </c>
      <c r="AO130" s="461">
        <v>4.0</v>
      </c>
      <c r="AP130" s="462">
        <v>4.0</v>
      </c>
      <c r="AQ130" s="461">
        <v>0.0</v>
      </c>
      <c r="AR130" s="462">
        <v>2.0</v>
      </c>
      <c r="AS130" s="490">
        <v>4.0</v>
      </c>
      <c r="AT130" s="461">
        <v>0.0</v>
      </c>
      <c r="AU130" s="463">
        <f t="shared" si="398"/>
        <v>34</v>
      </c>
      <c r="AV130" s="465">
        <f t="shared" si="399"/>
        <v>96</v>
      </c>
      <c r="AW130" s="466"/>
      <c r="AX130" s="467">
        <v>1.96</v>
      </c>
      <c r="AY130" s="467">
        <f t="shared" si="400"/>
        <v>13.6416</v>
      </c>
      <c r="AZ130" s="468"/>
      <c r="BA130" s="469">
        <f t="shared" ref="BA130:BJ130" si="408">L130*$AY130</f>
        <v>54.5664</v>
      </c>
      <c r="BB130" s="469">
        <f t="shared" si="408"/>
        <v>27.2832</v>
      </c>
      <c r="BC130" s="469">
        <f t="shared" si="408"/>
        <v>54.5664</v>
      </c>
      <c r="BD130" s="469">
        <f t="shared" si="408"/>
        <v>54.5664</v>
      </c>
      <c r="BE130" s="469">
        <f t="shared" si="408"/>
        <v>81.8496</v>
      </c>
      <c r="BF130" s="469">
        <f t="shared" si="408"/>
        <v>54.5664</v>
      </c>
      <c r="BG130" s="469">
        <f t="shared" si="408"/>
        <v>0</v>
      </c>
      <c r="BH130" s="469">
        <f t="shared" si="408"/>
        <v>0</v>
      </c>
      <c r="BI130" s="469">
        <f t="shared" si="408"/>
        <v>0</v>
      </c>
      <c r="BJ130" s="469">
        <f t="shared" si="408"/>
        <v>54.5664</v>
      </c>
      <c r="BK130" s="470">
        <f t="shared" si="402"/>
        <v>381.9648</v>
      </c>
      <c r="BL130" s="469">
        <f t="shared" ref="BL130:BU130" si="409">X130*$AY130</f>
        <v>54.5664</v>
      </c>
      <c r="BM130" s="469">
        <f t="shared" si="409"/>
        <v>27.2832</v>
      </c>
      <c r="BN130" s="469">
        <f t="shared" si="409"/>
        <v>54.5664</v>
      </c>
      <c r="BO130" s="469">
        <f t="shared" si="409"/>
        <v>54.5664</v>
      </c>
      <c r="BP130" s="469">
        <f t="shared" si="409"/>
        <v>81.8496</v>
      </c>
      <c r="BQ130" s="469">
        <f t="shared" si="409"/>
        <v>54.5664</v>
      </c>
      <c r="BR130" s="469">
        <f t="shared" si="409"/>
        <v>54.5664</v>
      </c>
      <c r="BS130" s="469">
        <f t="shared" si="409"/>
        <v>0</v>
      </c>
      <c r="BT130" s="469">
        <f t="shared" si="409"/>
        <v>27.2832</v>
      </c>
      <c r="BU130" s="469">
        <f t="shared" si="409"/>
        <v>54.5664</v>
      </c>
      <c r="BV130" s="470">
        <f t="shared" si="404"/>
        <v>463.8144</v>
      </c>
      <c r="BW130" s="469">
        <f t="shared" ref="BW130:CF130" si="410">AJ130*$AY130</f>
        <v>54.5664</v>
      </c>
      <c r="BX130" s="469">
        <f t="shared" si="410"/>
        <v>27.2832</v>
      </c>
      <c r="BY130" s="469">
        <f t="shared" si="410"/>
        <v>54.5664</v>
      </c>
      <c r="BZ130" s="469">
        <f t="shared" si="410"/>
        <v>54.5664</v>
      </c>
      <c r="CA130" s="469">
        <f t="shared" si="410"/>
        <v>81.8496</v>
      </c>
      <c r="CB130" s="469">
        <f t="shared" si="410"/>
        <v>54.5664</v>
      </c>
      <c r="CC130" s="469">
        <f t="shared" si="410"/>
        <v>54.5664</v>
      </c>
      <c r="CD130" s="469">
        <f t="shared" si="410"/>
        <v>0</v>
      </c>
      <c r="CE130" s="469">
        <f t="shared" si="410"/>
        <v>27.2832</v>
      </c>
      <c r="CF130" s="469">
        <f t="shared" si="410"/>
        <v>54.5664</v>
      </c>
      <c r="CG130" s="470">
        <f t="shared" si="406"/>
        <v>463.8144</v>
      </c>
      <c r="CH130" s="470">
        <f t="shared" si="407"/>
        <v>1309.5936</v>
      </c>
      <c r="CI130" s="471"/>
      <c r="CJ130" s="469"/>
      <c r="CK130" s="472">
        <v>1.0</v>
      </c>
      <c r="CL130" s="104">
        <f>VLOOKUP(I130,Cotizacion!$A$2:$E$423,4,FALSE())</f>
        <v>1.96</v>
      </c>
      <c r="CM130" s="1"/>
    </row>
    <row r="131" ht="15.75" customHeight="1">
      <c r="A131" s="474" t="s">
        <v>2848</v>
      </c>
      <c r="B131" s="475">
        <v>2.0</v>
      </c>
      <c r="C131" s="476" t="s">
        <v>2707</v>
      </c>
      <c r="D131" s="477" t="s">
        <v>56</v>
      </c>
      <c r="E131" s="476" t="s">
        <v>2708</v>
      </c>
      <c r="F131" s="476" t="s">
        <v>1763</v>
      </c>
      <c r="G131" s="457" t="s">
        <v>2709</v>
      </c>
      <c r="H131" s="457" t="s">
        <v>2717</v>
      </c>
      <c r="I131" s="478" t="s">
        <v>1871</v>
      </c>
      <c r="J131" s="479" t="s">
        <v>1390</v>
      </c>
      <c r="K131" s="480" t="s">
        <v>25</v>
      </c>
      <c r="L131" s="481">
        <v>0.0</v>
      </c>
      <c r="M131" s="481">
        <v>0.0</v>
      </c>
      <c r="N131" s="481">
        <v>0.0</v>
      </c>
      <c r="O131" s="481">
        <v>6.0</v>
      </c>
      <c r="P131" s="481">
        <v>6.0</v>
      </c>
      <c r="Q131" s="481">
        <v>6.0</v>
      </c>
      <c r="R131" s="481">
        <v>4.0</v>
      </c>
      <c r="S131" s="481">
        <v>4.0</v>
      </c>
      <c r="T131" s="481">
        <v>0.0</v>
      </c>
      <c r="U131" s="481">
        <v>4.0</v>
      </c>
      <c r="V131" s="481">
        <v>0.0</v>
      </c>
      <c r="W131" s="463">
        <f t="shared" si="396"/>
        <v>30</v>
      </c>
      <c r="X131" s="481">
        <v>0.0</v>
      </c>
      <c r="Y131" s="481">
        <v>0.0</v>
      </c>
      <c r="Z131" s="481">
        <v>0.0</v>
      </c>
      <c r="AA131" s="481">
        <v>6.0</v>
      </c>
      <c r="AB131" s="481">
        <v>6.0</v>
      </c>
      <c r="AC131" s="481">
        <v>6.0</v>
      </c>
      <c r="AD131" s="481">
        <v>4.0</v>
      </c>
      <c r="AE131" s="481">
        <v>4.0</v>
      </c>
      <c r="AF131" s="481">
        <v>0.0</v>
      </c>
      <c r="AG131" s="481">
        <v>4.0</v>
      </c>
      <c r="AH131" s="481">
        <v>0.0</v>
      </c>
      <c r="AI131" s="464">
        <f t="shared" si="397"/>
        <v>30</v>
      </c>
      <c r="AJ131" s="481">
        <v>0.0</v>
      </c>
      <c r="AK131" s="481">
        <v>0.0</v>
      </c>
      <c r="AL131" s="481">
        <v>0.0</v>
      </c>
      <c r="AM131" s="481">
        <v>6.0</v>
      </c>
      <c r="AN131" s="481">
        <v>6.0</v>
      </c>
      <c r="AO131" s="481">
        <v>6.0</v>
      </c>
      <c r="AP131" s="481">
        <v>4.0</v>
      </c>
      <c r="AQ131" s="481">
        <v>4.0</v>
      </c>
      <c r="AR131" s="481">
        <v>0.0</v>
      </c>
      <c r="AS131" s="481">
        <v>4.0</v>
      </c>
      <c r="AT131" s="481">
        <v>0.0</v>
      </c>
      <c r="AU131" s="463">
        <f t="shared" si="398"/>
        <v>30</v>
      </c>
      <c r="AV131" s="483">
        <f t="shared" si="399"/>
        <v>90</v>
      </c>
      <c r="AW131" s="484"/>
      <c r="AX131" s="485">
        <v>1.61</v>
      </c>
      <c r="AY131" s="485">
        <f t="shared" si="400"/>
        <v>11.2056</v>
      </c>
      <c r="AZ131" s="486"/>
      <c r="BA131" s="487">
        <f t="shared" ref="BA131:BJ131" si="411">L131*$AY131</f>
        <v>0</v>
      </c>
      <c r="BB131" s="487">
        <f t="shared" si="411"/>
        <v>0</v>
      </c>
      <c r="BC131" s="487">
        <f t="shared" si="411"/>
        <v>0</v>
      </c>
      <c r="BD131" s="487">
        <f t="shared" si="411"/>
        <v>67.2336</v>
      </c>
      <c r="BE131" s="487">
        <f t="shared" si="411"/>
        <v>67.2336</v>
      </c>
      <c r="BF131" s="487">
        <f t="shared" si="411"/>
        <v>67.2336</v>
      </c>
      <c r="BG131" s="487">
        <f t="shared" si="411"/>
        <v>44.8224</v>
      </c>
      <c r="BH131" s="487">
        <f t="shared" si="411"/>
        <v>44.8224</v>
      </c>
      <c r="BI131" s="487">
        <f t="shared" si="411"/>
        <v>0</v>
      </c>
      <c r="BJ131" s="487">
        <f t="shared" si="411"/>
        <v>44.8224</v>
      </c>
      <c r="BK131" s="488">
        <f t="shared" si="402"/>
        <v>336.168</v>
      </c>
      <c r="BL131" s="487">
        <f t="shared" ref="BL131:BU131" si="412">X131*$AY131</f>
        <v>0</v>
      </c>
      <c r="BM131" s="487">
        <f t="shared" si="412"/>
        <v>0</v>
      </c>
      <c r="BN131" s="487">
        <f t="shared" si="412"/>
        <v>0</v>
      </c>
      <c r="BO131" s="487">
        <f t="shared" si="412"/>
        <v>67.2336</v>
      </c>
      <c r="BP131" s="487">
        <f t="shared" si="412"/>
        <v>67.2336</v>
      </c>
      <c r="BQ131" s="487">
        <f t="shared" si="412"/>
        <v>67.2336</v>
      </c>
      <c r="BR131" s="487">
        <f t="shared" si="412"/>
        <v>44.8224</v>
      </c>
      <c r="BS131" s="487">
        <f t="shared" si="412"/>
        <v>44.8224</v>
      </c>
      <c r="BT131" s="487">
        <f t="shared" si="412"/>
        <v>0</v>
      </c>
      <c r="BU131" s="487">
        <f t="shared" si="412"/>
        <v>44.8224</v>
      </c>
      <c r="BV131" s="488">
        <f t="shared" si="404"/>
        <v>336.168</v>
      </c>
      <c r="BW131" s="487">
        <f t="shared" ref="BW131:CF131" si="413">AJ131*$AY131</f>
        <v>0</v>
      </c>
      <c r="BX131" s="487">
        <f t="shared" si="413"/>
        <v>0</v>
      </c>
      <c r="BY131" s="487">
        <f t="shared" si="413"/>
        <v>0</v>
      </c>
      <c r="BZ131" s="487">
        <f t="shared" si="413"/>
        <v>67.2336</v>
      </c>
      <c r="CA131" s="487">
        <f t="shared" si="413"/>
        <v>67.2336</v>
      </c>
      <c r="CB131" s="487">
        <f t="shared" si="413"/>
        <v>67.2336</v>
      </c>
      <c r="CC131" s="487">
        <f t="shared" si="413"/>
        <v>44.8224</v>
      </c>
      <c r="CD131" s="487">
        <f t="shared" si="413"/>
        <v>44.8224</v>
      </c>
      <c r="CE131" s="487">
        <f t="shared" si="413"/>
        <v>0</v>
      </c>
      <c r="CF131" s="487">
        <f t="shared" si="413"/>
        <v>44.8224</v>
      </c>
      <c r="CG131" s="488">
        <f t="shared" si="406"/>
        <v>336.168</v>
      </c>
      <c r="CH131" s="488">
        <f t="shared" si="407"/>
        <v>1008.504</v>
      </c>
      <c r="CI131" s="489"/>
      <c r="CJ131" s="487" t="s">
        <v>2935</v>
      </c>
      <c r="CK131" s="472">
        <v>1.0</v>
      </c>
      <c r="CL131" s="104">
        <f>VLOOKUP(I131,Cotizacion!$A$2:$E$423,4,FALSE())</f>
        <v>1.61</v>
      </c>
    </row>
    <row r="132" ht="15.75" customHeight="1">
      <c r="A132" s="453" t="s">
        <v>2848</v>
      </c>
      <c r="B132" s="454">
        <v>2.0</v>
      </c>
      <c r="C132" s="456" t="s">
        <v>2852</v>
      </c>
      <c r="D132" s="456" t="s">
        <v>52</v>
      </c>
      <c r="E132" s="456" t="s">
        <v>2708</v>
      </c>
      <c r="F132" s="456" t="s">
        <v>1763</v>
      </c>
      <c r="G132" s="457" t="s">
        <v>2709</v>
      </c>
      <c r="H132" s="457" t="s">
        <v>2936</v>
      </c>
      <c r="I132" s="514" t="s">
        <v>2359</v>
      </c>
      <c r="J132" s="459" t="s">
        <v>2360</v>
      </c>
      <c r="K132" s="515" t="s">
        <v>25</v>
      </c>
      <c r="L132" s="461">
        <v>15.0</v>
      </c>
      <c r="M132" s="461">
        <v>9.0</v>
      </c>
      <c r="N132" s="461">
        <v>4.0</v>
      </c>
      <c r="O132" s="461">
        <v>10.0</v>
      </c>
      <c r="P132" s="461">
        <v>10.0</v>
      </c>
      <c r="Q132" s="461">
        <v>10.0</v>
      </c>
      <c r="R132" s="461">
        <v>2.0</v>
      </c>
      <c r="S132" s="461">
        <v>2.0</v>
      </c>
      <c r="T132" s="461">
        <v>1.0</v>
      </c>
      <c r="U132" s="490">
        <v>0.0</v>
      </c>
      <c r="V132" s="461">
        <v>0.0</v>
      </c>
      <c r="W132" s="463">
        <f t="shared" si="396"/>
        <v>63</v>
      </c>
      <c r="X132" s="461">
        <v>15.0</v>
      </c>
      <c r="Y132" s="461">
        <v>9.0</v>
      </c>
      <c r="Z132" s="461">
        <v>4.0</v>
      </c>
      <c r="AA132" s="461">
        <v>10.0</v>
      </c>
      <c r="AB132" s="461">
        <v>10.0</v>
      </c>
      <c r="AC132" s="461">
        <v>10.0</v>
      </c>
      <c r="AD132" s="461">
        <v>2.0</v>
      </c>
      <c r="AE132" s="461">
        <v>2.0</v>
      </c>
      <c r="AF132" s="461">
        <v>1.0</v>
      </c>
      <c r="AG132" s="490">
        <v>0.0</v>
      </c>
      <c r="AH132" s="461">
        <v>0.0</v>
      </c>
      <c r="AI132" s="464">
        <f t="shared" si="397"/>
        <v>63</v>
      </c>
      <c r="AJ132" s="461">
        <v>15.0</v>
      </c>
      <c r="AK132" s="461">
        <v>9.0</v>
      </c>
      <c r="AL132" s="461">
        <v>4.0</v>
      </c>
      <c r="AM132" s="461">
        <v>10.0</v>
      </c>
      <c r="AN132" s="461">
        <v>10.0</v>
      </c>
      <c r="AO132" s="461">
        <v>10.0</v>
      </c>
      <c r="AP132" s="461">
        <v>2.0</v>
      </c>
      <c r="AQ132" s="461">
        <v>2.0</v>
      </c>
      <c r="AR132" s="461">
        <v>1.0</v>
      </c>
      <c r="AS132" s="490">
        <v>0.0</v>
      </c>
      <c r="AT132" s="461">
        <v>0.0</v>
      </c>
      <c r="AU132" s="463">
        <f t="shared" si="398"/>
        <v>63</v>
      </c>
      <c r="AV132" s="465">
        <f t="shared" si="399"/>
        <v>189</v>
      </c>
      <c r="AW132" s="466"/>
      <c r="AX132" s="516">
        <v>0.73</v>
      </c>
      <c r="AY132" s="467">
        <f t="shared" si="400"/>
        <v>5.0808</v>
      </c>
      <c r="AZ132" s="538"/>
      <c r="BA132" s="469">
        <f t="shared" ref="BA132:BJ132" si="414">L132*$AY132</f>
        <v>76.212</v>
      </c>
      <c r="BB132" s="469">
        <f t="shared" si="414"/>
        <v>45.7272</v>
      </c>
      <c r="BC132" s="469">
        <f t="shared" si="414"/>
        <v>20.3232</v>
      </c>
      <c r="BD132" s="469">
        <f t="shared" si="414"/>
        <v>50.808</v>
      </c>
      <c r="BE132" s="469">
        <f t="shared" si="414"/>
        <v>50.808</v>
      </c>
      <c r="BF132" s="469">
        <f t="shared" si="414"/>
        <v>50.808</v>
      </c>
      <c r="BG132" s="469">
        <f t="shared" si="414"/>
        <v>10.1616</v>
      </c>
      <c r="BH132" s="469">
        <f t="shared" si="414"/>
        <v>10.1616</v>
      </c>
      <c r="BI132" s="469">
        <f t="shared" si="414"/>
        <v>5.0808</v>
      </c>
      <c r="BJ132" s="469">
        <f t="shared" si="414"/>
        <v>0</v>
      </c>
      <c r="BK132" s="470">
        <f t="shared" si="402"/>
        <v>320.0904</v>
      </c>
      <c r="BL132" s="469">
        <f t="shared" ref="BL132:BU132" si="415">X132*$AY132</f>
        <v>76.212</v>
      </c>
      <c r="BM132" s="469">
        <f t="shared" si="415"/>
        <v>45.7272</v>
      </c>
      <c r="BN132" s="469">
        <f t="shared" si="415"/>
        <v>20.3232</v>
      </c>
      <c r="BO132" s="469">
        <f t="shared" si="415"/>
        <v>50.808</v>
      </c>
      <c r="BP132" s="469">
        <f t="shared" si="415"/>
        <v>50.808</v>
      </c>
      <c r="BQ132" s="469">
        <f t="shared" si="415"/>
        <v>50.808</v>
      </c>
      <c r="BR132" s="469">
        <f t="shared" si="415"/>
        <v>10.1616</v>
      </c>
      <c r="BS132" s="469">
        <f t="shared" si="415"/>
        <v>10.1616</v>
      </c>
      <c r="BT132" s="469">
        <f t="shared" si="415"/>
        <v>5.0808</v>
      </c>
      <c r="BU132" s="469">
        <f t="shared" si="415"/>
        <v>0</v>
      </c>
      <c r="BV132" s="470">
        <f t="shared" si="404"/>
        <v>320.0904</v>
      </c>
      <c r="BW132" s="469">
        <f t="shared" ref="BW132:CF132" si="416">AJ132*$AY132</f>
        <v>76.212</v>
      </c>
      <c r="BX132" s="469">
        <f t="shared" si="416"/>
        <v>45.7272</v>
      </c>
      <c r="BY132" s="469">
        <f t="shared" si="416"/>
        <v>20.3232</v>
      </c>
      <c r="BZ132" s="469">
        <f t="shared" si="416"/>
        <v>50.808</v>
      </c>
      <c r="CA132" s="469">
        <f t="shared" si="416"/>
        <v>50.808</v>
      </c>
      <c r="CB132" s="469">
        <f t="shared" si="416"/>
        <v>50.808</v>
      </c>
      <c r="CC132" s="469">
        <f t="shared" si="416"/>
        <v>10.1616</v>
      </c>
      <c r="CD132" s="469">
        <f t="shared" si="416"/>
        <v>10.1616</v>
      </c>
      <c r="CE132" s="469">
        <f t="shared" si="416"/>
        <v>5.0808</v>
      </c>
      <c r="CF132" s="469">
        <f t="shared" si="416"/>
        <v>0</v>
      </c>
      <c r="CG132" s="470">
        <f t="shared" si="406"/>
        <v>320.0904</v>
      </c>
      <c r="CH132" s="470">
        <f t="shared" si="407"/>
        <v>960.2712</v>
      </c>
      <c r="CI132" s="471"/>
      <c r="CJ132" s="518"/>
      <c r="CK132" s="472">
        <v>1.0</v>
      </c>
      <c r="CL132" s="104">
        <f>VLOOKUP(I132,Cotizacion!$A$2:$E$423,4,FALSE())</f>
        <v>0.73</v>
      </c>
    </row>
    <row r="133" ht="15.75" customHeight="1">
      <c r="A133" s="474" t="s">
        <v>2848</v>
      </c>
      <c r="B133" s="475">
        <v>2.0</v>
      </c>
      <c r="C133" s="476" t="s">
        <v>2852</v>
      </c>
      <c r="D133" s="477" t="s">
        <v>46</v>
      </c>
      <c r="E133" s="476" t="s">
        <v>2708</v>
      </c>
      <c r="F133" s="476" t="s">
        <v>1763</v>
      </c>
      <c r="G133" s="457" t="s">
        <v>2709</v>
      </c>
      <c r="H133" s="457" t="s">
        <v>2937</v>
      </c>
      <c r="I133" s="478" t="s">
        <v>1877</v>
      </c>
      <c r="J133" s="479" t="s">
        <v>1439</v>
      </c>
      <c r="K133" s="480" t="s">
        <v>25</v>
      </c>
      <c r="L133" s="481">
        <v>65.0</v>
      </c>
      <c r="M133" s="481">
        <v>48.0</v>
      </c>
      <c r="N133" s="481">
        <v>58.0</v>
      </c>
      <c r="O133" s="481">
        <v>36.0</v>
      </c>
      <c r="P133" s="481">
        <v>42.0</v>
      </c>
      <c r="Q133" s="481">
        <v>68.0</v>
      </c>
      <c r="R133" s="482">
        <v>0.0</v>
      </c>
      <c r="S133" s="492">
        <v>0.0</v>
      </c>
      <c r="T133" s="481">
        <v>10.0</v>
      </c>
      <c r="U133" s="520">
        <v>0.0</v>
      </c>
      <c r="V133" s="481">
        <v>0.0</v>
      </c>
      <c r="W133" s="463">
        <f t="shared" si="396"/>
        <v>327</v>
      </c>
      <c r="X133" s="481">
        <v>80.0</v>
      </c>
      <c r="Y133" s="481">
        <v>60.0</v>
      </c>
      <c r="Z133" s="481">
        <v>72.0</v>
      </c>
      <c r="AA133" s="481">
        <v>44.0</v>
      </c>
      <c r="AB133" s="481">
        <v>52.0</v>
      </c>
      <c r="AC133" s="481">
        <v>84.0</v>
      </c>
      <c r="AD133" s="481">
        <v>52.0</v>
      </c>
      <c r="AE133" s="492">
        <v>0.0</v>
      </c>
      <c r="AF133" s="481">
        <v>12.0</v>
      </c>
      <c r="AG133" s="520">
        <v>0.0</v>
      </c>
      <c r="AH133" s="481">
        <v>0.0</v>
      </c>
      <c r="AI133" s="464">
        <f t="shared" si="397"/>
        <v>456</v>
      </c>
      <c r="AJ133" s="481">
        <v>80.0</v>
      </c>
      <c r="AK133" s="481">
        <v>60.0</v>
      </c>
      <c r="AL133" s="481">
        <v>72.0</v>
      </c>
      <c r="AM133" s="481">
        <v>44.0</v>
      </c>
      <c r="AN133" s="481">
        <v>52.0</v>
      </c>
      <c r="AO133" s="481">
        <v>84.0</v>
      </c>
      <c r="AP133" s="481">
        <v>52.0</v>
      </c>
      <c r="AQ133" s="492">
        <v>0.0</v>
      </c>
      <c r="AR133" s="481">
        <v>12.0</v>
      </c>
      <c r="AS133" s="520">
        <v>0.0</v>
      </c>
      <c r="AT133" s="481">
        <v>0.0</v>
      </c>
      <c r="AU133" s="463">
        <f t="shared" si="398"/>
        <v>456</v>
      </c>
      <c r="AV133" s="483">
        <f t="shared" si="399"/>
        <v>1239</v>
      </c>
      <c r="AW133" s="484"/>
      <c r="AX133" s="485">
        <v>0.11</v>
      </c>
      <c r="AY133" s="485">
        <f t="shared" si="400"/>
        <v>0.7656</v>
      </c>
      <c r="AZ133" s="486"/>
      <c r="BA133" s="487">
        <f t="shared" ref="BA133:BJ133" si="417">L133*$AY133</f>
        <v>49.764</v>
      </c>
      <c r="BB133" s="487">
        <f t="shared" si="417"/>
        <v>36.7488</v>
      </c>
      <c r="BC133" s="487">
        <f t="shared" si="417"/>
        <v>44.4048</v>
      </c>
      <c r="BD133" s="487">
        <f t="shared" si="417"/>
        <v>27.5616</v>
      </c>
      <c r="BE133" s="487">
        <f t="shared" si="417"/>
        <v>32.1552</v>
      </c>
      <c r="BF133" s="487">
        <f t="shared" si="417"/>
        <v>52.0608</v>
      </c>
      <c r="BG133" s="487">
        <f t="shared" si="417"/>
        <v>0</v>
      </c>
      <c r="BH133" s="487">
        <f t="shared" si="417"/>
        <v>0</v>
      </c>
      <c r="BI133" s="487">
        <f t="shared" si="417"/>
        <v>7.656</v>
      </c>
      <c r="BJ133" s="487">
        <f t="shared" si="417"/>
        <v>0</v>
      </c>
      <c r="BK133" s="488">
        <f t="shared" si="402"/>
        <v>250.3512</v>
      </c>
      <c r="BL133" s="487">
        <f t="shared" ref="BL133:BU133" si="418">X133*$AY133</f>
        <v>61.248</v>
      </c>
      <c r="BM133" s="487">
        <f t="shared" si="418"/>
        <v>45.936</v>
      </c>
      <c r="BN133" s="487">
        <f t="shared" si="418"/>
        <v>55.1232</v>
      </c>
      <c r="BO133" s="487">
        <f t="shared" si="418"/>
        <v>33.6864</v>
      </c>
      <c r="BP133" s="487">
        <f t="shared" si="418"/>
        <v>39.8112</v>
      </c>
      <c r="BQ133" s="487">
        <f t="shared" si="418"/>
        <v>64.3104</v>
      </c>
      <c r="BR133" s="487">
        <f t="shared" si="418"/>
        <v>39.8112</v>
      </c>
      <c r="BS133" s="487">
        <f t="shared" si="418"/>
        <v>0</v>
      </c>
      <c r="BT133" s="487">
        <f t="shared" si="418"/>
        <v>9.1872</v>
      </c>
      <c r="BU133" s="487">
        <f t="shared" si="418"/>
        <v>0</v>
      </c>
      <c r="BV133" s="488">
        <f t="shared" si="404"/>
        <v>349.1136</v>
      </c>
      <c r="BW133" s="487">
        <f t="shared" ref="BW133:CF133" si="419">AJ133*$AY133</f>
        <v>61.248</v>
      </c>
      <c r="BX133" s="487">
        <f t="shared" si="419"/>
        <v>45.936</v>
      </c>
      <c r="BY133" s="487">
        <f t="shared" si="419"/>
        <v>55.1232</v>
      </c>
      <c r="BZ133" s="487">
        <f t="shared" si="419"/>
        <v>33.6864</v>
      </c>
      <c r="CA133" s="487">
        <f t="shared" si="419"/>
        <v>39.8112</v>
      </c>
      <c r="CB133" s="487">
        <f t="shared" si="419"/>
        <v>64.3104</v>
      </c>
      <c r="CC133" s="487">
        <f t="shared" si="419"/>
        <v>39.8112</v>
      </c>
      <c r="CD133" s="487">
        <f t="shared" si="419"/>
        <v>0</v>
      </c>
      <c r="CE133" s="487">
        <f t="shared" si="419"/>
        <v>9.1872</v>
      </c>
      <c r="CF133" s="487">
        <f t="shared" si="419"/>
        <v>0</v>
      </c>
      <c r="CG133" s="488">
        <f t="shared" si="406"/>
        <v>349.1136</v>
      </c>
      <c r="CH133" s="488">
        <f t="shared" si="407"/>
        <v>948.5784</v>
      </c>
      <c r="CI133" s="489"/>
      <c r="CJ133" s="487"/>
      <c r="CK133" s="472">
        <v>1.0</v>
      </c>
      <c r="CL133" s="104">
        <f>VLOOKUP(I133,Cotizacion!$A$2:$E$423,4,FALSE())</f>
        <v>0.11</v>
      </c>
    </row>
    <row r="134" ht="15.75" customHeight="1">
      <c r="A134" s="453" t="s">
        <v>2848</v>
      </c>
      <c r="B134" s="454">
        <v>2.0</v>
      </c>
      <c r="C134" s="455" t="s">
        <v>2707</v>
      </c>
      <c r="D134" s="456" t="s">
        <v>785</v>
      </c>
      <c r="E134" s="455" t="s">
        <v>2708</v>
      </c>
      <c r="F134" s="455" t="s">
        <v>1763</v>
      </c>
      <c r="G134" s="457" t="s">
        <v>2709</v>
      </c>
      <c r="H134" s="457" t="s">
        <v>2716</v>
      </c>
      <c r="I134" s="458" t="s">
        <v>1867</v>
      </c>
      <c r="J134" s="459" t="s">
        <v>1565</v>
      </c>
      <c r="K134" s="460" t="s">
        <v>25</v>
      </c>
      <c r="L134" s="461">
        <v>8.0</v>
      </c>
      <c r="M134" s="461">
        <v>6.0</v>
      </c>
      <c r="N134" s="461">
        <v>8.0</v>
      </c>
      <c r="O134" s="461">
        <v>4.0</v>
      </c>
      <c r="P134" s="461">
        <v>4.0</v>
      </c>
      <c r="Q134" s="461">
        <v>6.0</v>
      </c>
      <c r="R134" s="461">
        <v>2.0</v>
      </c>
      <c r="S134" s="461">
        <v>2.0</v>
      </c>
      <c r="T134" s="461">
        <v>1.0</v>
      </c>
      <c r="U134" s="490">
        <v>16.0</v>
      </c>
      <c r="V134" s="461">
        <v>0.0</v>
      </c>
      <c r="W134" s="463">
        <f t="shared" si="396"/>
        <v>57</v>
      </c>
      <c r="X134" s="461">
        <v>8.0</v>
      </c>
      <c r="Y134" s="461">
        <v>6.0</v>
      </c>
      <c r="Z134" s="461">
        <v>8.0</v>
      </c>
      <c r="AA134" s="461">
        <v>4.0</v>
      </c>
      <c r="AB134" s="461">
        <v>4.0</v>
      </c>
      <c r="AC134" s="461">
        <v>6.0</v>
      </c>
      <c r="AD134" s="461">
        <v>2.0</v>
      </c>
      <c r="AE134" s="461">
        <v>2.0</v>
      </c>
      <c r="AF134" s="461">
        <v>1.0</v>
      </c>
      <c r="AG134" s="490">
        <v>16.0</v>
      </c>
      <c r="AH134" s="461">
        <v>0.0</v>
      </c>
      <c r="AI134" s="464">
        <f t="shared" si="397"/>
        <v>57</v>
      </c>
      <c r="AJ134" s="461">
        <v>8.0</v>
      </c>
      <c r="AK134" s="461">
        <v>6.0</v>
      </c>
      <c r="AL134" s="461">
        <v>8.0</v>
      </c>
      <c r="AM134" s="461">
        <v>4.0</v>
      </c>
      <c r="AN134" s="461">
        <v>4.0</v>
      </c>
      <c r="AO134" s="461">
        <v>6.0</v>
      </c>
      <c r="AP134" s="461">
        <v>2.0</v>
      </c>
      <c r="AQ134" s="461">
        <v>2.0</v>
      </c>
      <c r="AR134" s="461">
        <v>1.0</v>
      </c>
      <c r="AS134" s="490">
        <v>16.0</v>
      </c>
      <c r="AT134" s="461">
        <v>0.0</v>
      </c>
      <c r="AU134" s="463">
        <f t="shared" si="398"/>
        <v>57</v>
      </c>
      <c r="AV134" s="465">
        <f t="shared" si="399"/>
        <v>171</v>
      </c>
      <c r="AW134" s="466"/>
      <c r="AX134" s="467">
        <v>0.69</v>
      </c>
      <c r="AY134" s="467">
        <f t="shared" si="400"/>
        <v>4.8024</v>
      </c>
      <c r="AZ134" s="468"/>
      <c r="BA134" s="469">
        <f t="shared" ref="BA134:BJ134" si="420">L134*$AY134</f>
        <v>38.4192</v>
      </c>
      <c r="BB134" s="469">
        <f t="shared" si="420"/>
        <v>28.8144</v>
      </c>
      <c r="BC134" s="469">
        <f t="shared" si="420"/>
        <v>38.4192</v>
      </c>
      <c r="BD134" s="469">
        <f t="shared" si="420"/>
        <v>19.2096</v>
      </c>
      <c r="BE134" s="469">
        <f t="shared" si="420"/>
        <v>19.2096</v>
      </c>
      <c r="BF134" s="469">
        <f t="shared" si="420"/>
        <v>28.8144</v>
      </c>
      <c r="BG134" s="469">
        <f t="shared" si="420"/>
        <v>9.6048</v>
      </c>
      <c r="BH134" s="469">
        <f t="shared" si="420"/>
        <v>9.6048</v>
      </c>
      <c r="BI134" s="469">
        <f t="shared" si="420"/>
        <v>4.8024</v>
      </c>
      <c r="BJ134" s="469">
        <f t="shared" si="420"/>
        <v>76.8384</v>
      </c>
      <c r="BK134" s="470">
        <f t="shared" si="402"/>
        <v>273.7368</v>
      </c>
      <c r="BL134" s="469">
        <f t="shared" ref="BL134:BU134" si="421">X134*$AY134</f>
        <v>38.4192</v>
      </c>
      <c r="BM134" s="469">
        <f t="shared" si="421"/>
        <v>28.8144</v>
      </c>
      <c r="BN134" s="469">
        <f t="shared" si="421"/>
        <v>38.4192</v>
      </c>
      <c r="BO134" s="469">
        <f t="shared" si="421"/>
        <v>19.2096</v>
      </c>
      <c r="BP134" s="469">
        <f t="shared" si="421"/>
        <v>19.2096</v>
      </c>
      <c r="BQ134" s="469">
        <f t="shared" si="421"/>
        <v>28.8144</v>
      </c>
      <c r="BR134" s="469">
        <f t="shared" si="421"/>
        <v>9.6048</v>
      </c>
      <c r="BS134" s="469">
        <f t="shared" si="421"/>
        <v>9.6048</v>
      </c>
      <c r="BT134" s="469">
        <f t="shared" si="421"/>
        <v>4.8024</v>
      </c>
      <c r="BU134" s="469">
        <f t="shared" si="421"/>
        <v>76.8384</v>
      </c>
      <c r="BV134" s="470">
        <f t="shared" si="404"/>
        <v>273.7368</v>
      </c>
      <c r="BW134" s="469">
        <f t="shared" ref="BW134:CF134" si="422">AJ134*$AY134</f>
        <v>38.4192</v>
      </c>
      <c r="BX134" s="469">
        <f t="shared" si="422"/>
        <v>28.8144</v>
      </c>
      <c r="BY134" s="469">
        <f t="shared" si="422"/>
        <v>38.4192</v>
      </c>
      <c r="BZ134" s="469">
        <f t="shared" si="422"/>
        <v>19.2096</v>
      </c>
      <c r="CA134" s="469">
        <f t="shared" si="422"/>
        <v>19.2096</v>
      </c>
      <c r="CB134" s="469">
        <f t="shared" si="422"/>
        <v>28.8144</v>
      </c>
      <c r="CC134" s="469">
        <f t="shared" si="422"/>
        <v>9.6048</v>
      </c>
      <c r="CD134" s="469">
        <f t="shared" si="422"/>
        <v>9.6048</v>
      </c>
      <c r="CE134" s="469">
        <f t="shared" si="422"/>
        <v>4.8024</v>
      </c>
      <c r="CF134" s="469">
        <f t="shared" si="422"/>
        <v>76.8384</v>
      </c>
      <c r="CG134" s="470">
        <f t="shared" si="406"/>
        <v>273.7368</v>
      </c>
      <c r="CH134" s="470">
        <f t="shared" si="407"/>
        <v>821.2104</v>
      </c>
      <c r="CI134" s="552"/>
      <c r="CJ134" s="469"/>
      <c r="CK134" s="472">
        <v>1.0</v>
      </c>
      <c r="CL134" s="104">
        <f>VLOOKUP(I134,Cotizacion!$A$2:$E$423,4,FALSE())</f>
        <v>0.69</v>
      </c>
    </row>
    <row r="135" ht="15.75" customHeight="1">
      <c r="A135" s="474" t="s">
        <v>2848</v>
      </c>
      <c r="B135" s="475">
        <v>2.0</v>
      </c>
      <c r="C135" s="476" t="s">
        <v>2707</v>
      </c>
      <c r="D135" s="477" t="s">
        <v>785</v>
      </c>
      <c r="E135" s="476" t="s">
        <v>2708</v>
      </c>
      <c r="F135" s="476" t="s">
        <v>1763</v>
      </c>
      <c r="G135" s="457" t="s">
        <v>2709</v>
      </c>
      <c r="H135" s="457" t="s">
        <v>2938</v>
      </c>
      <c r="I135" s="478" t="s">
        <v>2316</v>
      </c>
      <c r="J135" s="479" t="s">
        <v>1534</v>
      </c>
      <c r="K135" s="480" t="s">
        <v>25</v>
      </c>
      <c r="L135" s="481">
        <v>4.0</v>
      </c>
      <c r="M135" s="481">
        <v>2.0</v>
      </c>
      <c r="N135" s="481">
        <v>4.0</v>
      </c>
      <c r="O135" s="481">
        <v>4.0</v>
      </c>
      <c r="P135" s="481">
        <v>6.0</v>
      </c>
      <c r="Q135" s="481">
        <v>4.0</v>
      </c>
      <c r="R135" s="481">
        <v>0.0</v>
      </c>
      <c r="S135" s="481">
        <v>0.0</v>
      </c>
      <c r="T135" s="481">
        <v>0.0</v>
      </c>
      <c r="U135" s="492">
        <v>2.0</v>
      </c>
      <c r="V135" s="481">
        <v>0.0</v>
      </c>
      <c r="W135" s="463">
        <f t="shared" si="396"/>
        <v>26</v>
      </c>
      <c r="X135" s="481">
        <v>4.0</v>
      </c>
      <c r="Y135" s="481">
        <v>2.0</v>
      </c>
      <c r="Z135" s="481">
        <v>4.0</v>
      </c>
      <c r="AA135" s="481">
        <v>4.0</v>
      </c>
      <c r="AB135" s="481">
        <v>6.0</v>
      </c>
      <c r="AC135" s="481">
        <v>4.0</v>
      </c>
      <c r="AD135" s="482">
        <v>4.0</v>
      </c>
      <c r="AE135" s="481">
        <v>0.0</v>
      </c>
      <c r="AF135" s="482">
        <v>2.0</v>
      </c>
      <c r="AG135" s="492">
        <v>2.0</v>
      </c>
      <c r="AH135" s="481">
        <v>0.0</v>
      </c>
      <c r="AI135" s="464">
        <f t="shared" si="397"/>
        <v>32</v>
      </c>
      <c r="AJ135" s="481">
        <v>4.0</v>
      </c>
      <c r="AK135" s="481">
        <v>2.0</v>
      </c>
      <c r="AL135" s="481">
        <v>4.0</v>
      </c>
      <c r="AM135" s="481">
        <v>4.0</v>
      </c>
      <c r="AN135" s="481">
        <v>6.0</v>
      </c>
      <c r="AO135" s="481">
        <v>4.0</v>
      </c>
      <c r="AP135" s="482">
        <v>4.0</v>
      </c>
      <c r="AQ135" s="481">
        <v>0.0</v>
      </c>
      <c r="AR135" s="482">
        <v>2.0</v>
      </c>
      <c r="AS135" s="492">
        <v>2.0</v>
      </c>
      <c r="AT135" s="481">
        <v>0.0</v>
      </c>
      <c r="AU135" s="463">
        <f t="shared" si="398"/>
        <v>32</v>
      </c>
      <c r="AV135" s="483">
        <f t="shared" si="399"/>
        <v>90</v>
      </c>
      <c r="AW135" s="484"/>
      <c r="AX135" s="485">
        <v>1.31</v>
      </c>
      <c r="AY135" s="485">
        <f t="shared" si="400"/>
        <v>9.1176</v>
      </c>
      <c r="AZ135" s="486"/>
      <c r="BA135" s="487">
        <f t="shared" ref="BA135:BJ135" si="423">L135*$AY135</f>
        <v>36.4704</v>
      </c>
      <c r="BB135" s="487">
        <f t="shared" si="423"/>
        <v>18.2352</v>
      </c>
      <c r="BC135" s="487">
        <f t="shared" si="423"/>
        <v>36.4704</v>
      </c>
      <c r="BD135" s="487">
        <f t="shared" si="423"/>
        <v>36.4704</v>
      </c>
      <c r="BE135" s="487">
        <f t="shared" si="423"/>
        <v>54.7056</v>
      </c>
      <c r="BF135" s="487">
        <f t="shared" si="423"/>
        <v>36.4704</v>
      </c>
      <c r="BG135" s="487">
        <f t="shared" si="423"/>
        <v>0</v>
      </c>
      <c r="BH135" s="487">
        <f t="shared" si="423"/>
        <v>0</v>
      </c>
      <c r="BI135" s="487">
        <f t="shared" si="423"/>
        <v>0</v>
      </c>
      <c r="BJ135" s="487">
        <f t="shared" si="423"/>
        <v>18.2352</v>
      </c>
      <c r="BK135" s="488">
        <f t="shared" si="402"/>
        <v>237.0576</v>
      </c>
      <c r="BL135" s="487">
        <f t="shared" ref="BL135:BU135" si="424">X135*$AY135</f>
        <v>36.4704</v>
      </c>
      <c r="BM135" s="487">
        <f t="shared" si="424"/>
        <v>18.2352</v>
      </c>
      <c r="BN135" s="487">
        <f t="shared" si="424"/>
        <v>36.4704</v>
      </c>
      <c r="BO135" s="487">
        <f t="shared" si="424"/>
        <v>36.4704</v>
      </c>
      <c r="BP135" s="487">
        <f t="shared" si="424"/>
        <v>54.7056</v>
      </c>
      <c r="BQ135" s="487">
        <f t="shared" si="424"/>
        <v>36.4704</v>
      </c>
      <c r="BR135" s="487">
        <f t="shared" si="424"/>
        <v>36.4704</v>
      </c>
      <c r="BS135" s="487">
        <f t="shared" si="424"/>
        <v>0</v>
      </c>
      <c r="BT135" s="487">
        <f t="shared" si="424"/>
        <v>18.2352</v>
      </c>
      <c r="BU135" s="487">
        <f t="shared" si="424"/>
        <v>18.2352</v>
      </c>
      <c r="BV135" s="488">
        <f t="shared" si="404"/>
        <v>291.7632</v>
      </c>
      <c r="BW135" s="487">
        <f t="shared" ref="BW135:CF135" si="425">AJ135*$AY135</f>
        <v>36.4704</v>
      </c>
      <c r="BX135" s="487">
        <f t="shared" si="425"/>
        <v>18.2352</v>
      </c>
      <c r="BY135" s="487">
        <f t="shared" si="425"/>
        <v>36.4704</v>
      </c>
      <c r="BZ135" s="487">
        <f t="shared" si="425"/>
        <v>36.4704</v>
      </c>
      <c r="CA135" s="487">
        <f t="shared" si="425"/>
        <v>54.7056</v>
      </c>
      <c r="CB135" s="487">
        <f t="shared" si="425"/>
        <v>36.4704</v>
      </c>
      <c r="CC135" s="487">
        <f t="shared" si="425"/>
        <v>36.4704</v>
      </c>
      <c r="CD135" s="487">
        <f t="shared" si="425"/>
        <v>0</v>
      </c>
      <c r="CE135" s="487">
        <f t="shared" si="425"/>
        <v>18.2352</v>
      </c>
      <c r="CF135" s="487">
        <f t="shared" si="425"/>
        <v>18.2352</v>
      </c>
      <c r="CG135" s="488">
        <f t="shared" si="406"/>
        <v>291.7632</v>
      </c>
      <c r="CH135" s="488">
        <f t="shared" si="407"/>
        <v>820.584</v>
      </c>
      <c r="CI135" s="489"/>
      <c r="CJ135" s="487"/>
      <c r="CK135" s="472">
        <v>1.0</v>
      </c>
      <c r="CL135" s="104">
        <f>VLOOKUP(I135,Cotizacion!$A$2:$E$423,4,FALSE())</f>
        <v>1.31</v>
      </c>
      <c r="CM135" s="1"/>
    </row>
    <row r="136" ht="15.75" customHeight="1">
      <c r="A136" s="453" t="s">
        <v>2848</v>
      </c>
      <c r="B136" s="454">
        <v>2.0</v>
      </c>
      <c r="C136" s="455" t="s">
        <v>2852</v>
      </c>
      <c r="D136" s="456" t="s">
        <v>46</v>
      </c>
      <c r="E136" s="455" t="s">
        <v>2708</v>
      </c>
      <c r="F136" s="455" t="s">
        <v>1763</v>
      </c>
      <c r="G136" s="457" t="s">
        <v>2709</v>
      </c>
      <c r="H136" s="457" t="s">
        <v>2939</v>
      </c>
      <c r="I136" s="458" t="s">
        <v>1852</v>
      </c>
      <c r="J136" s="459" t="s">
        <v>1495</v>
      </c>
      <c r="K136" s="460" t="s">
        <v>25</v>
      </c>
      <c r="L136" s="461">
        <v>24.0</v>
      </c>
      <c r="M136" s="461">
        <v>18.0</v>
      </c>
      <c r="N136" s="461">
        <v>21.0</v>
      </c>
      <c r="O136" s="461">
        <v>13.0</v>
      </c>
      <c r="P136" s="461">
        <v>15.0</v>
      </c>
      <c r="Q136" s="461">
        <v>25.0</v>
      </c>
      <c r="R136" s="461">
        <v>20.0</v>
      </c>
      <c r="S136" s="461">
        <v>24.0</v>
      </c>
      <c r="T136" s="461">
        <v>4.0</v>
      </c>
      <c r="U136" s="551">
        <v>0.0</v>
      </c>
      <c r="V136" s="461">
        <v>0.0</v>
      </c>
      <c r="W136" s="463">
        <f t="shared" si="396"/>
        <v>164</v>
      </c>
      <c r="X136" s="461">
        <v>80.0</v>
      </c>
      <c r="Y136" s="461">
        <v>60.0</v>
      </c>
      <c r="Z136" s="461">
        <v>72.0</v>
      </c>
      <c r="AA136" s="461">
        <v>44.0</v>
      </c>
      <c r="AB136" s="461">
        <v>52.0</v>
      </c>
      <c r="AC136" s="461">
        <v>84.0</v>
      </c>
      <c r="AD136" s="461">
        <v>65.0</v>
      </c>
      <c r="AE136" s="461">
        <v>80.0</v>
      </c>
      <c r="AF136" s="461">
        <v>15.0</v>
      </c>
      <c r="AG136" s="551">
        <v>0.0</v>
      </c>
      <c r="AH136" s="461">
        <v>0.0</v>
      </c>
      <c r="AI136" s="464">
        <f t="shared" si="397"/>
        <v>552</v>
      </c>
      <c r="AJ136" s="461">
        <v>80.0</v>
      </c>
      <c r="AK136" s="461">
        <v>60.0</v>
      </c>
      <c r="AL136" s="461">
        <v>72.0</v>
      </c>
      <c r="AM136" s="461">
        <v>44.0</v>
      </c>
      <c r="AN136" s="461">
        <v>52.0</v>
      </c>
      <c r="AO136" s="461">
        <v>84.0</v>
      </c>
      <c r="AP136" s="461">
        <v>65.0</v>
      </c>
      <c r="AQ136" s="461">
        <v>80.0</v>
      </c>
      <c r="AR136" s="461">
        <v>15.0</v>
      </c>
      <c r="AS136" s="551">
        <v>0.0</v>
      </c>
      <c r="AT136" s="461">
        <v>0.0</v>
      </c>
      <c r="AU136" s="463">
        <f t="shared" si="398"/>
        <v>552</v>
      </c>
      <c r="AV136" s="465">
        <f t="shared" si="399"/>
        <v>1268</v>
      </c>
      <c r="AW136" s="466"/>
      <c r="AX136" s="467">
        <v>0.08</v>
      </c>
      <c r="AY136" s="467">
        <f t="shared" si="400"/>
        <v>0.5568</v>
      </c>
      <c r="AZ136" s="468"/>
      <c r="BA136" s="469">
        <f t="shared" ref="BA136:BJ136" si="426">L136*$AY136</f>
        <v>13.3632</v>
      </c>
      <c r="BB136" s="469">
        <f t="shared" si="426"/>
        <v>10.0224</v>
      </c>
      <c r="BC136" s="469">
        <f t="shared" si="426"/>
        <v>11.6928</v>
      </c>
      <c r="BD136" s="469">
        <f t="shared" si="426"/>
        <v>7.2384</v>
      </c>
      <c r="BE136" s="469">
        <f t="shared" si="426"/>
        <v>8.352</v>
      </c>
      <c r="BF136" s="469">
        <f t="shared" si="426"/>
        <v>13.92</v>
      </c>
      <c r="BG136" s="469">
        <f t="shared" si="426"/>
        <v>11.136</v>
      </c>
      <c r="BH136" s="469">
        <f t="shared" si="426"/>
        <v>13.3632</v>
      </c>
      <c r="BI136" s="469">
        <f t="shared" si="426"/>
        <v>2.2272</v>
      </c>
      <c r="BJ136" s="469">
        <f t="shared" si="426"/>
        <v>0</v>
      </c>
      <c r="BK136" s="470">
        <f t="shared" si="402"/>
        <v>91.3152</v>
      </c>
      <c r="BL136" s="469">
        <f t="shared" ref="BL136:BU136" si="427">X136*$AY136</f>
        <v>44.544</v>
      </c>
      <c r="BM136" s="469">
        <f t="shared" si="427"/>
        <v>33.408</v>
      </c>
      <c r="BN136" s="469">
        <f t="shared" si="427"/>
        <v>40.0896</v>
      </c>
      <c r="BO136" s="469">
        <f t="shared" si="427"/>
        <v>24.4992</v>
      </c>
      <c r="BP136" s="469">
        <f t="shared" si="427"/>
        <v>28.9536</v>
      </c>
      <c r="BQ136" s="469">
        <f t="shared" si="427"/>
        <v>46.7712</v>
      </c>
      <c r="BR136" s="469">
        <f t="shared" si="427"/>
        <v>36.192</v>
      </c>
      <c r="BS136" s="469">
        <f t="shared" si="427"/>
        <v>44.544</v>
      </c>
      <c r="BT136" s="469">
        <f t="shared" si="427"/>
        <v>8.352</v>
      </c>
      <c r="BU136" s="469">
        <f t="shared" si="427"/>
        <v>0</v>
      </c>
      <c r="BV136" s="470">
        <f t="shared" si="404"/>
        <v>307.3536</v>
      </c>
      <c r="BW136" s="469">
        <f t="shared" ref="BW136:CF136" si="428">AJ136*$AY136</f>
        <v>44.544</v>
      </c>
      <c r="BX136" s="469">
        <f t="shared" si="428"/>
        <v>33.408</v>
      </c>
      <c r="BY136" s="469">
        <f t="shared" si="428"/>
        <v>40.0896</v>
      </c>
      <c r="BZ136" s="469">
        <f t="shared" si="428"/>
        <v>24.4992</v>
      </c>
      <c r="CA136" s="469">
        <f t="shared" si="428"/>
        <v>28.9536</v>
      </c>
      <c r="CB136" s="469">
        <f t="shared" si="428"/>
        <v>46.7712</v>
      </c>
      <c r="CC136" s="469">
        <f t="shared" si="428"/>
        <v>36.192</v>
      </c>
      <c r="CD136" s="469">
        <f t="shared" si="428"/>
        <v>44.544</v>
      </c>
      <c r="CE136" s="469">
        <f t="shared" si="428"/>
        <v>8.352</v>
      </c>
      <c r="CF136" s="469">
        <f t="shared" si="428"/>
        <v>0</v>
      </c>
      <c r="CG136" s="470">
        <f t="shared" si="406"/>
        <v>307.3536</v>
      </c>
      <c r="CH136" s="470">
        <f t="shared" si="407"/>
        <v>706.0224</v>
      </c>
      <c r="CI136" s="471"/>
      <c r="CJ136" s="469"/>
      <c r="CK136" s="472">
        <v>1.0</v>
      </c>
      <c r="CL136" s="104">
        <f>VLOOKUP(I136,Cotizacion!$A$2:$E$423,4,FALSE())</f>
        <v>0.08</v>
      </c>
      <c r="CM136" s="1"/>
    </row>
    <row r="137" ht="15.75" customHeight="1">
      <c r="A137" s="474" t="s">
        <v>2848</v>
      </c>
      <c r="B137" s="475">
        <v>2.0</v>
      </c>
      <c r="C137" s="477" t="s">
        <v>2852</v>
      </c>
      <c r="D137" s="477" t="s">
        <v>52</v>
      </c>
      <c r="E137" s="477" t="s">
        <v>2708</v>
      </c>
      <c r="F137" s="477" t="s">
        <v>1763</v>
      </c>
      <c r="G137" s="457" t="s">
        <v>2709</v>
      </c>
      <c r="H137" s="457" t="s">
        <v>2940</v>
      </c>
      <c r="I137" s="501" t="s">
        <v>2310</v>
      </c>
      <c r="J137" s="479" t="s">
        <v>1166</v>
      </c>
      <c r="K137" s="502" t="s">
        <v>25</v>
      </c>
      <c r="L137" s="481">
        <v>20.0</v>
      </c>
      <c r="M137" s="481">
        <v>12.0</v>
      </c>
      <c r="N137" s="481">
        <v>17.0</v>
      </c>
      <c r="O137" s="481">
        <v>0.0</v>
      </c>
      <c r="P137" s="481">
        <v>0.0</v>
      </c>
      <c r="Q137" s="481">
        <v>0.0</v>
      </c>
      <c r="R137" s="481">
        <v>6.0</v>
      </c>
      <c r="S137" s="492">
        <v>2.0</v>
      </c>
      <c r="T137" s="481">
        <v>3.0</v>
      </c>
      <c r="U137" s="492">
        <v>0.0</v>
      </c>
      <c r="V137" s="481">
        <v>0.0</v>
      </c>
      <c r="W137" s="463">
        <f t="shared" si="396"/>
        <v>60</v>
      </c>
      <c r="X137" s="481">
        <v>30.0</v>
      </c>
      <c r="Y137" s="481">
        <v>18.0</v>
      </c>
      <c r="Z137" s="481">
        <v>26.0</v>
      </c>
      <c r="AA137" s="481">
        <v>0.0</v>
      </c>
      <c r="AB137" s="481">
        <v>0.0</v>
      </c>
      <c r="AC137" s="481">
        <v>0.0</v>
      </c>
      <c r="AD137" s="481">
        <v>10.0</v>
      </c>
      <c r="AE137" s="481">
        <v>10.0</v>
      </c>
      <c r="AF137" s="481">
        <v>5.0</v>
      </c>
      <c r="AG137" s="492">
        <v>0.0</v>
      </c>
      <c r="AH137" s="481">
        <v>0.0</v>
      </c>
      <c r="AI137" s="464">
        <f t="shared" si="397"/>
        <v>99</v>
      </c>
      <c r="AJ137" s="481">
        <v>30.0</v>
      </c>
      <c r="AK137" s="481">
        <v>18.0</v>
      </c>
      <c r="AL137" s="481">
        <v>26.0</v>
      </c>
      <c r="AM137" s="481">
        <v>0.0</v>
      </c>
      <c r="AN137" s="481">
        <v>0.0</v>
      </c>
      <c r="AO137" s="481">
        <v>0.0</v>
      </c>
      <c r="AP137" s="481">
        <v>10.0</v>
      </c>
      <c r="AQ137" s="481">
        <v>10.0</v>
      </c>
      <c r="AR137" s="481">
        <v>5.0</v>
      </c>
      <c r="AS137" s="492">
        <v>0.0</v>
      </c>
      <c r="AT137" s="481">
        <v>0.0</v>
      </c>
      <c r="AU137" s="463">
        <f t="shared" si="398"/>
        <v>99</v>
      </c>
      <c r="AV137" s="483">
        <f t="shared" si="399"/>
        <v>258</v>
      </c>
      <c r="AW137" s="484"/>
      <c r="AX137" s="503">
        <v>0.39</v>
      </c>
      <c r="AY137" s="485">
        <f t="shared" si="400"/>
        <v>2.7144</v>
      </c>
      <c r="AZ137" s="504"/>
      <c r="BA137" s="487">
        <f t="shared" ref="BA137:BJ137" si="429">L137*$AY137</f>
        <v>54.288</v>
      </c>
      <c r="BB137" s="487">
        <f t="shared" si="429"/>
        <v>32.5728</v>
      </c>
      <c r="BC137" s="487">
        <f t="shared" si="429"/>
        <v>46.1448</v>
      </c>
      <c r="BD137" s="487">
        <f t="shared" si="429"/>
        <v>0</v>
      </c>
      <c r="BE137" s="487">
        <f t="shared" si="429"/>
        <v>0</v>
      </c>
      <c r="BF137" s="487">
        <f t="shared" si="429"/>
        <v>0</v>
      </c>
      <c r="BG137" s="487">
        <f t="shared" si="429"/>
        <v>16.2864</v>
      </c>
      <c r="BH137" s="487">
        <f t="shared" si="429"/>
        <v>5.4288</v>
      </c>
      <c r="BI137" s="487">
        <f t="shared" si="429"/>
        <v>8.1432</v>
      </c>
      <c r="BJ137" s="487">
        <f t="shared" si="429"/>
        <v>0</v>
      </c>
      <c r="BK137" s="488">
        <f t="shared" si="402"/>
        <v>162.864</v>
      </c>
      <c r="BL137" s="487">
        <f t="shared" ref="BL137:BU137" si="430">X137*$AY137</f>
        <v>81.432</v>
      </c>
      <c r="BM137" s="487">
        <f t="shared" si="430"/>
        <v>48.8592</v>
      </c>
      <c r="BN137" s="487">
        <f t="shared" si="430"/>
        <v>70.5744</v>
      </c>
      <c r="BO137" s="487">
        <f t="shared" si="430"/>
        <v>0</v>
      </c>
      <c r="BP137" s="487">
        <f t="shared" si="430"/>
        <v>0</v>
      </c>
      <c r="BQ137" s="487">
        <f t="shared" si="430"/>
        <v>0</v>
      </c>
      <c r="BR137" s="487">
        <f t="shared" si="430"/>
        <v>27.144</v>
      </c>
      <c r="BS137" s="487">
        <f t="shared" si="430"/>
        <v>27.144</v>
      </c>
      <c r="BT137" s="487">
        <f t="shared" si="430"/>
        <v>13.572</v>
      </c>
      <c r="BU137" s="487">
        <f t="shared" si="430"/>
        <v>0</v>
      </c>
      <c r="BV137" s="488">
        <f t="shared" si="404"/>
        <v>268.7256</v>
      </c>
      <c r="BW137" s="487">
        <f t="shared" ref="BW137:CF137" si="431">AJ137*$AY137</f>
        <v>81.432</v>
      </c>
      <c r="BX137" s="487">
        <f t="shared" si="431"/>
        <v>48.8592</v>
      </c>
      <c r="BY137" s="487">
        <f t="shared" si="431"/>
        <v>70.5744</v>
      </c>
      <c r="BZ137" s="487">
        <f t="shared" si="431"/>
        <v>0</v>
      </c>
      <c r="CA137" s="487">
        <f t="shared" si="431"/>
        <v>0</v>
      </c>
      <c r="CB137" s="487">
        <f t="shared" si="431"/>
        <v>0</v>
      </c>
      <c r="CC137" s="487">
        <f t="shared" si="431"/>
        <v>27.144</v>
      </c>
      <c r="CD137" s="487">
        <f t="shared" si="431"/>
        <v>27.144</v>
      </c>
      <c r="CE137" s="487">
        <f t="shared" si="431"/>
        <v>13.572</v>
      </c>
      <c r="CF137" s="487">
        <f t="shared" si="431"/>
        <v>0</v>
      </c>
      <c r="CG137" s="488">
        <f t="shared" si="406"/>
        <v>268.7256</v>
      </c>
      <c r="CH137" s="488">
        <f t="shared" si="407"/>
        <v>700.3152</v>
      </c>
      <c r="CI137" s="489"/>
      <c r="CJ137" s="505"/>
      <c r="CK137" s="472">
        <v>1.0</v>
      </c>
      <c r="CL137" s="104">
        <f>VLOOKUP(I137,Cotizacion!$A$2:$E$423,4,FALSE())</f>
        <v>0.39</v>
      </c>
    </row>
    <row r="138" ht="15.75" customHeight="1">
      <c r="A138" s="453" t="s">
        <v>2848</v>
      </c>
      <c r="B138" s="454">
        <v>2.0</v>
      </c>
      <c r="C138" s="455" t="s">
        <v>2852</v>
      </c>
      <c r="D138" s="456" t="s">
        <v>46</v>
      </c>
      <c r="E138" s="455" t="s">
        <v>2708</v>
      </c>
      <c r="F138" s="455" t="s">
        <v>1763</v>
      </c>
      <c r="G138" s="457" t="s">
        <v>2709</v>
      </c>
      <c r="H138" s="457" t="s">
        <v>2924</v>
      </c>
      <c r="I138" s="458" t="s">
        <v>1854</v>
      </c>
      <c r="J138" s="459" t="s">
        <v>1106</v>
      </c>
      <c r="K138" s="460" t="s">
        <v>25</v>
      </c>
      <c r="L138" s="461">
        <v>0.0</v>
      </c>
      <c r="M138" s="461">
        <v>0.0</v>
      </c>
      <c r="N138" s="461">
        <v>0.0</v>
      </c>
      <c r="O138" s="461">
        <v>0.0</v>
      </c>
      <c r="P138" s="461">
        <v>0.0</v>
      </c>
      <c r="Q138" s="461">
        <v>0.0</v>
      </c>
      <c r="R138" s="461">
        <v>0.0</v>
      </c>
      <c r="S138" s="461">
        <v>0.0</v>
      </c>
      <c r="T138" s="461">
        <v>0.0</v>
      </c>
      <c r="U138" s="461">
        <v>0.0</v>
      </c>
      <c r="V138" s="461">
        <v>0.0</v>
      </c>
      <c r="W138" s="463">
        <f t="shared" si="396"/>
        <v>0</v>
      </c>
      <c r="X138" s="461">
        <v>20.0</v>
      </c>
      <c r="Y138" s="461">
        <v>15.0</v>
      </c>
      <c r="Z138" s="461">
        <v>18.0</v>
      </c>
      <c r="AA138" s="461">
        <v>11.0</v>
      </c>
      <c r="AB138" s="461">
        <v>13.0</v>
      </c>
      <c r="AC138" s="461">
        <v>21.0</v>
      </c>
      <c r="AD138" s="461">
        <v>13.0</v>
      </c>
      <c r="AE138" s="461">
        <v>16.0</v>
      </c>
      <c r="AF138" s="461">
        <v>3.0</v>
      </c>
      <c r="AG138" s="461">
        <v>0.0</v>
      </c>
      <c r="AH138" s="461">
        <v>0.0</v>
      </c>
      <c r="AI138" s="464">
        <f t="shared" si="397"/>
        <v>130</v>
      </c>
      <c r="AJ138" s="461">
        <v>20.0</v>
      </c>
      <c r="AK138" s="461">
        <v>15.0</v>
      </c>
      <c r="AL138" s="461">
        <v>18.0</v>
      </c>
      <c r="AM138" s="461">
        <v>11.0</v>
      </c>
      <c r="AN138" s="461">
        <v>13.0</v>
      </c>
      <c r="AO138" s="461">
        <v>21.0</v>
      </c>
      <c r="AP138" s="461">
        <v>13.0</v>
      </c>
      <c r="AQ138" s="461">
        <v>16.0</v>
      </c>
      <c r="AR138" s="461">
        <v>3.0</v>
      </c>
      <c r="AS138" s="461">
        <v>0.0</v>
      </c>
      <c r="AT138" s="461">
        <v>0.0</v>
      </c>
      <c r="AU138" s="463">
        <f t="shared" si="398"/>
        <v>130</v>
      </c>
      <c r="AV138" s="465">
        <f t="shared" si="399"/>
        <v>260</v>
      </c>
      <c r="AW138" s="466"/>
      <c r="AX138" s="467">
        <v>0.23</v>
      </c>
      <c r="AY138" s="467">
        <f t="shared" si="400"/>
        <v>1.6008</v>
      </c>
      <c r="AZ138" s="468"/>
      <c r="BA138" s="469">
        <f t="shared" ref="BA138:BJ138" si="432">L138*$AY138</f>
        <v>0</v>
      </c>
      <c r="BB138" s="469">
        <f t="shared" si="432"/>
        <v>0</v>
      </c>
      <c r="BC138" s="469">
        <f t="shared" si="432"/>
        <v>0</v>
      </c>
      <c r="BD138" s="469">
        <f t="shared" si="432"/>
        <v>0</v>
      </c>
      <c r="BE138" s="469">
        <f t="shared" si="432"/>
        <v>0</v>
      </c>
      <c r="BF138" s="469">
        <f t="shared" si="432"/>
        <v>0</v>
      </c>
      <c r="BG138" s="469">
        <f t="shared" si="432"/>
        <v>0</v>
      </c>
      <c r="BH138" s="469">
        <f t="shared" si="432"/>
        <v>0</v>
      </c>
      <c r="BI138" s="469">
        <f t="shared" si="432"/>
        <v>0</v>
      </c>
      <c r="BJ138" s="469">
        <f t="shared" si="432"/>
        <v>0</v>
      </c>
      <c r="BK138" s="470">
        <f t="shared" si="402"/>
        <v>0</v>
      </c>
      <c r="BL138" s="469">
        <f t="shared" ref="BL138:BU138" si="433">X138*$AY138</f>
        <v>32.016</v>
      </c>
      <c r="BM138" s="469">
        <f t="shared" si="433"/>
        <v>24.012</v>
      </c>
      <c r="BN138" s="469">
        <f t="shared" si="433"/>
        <v>28.8144</v>
      </c>
      <c r="BO138" s="469">
        <f t="shared" si="433"/>
        <v>17.6088</v>
      </c>
      <c r="BP138" s="469">
        <f t="shared" si="433"/>
        <v>20.8104</v>
      </c>
      <c r="BQ138" s="469">
        <f t="shared" si="433"/>
        <v>33.6168</v>
      </c>
      <c r="BR138" s="469">
        <f t="shared" si="433"/>
        <v>20.8104</v>
      </c>
      <c r="BS138" s="469">
        <f t="shared" si="433"/>
        <v>25.6128</v>
      </c>
      <c r="BT138" s="469">
        <f t="shared" si="433"/>
        <v>4.8024</v>
      </c>
      <c r="BU138" s="469">
        <f t="shared" si="433"/>
        <v>0</v>
      </c>
      <c r="BV138" s="470">
        <f t="shared" si="404"/>
        <v>208.104</v>
      </c>
      <c r="BW138" s="469">
        <f t="shared" ref="BW138:CF138" si="434">AJ138*$AY138</f>
        <v>32.016</v>
      </c>
      <c r="BX138" s="469">
        <f t="shared" si="434"/>
        <v>24.012</v>
      </c>
      <c r="BY138" s="469">
        <f t="shared" si="434"/>
        <v>28.8144</v>
      </c>
      <c r="BZ138" s="469">
        <f t="shared" si="434"/>
        <v>17.6088</v>
      </c>
      <c r="CA138" s="469">
        <f t="shared" si="434"/>
        <v>20.8104</v>
      </c>
      <c r="CB138" s="469">
        <f t="shared" si="434"/>
        <v>33.6168</v>
      </c>
      <c r="CC138" s="469">
        <f t="shared" si="434"/>
        <v>20.8104</v>
      </c>
      <c r="CD138" s="469">
        <f t="shared" si="434"/>
        <v>25.6128</v>
      </c>
      <c r="CE138" s="469">
        <f t="shared" si="434"/>
        <v>4.8024</v>
      </c>
      <c r="CF138" s="469">
        <f t="shared" si="434"/>
        <v>0</v>
      </c>
      <c r="CG138" s="470">
        <f t="shared" si="406"/>
        <v>208.104</v>
      </c>
      <c r="CH138" s="470">
        <f t="shared" si="407"/>
        <v>416.208</v>
      </c>
      <c r="CI138" s="471"/>
      <c r="CJ138" s="469"/>
      <c r="CK138" s="472">
        <v>1.0</v>
      </c>
      <c r="CL138" s="104">
        <f>VLOOKUP(I138,Cotizacion!$A$2:$E$423,4,FALSE())</f>
        <v>0.23</v>
      </c>
    </row>
    <row r="139" ht="15.75" customHeight="1">
      <c r="A139" s="474" t="s">
        <v>2848</v>
      </c>
      <c r="B139" s="475">
        <v>2.0</v>
      </c>
      <c r="C139" s="476" t="s">
        <v>2707</v>
      </c>
      <c r="D139" s="477" t="s">
        <v>785</v>
      </c>
      <c r="E139" s="476" t="s">
        <v>2708</v>
      </c>
      <c r="F139" s="476" t="s">
        <v>1763</v>
      </c>
      <c r="G139" s="457" t="s">
        <v>2709</v>
      </c>
      <c r="H139" s="457" t="s">
        <v>2721</v>
      </c>
      <c r="I139" s="478" t="s">
        <v>1911</v>
      </c>
      <c r="J139" s="479" t="s">
        <v>1605</v>
      </c>
      <c r="K139" s="480" t="s">
        <v>25</v>
      </c>
      <c r="L139" s="481">
        <v>8.0</v>
      </c>
      <c r="M139" s="481">
        <v>3.0</v>
      </c>
      <c r="N139" s="481">
        <v>8.0</v>
      </c>
      <c r="O139" s="481">
        <v>15.0</v>
      </c>
      <c r="P139" s="481">
        <v>15.0</v>
      </c>
      <c r="Q139" s="481">
        <v>15.0</v>
      </c>
      <c r="R139" s="481">
        <v>0.0</v>
      </c>
      <c r="S139" s="481">
        <v>0.0</v>
      </c>
      <c r="T139" s="481">
        <v>0.0</v>
      </c>
      <c r="U139" s="492">
        <v>8.0</v>
      </c>
      <c r="V139" s="481">
        <v>0.0</v>
      </c>
      <c r="W139" s="463">
        <f t="shared" si="396"/>
        <v>72</v>
      </c>
      <c r="X139" s="481">
        <v>8.0</v>
      </c>
      <c r="Y139" s="481">
        <v>3.0</v>
      </c>
      <c r="Z139" s="481">
        <v>8.0</v>
      </c>
      <c r="AA139" s="481">
        <v>15.0</v>
      </c>
      <c r="AB139" s="481">
        <v>15.0</v>
      </c>
      <c r="AC139" s="481">
        <v>15.0</v>
      </c>
      <c r="AD139" s="481">
        <v>0.0</v>
      </c>
      <c r="AE139" s="481">
        <v>0.0</v>
      </c>
      <c r="AF139" s="481">
        <v>0.0</v>
      </c>
      <c r="AG139" s="492">
        <v>8.0</v>
      </c>
      <c r="AH139" s="481">
        <v>0.0</v>
      </c>
      <c r="AI139" s="464">
        <f t="shared" si="397"/>
        <v>72</v>
      </c>
      <c r="AJ139" s="481">
        <v>8.0</v>
      </c>
      <c r="AK139" s="481">
        <v>3.0</v>
      </c>
      <c r="AL139" s="481">
        <v>8.0</v>
      </c>
      <c r="AM139" s="481">
        <v>15.0</v>
      </c>
      <c r="AN139" s="481">
        <v>15.0</v>
      </c>
      <c r="AO139" s="481">
        <v>15.0</v>
      </c>
      <c r="AP139" s="481">
        <v>0.0</v>
      </c>
      <c r="AQ139" s="481">
        <v>0.0</v>
      </c>
      <c r="AR139" s="481">
        <v>0.0</v>
      </c>
      <c r="AS139" s="492">
        <v>8.0</v>
      </c>
      <c r="AT139" s="481">
        <v>0.0</v>
      </c>
      <c r="AU139" s="463">
        <f t="shared" si="398"/>
        <v>72</v>
      </c>
      <c r="AV139" s="483">
        <f t="shared" si="399"/>
        <v>216</v>
      </c>
      <c r="AW139" s="484"/>
      <c r="AX139" s="485">
        <v>0.27</v>
      </c>
      <c r="AY139" s="485">
        <f t="shared" si="400"/>
        <v>1.8792</v>
      </c>
      <c r="AZ139" s="486"/>
      <c r="BA139" s="487">
        <f t="shared" ref="BA139:BJ139" si="435">L139*$AY139</f>
        <v>15.0336</v>
      </c>
      <c r="BB139" s="487">
        <f t="shared" si="435"/>
        <v>5.6376</v>
      </c>
      <c r="BC139" s="487">
        <f t="shared" si="435"/>
        <v>15.0336</v>
      </c>
      <c r="BD139" s="487">
        <f t="shared" si="435"/>
        <v>28.188</v>
      </c>
      <c r="BE139" s="487">
        <f t="shared" si="435"/>
        <v>28.188</v>
      </c>
      <c r="BF139" s="487">
        <f t="shared" si="435"/>
        <v>28.188</v>
      </c>
      <c r="BG139" s="487">
        <f t="shared" si="435"/>
        <v>0</v>
      </c>
      <c r="BH139" s="487">
        <f t="shared" si="435"/>
        <v>0</v>
      </c>
      <c r="BI139" s="487">
        <f t="shared" si="435"/>
        <v>0</v>
      </c>
      <c r="BJ139" s="487">
        <f t="shared" si="435"/>
        <v>15.0336</v>
      </c>
      <c r="BK139" s="488">
        <f t="shared" si="402"/>
        <v>135.3024</v>
      </c>
      <c r="BL139" s="487">
        <f t="shared" ref="BL139:BU139" si="436">X139*$AY139</f>
        <v>15.0336</v>
      </c>
      <c r="BM139" s="487">
        <f t="shared" si="436"/>
        <v>5.6376</v>
      </c>
      <c r="BN139" s="487">
        <f t="shared" si="436"/>
        <v>15.0336</v>
      </c>
      <c r="BO139" s="487">
        <f t="shared" si="436"/>
        <v>28.188</v>
      </c>
      <c r="BP139" s="487">
        <f t="shared" si="436"/>
        <v>28.188</v>
      </c>
      <c r="BQ139" s="487">
        <f t="shared" si="436"/>
        <v>28.188</v>
      </c>
      <c r="BR139" s="487">
        <f t="shared" si="436"/>
        <v>0</v>
      </c>
      <c r="BS139" s="487">
        <f t="shared" si="436"/>
        <v>0</v>
      </c>
      <c r="BT139" s="487">
        <f t="shared" si="436"/>
        <v>0</v>
      </c>
      <c r="BU139" s="487">
        <f t="shared" si="436"/>
        <v>15.0336</v>
      </c>
      <c r="BV139" s="488">
        <f t="shared" si="404"/>
        <v>135.3024</v>
      </c>
      <c r="BW139" s="487">
        <f t="shared" ref="BW139:CF139" si="437">AJ139*$AY139</f>
        <v>15.0336</v>
      </c>
      <c r="BX139" s="487">
        <f t="shared" si="437"/>
        <v>5.6376</v>
      </c>
      <c r="BY139" s="487">
        <f t="shared" si="437"/>
        <v>15.0336</v>
      </c>
      <c r="BZ139" s="487">
        <f t="shared" si="437"/>
        <v>28.188</v>
      </c>
      <c r="CA139" s="487">
        <f t="shared" si="437"/>
        <v>28.188</v>
      </c>
      <c r="CB139" s="487">
        <f t="shared" si="437"/>
        <v>28.188</v>
      </c>
      <c r="CC139" s="487">
        <f t="shared" si="437"/>
        <v>0</v>
      </c>
      <c r="CD139" s="487">
        <f t="shared" si="437"/>
        <v>0</v>
      </c>
      <c r="CE139" s="487">
        <f t="shared" si="437"/>
        <v>0</v>
      </c>
      <c r="CF139" s="487">
        <f t="shared" si="437"/>
        <v>15.0336</v>
      </c>
      <c r="CG139" s="488">
        <f t="shared" si="406"/>
        <v>135.3024</v>
      </c>
      <c r="CH139" s="488">
        <f t="shared" si="407"/>
        <v>405.9072</v>
      </c>
      <c r="CI139" s="489"/>
      <c r="CJ139" s="487"/>
      <c r="CK139" s="472">
        <v>1.0</v>
      </c>
      <c r="CL139" s="104">
        <f>VLOOKUP(I139,Cotizacion!$A$2:$E$423,4,FALSE())</f>
        <v>0.27</v>
      </c>
    </row>
    <row r="140" ht="15.75" customHeight="1">
      <c r="A140" s="453" t="s">
        <v>2848</v>
      </c>
      <c r="B140" s="454">
        <v>2.0</v>
      </c>
      <c r="C140" s="455" t="s">
        <v>2707</v>
      </c>
      <c r="D140" s="456" t="s">
        <v>785</v>
      </c>
      <c r="E140" s="455" t="s">
        <v>2708</v>
      </c>
      <c r="F140" s="455" t="s">
        <v>1763</v>
      </c>
      <c r="G140" s="457" t="s">
        <v>2709</v>
      </c>
      <c r="H140" s="457" t="s">
        <v>2779</v>
      </c>
      <c r="I140" s="458" t="s">
        <v>2269</v>
      </c>
      <c r="J140" s="459" t="s">
        <v>1274</v>
      </c>
      <c r="K140" s="460" t="s">
        <v>25</v>
      </c>
      <c r="L140" s="461">
        <v>2.0</v>
      </c>
      <c r="M140" s="461">
        <v>1.0</v>
      </c>
      <c r="N140" s="461">
        <v>2.0</v>
      </c>
      <c r="O140" s="461">
        <v>0.0</v>
      </c>
      <c r="P140" s="461">
        <v>0.0</v>
      </c>
      <c r="Q140" s="461">
        <v>0.0</v>
      </c>
      <c r="R140" s="461">
        <v>2.0</v>
      </c>
      <c r="S140" s="461">
        <v>2.0</v>
      </c>
      <c r="T140" s="461">
        <v>1.0</v>
      </c>
      <c r="U140" s="461">
        <v>2.0</v>
      </c>
      <c r="V140" s="461">
        <v>0.0</v>
      </c>
      <c r="W140" s="463">
        <f t="shared" si="396"/>
        <v>12</v>
      </c>
      <c r="X140" s="461">
        <v>2.0</v>
      </c>
      <c r="Y140" s="461">
        <v>1.0</v>
      </c>
      <c r="Z140" s="461">
        <v>2.0</v>
      </c>
      <c r="AA140" s="461">
        <v>0.0</v>
      </c>
      <c r="AB140" s="461">
        <v>0.0</v>
      </c>
      <c r="AC140" s="461">
        <v>0.0</v>
      </c>
      <c r="AD140" s="461">
        <v>2.0</v>
      </c>
      <c r="AE140" s="461">
        <v>2.0</v>
      </c>
      <c r="AF140" s="461">
        <v>1.0</v>
      </c>
      <c r="AG140" s="461">
        <v>2.0</v>
      </c>
      <c r="AH140" s="461">
        <v>0.0</v>
      </c>
      <c r="AI140" s="464">
        <f t="shared" si="397"/>
        <v>12</v>
      </c>
      <c r="AJ140" s="461">
        <v>2.0</v>
      </c>
      <c r="AK140" s="461">
        <v>1.0</v>
      </c>
      <c r="AL140" s="461">
        <v>2.0</v>
      </c>
      <c r="AM140" s="461">
        <v>0.0</v>
      </c>
      <c r="AN140" s="461">
        <v>0.0</v>
      </c>
      <c r="AO140" s="461">
        <v>0.0</v>
      </c>
      <c r="AP140" s="461">
        <v>2.0</v>
      </c>
      <c r="AQ140" s="461">
        <v>2.0</v>
      </c>
      <c r="AR140" s="461">
        <v>1.0</v>
      </c>
      <c r="AS140" s="461">
        <v>2.0</v>
      </c>
      <c r="AT140" s="461">
        <v>0.0</v>
      </c>
      <c r="AU140" s="463">
        <f t="shared" si="398"/>
        <v>12</v>
      </c>
      <c r="AV140" s="465">
        <f t="shared" si="399"/>
        <v>36</v>
      </c>
      <c r="AW140" s="466"/>
      <c r="AX140" s="467">
        <v>0.65</v>
      </c>
      <c r="AY140" s="467">
        <f t="shared" si="400"/>
        <v>4.524</v>
      </c>
      <c r="AZ140" s="468"/>
      <c r="BA140" s="469">
        <f t="shared" ref="BA140:BJ140" si="438">L140*$AY140</f>
        <v>9.048</v>
      </c>
      <c r="BB140" s="469">
        <f t="shared" si="438"/>
        <v>4.524</v>
      </c>
      <c r="BC140" s="469">
        <f t="shared" si="438"/>
        <v>9.048</v>
      </c>
      <c r="BD140" s="469">
        <f t="shared" si="438"/>
        <v>0</v>
      </c>
      <c r="BE140" s="469">
        <f t="shared" si="438"/>
        <v>0</v>
      </c>
      <c r="BF140" s="469">
        <f t="shared" si="438"/>
        <v>0</v>
      </c>
      <c r="BG140" s="469">
        <f t="shared" si="438"/>
        <v>9.048</v>
      </c>
      <c r="BH140" s="469">
        <f t="shared" si="438"/>
        <v>9.048</v>
      </c>
      <c r="BI140" s="469">
        <f t="shared" si="438"/>
        <v>4.524</v>
      </c>
      <c r="BJ140" s="469">
        <f t="shared" si="438"/>
        <v>9.048</v>
      </c>
      <c r="BK140" s="470">
        <f t="shared" si="402"/>
        <v>54.288</v>
      </c>
      <c r="BL140" s="469">
        <f t="shared" ref="BL140:BU140" si="439">X140*$AY140</f>
        <v>9.048</v>
      </c>
      <c r="BM140" s="469">
        <f t="shared" si="439"/>
        <v>4.524</v>
      </c>
      <c r="BN140" s="469">
        <f t="shared" si="439"/>
        <v>9.048</v>
      </c>
      <c r="BO140" s="469">
        <f t="shared" si="439"/>
        <v>0</v>
      </c>
      <c r="BP140" s="469">
        <f t="shared" si="439"/>
        <v>0</v>
      </c>
      <c r="BQ140" s="469">
        <f t="shared" si="439"/>
        <v>0</v>
      </c>
      <c r="BR140" s="469">
        <f t="shared" si="439"/>
        <v>9.048</v>
      </c>
      <c r="BS140" s="469">
        <f t="shared" si="439"/>
        <v>9.048</v>
      </c>
      <c r="BT140" s="469">
        <f t="shared" si="439"/>
        <v>4.524</v>
      </c>
      <c r="BU140" s="469">
        <f t="shared" si="439"/>
        <v>9.048</v>
      </c>
      <c r="BV140" s="470">
        <f t="shared" si="404"/>
        <v>54.288</v>
      </c>
      <c r="BW140" s="469">
        <f t="shared" ref="BW140:CF140" si="440">AJ140*$AY140</f>
        <v>9.048</v>
      </c>
      <c r="BX140" s="469">
        <f t="shared" si="440"/>
        <v>4.524</v>
      </c>
      <c r="BY140" s="469">
        <f t="shared" si="440"/>
        <v>9.048</v>
      </c>
      <c r="BZ140" s="469">
        <f t="shared" si="440"/>
        <v>0</v>
      </c>
      <c r="CA140" s="469">
        <f t="shared" si="440"/>
        <v>0</v>
      </c>
      <c r="CB140" s="469">
        <f t="shared" si="440"/>
        <v>0</v>
      </c>
      <c r="CC140" s="469">
        <f t="shared" si="440"/>
        <v>9.048</v>
      </c>
      <c r="CD140" s="469">
        <f t="shared" si="440"/>
        <v>9.048</v>
      </c>
      <c r="CE140" s="469">
        <f t="shared" si="440"/>
        <v>4.524</v>
      </c>
      <c r="CF140" s="469">
        <f t="shared" si="440"/>
        <v>9.048</v>
      </c>
      <c r="CG140" s="470">
        <f t="shared" si="406"/>
        <v>54.288</v>
      </c>
      <c r="CH140" s="470">
        <f t="shared" si="407"/>
        <v>162.864</v>
      </c>
      <c r="CI140" s="471"/>
      <c r="CJ140" s="469"/>
      <c r="CK140" s="472">
        <v>1.0</v>
      </c>
      <c r="CL140" s="104">
        <f>VLOOKUP(I140,Cotizacion!$A$2:$E$423,4,FALSE())</f>
        <v>0.65</v>
      </c>
    </row>
    <row r="141" ht="15.75" customHeight="1">
      <c r="A141" s="553"/>
      <c r="B141" s="554"/>
      <c r="C141" s="555"/>
      <c r="D141" s="556"/>
      <c r="E141" s="557"/>
      <c r="F141" s="555"/>
      <c r="G141" s="558"/>
      <c r="H141" s="559"/>
      <c r="I141" s="560"/>
      <c r="J141" s="561"/>
      <c r="K141" s="562"/>
      <c r="L141" s="512"/>
      <c r="M141" s="512"/>
      <c r="N141" s="512"/>
      <c r="O141" s="481"/>
      <c r="P141" s="481"/>
      <c r="Q141" s="481"/>
      <c r="R141" s="481"/>
      <c r="S141" s="481"/>
      <c r="T141" s="481"/>
      <c r="U141" s="481"/>
      <c r="V141" s="481"/>
      <c r="W141" s="463"/>
      <c r="X141" s="512"/>
      <c r="Y141" s="512"/>
      <c r="Z141" s="512"/>
      <c r="AA141" s="512"/>
      <c r="AB141" s="512"/>
      <c r="AC141" s="512"/>
      <c r="AD141" s="512"/>
      <c r="AE141" s="563"/>
      <c r="AF141" s="532"/>
      <c r="AG141" s="512"/>
      <c r="AH141" s="481"/>
      <c r="AI141" s="464"/>
      <c r="AJ141" s="512"/>
      <c r="AK141" s="512"/>
      <c r="AL141" s="512"/>
      <c r="AM141" s="512"/>
      <c r="AN141" s="512"/>
      <c r="AO141" s="512"/>
      <c r="AP141" s="512"/>
      <c r="AQ141" s="563"/>
      <c r="AR141" s="532"/>
      <c r="AS141" s="512"/>
      <c r="AT141" s="481"/>
      <c r="AU141" s="463"/>
      <c r="AV141" s="483"/>
      <c r="AW141" s="484"/>
      <c r="AX141" s="507"/>
      <c r="AY141" s="485"/>
      <c r="AZ141" s="486"/>
      <c r="BA141" s="487"/>
      <c r="BB141" s="487"/>
      <c r="BC141" s="487"/>
      <c r="BD141" s="487"/>
      <c r="BE141" s="487"/>
      <c r="BF141" s="487"/>
      <c r="BG141" s="487"/>
      <c r="BH141" s="487"/>
      <c r="BI141" s="487"/>
      <c r="BJ141" s="487"/>
      <c r="BK141" s="488"/>
      <c r="BL141" s="487"/>
      <c r="BM141" s="487"/>
      <c r="BN141" s="487"/>
      <c r="BO141" s="487"/>
      <c r="BP141" s="487"/>
      <c r="BQ141" s="487"/>
      <c r="BR141" s="487"/>
      <c r="BS141" s="487"/>
      <c r="BT141" s="487"/>
      <c r="BU141" s="487"/>
      <c r="BV141" s="488"/>
      <c r="BW141" s="487"/>
      <c r="BX141" s="487"/>
      <c r="BY141" s="487"/>
      <c r="BZ141" s="487"/>
      <c r="CA141" s="487"/>
      <c r="CB141" s="487"/>
      <c r="CC141" s="487"/>
      <c r="CD141" s="487"/>
      <c r="CE141" s="487"/>
      <c r="CF141" s="487"/>
      <c r="CG141" s="488"/>
      <c r="CH141" s="488"/>
      <c r="CI141" s="564"/>
      <c r="CJ141" s="509"/>
      <c r="CK141" s="472"/>
    </row>
    <row r="142" ht="15.75" customHeight="1">
      <c r="A142" s="565" t="s">
        <v>2848</v>
      </c>
      <c r="B142" s="566"/>
      <c r="C142" s="567" t="s">
        <v>2707</v>
      </c>
      <c r="D142" s="568" t="s">
        <v>150</v>
      </c>
      <c r="E142" s="567" t="s">
        <v>2722</v>
      </c>
      <c r="F142" s="567" t="s">
        <v>1763</v>
      </c>
      <c r="G142" s="569" t="s">
        <v>2723</v>
      </c>
      <c r="H142" s="569" t="s">
        <v>2941</v>
      </c>
      <c r="I142" s="567">
        <v>1.1822382E7</v>
      </c>
      <c r="J142" s="568" t="s">
        <v>2942</v>
      </c>
      <c r="K142" s="567" t="s">
        <v>25</v>
      </c>
      <c r="L142" s="461">
        <v>0.0</v>
      </c>
      <c r="M142" s="461">
        <v>0.0</v>
      </c>
      <c r="N142" s="461">
        <v>0.0</v>
      </c>
      <c r="O142" s="461">
        <v>0.0</v>
      </c>
      <c r="P142" s="461">
        <v>0.0</v>
      </c>
      <c r="Q142" s="461">
        <v>0.0</v>
      </c>
      <c r="R142" s="500">
        <v>0.0</v>
      </c>
      <c r="S142" s="500">
        <v>0.0</v>
      </c>
      <c r="T142" s="461">
        <v>0.0</v>
      </c>
      <c r="U142" s="550">
        <v>0.0</v>
      </c>
      <c r="V142" s="461">
        <v>0.0</v>
      </c>
      <c r="W142" s="463">
        <f>SUM(L142:V142)</f>
        <v>0</v>
      </c>
      <c r="X142" s="461">
        <v>0.0</v>
      </c>
      <c r="Y142" s="461">
        <v>0.0</v>
      </c>
      <c r="Z142" s="461">
        <v>0.0</v>
      </c>
      <c r="AA142" s="461">
        <v>0.0</v>
      </c>
      <c r="AB142" s="461">
        <v>0.0</v>
      </c>
      <c r="AC142" s="461">
        <v>0.0</v>
      </c>
      <c r="AD142" s="549"/>
      <c r="AE142" s="549"/>
      <c r="AF142" s="461">
        <v>0.0</v>
      </c>
      <c r="AG142" s="550"/>
      <c r="AH142" s="461">
        <v>0.0</v>
      </c>
      <c r="AI142" s="464">
        <f>SUM(X142:AH142)</f>
        <v>0</v>
      </c>
      <c r="AJ142" s="461">
        <v>0.0</v>
      </c>
      <c r="AK142" s="461">
        <v>0.0</v>
      </c>
      <c r="AL142" s="461">
        <v>0.0</v>
      </c>
      <c r="AM142" s="461">
        <v>0.0</v>
      </c>
      <c r="AN142" s="461">
        <v>0.0</v>
      </c>
      <c r="AO142" s="461">
        <v>0.0</v>
      </c>
      <c r="AP142" s="549"/>
      <c r="AQ142" s="549"/>
      <c r="AR142" s="461">
        <v>0.0</v>
      </c>
      <c r="AS142" s="550"/>
      <c r="AT142" s="461">
        <v>0.0</v>
      </c>
      <c r="AU142" s="463">
        <f>ROUNDUP( SUM(AJ142:AT142))</f>
        <v>0</v>
      </c>
      <c r="AV142" s="467">
        <f>W142+AI142+AU142</f>
        <v>0</v>
      </c>
      <c r="AW142" s="466"/>
      <c r="AX142" s="497">
        <v>282.77</v>
      </c>
      <c r="AY142" s="467">
        <v>1970.9068999999997</v>
      </c>
      <c r="AZ142" s="468"/>
      <c r="BA142" s="469">
        <f t="shared" ref="BA142:BJ142" si="441">L142*$AY142</f>
        <v>0</v>
      </c>
      <c r="BB142" s="469">
        <f t="shared" si="441"/>
        <v>0</v>
      </c>
      <c r="BC142" s="469">
        <f t="shared" si="441"/>
        <v>0</v>
      </c>
      <c r="BD142" s="469">
        <f t="shared" si="441"/>
        <v>0</v>
      </c>
      <c r="BE142" s="469">
        <f t="shared" si="441"/>
        <v>0</v>
      </c>
      <c r="BF142" s="469">
        <f t="shared" si="441"/>
        <v>0</v>
      </c>
      <c r="BG142" s="469">
        <f t="shared" si="441"/>
        <v>0</v>
      </c>
      <c r="BH142" s="469">
        <f t="shared" si="441"/>
        <v>0</v>
      </c>
      <c r="BI142" s="469">
        <f t="shared" si="441"/>
        <v>0</v>
      </c>
      <c r="BJ142" s="469">
        <f t="shared" si="441"/>
        <v>0</v>
      </c>
      <c r="BK142" s="470">
        <f>AY142*W142</f>
        <v>0</v>
      </c>
      <c r="BL142" s="469">
        <f t="shared" ref="BL142:BU142" si="442">X142*$AY142</f>
        <v>0</v>
      </c>
      <c r="BM142" s="469">
        <f t="shared" si="442"/>
        <v>0</v>
      </c>
      <c r="BN142" s="469">
        <f t="shared" si="442"/>
        <v>0</v>
      </c>
      <c r="BO142" s="469">
        <f t="shared" si="442"/>
        <v>0</v>
      </c>
      <c r="BP142" s="469">
        <f t="shared" si="442"/>
        <v>0</v>
      </c>
      <c r="BQ142" s="469">
        <f t="shared" si="442"/>
        <v>0</v>
      </c>
      <c r="BR142" s="469">
        <f t="shared" si="442"/>
        <v>0</v>
      </c>
      <c r="BS142" s="469">
        <f t="shared" si="442"/>
        <v>0</v>
      </c>
      <c r="BT142" s="469">
        <f t="shared" si="442"/>
        <v>0</v>
      </c>
      <c r="BU142" s="469">
        <f t="shared" si="442"/>
        <v>0</v>
      </c>
      <c r="BV142" s="470">
        <f>AY142*AI142</f>
        <v>0</v>
      </c>
      <c r="BW142" s="469">
        <f t="shared" ref="BW142:CF142" si="443">AJ142*$AY142</f>
        <v>0</v>
      </c>
      <c r="BX142" s="469">
        <f t="shared" si="443"/>
        <v>0</v>
      </c>
      <c r="BY142" s="469">
        <f t="shared" si="443"/>
        <v>0</v>
      </c>
      <c r="BZ142" s="469">
        <f t="shared" si="443"/>
        <v>0</v>
      </c>
      <c r="CA142" s="469">
        <f t="shared" si="443"/>
        <v>0</v>
      </c>
      <c r="CB142" s="469">
        <f t="shared" si="443"/>
        <v>0</v>
      </c>
      <c r="CC142" s="469">
        <f t="shared" si="443"/>
        <v>0</v>
      </c>
      <c r="CD142" s="469">
        <f t="shared" si="443"/>
        <v>0</v>
      </c>
      <c r="CE142" s="469">
        <f t="shared" si="443"/>
        <v>0</v>
      </c>
      <c r="CF142" s="469">
        <f t="shared" si="443"/>
        <v>0</v>
      </c>
      <c r="CG142" s="470">
        <f>AY142*AU142</f>
        <v>0</v>
      </c>
      <c r="CH142" s="470">
        <f>BK142+BV142+CG142</f>
        <v>0</v>
      </c>
      <c r="CI142" s="498"/>
      <c r="CJ142" s="469"/>
      <c r="CK142" s="472">
        <v>1.0</v>
      </c>
      <c r="CM142" s="1"/>
    </row>
    <row r="143" ht="15.75" customHeight="1">
      <c r="A143" s="553"/>
      <c r="B143" s="570"/>
      <c r="C143" s="562"/>
      <c r="D143" s="562"/>
      <c r="E143" s="562"/>
      <c r="F143" s="562"/>
      <c r="G143" s="562"/>
      <c r="H143" s="562"/>
      <c r="I143" s="481"/>
      <c r="J143" s="571"/>
      <c r="K143" s="562"/>
      <c r="L143" s="481"/>
      <c r="M143" s="481"/>
      <c r="N143" s="481"/>
      <c r="O143" s="481"/>
      <c r="P143" s="481"/>
      <c r="Q143" s="481"/>
      <c r="R143" s="481"/>
      <c r="S143" s="481"/>
      <c r="T143" s="481"/>
      <c r="U143" s="481"/>
      <c r="V143" s="481"/>
      <c r="W143" s="522"/>
      <c r="X143" s="481"/>
      <c r="Y143" s="481"/>
      <c r="Z143" s="481"/>
      <c r="AA143" s="481"/>
      <c r="AB143" s="481"/>
      <c r="AC143" s="481"/>
      <c r="AD143" s="481"/>
      <c r="AE143" s="481"/>
      <c r="AF143" s="481"/>
      <c r="AG143" s="481"/>
      <c r="AH143" s="481"/>
      <c r="AI143" s="522"/>
      <c r="AJ143" s="481"/>
      <c r="AK143" s="481"/>
      <c r="AL143" s="481"/>
      <c r="AM143" s="481"/>
      <c r="AN143" s="481"/>
      <c r="AO143" s="481"/>
      <c r="AP143" s="481"/>
      <c r="AQ143" s="481"/>
      <c r="AR143" s="481"/>
      <c r="AS143" s="481"/>
      <c r="AT143" s="481"/>
      <c r="AU143" s="522"/>
      <c r="AV143" s="572"/>
      <c r="AW143" s="573"/>
      <c r="AX143" s="525"/>
      <c r="AY143" s="481"/>
      <c r="AZ143" s="486"/>
      <c r="BA143" s="487"/>
      <c r="BB143" s="487"/>
      <c r="BC143" s="487"/>
      <c r="BD143" s="487"/>
      <c r="BE143" s="487"/>
      <c r="BF143" s="487"/>
      <c r="BG143" s="487"/>
      <c r="BH143" s="487"/>
      <c r="BI143" s="487"/>
      <c r="BJ143" s="487"/>
      <c r="BK143" s="487"/>
      <c r="BL143" s="487"/>
      <c r="BM143" s="487"/>
      <c r="BN143" s="487"/>
      <c r="BO143" s="487"/>
      <c r="BP143" s="487"/>
      <c r="BQ143" s="487"/>
      <c r="BR143" s="487"/>
      <c r="BS143" s="487"/>
      <c r="BT143" s="487"/>
      <c r="BU143" s="487"/>
      <c r="BV143" s="487"/>
      <c r="BW143" s="487"/>
      <c r="BX143" s="487"/>
      <c r="BY143" s="487"/>
      <c r="BZ143" s="487"/>
      <c r="CA143" s="487"/>
      <c r="CB143" s="487"/>
      <c r="CC143" s="487"/>
      <c r="CD143" s="487"/>
      <c r="CE143" s="487"/>
      <c r="CF143" s="487"/>
      <c r="CG143" s="487"/>
      <c r="CH143" s="487"/>
      <c r="CI143" s="508"/>
      <c r="CJ143" s="509"/>
      <c r="CK143" s="472"/>
    </row>
    <row r="144" ht="15.75" customHeight="1">
      <c r="A144" s="565"/>
      <c r="B144" s="566"/>
      <c r="C144" s="567"/>
      <c r="D144" s="568"/>
      <c r="E144" s="567"/>
      <c r="F144" s="567"/>
      <c r="G144" s="569"/>
      <c r="H144" s="569"/>
      <c r="I144" s="461"/>
      <c r="J144" s="568"/>
      <c r="K144" s="567"/>
      <c r="L144" s="461"/>
      <c r="M144" s="461"/>
      <c r="N144" s="461"/>
      <c r="O144" s="461"/>
      <c r="P144" s="461"/>
      <c r="Q144" s="461"/>
      <c r="R144" s="461"/>
      <c r="S144" s="490"/>
      <c r="T144" s="461"/>
      <c r="U144" s="490"/>
      <c r="V144" s="461"/>
      <c r="W144" s="463"/>
      <c r="X144" s="461"/>
      <c r="Y144" s="461"/>
      <c r="Z144" s="461"/>
      <c r="AA144" s="461"/>
      <c r="AB144" s="461"/>
      <c r="AC144" s="461"/>
      <c r="AD144" s="461"/>
      <c r="AE144" s="490"/>
      <c r="AF144" s="461"/>
      <c r="AG144" s="574"/>
      <c r="AH144" s="461"/>
      <c r="AI144" s="496"/>
      <c r="AJ144" s="461"/>
      <c r="AK144" s="461"/>
      <c r="AL144" s="461"/>
      <c r="AM144" s="461"/>
      <c r="AN144" s="461"/>
      <c r="AO144" s="461"/>
      <c r="AP144" s="461"/>
      <c r="AQ144" s="490"/>
      <c r="AR144" s="461"/>
      <c r="AS144" s="574"/>
      <c r="AT144" s="461"/>
      <c r="AU144" s="496"/>
      <c r="AV144" s="467"/>
      <c r="AW144" s="466"/>
      <c r="AX144" s="497"/>
      <c r="AY144" s="467"/>
      <c r="AZ144" s="468"/>
      <c r="BA144" s="469"/>
      <c r="BB144" s="469"/>
      <c r="BC144" s="469"/>
      <c r="BD144" s="469"/>
      <c r="BE144" s="469"/>
      <c r="BF144" s="469"/>
      <c r="BG144" s="469"/>
      <c r="BH144" s="469"/>
      <c r="BI144" s="469"/>
      <c r="BJ144" s="469"/>
      <c r="BK144" s="470"/>
      <c r="BL144" s="469"/>
      <c r="BM144" s="469"/>
      <c r="BN144" s="469"/>
      <c r="BO144" s="469"/>
      <c r="BP144" s="469"/>
      <c r="BQ144" s="469"/>
      <c r="BR144" s="469"/>
      <c r="BS144" s="469"/>
      <c r="BT144" s="469"/>
      <c r="BU144" s="469"/>
      <c r="BV144" s="470"/>
      <c r="BW144" s="469"/>
      <c r="BX144" s="469"/>
      <c r="BY144" s="469"/>
      <c r="BZ144" s="469"/>
      <c r="CA144" s="469"/>
      <c r="CB144" s="469"/>
      <c r="CC144" s="469"/>
      <c r="CD144" s="469"/>
      <c r="CE144" s="469"/>
      <c r="CF144" s="469"/>
      <c r="CG144" s="470"/>
      <c r="CH144" s="470"/>
      <c r="CI144" s="498"/>
      <c r="CJ144" s="499"/>
      <c r="CK144" s="472"/>
    </row>
    <row r="145" ht="15.75" customHeight="1">
      <c r="A145" s="553"/>
      <c r="B145" s="570"/>
      <c r="C145" s="562"/>
      <c r="D145" s="562"/>
      <c r="E145" s="562"/>
      <c r="F145" s="562"/>
      <c r="G145" s="562"/>
      <c r="H145" s="562"/>
      <c r="I145" s="481"/>
      <c r="J145" s="571"/>
      <c r="K145" s="562"/>
      <c r="L145" s="481"/>
      <c r="M145" s="481"/>
      <c r="N145" s="481"/>
      <c r="O145" s="481"/>
      <c r="P145" s="481"/>
      <c r="Q145" s="481"/>
      <c r="R145" s="481"/>
      <c r="S145" s="481"/>
      <c r="T145" s="481"/>
      <c r="U145" s="481"/>
      <c r="V145" s="481"/>
      <c r="W145" s="481"/>
      <c r="X145" s="481"/>
      <c r="Y145" s="481"/>
      <c r="Z145" s="481"/>
      <c r="AA145" s="481"/>
      <c r="AB145" s="481"/>
      <c r="AC145" s="481"/>
      <c r="AD145" s="481"/>
      <c r="AE145" s="481"/>
      <c r="AF145" s="481"/>
      <c r="AG145" s="481"/>
      <c r="AH145" s="481"/>
      <c r="AI145" s="481"/>
      <c r="AJ145" s="481"/>
      <c r="AK145" s="481"/>
      <c r="AL145" s="481"/>
      <c r="AM145" s="481"/>
      <c r="AN145" s="481"/>
      <c r="AO145" s="481"/>
      <c r="AP145" s="481"/>
      <c r="AQ145" s="481"/>
      <c r="AR145" s="481"/>
      <c r="AS145" s="481"/>
      <c r="AT145" s="481"/>
      <c r="AU145" s="481"/>
      <c r="AV145" s="481"/>
      <c r="AW145" s="484"/>
      <c r="AX145" s="525"/>
      <c r="AY145" s="481"/>
      <c r="AZ145" s="486"/>
      <c r="BA145" s="487">
        <f t="shared" ref="BA145:BJ145" si="444">L145*$AY145</f>
        <v>0</v>
      </c>
      <c r="BB145" s="487">
        <f t="shared" si="444"/>
        <v>0</v>
      </c>
      <c r="BC145" s="487">
        <f t="shared" si="444"/>
        <v>0</v>
      </c>
      <c r="BD145" s="487">
        <f t="shared" si="444"/>
        <v>0</v>
      </c>
      <c r="BE145" s="487">
        <f t="shared" si="444"/>
        <v>0</v>
      </c>
      <c r="BF145" s="487">
        <f t="shared" si="444"/>
        <v>0</v>
      </c>
      <c r="BG145" s="487">
        <f t="shared" si="444"/>
        <v>0</v>
      </c>
      <c r="BH145" s="487">
        <f t="shared" si="444"/>
        <v>0</v>
      </c>
      <c r="BI145" s="487">
        <f t="shared" si="444"/>
        <v>0</v>
      </c>
      <c r="BJ145" s="487">
        <f t="shared" si="444"/>
        <v>0</v>
      </c>
      <c r="BK145" s="487">
        <f t="shared" ref="BK145:BK146" si="448">AY145*W145</f>
        <v>0</v>
      </c>
      <c r="BL145" s="487">
        <f t="shared" ref="BL145:BU145" si="445">X145*$AY145</f>
        <v>0</v>
      </c>
      <c r="BM145" s="487">
        <f t="shared" si="445"/>
        <v>0</v>
      </c>
      <c r="BN145" s="487">
        <f t="shared" si="445"/>
        <v>0</v>
      </c>
      <c r="BO145" s="487">
        <f t="shared" si="445"/>
        <v>0</v>
      </c>
      <c r="BP145" s="487">
        <f t="shared" si="445"/>
        <v>0</v>
      </c>
      <c r="BQ145" s="487">
        <f t="shared" si="445"/>
        <v>0</v>
      </c>
      <c r="BR145" s="487">
        <f t="shared" si="445"/>
        <v>0</v>
      </c>
      <c r="BS145" s="487">
        <f t="shared" si="445"/>
        <v>0</v>
      </c>
      <c r="BT145" s="487">
        <f t="shared" si="445"/>
        <v>0</v>
      </c>
      <c r="BU145" s="487">
        <f t="shared" si="445"/>
        <v>0</v>
      </c>
      <c r="BV145" s="487">
        <f t="shared" ref="BV145:BV146" si="450">AY145*AI145</f>
        <v>0</v>
      </c>
      <c r="BW145" s="487">
        <f t="shared" ref="BW145:CF145" si="446">AJ145*$AY145</f>
        <v>0</v>
      </c>
      <c r="BX145" s="487">
        <f t="shared" si="446"/>
        <v>0</v>
      </c>
      <c r="BY145" s="487">
        <f t="shared" si="446"/>
        <v>0</v>
      </c>
      <c r="BZ145" s="487">
        <f t="shared" si="446"/>
        <v>0</v>
      </c>
      <c r="CA145" s="487">
        <f t="shared" si="446"/>
        <v>0</v>
      </c>
      <c r="CB145" s="487">
        <f t="shared" si="446"/>
        <v>0</v>
      </c>
      <c r="CC145" s="487">
        <f t="shared" si="446"/>
        <v>0</v>
      </c>
      <c r="CD145" s="487">
        <f t="shared" si="446"/>
        <v>0</v>
      </c>
      <c r="CE145" s="487">
        <f t="shared" si="446"/>
        <v>0</v>
      </c>
      <c r="CF145" s="487">
        <f t="shared" si="446"/>
        <v>0</v>
      </c>
      <c r="CG145" s="487">
        <f t="shared" ref="CG145:CG146" si="452">AY145*AU145</f>
        <v>0</v>
      </c>
      <c r="CH145" s="487">
        <f t="shared" ref="CH145:CH146" si="453">BK145+BV145+CG145</f>
        <v>0</v>
      </c>
      <c r="CI145" s="508"/>
      <c r="CJ145" s="487"/>
      <c r="CK145" s="472">
        <v>1.0</v>
      </c>
    </row>
    <row r="146" ht="15.75" customHeight="1">
      <c r="A146" s="565"/>
      <c r="B146" s="575"/>
      <c r="C146" s="567"/>
      <c r="D146" s="567"/>
      <c r="E146" s="567"/>
      <c r="F146" s="567"/>
      <c r="G146" s="567"/>
      <c r="H146" s="567"/>
      <c r="I146" s="461"/>
      <c r="J146" s="568"/>
      <c r="K146" s="567"/>
      <c r="L146" s="461"/>
      <c r="M146" s="461"/>
      <c r="N146" s="461"/>
      <c r="O146" s="461"/>
      <c r="P146" s="461"/>
      <c r="Q146" s="461"/>
      <c r="R146" s="461"/>
      <c r="S146" s="461"/>
      <c r="T146" s="461"/>
      <c r="U146" s="461"/>
      <c r="V146" s="461"/>
      <c r="W146" s="461"/>
      <c r="X146" s="461"/>
      <c r="Y146" s="461"/>
      <c r="Z146" s="461"/>
      <c r="AA146" s="461"/>
      <c r="AB146" s="461"/>
      <c r="AC146" s="461"/>
      <c r="AD146" s="461"/>
      <c r="AE146" s="461"/>
      <c r="AF146" s="461"/>
      <c r="AG146" s="461"/>
      <c r="AH146" s="461"/>
      <c r="AI146" s="461"/>
      <c r="AJ146" s="461"/>
      <c r="AK146" s="461"/>
      <c r="AL146" s="461"/>
      <c r="AM146" s="461"/>
      <c r="AN146" s="461"/>
      <c r="AO146" s="461"/>
      <c r="AP146" s="461"/>
      <c r="AQ146" s="461"/>
      <c r="AR146" s="461"/>
      <c r="AS146" s="461"/>
      <c r="AT146" s="461"/>
      <c r="AU146" s="461"/>
      <c r="AV146" s="461"/>
      <c r="AW146" s="466"/>
      <c r="AX146" s="523"/>
      <c r="AY146" s="461"/>
      <c r="AZ146" s="468"/>
      <c r="BA146" s="469">
        <f t="shared" ref="BA146:BJ146" si="447">L146*$AY146</f>
        <v>0</v>
      </c>
      <c r="BB146" s="469">
        <f t="shared" si="447"/>
        <v>0</v>
      </c>
      <c r="BC146" s="469">
        <f t="shared" si="447"/>
        <v>0</v>
      </c>
      <c r="BD146" s="469">
        <f t="shared" si="447"/>
        <v>0</v>
      </c>
      <c r="BE146" s="469">
        <f t="shared" si="447"/>
        <v>0</v>
      </c>
      <c r="BF146" s="469">
        <f t="shared" si="447"/>
        <v>0</v>
      </c>
      <c r="BG146" s="469">
        <f t="shared" si="447"/>
        <v>0</v>
      </c>
      <c r="BH146" s="469">
        <f t="shared" si="447"/>
        <v>0</v>
      </c>
      <c r="BI146" s="469">
        <f t="shared" si="447"/>
        <v>0</v>
      </c>
      <c r="BJ146" s="469">
        <f t="shared" si="447"/>
        <v>0</v>
      </c>
      <c r="BK146" s="469">
        <f t="shared" si="448"/>
        <v>0</v>
      </c>
      <c r="BL146" s="469">
        <f t="shared" ref="BL146:BU146" si="449">X146*$AY146</f>
        <v>0</v>
      </c>
      <c r="BM146" s="469">
        <f t="shared" si="449"/>
        <v>0</v>
      </c>
      <c r="BN146" s="469">
        <f t="shared" si="449"/>
        <v>0</v>
      </c>
      <c r="BO146" s="469">
        <f t="shared" si="449"/>
        <v>0</v>
      </c>
      <c r="BP146" s="469">
        <f t="shared" si="449"/>
        <v>0</v>
      </c>
      <c r="BQ146" s="469">
        <f t="shared" si="449"/>
        <v>0</v>
      </c>
      <c r="BR146" s="469">
        <f t="shared" si="449"/>
        <v>0</v>
      </c>
      <c r="BS146" s="469">
        <f t="shared" si="449"/>
        <v>0</v>
      </c>
      <c r="BT146" s="469">
        <f t="shared" si="449"/>
        <v>0</v>
      </c>
      <c r="BU146" s="469">
        <f t="shared" si="449"/>
        <v>0</v>
      </c>
      <c r="BV146" s="469">
        <f t="shared" si="450"/>
        <v>0</v>
      </c>
      <c r="BW146" s="469">
        <f t="shared" ref="BW146:CF146" si="451">AJ146*$AY146</f>
        <v>0</v>
      </c>
      <c r="BX146" s="469">
        <f t="shared" si="451"/>
        <v>0</v>
      </c>
      <c r="BY146" s="469">
        <f t="shared" si="451"/>
        <v>0</v>
      </c>
      <c r="BZ146" s="469">
        <f t="shared" si="451"/>
        <v>0</v>
      </c>
      <c r="CA146" s="469">
        <f t="shared" si="451"/>
        <v>0</v>
      </c>
      <c r="CB146" s="469">
        <f t="shared" si="451"/>
        <v>0</v>
      </c>
      <c r="CC146" s="469">
        <f t="shared" si="451"/>
        <v>0</v>
      </c>
      <c r="CD146" s="469">
        <f t="shared" si="451"/>
        <v>0</v>
      </c>
      <c r="CE146" s="469">
        <f t="shared" si="451"/>
        <v>0</v>
      </c>
      <c r="CF146" s="469">
        <f t="shared" si="451"/>
        <v>0</v>
      </c>
      <c r="CG146" s="469">
        <f t="shared" si="452"/>
        <v>0</v>
      </c>
      <c r="CH146" s="469">
        <f t="shared" si="453"/>
        <v>0</v>
      </c>
      <c r="CI146" s="498"/>
      <c r="CJ146" s="469"/>
      <c r="CK146" s="472">
        <v>1.0</v>
      </c>
      <c r="CL146" s="90">
        <v>1.0</v>
      </c>
      <c r="CM146" s="90">
        <v>1.0</v>
      </c>
    </row>
    <row r="147" ht="15.75" customHeight="1">
      <c r="A147" s="570"/>
      <c r="B147" s="570"/>
      <c r="C147" s="562"/>
      <c r="D147" s="562"/>
      <c r="E147" s="562"/>
      <c r="F147" s="562"/>
      <c r="G147" s="562"/>
      <c r="H147" s="562"/>
      <c r="I147" s="481"/>
      <c r="J147" s="571"/>
      <c r="K147" s="562"/>
      <c r="L147" s="481"/>
      <c r="M147" s="481"/>
      <c r="N147" s="481"/>
      <c r="O147" s="481"/>
      <c r="P147" s="481"/>
      <c r="Q147" s="481"/>
      <c r="R147" s="481"/>
      <c r="S147" s="481"/>
      <c r="T147" s="481"/>
      <c r="U147" s="481"/>
      <c r="V147" s="481"/>
      <c r="W147" s="481"/>
      <c r="X147" s="481"/>
      <c r="Y147" s="481"/>
      <c r="Z147" s="481"/>
      <c r="AA147" s="481"/>
      <c r="AB147" s="481"/>
      <c r="AC147" s="481"/>
      <c r="AD147" s="481"/>
      <c r="AE147" s="481"/>
      <c r="AF147" s="481"/>
      <c r="AG147" s="481"/>
      <c r="AH147" s="481"/>
      <c r="AI147" s="481"/>
      <c r="AJ147" s="481"/>
      <c r="AK147" s="481"/>
      <c r="AL147" s="481"/>
      <c r="AM147" s="481"/>
      <c r="AN147" s="481"/>
      <c r="AO147" s="481"/>
      <c r="AP147" s="481"/>
      <c r="AQ147" s="481"/>
      <c r="AR147" s="481"/>
      <c r="AS147" s="481"/>
      <c r="AT147" s="481"/>
      <c r="AU147" s="481"/>
      <c r="AV147" s="481"/>
      <c r="AW147" s="484"/>
      <c r="AX147" s="481"/>
      <c r="AY147" s="481"/>
      <c r="AZ147" s="486"/>
      <c r="BA147" s="487">
        <f t="shared" ref="BA147:BJ147" si="454">L147*$AY147</f>
        <v>0</v>
      </c>
      <c r="BB147" s="487">
        <f t="shared" si="454"/>
        <v>0</v>
      </c>
      <c r="BC147" s="487">
        <f t="shared" si="454"/>
        <v>0</v>
      </c>
      <c r="BD147" s="487">
        <f t="shared" si="454"/>
        <v>0</v>
      </c>
      <c r="BE147" s="487">
        <f t="shared" si="454"/>
        <v>0</v>
      </c>
      <c r="BF147" s="487">
        <f t="shared" si="454"/>
        <v>0</v>
      </c>
      <c r="BG147" s="487">
        <f t="shared" si="454"/>
        <v>0</v>
      </c>
      <c r="BH147" s="487">
        <f t="shared" si="454"/>
        <v>0</v>
      </c>
      <c r="BI147" s="487">
        <f t="shared" si="454"/>
        <v>0</v>
      </c>
      <c r="BJ147" s="487">
        <f t="shared" si="454"/>
        <v>0</v>
      </c>
      <c r="BK147" s="487"/>
      <c r="BL147" s="487">
        <f t="shared" ref="BL147:BU147" si="455">X147*$AY147</f>
        <v>0</v>
      </c>
      <c r="BM147" s="487">
        <f t="shared" si="455"/>
        <v>0</v>
      </c>
      <c r="BN147" s="487">
        <f t="shared" si="455"/>
        <v>0</v>
      </c>
      <c r="BO147" s="487">
        <f t="shared" si="455"/>
        <v>0</v>
      </c>
      <c r="BP147" s="487">
        <f t="shared" si="455"/>
        <v>0</v>
      </c>
      <c r="BQ147" s="487">
        <f t="shared" si="455"/>
        <v>0</v>
      </c>
      <c r="BR147" s="487">
        <f t="shared" si="455"/>
        <v>0</v>
      </c>
      <c r="BS147" s="487">
        <f t="shared" si="455"/>
        <v>0</v>
      </c>
      <c r="BT147" s="487">
        <f t="shared" si="455"/>
        <v>0</v>
      </c>
      <c r="BU147" s="487">
        <f t="shared" si="455"/>
        <v>0</v>
      </c>
      <c r="BV147" s="487"/>
      <c r="BW147" s="487">
        <f t="shared" ref="BW147:CF147" si="456">AJ147*$AY147</f>
        <v>0</v>
      </c>
      <c r="BX147" s="487">
        <f t="shared" si="456"/>
        <v>0</v>
      </c>
      <c r="BY147" s="487">
        <f t="shared" si="456"/>
        <v>0</v>
      </c>
      <c r="BZ147" s="487">
        <f t="shared" si="456"/>
        <v>0</v>
      </c>
      <c r="CA147" s="487">
        <f t="shared" si="456"/>
        <v>0</v>
      </c>
      <c r="CB147" s="487">
        <f t="shared" si="456"/>
        <v>0</v>
      </c>
      <c r="CC147" s="487">
        <f t="shared" si="456"/>
        <v>0</v>
      </c>
      <c r="CD147" s="487">
        <f t="shared" si="456"/>
        <v>0</v>
      </c>
      <c r="CE147" s="487">
        <f t="shared" si="456"/>
        <v>0</v>
      </c>
      <c r="CF147" s="487">
        <f t="shared" si="456"/>
        <v>0</v>
      </c>
      <c r="CG147" s="487"/>
      <c r="CH147" s="487"/>
      <c r="CI147" s="508"/>
      <c r="CJ147" s="487"/>
      <c r="CK147" s="472"/>
    </row>
    <row r="148" ht="15.75" customHeight="1">
      <c r="A148" s="576"/>
      <c r="B148" s="576"/>
      <c r="C148" s="568"/>
      <c r="D148" s="568"/>
      <c r="E148" s="568"/>
      <c r="F148" s="568"/>
      <c r="G148" s="568"/>
      <c r="H148" s="568"/>
      <c r="I148" s="466"/>
      <c r="J148" s="568"/>
      <c r="K148" s="568"/>
      <c r="L148" s="461"/>
      <c r="M148" s="461"/>
      <c r="N148" s="461"/>
      <c r="O148" s="461"/>
      <c r="P148" s="461"/>
      <c r="Q148" s="461"/>
      <c r="R148" s="461"/>
      <c r="S148" s="461"/>
      <c r="T148" s="461"/>
      <c r="U148" s="461"/>
      <c r="V148" s="461"/>
      <c r="W148" s="466"/>
      <c r="X148" s="461"/>
      <c r="Y148" s="461"/>
      <c r="Z148" s="461"/>
      <c r="AA148" s="461"/>
      <c r="AB148" s="461"/>
      <c r="AC148" s="461"/>
      <c r="AD148" s="461"/>
      <c r="AE148" s="461"/>
      <c r="AF148" s="461"/>
      <c r="AG148" s="461"/>
      <c r="AH148" s="461"/>
      <c r="AI148" s="466"/>
      <c r="AJ148" s="461"/>
      <c r="AK148" s="461"/>
      <c r="AL148" s="461"/>
      <c r="AM148" s="461"/>
      <c r="AN148" s="461"/>
      <c r="AO148" s="461"/>
      <c r="AP148" s="461"/>
      <c r="AQ148" s="461"/>
      <c r="AR148" s="461"/>
      <c r="AS148" s="461"/>
      <c r="AT148" s="461"/>
      <c r="AU148" s="466"/>
      <c r="AV148" s="466"/>
      <c r="AW148" s="466"/>
      <c r="AX148" s="466"/>
      <c r="AY148" s="466"/>
      <c r="AZ148" s="468"/>
      <c r="BA148" s="469">
        <f t="shared" ref="BA148:BJ148" si="457">L148*$AY148</f>
        <v>0</v>
      </c>
      <c r="BB148" s="469">
        <f t="shared" si="457"/>
        <v>0</v>
      </c>
      <c r="BC148" s="469">
        <f t="shared" si="457"/>
        <v>0</v>
      </c>
      <c r="BD148" s="469">
        <f t="shared" si="457"/>
        <v>0</v>
      </c>
      <c r="BE148" s="469">
        <f t="shared" si="457"/>
        <v>0</v>
      </c>
      <c r="BF148" s="469">
        <f t="shared" si="457"/>
        <v>0</v>
      </c>
      <c r="BG148" s="469">
        <f t="shared" si="457"/>
        <v>0</v>
      </c>
      <c r="BH148" s="469">
        <f t="shared" si="457"/>
        <v>0</v>
      </c>
      <c r="BI148" s="469">
        <f t="shared" si="457"/>
        <v>0</v>
      </c>
      <c r="BJ148" s="469">
        <f t="shared" si="457"/>
        <v>0</v>
      </c>
      <c r="BK148" s="469"/>
      <c r="BL148" s="469">
        <f t="shared" ref="BL148:BU148" si="458">X148*$AY148</f>
        <v>0</v>
      </c>
      <c r="BM148" s="469">
        <f t="shared" si="458"/>
        <v>0</v>
      </c>
      <c r="BN148" s="469">
        <f t="shared" si="458"/>
        <v>0</v>
      </c>
      <c r="BO148" s="469">
        <f t="shared" si="458"/>
        <v>0</v>
      </c>
      <c r="BP148" s="469">
        <f t="shared" si="458"/>
        <v>0</v>
      </c>
      <c r="BQ148" s="469">
        <f t="shared" si="458"/>
        <v>0</v>
      </c>
      <c r="BR148" s="469">
        <f t="shared" si="458"/>
        <v>0</v>
      </c>
      <c r="BS148" s="469">
        <f t="shared" si="458"/>
        <v>0</v>
      </c>
      <c r="BT148" s="469">
        <f t="shared" si="458"/>
        <v>0</v>
      </c>
      <c r="BU148" s="469">
        <f t="shared" si="458"/>
        <v>0</v>
      </c>
      <c r="BV148" s="469"/>
      <c r="BW148" s="469">
        <f t="shared" ref="BW148:CF148" si="459">AJ148*$AY148</f>
        <v>0</v>
      </c>
      <c r="BX148" s="469">
        <f t="shared" si="459"/>
        <v>0</v>
      </c>
      <c r="BY148" s="469">
        <f t="shared" si="459"/>
        <v>0</v>
      </c>
      <c r="BZ148" s="469">
        <f t="shared" si="459"/>
        <v>0</v>
      </c>
      <c r="CA148" s="469">
        <f t="shared" si="459"/>
        <v>0</v>
      </c>
      <c r="CB148" s="469">
        <f t="shared" si="459"/>
        <v>0</v>
      </c>
      <c r="CC148" s="469">
        <f t="shared" si="459"/>
        <v>0</v>
      </c>
      <c r="CD148" s="469">
        <f t="shared" si="459"/>
        <v>0</v>
      </c>
      <c r="CE148" s="469">
        <f t="shared" si="459"/>
        <v>0</v>
      </c>
      <c r="CF148" s="469">
        <f t="shared" si="459"/>
        <v>0</v>
      </c>
      <c r="CG148" s="469"/>
      <c r="CH148" s="469"/>
      <c r="CI148" s="498"/>
      <c r="CJ148" s="518"/>
      <c r="CK148" s="472"/>
    </row>
    <row r="149" ht="15.75" customHeight="1">
      <c r="A149" s="577"/>
      <c r="B149" s="577"/>
      <c r="C149" s="578"/>
      <c r="D149" s="578"/>
      <c r="E149" s="578"/>
      <c r="F149" s="578"/>
      <c r="G149" s="579"/>
      <c r="H149" s="579"/>
      <c r="I149" s="580"/>
      <c r="J149" s="578"/>
      <c r="K149" s="578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2"/>
      <c r="X149" s="581"/>
      <c r="Y149" s="581"/>
      <c r="Z149" s="581"/>
      <c r="AA149" s="581"/>
      <c r="AB149" s="581"/>
      <c r="AC149" s="581"/>
      <c r="AD149" s="581"/>
      <c r="AE149" s="581"/>
      <c r="AF149" s="581"/>
      <c r="AG149" s="583"/>
      <c r="AH149" s="581"/>
      <c r="AI149" s="582"/>
      <c r="AJ149" s="581"/>
      <c r="AK149" s="581"/>
      <c r="AL149" s="581"/>
      <c r="AM149" s="581"/>
      <c r="AN149" s="581"/>
      <c r="AO149" s="581"/>
      <c r="AP149" s="581"/>
      <c r="AQ149" s="581"/>
      <c r="AR149" s="581"/>
      <c r="AS149" s="583"/>
      <c r="AT149" s="581"/>
      <c r="AU149" s="582"/>
      <c r="AV149" s="584"/>
      <c r="AW149" s="585"/>
      <c r="AX149" s="580"/>
      <c r="AY149" s="580"/>
      <c r="AZ149" s="586"/>
      <c r="BA149" s="587">
        <f t="shared" ref="BA149:BJ149" si="460">L149*$AY149</f>
        <v>0</v>
      </c>
      <c r="BB149" s="587">
        <f t="shared" si="460"/>
        <v>0</v>
      </c>
      <c r="BC149" s="587">
        <f t="shared" si="460"/>
        <v>0</v>
      </c>
      <c r="BD149" s="587">
        <f t="shared" si="460"/>
        <v>0</v>
      </c>
      <c r="BE149" s="587">
        <f t="shared" si="460"/>
        <v>0</v>
      </c>
      <c r="BF149" s="587">
        <f t="shared" si="460"/>
        <v>0</v>
      </c>
      <c r="BG149" s="587">
        <f t="shared" si="460"/>
        <v>0</v>
      </c>
      <c r="BH149" s="587">
        <f t="shared" si="460"/>
        <v>0</v>
      </c>
      <c r="BI149" s="587">
        <f t="shared" si="460"/>
        <v>0</v>
      </c>
      <c r="BJ149" s="587">
        <f t="shared" si="460"/>
        <v>0</v>
      </c>
      <c r="BK149" s="587"/>
      <c r="BL149" s="587">
        <f t="shared" ref="BL149:BU149" si="461">X149*$AY149</f>
        <v>0</v>
      </c>
      <c r="BM149" s="587">
        <f t="shared" si="461"/>
        <v>0</v>
      </c>
      <c r="BN149" s="587">
        <f t="shared" si="461"/>
        <v>0</v>
      </c>
      <c r="BO149" s="587">
        <f t="shared" si="461"/>
        <v>0</v>
      </c>
      <c r="BP149" s="587">
        <f t="shared" si="461"/>
        <v>0</v>
      </c>
      <c r="BQ149" s="587">
        <f t="shared" si="461"/>
        <v>0</v>
      </c>
      <c r="BR149" s="587">
        <f t="shared" si="461"/>
        <v>0</v>
      </c>
      <c r="BS149" s="587">
        <f t="shared" si="461"/>
        <v>0</v>
      </c>
      <c r="BT149" s="587">
        <f t="shared" si="461"/>
        <v>0</v>
      </c>
      <c r="BU149" s="587">
        <f t="shared" si="461"/>
        <v>0</v>
      </c>
      <c r="BV149" s="587"/>
      <c r="BW149" s="587">
        <f t="shared" ref="BW149:CF149" si="462">AJ149*$AY149</f>
        <v>0</v>
      </c>
      <c r="BX149" s="587">
        <f t="shared" si="462"/>
        <v>0</v>
      </c>
      <c r="BY149" s="587">
        <f t="shared" si="462"/>
        <v>0</v>
      </c>
      <c r="BZ149" s="587">
        <f t="shared" si="462"/>
        <v>0</v>
      </c>
      <c r="CA149" s="587">
        <f t="shared" si="462"/>
        <v>0</v>
      </c>
      <c r="CB149" s="587">
        <f t="shared" si="462"/>
        <v>0</v>
      </c>
      <c r="CC149" s="587">
        <f t="shared" si="462"/>
        <v>0</v>
      </c>
      <c r="CD149" s="587">
        <f t="shared" si="462"/>
        <v>0</v>
      </c>
      <c r="CE149" s="587">
        <f t="shared" si="462"/>
        <v>0</v>
      </c>
      <c r="CF149" s="587">
        <f t="shared" si="462"/>
        <v>0</v>
      </c>
      <c r="CG149" s="587"/>
      <c r="CH149" s="587"/>
      <c r="CI149" s="412"/>
      <c r="CJ149" s="588"/>
      <c r="CK149" s="472"/>
    </row>
    <row r="150" ht="15.75" customHeight="1">
      <c r="A150" s="589"/>
      <c r="B150" s="589"/>
      <c r="C150" s="590" t="s">
        <v>1820</v>
      </c>
      <c r="D150" s="591"/>
      <c r="E150" s="590"/>
      <c r="F150" s="590"/>
      <c r="G150" s="592"/>
      <c r="H150" s="592"/>
      <c r="I150" s="593"/>
      <c r="J150" s="591"/>
      <c r="K150" s="590"/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4">
        <f>SUMIF($F$4:$F$149,"=TDB",W4:$BK$149)</f>
        <v>21384</v>
      </c>
      <c r="X150" s="590"/>
      <c r="Y150" s="590"/>
      <c r="Z150" s="590"/>
      <c r="AA150" s="590"/>
      <c r="AB150" s="590"/>
      <c r="AC150" s="590"/>
      <c r="AD150" s="590"/>
      <c r="AE150" s="590"/>
      <c r="AF150" s="590"/>
      <c r="AG150" s="590"/>
      <c r="AH150" s="590"/>
      <c r="AI150" s="595"/>
      <c r="AJ150" s="590"/>
      <c r="AK150" s="590"/>
      <c r="AL150" s="590"/>
      <c r="AM150" s="590"/>
      <c r="AN150" s="590"/>
      <c r="AO150" s="590"/>
      <c r="AP150" s="590"/>
      <c r="AQ150" s="590"/>
      <c r="AR150" s="590"/>
      <c r="AS150" s="590"/>
      <c r="AT150" s="590"/>
      <c r="AU150" s="595"/>
      <c r="AV150" s="596">
        <f>SUM(AV4:AV147)</f>
        <v>108003</v>
      </c>
      <c r="AW150" s="593"/>
      <c r="AX150" s="595"/>
      <c r="AY150" s="411">
        <f>SUM(AY4:AY149)</f>
        <v>101640.714</v>
      </c>
      <c r="AZ150" s="588"/>
      <c r="BA150" s="588"/>
      <c r="BB150" s="588"/>
      <c r="BC150" s="588"/>
      <c r="BD150" s="588"/>
      <c r="BE150" s="588"/>
      <c r="BF150" s="588"/>
      <c r="BG150" s="588"/>
      <c r="BH150" s="588"/>
      <c r="BI150" s="588"/>
      <c r="BJ150" s="588"/>
      <c r="BK150" s="594">
        <f>SUMIF($F$4:$F$149,"=TDB",BK4:$BK$149)</f>
        <v>5525563.558</v>
      </c>
      <c r="BL150" s="588">
        <f t="shared" ref="BL150:BU150" si="463">SUM(BL4:BL149)</f>
        <v>1549130.058</v>
      </c>
      <c r="BM150" s="588">
        <f t="shared" si="463"/>
        <v>886062.1062</v>
      </c>
      <c r="BN150" s="588">
        <f t="shared" si="463"/>
        <v>1279320.09</v>
      </c>
      <c r="BO150" s="588">
        <f t="shared" si="463"/>
        <v>1144880.768</v>
      </c>
      <c r="BP150" s="588">
        <f t="shared" si="463"/>
        <v>1288746.752</v>
      </c>
      <c r="BQ150" s="588">
        <f t="shared" si="463"/>
        <v>1781761.678</v>
      </c>
      <c r="BR150" s="588">
        <f t="shared" si="463"/>
        <v>902795.6706</v>
      </c>
      <c r="BS150" s="588">
        <f t="shared" si="463"/>
        <v>1018235.665</v>
      </c>
      <c r="BT150" s="588">
        <f t="shared" si="463"/>
        <v>287146.7178</v>
      </c>
      <c r="BU150" s="588">
        <f t="shared" si="463"/>
        <v>529313.1504</v>
      </c>
      <c r="BV150" s="594">
        <f>SUMIF($F$4:$F$149,"=TDB",$BV$4:$BV$149)</f>
        <v>10060960.42</v>
      </c>
      <c r="BW150" s="588"/>
      <c r="BX150" s="588"/>
      <c r="BY150" s="588"/>
      <c r="BZ150" s="588"/>
      <c r="CA150" s="588"/>
      <c r="CB150" s="588"/>
      <c r="CC150" s="588"/>
      <c r="CD150" s="588"/>
      <c r="CE150" s="588"/>
      <c r="CF150" s="588"/>
      <c r="CG150" s="594">
        <f>SUMIF($F$4:$F$149,"=TDB",$CG$4:$CG$149)</f>
        <v>10112763.42</v>
      </c>
      <c r="CH150" s="594">
        <f>SUM(CH4:CH149)</f>
        <v>26912151.87</v>
      </c>
      <c r="CI150" s="597" t="s">
        <v>2943</v>
      </c>
      <c r="CJ150" s="588"/>
      <c r="CK150" s="472"/>
    </row>
    <row r="151" ht="15.75" customHeight="1">
      <c r="A151" s="589"/>
      <c r="B151" s="589"/>
      <c r="C151" s="590"/>
      <c r="D151" s="591"/>
      <c r="E151" s="590"/>
      <c r="F151" s="590"/>
      <c r="G151" s="592"/>
      <c r="H151" s="592"/>
      <c r="I151" s="593"/>
      <c r="J151" s="591"/>
      <c r="K151" s="590"/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5"/>
      <c r="X151" s="590"/>
      <c r="Y151" s="590"/>
      <c r="Z151" s="590"/>
      <c r="AA151" s="590"/>
      <c r="AB151" s="590"/>
      <c r="AC151" s="590"/>
      <c r="AD151" s="590"/>
      <c r="AE151" s="590"/>
      <c r="AF151" s="590"/>
      <c r="AG151" s="590"/>
      <c r="AH151" s="590"/>
      <c r="AI151" s="595"/>
      <c r="AJ151" s="590"/>
      <c r="AK151" s="590"/>
      <c r="AL151" s="590"/>
      <c r="AM151" s="590"/>
      <c r="AN151" s="590"/>
      <c r="AO151" s="590"/>
      <c r="AP151" s="590"/>
      <c r="AQ151" s="590"/>
      <c r="AR151" s="590"/>
      <c r="AS151" s="590"/>
      <c r="AT151" s="590"/>
      <c r="AU151" s="595"/>
      <c r="AV151" s="595"/>
      <c r="AW151" s="593"/>
      <c r="AX151" s="595"/>
      <c r="AY151" s="411"/>
      <c r="AZ151" s="588"/>
      <c r="BA151" s="588"/>
      <c r="BB151" s="588"/>
      <c r="BC151" s="588"/>
      <c r="BD151" s="588"/>
      <c r="BE151" s="588"/>
      <c r="BF151" s="588"/>
      <c r="BG151" s="588"/>
      <c r="BH151" s="588"/>
      <c r="BI151" s="588"/>
      <c r="BJ151" s="588"/>
      <c r="BK151" s="594">
        <f>SUMIF($F$4:$F$149,"=LOCAL",$BK$4:$BK$149)</f>
        <v>0</v>
      </c>
      <c r="BL151" s="588"/>
      <c r="BM151" s="588"/>
      <c r="BN151" s="588"/>
      <c r="BO151" s="588"/>
      <c r="BP151" s="588"/>
      <c r="BQ151" s="588"/>
      <c r="BR151" s="588"/>
      <c r="BS151" s="588"/>
      <c r="BT151" s="588"/>
      <c r="BU151" s="588"/>
      <c r="BV151" s="594">
        <f>SUMIF($F$4:$F$149,"=LOCAL",$BV$4:$BV$149)</f>
        <v>606432.2382</v>
      </c>
      <c r="BW151" s="588"/>
      <c r="BX151" s="588"/>
      <c r="BY151" s="588"/>
      <c r="BZ151" s="588"/>
      <c r="CA151" s="588"/>
      <c r="CB151" s="588"/>
      <c r="CC151" s="588"/>
      <c r="CD151" s="588"/>
      <c r="CE151" s="588"/>
      <c r="CF151" s="588"/>
      <c r="CG151" s="594">
        <f>SUMIF($F$4:$F$149,"=LOCAL",$CG$4:$CG$149)</f>
        <v>606432.2382</v>
      </c>
      <c r="CH151" s="594">
        <f>CG151+BV151+BK151</f>
        <v>1212864.476</v>
      </c>
      <c r="CI151" s="597" t="s">
        <v>2944</v>
      </c>
      <c r="CJ151" s="588"/>
      <c r="CK151" s="472"/>
    </row>
  </sheetData>
  <autoFilter ref="$A$3:$CK$146">
    <sortState ref="A3:CK146">
      <sortCondition descending="1" ref="CH3:CH146"/>
      <sortCondition ref="D3:D146"/>
    </sortState>
  </autoFilter>
  <customSheetViews>
    <customSheetView guid="{C0B14D99-5A09-4773-B0A4-8BF91D71F9EE}" filter="1" showAutoFilter="1">
      <autoFilter ref="$C$3:$AY$151"/>
    </customSheetView>
  </customSheetViews>
  <mergeCells count="1">
    <mergeCell ref="AX2:AY2"/>
  </mergeCells>
  <printOptions/>
  <pageMargins bottom="0.75" footer="0.0" header="0.0" left="0.7" right="0.7" top="0.75"/>
  <pageSetup fitToHeight="0" orientation="portrait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 fitToPage="1"/>
  </sheetPr>
  <sheetViews>
    <sheetView showGridLines="0" workbookViewId="0">
      <pane xSplit="10.0" ySplit="3.0" topLeftCell="K4" activePane="bottomRight" state="frozen"/>
      <selection activeCell="K1" sqref="K1" pane="topRight"/>
      <selection activeCell="A4" sqref="A4" pane="bottomLeft"/>
      <selection activeCell="K4" sqref="K4" pane="bottomRight"/>
    </sheetView>
  </sheetViews>
  <sheetFormatPr customHeight="1" defaultColWidth="14.43" defaultRowHeight="15.0" outlineLevelCol="1"/>
  <cols>
    <col customWidth="1" min="1" max="3" width="9.29" outlineLevel="1"/>
    <col customWidth="1" min="4" max="4" width="18.43" outlineLevel="1"/>
    <col customWidth="1" min="5" max="5" width="13.29" outlineLevel="1"/>
    <col customWidth="1" min="6" max="6" width="8.43" outlineLevel="1"/>
    <col customWidth="1" min="7" max="8" width="10.0" outlineLevel="1"/>
    <col customWidth="1" min="9" max="9" width="10.86"/>
    <col customWidth="1" min="10" max="10" width="54.57"/>
    <col customWidth="1" min="11" max="11" width="5.29"/>
    <col customWidth="1" hidden="1" min="12" max="12" width="7.29" outlineLevel="1"/>
    <col customWidth="1" hidden="1" min="13" max="13" width="6.43" outlineLevel="1"/>
    <col customWidth="1" hidden="1" min="14" max="14" width="6.57" outlineLevel="1"/>
    <col customWidth="1" hidden="1" min="15" max="15" width="5.86" outlineLevel="1"/>
    <col customWidth="1" hidden="1" min="16" max="16" width="6.71" outlineLevel="1"/>
    <col customWidth="1" hidden="1" min="17" max="17" width="7.0" outlineLevel="1"/>
    <col customWidth="1" hidden="1" min="18" max="18" width="6.57" outlineLevel="1"/>
    <col customWidth="1" hidden="1" min="19" max="19" width="6.71" outlineLevel="1"/>
    <col customWidth="1" hidden="1" min="20" max="20" width="6.43" outlineLevel="1"/>
    <col customWidth="1" hidden="1" min="21" max="21" width="6.0" outlineLevel="1"/>
    <col collapsed="1" customWidth="1" min="22" max="22" width="6.0"/>
    <col customWidth="1" hidden="1" min="23" max="32" width="6.43" outlineLevel="1"/>
    <col collapsed="1" customWidth="1" min="33" max="33" width="3.71"/>
    <col customWidth="1" hidden="1" min="34" max="34" width="4.71" outlineLevel="1"/>
    <col customWidth="1" hidden="1" min="35" max="43" width="6.14" outlineLevel="1"/>
    <col customWidth="1" hidden="1" min="44" max="53" width="3.71" outlineLevel="1"/>
    <col collapsed="1" customWidth="1" min="54" max="54" width="3.71"/>
    <col customWidth="1" min="55" max="55" width="7.71" outlineLevel="1"/>
    <col customWidth="1" min="56" max="56" width="6.0" outlineLevel="1"/>
    <col customWidth="1" min="57" max="64" width="7.71" outlineLevel="1"/>
    <col customWidth="1" min="65" max="65" width="7.71"/>
    <col customWidth="1" min="66" max="75" width="7.71" outlineLevel="1"/>
    <col customWidth="1" min="76" max="76" width="10.57"/>
    <col customWidth="1" min="77" max="86" width="11.57" outlineLevel="1"/>
    <col customWidth="1" min="87" max="87" width="8.43"/>
    <col customWidth="1" min="88" max="88" width="11.43"/>
    <col customWidth="1" min="89" max="89" width="12.14"/>
    <col customWidth="1" min="90" max="90" width="14.43"/>
    <col customWidth="1" hidden="1" min="91" max="100" width="11.29" outlineLevel="1"/>
    <col collapsed="1" customWidth="1" min="101" max="101" width="11.29"/>
    <col customWidth="1" hidden="1" min="102" max="111" width="11.29" outlineLevel="1"/>
    <col collapsed="1" customWidth="1" min="112" max="112" width="11.29"/>
    <col customWidth="1" hidden="1" min="113" max="122" width="11.29" outlineLevel="1"/>
    <col collapsed="1" customWidth="1" min="123" max="123" width="11.29"/>
    <col customWidth="1" min="124" max="124" width="12.29"/>
    <col customWidth="1" min="125" max="125" width="44.14"/>
    <col customWidth="1" min="126" max="126" width="41.29"/>
    <col customWidth="1" hidden="1" min="127" max="136" width="6.86" outlineLevel="1"/>
    <col collapsed="1" customWidth="1" min="137" max="137" width="6.86"/>
    <col customWidth="1" min="138" max="138" width="40.71"/>
    <col customWidth="1" min="139" max="139" width="13.29"/>
    <col customWidth="1" min="140" max="141" width="10.29"/>
  </cols>
  <sheetData>
    <row r="1" ht="12.0" customHeight="1">
      <c r="A1" s="598"/>
      <c r="B1" s="598"/>
      <c r="C1" s="599"/>
      <c r="D1" s="404"/>
      <c r="E1" s="404"/>
      <c r="F1" s="404"/>
      <c r="G1" s="406"/>
      <c r="H1" s="406" t="s">
        <v>2945</v>
      </c>
      <c r="I1" s="404"/>
      <c r="J1" s="404"/>
      <c r="K1" s="404"/>
      <c r="L1" s="600" t="s">
        <v>2946</v>
      </c>
      <c r="M1" s="601"/>
      <c r="N1" s="601"/>
      <c r="O1" s="601"/>
      <c r="P1" s="601"/>
      <c r="Q1" s="601"/>
      <c r="R1" s="601"/>
      <c r="S1" s="601"/>
      <c r="T1" s="601"/>
      <c r="U1" s="602"/>
      <c r="V1" s="603"/>
      <c r="W1" s="600" t="s">
        <v>2947</v>
      </c>
      <c r="X1" s="601"/>
      <c r="Y1" s="601"/>
      <c r="Z1" s="601"/>
      <c r="AA1" s="601"/>
      <c r="AB1" s="601"/>
      <c r="AC1" s="601"/>
      <c r="AD1" s="601"/>
      <c r="AE1" s="601"/>
      <c r="AF1" s="602"/>
      <c r="AG1" s="603"/>
      <c r="AH1" s="603"/>
      <c r="AI1" s="603"/>
      <c r="AJ1" s="603"/>
      <c r="AK1" s="603"/>
      <c r="AL1" s="603"/>
      <c r="AM1" s="603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0" t="s">
        <v>2948</v>
      </c>
      <c r="BD1" s="601"/>
      <c r="BE1" s="601"/>
      <c r="BF1" s="601"/>
      <c r="BG1" s="601"/>
      <c r="BH1" s="601"/>
      <c r="BI1" s="601"/>
      <c r="BJ1" s="601"/>
      <c r="BK1" s="601"/>
      <c r="BL1" s="602"/>
      <c r="BM1" s="604"/>
      <c r="BN1" s="605" t="s">
        <v>2949</v>
      </c>
      <c r="BO1" s="601"/>
      <c r="BP1" s="601"/>
      <c r="BQ1" s="601"/>
      <c r="BR1" s="601"/>
      <c r="BS1" s="601"/>
      <c r="BT1" s="601"/>
      <c r="BU1" s="601"/>
      <c r="BV1" s="601"/>
      <c r="BW1" s="602"/>
      <c r="BX1" s="604"/>
      <c r="BY1" s="605" t="s">
        <v>2950</v>
      </c>
      <c r="BZ1" s="601"/>
      <c r="CA1" s="601"/>
      <c r="CB1" s="601"/>
      <c r="CC1" s="601"/>
      <c r="CD1" s="601"/>
      <c r="CE1" s="601"/>
      <c r="CF1" s="601"/>
      <c r="CG1" s="601"/>
      <c r="CH1" s="602"/>
      <c r="CI1" s="604"/>
      <c r="CJ1" s="606"/>
      <c r="CK1" s="413" t="s">
        <v>2654</v>
      </c>
      <c r="CL1" s="414">
        <v>6.96</v>
      </c>
      <c r="CM1" s="607"/>
      <c r="CN1" s="607"/>
      <c r="CO1" s="607"/>
      <c r="CP1" s="607"/>
      <c r="CQ1" s="607"/>
      <c r="CR1" s="607"/>
      <c r="CS1" s="607"/>
      <c r="CT1" s="607"/>
      <c r="CU1" s="607"/>
      <c r="CV1" s="607"/>
      <c r="CW1" s="607"/>
      <c r="CX1" s="607"/>
      <c r="CY1" s="607"/>
      <c r="CZ1" s="607"/>
      <c r="DA1" s="607"/>
      <c r="DB1" s="607"/>
      <c r="DC1" s="607"/>
      <c r="DD1" s="607"/>
      <c r="DE1" s="607"/>
      <c r="DF1" s="607"/>
      <c r="DG1" s="607"/>
      <c r="DH1" s="607"/>
      <c r="DI1" s="607"/>
      <c r="DJ1" s="607"/>
      <c r="DK1" s="607"/>
      <c r="DL1" s="607"/>
      <c r="DM1" s="607"/>
      <c r="DN1" s="607"/>
      <c r="DO1" s="607"/>
      <c r="DP1" s="607"/>
      <c r="DQ1" s="607"/>
      <c r="DR1" s="607"/>
      <c r="DS1" s="607"/>
      <c r="DT1" s="607"/>
      <c r="DU1" s="591"/>
      <c r="DV1" s="590"/>
      <c r="DW1" s="589"/>
      <c r="DX1" s="589"/>
      <c r="DY1" s="589"/>
      <c r="DZ1" s="589"/>
      <c r="EA1" s="589"/>
      <c r="EB1" s="589"/>
      <c r="EC1" s="589"/>
      <c r="ED1" s="589"/>
      <c r="EE1" s="589"/>
      <c r="EF1" s="589"/>
      <c r="EG1" s="589"/>
      <c r="EH1" s="608"/>
      <c r="EI1" s="609"/>
      <c r="EJ1" s="610"/>
      <c r="EK1" s="610"/>
    </row>
    <row r="2" ht="12.0" customHeight="1">
      <c r="A2" s="598"/>
      <c r="B2" s="598"/>
      <c r="C2" s="611"/>
      <c r="D2" s="404"/>
      <c r="E2" s="404"/>
      <c r="F2" s="404"/>
      <c r="G2" s="612"/>
      <c r="H2" s="612"/>
      <c r="I2" s="404"/>
      <c r="J2" s="404"/>
      <c r="K2" s="404"/>
      <c r="L2" s="613"/>
      <c r="M2" s="614"/>
      <c r="N2" s="614"/>
      <c r="O2" s="614"/>
      <c r="P2" s="614"/>
      <c r="Q2" s="614"/>
      <c r="R2" s="614"/>
      <c r="S2" s="614"/>
      <c r="T2" s="614"/>
      <c r="U2" s="615"/>
      <c r="V2" s="603"/>
      <c r="W2" s="613"/>
      <c r="X2" s="614"/>
      <c r="Y2" s="614"/>
      <c r="Z2" s="614"/>
      <c r="AA2" s="614"/>
      <c r="AB2" s="614"/>
      <c r="AC2" s="614"/>
      <c r="AD2" s="614"/>
      <c r="AE2" s="614"/>
      <c r="AF2" s="615"/>
      <c r="AG2" s="603"/>
      <c r="AH2" s="410" t="s">
        <v>2951</v>
      </c>
      <c r="AI2" s="603"/>
      <c r="AJ2" s="603"/>
      <c r="AK2" s="603"/>
      <c r="AL2" s="603"/>
      <c r="AM2" s="603"/>
      <c r="AN2" s="603"/>
      <c r="AO2" s="603"/>
      <c r="AP2" s="603"/>
      <c r="AQ2" s="603"/>
      <c r="AR2" s="603"/>
      <c r="AS2" s="603"/>
      <c r="AT2" s="603"/>
      <c r="AU2" s="603"/>
      <c r="AV2" s="603"/>
      <c r="AW2" s="603"/>
      <c r="AX2" s="603"/>
      <c r="AY2" s="603"/>
      <c r="AZ2" s="603"/>
      <c r="BA2" s="603"/>
      <c r="BB2" s="603"/>
      <c r="BC2" s="613"/>
      <c r="BD2" s="614"/>
      <c r="BE2" s="614"/>
      <c r="BF2" s="614"/>
      <c r="BG2" s="614"/>
      <c r="BH2" s="614"/>
      <c r="BI2" s="614"/>
      <c r="BJ2" s="614"/>
      <c r="BK2" s="614"/>
      <c r="BL2" s="614"/>
      <c r="BM2" s="616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6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6"/>
      <c r="CJ2" s="606"/>
      <c r="CK2" s="418" t="s">
        <v>2655</v>
      </c>
      <c r="CL2" s="419"/>
      <c r="CM2" s="607"/>
      <c r="CN2" s="607"/>
      <c r="CO2" s="607"/>
      <c r="CP2" s="607"/>
      <c r="CQ2" s="607"/>
      <c r="CR2" s="607"/>
      <c r="CS2" s="607"/>
      <c r="CT2" s="607"/>
      <c r="CU2" s="607"/>
      <c r="CV2" s="607"/>
      <c r="CW2" s="607"/>
      <c r="CX2" s="607"/>
      <c r="CY2" s="607"/>
      <c r="CZ2" s="607"/>
      <c r="DA2" s="607"/>
      <c r="DB2" s="607"/>
      <c r="DC2" s="607"/>
      <c r="DD2" s="607"/>
      <c r="DE2" s="607"/>
      <c r="DF2" s="607"/>
      <c r="DG2" s="607"/>
      <c r="DH2" s="607"/>
      <c r="DI2" s="607"/>
      <c r="DJ2" s="607"/>
      <c r="DK2" s="607"/>
      <c r="DL2" s="607"/>
      <c r="DM2" s="607"/>
      <c r="DN2" s="607"/>
      <c r="DO2" s="607"/>
      <c r="DP2" s="607"/>
      <c r="DQ2" s="607"/>
      <c r="DR2" s="607"/>
      <c r="DS2" s="607"/>
      <c r="DT2" s="607"/>
      <c r="DU2" s="591"/>
      <c r="DV2" s="590"/>
      <c r="DW2" s="589"/>
      <c r="DX2" s="589"/>
      <c r="DY2" s="589"/>
      <c r="DZ2" s="589"/>
      <c r="EA2" s="589"/>
      <c r="EB2" s="589"/>
      <c r="EC2" s="589"/>
      <c r="ED2" s="589"/>
      <c r="EE2" s="589"/>
      <c r="EF2" s="589"/>
      <c r="EG2" s="589"/>
      <c r="EH2" s="608"/>
      <c r="EI2" s="609"/>
      <c r="EJ2" s="610"/>
      <c r="EK2" s="610"/>
    </row>
    <row r="3" ht="45.0" customHeight="1">
      <c r="A3" s="618" t="s">
        <v>1758</v>
      </c>
      <c r="B3" s="618" t="s">
        <v>2656</v>
      </c>
      <c r="C3" s="619" t="s">
        <v>2657</v>
      </c>
      <c r="D3" s="619" t="s">
        <v>1800</v>
      </c>
      <c r="E3" s="619" t="s">
        <v>2658</v>
      </c>
      <c r="F3" s="620" t="s">
        <v>2659</v>
      </c>
      <c r="G3" s="621" t="s">
        <v>2660</v>
      </c>
      <c r="H3" s="622" t="s">
        <v>2661</v>
      </c>
      <c r="I3" s="619" t="s">
        <v>2662</v>
      </c>
      <c r="J3" s="619" t="s">
        <v>1833</v>
      </c>
      <c r="K3" s="623" t="s">
        <v>2663</v>
      </c>
      <c r="L3" s="624" t="s">
        <v>2952</v>
      </c>
      <c r="M3" s="624" t="s">
        <v>2953</v>
      </c>
      <c r="N3" s="624" t="s">
        <v>2954</v>
      </c>
      <c r="O3" s="624" t="s">
        <v>2955</v>
      </c>
      <c r="P3" s="624" t="s">
        <v>2956</v>
      </c>
      <c r="Q3" s="624" t="s">
        <v>2957</v>
      </c>
      <c r="R3" s="624" t="s">
        <v>2958</v>
      </c>
      <c r="S3" s="624" t="s">
        <v>2959</v>
      </c>
      <c r="T3" s="624" t="s">
        <v>2960</v>
      </c>
      <c r="U3" s="624" t="s">
        <v>2961</v>
      </c>
      <c r="V3" s="624" t="s">
        <v>2962</v>
      </c>
      <c r="W3" s="624" t="s">
        <v>2963</v>
      </c>
      <c r="X3" s="624" t="s">
        <v>2964</v>
      </c>
      <c r="Y3" s="624" t="s">
        <v>2965</v>
      </c>
      <c r="Z3" s="624" t="s">
        <v>2966</v>
      </c>
      <c r="AA3" s="624" t="s">
        <v>2967</v>
      </c>
      <c r="AB3" s="624" t="s">
        <v>2968</v>
      </c>
      <c r="AC3" s="624" t="s">
        <v>2969</v>
      </c>
      <c r="AD3" s="624" t="s">
        <v>2970</v>
      </c>
      <c r="AE3" s="624" t="s">
        <v>2971</v>
      </c>
      <c r="AF3" s="624" t="s">
        <v>2972</v>
      </c>
      <c r="AG3" s="624" t="s">
        <v>2973</v>
      </c>
      <c r="AH3" s="624" t="s">
        <v>2974</v>
      </c>
      <c r="AI3" s="624" t="s">
        <v>2975</v>
      </c>
      <c r="AJ3" s="624" t="s">
        <v>2976</v>
      </c>
      <c r="AK3" s="624" t="s">
        <v>2977</v>
      </c>
      <c r="AL3" s="624" t="s">
        <v>2978</v>
      </c>
      <c r="AM3" s="624" t="s">
        <v>2979</v>
      </c>
      <c r="AN3" s="624" t="s">
        <v>2980</v>
      </c>
      <c r="AO3" s="624" t="s">
        <v>2981</v>
      </c>
      <c r="AP3" s="624" t="s">
        <v>2982</v>
      </c>
      <c r="AQ3" s="624" t="s">
        <v>2983</v>
      </c>
      <c r="AR3" s="624" t="s">
        <v>2984</v>
      </c>
      <c r="AS3" s="624" t="s">
        <v>2985</v>
      </c>
      <c r="AT3" s="624" t="s">
        <v>2986</v>
      </c>
      <c r="AU3" s="624" t="s">
        <v>2987</v>
      </c>
      <c r="AV3" s="624" t="s">
        <v>2988</v>
      </c>
      <c r="AW3" s="624" t="s">
        <v>2989</v>
      </c>
      <c r="AX3" s="624" t="s">
        <v>2990</v>
      </c>
      <c r="AY3" s="624" t="s">
        <v>2991</v>
      </c>
      <c r="AZ3" s="624" t="s">
        <v>2992</v>
      </c>
      <c r="BA3" s="624" t="s">
        <v>2993</v>
      </c>
      <c r="BB3" s="624" t="s">
        <v>2994</v>
      </c>
      <c r="BC3" s="625" t="s">
        <v>2995</v>
      </c>
      <c r="BD3" s="624" t="s">
        <v>2996</v>
      </c>
      <c r="BE3" s="626" t="s">
        <v>2997</v>
      </c>
      <c r="BF3" s="627" t="s">
        <v>2998</v>
      </c>
      <c r="BG3" s="628" t="s">
        <v>2999</v>
      </c>
      <c r="BH3" s="629" t="s">
        <v>3000</v>
      </c>
      <c r="BI3" s="630" t="s">
        <v>3001</v>
      </c>
      <c r="BJ3" s="631" t="s">
        <v>3002</v>
      </c>
      <c r="BK3" s="632" t="s">
        <v>3003</v>
      </c>
      <c r="BL3" s="633" t="s">
        <v>3004</v>
      </c>
      <c r="BM3" s="634" t="s">
        <v>7</v>
      </c>
      <c r="BN3" s="635" t="s">
        <v>3005</v>
      </c>
      <c r="BO3" s="636" t="s">
        <v>3006</v>
      </c>
      <c r="BP3" s="636" t="s">
        <v>3007</v>
      </c>
      <c r="BQ3" s="636" t="s">
        <v>3008</v>
      </c>
      <c r="BR3" s="636" t="s">
        <v>3009</v>
      </c>
      <c r="BS3" s="636" t="s">
        <v>3010</v>
      </c>
      <c r="BT3" s="636" t="s">
        <v>3011</v>
      </c>
      <c r="BU3" s="636" t="s">
        <v>3012</v>
      </c>
      <c r="BV3" s="636" t="s">
        <v>3013</v>
      </c>
      <c r="BW3" s="637" t="s">
        <v>3014</v>
      </c>
      <c r="BX3" s="634" t="s">
        <v>8</v>
      </c>
      <c r="BY3" s="638" t="s">
        <v>3015</v>
      </c>
      <c r="BZ3" s="639" t="s">
        <v>3016</v>
      </c>
      <c r="CA3" s="639" t="s">
        <v>3017</v>
      </c>
      <c r="CB3" s="639" t="s">
        <v>3018</v>
      </c>
      <c r="CC3" s="639" t="s">
        <v>3019</v>
      </c>
      <c r="CD3" s="639" t="s">
        <v>3020</v>
      </c>
      <c r="CE3" s="639" t="s">
        <v>3021</v>
      </c>
      <c r="CF3" s="639" t="s">
        <v>3022</v>
      </c>
      <c r="CG3" s="639" t="s">
        <v>3023</v>
      </c>
      <c r="CH3" s="640" t="s">
        <v>3024</v>
      </c>
      <c r="CI3" s="634" t="s">
        <v>9</v>
      </c>
      <c r="CJ3" s="641" t="s">
        <v>10</v>
      </c>
      <c r="CK3" s="642" t="s">
        <v>2697</v>
      </c>
      <c r="CL3" s="642" t="s">
        <v>2698</v>
      </c>
      <c r="CM3" s="643" t="s">
        <v>2818</v>
      </c>
      <c r="CN3" s="644" t="s">
        <v>2819</v>
      </c>
      <c r="CO3" s="644" t="s">
        <v>2820</v>
      </c>
      <c r="CP3" s="644" t="s">
        <v>2821</v>
      </c>
      <c r="CQ3" s="644" t="s">
        <v>2822</v>
      </c>
      <c r="CR3" s="644" t="s">
        <v>2823</v>
      </c>
      <c r="CS3" s="644" t="s">
        <v>2824</v>
      </c>
      <c r="CT3" s="644" t="s">
        <v>2825</v>
      </c>
      <c r="CU3" s="644" t="s">
        <v>2826</v>
      </c>
      <c r="CV3" s="644" t="s">
        <v>2827</v>
      </c>
      <c r="CW3" s="645" t="s">
        <v>2699</v>
      </c>
      <c r="CX3" s="646" t="s">
        <v>2828</v>
      </c>
      <c r="CY3" s="647" t="s">
        <v>2829</v>
      </c>
      <c r="CZ3" s="647" t="s">
        <v>2830</v>
      </c>
      <c r="DA3" s="647" t="s">
        <v>2831</v>
      </c>
      <c r="DB3" s="647" t="s">
        <v>2832</v>
      </c>
      <c r="DC3" s="647" t="s">
        <v>2833</v>
      </c>
      <c r="DD3" s="647" t="s">
        <v>2834</v>
      </c>
      <c r="DE3" s="647" t="s">
        <v>2835</v>
      </c>
      <c r="DF3" s="647" t="s">
        <v>2836</v>
      </c>
      <c r="DG3" s="647" t="s">
        <v>2837</v>
      </c>
      <c r="DH3" s="645" t="s">
        <v>2700</v>
      </c>
      <c r="DI3" s="646" t="s">
        <v>2838</v>
      </c>
      <c r="DJ3" s="647" t="s">
        <v>2839</v>
      </c>
      <c r="DK3" s="647" t="s">
        <v>2840</v>
      </c>
      <c r="DL3" s="647" t="s">
        <v>2841</v>
      </c>
      <c r="DM3" s="647" t="s">
        <v>2842</v>
      </c>
      <c r="DN3" s="647" t="s">
        <v>2843</v>
      </c>
      <c r="DO3" s="647" t="s">
        <v>2844</v>
      </c>
      <c r="DP3" s="647" t="s">
        <v>2845</v>
      </c>
      <c r="DQ3" s="647" t="s">
        <v>2846</v>
      </c>
      <c r="DR3" s="647" t="s">
        <v>2847</v>
      </c>
      <c r="DS3" s="645" t="s">
        <v>2701</v>
      </c>
      <c r="DT3" s="645" t="s">
        <v>2702</v>
      </c>
      <c r="DU3" s="648" t="s">
        <v>1761</v>
      </c>
      <c r="DV3" s="649" t="s">
        <v>1805</v>
      </c>
      <c r="DW3" s="650"/>
      <c r="DX3" s="651"/>
      <c r="DY3" s="651"/>
      <c r="DZ3" s="651"/>
      <c r="EA3" s="651"/>
      <c r="EB3" s="651"/>
      <c r="EC3" s="651"/>
      <c r="ED3" s="651"/>
      <c r="EE3" s="651"/>
      <c r="EF3" s="652"/>
      <c r="EG3" s="653">
        <v>2027.0</v>
      </c>
      <c r="EH3" s="654" t="s">
        <v>3025</v>
      </c>
      <c r="EI3" s="655" t="s">
        <v>2703</v>
      </c>
      <c r="EJ3" s="656" t="s">
        <v>2704</v>
      </c>
      <c r="EK3" s="656" t="s">
        <v>2705</v>
      </c>
    </row>
    <row r="4" ht="12.0" customHeight="1">
      <c r="A4" s="565" t="s">
        <v>3026</v>
      </c>
      <c r="B4" s="566"/>
      <c r="C4" s="575" t="s">
        <v>3027</v>
      </c>
      <c r="D4" s="568" t="s">
        <v>160</v>
      </c>
      <c r="E4" s="568" t="s">
        <v>3028</v>
      </c>
      <c r="F4" s="567" t="s">
        <v>1763</v>
      </c>
      <c r="G4" s="657" t="s">
        <v>3029</v>
      </c>
      <c r="H4" s="658"/>
      <c r="I4" s="659">
        <v>1.2157993E7</v>
      </c>
      <c r="J4" s="660" t="s">
        <v>3030</v>
      </c>
      <c r="K4" s="661" t="s">
        <v>3031</v>
      </c>
      <c r="L4" s="567">
        <v>2024.0</v>
      </c>
      <c r="M4" s="567">
        <v>2024.0</v>
      </c>
      <c r="N4" s="567">
        <v>2024.0</v>
      </c>
      <c r="O4" s="567">
        <v>2026.0</v>
      </c>
      <c r="P4" s="567">
        <v>2025.0</v>
      </c>
      <c r="Q4" s="567">
        <v>2026.0</v>
      </c>
      <c r="R4" s="662">
        <v>2024.0</v>
      </c>
      <c r="S4" s="662">
        <v>2024.0</v>
      </c>
      <c r="T4" s="662">
        <v>2024.0</v>
      </c>
      <c r="U4" s="662">
        <v>2024.0</v>
      </c>
      <c r="V4" s="662"/>
      <c r="W4" s="567">
        <v>4.0</v>
      </c>
      <c r="X4" s="567">
        <v>4.0</v>
      </c>
      <c r="Y4" s="567">
        <v>4.0</v>
      </c>
      <c r="Z4" s="567">
        <v>4.0</v>
      </c>
      <c r="AA4" s="567">
        <v>4.0</v>
      </c>
      <c r="AB4" s="567">
        <v>4.0</v>
      </c>
      <c r="AC4" s="567">
        <v>4.0</v>
      </c>
      <c r="AD4" s="567">
        <v>4.0</v>
      </c>
      <c r="AE4" s="567">
        <v>4.0</v>
      </c>
      <c r="AF4" s="567">
        <v>4.0</v>
      </c>
      <c r="AG4" s="662"/>
      <c r="AH4" s="567"/>
      <c r="AI4" s="567"/>
      <c r="AJ4" s="567"/>
      <c r="AK4" s="567"/>
      <c r="AL4" s="567"/>
      <c r="AM4" s="567"/>
      <c r="AN4" s="567"/>
      <c r="AO4" s="567"/>
      <c r="AP4" s="567"/>
      <c r="AQ4" s="567"/>
      <c r="AR4" s="567">
        <v>-2024.0</v>
      </c>
      <c r="AS4" s="567">
        <v>-2024.0</v>
      </c>
      <c r="AT4" s="567">
        <v>-2024.0</v>
      </c>
      <c r="AU4" s="567">
        <v>-2026.0</v>
      </c>
      <c r="AV4" s="567">
        <v>-2025.0</v>
      </c>
      <c r="AW4" s="567">
        <v>-2026.0</v>
      </c>
      <c r="AX4" s="567">
        <v>-2024.0</v>
      </c>
      <c r="AY4" s="567">
        <v>-2024.0</v>
      </c>
      <c r="AZ4" s="567">
        <v>-2024.0</v>
      </c>
      <c r="BA4" s="567">
        <v>-2024.0</v>
      </c>
      <c r="BB4" s="567"/>
      <c r="BC4" s="663"/>
      <c r="BD4" s="663"/>
      <c r="BE4" s="663"/>
      <c r="BF4" s="663"/>
      <c r="BG4" s="663"/>
      <c r="BH4" s="663"/>
      <c r="BI4" s="663"/>
      <c r="BJ4" s="663"/>
      <c r="BK4" s="663"/>
      <c r="BL4" s="664"/>
      <c r="BM4" s="665">
        <f t="shared" ref="BM4:BM379" si="1">ROUNDUP( SUM(BC4:BL4))</f>
        <v>0</v>
      </c>
      <c r="BN4" s="666"/>
      <c r="BO4" s="667"/>
      <c r="BP4" s="667"/>
      <c r="BQ4" s="668"/>
      <c r="BR4" s="667"/>
      <c r="BS4" s="668"/>
      <c r="BT4" s="667"/>
      <c r="BU4" s="669"/>
      <c r="BV4" s="667"/>
      <c r="BW4" s="670"/>
      <c r="BX4" s="665">
        <f t="shared" ref="BX4:BX270" si="2">ROUNDUP( SUM(BN4:BW4))</f>
        <v>0</v>
      </c>
      <c r="BY4" s="671">
        <v>0.0</v>
      </c>
      <c r="BZ4" s="668">
        <v>0.0</v>
      </c>
      <c r="CA4" s="668">
        <v>0.0</v>
      </c>
      <c r="CB4" s="667"/>
      <c r="CC4" s="668">
        <v>0.0</v>
      </c>
      <c r="CD4" s="667"/>
      <c r="CE4" s="668">
        <v>0.0</v>
      </c>
      <c r="CF4" s="672"/>
      <c r="CG4" s="668">
        <v>0.0</v>
      </c>
      <c r="CH4" s="673"/>
      <c r="CI4" s="665">
        <f t="shared" ref="CI4:CI270" si="3">ROUNDUP( SUM(BY4:CH4))</f>
        <v>0</v>
      </c>
      <c r="CJ4" s="671">
        <f t="shared" ref="CJ4:CJ379" si="4">CI4+BX4+BM4</f>
        <v>0</v>
      </c>
      <c r="CK4" s="674">
        <v>9446.55</v>
      </c>
      <c r="CL4" s="668">
        <v>65842.45349999999</v>
      </c>
      <c r="CM4" s="668"/>
      <c r="CN4" s="668"/>
      <c r="CO4" s="668"/>
      <c r="CP4" s="668"/>
      <c r="CQ4" s="668"/>
      <c r="CR4" s="668"/>
      <c r="CS4" s="668"/>
      <c r="CT4" s="668"/>
      <c r="CU4" s="668"/>
      <c r="CV4" s="668"/>
      <c r="CW4" s="668">
        <f t="shared" ref="CW4:CW5" si="6">CL4*BM4</f>
        <v>0</v>
      </c>
      <c r="CX4" s="668"/>
      <c r="CY4" s="668"/>
      <c r="CZ4" s="668"/>
      <c r="DA4" s="668"/>
      <c r="DB4" s="668"/>
      <c r="DC4" s="668"/>
      <c r="DD4" s="668"/>
      <c r="DE4" s="668"/>
      <c r="DF4" s="668"/>
      <c r="DG4" s="668"/>
      <c r="DH4" s="668">
        <f t="shared" ref="DH4:DH5" si="8">CL4*BX4</f>
        <v>0</v>
      </c>
      <c r="DI4" s="668"/>
      <c r="DJ4" s="668"/>
      <c r="DK4" s="668"/>
      <c r="DL4" s="668"/>
      <c r="DM4" s="668"/>
      <c r="DN4" s="668"/>
      <c r="DO4" s="668"/>
      <c r="DP4" s="668"/>
      <c r="DQ4" s="668"/>
      <c r="DR4" s="668"/>
      <c r="DS4" s="668">
        <f t="shared" ref="DS4:DS5" si="10">CL4*CI4</f>
        <v>0</v>
      </c>
      <c r="DT4" s="668">
        <f>SUM(CW4:DS4)</f>
        <v>0</v>
      </c>
      <c r="DU4" s="538"/>
      <c r="DV4" s="675"/>
      <c r="DW4" s="676"/>
      <c r="DX4" s="676"/>
      <c r="DY4" s="676"/>
      <c r="DZ4" s="676"/>
      <c r="EA4" s="676"/>
      <c r="EB4" s="676"/>
      <c r="EC4" s="676"/>
      <c r="ED4" s="676"/>
      <c r="EE4" s="676"/>
      <c r="EF4" s="676"/>
      <c r="EG4" s="676"/>
      <c r="EH4" s="677">
        <f t="shared" ref="EH4:EH6" si="11">CK4*6.97</f>
        <v>65842.4535</v>
      </c>
      <c r="EI4" s="678">
        <v>1.0</v>
      </c>
      <c r="EJ4" s="678">
        <v>1.0</v>
      </c>
      <c r="EK4" s="678">
        <v>1.0</v>
      </c>
    </row>
    <row r="5" ht="12.0" customHeight="1">
      <c r="A5" s="553" t="s">
        <v>3026</v>
      </c>
      <c r="B5" s="554"/>
      <c r="C5" s="570" t="s">
        <v>3032</v>
      </c>
      <c r="D5" s="571" t="s">
        <v>1182</v>
      </c>
      <c r="E5" s="571" t="s">
        <v>2708</v>
      </c>
      <c r="F5" s="562" t="s">
        <v>1763</v>
      </c>
      <c r="G5" s="569" t="s">
        <v>2709</v>
      </c>
      <c r="H5" s="569" t="s">
        <v>2807</v>
      </c>
      <c r="I5" s="679">
        <v>1.1805532E7</v>
      </c>
      <c r="J5" s="571" t="s">
        <v>3033</v>
      </c>
      <c r="K5" s="562" t="s">
        <v>25</v>
      </c>
      <c r="L5" s="562">
        <v>2024.0</v>
      </c>
      <c r="M5" s="562"/>
      <c r="N5" s="562">
        <v>2024.0</v>
      </c>
      <c r="O5" s="562">
        <v>2024.0</v>
      </c>
      <c r="P5" s="562">
        <v>2024.0</v>
      </c>
      <c r="Q5" s="562">
        <v>2024.0</v>
      </c>
      <c r="R5" s="562"/>
      <c r="S5" s="562"/>
      <c r="T5" s="562"/>
      <c r="U5" s="562"/>
      <c r="V5" s="562"/>
      <c r="W5" s="562">
        <v>5.0</v>
      </c>
      <c r="X5" s="562"/>
      <c r="Y5" s="562">
        <v>5.0</v>
      </c>
      <c r="Z5" s="562">
        <v>5.0</v>
      </c>
      <c r="AA5" s="562">
        <v>5.0</v>
      </c>
      <c r="AB5" s="562">
        <v>5.0</v>
      </c>
      <c r="AC5" s="562"/>
      <c r="AD5" s="562"/>
      <c r="AE5" s="562"/>
      <c r="AF5" s="562"/>
      <c r="AG5" s="562"/>
      <c r="AH5" s="562"/>
      <c r="AI5" s="562"/>
      <c r="AJ5" s="562"/>
      <c r="AK5" s="562"/>
      <c r="AL5" s="562"/>
      <c r="AM5" s="562"/>
      <c r="AN5" s="562"/>
      <c r="AO5" s="562"/>
      <c r="AP5" s="562"/>
      <c r="AQ5" s="562"/>
      <c r="AR5" s="562">
        <v>-2024.0</v>
      </c>
      <c r="AS5" s="562">
        <v>0.0</v>
      </c>
      <c r="AT5" s="562">
        <v>-2024.0</v>
      </c>
      <c r="AU5" s="562">
        <v>-2024.0</v>
      </c>
      <c r="AV5" s="562">
        <v>-2024.0</v>
      </c>
      <c r="AW5" s="562">
        <v>-2024.0</v>
      </c>
      <c r="AX5" s="562">
        <v>0.0</v>
      </c>
      <c r="AY5" s="562">
        <v>0.0</v>
      </c>
      <c r="AZ5" s="562">
        <v>0.0</v>
      </c>
      <c r="BA5" s="562">
        <v>0.0</v>
      </c>
      <c r="BB5" s="562"/>
      <c r="BC5" s="680">
        <v>0.0</v>
      </c>
      <c r="BD5" s="562"/>
      <c r="BE5" s="680">
        <v>0.0</v>
      </c>
      <c r="BF5" s="562"/>
      <c r="BG5" s="562"/>
      <c r="BH5" s="562"/>
      <c r="BI5" s="562"/>
      <c r="BJ5" s="562"/>
      <c r="BK5" s="562"/>
      <c r="BL5" s="681"/>
      <c r="BM5" s="665">
        <f t="shared" si="1"/>
        <v>0</v>
      </c>
      <c r="BN5" s="682"/>
      <c r="BO5" s="683"/>
      <c r="BP5" s="683"/>
      <c r="BQ5" s="684">
        <v>0.0</v>
      </c>
      <c r="BR5" s="684">
        <v>0.0</v>
      </c>
      <c r="BS5" s="684">
        <v>0.0</v>
      </c>
      <c r="BT5" s="683"/>
      <c r="BU5" s="683"/>
      <c r="BV5" s="683"/>
      <c r="BW5" s="685">
        <v>0.0</v>
      </c>
      <c r="BX5" s="665">
        <f t="shared" si="2"/>
        <v>0</v>
      </c>
      <c r="BY5" s="682">
        <v>0.0</v>
      </c>
      <c r="BZ5" s="683">
        <v>0.0</v>
      </c>
      <c r="CA5" s="683">
        <v>0.0</v>
      </c>
      <c r="CB5" s="683">
        <v>0.0</v>
      </c>
      <c r="CC5" s="683">
        <v>0.0</v>
      </c>
      <c r="CD5" s="683">
        <v>0.0</v>
      </c>
      <c r="CE5" s="683">
        <v>0.0</v>
      </c>
      <c r="CF5" s="683">
        <v>0.0</v>
      </c>
      <c r="CG5" s="683">
        <v>0.0</v>
      </c>
      <c r="CH5" s="686">
        <v>0.0</v>
      </c>
      <c r="CI5" s="665">
        <f t="shared" si="3"/>
        <v>0</v>
      </c>
      <c r="CJ5" s="682">
        <f t="shared" si="4"/>
        <v>0</v>
      </c>
      <c r="CK5" s="687">
        <v>325.03</v>
      </c>
      <c r="CL5" s="683">
        <v>2265.4590999999996</v>
      </c>
      <c r="CM5" s="683">
        <f t="shared" ref="CM5:CV5" si="5">BC5*$CL5</f>
        <v>0</v>
      </c>
      <c r="CN5" s="683">
        <f t="shared" si="5"/>
        <v>0</v>
      </c>
      <c r="CO5" s="683">
        <f t="shared" si="5"/>
        <v>0</v>
      </c>
      <c r="CP5" s="683">
        <f t="shared" si="5"/>
        <v>0</v>
      </c>
      <c r="CQ5" s="683">
        <f t="shared" si="5"/>
        <v>0</v>
      </c>
      <c r="CR5" s="683">
        <f t="shared" si="5"/>
        <v>0</v>
      </c>
      <c r="CS5" s="683">
        <f t="shared" si="5"/>
        <v>0</v>
      </c>
      <c r="CT5" s="683">
        <f t="shared" si="5"/>
        <v>0</v>
      </c>
      <c r="CU5" s="683">
        <f t="shared" si="5"/>
        <v>0</v>
      </c>
      <c r="CV5" s="683">
        <f t="shared" si="5"/>
        <v>0</v>
      </c>
      <c r="CW5" s="683">
        <f t="shared" si="6"/>
        <v>0</v>
      </c>
      <c r="CX5" s="683">
        <f t="shared" ref="CX5:DG5" si="7">BN5*$CL5</f>
        <v>0</v>
      </c>
      <c r="CY5" s="683">
        <f t="shared" si="7"/>
        <v>0</v>
      </c>
      <c r="CZ5" s="683">
        <f t="shared" si="7"/>
        <v>0</v>
      </c>
      <c r="DA5" s="683">
        <f t="shared" si="7"/>
        <v>0</v>
      </c>
      <c r="DB5" s="683">
        <f t="shared" si="7"/>
        <v>0</v>
      </c>
      <c r="DC5" s="683">
        <f t="shared" si="7"/>
        <v>0</v>
      </c>
      <c r="DD5" s="683">
        <f t="shared" si="7"/>
        <v>0</v>
      </c>
      <c r="DE5" s="683">
        <f t="shared" si="7"/>
        <v>0</v>
      </c>
      <c r="DF5" s="683">
        <f t="shared" si="7"/>
        <v>0</v>
      </c>
      <c r="DG5" s="683">
        <f t="shared" si="7"/>
        <v>0</v>
      </c>
      <c r="DH5" s="683">
        <f t="shared" si="8"/>
        <v>0</v>
      </c>
      <c r="DI5" s="683">
        <f t="shared" ref="DI5:DR5" si="9">BY5*$CL5</f>
        <v>0</v>
      </c>
      <c r="DJ5" s="683">
        <f t="shared" si="9"/>
        <v>0</v>
      </c>
      <c r="DK5" s="683">
        <f t="shared" si="9"/>
        <v>0</v>
      </c>
      <c r="DL5" s="683">
        <f t="shared" si="9"/>
        <v>0</v>
      </c>
      <c r="DM5" s="683">
        <f t="shared" si="9"/>
        <v>0</v>
      </c>
      <c r="DN5" s="683">
        <f t="shared" si="9"/>
        <v>0</v>
      </c>
      <c r="DO5" s="683">
        <f t="shared" si="9"/>
        <v>0</v>
      </c>
      <c r="DP5" s="683">
        <f t="shared" si="9"/>
        <v>0</v>
      </c>
      <c r="DQ5" s="683">
        <f t="shared" si="9"/>
        <v>0</v>
      </c>
      <c r="DR5" s="683">
        <f t="shared" si="9"/>
        <v>0</v>
      </c>
      <c r="DS5" s="683">
        <f t="shared" si="10"/>
        <v>0</v>
      </c>
      <c r="DT5" s="683">
        <f t="shared" ref="DT5:DT55" si="15">CL5*CJ5</f>
        <v>0</v>
      </c>
      <c r="DU5" s="504"/>
      <c r="DV5" s="486"/>
      <c r="DW5" s="688"/>
      <c r="DX5" s="688"/>
      <c r="DY5" s="688"/>
      <c r="DZ5" s="688"/>
      <c r="EA5" s="688"/>
      <c r="EB5" s="688"/>
      <c r="EC5" s="688"/>
      <c r="ED5" s="688"/>
      <c r="EE5" s="688"/>
      <c r="EF5" s="688"/>
      <c r="EG5" s="688"/>
      <c r="EH5" s="689">
        <f t="shared" si="11"/>
        <v>2265.4591</v>
      </c>
      <c r="EI5" s="690">
        <v>1.0</v>
      </c>
      <c r="EJ5" s="691"/>
      <c r="EK5" s="691"/>
    </row>
    <row r="6" ht="12.0" customHeight="1">
      <c r="A6" s="565" t="s">
        <v>3026</v>
      </c>
      <c r="B6" s="575"/>
      <c r="C6" s="575" t="s">
        <v>3034</v>
      </c>
      <c r="D6" s="567" t="s">
        <v>1806</v>
      </c>
      <c r="E6" s="567" t="s">
        <v>2722</v>
      </c>
      <c r="F6" s="661" t="s">
        <v>1774</v>
      </c>
      <c r="G6" s="692" t="s">
        <v>2723</v>
      </c>
      <c r="H6" s="693"/>
      <c r="I6" s="567"/>
      <c r="J6" s="568" t="s">
        <v>3035</v>
      </c>
      <c r="K6" s="567" t="s">
        <v>25</v>
      </c>
      <c r="L6" s="567">
        <v>2024.0</v>
      </c>
      <c r="M6" s="567">
        <v>2024.0</v>
      </c>
      <c r="N6" s="567"/>
      <c r="O6" s="567"/>
      <c r="P6" s="567"/>
      <c r="Q6" s="567"/>
      <c r="R6" s="567">
        <v>2024.0</v>
      </c>
      <c r="S6" s="567">
        <v>2024.0</v>
      </c>
      <c r="T6" s="567">
        <v>2024.0</v>
      </c>
      <c r="U6" s="567"/>
      <c r="V6" s="567"/>
      <c r="W6" s="567">
        <v>5.0</v>
      </c>
      <c r="X6" s="567">
        <v>5.0</v>
      </c>
      <c r="Y6" s="567"/>
      <c r="Z6" s="567"/>
      <c r="AA6" s="567"/>
      <c r="AB6" s="567"/>
      <c r="AC6" s="567">
        <v>5.0</v>
      </c>
      <c r="AD6" s="567">
        <v>5.0</v>
      </c>
      <c r="AE6" s="567">
        <v>5.0</v>
      </c>
      <c r="AF6" s="567"/>
      <c r="AG6" s="567"/>
      <c r="AH6" s="567"/>
      <c r="AI6" s="567"/>
      <c r="AJ6" s="567"/>
      <c r="AK6" s="567"/>
      <c r="AL6" s="567"/>
      <c r="AM6" s="567"/>
      <c r="AN6" s="567"/>
      <c r="AO6" s="567"/>
      <c r="AP6" s="567"/>
      <c r="AQ6" s="567"/>
      <c r="AR6" s="567">
        <v>-2024.0</v>
      </c>
      <c r="AS6" s="567">
        <v>-2024.0</v>
      </c>
      <c r="AT6" s="567">
        <v>0.0</v>
      </c>
      <c r="AU6" s="567">
        <v>0.0</v>
      </c>
      <c r="AV6" s="567">
        <v>0.0</v>
      </c>
      <c r="AW6" s="567">
        <v>0.0</v>
      </c>
      <c r="AX6" s="567">
        <v>-2024.0</v>
      </c>
      <c r="AY6" s="567">
        <v>-2024.0</v>
      </c>
      <c r="AZ6" s="567">
        <v>-2024.0</v>
      </c>
      <c r="BA6" s="567">
        <v>0.0</v>
      </c>
      <c r="BB6" s="567"/>
      <c r="BC6" s="694">
        <v>0.0</v>
      </c>
      <c r="BD6" s="694">
        <v>0.0</v>
      </c>
      <c r="BE6" s="567"/>
      <c r="BF6" s="567"/>
      <c r="BG6" s="567"/>
      <c r="BH6" s="567"/>
      <c r="BI6" s="694">
        <v>0.0</v>
      </c>
      <c r="BJ6" s="694">
        <v>0.0</v>
      </c>
      <c r="BK6" s="694">
        <v>0.0</v>
      </c>
      <c r="BL6" s="695"/>
      <c r="BM6" s="665">
        <f t="shared" si="1"/>
        <v>0</v>
      </c>
      <c r="BN6" s="696"/>
      <c r="BO6" s="470"/>
      <c r="BP6" s="470"/>
      <c r="BQ6" s="470"/>
      <c r="BR6" s="470"/>
      <c r="BS6" s="470"/>
      <c r="BT6" s="470"/>
      <c r="BU6" s="470"/>
      <c r="BV6" s="470"/>
      <c r="BW6" s="697"/>
      <c r="BX6" s="665">
        <f t="shared" si="2"/>
        <v>0</v>
      </c>
      <c r="BY6" s="671">
        <v>0.0</v>
      </c>
      <c r="BZ6" s="668">
        <v>0.0</v>
      </c>
      <c r="CA6" s="668">
        <v>0.0</v>
      </c>
      <c r="CB6" s="668">
        <v>0.0</v>
      </c>
      <c r="CC6" s="668">
        <v>0.0</v>
      </c>
      <c r="CD6" s="668">
        <v>0.0</v>
      </c>
      <c r="CE6" s="668">
        <v>0.0</v>
      </c>
      <c r="CF6" s="668">
        <v>0.0</v>
      </c>
      <c r="CG6" s="668">
        <v>0.0</v>
      </c>
      <c r="CH6" s="670">
        <v>0.0</v>
      </c>
      <c r="CI6" s="665">
        <f t="shared" si="3"/>
        <v>0</v>
      </c>
      <c r="CJ6" s="671">
        <f t="shared" si="4"/>
        <v>0</v>
      </c>
      <c r="CK6" s="668"/>
      <c r="CL6" s="668">
        <v>0.0</v>
      </c>
      <c r="CM6" s="668">
        <f t="shared" ref="CM6:CV6" si="12">BC6*$CL6</f>
        <v>0</v>
      </c>
      <c r="CN6" s="668">
        <f t="shared" si="12"/>
        <v>0</v>
      </c>
      <c r="CO6" s="668">
        <f t="shared" si="12"/>
        <v>0</v>
      </c>
      <c r="CP6" s="668">
        <f t="shared" si="12"/>
        <v>0</v>
      </c>
      <c r="CQ6" s="668">
        <f t="shared" si="12"/>
        <v>0</v>
      </c>
      <c r="CR6" s="668">
        <f t="shared" si="12"/>
        <v>0</v>
      </c>
      <c r="CS6" s="668">
        <f t="shared" si="12"/>
        <v>0</v>
      </c>
      <c r="CT6" s="668">
        <f t="shared" si="12"/>
        <v>0</v>
      </c>
      <c r="CU6" s="668">
        <f t="shared" si="12"/>
        <v>0</v>
      </c>
      <c r="CV6" s="668">
        <f t="shared" si="12"/>
        <v>0</v>
      </c>
      <c r="CW6" s="668">
        <v>0.0</v>
      </c>
      <c r="CX6" s="668">
        <f t="shared" ref="CX6:DG6" si="13">BN6*$CL6</f>
        <v>0</v>
      </c>
      <c r="CY6" s="668">
        <f t="shared" si="13"/>
        <v>0</v>
      </c>
      <c r="CZ6" s="668">
        <f t="shared" si="13"/>
        <v>0</v>
      </c>
      <c r="DA6" s="668">
        <f t="shared" si="13"/>
        <v>0</v>
      </c>
      <c r="DB6" s="668">
        <f t="shared" si="13"/>
        <v>0</v>
      </c>
      <c r="DC6" s="668">
        <f t="shared" si="13"/>
        <v>0</v>
      </c>
      <c r="DD6" s="668">
        <f t="shared" si="13"/>
        <v>0</v>
      </c>
      <c r="DE6" s="668">
        <f t="shared" si="13"/>
        <v>0</v>
      </c>
      <c r="DF6" s="668">
        <f t="shared" si="13"/>
        <v>0</v>
      </c>
      <c r="DG6" s="668">
        <f t="shared" si="13"/>
        <v>0</v>
      </c>
      <c r="DH6" s="668">
        <v>0.0</v>
      </c>
      <c r="DI6" s="668">
        <f t="shared" ref="DI6:DR6" si="14">BY6*$CL6</f>
        <v>0</v>
      </c>
      <c r="DJ6" s="668">
        <f t="shared" si="14"/>
        <v>0</v>
      </c>
      <c r="DK6" s="668">
        <f t="shared" si="14"/>
        <v>0</v>
      </c>
      <c r="DL6" s="668">
        <f t="shared" si="14"/>
        <v>0</v>
      </c>
      <c r="DM6" s="668">
        <f t="shared" si="14"/>
        <v>0</v>
      </c>
      <c r="DN6" s="668">
        <f t="shared" si="14"/>
        <v>0</v>
      </c>
      <c r="DO6" s="668">
        <f t="shared" si="14"/>
        <v>0</v>
      </c>
      <c r="DP6" s="668">
        <f t="shared" si="14"/>
        <v>0</v>
      </c>
      <c r="DQ6" s="668">
        <f t="shared" si="14"/>
        <v>0</v>
      </c>
      <c r="DR6" s="668">
        <f t="shared" si="14"/>
        <v>0</v>
      </c>
      <c r="DS6" s="668">
        <v>0.0</v>
      </c>
      <c r="DT6" s="668">
        <f t="shared" si="15"/>
        <v>0</v>
      </c>
      <c r="DU6" s="538"/>
      <c r="DV6" s="468"/>
      <c r="DW6" s="698"/>
      <c r="DX6" s="698"/>
      <c r="DY6" s="698"/>
      <c r="DZ6" s="698"/>
      <c r="EA6" s="698"/>
      <c r="EB6" s="698"/>
      <c r="EC6" s="698"/>
      <c r="ED6" s="698"/>
      <c r="EE6" s="698"/>
      <c r="EF6" s="698"/>
      <c r="EG6" s="698"/>
      <c r="EH6" s="677">
        <f t="shared" si="11"/>
        <v>0</v>
      </c>
      <c r="EI6" s="678">
        <v>1.0</v>
      </c>
      <c r="EJ6" s="699"/>
      <c r="EK6" s="699"/>
    </row>
    <row r="7" ht="12.0" customHeight="1">
      <c r="A7" s="700" t="s">
        <v>3026</v>
      </c>
      <c r="B7" s="701">
        <v>2.0</v>
      </c>
      <c r="C7" s="562" t="s">
        <v>3027</v>
      </c>
      <c r="D7" s="571" t="s">
        <v>164</v>
      </c>
      <c r="E7" s="571" t="s">
        <v>2708</v>
      </c>
      <c r="F7" s="562" t="s">
        <v>1763</v>
      </c>
      <c r="G7" s="702" t="s">
        <v>2709</v>
      </c>
      <c r="H7" s="569" t="s">
        <v>3036</v>
      </c>
      <c r="I7" s="703" t="s">
        <v>1922</v>
      </c>
      <c r="J7" s="704" t="s">
        <v>286</v>
      </c>
      <c r="K7" s="562" t="s">
        <v>25</v>
      </c>
      <c r="L7" s="562"/>
      <c r="M7" s="562"/>
      <c r="N7" s="562">
        <v>2024.0</v>
      </c>
      <c r="O7" s="562"/>
      <c r="P7" s="562"/>
      <c r="Q7" s="562"/>
      <c r="R7" s="562"/>
      <c r="S7" s="562"/>
      <c r="T7" s="562"/>
      <c r="U7" s="562">
        <v>2024.0</v>
      </c>
      <c r="V7" s="562"/>
      <c r="W7" s="562"/>
      <c r="X7" s="562"/>
      <c r="Y7" s="562">
        <v>2.0</v>
      </c>
      <c r="Z7" s="562"/>
      <c r="AA7" s="562"/>
      <c r="AB7" s="562"/>
      <c r="AC7" s="562"/>
      <c r="AD7" s="562"/>
      <c r="AE7" s="562"/>
      <c r="AF7" s="562">
        <v>1.0</v>
      </c>
      <c r="AG7" s="562"/>
      <c r="AH7" s="562"/>
      <c r="AI7" s="562"/>
      <c r="AJ7" s="562"/>
      <c r="AK7" s="562"/>
      <c r="AL7" s="562"/>
      <c r="AM7" s="562"/>
      <c r="AN7" s="562"/>
      <c r="AO7" s="562"/>
      <c r="AP7" s="562"/>
      <c r="AQ7" s="562"/>
      <c r="AR7" s="562">
        <v>0.0</v>
      </c>
      <c r="AS7" s="562">
        <v>0.0</v>
      </c>
      <c r="AT7" s="562">
        <v>-2024.0</v>
      </c>
      <c r="AU7" s="562">
        <v>0.0</v>
      </c>
      <c r="AV7" s="562">
        <v>0.0</v>
      </c>
      <c r="AW7" s="562">
        <v>0.0</v>
      </c>
      <c r="AX7" s="562">
        <v>0.0</v>
      </c>
      <c r="AY7" s="562">
        <v>0.0</v>
      </c>
      <c r="AZ7" s="562">
        <v>0.0</v>
      </c>
      <c r="BA7" s="562">
        <v>-2024.0</v>
      </c>
      <c r="BB7" s="562"/>
      <c r="BC7" s="562"/>
      <c r="BD7" s="562"/>
      <c r="BE7" s="680">
        <v>0.0</v>
      </c>
      <c r="BF7" s="562"/>
      <c r="BG7" s="562"/>
      <c r="BH7" s="562"/>
      <c r="BI7" s="562"/>
      <c r="BJ7" s="562"/>
      <c r="BK7" s="562"/>
      <c r="BL7" s="681"/>
      <c r="BM7" s="665">
        <f t="shared" si="1"/>
        <v>0</v>
      </c>
      <c r="BN7" s="682"/>
      <c r="BO7" s="683"/>
      <c r="BP7" s="684">
        <v>4.0</v>
      </c>
      <c r="BQ7" s="683"/>
      <c r="BR7" s="683"/>
      <c r="BS7" s="683"/>
      <c r="BT7" s="683"/>
      <c r="BU7" s="683"/>
      <c r="BV7" s="683"/>
      <c r="BW7" s="705">
        <v>4.0</v>
      </c>
      <c r="BX7" s="665">
        <f t="shared" si="2"/>
        <v>8</v>
      </c>
      <c r="BY7" s="682">
        <v>0.0</v>
      </c>
      <c r="BZ7" s="683">
        <v>0.0</v>
      </c>
      <c r="CA7" s="683">
        <v>4.0</v>
      </c>
      <c r="CB7" s="683">
        <v>0.0</v>
      </c>
      <c r="CC7" s="683">
        <v>0.0</v>
      </c>
      <c r="CD7" s="683">
        <v>0.0</v>
      </c>
      <c r="CE7" s="683">
        <v>0.0</v>
      </c>
      <c r="CF7" s="683">
        <v>0.0</v>
      </c>
      <c r="CG7" s="683">
        <v>0.0</v>
      </c>
      <c r="CH7" s="686">
        <v>0.0</v>
      </c>
      <c r="CI7" s="665">
        <f t="shared" si="3"/>
        <v>4</v>
      </c>
      <c r="CJ7" s="682">
        <f t="shared" si="4"/>
        <v>12</v>
      </c>
      <c r="CK7" s="706">
        <v>2388.56</v>
      </c>
      <c r="CL7" s="683">
        <f t="shared" ref="CL7:CL54" si="19">CK7*$CL$1</f>
        <v>16624.3776</v>
      </c>
      <c r="CM7" s="683">
        <f t="shared" ref="CM7:CV7" si="16">BC7*$CL7</f>
        <v>0</v>
      </c>
      <c r="CN7" s="683">
        <f t="shared" si="16"/>
        <v>0</v>
      </c>
      <c r="CO7" s="683">
        <f t="shared" si="16"/>
        <v>0</v>
      </c>
      <c r="CP7" s="683">
        <f t="shared" si="16"/>
        <v>0</v>
      </c>
      <c r="CQ7" s="683">
        <f t="shared" si="16"/>
        <v>0</v>
      </c>
      <c r="CR7" s="683">
        <f t="shared" si="16"/>
        <v>0</v>
      </c>
      <c r="CS7" s="683">
        <f t="shared" si="16"/>
        <v>0</v>
      </c>
      <c r="CT7" s="683">
        <f t="shared" si="16"/>
        <v>0</v>
      </c>
      <c r="CU7" s="683">
        <f t="shared" si="16"/>
        <v>0</v>
      </c>
      <c r="CV7" s="683">
        <f t="shared" si="16"/>
        <v>0</v>
      </c>
      <c r="CW7" s="683">
        <f t="shared" ref="CW7:CW379" si="21">CL7*BM7</f>
        <v>0</v>
      </c>
      <c r="CX7" s="683">
        <f t="shared" ref="CX7:DG7" si="17">BN7*$CL7</f>
        <v>0</v>
      </c>
      <c r="CY7" s="683">
        <f t="shared" si="17"/>
        <v>0</v>
      </c>
      <c r="CZ7" s="683">
        <f t="shared" si="17"/>
        <v>66497.5104</v>
      </c>
      <c r="DA7" s="683">
        <f t="shared" si="17"/>
        <v>0</v>
      </c>
      <c r="DB7" s="683">
        <f t="shared" si="17"/>
        <v>0</v>
      </c>
      <c r="DC7" s="683">
        <f t="shared" si="17"/>
        <v>0</v>
      </c>
      <c r="DD7" s="683">
        <f t="shared" si="17"/>
        <v>0</v>
      </c>
      <c r="DE7" s="683">
        <f t="shared" si="17"/>
        <v>0</v>
      </c>
      <c r="DF7" s="683">
        <f t="shared" si="17"/>
        <v>0</v>
      </c>
      <c r="DG7" s="683">
        <f t="shared" si="17"/>
        <v>66497.5104</v>
      </c>
      <c r="DH7" s="683">
        <f t="shared" ref="DH7:DH379" si="23">CL7*BX7</f>
        <v>132995.0208</v>
      </c>
      <c r="DI7" s="683">
        <f t="shared" ref="DI7:DR7" si="18">BY7*$CL7</f>
        <v>0</v>
      </c>
      <c r="DJ7" s="683">
        <f t="shared" si="18"/>
        <v>0</v>
      </c>
      <c r="DK7" s="683">
        <f t="shared" si="18"/>
        <v>66497.5104</v>
      </c>
      <c r="DL7" s="683">
        <f t="shared" si="18"/>
        <v>0</v>
      </c>
      <c r="DM7" s="683">
        <f t="shared" si="18"/>
        <v>0</v>
      </c>
      <c r="DN7" s="683">
        <f t="shared" si="18"/>
        <v>0</v>
      </c>
      <c r="DO7" s="683">
        <f t="shared" si="18"/>
        <v>0</v>
      </c>
      <c r="DP7" s="683">
        <f t="shared" si="18"/>
        <v>0</v>
      </c>
      <c r="DQ7" s="683">
        <f t="shared" si="18"/>
        <v>0</v>
      </c>
      <c r="DR7" s="683">
        <f t="shared" si="18"/>
        <v>0</v>
      </c>
      <c r="DS7" s="683">
        <f t="shared" ref="DS7:DS379" si="25">CL7*CI7</f>
        <v>66497.5104</v>
      </c>
      <c r="DT7" s="683">
        <f t="shared" si="15"/>
        <v>199492.5312</v>
      </c>
      <c r="DU7" s="504"/>
      <c r="DV7" s="486"/>
      <c r="DW7" s="688"/>
      <c r="DX7" s="688"/>
      <c r="DY7" s="688"/>
      <c r="DZ7" s="688"/>
      <c r="EA7" s="688"/>
      <c r="EB7" s="688"/>
      <c r="EC7" s="688"/>
      <c r="ED7" s="688"/>
      <c r="EE7" s="688"/>
      <c r="EF7" s="688"/>
      <c r="EG7" s="688"/>
      <c r="EH7" s="707" t="s">
        <v>3037</v>
      </c>
      <c r="EI7" s="708">
        <f>VLOOKUP(I7,CotizacionTDB,4,FALSE())</f>
        <v>2388.56</v>
      </c>
      <c r="EJ7" s="708">
        <f>VLOOKUP(I7,CotizacionTDB,5,FALSE())</f>
        <v>2030.28</v>
      </c>
      <c r="EK7" s="691"/>
    </row>
    <row r="8" ht="12.0" customHeight="1">
      <c r="A8" s="709" t="s">
        <v>3026</v>
      </c>
      <c r="B8" s="661">
        <v>2.0</v>
      </c>
      <c r="C8" s="567" t="s">
        <v>3027</v>
      </c>
      <c r="D8" s="568" t="s">
        <v>164</v>
      </c>
      <c r="E8" s="568" t="s">
        <v>2708</v>
      </c>
      <c r="F8" s="567" t="s">
        <v>1763</v>
      </c>
      <c r="G8" s="569" t="s">
        <v>2709</v>
      </c>
      <c r="H8" s="658"/>
      <c r="I8" s="710" t="s">
        <v>2073</v>
      </c>
      <c r="J8" s="711" t="s">
        <v>474</v>
      </c>
      <c r="K8" s="567" t="s">
        <v>25</v>
      </c>
      <c r="L8" s="567"/>
      <c r="M8" s="567"/>
      <c r="N8" s="567"/>
      <c r="O8" s="567"/>
      <c r="P8" s="567"/>
      <c r="Q8" s="567"/>
      <c r="R8" s="567">
        <v>2024.0</v>
      </c>
      <c r="S8" s="567">
        <v>2024.0</v>
      </c>
      <c r="T8" s="567"/>
      <c r="U8" s="567">
        <v>2024.0</v>
      </c>
      <c r="V8" s="567"/>
      <c r="W8" s="567"/>
      <c r="X8" s="567"/>
      <c r="Y8" s="567"/>
      <c r="Z8" s="567"/>
      <c r="AA8" s="567"/>
      <c r="AB8" s="567"/>
      <c r="AC8" s="567">
        <v>2.0</v>
      </c>
      <c r="AD8" s="567">
        <v>2.0</v>
      </c>
      <c r="AE8" s="567"/>
      <c r="AF8" s="567">
        <v>2.0</v>
      </c>
      <c r="AG8" s="567"/>
      <c r="AH8" s="567"/>
      <c r="AI8" s="567"/>
      <c r="AJ8" s="567"/>
      <c r="AK8" s="567"/>
      <c r="AL8" s="567"/>
      <c r="AM8" s="567"/>
      <c r="AN8" s="567"/>
      <c r="AO8" s="567"/>
      <c r="AP8" s="567"/>
      <c r="AQ8" s="567"/>
      <c r="AR8" s="567">
        <v>0.0</v>
      </c>
      <c r="AS8" s="567">
        <v>0.0</v>
      </c>
      <c r="AT8" s="567">
        <v>0.0</v>
      </c>
      <c r="AU8" s="567">
        <v>0.0</v>
      </c>
      <c r="AV8" s="567">
        <v>0.0</v>
      </c>
      <c r="AW8" s="567">
        <v>0.0</v>
      </c>
      <c r="AX8" s="567">
        <v>-2024.0</v>
      </c>
      <c r="AY8" s="567">
        <v>-2024.0</v>
      </c>
      <c r="AZ8" s="567">
        <v>0.0</v>
      </c>
      <c r="BA8" s="567">
        <v>-2024.0</v>
      </c>
      <c r="BB8" s="567"/>
      <c r="BC8" s="567"/>
      <c r="BD8" s="567"/>
      <c r="BE8" s="567"/>
      <c r="BF8" s="567"/>
      <c r="BG8" s="567"/>
      <c r="BH8" s="567"/>
      <c r="BI8" s="680">
        <v>0.0</v>
      </c>
      <c r="BJ8" s="680">
        <v>0.0</v>
      </c>
      <c r="BK8" s="567"/>
      <c r="BL8" s="712">
        <v>0.0</v>
      </c>
      <c r="BM8" s="665">
        <f t="shared" si="1"/>
        <v>0</v>
      </c>
      <c r="BN8" s="671"/>
      <c r="BO8" s="668"/>
      <c r="BP8" s="668"/>
      <c r="BQ8" s="668"/>
      <c r="BR8" s="668"/>
      <c r="BS8" s="668"/>
      <c r="BT8" s="668">
        <v>2.0</v>
      </c>
      <c r="BU8" s="668">
        <v>2.0</v>
      </c>
      <c r="BV8" s="668"/>
      <c r="BW8" s="713">
        <v>2.0</v>
      </c>
      <c r="BX8" s="665">
        <f t="shared" si="2"/>
        <v>6</v>
      </c>
      <c r="BY8" s="671">
        <v>0.0</v>
      </c>
      <c r="BZ8" s="668">
        <v>0.0</v>
      </c>
      <c r="CA8" s="668">
        <v>0.0</v>
      </c>
      <c r="CB8" s="668">
        <v>0.0</v>
      </c>
      <c r="CC8" s="668">
        <v>0.0</v>
      </c>
      <c r="CD8" s="668">
        <v>0.0</v>
      </c>
      <c r="CE8" s="668">
        <v>2.0</v>
      </c>
      <c r="CF8" s="668">
        <v>2.0</v>
      </c>
      <c r="CG8" s="668">
        <v>0.0</v>
      </c>
      <c r="CH8" s="714">
        <v>0.0</v>
      </c>
      <c r="CI8" s="665">
        <f t="shared" si="3"/>
        <v>4</v>
      </c>
      <c r="CJ8" s="671">
        <f t="shared" si="4"/>
        <v>10</v>
      </c>
      <c r="CK8" s="715">
        <v>754.93</v>
      </c>
      <c r="CL8" s="668">
        <f t="shared" si="19"/>
        <v>5254.3128</v>
      </c>
      <c r="CM8" s="668">
        <f t="shared" ref="CM8:CV8" si="20">BC8*$CL8</f>
        <v>0</v>
      </c>
      <c r="CN8" s="668">
        <f t="shared" si="20"/>
        <v>0</v>
      </c>
      <c r="CO8" s="668">
        <f t="shared" si="20"/>
        <v>0</v>
      </c>
      <c r="CP8" s="668">
        <f t="shared" si="20"/>
        <v>0</v>
      </c>
      <c r="CQ8" s="668">
        <f t="shared" si="20"/>
        <v>0</v>
      </c>
      <c r="CR8" s="668">
        <f t="shared" si="20"/>
        <v>0</v>
      </c>
      <c r="CS8" s="668">
        <f t="shared" si="20"/>
        <v>0</v>
      </c>
      <c r="CT8" s="668">
        <f t="shared" si="20"/>
        <v>0</v>
      </c>
      <c r="CU8" s="668">
        <f t="shared" si="20"/>
        <v>0</v>
      </c>
      <c r="CV8" s="668">
        <f t="shared" si="20"/>
        <v>0</v>
      </c>
      <c r="CW8" s="668">
        <f t="shared" si="21"/>
        <v>0</v>
      </c>
      <c r="CX8" s="668">
        <f t="shared" ref="CX8:DG8" si="22">BN8*$CL8</f>
        <v>0</v>
      </c>
      <c r="CY8" s="668">
        <f t="shared" si="22"/>
        <v>0</v>
      </c>
      <c r="CZ8" s="668">
        <f t="shared" si="22"/>
        <v>0</v>
      </c>
      <c r="DA8" s="668">
        <f t="shared" si="22"/>
        <v>0</v>
      </c>
      <c r="DB8" s="668">
        <f t="shared" si="22"/>
        <v>0</v>
      </c>
      <c r="DC8" s="668">
        <f t="shared" si="22"/>
        <v>0</v>
      </c>
      <c r="DD8" s="668">
        <f t="shared" si="22"/>
        <v>10508.6256</v>
      </c>
      <c r="DE8" s="668">
        <f t="shared" si="22"/>
        <v>10508.6256</v>
      </c>
      <c r="DF8" s="668">
        <f t="shared" si="22"/>
        <v>0</v>
      </c>
      <c r="DG8" s="668">
        <f t="shared" si="22"/>
        <v>10508.6256</v>
      </c>
      <c r="DH8" s="668">
        <f t="shared" si="23"/>
        <v>31525.8768</v>
      </c>
      <c r="DI8" s="668">
        <f t="shared" ref="DI8:DR8" si="24">BY8*$CL8</f>
        <v>0</v>
      </c>
      <c r="DJ8" s="668">
        <f t="shared" si="24"/>
        <v>0</v>
      </c>
      <c r="DK8" s="668">
        <f t="shared" si="24"/>
        <v>0</v>
      </c>
      <c r="DL8" s="668">
        <f t="shared" si="24"/>
        <v>0</v>
      </c>
      <c r="DM8" s="668">
        <f t="shared" si="24"/>
        <v>0</v>
      </c>
      <c r="DN8" s="668">
        <f t="shared" si="24"/>
        <v>0</v>
      </c>
      <c r="DO8" s="668">
        <f t="shared" si="24"/>
        <v>10508.6256</v>
      </c>
      <c r="DP8" s="668">
        <f t="shared" si="24"/>
        <v>10508.6256</v>
      </c>
      <c r="DQ8" s="668">
        <f t="shared" si="24"/>
        <v>0</v>
      </c>
      <c r="DR8" s="668">
        <f t="shared" si="24"/>
        <v>0</v>
      </c>
      <c r="DS8" s="668">
        <f t="shared" si="25"/>
        <v>21017.2512</v>
      </c>
      <c r="DT8" s="668">
        <f t="shared" si="15"/>
        <v>52543.128</v>
      </c>
      <c r="DU8" s="538"/>
      <c r="DV8" s="468"/>
      <c r="DW8" s="698"/>
      <c r="DX8" s="698"/>
      <c r="DY8" s="698"/>
      <c r="DZ8" s="698"/>
      <c r="EA8" s="698"/>
      <c r="EB8" s="698"/>
      <c r="EC8" s="698"/>
      <c r="ED8" s="698"/>
      <c r="EE8" s="698"/>
      <c r="EF8" s="698"/>
      <c r="EG8" s="698"/>
      <c r="EH8" s="576" t="s">
        <v>3038</v>
      </c>
      <c r="EI8" s="716">
        <f>VLOOKUP(I8,CotizacionTDB,4,FALSE())</f>
        <v>754.93</v>
      </c>
      <c r="EJ8" s="716">
        <f>VLOOKUP(I8,CotizacionTDB,5,FALSE())</f>
        <v>641.69</v>
      </c>
      <c r="EK8" s="699"/>
    </row>
    <row r="9" ht="12.0" customHeight="1">
      <c r="A9" s="700" t="s">
        <v>3026</v>
      </c>
      <c r="B9" s="701">
        <v>2.0</v>
      </c>
      <c r="C9" s="562" t="s">
        <v>3027</v>
      </c>
      <c r="D9" s="571" t="s">
        <v>164</v>
      </c>
      <c r="E9" s="571" t="s">
        <v>2708</v>
      </c>
      <c r="F9" s="562" t="s">
        <v>1763</v>
      </c>
      <c r="G9" s="569" t="s">
        <v>2709</v>
      </c>
      <c r="H9" s="569" t="s">
        <v>2916</v>
      </c>
      <c r="I9" s="717" t="s">
        <v>2061</v>
      </c>
      <c r="J9" s="704" t="s">
        <v>591</v>
      </c>
      <c r="K9" s="562" t="s">
        <v>25</v>
      </c>
      <c r="L9" s="562"/>
      <c r="M9" s="562"/>
      <c r="N9" s="562"/>
      <c r="O9" s="562">
        <v>2024.0</v>
      </c>
      <c r="P9" s="562">
        <v>2024.0</v>
      </c>
      <c r="Q9" s="562">
        <v>2024.0</v>
      </c>
      <c r="R9" s="562">
        <v>2024.0</v>
      </c>
      <c r="S9" s="562">
        <v>2024.0</v>
      </c>
      <c r="T9" s="562">
        <v>2024.0</v>
      </c>
      <c r="U9" s="562"/>
      <c r="V9" s="562"/>
      <c r="W9" s="562">
        <v>3.0</v>
      </c>
      <c r="X9" s="562"/>
      <c r="Y9" s="562"/>
      <c r="Z9" s="562">
        <v>2.0</v>
      </c>
      <c r="AA9" s="562">
        <v>2.0</v>
      </c>
      <c r="AB9" s="562">
        <v>2.0</v>
      </c>
      <c r="AC9" s="562">
        <v>1.0</v>
      </c>
      <c r="AD9" s="562">
        <v>1.0</v>
      </c>
      <c r="AE9" s="562">
        <v>1.0</v>
      </c>
      <c r="AF9" s="562"/>
      <c r="AG9" s="562"/>
      <c r="AH9" s="562"/>
      <c r="AI9" s="562"/>
      <c r="AJ9" s="562"/>
      <c r="AK9" s="562"/>
      <c r="AL9" s="562"/>
      <c r="AM9" s="562"/>
      <c r="AN9" s="562"/>
      <c r="AO9" s="562"/>
      <c r="AP9" s="562"/>
      <c r="AQ9" s="562"/>
      <c r="AR9" s="562">
        <v>0.0</v>
      </c>
      <c r="AS9" s="562">
        <v>0.0</v>
      </c>
      <c r="AT9" s="562">
        <v>0.0</v>
      </c>
      <c r="AU9" s="562">
        <v>-2024.0</v>
      </c>
      <c r="AV9" s="562">
        <v>-2024.0</v>
      </c>
      <c r="AW9" s="562">
        <v>-2024.0</v>
      </c>
      <c r="AX9" s="562">
        <v>-2024.0</v>
      </c>
      <c r="AY9" s="562">
        <v>-2024.0</v>
      </c>
      <c r="AZ9" s="562">
        <v>-2024.0</v>
      </c>
      <c r="BA9" s="562">
        <v>0.0</v>
      </c>
      <c r="BB9" s="562"/>
      <c r="BC9" s="562"/>
      <c r="BD9" s="562"/>
      <c r="BE9" s="562"/>
      <c r="BF9" s="701">
        <v>0.0</v>
      </c>
      <c r="BG9" s="701">
        <v>0.0</v>
      </c>
      <c r="BH9" s="701">
        <v>0.0</v>
      </c>
      <c r="BI9" s="680"/>
      <c r="BJ9" s="718"/>
      <c r="BK9" s="718"/>
      <c r="BL9" s="719"/>
      <c r="BM9" s="665">
        <f t="shared" si="1"/>
        <v>0</v>
      </c>
      <c r="BN9" s="682"/>
      <c r="BO9" s="683"/>
      <c r="BP9" s="683"/>
      <c r="BQ9" s="683">
        <v>4.0</v>
      </c>
      <c r="BR9" s="683">
        <v>9.0</v>
      </c>
      <c r="BS9" s="683">
        <v>10.0</v>
      </c>
      <c r="BT9" s="667">
        <v>1.0</v>
      </c>
      <c r="BU9" s="667">
        <v>1.0</v>
      </c>
      <c r="BV9" s="667">
        <v>1.0</v>
      </c>
      <c r="BW9" s="720">
        <v>1.0</v>
      </c>
      <c r="BX9" s="665">
        <f t="shared" si="2"/>
        <v>27</v>
      </c>
      <c r="BY9" s="682">
        <v>0.0</v>
      </c>
      <c r="BZ9" s="683">
        <v>0.0</v>
      </c>
      <c r="CA9" s="683">
        <v>0.0</v>
      </c>
      <c r="CB9" s="683">
        <v>4.0</v>
      </c>
      <c r="CC9" s="683">
        <v>9.0</v>
      </c>
      <c r="CD9" s="683">
        <v>10.0</v>
      </c>
      <c r="CE9" s="683">
        <v>0.0</v>
      </c>
      <c r="CF9" s="683">
        <v>0.0</v>
      </c>
      <c r="CG9" s="683">
        <v>0.0</v>
      </c>
      <c r="CH9" s="686">
        <v>0.0</v>
      </c>
      <c r="CI9" s="665">
        <f t="shared" si="3"/>
        <v>23</v>
      </c>
      <c r="CJ9" s="682">
        <f t="shared" si="4"/>
        <v>50</v>
      </c>
      <c r="CK9" s="706">
        <v>145.09</v>
      </c>
      <c r="CL9" s="683">
        <f t="shared" si="19"/>
        <v>1009.8264</v>
      </c>
      <c r="CM9" s="683">
        <f t="shared" ref="CM9:CV9" si="26">BC9*$CL9</f>
        <v>0</v>
      </c>
      <c r="CN9" s="683">
        <f t="shared" si="26"/>
        <v>0</v>
      </c>
      <c r="CO9" s="683">
        <f t="shared" si="26"/>
        <v>0</v>
      </c>
      <c r="CP9" s="683">
        <f t="shared" si="26"/>
        <v>0</v>
      </c>
      <c r="CQ9" s="683">
        <f t="shared" si="26"/>
        <v>0</v>
      </c>
      <c r="CR9" s="683">
        <f t="shared" si="26"/>
        <v>0</v>
      </c>
      <c r="CS9" s="683">
        <f t="shared" si="26"/>
        <v>0</v>
      </c>
      <c r="CT9" s="683">
        <f t="shared" si="26"/>
        <v>0</v>
      </c>
      <c r="CU9" s="683">
        <f t="shared" si="26"/>
        <v>0</v>
      </c>
      <c r="CV9" s="683">
        <f t="shared" si="26"/>
        <v>0</v>
      </c>
      <c r="CW9" s="683">
        <f t="shared" si="21"/>
        <v>0</v>
      </c>
      <c r="CX9" s="683">
        <f t="shared" ref="CX9:DG9" si="27">BN9*$CL9</f>
        <v>0</v>
      </c>
      <c r="CY9" s="683">
        <f t="shared" si="27"/>
        <v>0</v>
      </c>
      <c r="CZ9" s="683">
        <f t="shared" si="27"/>
        <v>0</v>
      </c>
      <c r="DA9" s="683">
        <f t="shared" si="27"/>
        <v>4039.3056</v>
      </c>
      <c r="DB9" s="683">
        <f t="shared" si="27"/>
        <v>9088.4376</v>
      </c>
      <c r="DC9" s="683">
        <f t="shared" si="27"/>
        <v>10098.264</v>
      </c>
      <c r="DD9" s="683">
        <f t="shared" si="27"/>
        <v>1009.8264</v>
      </c>
      <c r="DE9" s="683">
        <f t="shared" si="27"/>
        <v>1009.8264</v>
      </c>
      <c r="DF9" s="683">
        <f t="shared" si="27"/>
        <v>1009.8264</v>
      </c>
      <c r="DG9" s="683">
        <f t="shared" si="27"/>
        <v>1009.8264</v>
      </c>
      <c r="DH9" s="683">
        <f t="shared" si="23"/>
        <v>27265.3128</v>
      </c>
      <c r="DI9" s="683">
        <f t="shared" ref="DI9:DR9" si="28">BY9*$CL9</f>
        <v>0</v>
      </c>
      <c r="DJ9" s="683">
        <f t="shared" si="28"/>
        <v>0</v>
      </c>
      <c r="DK9" s="683">
        <f t="shared" si="28"/>
        <v>0</v>
      </c>
      <c r="DL9" s="683">
        <f t="shared" si="28"/>
        <v>4039.3056</v>
      </c>
      <c r="DM9" s="683">
        <f t="shared" si="28"/>
        <v>9088.4376</v>
      </c>
      <c r="DN9" s="683">
        <f t="shared" si="28"/>
        <v>10098.264</v>
      </c>
      <c r="DO9" s="683">
        <f t="shared" si="28"/>
        <v>0</v>
      </c>
      <c r="DP9" s="683">
        <f t="shared" si="28"/>
        <v>0</v>
      </c>
      <c r="DQ9" s="683">
        <f t="shared" si="28"/>
        <v>0</v>
      </c>
      <c r="DR9" s="683">
        <f t="shared" si="28"/>
        <v>0</v>
      </c>
      <c r="DS9" s="683">
        <f t="shared" si="25"/>
        <v>23226.0072</v>
      </c>
      <c r="DT9" s="683">
        <f t="shared" si="15"/>
        <v>50491.32</v>
      </c>
      <c r="DU9" s="504"/>
      <c r="DV9" s="486"/>
      <c r="DW9" s="688"/>
      <c r="DX9" s="688"/>
      <c r="DY9" s="688"/>
      <c r="DZ9" s="688"/>
      <c r="EA9" s="688"/>
      <c r="EB9" s="688"/>
      <c r="EC9" s="688"/>
      <c r="ED9" s="688"/>
      <c r="EE9" s="688"/>
      <c r="EF9" s="688"/>
      <c r="EG9" s="688"/>
      <c r="EH9" s="707" t="s">
        <v>591</v>
      </c>
      <c r="EI9" s="708">
        <f>VLOOKUP(I9,CotizacionTDB,4,FALSE())</f>
        <v>145.09</v>
      </c>
      <c r="EJ9" s="708">
        <f>VLOOKUP(I9,CotizacionTDB,5,FALSE())</f>
        <v>123.33</v>
      </c>
      <c r="EK9" s="691"/>
    </row>
    <row r="10" ht="12.0" customHeight="1">
      <c r="A10" s="709" t="s">
        <v>3026</v>
      </c>
      <c r="B10" s="661">
        <v>2.0</v>
      </c>
      <c r="C10" s="567" t="s">
        <v>3027</v>
      </c>
      <c r="D10" s="568" t="s">
        <v>164</v>
      </c>
      <c r="E10" s="568" t="s">
        <v>2708</v>
      </c>
      <c r="F10" s="567" t="s">
        <v>1763</v>
      </c>
      <c r="G10" s="569" t="s">
        <v>2709</v>
      </c>
      <c r="H10" s="569" t="s">
        <v>2913</v>
      </c>
      <c r="I10" s="721" t="s">
        <v>2182</v>
      </c>
      <c r="J10" s="711" t="s">
        <v>912</v>
      </c>
      <c r="K10" s="567" t="s">
        <v>25</v>
      </c>
      <c r="L10" s="567">
        <v>2024.0</v>
      </c>
      <c r="M10" s="567">
        <v>2024.0</v>
      </c>
      <c r="N10" s="567">
        <v>2024.0</v>
      </c>
      <c r="O10" s="567">
        <v>2024.0</v>
      </c>
      <c r="P10" s="567">
        <v>2024.0</v>
      </c>
      <c r="Q10" s="567">
        <v>2024.0</v>
      </c>
      <c r="R10" s="567">
        <v>2024.0</v>
      </c>
      <c r="S10" s="567">
        <v>2024.0</v>
      </c>
      <c r="T10" s="567">
        <v>2024.0</v>
      </c>
      <c r="U10" s="567">
        <v>2024.0</v>
      </c>
      <c r="V10" s="567"/>
      <c r="W10" s="567">
        <v>3.0</v>
      </c>
      <c r="X10" s="567">
        <v>3.0</v>
      </c>
      <c r="Y10" s="567">
        <v>3.0</v>
      </c>
      <c r="Z10" s="567">
        <v>5.0</v>
      </c>
      <c r="AA10" s="567">
        <v>5.0</v>
      </c>
      <c r="AB10" s="567">
        <v>5.0</v>
      </c>
      <c r="AC10" s="567">
        <v>1.0</v>
      </c>
      <c r="AD10" s="567">
        <v>1.0</v>
      </c>
      <c r="AE10" s="567">
        <v>1.0</v>
      </c>
      <c r="AF10" s="567">
        <v>1.0</v>
      </c>
      <c r="AG10" s="567"/>
      <c r="AH10" s="567"/>
      <c r="AI10" s="567"/>
      <c r="AJ10" s="567"/>
      <c r="AK10" s="567"/>
      <c r="AL10" s="567"/>
      <c r="AM10" s="567"/>
      <c r="AN10" s="567"/>
      <c r="AO10" s="567"/>
      <c r="AP10" s="567"/>
      <c r="AQ10" s="567"/>
      <c r="AR10" s="567">
        <v>-2024.0</v>
      </c>
      <c r="AS10" s="567">
        <v>-2024.0</v>
      </c>
      <c r="AT10" s="567">
        <v>-2024.0</v>
      </c>
      <c r="AU10" s="567">
        <v>-2024.0</v>
      </c>
      <c r="AV10" s="567">
        <v>-2024.0</v>
      </c>
      <c r="AW10" s="567">
        <v>-2024.0</v>
      </c>
      <c r="AX10" s="567">
        <v>-2024.0</v>
      </c>
      <c r="AY10" s="567">
        <v>-2024.0</v>
      </c>
      <c r="AZ10" s="567">
        <v>-2024.0</v>
      </c>
      <c r="BA10" s="567">
        <v>-2024.0</v>
      </c>
      <c r="BB10" s="567"/>
      <c r="BC10" s="567">
        <v>8.0</v>
      </c>
      <c r="BD10" s="567">
        <v>6.0</v>
      </c>
      <c r="BE10" s="567">
        <v>8.0</v>
      </c>
      <c r="BF10" s="567">
        <v>4.0</v>
      </c>
      <c r="BG10" s="567">
        <v>4.0</v>
      </c>
      <c r="BH10" s="567">
        <v>4.0</v>
      </c>
      <c r="BI10" s="661">
        <v>4.0</v>
      </c>
      <c r="BJ10" s="722">
        <v>5.0</v>
      </c>
      <c r="BK10" s="567">
        <v>4.0</v>
      </c>
      <c r="BL10" s="712">
        <v>0.0</v>
      </c>
      <c r="BM10" s="665">
        <f t="shared" si="1"/>
        <v>47</v>
      </c>
      <c r="BN10" s="671"/>
      <c r="BO10" s="668"/>
      <c r="BP10" s="668"/>
      <c r="BQ10" s="668"/>
      <c r="BR10" s="668"/>
      <c r="BS10" s="668"/>
      <c r="BT10" s="668"/>
      <c r="BU10" s="668"/>
      <c r="BV10" s="668"/>
      <c r="BW10" s="713">
        <v>9.0</v>
      </c>
      <c r="BX10" s="665">
        <f t="shared" si="2"/>
        <v>9</v>
      </c>
      <c r="BY10" s="671">
        <v>0.0</v>
      </c>
      <c r="BZ10" s="668">
        <v>0.0</v>
      </c>
      <c r="CA10" s="668">
        <v>0.0</v>
      </c>
      <c r="CB10" s="668">
        <v>0.0</v>
      </c>
      <c r="CC10" s="668">
        <v>0.0</v>
      </c>
      <c r="CD10" s="668">
        <v>0.0</v>
      </c>
      <c r="CE10" s="668">
        <v>0.0</v>
      </c>
      <c r="CF10" s="668">
        <v>0.0</v>
      </c>
      <c r="CG10" s="668">
        <v>0.0</v>
      </c>
      <c r="CH10" s="670">
        <v>0.0</v>
      </c>
      <c r="CI10" s="665">
        <f t="shared" si="3"/>
        <v>0</v>
      </c>
      <c r="CJ10" s="671">
        <f t="shared" si="4"/>
        <v>56</v>
      </c>
      <c r="CK10" s="715">
        <v>45.03</v>
      </c>
      <c r="CL10" s="668">
        <f t="shared" si="19"/>
        <v>313.4088</v>
      </c>
      <c r="CM10" s="668">
        <f t="shared" ref="CM10:CV10" si="29">BC10*$CL10</f>
        <v>2507.2704</v>
      </c>
      <c r="CN10" s="668">
        <f t="shared" si="29"/>
        <v>1880.4528</v>
      </c>
      <c r="CO10" s="668">
        <f t="shared" si="29"/>
        <v>2507.2704</v>
      </c>
      <c r="CP10" s="668">
        <f t="shared" si="29"/>
        <v>1253.6352</v>
      </c>
      <c r="CQ10" s="668">
        <f t="shared" si="29"/>
        <v>1253.6352</v>
      </c>
      <c r="CR10" s="668">
        <f t="shared" si="29"/>
        <v>1253.6352</v>
      </c>
      <c r="CS10" s="668">
        <f t="shared" si="29"/>
        <v>1253.6352</v>
      </c>
      <c r="CT10" s="668">
        <f t="shared" si="29"/>
        <v>1567.044</v>
      </c>
      <c r="CU10" s="668">
        <f t="shared" si="29"/>
        <v>1253.6352</v>
      </c>
      <c r="CV10" s="668">
        <f t="shared" si="29"/>
        <v>0</v>
      </c>
      <c r="CW10" s="668">
        <f t="shared" si="21"/>
        <v>14730.2136</v>
      </c>
      <c r="CX10" s="668">
        <f t="shared" ref="CX10:DG10" si="30">BN10*$CL10</f>
        <v>0</v>
      </c>
      <c r="CY10" s="668">
        <f t="shared" si="30"/>
        <v>0</v>
      </c>
      <c r="CZ10" s="668">
        <f t="shared" si="30"/>
        <v>0</v>
      </c>
      <c r="DA10" s="668">
        <f t="shared" si="30"/>
        <v>0</v>
      </c>
      <c r="DB10" s="668">
        <f t="shared" si="30"/>
        <v>0</v>
      </c>
      <c r="DC10" s="668">
        <f t="shared" si="30"/>
        <v>0</v>
      </c>
      <c r="DD10" s="668">
        <f t="shared" si="30"/>
        <v>0</v>
      </c>
      <c r="DE10" s="668">
        <f t="shared" si="30"/>
        <v>0</v>
      </c>
      <c r="DF10" s="668">
        <f t="shared" si="30"/>
        <v>0</v>
      </c>
      <c r="DG10" s="668">
        <f t="shared" si="30"/>
        <v>2820.6792</v>
      </c>
      <c r="DH10" s="668">
        <f t="shared" si="23"/>
        <v>2820.6792</v>
      </c>
      <c r="DI10" s="668">
        <f t="shared" ref="DI10:DR10" si="31">BY10*$CL10</f>
        <v>0</v>
      </c>
      <c r="DJ10" s="668">
        <f t="shared" si="31"/>
        <v>0</v>
      </c>
      <c r="DK10" s="668">
        <f t="shared" si="31"/>
        <v>0</v>
      </c>
      <c r="DL10" s="668">
        <f t="shared" si="31"/>
        <v>0</v>
      </c>
      <c r="DM10" s="668">
        <f t="shared" si="31"/>
        <v>0</v>
      </c>
      <c r="DN10" s="668">
        <f t="shared" si="31"/>
        <v>0</v>
      </c>
      <c r="DO10" s="668">
        <f t="shared" si="31"/>
        <v>0</v>
      </c>
      <c r="DP10" s="668">
        <f t="shared" si="31"/>
        <v>0</v>
      </c>
      <c r="DQ10" s="668">
        <f t="shared" si="31"/>
        <v>0</v>
      </c>
      <c r="DR10" s="668">
        <f t="shared" si="31"/>
        <v>0</v>
      </c>
      <c r="DS10" s="668">
        <f t="shared" si="25"/>
        <v>0</v>
      </c>
      <c r="DT10" s="668">
        <f t="shared" si="15"/>
        <v>17550.8928</v>
      </c>
      <c r="DU10" s="538"/>
      <c r="DV10" s="468"/>
      <c r="DW10" s="698"/>
      <c r="DX10" s="698"/>
      <c r="DY10" s="698"/>
      <c r="DZ10" s="698"/>
      <c r="EA10" s="698"/>
      <c r="EB10" s="698"/>
      <c r="EC10" s="698"/>
      <c r="ED10" s="698"/>
      <c r="EE10" s="698"/>
      <c r="EF10" s="698"/>
      <c r="EG10" s="698"/>
      <c r="EH10" s="576" t="s">
        <v>3039</v>
      </c>
      <c r="EI10" s="716">
        <f>VLOOKUP(I10,CotizacionTDB,4,FALSE())</f>
        <v>45.03</v>
      </c>
      <c r="EJ10" s="716">
        <f>VLOOKUP(I10,CotizacionTDB,5,FALSE())</f>
        <v>38.28</v>
      </c>
      <c r="EK10" s="699"/>
    </row>
    <row r="11" ht="12.0" customHeight="1">
      <c r="A11" s="700" t="s">
        <v>3026</v>
      </c>
      <c r="B11" s="701">
        <v>2.0</v>
      </c>
      <c r="C11" s="562" t="s">
        <v>3027</v>
      </c>
      <c r="D11" s="571" t="s">
        <v>164</v>
      </c>
      <c r="E11" s="571" t="s">
        <v>2708</v>
      </c>
      <c r="F11" s="562" t="s">
        <v>1763</v>
      </c>
      <c r="G11" s="569" t="s">
        <v>2709</v>
      </c>
      <c r="H11" s="569" t="s">
        <v>3040</v>
      </c>
      <c r="I11" s="717" t="s">
        <v>1935</v>
      </c>
      <c r="J11" s="704" t="s">
        <v>872</v>
      </c>
      <c r="K11" s="562" t="s">
        <v>25</v>
      </c>
      <c r="L11" s="562"/>
      <c r="M11" s="562"/>
      <c r="N11" s="562">
        <v>2024.0</v>
      </c>
      <c r="O11" s="562"/>
      <c r="P11" s="562"/>
      <c r="Q11" s="562"/>
      <c r="R11" s="562"/>
      <c r="S11" s="562"/>
      <c r="T11" s="562"/>
      <c r="U11" s="562">
        <v>2024.0</v>
      </c>
      <c r="V11" s="562"/>
      <c r="W11" s="562"/>
      <c r="X11" s="562"/>
      <c r="Y11" s="562">
        <v>3.0</v>
      </c>
      <c r="Z11" s="562"/>
      <c r="AA11" s="562"/>
      <c r="AB11" s="562"/>
      <c r="AC11" s="562"/>
      <c r="AD11" s="562"/>
      <c r="AE11" s="562"/>
      <c r="AF11" s="562">
        <v>2.0</v>
      </c>
      <c r="AG11" s="562"/>
      <c r="AH11" s="562"/>
      <c r="AI11" s="562"/>
      <c r="AJ11" s="562"/>
      <c r="AK11" s="562"/>
      <c r="AL11" s="562"/>
      <c r="AM11" s="562"/>
      <c r="AN11" s="562"/>
      <c r="AO11" s="562"/>
      <c r="AP11" s="562"/>
      <c r="AQ11" s="562"/>
      <c r="AR11" s="562">
        <v>0.0</v>
      </c>
      <c r="AS11" s="562">
        <v>0.0</v>
      </c>
      <c r="AT11" s="562">
        <v>-2024.0</v>
      </c>
      <c r="AU11" s="562">
        <v>0.0</v>
      </c>
      <c r="AV11" s="562">
        <v>0.0</v>
      </c>
      <c r="AW11" s="562">
        <v>0.0</v>
      </c>
      <c r="AX11" s="562">
        <v>0.0</v>
      </c>
      <c r="AY11" s="562">
        <v>0.0</v>
      </c>
      <c r="AZ11" s="562">
        <v>0.0</v>
      </c>
      <c r="BA11" s="562">
        <v>-2024.0</v>
      </c>
      <c r="BB11" s="562"/>
      <c r="BC11" s="562"/>
      <c r="BD11" s="562"/>
      <c r="BE11" s="562">
        <v>16.0</v>
      </c>
      <c r="BF11" s="562"/>
      <c r="BG11" s="562"/>
      <c r="BH11" s="562"/>
      <c r="BI11" s="562"/>
      <c r="BJ11" s="562"/>
      <c r="BK11" s="562"/>
      <c r="BL11" s="723">
        <v>0.0</v>
      </c>
      <c r="BM11" s="665">
        <f t="shared" si="1"/>
        <v>16</v>
      </c>
      <c r="BN11" s="682"/>
      <c r="BO11" s="683"/>
      <c r="BP11" s="683"/>
      <c r="BQ11" s="683"/>
      <c r="BR11" s="683"/>
      <c r="BS11" s="683"/>
      <c r="BT11" s="683"/>
      <c r="BU11" s="683"/>
      <c r="BV11" s="683"/>
      <c r="BW11" s="724">
        <v>16.0</v>
      </c>
      <c r="BX11" s="665">
        <f t="shared" si="2"/>
        <v>16</v>
      </c>
      <c r="BY11" s="682">
        <v>0.0</v>
      </c>
      <c r="BZ11" s="683">
        <v>0.0</v>
      </c>
      <c r="CA11" s="683">
        <v>0.0</v>
      </c>
      <c r="CB11" s="683">
        <v>0.0</v>
      </c>
      <c r="CC11" s="683">
        <v>0.0</v>
      </c>
      <c r="CD11" s="683">
        <v>0.0</v>
      </c>
      <c r="CE11" s="683">
        <v>0.0</v>
      </c>
      <c r="CF11" s="683">
        <v>0.0</v>
      </c>
      <c r="CG11" s="683">
        <v>0.0</v>
      </c>
      <c r="CH11" s="686"/>
      <c r="CI11" s="665">
        <f t="shared" si="3"/>
        <v>0</v>
      </c>
      <c r="CJ11" s="682">
        <f t="shared" si="4"/>
        <v>32</v>
      </c>
      <c r="CK11" s="706">
        <v>61.68</v>
      </c>
      <c r="CL11" s="683">
        <f t="shared" si="19"/>
        <v>429.2928</v>
      </c>
      <c r="CM11" s="683">
        <f t="shared" ref="CM11:CV11" si="32">BC11*$CL11</f>
        <v>0</v>
      </c>
      <c r="CN11" s="683">
        <f t="shared" si="32"/>
        <v>0</v>
      </c>
      <c r="CO11" s="683">
        <f t="shared" si="32"/>
        <v>6868.6848</v>
      </c>
      <c r="CP11" s="683">
        <f t="shared" si="32"/>
        <v>0</v>
      </c>
      <c r="CQ11" s="683">
        <f t="shared" si="32"/>
        <v>0</v>
      </c>
      <c r="CR11" s="683">
        <f t="shared" si="32"/>
        <v>0</v>
      </c>
      <c r="CS11" s="683">
        <f t="shared" si="32"/>
        <v>0</v>
      </c>
      <c r="CT11" s="683">
        <f t="shared" si="32"/>
        <v>0</v>
      </c>
      <c r="CU11" s="683">
        <f t="shared" si="32"/>
        <v>0</v>
      </c>
      <c r="CV11" s="683">
        <f t="shared" si="32"/>
        <v>0</v>
      </c>
      <c r="CW11" s="683">
        <f t="shared" si="21"/>
        <v>6868.6848</v>
      </c>
      <c r="CX11" s="683">
        <f t="shared" ref="CX11:DG11" si="33">BN11*$CL11</f>
        <v>0</v>
      </c>
      <c r="CY11" s="683">
        <f t="shared" si="33"/>
        <v>0</v>
      </c>
      <c r="CZ11" s="683">
        <f t="shared" si="33"/>
        <v>0</v>
      </c>
      <c r="DA11" s="683">
        <f t="shared" si="33"/>
        <v>0</v>
      </c>
      <c r="DB11" s="683">
        <f t="shared" si="33"/>
        <v>0</v>
      </c>
      <c r="DC11" s="683">
        <f t="shared" si="33"/>
        <v>0</v>
      </c>
      <c r="DD11" s="683">
        <f t="shared" si="33"/>
        <v>0</v>
      </c>
      <c r="DE11" s="683">
        <f t="shared" si="33"/>
        <v>0</v>
      </c>
      <c r="DF11" s="683">
        <f t="shared" si="33"/>
        <v>0</v>
      </c>
      <c r="DG11" s="683">
        <f t="shared" si="33"/>
        <v>6868.6848</v>
      </c>
      <c r="DH11" s="683">
        <f t="shared" si="23"/>
        <v>6868.6848</v>
      </c>
      <c r="DI11" s="683">
        <f t="shared" ref="DI11:DR11" si="34">BY11*$CL11</f>
        <v>0</v>
      </c>
      <c r="DJ11" s="683">
        <f t="shared" si="34"/>
        <v>0</v>
      </c>
      <c r="DK11" s="683">
        <f t="shared" si="34"/>
        <v>0</v>
      </c>
      <c r="DL11" s="683">
        <f t="shared" si="34"/>
        <v>0</v>
      </c>
      <c r="DM11" s="683">
        <f t="shared" si="34"/>
        <v>0</v>
      </c>
      <c r="DN11" s="683">
        <f t="shared" si="34"/>
        <v>0</v>
      </c>
      <c r="DO11" s="683">
        <f t="shared" si="34"/>
        <v>0</v>
      </c>
      <c r="DP11" s="683">
        <f t="shared" si="34"/>
        <v>0</v>
      </c>
      <c r="DQ11" s="683">
        <f t="shared" si="34"/>
        <v>0</v>
      </c>
      <c r="DR11" s="683">
        <f t="shared" si="34"/>
        <v>0</v>
      </c>
      <c r="DS11" s="683">
        <f t="shared" si="25"/>
        <v>0</v>
      </c>
      <c r="DT11" s="683">
        <f t="shared" si="15"/>
        <v>13737.3696</v>
      </c>
      <c r="DU11" s="504"/>
      <c r="DV11" s="486"/>
      <c r="DW11" s="688"/>
      <c r="DX11" s="688"/>
      <c r="DY11" s="688"/>
      <c r="DZ11" s="688"/>
      <c r="EA11" s="688"/>
      <c r="EB11" s="688"/>
      <c r="EC11" s="688"/>
      <c r="ED11" s="688"/>
      <c r="EE11" s="688"/>
      <c r="EF11" s="688"/>
      <c r="EG11" s="688"/>
      <c r="EH11" s="707" t="s">
        <v>872</v>
      </c>
      <c r="EI11" s="708">
        <f>VLOOKUP(I11,CotizacionTDB,4,FALSE())</f>
        <v>61.68</v>
      </c>
      <c r="EJ11" s="708">
        <f>VLOOKUP(I11,CotizacionTDB,5,FALSE())</f>
        <v>52.43</v>
      </c>
      <c r="EK11" s="691"/>
    </row>
    <row r="12" ht="12.0" customHeight="1">
      <c r="A12" s="709" t="s">
        <v>3026</v>
      </c>
      <c r="B12" s="661">
        <v>2.0</v>
      </c>
      <c r="C12" s="567" t="s">
        <v>3027</v>
      </c>
      <c r="D12" s="568" t="s">
        <v>164</v>
      </c>
      <c r="E12" s="568" t="s">
        <v>2708</v>
      </c>
      <c r="F12" s="567" t="s">
        <v>1763</v>
      </c>
      <c r="G12" s="569" t="s">
        <v>2709</v>
      </c>
      <c r="H12" s="569" t="s">
        <v>3041</v>
      </c>
      <c r="I12" s="721" t="s">
        <v>2272</v>
      </c>
      <c r="J12" s="711" t="s">
        <v>1025</v>
      </c>
      <c r="K12" s="567" t="s">
        <v>25</v>
      </c>
      <c r="L12" s="567">
        <v>2024.0</v>
      </c>
      <c r="M12" s="567">
        <v>2024.0</v>
      </c>
      <c r="N12" s="567"/>
      <c r="O12" s="567"/>
      <c r="P12" s="567"/>
      <c r="Q12" s="567"/>
      <c r="R12" s="567">
        <v>2024.0</v>
      </c>
      <c r="S12" s="567">
        <v>2024.0</v>
      </c>
      <c r="T12" s="567">
        <v>2024.0</v>
      </c>
      <c r="U12" s="567"/>
      <c r="V12" s="567"/>
      <c r="W12" s="567">
        <v>1.0</v>
      </c>
      <c r="X12" s="567">
        <v>1.0</v>
      </c>
      <c r="Y12" s="567"/>
      <c r="Z12" s="567"/>
      <c r="AA12" s="567"/>
      <c r="AB12" s="567"/>
      <c r="AC12" s="567">
        <v>1.0</v>
      </c>
      <c r="AD12" s="567">
        <v>1.0</v>
      </c>
      <c r="AE12" s="567">
        <v>1.0</v>
      </c>
      <c r="AF12" s="567"/>
      <c r="AG12" s="567"/>
      <c r="AH12" s="567"/>
      <c r="AI12" s="567"/>
      <c r="AJ12" s="567"/>
      <c r="AK12" s="567"/>
      <c r="AL12" s="567"/>
      <c r="AM12" s="567"/>
      <c r="AN12" s="567"/>
      <c r="AO12" s="567"/>
      <c r="AP12" s="567"/>
      <c r="AQ12" s="567"/>
      <c r="AR12" s="567">
        <v>-2024.0</v>
      </c>
      <c r="AS12" s="567">
        <v>-2024.0</v>
      </c>
      <c r="AT12" s="567">
        <v>0.0</v>
      </c>
      <c r="AU12" s="567">
        <v>0.0</v>
      </c>
      <c r="AV12" s="567">
        <v>0.0</v>
      </c>
      <c r="AW12" s="567">
        <v>0.0</v>
      </c>
      <c r="AX12" s="567">
        <v>-2024.0</v>
      </c>
      <c r="AY12" s="567">
        <v>-2024.0</v>
      </c>
      <c r="AZ12" s="567">
        <v>-2024.0</v>
      </c>
      <c r="BA12" s="567">
        <v>0.0</v>
      </c>
      <c r="BB12" s="567"/>
      <c r="BC12" s="567">
        <v>4.0</v>
      </c>
      <c r="BD12" s="567">
        <v>4.0</v>
      </c>
      <c r="BE12" s="567"/>
      <c r="BF12" s="567"/>
      <c r="BG12" s="567"/>
      <c r="BH12" s="567"/>
      <c r="BI12" s="567">
        <v>2.0</v>
      </c>
      <c r="BJ12" s="567">
        <v>2.0</v>
      </c>
      <c r="BK12" s="567">
        <v>1.0</v>
      </c>
      <c r="BL12" s="725"/>
      <c r="BM12" s="665">
        <f t="shared" si="1"/>
        <v>13</v>
      </c>
      <c r="BN12" s="668"/>
      <c r="BO12" s="668"/>
      <c r="BP12" s="668"/>
      <c r="BQ12" s="668"/>
      <c r="BR12" s="668"/>
      <c r="BS12" s="668"/>
      <c r="BT12" s="668"/>
      <c r="BU12" s="668"/>
      <c r="BV12" s="668"/>
      <c r="BW12" s="670"/>
      <c r="BX12" s="665">
        <f t="shared" si="2"/>
        <v>0</v>
      </c>
      <c r="BY12" s="671">
        <v>0.0</v>
      </c>
      <c r="BZ12" s="668">
        <v>0.0</v>
      </c>
      <c r="CA12" s="668">
        <v>0.0</v>
      </c>
      <c r="CB12" s="668">
        <v>0.0</v>
      </c>
      <c r="CC12" s="668">
        <v>0.0</v>
      </c>
      <c r="CD12" s="668">
        <v>0.0</v>
      </c>
      <c r="CE12" s="668">
        <v>0.0</v>
      </c>
      <c r="CF12" s="668">
        <v>0.0</v>
      </c>
      <c r="CG12" s="668">
        <v>0.0</v>
      </c>
      <c r="CH12" s="670">
        <v>0.0</v>
      </c>
      <c r="CI12" s="665">
        <f t="shared" si="3"/>
        <v>0</v>
      </c>
      <c r="CJ12" s="671">
        <f t="shared" si="4"/>
        <v>13</v>
      </c>
      <c r="CK12" s="715">
        <v>132.6</v>
      </c>
      <c r="CL12" s="668">
        <f t="shared" si="19"/>
        <v>922.896</v>
      </c>
      <c r="CM12" s="668">
        <f t="shared" ref="CM12:CV12" si="35">BC12*$CL12</f>
        <v>3691.584</v>
      </c>
      <c r="CN12" s="668">
        <f t="shared" si="35"/>
        <v>3691.584</v>
      </c>
      <c r="CO12" s="668">
        <f t="shared" si="35"/>
        <v>0</v>
      </c>
      <c r="CP12" s="668">
        <f t="shared" si="35"/>
        <v>0</v>
      </c>
      <c r="CQ12" s="668">
        <f t="shared" si="35"/>
        <v>0</v>
      </c>
      <c r="CR12" s="668">
        <f t="shared" si="35"/>
        <v>0</v>
      </c>
      <c r="CS12" s="668">
        <f t="shared" si="35"/>
        <v>1845.792</v>
      </c>
      <c r="CT12" s="668">
        <f t="shared" si="35"/>
        <v>1845.792</v>
      </c>
      <c r="CU12" s="668">
        <f t="shared" si="35"/>
        <v>922.896</v>
      </c>
      <c r="CV12" s="668">
        <f t="shared" si="35"/>
        <v>0</v>
      </c>
      <c r="CW12" s="668">
        <f t="shared" si="21"/>
        <v>11997.648</v>
      </c>
      <c r="CX12" s="668">
        <f t="shared" ref="CX12:DG12" si="36">BN12*$CL12</f>
        <v>0</v>
      </c>
      <c r="CY12" s="668">
        <f t="shared" si="36"/>
        <v>0</v>
      </c>
      <c r="CZ12" s="668">
        <f t="shared" si="36"/>
        <v>0</v>
      </c>
      <c r="DA12" s="668">
        <f t="shared" si="36"/>
        <v>0</v>
      </c>
      <c r="DB12" s="668">
        <f t="shared" si="36"/>
        <v>0</v>
      </c>
      <c r="DC12" s="668">
        <f t="shared" si="36"/>
        <v>0</v>
      </c>
      <c r="DD12" s="668">
        <f t="shared" si="36"/>
        <v>0</v>
      </c>
      <c r="DE12" s="668">
        <f t="shared" si="36"/>
        <v>0</v>
      </c>
      <c r="DF12" s="668">
        <f t="shared" si="36"/>
        <v>0</v>
      </c>
      <c r="DG12" s="668">
        <f t="shared" si="36"/>
        <v>0</v>
      </c>
      <c r="DH12" s="668">
        <f t="shared" si="23"/>
        <v>0</v>
      </c>
      <c r="DI12" s="668">
        <f t="shared" ref="DI12:DR12" si="37">BY12*$CL12</f>
        <v>0</v>
      </c>
      <c r="DJ12" s="668">
        <f t="shared" si="37"/>
        <v>0</v>
      </c>
      <c r="DK12" s="668">
        <f t="shared" si="37"/>
        <v>0</v>
      </c>
      <c r="DL12" s="668">
        <f t="shared" si="37"/>
        <v>0</v>
      </c>
      <c r="DM12" s="668">
        <f t="shared" si="37"/>
        <v>0</v>
      </c>
      <c r="DN12" s="668">
        <f t="shared" si="37"/>
        <v>0</v>
      </c>
      <c r="DO12" s="668">
        <f t="shared" si="37"/>
        <v>0</v>
      </c>
      <c r="DP12" s="668">
        <f t="shared" si="37"/>
        <v>0</v>
      </c>
      <c r="DQ12" s="668">
        <f t="shared" si="37"/>
        <v>0</v>
      </c>
      <c r="DR12" s="668">
        <f t="shared" si="37"/>
        <v>0</v>
      </c>
      <c r="DS12" s="668">
        <f t="shared" si="25"/>
        <v>0</v>
      </c>
      <c r="DT12" s="668">
        <f t="shared" si="15"/>
        <v>11997.648</v>
      </c>
      <c r="DU12" s="538"/>
      <c r="DV12" s="468"/>
      <c r="DW12" s="698"/>
      <c r="DX12" s="698"/>
      <c r="DY12" s="698"/>
      <c r="DZ12" s="698"/>
      <c r="EA12" s="698"/>
      <c r="EB12" s="698"/>
      <c r="EC12" s="698"/>
      <c r="ED12" s="698"/>
      <c r="EE12" s="698"/>
      <c r="EF12" s="698"/>
      <c r="EG12" s="698"/>
      <c r="EH12" s="576" t="s">
        <v>1025</v>
      </c>
      <c r="EI12" s="716">
        <f>VLOOKUP(I12,CotizacionTDB,4,FALSE())</f>
        <v>132.6</v>
      </c>
      <c r="EJ12" s="716">
        <f>VLOOKUP(I12,CotizacionTDB,5,FALSE())</f>
        <v>112.71</v>
      </c>
      <c r="EK12" s="699"/>
    </row>
    <row r="13" ht="12.0" customHeight="1">
      <c r="A13" s="700" t="s">
        <v>3026</v>
      </c>
      <c r="B13" s="701">
        <v>2.0</v>
      </c>
      <c r="C13" s="562" t="s">
        <v>3027</v>
      </c>
      <c r="D13" s="571" t="s">
        <v>164</v>
      </c>
      <c r="E13" s="571" t="s">
        <v>2708</v>
      </c>
      <c r="F13" s="562" t="s">
        <v>1763</v>
      </c>
      <c r="G13" s="569" t="s">
        <v>2709</v>
      </c>
      <c r="H13" s="569" t="s">
        <v>2728</v>
      </c>
      <c r="I13" s="717" t="s">
        <v>1954</v>
      </c>
      <c r="J13" s="704" t="s">
        <v>627</v>
      </c>
      <c r="K13" s="562" t="s">
        <v>25</v>
      </c>
      <c r="L13" s="562">
        <v>2024.0</v>
      </c>
      <c r="M13" s="562">
        <v>2024.0</v>
      </c>
      <c r="N13" s="562">
        <v>2024.0</v>
      </c>
      <c r="O13" s="562">
        <v>2024.0</v>
      </c>
      <c r="P13" s="562">
        <v>2024.0</v>
      </c>
      <c r="Q13" s="562">
        <v>2024.0</v>
      </c>
      <c r="R13" s="562">
        <v>2024.0</v>
      </c>
      <c r="S13" s="562">
        <v>2024.0</v>
      </c>
      <c r="T13" s="562">
        <v>2024.0</v>
      </c>
      <c r="U13" s="562">
        <v>2024.0</v>
      </c>
      <c r="V13" s="562"/>
      <c r="W13" s="562">
        <v>3.0</v>
      </c>
      <c r="X13" s="562">
        <v>3.0</v>
      </c>
      <c r="Y13" s="562">
        <v>3.0</v>
      </c>
      <c r="Z13" s="562">
        <v>2.0</v>
      </c>
      <c r="AA13" s="562">
        <v>2.0</v>
      </c>
      <c r="AB13" s="562">
        <v>2.0</v>
      </c>
      <c r="AC13" s="562">
        <v>2.0</v>
      </c>
      <c r="AD13" s="562">
        <v>2.0</v>
      </c>
      <c r="AE13" s="562">
        <v>2.0</v>
      </c>
      <c r="AF13" s="562">
        <v>2.0</v>
      </c>
      <c r="AG13" s="562"/>
      <c r="AH13" s="562"/>
      <c r="AI13" s="562"/>
      <c r="AJ13" s="562"/>
      <c r="AK13" s="562"/>
      <c r="AL13" s="562"/>
      <c r="AM13" s="562"/>
      <c r="AN13" s="562"/>
      <c r="AO13" s="562"/>
      <c r="AP13" s="562"/>
      <c r="AQ13" s="562"/>
      <c r="AR13" s="562">
        <v>-2024.0</v>
      </c>
      <c r="AS13" s="562">
        <v>-2024.0</v>
      </c>
      <c r="AT13" s="562">
        <v>-2024.0</v>
      </c>
      <c r="AU13" s="562">
        <v>-2024.0</v>
      </c>
      <c r="AV13" s="562">
        <v>-2024.0</v>
      </c>
      <c r="AW13" s="562">
        <v>-2024.0</v>
      </c>
      <c r="AX13" s="562">
        <v>-2024.0</v>
      </c>
      <c r="AY13" s="562">
        <v>-2024.0</v>
      </c>
      <c r="AZ13" s="562">
        <v>-2024.0</v>
      </c>
      <c r="BA13" s="562">
        <v>-2024.0</v>
      </c>
      <c r="BB13" s="562"/>
      <c r="BC13" s="562">
        <v>16.0</v>
      </c>
      <c r="BD13" s="562">
        <v>12.0</v>
      </c>
      <c r="BE13" s="562">
        <v>16.0</v>
      </c>
      <c r="BF13" s="562">
        <v>16.0</v>
      </c>
      <c r="BG13" s="562">
        <v>18.0</v>
      </c>
      <c r="BH13" s="562">
        <v>20.0</v>
      </c>
      <c r="BI13" s="562">
        <v>16.0</v>
      </c>
      <c r="BJ13" s="562">
        <v>16.0</v>
      </c>
      <c r="BK13" s="562">
        <v>8.0</v>
      </c>
      <c r="BL13" s="723">
        <v>0.0</v>
      </c>
      <c r="BM13" s="665">
        <f t="shared" si="1"/>
        <v>138</v>
      </c>
      <c r="BN13" s="682"/>
      <c r="BO13" s="683"/>
      <c r="BP13" s="683"/>
      <c r="BQ13" s="683"/>
      <c r="BR13" s="683"/>
      <c r="BS13" s="683"/>
      <c r="BT13" s="683"/>
      <c r="BU13" s="683"/>
      <c r="BV13" s="683"/>
      <c r="BW13" s="724">
        <v>14.0</v>
      </c>
      <c r="BX13" s="665">
        <f t="shared" si="2"/>
        <v>14</v>
      </c>
      <c r="BY13" s="682">
        <v>0.0</v>
      </c>
      <c r="BZ13" s="683">
        <v>0.0</v>
      </c>
      <c r="CA13" s="683">
        <v>0.0</v>
      </c>
      <c r="CB13" s="683">
        <v>16.0</v>
      </c>
      <c r="CC13" s="683">
        <v>18.0</v>
      </c>
      <c r="CD13" s="683">
        <v>20.0</v>
      </c>
      <c r="CE13" s="683">
        <v>16.0</v>
      </c>
      <c r="CF13" s="683">
        <v>16.0</v>
      </c>
      <c r="CG13" s="683">
        <v>8.0</v>
      </c>
      <c r="CH13" s="726">
        <v>0.0</v>
      </c>
      <c r="CI13" s="665">
        <f t="shared" si="3"/>
        <v>94</v>
      </c>
      <c r="CJ13" s="682">
        <f t="shared" si="4"/>
        <v>246</v>
      </c>
      <c r="CK13" s="706">
        <v>8.11</v>
      </c>
      <c r="CL13" s="683">
        <f t="shared" si="19"/>
        <v>56.4456</v>
      </c>
      <c r="CM13" s="683">
        <f t="shared" ref="CM13:CV13" si="38">BC13*$CL13</f>
        <v>903.1296</v>
      </c>
      <c r="CN13" s="683">
        <f t="shared" si="38"/>
        <v>677.3472</v>
      </c>
      <c r="CO13" s="683">
        <f t="shared" si="38"/>
        <v>903.1296</v>
      </c>
      <c r="CP13" s="683">
        <f t="shared" si="38"/>
        <v>903.1296</v>
      </c>
      <c r="CQ13" s="683">
        <f t="shared" si="38"/>
        <v>1016.0208</v>
      </c>
      <c r="CR13" s="683">
        <f t="shared" si="38"/>
        <v>1128.912</v>
      </c>
      <c r="CS13" s="683">
        <f t="shared" si="38"/>
        <v>903.1296</v>
      </c>
      <c r="CT13" s="683">
        <f t="shared" si="38"/>
        <v>903.1296</v>
      </c>
      <c r="CU13" s="683">
        <f t="shared" si="38"/>
        <v>451.5648</v>
      </c>
      <c r="CV13" s="683">
        <f t="shared" si="38"/>
        <v>0</v>
      </c>
      <c r="CW13" s="683">
        <f t="shared" si="21"/>
        <v>7789.4928</v>
      </c>
      <c r="CX13" s="683">
        <f t="shared" ref="CX13:DG13" si="39">BN13*$CL13</f>
        <v>0</v>
      </c>
      <c r="CY13" s="683">
        <f t="shared" si="39"/>
        <v>0</v>
      </c>
      <c r="CZ13" s="683">
        <f t="shared" si="39"/>
        <v>0</v>
      </c>
      <c r="DA13" s="683">
        <f t="shared" si="39"/>
        <v>0</v>
      </c>
      <c r="DB13" s="683">
        <f t="shared" si="39"/>
        <v>0</v>
      </c>
      <c r="DC13" s="683">
        <f t="shared" si="39"/>
        <v>0</v>
      </c>
      <c r="DD13" s="683">
        <f t="shared" si="39"/>
        <v>0</v>
      </c>
      <c r="DE13" s="683">
        <f t="shared" si="39"/>
        <v>0</v>
      </c>
      <c r="DF13" s="683">
        <f t="shared" si="39"/>
        <v>0</v>
      </c>
      <c r="DG13" s="683">
        <f t="shared" si="39"/>
        <v>790.2384</v>
      </c>
      <c r="DH13" s="683">
        <f t="shared" si="23"/>
        <v>790.2384</v>
      </c>
      <c r="DI13" s="683">
        <f t="shared" ref="DI13:DR13" si="40">BY13*$CL13</f>
        <v>0</v>
      </c>
      <c r="DJ13" s="683">
        <f t="shared" si="40"/>
        <v>0</v>
      </c>
      <c r="DK13" s="683">
        <f t="shared" si="40"/>
        <v>0</v>
      </c>
      <c r="DL13" s="683">
        <f t="shared" si="40"/>
        <v>903.1296</v>
      </c>
      <c r="DM13" s="683">
        <f t="shared" si="40"/>
        <v>1016.0208</v>
      </c>
      <c r="DN13" s="683">
        <f t="shared" si="40"/>
        <v>1128.912</v>
      </c>
      <c r="DO13" s="683">
        <f t="shared" si="40"/>
        <v>903.1296</v>
      </c>
      <c r="DP13" s="683">
        <f t="shared" si="40"/>
        <v>903.1296</v>
      </c>
      <c r="DQ13" s="683">
        <f t="shared" si="40"/>
        <v>451.5648</v>
      </c>
      <c r="DR13" s="683">
        <f t="shared" si="40"/>
        <v>0</v>
      </c>
      <c r="DS13" s="683">
        <f t="shared" si="25"/>
        <v>5305.8864</v>
      </c>
      <c r="DT13" s="683">
        <f t="shared" si="15"/>
        <v>13885.6176</v>
      </c>
      <c r="DU13" s="504"/>
      <c r="DV13" s="486"/>
      <c r="DW13" s="688"/>
      <c r="DX13" s="688"/>
      <c r="DY13" s="688"/>
      <c r="DZ13" s="688"/>
      <c r="EA13" s="688"/>
      <c r="EB13" s="688"/>
      <c r="EC13" s="688"/>
      <c r="ED13" s="688"/>
      <c r="EE13" s="688"/>
      <c r="EF13" s="688"/>
      <c r="EG13" s="688"/>
      <c r="EH13" s="707" t="s">
        <v>3042</v>
      </c>
      <c r="EI13" s="708">
        <f>VLOOKUP(I13,CotizacionTDB,4,FALSE())</f>
        <v>8.11</v>
      </c>
      <c r="EJ13" s="708">
        <f>VLOOKUP(I13,CotizacionTDB,5,FALSE())</f>
        <v>6.89</v>
      </c>
      <c r="EK13" s="691"/>
    </row>
    <row r="14" ht="12.0" customHeight="1">
      <c r="A14" s="709" t="s">
        <v>3026</v>
      </c>
      <c r="B14" s="661">
        <v>2.0</v>
      </c>
      <c r="C14" s="567" t="s">
        <v>3027</v>
      </c>
      <c r="D14" s="568" t="s">
        <v>164</v>
      </c>
      <c r="E14" s="568" t="s">
        <v>2708</v>
      </c>
      <c r="F14" s="567" t="s">
        <v>1763</v>
      </c>
      <c r="G14" s="569" t="s">
        <v>2709</v>
      </c>
      <c r="H14" s="569" t="s">
        <v>3043</v>
      </c>
      <c r="I14" s="710" t="s">
        <v>1978</v>
      </c>
      <c r="J14" s="711" t="s">
        <v>1071</v>
      </c>
      <c r="K14" s="567" t="s">
        <v>25</v>
      </c>
      <c r="L14" s="567">
        <v>2024.0</v>
      </c>
      <c r="M14" s="567">
        <v>2024.0</v>
      </c>
      <c r="N14" s="567">
        <v>2024.0</v>
      </c>
      <c r="O14" s="567"/>
      <c r="P14" s="567"/>
      <c r="Q14" s="567"/>
      <c r="R14" s="567">
        <v>2024.0</v>
      </c>
      <c r="S14" s="567">
        <v>2024.0</v>
      </c>
      <c r="T14" s="567">
        <v>2024.0</v>
      </c>
      <c r="U14" s="567">
        <v>2024.0</v>
      </c>
      <c r="V14" s="567"/>
      <c r="W14" s="567">
        <v>1.0</v>
      </c>
      <c r="X14" s="567">
        <v>2.0</v>
      </c>
      <c r="Y14" s="567">
        <v>1.0</v>
      </c>
      <c r="Z14" s="567"/>
      <c r="AA14" s="567"/>
      <c r="AB14" s="567"/>
      <c r="AC14" s="567">
        <v>1.0</v>
      </c>
      <c r="AD14" s="567">
        <v>1.0</v>
      </c>
      <c r="AE14" s="567">
        <v>2.0</v>
      </c>
      <c r="AF14" s="567">
        <v>1.0</v>
      </c>
      <c r="AG14" s="567"/>
      <c r="AH14" s="567"/>
      <c r="AI14" s="567"/>
      <c r="AJ14" s="567"/>
      <c r="AK14" s="567"/>
      <c r="AL14" s="567"/>
      <c r="AM14" s="567"/>
      <c r="AN14" s="567"/>
      <c r="AO14" s="567"/>
      <c r="AP14" s="567"/>
      <c r="AQ14" s="567"/>
      <c r="AR14" s="567">
        <v>-2024.0</v>
      </c>
      <c r="AS14" s="567">
        <v>-2024.0</v>
      </c>
      <c r="AT14" s="567">
        <v>-2024.0</v>
      </c>
      <c r="AU14" s="567">
        <v>0.0</v>
      </c>
      <c r="AV14" s="567">
        <v>0.0</v>
      </c>
      <c r="AW14" s="567">
        <v>0.0</v>
      </c>
      <c r="AX14" s="567">
        <v>-2024.0</v>
      </c>
      <c r="AY14" s="567">
        <v>-2024.0</v>
      </c>
      <c r="AZ14" s="567">
        <v>-2024.0</v>
      </c>
      <c r="BA14" s="567">
        <v>-2024.0</v>
      </c>
      <c r="BB14" s="567"/>
      <c r="BC14" s="567"/>
      <c r="BD14" s="567">
        <v>8.0</v>
      </c>
      <c r="BE14" s="567">
        <v>10.0</v>
      </c>
      <c r="BF14" s="567"/>
      <c r="BG14" s="567"/>
      <c r="BH14" s="567"/>
      <c r="BI14" s="567">
        <v>8.0</v>
      </c>
      <c r="BJ14" s="567">
        <v>8.0</v>
      </c>
      <c r="BK14" s="727">
        <v>0.0</v>
      </c>
      <c r="BL14" s="725"/>
      <c r="BM14" s="665">
        <f t="shared" si="1"/>
        <v>34</v>
      </c>
      <c r="BN14" s="728">
        <v>8.0</v>
      </c>
      <c r="BO14" s="668"/>
      <c r="BP14" s="668"/>
      <c r="BQ14" s="729"/>
      <c r="BR14" s="668"/>
      <c r="BS14" s="668"/>
      <c r="BT14" s="668"/>
      <c r="BU14" s="668"/>
      <c r="BV14" s="730">
        <v>8.0</v>
      </c>
      <c r="BW14" s="705">
        <v>10.0</v>
      </c>
      <c r="BX14" s="665">
        <f t="shared" si="2"/>
        <v>26</v>
      </c>
      <c r="BY14" s="671">
        <v>0.0</v>
      </c>
      <c r="BZ14" s="668">
        <v>8.0</v>
      </c>
      <c r="CA14" s="668">
        <v>0.0</v>
      </c>
      <c r="CB14" s="668">
        <v>0.0</v>
      </c>
      <c r="CC14" s="668">
        <v>0.0</v>
      </c>
      <c r="CD14" s="668">
        <v>0.0</v>
      </c>
      <c r="CE14" s="668">
        <v>0.0</v>
      </c>
      <c r="CF14" s="668">
        <v>0.0</v>
      </c>
      <c r="CG14" s="730">
        <v>0.0</v>
      </c>
      <c r="CH14" s="670">
        <v>0.0</v>
      </c>
      <c r="CI14" s="665">
        <f t="shared" si="3"/>
        <v>8</v>
      </c>
      <c r="CJ14" s="671">
        <f t="shared" si="4"/>
        <v>68</v>
      </c>
      <c r="CK14" s="715">
        <v>22.04</v>
      </c>
      <c r="CL14" s="668">
        <f t="shared" si="19"/>
        <v>153.3984</v>
      </c>
      <c r="CM14" s="668">
        <f t="shared" ref="CM14:CV14" si="41">BC14*$CL14</f>
        <v>0</v>
      </c>
      <c r="CN14" s="668">
        <f t="shared" si="41"/>
        <v>1227.1872</v>
      </c>
      <c r="CO14" s="668">
        <f t="shared" si="41"/>
        <v>1533.984</v>
      </c>
      <c r="CP14" s="668">
        <f t="shared" si="41"/>
        <v>0</v>
      </c>
      <c r="CQ14" s="668">
        <f t="shared" si="41"/>
        <v>0</v>
      </c>
      <c r="CR14" s="668">
        <f t="shared" si="41"/>
        <v>0</v>
      </c>
      <c r="CS14" s="668">
        <f t="shared" si="41"/>
        <v>1227.1872</v>
      </c>
      <c r="CT14" s="668">
        <f t="shared" si="41"/>
        <v>1227.1872</v>
      </c>
      <c r="CU14" s="668">
        <f t="shared" si="41"/>
        <v>0</v>
      </c>
      <c r="CV14" s="668">
        <f t="shared" si="41"/>
        <v>0</v>
      </c>
      <c r="CW14" s="668">
        <f t="shared" si="21"/>
        <v>5215.5456</v>
      </c>
      <c r="CX14" s="668">
        <f t="shared" ref="CX14:DG14" si="42">BN14*$CL14</f>
        <v>1227.1872</v>
      </c>
      <c r="CY14" s="668">
        <f t="shared" si="42"/>
        <v>0</v>
      </c>
      <c r="CZ14" s="668">
        <f t="shared" si="42"/>
        <v>0</v>
      </c>
      <c r="DA14" s="668">
        <f t="shared" si="42"/>
        <v>0</v>
      </c>
      <c r="DB14" s="668">
        <f t="shared" si="42"/>
        <v>0</v>
      </c>
      <c r="DC14" s="668">
        <f t="shared" si="42"/>
        <v>0</v>
      </c>
      <c r="DD14" s="668">
        <f t="shared" si="42"/>
        <v>0</v>
      </c>
      <c r="DE14" s="668">
        <f t="shared" si="42"/>
        <v>0</v>
      </c>
      <c r="DF14" s="668">
        <f t="shared" si="42"/>
        <v>1227.1872</v>
      </c>
      <c r="DG14" s="668">
        <f t="shared" si="42"/>
        <v>1533.984</v>
      </c>
      <c r="DH14" s="668">
        <f t="shared" si="23"/>
        <v>3988.3584</v>
      </c>
      <c r="DI14" s="668">
        <f t="shared" ref="DI14:DR14" si="43">BY14*$CL14</f>
        <v>0</v>
      </c>
      <c r="DJ14" s="668">
        <f t="shared" si="43"/>
        <v>1227.1872</v>
      </c>
      <c r="DK14" s="668">
        <f t="shared" si="43"/>
        <v>0</v>
      </c>
      <c r="DL14" s="668">
        <f t="shared" si="43"/>
        <v>0</v>
      </c>
      <c r="DM14" s="668">
        <f t="shared" si="43"/>
        <v>0</v>
      </c>
      <c r="DN14" s="668">
        <f t="shared" si="43"/>
        <v>0</v>
      </c>
      <c r="DO14" s="668">
        <f t="shared" si="43"/>
        <v>0</v>
      </c>
      <c r="DP14" s="668">
        <f t="shared" si="43"/>
        <v>0</v>
      </c>
      <c r="DQ14" s="668">
        <f t="shared" si="43"/>
        <v>0</v>
      </c>
      <c r="DR14" s="668">
        <f t="shared" si="43"/>
        <v>0</v>
      </c>
      <c r="DS14" s="668">
        <f t="shared" si="25"/>
        <v>1227.1872</v>
      </c>
      <c r="DT14" s="668">
        <f t="shared" si="15"/>
        <v>10431.0912</v>
      </c>
      <c r="DU14" s="538"/>
      <c r="DV14" s="468"/>
      <c r="DW14" s="698"/>
      <c r="DX14" s="698"/>
      <c r="DY14" s="698"/>
      <c r="DZ14" s="698"/>
      <c r="EA14" s="698"/>
      <c r="EB14" s="698"/>
      <c r="EC14" s="698"/>
      <c r="ED14" s="698"/>
      <c r="EE14" s="698"/>
      <c r="EF14" s="698"/>
      <c r="EG14" s="698"/>
      <c r="EH14" s="576" t="s">
        <v>3044</v>
      </c>
      <c r="EI14" s="716">
        <f>VLOOKUP(I14,CotizacionTDB,4,FALSE())</f>
        <v>22.04</v>
      </c>
      <c r="EJ14" s="716">
        <f>VLOOKUP(I14,CotizacionTDB,5,FALSE())</f>
        <v>18.73</v>
      </c>
      <c r="EK14" s="699"/>
    </row>
    <row r="15" ht="12.0" customHeight="1">
      <c r="A15" s="700" t="s">
        <v>3026</v>
      </c>
      <c r="B15" s="701">
        <v>2.0</v>
      </c>
      <c r="C15" s="562" t="s">
        <v>3027</v>
      </c>
      <c r="D15" s="571" t="s">
        <v>164</v>
      </c>
      <c r="E15" s="571" t="s">
        <v>2708</v>
      </c>
      <c r="F15" s="562" t="s">
        <v>1763</v>
      </c>
      <c r="G15" s="569" t="s">
        <v>2709</v>
      </c>
      <c r="H15" s="569" t="s">
        <v>3045</v>
      </c>
      <c r="I15" s="717" t="s">
        <v>2090</v>
      </c>
      <c r="J15" s="704" t="s">
        <v>1195</v>
      </c>
      <c r="K15" s="562" t="s">
        <v>25</v>
      </c>
      <c r="L15" s="562">
        <v>2024.0</v>
      </c>
      <c r="M15" s="562">
        <v>2024.0</v>
      </c>
      <c r="N15" s="562">
        <v>2024.0</v>
      </c>
      <c r="O15" s="562">
        <v>2024.0</v>
      </c>
      <c r="P15" s="562">
        <v>2024.0</v>
      </c>
      <c r="Q15" s="562">
        <v>2024.0</v>
      </c>
      <c r="R15" s="562">
        <v>2024.0</v>
      </c>
      <c r="S15" s="562">
        <v>2024.0</v>
      </c>
      <c r="T15" s="562">
        <v>2024.0</v>
      </c>
      <c r="U15" s="562">
        <v>2024.0</v>
      </c>
      <c r="V15" s="562"/>
      <c r="W15" s="562">
        <v>3.0</v>
      </c>
      <c r="X15" s="562">
        <v>3.0</v>
      </c>
      <c r="Y15" s="562">
        <v>3.0</v>
      </c>
      <c r="Z15" s="562">
        <v>2.0</v>
      </c>
      <c r="AA15" s="562">
        <v>2.0</v>
      </c>
      <c r="AB15" s="562">
        <v>2.0</v>
      </c>
      <c r="AC15" s="562">
        <v>1.0</v>
      </c>
      <c r="AD15" s="562">
        <v>1.0</v>
      </c>
      <c r="AE15" s="562">
        <v>1.0</v>
      </c>
      <c r="AF15" s="562">
        <v>1.0</v>
      </c>
      <c r="AG15" s="562"/>
      <c r="AH15" s="562"/>
      <c r="AI15" s="562"/>
      <c r="AJ15" s="562"/>
      <c r="AK15" s="562"/>
      <c r="AL15" s="562"/>
      <c r="AM15" s="562"/>
      <c r="AN15" s="562"/>
      <c r="AO15" s="562"/>
      <c r="AP15" s="562"/>
      <c r="AQ15" s="562"/>
      <c r="AR15" s="562">
        <v>-2024.0</v>
      </c>
      <c r="AS15" s="562">
        <v>-2024.0</v>
      </c>
      <c r="AT15" s="562">
        <v>-2024.0</v>
      </c>
      <c r="AU15" s="562">
        <v>-2024.0</v>
      </c>
      <c r="AV15" s="562">
        <v>-2024.0</v>
      </c>
      <c r="AW15" s="562">
        <v>-2024.0</v>
      </c>
      <c r="AX15" s="562">
        <v>-2024.0</v>
      </c>
      <c r="AY15" s="562">
        <v>-2024.0</v>
      </c>
      <c r="AZ15" s="562">
        <v>-2024.0</v>
      </c>
      <c r="BA15" s="562">
        <v>-2024.0</v>
      </c>
      <c r="BB15" s="562"/>
      <c r="BC15" s="718"/>
      <c r="BD15" s="718"/>
      <c r="BE15" s="718"/>
      <c r="BF15" s="718"/>
      <c r="BG15" s="718"/>
      <c r="BH15" s="718"/>
      <c r="BI15" s="718"/>
      <c r="BJ15" s="718"/>
      <c r="BK15" s="718"/>
      <c r="BL15" s="731"/>
      <c r="BM15" s="665">
        <f t="shared" si="1"/>
        <v>0</v>
      </c>
      <c r="BN15" s="666">
        <v>8.0</v>
      </c>
      <c r="BO15" s="667">
        <v>6.0</v>
      </c>
      <c r="BP15" s="667">
        <v>8.0</v>
      </c>
      <c r="BQ15" s="667">
        <v>4.0</v>
      </c>
      <c r="BR15" s="667">
        <v>10.0</v>
      </c>
      <c r="BS15" s="667">
        <v>12.0</v>
      </c>
      <c r="BT15" s="667">
        <v>8.0</v>
      </c>
      <c r="BU15" s="667">
        <v>8.0</v>
      </c>
      <c r="BV15" s="667">
        <v>4.0</v>
      </c>
      <c r="BW15" s="732">
        <v>8.0</v>
      </c>
      <c r="BX15" s="665">
        <f t="shared" si="2"/>
        <v>76</v>
      </c>
      <c r="BY15" s="733">
        <v>8.0</v>
      </c>
      <c r="BZ15" s="687">
        <v>6.0</v>
      </c>
      <c r="CA15" s="687">
        <v>8.0</v>
      </c>
      <c r="CB15" s="683">
        <v>4.0</v>
      </c>
      <c r="CC15" s="683">
        <v>10.0</v>
      </c>
      <c r="CD15" s="683">
        <v>12.0</v>
      </c>
      <c r="CE15" s="683">
        <v>0.0</v>
      </c>
      <c r="CF15" s="683">
        <v>0.0</v>
      </c>
      <c r="CG15" s="683">
        <v>0.0</v>
      </c>
      <c r="CH15" s="686">
        <v>0.0</v>
      </c>
      <c r="CI15" s="665">
        <f t="shared" si="3"/>
        <v>48</v>
      </c>
      <c r="CJ15" s="682">
        <f t="shared" si="4"/>
        <v>124</v>
      </c>
      <c r="CK15" s="706">
        <v>7.92</v>
      </c>
      <c r="CL15" s="683">
        <f t="shared" si="19"/>
        <v>55.1232</v>
      </c>
      <c r="CM15" s="683">
        <f t="shared" ref="CM15:CV15" si="44">BC15*$CL15</f>
        <v>0</v>
      </c>
      <c r="CN15" s="683">
        <f t="shared" si="44"/>
        <v>0</v>
      </c>
      <c r="CO15" s="683">
        <f t="shared" si="44"/>
        <v>0</v>
      </c>
      <c r="CP15" s="683">
        <f t="shared" si="44"/>
        <v>0</v>
      </c>
      <c r="CQ15" s="683">
        <f t="shared" si="44"/>
        <v>0</v>
      </c>
      <c r="CR15" s="683">
        <f t="shared" si="44"/>
        <v>0</v>
      </c>
      <c r="CS15" s="683">
        <f t="shared" si="44"/>
        <v>0</v>
      </c>
      <c r="CT15" s="683">
        <f t="shared" si="44"/>
        <v>0</v>
      </c>
      <c r="CU15" s="683">
        <f t="shared" si="44"/>
        <v>0</v>
      </c>
      <c r="CV15" s="683">
        <f t="shared" si="44"/>
        <v>0</v>
      </c>
      <c r="CW15" s="683">
        <f t="shared" si="21"/>
        <v>0</v>
      </c>
      <c r="CX15" s="683">
        <f t="shared" ref="CX15:DG15" si="45">BN15*$CL15</f>
        <v>440.9856</v>
      </c>
      <c r="CY15" s="683">
        <f t="shared" si="45"/>
        <v>330.7392</v>
      </c>
      <c r="CZ15" s="683">
        <f t="shared" si="45"/>
        <v>440.9856</v>
      </c>
      <c r="DA15" s="683">
        <f t="shared" si="45"/>
        <v>220.4928</v>
      </c>
      <c r="DB15" s="683">
        <f t="shared" si="45"/>
        <v>551.232</v>
      </c>
      <c r="DC15" s="683">
        <f t="shared" si="45"/>
        <v>661.4784</v>
      </c>
      <c r="DD15" s="683">
        <f t="shared" si="45"/>
        <v>440.9856</v>
      </c>
      <c r="DE15" s="683">
        <f t="shared" si="45"/>
        <v>440.9856</v>
      </c>
      <c r="DF15" s="683">
        <f t="shared" si="45"/>
        <v>220.4928</v>
      </c>
      <c r="DG15" s="683">
        <f t="shared" si="45"/>
        <v>440.9856</v>
      </c>
      <c r="DH15" s="683">
        <f t="shared" si="23"/>
        <v>4189.3632</v>
      </c>
      <c r="DI15" s="683">
        <f t="shared" ref="DI15:DR15" si="46">BY15*$CL15</f>
        <v>440.9856</v>
      </c>
      <c r="DJ15" s="683">
        <f t="shared" si="46"/>
        <v>330.7392</v>
      </c>
      <c r="DK15" s="683">
        <f t="shared" si="46"/>
        <v>440.9856</v>
      </c>
      <c r="DL15" s="683">
        <f t="shared" si="46"/>
        <v>220.4928</v>
      </c>
      <c r="DM15" s="683">
        <f t="shared" si="46"/>
        <v>551.232</v>
      </c>
      <c r="DN15" s="683">
        <f t="shared" si="46"/>
        <v>661.4784</v>
      </c>
      <c r="DO15" s="683">
        <f t="shared" si="46"/>
        <v>0</v>
      </c>
      <c r="DP15" s="683">
        <f t="shared" si="46"/>
        <v>0</v>
      </c>
      <c r="DQ15" s="683">
        <f t="shared" si="46"/>
        <v>0</v>
      </c>
      <c r="DR15" s="683">
        <f t="shared" si="46"/>
        <v>0</v>
      </c>
      <c r="DS15" s="683">
        <f t="shared" si="25"/>
        <v>2645.9136</v>
      </c>
      <c r="DT15" s="683">
        <f t="shared" si="15"/>
        <v>6835.2768</v>
      </c>
      <c r="DU15" s="504"/>
      <c r="DV15" s="486"/>
      <c r="DW15" s="688"/>
      <c r="DX15" s="688"/>
      <c r="DY15" s="688"/>
      <c r="DZ15" s="688"/>
      <c r="EA15" s="688"/>
      <c r="EB15" s="688"/>
      <c r="EC15" s="688"/>
      <c r="ED15" s="688"/>
      <c r="EE15" s="688"/>
      <c r="EF15" s="688"/>
      <c r="EG15" s="688"/>
      <c r="EH15" s="707" t="s">
        <v>3046</v>
      </c>
      <c r="EI15" s="708">
        <f>VLOOKUP(I15,CotizacionTDB,4,FALSE())</f>
        <v>7.92</v>
      </c>
      <c r="EJ15" s="708">
        <f>VLOOKUP(I15,CotizacionTDB,5,FALSE())</f>
        <v>6.73</v>
      </c>
      <c r="EK15" s="691"/>
    </row>
    <row r="16" ht="12.0" customHeight="1">
      <c r="A16" s="709" t="s">
        <v>3026</v>
      </c>
      <c r="B16" s="661">
        <v>2.0</v>
      </c>
      <c r="C16" s="567" t="s">
        <v>3027</v>
      </c>
      <c r="D16" s="568" t="s">
        <v>164</v>
      </c>
      <c r="E16" s="568" t="s">
        <v>2708</v>
      </c>
      <c r="F16" s="567" t="s">
        <v>1763</v>
      </c>
      <c r="G16" s="569" t="s">
        <v>2709</v>
      </c>
      <c r="H16" s="569" t="s">
        <v>3047</v>
      </c>
      <c r="I16" s="710" t="s">
        <v>1923</v>
      </c>
      <c r="J16" s="711" t="s">
        <v>1183</v>
      </c>
      <c r="K16" s="567" t="s">
        <v>25</v>
      </c>
      <c r="L16" s="567"/>
      <c r="M16" s="567"/>
      <c r="N16" s="567"/>
      <c r="O16" s="567">
        <v>2024.0</v>
      </c>
      <c r="P16" s="567"/>
      <c r="Q16" s="567"/>
      <c r="R16" s="567"/>
      <c r="S16" s="567"/>
      <c r="T16" s="567"/>
      <c r="U16" s="567"/>
      <c r="V16" s="567"/>
      <c r="W16" s="567">
        <v>3.0</v>
      </c>
      <c r="X16" s="567"/>
      <c r="Y16" s="567"/>
      <c r="Z16" s="567">
        <v>2.0</v>
      </c>
      <c r="AA16" s="567"/>
      <c r="AB16" s="567"/>
      <c r="AC16" s="567"/>
      <c r="AD16" s="567"/>
      <c r="AE16" s="567"/>
      <c r="AF16" s="567"/>
      <c r="AG16" s="567"/>
      <c r="AH16" s="567"/>
      <c r="AI16" s="567"/>
      <c r="AJ16" s="567"/>
      <c r="AK16" s="567"/>
      <c r="AL16" s="567"/>
      <c r="AM16" s="567"/>
      <c r="AN16" s="567"/>
      <c r="AO16" s="567"/>
      <c r="AP16" s="567"/>
      <c r="AQ16" s="567"/>
      <c r="AR16" s="567">
        <v>0.0</v>
      </c>
      <c r="AS16" s="567">
        <v>0.0</v>
      </c>
      <c r="AT16" s="567">
        <v>0.0</v>
      </c>
      <c r="AU16" s="567">
        <v>-2024.0</v>
      </c>
      <c r="AV16" s="567">
        <v>0.0</v>
      </c>
      <c r="AW16" s="567">
        <v>0.0</v>
      </c>
      <c r="AX16" s="567">
        <v>0.0</v>
      </c>
      <c r="AY16" s="567">
        <v>0.0</v>
      </c>
      <c r="AZ16" s="567">
        <v>0.0</v>
      </c>
      <c r="BA16" s="567">
        <v>0.0</v>
      </c>
      <c r="BB16" s="567"/>
      <c r="BC16" s="567"/>
      <c r="BD16" s="567"/>
      <c r="BE16" s="567"/>
      <c r="BF16" s="567"/>
      <c r="BG16" s="567"/>
      <c r="BH16" s="567"/>
      <c r="BI16" s="567"/>
      <c r="BJ16" s="567"/>
      <c r="BK16" s="567"/>
      <c r="BL16" s="725"/>
      <c r="BM16" s="665">
        <f t="shared" si="1"/>
        <v>0</v>
      </c>
      <c r="BN16" s="671"/>
      <c r="BO16" s="668"/>
      <c r="BP16" s="668"/>
      <c r="BQ16" s="684">
        <v>4.0</v>
      </c>
      <c r="BR16" s="668"/>
      <c r="BS16" s="668"/>
      <c r="BT16" s="668"/>
      <c r="BU16" s="668"/>
      <c r="BV16" s="668"/>
      <c r="BW16" s="670"/>
      <c r="BX16" s="665">
        <f t="shared" si="2"/>
        <v>4</v>
      </c>
      <c r="BY16" s="671">
        <v>0.0</v>
      </c>
      <c r="BZ16" s="668">
        <v>0.0</v>
      </c>
      <c r="CA16" s="668">
        <v>0.0</v>
      </c>
      <c r="CB16" s="668">
        <v>4.0</v>
      </c>
      <c r="CC16" s="668">
        <v>0.0</v>
      </c>
      <c r="CD16" s="668">
        <v>0.0</v>
      </c>
      <c r="CE16" s="668">
        <v>0.0</v>
      </c>
      <c r="CF16" s="668">
        <v>0.0</v>
      </c>
      <c r="CG16" s="668">
        <v>0.0</v>
      </c>
      <c r="CH16" s="670">
        <v>0.0</v>
      </c>
      <c r="CI16" s="665">
        <f t="shared" si="3"/>
        <v>4</v>
      </c>
      <c r="CJ16" s="671">
        <f t="shared" si="4"/>
        <v>8</v>
      </c>
      <c r="CK16" s="715">
        <v>93.56</v>
      </c>
      <c r="CL16" s="668">
        <f t="shared" si="19"/>
        <v>651.1776</v>
      </c>
      <c r="CM16" s="668">
        <f t="shared" ref="CM16:CV16" si="47">BC16*$CL16</f>
        <v>0</v>
      </c>
      <c r="CN16" s="668">
        <f t="shared" si="47"/>
        <v>0</v>
      </c>
      <c r="CO16" s="668">
        <f t="shared" si="47"/>
        <v>0</v>
      </c>
      <c r="CP16" s="668">
        <f t="shared" si="47"/>
        <v>0</v>
      </c>
      <c r="CQ16" s="668">
        <f t="shared" si="47"/>
        <v>0</v>
      </c>
      <c r="CR16" s="668">
        <f t="shared" si="47"/>
        <v>0</v>
      </c>
      <c r="CS16" s="668">
        <f t="shared" si="47"/>
        <v>0</v>
      </c>
      <c r="CT16" s="668">
        <f t="shared" si="47"/>
        <v>0</v>
      </c>
      <c r="CU16" s="668">
        <f t="shared" si="47"/>
        <v>0</v>
      </c>
      <c r="CV16" s="668">
        <f t="shared" si="47"/>
        <v>0</v>
      </c>
      <c r="CW16" s="668">
        <f t="shared" si="21"/>
        <v>0</v>
      </c>
      <c r="CX16" s="668">
        <f t="shared" ref="CX16:DG16" si="48">BN16*$CL16</f>
        <v>0</v>
      </c>
      <c r="CY16" s="668">
        <f t="shared" si="48"/>
        <v>0</v>
      </c>
      <c r="CZ16" s="668">
        <f t="shared" si="48"/>
        <v>0</v>
      </c>
      <c r="DA16" s="668">
        <f t="shared" si="48"/>
        <v>2604.7104</v>
      </c>
      <c r="DB16" s="668">
        <f t="shared" si="48"/>
        <v>0</v>
      </c>
      <c r="DC16" s="668">
        <f t="shared" si="48"/>
        <v>0</v>
      </c>
      <c r="DD16" s="668">
        <f t="shared" si="48"/>
        <v>0</v>
      </c>
      <c r="DE16" s="668">
        <f t="shared" si="48"/>
        <v>0</v>
      </c>
      <c r="DF16" s="668">
        <f t="shared" si="48"/>
        <v>0</v>
      </c>
      <c r="DG16" s="668">
        <f t="shared" si="48"/>
        <v>0</v>
      </c>
      <c r="DH16" s="668">
        <f t="shared" si="23"/>
        <v>2604.7104</v>
      </c>
      <c r="DI16" s="668">
        <f t="shared" ref="DI16:DR16" si="49">BY16*$CL16</f>
        <v>0</v>
      </c>
      <c r="DJ16" s="668">
        <f t="shared" si="49"/>
        <v>0</v>
      </c>
      <c r="DK16" s="668">
        <f t="shared" si="49"/>
        <v>0</v>
      </c>
      <c r="DL16" s="668">
        <f t="shared" si="49"/>
        <v>2604.7104</v>
      </c>
      <c r="DM16" s="668">
        <f t="shared" si="49"/>
        <v>0</v>
      </c>
      <c r="DN16" s="668">
        <f t="shared" si="49"/>
        <v>0</v>
      </c>
      <c r="DO16" s="668">
        <f t="shared" si="49"/>
        <v>0</v>
      </c>
      <c r="DP16" s="668">
        <f t="shared" si="49"/>
        <v>0</v>
      </c>
      <c r="DQ16" s="668">
        <f t="shared" si="49"/>
        <v>0</v>
      </c>
      <c r="DR16" s="668">
        <f t="shared" si="49"/>
        <v>0</v>
      </c>
      <c r="DS16" s="668">
        <f t="shared" si="25"/>
        <v>2604.7104</v>
      </c>
      <c r="DT16" s="668">
        <f t="shared" si="15"/>
        <v>5209.4208</v>
      </c>
      <c r="DU16" s="538"/>
      <c r="DV16" s="468"/>
      <c r="DW16" s="698"/>
      <c r="DX16" s="698"/>
      <c r="DY16" s="698"/>
      <c r="DZ16" s="698"/>
      <c r="EA16" s="698"/>
      <c r="EB16" s="698"/>
      <c r="EC16" s="698"/>
      <c r="ED16" s="698"/>
      <c r="EE16" s="698"/>
      <c r="EF16" s="698"/>
      <c r="EG16" s="698"/>
      <c r="EH16" s="576" t="s">
        <v>1924</v>
      </c>
      <c r="EI16" s="716">
        <f>VLOOKUP(I16,CotizacionTDB,4,FALSE())</f>
        <v>93.56</v>
      </c>
      <c r="EJ16" s="716">
        <f>VLOOKUP(I16,CotizacionTDB,5,FALSE())</f>
        <v>79.53</v>
      </c>
      <c r="EK16" s="699"/>
    </row>
    <row r="17" ht="12.0" customHeight="1">
      <c r="A17" s="700" t="s">
        <v>3026</v>
      </c>
      <c r="B17" s="701">
        <v>2.0</v>
      </c>
      <c r="C17" s="562" t="s">
        <v>3027</v>
      </c>
      <c r="D17" s="571" t="s">
        <v>164</v>
      </c>
      <c r="E17" s="571" t="s">
        <v>2708</v>
      </c>
      <c r="F17" s="562" t="s">
        <v>1763</v>
      </c>
      <c r="G17" s="569" t="s">
        <v>2709</v>
      </c>
      <c r="H17" s="569" t="s">
        <v>3048</v>
      </c>
      <c r="I17" s="717" t="s">
        <v>2295</v>
      </c>
      <c r="J17" s="704" t="s">
        <v>1060</v>
      </c>
      <c r="K17" s="562" t="s">
        <v>25</v>
      </c>
      <c r="L17" s="562">
        <v>2024.0</v>
      </c>
      <c r="M17" s="562">
        <v>2024.0</v>
      </c>
      <c r="N17" s="562">
        <v>2024.0</v>
      </c>
      <c r="O17" s="562">
        <v>2024.0</v>
      </c>
      <c r="P17" s="562">
        <v>2025.0</v>
      </c>
      <c r="Q17" s="562">
        <v>2025.0</v>
      </c>
      <c r="R17" s="562"/>
      <c r="S17" s="562"/>
      <c r="T17" s="562"/>
      <c r="U17" s="562">
        <v>2024.0</v>
      </c>
      <c r="V17" s="562"/>
      <c r="W17" s="562">
        <v>3.0</v>
      </c>
      <c r="X17" s="562">
        <v>3.0</v>
      </c>
      <c r="Y17" s="562">
        <v>3.0</v>
      </c>
      <c r="Z17" s="562">
        <v>7.0</v>
      </c>
      <c r="AA17" s="562">
        <v>7.0</v>
      </c>
      <c r="AB17" s="562">
        <v>7.0</v>
      </c>
      <c r="AC17" s="562"/>
      <c r="AD17" s="562"/>
      <c r="AE17" s="562"/>
      <c r="AF17" s="562">
        <v>3.0</v>
      </c>
      <c r="AG17" s="562"/>
      <c r="AH17" s="562"/>
      <c r="AI17" s="562"/>
      <c r="AJ17" s="562"/>
      <c r="AK17" s="562"/>
      <c r="AL17" s="562"/>
      <c r="AM17" s="562"/>
      <c r="AN17" s="562"/>
      <c r="AO17" s="562"/>
      <c r="AP17" s="562"/>
      <c r="AQ17" s="562"/>
      <c r="AR17" s="562">
        <v>-2024.0</v>
      </c>
      <c r="AS17" s="562">
        <v>-2024.0</v>
      </c>
      <c r="AT17" s="562">
        <v>-2024.0</v>
      </c>
      <c r="AU17" s="562">
        <v>-2024.0</v>
      </c>
      <c r="AV17" s="562">
        <v>-2025.0</v>
      </c>
      <c r="AW17" s="562">
        <v>-2025.0</v>
      </c>
      <c r="AX17" s="562">
        <v>0.0</v>
      </c>
      <c r="AY17" s="562">
        <v>0.0</v>
      </c>
      <c r="AZ17" s="562">
        <v>0.0</v>
      </c>
      <c r="BA17" s="562">
        <v>-2024.0</v>
      </c>
      <c r="BB17" s="562"/>
      <c r="BC17" s="701"/>
      <c r="BD17" s="562"/>
      <c r="BE17" s="680"/>
      <c r="BF17" s="718"/>
      <c r="BG17" s="562"/>
      <c r="BH17" s="562"/>
      <c r="BI17" s="562"/>
      <c r="BJ17" s="562"/>
      <c r="BK17" s="562"/>
      <c r="BL17" s="723">
        <v>0.0</v>
      </c>
      <c r="BM17" s="665">
        <f t="shared" si="1"/>
        <v>0</v>
      </c>
      <c r="BN17" s="734">
        <v>4.0</v>
      </c>
      <c r="BO17" s="687">
        <v>2.0</v>
      </c>
      <c r="BP17" s="684">
        <v>8.0</v>
      </c>
      <c r="BQ17" s="684">
        <v>8.0</v>
      </c>
      <c r="BR17" s="683">
        <v>9.0</v>
      </c>
      <c r="BS17" s="683">
        <v>10.0</v>
      </c>
      <c r="BT17" s="683"/>
      <c r="BU17" s="683"/>
      <c r="BV17" s="683"/>
      <c r="BW17" s="724">
        <v>2.0</v>
      </c>
      <c r="BX17" s="665">
        <f t="shared" si="2"/>
        <v>43</v>
      </c>
      <c r="BY17" s="682">
        <v>0.0</v>
      </c>
      <c r="BZ17" s="687"/>
      <c r="CA17" s="683">
        <v>0.0</v>
      </c>
      <c r="CB17" s="683">
        <v>0.0</v>
      </c>
      <c r="CC17" s="683">
        <v>0.0</v>
      </c>
      <c r="CD17" s="683">
        <v>0.0</v>
      </c>
      <c r="CE17" s="683">
        <v>0.0</v>
      </c>
      <c r="CF17" s="683">
        <v>0.0</v>
      </c>
      <c r="CG17" s="683">
        <v>0.0</v>
      </c>
      <c r="CH17" s="686">
        <v>0.0</v>
      </c>
      <c r="CI17" s="665">
        <f t="shared" si="3"/>
        <v>0</v>
      </c>
      <c r="CJ17" s="682">
        <f t="shared" si="4"/>
        <v>43</v>
      </c>
      <c r="CK17" s="706">
        <v>25.92</v>
      </c>
      <c r="CL17" s="683">
        <f t="shared" si="19"/>
        <v>180.4032</v>
      </c>
      <c r="CM17" s="683">
        <f t="shared" ref="CM17:CV17" si="50">BC17*$CL17</f>
        <v>0</v>
      </c>
      <c r="CN17" s="683">
        <f t="shared" si="50"/>
        <v>0</v>
      </c>
      <c r="CO17" s="683">
        <f t="shared" si="50"/>
        <v>0</v>
      </c>
      <c r="CP17" s="683">
        <f t="shared" si="50"/>
        <v>0</v>
      </c>
      <c r="CQ17" s="683">
        <f t="shared" si="50"/>
        <v>0</v>
      </c>
      <c r="CR17" s="683">
        <f t="shared" si="50"/>
        <v>0</v>
      </c>
      <c r="CS17" s="683">
        <f t="shared" si="50"/>
        <v>0</v>
      </c>
      <c r="CT17" s="683">
        <f t="shared" si="50"/>
        <v>0</v>
      </c>
      <c r="CU17" s="683">
        <f t="shared" si="50"/>
        <v>0</v>
      </c>
      <c r="CV17" s="683">
        <f t="shared" si="50"/>
        <v>0</v>
      </c>
      <c r="CW17" s="683">
        <f t="shared" si="21"/>
        <v>0</v>
      </c>
      <c r="CX17" s="683">
        <f t="shared" ref="CX17:DG17" si="51">BN17*$CL17</f>
        <v>721.6128</v>
      </c>
      <c r="CY17" s="683">
        <f t="shared" si="51"/>
        <v>360.8064</v>
      </c>
      <c r="CZ17" s="683">
        <f t="shared" si="51"/>
        <v>1443.2256</v>
      </c>
      <c r="DA17" s="683">
        <f t="shared" si="51"/>
        <v>1443.2256</v>
      </c>
      <c r="DB17" s="683">
        <f t="shared" si="51"/>
        <v>1623.6288</v>
      </c>
      <c r="DC17" s="683">
        <f t="shared" si="51"/>
        <v>1804.032</v>
      </c>
      <c r="DD17" s="683">
        <f t="shared" si="51"/>
        <v>0</v>
      </c>
      <c r="DE17" s="683">
        <f t="shared" si="51"/>
        <v>0</v>
      </c>
      <c r="DF17" s="683">
        <f t="shared" si="51"/>
        <v>0</v>
      </c>
      <c r="DG17" s="683">
        <f t="shared" si="51"/>
        <v>360.8064</v>
      </c>
      <c r="DH17" s="683">
        <f t="shared" si="23"/>
        <v>7757.3376</v>
      </c>
      <c r="DI17" s="683">
        <f t="shared" ref="DI17:DR17" si="52">BY17*$CL17</f>
        <v>0</v>
      </c>
      <c r="DJ17" s="683">
        <f t="shared" si="52"/>
        <v>0</v>
      </c>
      <c r="DK17" s="683">
        <f t="shared" si="52"/>
        <v>0</v>
      </c>
      <c r="DL17" s="683">
        <f t="shared" si="52"/>
        <v>0</v>
      </c>
      <c r="DM17" s="683">
        <f t="shared" si="52"/>
        <v>0</v>
      </c>
      <c r="DN17" s="683">
        <f t="shared" si="52"/>
        <v>0</v>
      </c>
      <c r="DO17" s="683">
        <f t="shared" si="52"/>
        <v>0</v>
      </c>
      <c r="DP17" s="683">
        <f t="shared" si="52"/>
        <v>0</v>
      </c>
      <c r="DQ17" s="683">
        <f t="shared" si="52"/>
        <v>0</v>
      </c>
      <c r="DR17" s="683">
        <f t="shared" si="52"/>
        <v>0</v>
      </c>
      <c r="DS17" s="683">
        <f t="shared" si="25"/>
        <v>0</v>
      </c>
      <c r="DT17" s="683">
        <f t="shared" si="15"/>
        <v>7757.3376</v>
      </c>
      <c r="DU17" s="504"/>
      <c r="DV17" s="486"/>
      <c r="DW17" s="688"/>
      <c r="DX17" s="688"/>
      <c r="DY17" s="688"/>
      <c r="DZ17" s="688"/>
      <c r="EA17" s="688"/>
      <c r="EB17" s="688"/>
      <c r="EC17" s="688"/>
      <c r="ED17" s="688"/>
      <c r="EE17" s="688"/>
      <c r="EF17" s="688"/>
      <c r="EG17" s="688"/>
      <c r="EH17" s="707" t="s">
        <v>3049</v>
      </c>
      <c r="EI17" s="708">
        <f>VLOOKUP(I17,CotizacionTDB,4,FALSE())</f>
        <v>25.92</v>
      </c>
      <c r="EJ17" s="708">
        <f>VLOOKUP(I17,CotizacionTDB,5,FALSE())</f>
        <v>22.03</v>
      </c>
      <c r="EK17" s="691"/>
    </row>
    <row r="18" ht="12.0" customHeight="1">
      <c r="A18" s="709" t="s">
        <v>3026</v>
      </c>
      <c r="B18" s="661">
        <v>2.0</v>
      </c>
      <c r="C18" s="567" t="s">
        <v>3027</v>
      </c>
      <c r="D18" s="568" t="s">
        <v>164</v>
      </c>
      <c r="E18" s="568" t="s">
        <v>2708</v>
      </c>
      <c r="F18" s="567" t="s">
        <v>1763</v>
      </c>
      <c r="G18" s="569" t="s">
        <v>2709</v>
      </c>
      <c r="H18" s="658"/>
      <c r="I18" s="710" t="s">
        <v>1933</v>
      </c>
      <c r="J18" s="711" t="s">
        <v>1335</v>
      </c>
      <c r="K18" s="567" t="s">
        <v>25</v>
      </c>
      <c r="L18" s="567">
        <v>2024.0</v>
      </c>
      <c r="M18" s="567">
        <v>2024.0</v>
      </c>
      <c r="N18" s="567">
        <v>2024.0</v>
      </c>
      <c r="O18" s="567">
        <v>2024.0</v>
      </c>
      <c r="P18" s="567">
        <v>2024.0</v>
      </c>
      <c r="Q18" s="567">
        <v>2024.0</v>
      </c>
      <c r="R18" s="567"/>
      <c r="S18" s="567"/>
      <c r="T18" s="567"/>
      <c r="U18" s="567">
        <v>2024.0</v>
      </c>
      <c r="V18" s="567"/>
      <c r="W18" s="567">
        <v>3.0</v>
      </c>
      <c r="X18" s="567">
        <v>3.0</v>
      </c>
      <c r="Y18" s="567">
        <v>3.0</v>
      </c>
      <c r="Z18" s="567">
        <v>2.0</v>
      </c>
      <c r="AA18" s="567">
        <v>2.0</v>
      </c>
      <c r="AB18" s="567">
        <v>2.0</v>
      </c>
      <c r="AC18" s="567"/>
      <c r="AD18" s="567"/>
      <c r="AE18" s="567"/>
      <c r="AF18" s="567">
        <v>1.0</v>
      </c>
      <c r="AG18" s="567"/>
      <c r="AH18" s="567"/>
      <c r="AI18" s="567"/>
      <c r="AJ18" s="567"/>
      <c r="AK18" s="567"/>
      <c r="AL18" s="567"/>
      <c r="AM18" s="567"/>
      <c r="AN18" s="567"/>
      <c r="AO18" s="567"/>
      <c r="AP18" s="567"/>
      <c r="AQ18" s="567"/>
      <c r="AR18" s="567">
        <v>-2024.0</v>
      </c>
      <c r="AS18" s="567">
        <v>-2024.0</v>
      </c>
      <c r="AT18" s="567">
        <v>-2024.0</v>
      </c>
      <c r="AU18" s="567">
        <v>-2024.0</v>
      </c>
      <c r="AV18" s="567">
        <v>-2024.0</v>
      </c>
      <c r="AW18" s="567">
        <v>-2024.0</v>
      </c>
      <c r="AX18" s="567">
        <v>0.0</v>
      </c>
      <c r="AY18" s="567">
        <v>0.0</v>
      </c>
      <c r="AZ18" s="567">
        <v>0.0</v>
      </c>
      <c r="BA18" s="567">
        <v>-2024.0</v>
      </c>
      <c r="BB18" s="567"/>
      <c r="BC18" s="718"/>
      <c r="BD18" s="718"/>
      <c r="BE18" s="718"/>
      <c r="BF18" s="718"/>
      <c r="BG18" s="718"/>
      <c r="BH18" s="718"/>
      <c r="BI18" s="680"/>
      <c r="BJ18" s="567"/>
      <c r="BK18" s="567"/>
      <c r="BL18" s="735"/>
      <c r="BM18" s="665">
        <f t="shared" si="1"/>
        <v>0</v>
      </c>
      <c r="BN18" s="666">
        <v>2.0</v>
      </c>
      <c r="BO18" s="667">
        <v>2.0</v>
      </c>
      <c r="BP18" s="667">
        <v>2.0</v>
      </c>
      <c r="BQ18" s="667">
        <v>2.0</v>
      </c>
      <c r="BR18" s="667">
        <v>2.0</v>
      </c>
      <c r="BS18" s="667">
        <v>2.0</v>
      </c>
      <c r="BT18" s="684">
        <v>2.0</v>
      </c>
      <c r="BU18" s="668"/>
      <c r="BV18" s="668"/>
      <c r="BW18" s="685">
        <v>2.0</v>
      </c>
      <c r="BX18" s="665">
        <f t="shared" si="2"/>
        <v>16</v>
      </c>
      <c r="BY18" s="736">
        <v>2.0</v>
      </c>
      <c r="BZ18" s="668">
        <v>0.0</v>
      </c>
      <c r="CA18" s="674">
        <v>2.0</v>
      </c>
      <c r="CB18" s="668">
        <v>2.0</v>
      </c>
      <c r="CC18" s="668">
        <v>2.0</v>
      </c>
      <c r="CD18" s="668">
        <v>2.0</v>
      </c>
      <c r="CE18" s="668">
        <v>0.0</v>
      </c>
      <c r="CF18" s="668">
        <v>0.0</v>
      </c>
      <c r="CG18" s="668">
        <v>0.0</v>
      </c>
      <c r="CH18" s="670">
        <v>0.0</v>
      </c>
      <c r="CI18" s="665">
        <f t="shared" si="3"/>
        <v>10</v>
      </c>
      <c r="CJ18" s="671">
        <f t="shared" si="4"/>
        <v>26</v>
      </c>
      <c r="CK18" s="715">
        <v>20.42</v>
      </c>
      <c r="CL18" s="668">
        <f t="shared" si="19"/>
        <v>142.1232</v>
      </c>
      <c r="CM18" s="668">
        <f t="shared" ref="CM18:CV18" si="53">BC18*$CL18</f>
        <v>0</v>
      </c>
      <c r="CN18" s="668">
        <f t="shared" si="53"/>
        <v>0</v>
      </c>
      <c r="CO18" s="668">
        <f t="shared" si="53"/>
        <v>0</v>
      </c>
      <c r="CP18" s="668">
        <f t="shared" si="53"/>
        <v>0</v>
      </c>
      <c r="CQ18" s="668">
        <f t="shared" si="53"/>
        <v>0</v>
      </c>
      <c r="CR18" s="668">
        <f t="shared" si="53"/>
        <v>0</v>
      </c>
      <c r="CS18" s="668">
        <f t="shared" si="53"/>
        <v>0</v>
      </c>
      <c r="CT18" s="668">
        <f t="shared" si="53"/>
        <v>0</v>
      </c>
      <c r="CU18" s="668">
        <f t="shared" si="53"/>
        <v>0</v>
      </c>
      <c r="CV18" s="668">
        <f t="shared" si="53"/>
        <v>0</v>
      </c>
      <c r="CW18" s="668">
        <f t="shared" si="21"/>
        <v>0</v>
      </c>
      <c r="CX18" s="668">
        <f t="shared" ref="CX18:DG18" si="54">BN18*$CL18</f>
        <v>284.2464</v>
      </c>
      <c r="CY18" s="668">
        <f t="shared" si="54"/>
        <v>284.2464</v>
      </c>
      <c r="CZ18" s="668">
        <f t="shared" si="54"/>
        <v>284.2464</v>
      </c>
      <c r="DA18" s="668">
        <f t="shared" si="54"/>
        <v>284.2464</v>
      </c>
      <c r="DB18" s="668">
        <f t="shared" si="54"/>
        <v>284.2464</v>
      </c>
      <c r="DC18" s="668">
        <f t="shared" si="54"/>
        <v>284.2464</v>
      </c>
      <c r="DD18" s="668">
        <f t="shared" si="54"/>
        <v>284.2464</v>
      </c>
      <c r="DE18" s="668">
        <f t="shared" si="54"/>
        <v>0</v>
      </c>
      <c r="DF18" s="668">
        <f t="shared" si="54"/>
        <v>0</v>
      </c>
      <c r="DG18" s="668">
        <f t="shared" si="54"/>
        <v>284.2464</v>
      </c>
      <c r="DH18" s="668">
        <f t="shared" si="23"/>
        <v>2273.9712</v>
      </c>
      <c r="DI18" s="668">
        <f t="shared" ref="DI18:DR18" si="55">BY18*$CL18</f>
        <v>284.2464</v>
      </c>
      <c r="DJ18" s="668">
        <f t="shared" si="55"/>
        <v>0</v>
      </c>
      <c r="DK18" s="668">
        <f t="shared" si="55"/>
        <v>284.2464</v>
      </c>
      <c r="DL18" s="668">
        <f t="shared" si="55"/>
        <v>284.2464</v>
      </c>
      <c r="DM18" s="668">
        <f t="shared" si="55"/>
        <v>284.2464</v>
      </c>
      <c r="DN18" s="668">
        <f t="shared" si="55"/>
        <v>284.2464</v>
      </c>
      <c r="DO18" s="668">
        <f t="shared" si="55"/>
        <v>0</v>
      </c>
      <c r="DP18" s="668">
        <f t="shared" si="55"/>
        <v>0</v>
      </c>
      <c r="DQ18" s="668">
        <f t="shared" si="55"/>
        <v>0</v>
      </c>
      <c r="DR18" s="668">
        <f t="shared" si="55"/>
        <v>0</v>
      </c>
      <c r="DS18" s="668">
        <f t="shared" si="25"/>
        <v>1421.232</v>
      </c>
      <c r="DT18" s="668">
        <f t="shared" si="15"/>
        <v>3695.2032</v>
      </c>
      <c r="DU18" s="538"/>
      <c r="DV18" s="468"/>
      <c r="DW18" s="698"/>
      <c r="DX18" s="698"/>
      <c r="DY18" s="698"/>
      <c r="DZ18" s="698"/>
      <c r="EA18" s="698"/>
      <c r="EB18" s="698"/>
      <c r="EC18" s="698"/>
      <c r="ED18" s="698"/>
      <c r="EE18" s="698"/>
      <c r="EF18" s="698"/>
      <c r="EG18" s="698"/>
      <c r="EH18" s="576" t="s">
        <v>3050</v>
      </c>
      <c r="EI18" s="716">
        <f>VLOOKUP(I18,CotizacionTDB,4,FALSE())</f>
        <v>20.42</v>
      </c>
      <c r="EJ18" s="716">
        <f>VLOOKUP(I18,CotizacionTDB,5,FALSE())</f>
        <v>17.36</v>
      </c>
      <c r="EK18" s="699"/>
    </row>
    <row r="19" ht="12.0" customHeight="1">
      <c r="A19" s="700" t="s">
        <v>3026</v>
      </c>
      <c r="B19" s="701">
        <v>2.0</v>
      </c>
      <c r="C19" s="562" t="s">
        <v>3027</v>
      </c>
      <c r="D19" s="571" t="s">
        <v>164</v>
      </c>
      <c r="E19" s="571" t="s">
        <v>2708</v>
      </c>
      <c r="F19" s="562" t="s">
        <v>1763</v>
      </c>
      <c r="G19" s="569" t="s">
        <v>2709</v>
      </c>
      <c r="H19" s="737"/>
      <c r="I19" s="738" t="s">
        <v>1950</v>
      </c>
      <c r="J19" s="739" t="s">
        <v>1008</v>
      </c>
      <c r="K19" s="562" t="s">
        <v>25</v>
      </c>
      <c r="L19" s="562">
        <v>2024.0</v>
      </c>
      <c r="M19" s="562">
        <v>2024.0</v>
      </c>
      <c r="N19" s="562">
        <v>2024.0</v>
      </c>
      <c r="O19" s="562">
        <v>2024.0</v>
      </c>
      <c r="P19" s="562">
        <v>2024.0</v>
      </c>
      <c r="Q19" s="562">
        <v>2024.0</v>
      </c>
      <c r="R19" s="562"/>
      <c r="S19" s="562"/>
      <c r="T19" s="562"/>
      <c r="U19" s="562"/>
      <c r="V19" s="562"/>
      <c r="W19" s="562">
        <v>3.0</v>
      </c>
      <c r="X19" s="562">
        <v>3.0</v>
      </c>
      <c r="Y19" s="562">
        <v>3.0</v>
      </c>
      <c r="Z19" s="562">
        <v>2.0</v>
      </c>
      <c r="AA19" s="562">
        <v>2.0</v>
      </c>
      <c r="AB19" s="562">
        <v>2.0</v>
      </c>
      <c r="AC19" s="562"/>
      <c r="AD19" s="562"/>
      <c r="AE19" s="562"/>
      <c r="AF19" s="562"/>
      <c r="AG19" s="562"/>
      <c r="AH19" s="562"/>
      <c r="AI19" s="562"/>
      <c r="AJ19" s="562"/>
      <c r="AK19" s="562"/>
      <c r="AL19" s="562"/>
      <c r="AM19" s="562"/>
      <c r="AN19" s="562"/>
      <c r="AO19" s="562"/>
      <c r="AP19" s="562"/>
      <c r="AQ19" s="562"/>
      <c r="AR19" s="562">
        <v>-2024.0</v>
      </c>
      <c r="AS19" s="562">
        <v>-2024.0</v>
      </c>
      <c r="AT19" s="562">
        <v>-2024.0</v>
      </c>
      <c r="AU19" s="562">
        <v>-2024.0</v>
      </c>
      <c r="AV19" s="562">
        <v>-2024.0</v>
      </c>
      <c r="AW19" s="562">
        <v>-2024.0</v>
      </c>
      <c r="AX19" s="562">
        <v>0.0</v>
      </c>
      <c r="AY19" s="562">
        <v>0.0</v>
      </c>
      <c r="AZ19" s="562">
        <v>0.0</v>
      </c>
      <c r="BA19" s="562">
        <v>0.0</v>
      </c>
      <c r="BB19" s="562"/>
      <c r="BC19" s="680"/>
      <c r="BD19" s="680"/>
      <c r="BE19" s="680"/>
      <c r="BF19" s="680"/>
      <c r="BG19" s="680"/>
      <c r="BH19" s="680"/>
      <c r="BI19" s="562"/>
      <c r="BJ19" s="562"/>
      <c r="BK19" s="562"/>
      <c r="BL19" s="681"/>
      <c r="BM19" s="665">
        <f t="shared" si="1"/>
        <v>0</v>
      </c>
      <c r="BN19" s="734">
        <v>4.0</v>
      </c>
      <c r="BO19" s="684">
        <v>4.0</v>
      </c>
      <c r="BP19" s="684">
        <v>4.0</v>
      </c>
      <c r="BQ19" s="684">
        <v>6.0</v>
      </c>
      <c r="BR19" s="684">
        <v>6.0</v>
      </c>
      <c r="BS19" s="684">
        <v>8.0</v>
      </c>
      <c r="BT19" s="683"/>
      <c r="BU19" s="683"/>
      <c r="BV19" s="683"/>
      <c r="BW19" s="686"/>
      <c r="BX19" s="665">
        <f t="shared" si="2"/>
        <v>32</v>
      </c>
      <c r="BY19" s="682">
        <v>0.0</v>
      </c>
      <c r="BZ19" s="683">
        <v>0.0</v>
      </c>
      <c r="CA19" s="683">
        <v>0.0</v>
      </c>
      <c r="CB19" s="687">
        <v>6.0</v>
      </c>
      <c r="CC19" s="687">
        <v>6.0</v>
      </c>
      <c r="CD19" s="687">
        <v>8.0</v>
      </c>
      <c r="CE19" s="683">
        <v>0.0</v>
      </c>
      <c r="CF19" s="683">
        <v>0.0</v>
      </c>
      <c r="CG19" s="683">
        <v>0.0</v>
      </c>
      <c r="CH19" s="686">
        <v>0.0</v>
      </c>
      <c r="CI19" s="665">
        <f t="shared" si="3"/>
        <v>20</v>
      </c>
      <c r="CJ19" s="682">
        <f t="shared" si="4"/>
        <v>52</v>
      </c>
      <c r="CK19" s="706">
        <v>10.04</v>
      </c>
      <c r="CL19" s="683">
        <f t="shared" si="19"/>
        <v>69.8784</v>
      </c>
      <c r="CM19" s="683">
        <f t="shared" ref="CM19:CV19" si="56">BC19*$CL19</f>
        <v>0</v>
      </c>
      <c r="CN19" s="683">
        <f t="shared" si="56"/>
        <v>0</v>
      </c>
      <c r="CO19" s="683">
        <f t="shared" si="56"/>
        <v>0</v>
      </c>
      <c r="CP19" s="683">
        <f t="shared" si="56"/>
        <v>0</v>
      </c>
      <c r="CQ19" s="683">
        <f t="shared" si="56"/>
        <v>0</v>
      </c>
      <c r="CR19" s="683">
        <f t="shared" si="56"/>
        <v>0</v>
      </c>
      <c r="CS19" s="683">
        <f t="shared" si="56"/>
        <v>0</v>
      </c>
      <c r="CT19" s="683">
        <f t="shared" si="56"/>
        <v>0</v>
      </c>
      <c r="CU19" s="683">
        <f t="shared" si="56"/>
        <v>0</v>
      </c>
      <c r="CV19" s="683">
        <f t="shared" si="56"/>
        <v>0</v>
      </c>
      <c r="CW19" s="683">
        <f t="shared" si="21"/>
        <v>0</v>
      </c>
      <c r="CX19" s="683">
        <f t="shared" ref="CX19:DG19" si="57">BN19*$CL19</f>
        <v>279.5136</v>
      </c>
      <c r="CY19" s="683">
        <f t="shared" si="57"/>
        <v>279.5136</v>
      </c>
      <c r="CZ19" s="683">
        <f t="shared" si="57"/>
        <v>279.5136</v>
      </c>
      <c r="DA19" s="683">
        <f t="shared" si="57"/>
        <v>419.2704</v>
      </c>
      <c r="DB19" s="683">
        <f t="shared" si="57"/>
        <v>419.2704</v>
      </c>
      <c r="DC19" s="683">
        <f t="shared" si="57"/>
        <v>559.0272</v>
      </c>
      <c r="DD19" s="683">
        <f t="shared" si="57"/>
        <v>0</v>
      </c>
      <c r="DE19" s="683">
        <f t="shared" si="57"/>
        <v>0</v>
      </c>
      <c r="DF19" s="683">
        <f t="shared" si="57"/>
        <v>0</v>
      </c>
      <c r="DG19" s="683">
        <f t="shared" si="57"/>
        <v>0</v>
      </c>
      <c r="DH19" s="683">
        <f t="shared" si="23"/>
        <v>2236.1088</v>
      </c>
      <c r="DI19" s="683">
        <f t="shared" ref="DI19:DR19" si="58">BY19*$CL19</f>
        <v>0</v>
      </c>
      <c r="DJ19" s="683">
        <f t="shared" si="58"/>
        <v>0</v>
      </c>
      <c r="DK19" s="683">
        <f t="shared" si="58"/>
        <v>0</v>
      </c>
      <c r="DL19" s="683">
        <f t="shared" si="58"/>
        <v>419.2704</v>
      </c>
      <c r="DM19" s="683">
        <f t="shared" si="58"/>
        <v>419.2704</v>
      </c>
      <c r="DN19" s="683">
        <f t="shared" si="58"/>
        <v>559.0272</v>
      </c>
      <c r="DO19" s="683">
        <f t="shared" si="58"/>
        <v>0</v>
      </c>
      <c r="DP19" s="683">
        <f t="shared" si="58"/>
        <v>0</v>
      </c>
      <c r="DQ19" s="683">
        <f t="shared" si="58"/>
        <v>0</v>
      </c>
      <c r="DR19" s="683">
        <f t="shared" si="58"/>
        <v>0</v>
      </c>
      <c r="DS19" s="683">
        <f t="shared" si="25"/>
        <v>1397.568</v>
      </c>
      <c r="DT19" s="683">
        <f t="shared" si="15"/>
        <v>3633.6768</v>
      </c>
      <c r="DU19" s="504"/>
      <c r="DV19" s="486"/>
      <c r="DW19" s="688"/>
      <c r="DX19" s="688"/>
      <c r="DY19" s="688"/>
      <c r="DZ19" s="688"/>
      <c r="EA19" s="688"/>
      <c r="EB19" s="688"/>
      <c r="EC19" s="688"/>
      <c r="ED19" s="688"/>
      <c r="EE19" s="688"/>
      <c r="EF19" s="688"/>
      <c r="EG19" s="688"/>
      <c r="EH19" s="707" t="s">
        <v>3051</v>
      </c>
      <c r="EI19" s="708">
        <f>VLOOKUP(I19,CotizacionTDB,4,FALSE())</f>
        <v>10.04</v>
      </c>
      <c r="EJ19" s="708">
        <f>VLOOKUP(I19,CotizacionTDB,5,FALSE())</f>
        <v>8.53</v>
      </c>
      <c r="EK19" s="691"/>
    </row>
    <row r="20" ht="12.0" customHeight="1">
      <c r="A20" s="709" t="s">
        <v>3026</v>
      </c>
      <c r="B20" s="661">
        <v>2.0</v>
      </c>
      <c r="C20" s="567" t="s">
        <v>3027</v>
      </c>
      <c r="D20" s="568" t="s">
        <v>164</v>
      </c>
      <c r="E20" s="568" t="s">
        <v>2708</v>
      </c>
      <c r="F20" s="567" t="s">
        <v>1763</v>
      </c>
      <c r="G20" s="569" t="s">
        <v>2709</v>
      </c>
      <c r="H20" s="569" t="s">
        <v>3052</v>
      </c>
      <c r="I20" s="710" t="s">
        <v>2059</v>
      </c>
      <c r="J20" s="711" t="s">
        <v>1602</v>
      </c>
      <c r="K20" s="567" t="s">
        <v>25</v>
      </c>
      <c r="L20" s="567">
        <v>2024.0</v>
      </c>
      <c r="M20" s="567">
        <v>2024.0</v>
      </c>
      <c r="N20" s="567">
        <v>2024.0</v>
      </c>
      <c r="O20" s="567">
        <v>2024.0</v>
      </c>
      <c r="P20" s="567">
        <v>2024.0</v>
      </c>
      <c r="Q20" s="567">
        <v>2024.0</v>
      </c>
      <c r="R20" s="567"/>
      <c r="S20" s="567"/>
      <c r="T20" s="567"/>
      <c r="U20" s="567"/>
      <c r="V20" s="567"/>
      <c r="W20" s="567">
        <v>3.0</v>
      </c>
      <c r="X20" s="567">
        <v>3.0</v>
      </c>
      <c r="Y20" s="567">
        <v>3.0</v>
      </c>
      <c r="Z20" s="567">
        <v>2.0</v>
      </c>
      <c r="AA20" s="567">
        <v>2.0</v>
      </c>
      <c r="AB20" s="567">
        <v>2.0</v>
      </c>
      <c r="AC20" s="567"/>
      <c r="AD20" s="567"/>
      <c r="AE20" s="567"/>
      <c r="AF20" s="567"/>
      <c r="AG20" s="567"/>
      <c r="AH20" s="567"/>
      <c r="AI20" s="567"/>
      <c r="AJ20" s="567"/>
      <c r="AK20" s="567"/>
      <c r="AL20" s="567"/>
      <c r="AM20" s="567"/>
      <c r="AN20" s="567"/>
      <c r="AO20" s="567"/>
      <c r="AP20" s="567"/>
      <c r="AQ20" s="567"/>
      <c r="AR20" s="567">
        <v>-2024.0</v>
      </c>
      <c r="AS20" s="567">
        <v>-2024.0</v>
      </c>
      <c r="AT20" s="567">
        <v>-2024.0</v>
      </c>
      <c r="AU20" s="567">
        <v>-2024.0</v>
      </c>
      <c r="AV20" s="567">
        <v>-2024.0</v>
      </c>
      <c r="AW20" s="567">
        <v>-2024.0</v>
      </c>
      <c r="AX20" s="567">
        <v>0.0</v>
      </c>
      <c r="AY20" s="567">
        <v>0.0</v>
      </c>
      <c r="AZ20" s="567">
        <v>0.0</v>
      </c>
      <c r="BA20" s="567">
        <v>0.0</v>
      </c>
      <c r="BB20" s="567"/>
      <c r="BC20" s="718"/>
      <c r="BD20" s="718"/>
      <c r="BE20" s="718"/>
      <c r="BF20" s="718"/>
      <c r="BG20" s="718"/>
      <c r="BH20" s="718"/>
      <c r="BI20" s="567"/>
      <c r="BJ20" s="567"/>
      <c r="BK20" s="567"/>
      <c r="BL20" s="725"/>
      <c r="BM20" s="665">
        <f t="shared" si="1"/>
        <v>0</v>
      </c>
      <c r="BN20" s="666">
        <v>8.0</v>
      </c>
      <c r="BO20" s="667">
        <v>6.0</v>
      </c>
      <c r="BP20" s="667">
        <v>8.0</v>
      </c>
      <c r="BQ20" s="667">
        <v>8.0</v>
      </c>
      <c r="BR20" s="667">
        <v>9.0</v>
      </c>
      <c r="BS20" s="667">
        <v>10.0</v>
      </c>
      <c r="BT20" s="668"/>
      <c r="BU20" s="668"/>
      <c r="BV20" s="668"/>
      <c r="BW20" s="670"/>
      <c r="BX20" s="665">
        <f t="shared" si="2"/>
        <v>49</v>
      </c>
      <c r="BY20" s="671">
        <v>0.0</v>
      </c>
      <c r="BZ20" s="668">
        <v>0.0</v>
      </c>
      <c r="CA20" s="668">
        <v>0.0</v>
      </c>
      <c r="CB20" s="668">
        <v>8.0</v>
      </c>
      <c r="CC20" s="668">
        <v>9.0</v>
      </c>
      <c r="CD20" s="668">
        <v>10.0</v>
      </c>
      <c r="CE20" s="668">
        <v>0.0</v>
      </c>
      <c r="CF20" s="668">
        <v>0.0</v>
      </c>
      <c r="CG20" s="668">
        <v>0.0</v>
      </c>
      <c r="CH20" s="670">
        <v>0.0</v>
      </c>
      <c r="CI20" s="665">
        <f t="shared" si="3"/>
        <v>27</v>
      </c>
      <c r="CJ20" s="671">
        <f t="shared" si="4"/>
        <v>76</v>
      </c>
      <c r="CK20" s="715">
        <v>0.69</v>
      </c>
      <c r="CL20" s="668">
        <f t="shared" si="19"/>
        <v>4.8024</v>
      </c>
      <c r="CM20" s="668">
        <f t="shared" ref="CM20:CV20" si="59">BC20*$CL20</f>
        <v>0</v>
      </c>
      <c r="CN20" s="668">
        <f t="shared" si="59"/>
        <v>0</v>
      </c>
      <c r="CO20" s="668">
        <f t="shared" si="59"/>
        <v>0</v>
      </c>
      <c r="CP20" s="668">
        <f t="shared" si="59"/>
        <v>0</v>
      </c>
      <c r="CQ20" s="668">
        <f t="shared" si="59"/>
        <v>0</v>
      </c>
      <c r="CR20" s="668">
        <f t="shared" si="59"/>
        <v>0</v>
      </c>
      <c r="CS20" s="668">
        <f t="shared" si="59"/>
        <v>0</v>
      </c>
      <c r="CT20" s="668">
        <f t="shared" si="59"/>
        <v>0</v>
      </c>
      <c r="CU20" s="668">
        <f t="shared" si="59"/>
        <v>0</v>
      </c>
      <c r="CV20" s="668">
        <f t="shared" si="59"/>
        <v>0</v>
      </c>
      <c r="CW20" s="668">
        <f t="shared" si="21"/>
        <v>0</v>
      </c>
      <c r="CX20" s="668">
        <f t="shared" ref="CX20:DG20" si="60">BN20*$CL20</f>
        <v>38.4192</v>
      </c>
      <c r="CY20" s="668">
        <f t="shared" si="60"/>
        <v>28.8144</v>
      </c>
      <c r="CZ20" s="668">
        <f t="shared" si="60"/>
        <v>38.4192</v>
      </c>
      <c r="DA20" s="668">
        <f t="shared" si="60"/>
        <v>38.4192</v>
      </c>
      <c r="DB20" s="668">
        <f t="shared" si="60"/>
        <v>43.2216</v>
      </c>
      <c r="DC20" s="668">
        <f t="shared" si="60"/>
        <v>48.024</v>
      </c>
      <c r="DD20" s="668">
        <f t="shared" si="60"/>
        <v>0</v>
      </c>
      <c r="DE20" s="668">
        <f t="shared" si="60"/>
        <v>0</v>
      </c>
      <c r="DF20" s="668">
        <f t="shared" si="60"/>
        <v>0</v>
      </c>
      <c r="DG20" s="668">
        <f t="shared" si="60"/>
        <v>0</v>
      </c>
      <c r="DH20" s="668">
        <f t="shared" si="23"/>
        <v>235.3176</v>
      </c>
      <c r="DI20" s="668">
        <f t="shared" ref="DI20:DR20" si="61">BY20*$CL20</f>
        <v>0</v>
      </c>
      <c r="DJ20" s="668">
        <f t="shared" si="61"/>
        <v>0</v>
      </c>
      <c r="DK20" s="668">
        <f t="shared" si="61"/>
        <v>0</v>
      </c>
      <c r="DL20" s="668">
        <f t="shared" si="61"/>
        <v>38.4192</v>
      </c>
      <c r="DM20" s="668">
        <f t="shared" si="61"/>
        <v>43.2216</v>
      </c>
      <c r="DN20" s="668">
        <f t="shared" si="61"/>
        <v>48.024</v>
      </c>
      <c r="DO20" s="668">
        <f t="shared" si="61"/>
        <v>0</v>
      </c>
      <c r="DP20" s="668">
        <f t="shared" si="61"/>
        <v>0</v>
      </c>
      <c r="DQ20" s="668">
        <f t="shared" si="61"/>
        <v>0</v>
      </c>
      <c r="DR20" s="668">
        <f t="shared" si="61"/>
        <v>0</v>
      </c>
      <c r="DS20" s="668">
        <f t="shared" si="25"/>
        <v>129.6648</v>
      </c>
      <c r="DT20" s="668">
        <f t="shared" si="15"/>
        <v>364.9824</v>
      </c>
      <c r="DU20" s="538"/>
      <c r="DV20" s="468"/>
      <c r="DW20" s="698"/>
      <c r="DX20" s="698"/>
      <c r="DY20" s="698"/>
      <c r="DZ20" s="698"/>
      <c r="EA20" s="698"/>
      <c r="EB20" s="698"/>
      <c r="EC20" s="698"/>
      <c r="ED20" s="698"/>
      <c r="EE20" s="698"/>
      <c r="EF20" s="698"/>
      <c r="EG20" s="698"/>
      <c r="EH20" s="576" t="s">
        <v>3053</v>
      </c>
      <c r="EI20" s="716">
        <f>VLOOKUP(I20,CotizacionTDB,4,FALSE())</f>
        <v>0.69</v>
      </c>
      <c r="EJ20" s="716">
        <f>VLOOKUP(I20,CotizacionTDB,5,FALSE())</f>
        <v>0.59</v>
      </c>
      <c r="EK20" s="699"/>
    </row>
    <row r="21" ht="12.0" customHeight="1">
      <c r="A21" s="700" t="s">
        <v>3026</v>
      </c>
      <c r="B21" s="701">
        <v>2.0</v>
      </c>
      <c r="C21" s="562" t="s">
        <v>3032</v>
      </c>
      <c r="D21" s="571" t="s">
        <v>102</v>
      </c>
      <c r="E21" s="571" t="s">
        <v>2708</v>
      </c>
      <c r="F21" s="562" t="s">
        <v>1763</v>
      </c>
      <c r="G21" s="702" t="s">
        <v>2709</v>
      </c>
      <c r="H21" s="569" t="s">
        <v>2769</v>
      </c>
      <c r="I21" s="703" t="s">
        <v>2215</v>
      </c>
      <c r="J21" s="740" t="s">
        <v>812</v>
      </c>
      <c r="K21" s="562" t="s">
        <v>25</v>
      </c>
      <c r="L21" s="562"/>
      <c r="M21" s="562"/>
      <c r="N21" s="562"/>
      <c r="O21" s="562">
        <v>2024.0</v>
      </c>
      <c r="P21" s="562">
        <v>2024.0</v>
      </c>
      <c r="Q21" s="562">
        <v>2024.0</v>
      </c>
      <c r="R21" s="562"/>
      <c r="S21" s="562"/>
      <c r="T21" s="562"/>
      <c r="U21" s="562"/>
      <c r="V21" s="562"/>
      <c r="W21" s="562">
        <v>3.0</v>
      </c>
      <c r="X21" s="562"/>
      <c r="Y21" s="562"/>
      <c r="Z21" s="562">
        <v>3.0</v>
      </c>
      <c r="AA21" s="562">
        <v>3.0</v>
      </c>
      <c r="AB21" s="562">
        <v>3.0</v>
      </c>
      <c r="AC21" s="562"/>
      <c r="AD21" s="562"/>
      <c r="AE21" s="562"/>
      <c r="AF21" s="562"/>
      <c r="AG21" s="562"/>
      <c r="AH21" s="562"/>
      <c r="AI21" s="562"/>
      <c r="AJ21" s="562"/>
      <c r="AK21" s="562"/>
      <c r="AL21" s="562"/>
      <c r="AM21" s="562"/>
      <c r="AN21" s="562"/>
      <c r="AO21" s="562"/>
      <c r="AP21" s="562"/>
      <c r="AQ21" s="562"/>
      <c r="AR21" s="562">
        <v>0.0</v>
      </c>
      <c r="AS21" s="562">
        <v>0.0</v>
      </c>
      <c r="AT21" s="562">
        <v>0.0</v>
      </c>
      <c r="AU21" s="562">
        <v>-2024.0</v>
      </c>
      <c r="AV21" s="562">
        <v>-2024.0</v>
      </c>
      <c r="AW21" s="562">
        <v>-2024.0</v>
      </c>
      <c r="AX21" s="562">
        <v>0.0</v>
      </c>
      <c r="AY21" s="562">
        <v>0.0</v>
      </c>
      <c r="AZ21" s="562">
        <v>0.0</v>
      </c>
      <c r="BA21" s="562">
        <v>0.0</v>
      </c>
      <c r="BB21" s="562"/>
      <c r="BC21" s="562"/>
      <c r="BD21" s="562"/>
      <c r="BE21" s="562"/>
      <c r="BF21" s="562">
        <v>172.0</v>
      </c>
      <c r="BG21" s="562">
        <v>252.0</v>
      </c>
      <c r="BH21" s="562">
        <v>364.0</v>
      </c>
      <c r="BI21" s="701">
        <v>20.0</v>
      </c>
      <c r="BJ21" s="562"/>
      <c r="BK21" s="701">
        <v>10.0</v>
      </c>
      <c r="BL21" s="681"/>
      <c r="BM21" s="665">
        <f t="shared" si="1"/>
        <v>818</v>
      </c>
      <c r="BN21" s="682"/>
      <c r="BO21" s="683"/>
      <c r="BP21" s="683"/>
      <c r="BQ21" s="683"/>
      <c r="BR21" s="683"/>
      <c r="BS21" s="683"/>
      <c r="BT21" s="683"/>
      <c r="BU21" s="683"/>
      <c r="BV21" s="683"/>
      <c r="BW21" s="686"/>
      <c r="BX21" s="665">
        <f t="shared" si="2"/>
        <v>0</v>
      </c>
      <c r="BY21" s="682">
        <v>0.0</v>
      </c>
      <c r="BZ21" s="683">
        <v>0.0</v>
      </c>
      <c r="CA21" s="683">
        <v>0.0</v>
      </c>
      <c r="CB21" s="683">
        <v>0.0</v>
      </c>
      <c r="CC21" s="683">
        <v>0.0</v>
      </c>
      <c r="CD21" s="683">
        <v>0.0</v>
      </c>
      <c r="CE21" s="683">
        <v>0.0</v>
      </c>
      <c r="CF21" s="683">
        <v>0.0</v>
      </c>
      <c r="CG21" s="683">
        <v>0.0</v>
      </c>
      <c r="CH21" s="686">
        <v>0.0</v>
      </c>
      <c r="CI21" s="665">
        <f t="shared" si="3"/>
        <v>0</v>
      </c>
      <c r="CJ21" s="682">
        <f t="shared" si="4"/>
        <v>818</v>
      </c>
      <c r="CK21" s="706">
        <v>2.11</v>
      </c>
      <c r="CL21" s="683">
        <f t="shared" si="19"/>
        <v>14.6856</v>
      </c>
      <c r="CM21" s="683">
        <f t="shared" ref="CM21:CV21" si="62">BC21*$CL21</f>
        <v>0</v>
      </c>
      <c r="CN21" s="683">
        <f t="shared" si="62"/>
        <v>0</v>
      </c>
      <c r="CO21" s="683">
        <f t="shared" si="62"/>
        <v>0</v>
      </c>
      <c r="CP21" s="683">
        <f t="shared" si="62"/>
        <v>2525.9232</v>
      </c>
      <c r="CQ21" s="683">
        <f t="shared" si="62"/>
        <v>3700.7712</v>
      </c>
      <c r="CR21" s="683">
        <f t="shared" si="62"/>
        <v>5345.5584</v>
      </c>
      <c r="CS21" s="683">
        <f t="shared" si="62"/>
        <v>293.712</v>
      </c>
      <c r="CT21" s="683">
        <f t="shared" si="62"/>
        <v>0</v>
      </c>
      <c r="CU21" s="683">
        <f t="shared" si="62"/>
        <v>146.856</v>
      </c>
      <c r="CV21" s="683">
        <f t="shared" si="62"/>
        <v>0</v>
      </c>
      <c r="CW21" s="683">
        <f t="shared" si="21"/>
        <v>12012.8208</v>
      </c>
      <c r="CX21" s="683">
        <f t="shared" ref="CX21:DG21" si="63">BN21*$CL21</f>
        <v>0</v>
      </c>
      <c r="CY21" s="683">
        <f t="shared" si="63"/>
        <v>0</v>
      </c>
      <c r="CZ21" s="683">
        <f t="shared" si="63"/>
        <v>0</v>
      </c>
      <c r="DA21" s="683">
        <f t="shared" si="63"/>
        <v>0</v>
      </c>
      <c r="DB21" s="683">
        <f t="shared" si="63"/>
        <v>0</v>
      </c>
      <c r="DC21" s="683">
        <f t="shared" si="63"/>
        <v>0</v>
      </c>
      <c r="DD21" s="683">
        <f t="shared" si="63"/>
        <v>0</v>
      </c>
      <c r="DE21" s="683">
        <f t="shared" si="63"/>
        <v>0</v>
      </c>
      <c r="DF21" s="683">
        <f t="shared" si="63"/>
        <v>0</v>
      </c>
      <c r="DG21" s="683">
        <f t="shared" si="63"/>
        <v>0</v>
      </c>
      <c r="DH21" s="683">
        <f t="shared" si="23"/>
        <v>0</v>
      </c>
      <c r="DI21" s="683">
        <f t="shared" ref="DI21:DR21" si="64">BY21*$CL21</f>
        <v>0</v>
      </c>
      <c r="DJ21" s="683">
        <f t="shared" si="64"/>
        <v>0</v>
      </c>
      <c r="DK21" s="683">
        <f t="shared" si="64"/>
        <v>0</v>
      </c>
      <c r="DL21" s="683">
        <f t="shared" si="64"/>
        <v>0</v>
      </c>
      <c r="DM21" s="683">
        <f t="shared" si="64"/>
        <v>0</v>
      </c>
      <c r="DN21" s="683">
        <f t="shared" si="64"/>
        <v>0</v>
      </c>
      <c r="DO21" s="683">
        <f t="shared" si="64"/>
        <v>0</v>
      </c>
      <c r="DP21" s="683">
        <f t="shared" si="64"/>
        <v>0</v>
      </c>
      <c r="DQ21" s="683">
        <f t="shared" si="64"/>
        <v>0</v>
      </c>
      <c r="DR21" s="683">
        <f t="shared" si="64"/>
        <v>0</v>
      </c>
      <c r="DS21" s="683">
        <f t="shared" si="25"/>
        <v>0</v>
      </c>
      <c r="DT21" s="683">
        <f t="shared" si="15"/>
        <v>12012.8208</v>
      </c>
      <c r="DU21" s="504"/>
      <c r="DV21" s="486"/>
      <c r="DW21" s="688"/>
      <c r="DX21" s="688"/>
      <c r="DY21" s="688"/>
      <c r="DZ21" s="688"/>
      <c r="EA21" s="688"/>
      <c r="EB21" s="688"/>
      <c r="EC21" s="688"/>
      <c r="ED21" s="688"/>
      <c r="EE21" s="688"/>
      <c r="EF21" s="688"/>
      <c r="EG21" s="688"/>
      <c r="EH21" s="707" t="s">
        <v>3054</v>
      </c>
      <c r="EI21" s="708">
        <f>VLOOKUP(I21,CotizacionTDB,4,FALSE())</f>
        <v>2.11</v>
      </c>
      <c r="EJ21" s="708">
        <f>VLOOKUP(I21,CotizacionTDB,5,FALSE())</f>
        <v>1.79</v>
      </c>
      <c r="EK21" s="691"/>
    </row>
    <row r="22" ht="12.0" customHeight="1">
      <c r="A22" s="709" t="s">
        <v>3026</v>
      </c>
      <c r="B22" s="661">
        <v>2.0</v>
      </c>
      <c r="C22" s="567" t="s">
        <v>3032</v>
      </c>
      <c r="D22" s="568" t="s">
        <v>102</v>
      </c>
      <c r="E22" s="568" t="s">
        <v>2708</v>
      </c>
      <c r="F22" s="567" t="s">
        <v>1763</v>
      </c>
      <c r="G22" s="657" t="s">
        <v>2709</v>
      </c>
      <c r="H22" s="569" t="s">
        <v>3055</v>
      </c>
      <c r="I22" s="721" t="s">
        <v>1903</v>
      </c>
      <c r="J22" s="711" t="s">
        <v>3056</v>
      </c>
      <c r="K22" s="567" t="s">
        <v>25</v>
      </c>
      <c r="L22" s="567"/>
      <c r="M22" s="567"/>
      <c r="N22" s="567"/>
      <c r="O22" s="567">
        <v>2024.0</v>
      </c>
      <c r="P22" s="567">
        <v>2024.0</v>
      </c>
      <c r="Q22" s="567">
        <v>2024.0</v>
      </c>
      <c r="R22" s="567"/>
      <c r="S22" s="567"/>
      <c r="T22" s="567"/>
      <c r="U22" s="567"/>
      <c r="V22" s="567"/>
      <c r="W22" s="567">
        <v>3.0</v>
      </c>
      <c r="X22" s="567"/>
      <c r="Y22" s="567"/>
      <c r="Z22" s="567">
        <v>2.0</v>
      </c>
      <c r="AA22" s="567">
        <v>2.0</v>
      </c>
      <c r="AB22" s="567">
        <v>2.0</v>
      </c>
      <c r="AC22" s="567"/>
      <c r="AD22" s="567"/>
      <c r="AE22" s="567"/>
      <c r="AF22" s="567"/>
      <c r="AG22" s="567"/>
      <c r="AH22" s="567"/>
      <c r="AI22" s="567"/>
      <c r="AJ22" s="567"/>
      <c r="AK22" s="567"/>
      <c r="AL22" s="567"/>
      <c r="AM22" s="567"/>
      <c r="AN22" s="567"/>
      <c r="AO22" s="567"/>
      <c r="AP22" s="567"/>
      <c r="AQ22" s="567"/>
      <c r="AR22" s="567">
        <v>0.0</v>
      </c>
      <c r="AS22" s="567">
        <v>0.0</v>
      </c>
      <c r="AT22" s="567">
        <v>0.0</v>
      </c>
      <c r="AU22" s="567">
        <v>-2024.0</v>
      </c>
      <c r="AV22" s="567">
        <v>-2024.0</v>
      </c>
      <c r="AW22" s="567">
        <v>-2024.0</v>
      </c>
      <c r="AX22" s="567">
        <v>0.0</v>
      </c>
      <c r="AY22" s="567">
        <v>0.0</v>
      </c>
      <c r="AZ22" s="567">
        <v>0.0</v>
      </c>
      <c r="BA22" s="567">
        <v>0.0</v>
      </c>
      <c r="BB22" s="567"/>
      <c r="BC22" s="567"/>
      <c r="BD22" s="567"/>
      <c r="BE22" s="567"/>
      <c r="BF22" s="567">
        <v>38.0</v>
      </c>
      <c r="BG22" s="567">
        <v>56.0</v>
      </c>
      <c r="BH22" s="567">
        <v>80.0</v>
      </c>
      <c r="BI22" s="567"/>
      <c r="BJ22" s="567"/>
      <c r="BK22" s="567"/>
      <c r="BL22" s="741"/>
      <c r="BM22" s="665">
        <f t="shared" si="1"/>
        <v>174</v>
      </c>
      <c r="BN22" s="671"/>
      <c r="BO22" s="668"/>
      <c r="BP22" s="668"/>
      <c r="BQ22" s="668"/>
      <c r="BR22" s="668"/>
      <c r="BS22" s="668"/>
      <c r="BT22" s="668"/>
      <c r="BU22" s="668"/>
      <c r="BV22" s="668"/>
      <c r="BW22" s="720">
        <v>4.0</v>
      </c>
      <c r="BX22" s="665">
        <f t="shared" si="2"/>
        <v>4</v>
      </c>
      <c r="BY22" s="671">
        <v>0.0</v>
      </c>
      <c r="BZ22" s="668">
        <v>0.0</v>
      </c>
      <c r="CA22" s="668">
        <v>0.0</v>
      </c>
      <c r="CB22" s="668">
        <v>38.0</v>
      </c>
      <c r="CC22" s="668">
        <v>56.0</v>
      </c>
      <c r="CD22" s="668">
        <v>80.0</v>
      </c>
      <c r="CE22" s="668">
        <v>0.0</v>
      </c>
      <c r="CF22" s="668">
        <v>0.0</v>
      </c>
      <c r="CG22" s="668">
        <v>0.0</v>
      </c>
      <c r="CH22" s="670">
        <v>0.0</v>
      </c>
      <c r="CI22" s="665">
        <f t="shared" si="3"/>
        <v>174</v>
      </c>
      <c r="CJ22" s="671">
        <f t="shared" si="4"/>
        <v>352</v>
      </c>
      <c r="CK22" s="715">
        <v>1.15</v>
      </c>
      <c r="CL22" s="668">
        <f t="shared" si="19"/>
        <v>8.004</v>
      </c>
      <c r="CM22" s="668">
        <f t="shared" ref="CM22:CV22" si="65">BC22*$CL22</f>
        <v>0</v>
      </c>
      <c r="CN22" s="668">
        <f t="shared" si="65"/>
        <v>0</v>
      </c>
      <c r="CO22" s="668">
        <f t="shared" si="65"/>
        <v>0</v>
      </c>
      <c r="CP22" s="668">
        <f t="shared" si="65"/>
        <v>304.152</v>
      </c>
      <c r="CQ22" s="668">
        <f t="shared" si="65"/>
        <v>448.224</v>
      </c>
      <c r="CR22" s="668">
        <f t="shared" si="65"/>
        <v>640.32</v>
      </c>
      <c r="CS22" s="668">
        <f t="shared" si="65"/>
        <v>0</v>
      </c>
      <c r="CT22" s="668">
        <f t="shared" si="65"/>
        <v>0</v>
      </c>
      <c r="CU22" s="668">
        <f t="shared" si="65"/>
        <v>0</v>
      </c>
      <c r="CV22" s="668">
        <f t="shared" si="65"/>
        <v>0</v>
      </c>
      <c r="CW22" s="668">
        <f t="shared" si="21"/>
        <v>1392.696</v>
      </c>
      <c r="CX22" s="668">
        <f t="shared" ref="CX22:DG22" si="66">BN22*$CL22</f>
        <v>0</v>
      </c>
      <c r="CY22" s="668">
        <f t="shared" si="66"/>
        <v>0</v>
      </c>
      <c r="CZ22" s="668">
        <f t="shared" si="66"/>
        <v>0</v>
      </c>
      <c r="DA22" s="668">
        <f t="shared" si="66"/>
        <v>0</v>
      </c>
      <c r="DB22" s="668">
        <f t="shared" si="66"/>
        <v>0</v>
      </c>
      <c r="DC22" s="668">
        <f t="shared" si="66"/>
        <v>0</v>
      </c>
      <c r="DD22" s="668">
        <f t="shared" si="66"/>
        <v>0</v>
      </c>
      <c r="DE22" s="668">
        <f t="shared" si="66"/>
        <v>0</v>
      </c>
      <c r="DF22" s="668">
        <f t="shared" si="66"/>
        <v>0</v>
      </c>
      <c r="DG22" s="668">
        <f t="shared" si="66"/>
        <v>32.016</v>
      </c>
      <c r="DH22" s="668">
        <f t="shared" si="23"/>
        <v>32.016</v>
      </c>
      <c r="DI22" s="668">
        <f t="shared" ref="DI22:DR22" si="67">BY22*$CL22</f>
        <v>0</v>
      </c>
      <c r="DJ22" s="668">
        <f t="shared" si="67"/>
        <v>0</v>
      </c>
      <c r="DK22" s="668">
        <f t="shared" si="67"/>
        <v>0</v>
      </c>
      <c r="DL22" s="668">
        <f t="shared" si="67"/>
        <v>304.152</v>
      </c>
      <c r="DM22" s="668">
        <f t="shared" si="67"/>
        <v>448.224</v>
      </c>
      <c r="DN22" s="668">
        <f t="shared" si="67"/>
        <v>640.32</v>
      </c>
      <c r="DO22" s="668">
        <f t="shared" si="67"/>
        <v>0</v>
      </c>
      <c r="DP22" s="668">
        <f t="shared" si="67"/>
        <v>0</v>
      </c>
      <c r="DQ22" s="668">
        <f t="shared" si="67"/>
        <v>0</v>
      </c>
      <c r="DR22" s="668">
        <f t="shared" si="67"/>
        <v>0</v>
      </c>
      <c r="DS22" s="668">
        <f t="shared" si="25"/>
        <v>1392.696</v>
      </c>
      <c r="DT22" s="668">
        <f t="shared" si="15"/>
        <v>2817.408</v>
      </c>
      <c r="DU22" s="538"/>
      <c r="DV22" s="468"/>
      <c r="DW22" s="698"/>
      <c r="DX22" s="698"/>
      <c r="DY22" s="698"/>
      <c r="DZ22" s="698"/>
      <c r="EA22" s="698"/>
      <c r="EB22" s="698"/>
      <c r="EC22" s="698"/>
      <c r="ED22" s="698"/>
      <c r="EE22" s="698"/>
      <c r="EF22" s="698"/>
      <c r="EG22" s="698"/>
      <c r="EH22" s="576" t="s">
        <v>3057</v>
      </c>
      <c r="EI22" s="716">
        <f>VLOOKUP(I22,CotizacionTDB,4,FALSE())</f>
        <v>1.15</v>
      </c>
      <c r="EJ22" s="716">
        <f>VLOOKUP(I22,CotizacionTDB,5,FALSE())</f>
        <v>0.98</v>
      </c>
      <c r="EK22" s="699"/>
    </row>
    <row r="23" ht="12.0" customHeight="1">
      <c r="A23" s="700" t="s">
        <v>3026</v>
      </c>
      <c r="B23" s="701">
        <v>2.0</v>
      </c>
      <c r="C23" s="562" t="s">
        <v>3032</v>
      </c>
      <c r="D23" s="571" t="s">
        <v>102</v>
      </c>
      <c r="E23" s="571" t="s">
        <v>2708</v>
      </c>
      <c r="F23" s="562" t="s">
        <v>1763</v>
      </c>
      <c r="G23" s="702" t="s">
        <v>2709</v>
      </c>
      <c r="H23" s="569" t="s">
        <v>2721</v>
      </c>
      <c r="I23" s="703" t="s">
        <v>1911</v>
      </c>
      <c r="J23" s="704" t="s">
        <v>1605</v>
      </c>
      <c r="K23" s="562" t="s">
        <v>25</v>
      </c>
      <c r="L23" s="562"/>
      <c r="M23" s="562"/>
      <c r="N23" s="562"/>
      <c r="O23" s="562">
        <v>2024.0</v>
      </c>
      <c r="P23" s="562">
        <v>2024.0</v>
      </c>
      <c r="Q23" s="562">
        <v>2024.0</v>
      </c>
      <c r="R23" s="562"/>
      <c r="S23" s="562"/>
      <c r="T23" s="562"/>
      <c r="U23" s="562"/>
      <c r="V23" s="562"/>
      <c r="W23" s="562">
        <v>3.0</v>
      </c>
      <c r="X23" s="562"/>
      <c r="Y23" s="562"/>
      <c r="Z23" s="562">
        <v>3.0</v>
      </c>
      <c r="AA23" s="562">
        <v>3.0</v>
      </c>
      <c r="AB23" s="562">
        <v>3.0</v>
      </c>
      <c r="AC23" s="562"/>
      <c r="AD23" s="562"/>
      <c r="AE23" s="562"/>
      <c r="AF23" s="562"/>
      <c r="AG23" s="562"/>
      <c r="AH23" s="562"/>
      <c r="AI23" s="562"/>
      <c r="AJ23" s="562"/>
      <c r="AK23" s="562"/>
      <c r="AL23" s="562"/>
      <c r="AM23" s="562"/>
      <c r="AN23" s="562"/>
      <c r="AO23" s="562"/>
      <c r="AP23" s="562"/>
      <c r="AQ23" s="562"/>
      <c r="AR23" s="562">
        <v>0.0</v>
      </c>
      <c r="AS23" s="562">
        <v>0.0</v>
      </c>
      <c r="AT23" s="562">
        <v>0.0</v>
      </c>
      <c r="AU23" s="562">
        <v>-2024.0</v>
      </c>
      <c r="AV23" s="562">
        <v>-2024.0</v>
      </c>
      <c r="AW23" s="562">
        <v>-2024.0</v>
      </c>
      <c r="AX23" s="562">
        <v>0.0</v>
      </c>
      <c r="AY23" s="562">
        <v>0.0</v>
      </c>
      <c r="AZ23" s="562">
        <v>0.0</v>
      </c>
      <c r="BA23" s="562">
        <v>0.0</v>
      </c>
      <c r="BB23" s="562"/>
      <c r="BC23" s="562"/>
      <c r="BD23" s="562"/>
      <c r="BE23" s="562"/>
      <c r="BF23" s="562">
        <v>20.0</v>
      </c>
      <c r="BG23" s="562">
        <v>28.0</v>
      </c>
      <c r="BH23" s="562">
        <v>44.0</v>
      </c>
      <c r="BI23" s="562"/>
      <c r="BJ23" s="562"/>
      <c r="BK23" s="562"/>
      <c r="BL23" s="719"/>
      <c r="BM23" s="665">
        <f t="shared" si="1"/>
        <v>92</v>
      </c>
      <c r="BN23" s="682"/>
      <c r="BO23" s="683"/>
      <c r="BP23" s="683"/>
      <c r="BQ23" s="683"/>
      <c r="BR23" s="683"/>
      <c r="BS23" s="683"/>
      <c r="BT23" s="683"/>
      <c r="BU23" s="683"/>
      <c r="BV23" s="683"/>
      <c r="BW23" s="720">
        <v>10.0</v>
      </c>
      <c r="BX23" s="665">
        <f t="shared" si="2"/>
        <v>10</v>
      </c>
      <c r="BY23" s="682">
        <v>0.0</v>
      </c>
      <c r="BZ23" s="683">
        <v>0.0</v>
      </c>
      <c r="CA23" s="683">
        <v>0.0</v>
      </c>
      <c r="CB23" s="683">
        <v>0.0</v>
      </c>
      <c r="CC23" s="683">
        <v>0.0</v>
      </c>
      <c r="CD23" s="683">
        <v>0.0</v>
      </c>
      <c r="CE23" s="683">
        <v>0.0</v>
      </c>
      <c r="CF23" s="683">
        <v>0.0</v>
      </c>
      <c r="CG23" s="683">
        <v>0.0</v>
      </c>
      <c r="CH23" s="686">
        <v>0.0</v>
      </c>
      <c r="CI23" s="665">
        <f t="shared" si="3"/>
        <v>0</v>
      </c>
      <c r="CJ23" s="682">
        <f t="shared" si="4"/>
        <v>102</v>
      </c>
      <c r="CK23" s="706">
        <v>0.27</v>
      </c>
      <c r="CL23" s="683">
        <f t="shared" si="19"/>
        <v>1.8792</v>
      </c>
      <c r="CM23" s="683">
        <f t="shared" ref="CM23:CV23" si="68">BC23*$CL23</f>
        <v>0</v>
      </c>
      <c r="CN23" s="683">
        <f t="shared" si="68"/>
        <v>0</v>
      </c>
      <c r="CO23" s="683">
        <f t="shared" si="68"/>
        <v>0</v>
      </c>
      <c r="CP23" s="683">
        <f t="shared" si="68"/>
        <v>37.584</v>
      </c>
      <c r="CQ23" s="683">
        <f t="shared" si="68"/>
        <v>52.6176</v>
      </c>
      <c r="CR23" s="683">
        <f t="shared" si="68"/>
        <v>82.6848</v>
      </c>
      <c r="CS23" s="683">
        <f t="shared" si="68"/>
        <v>0</v>
      </c>
      <c r="CT23" s="683">
        <f t="shared" si="68"/>
        <v>0</v>
      </c>
      <c r="CU23" s="683">
        <f t="shared" si="68"/>
        <v>0</v>
      </c>
      <c r="CV23" s="683">
        <f t="shared" si="68"/>
        <v>0</v>
      </c>
      <c r="CW23" s="683">
        <f t="shared" si="21"/>
        <v>172.8864</v>
      </c>
      <c r="CX23" s="683">
        <f t="shared" ref="CX23:DG23" si="69">BN23*$CL23</f>
        <v>0</v>
      </c>
      <c r="CY23" s="683">
        <f t="shared" si="69"/>
        <v>0</v>
      </c>
      <c r="CZ23" s="683">
        <f t="shared" si="69"/>
        <v>0</v>
      </c>
      <c r="DA23" s="683">
        <f t="shared" si="69"/>
        <v>0</v>
      </c>
      <c r="DB23" s="683">
        <f t="shared" si="69"/>
        <v>0</v>
      </c>
      <c r="DC23" s="683">
        <f t="shared" si="69"/>
        <v>0</v>
      </c>
      <c r="DD23" s="683">
        <f t="shared" si="69"/>
        <v>0</v>
      </c>
      <c r="DE23" s="683">
        <f t="shared" si="69"/>
        <v>0</v>
      </c>
      <c r="DF23" s="683">
        <f t="shared" si="69"/>
        <v>0</v>
      </c>
      <c r="DG23" s="683">
        <f t="shared" si="69"/>
        <v>18.792</v>
      </c>
      <c r="DH23" s="683">
        <f t="shared" si="23"/>
        <v>18.792</v>
      </c>
      <c r="DI23" s="683">
        <f t="shared" ref="DI23:DR23" si="70">BY23*$CL23</f>
        <v>0</v>
      </c>
      <c r="DJ23" s="683">
        <f t="shared" si="70"/>
        <v>0</v>
      </c>
      <c r="DK23" s="683">
        <f t="shared" si="70"/>
        <v>0</v>
      </c>
      <c r="DL23" s="683">
        <f t="shared" si="70"/>
        <v>0</v>
      </c>
      <c r="DM23" s="683">
        <f t="shared" si="70"/>
        <v>0</v>
      </c>
      <c r="DN23" s="683">
        <f t="shared" si="70"/>
        <v>0</v>
      </c>
      <c r="DO23" s="683">
        <f t="shared" si="70"/>
        <v>0</v>
      </c>
      <c r="DP23" s="683">
        <f t="shared" si="70"/>
        <v>0</v>
      </c>
      <c r="DQ23" s="683">
        <f t="shared" si="70"/>
        <v>0</v>
      </c>
      <c r="DR23" s="683">
        <f t="shared" si="70"/>
        <v>0</v>
      </c>
      <c r="DS23" s="683">
        <f t="shared" si="25"/>
        <v>0</v>
      </c>
      <c r="DT23" s="683">
        <f t="shared" si="15"/>
        <v>191.6784</v>
      </c>
      <c r="DU23" s="504"/>
      <c r="DV23" s="486"/>
      <c r="DW23" s="688"/>
      <c r="DX23" s="688"/>
      <c r="DY23" s="688"/>
      <c r="DZ23" s="688"/>
      <c r="EA23" s="688"/>
      <c r="EB23" s="688"/>
      <c r="EC23" s="688"/>
      <c r="ED23" s="688"/>
      <c r="EE23" s="688"/>
      <c r="EF23" s="688"/>
      <c r="EG23" s="688"/>
      <c r="EH23" s="707" t="s">
        <v>3058</v>
      </c>
      <c r="EI23" s="708">
        <f>VLOOKUP(I23,CotizacionTDB,4,FALSE())</f>
        <v>0.27</v>
      </c>
      <c r="EJ23" s="708">
        <f>VLOOKUP(I23,CotizacionTDB,5,FALSE())</f>
        <v>0.23</v>
      </c>
      <c r="EK23" s="691"/>
    </row>
    <row r="24" ht="12.0" customHeight="1">
      <c r="A24" s="709" t="s">
        <v>3026</v>
      </c>
      <c r="B24" s="661">
        <v>2.0</v>
      </c>
      <c r="C24" s="567" t="s">
        <v>3027</v>
      </c>
      <c r="D24" s="742" t="s">
        <v>1807</v>
      </c>
      <c r="E24" s="568" t="s">
        <v>3059</v>
      </c>
      <c r="F24" s="567" t="s">
        <v>1763</v>
      </c>
      <c r="G24" s="569" t="s">
        <v>3060</v>
      </c>
      <c r="H24" s="569" t="s">
        <v>3061</v>
      </c>
      <c r="I24" s="721" t="s">
        <v>1970</v>
      </c>
      <c r="J24" s="711" t="s">
        <v>1198</v>
      </c>
      <c r="K24" s="567" t="s">
        <v>25</v>
      </c>
      <c r="L24" s="567"/>
      <c r="M24" s="567"/>
      <c r="N24" s="567">
        <v>2024.0</v>
      </c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>
        <v>6.0</v>
      </c>
      <c r="Z24" s="567"/>
      <c r="AA24" s="567"/>
      <c r="AB24" s="567"/>
      <c r="AC24" s="567"/>
      <c r="AD24" s="567"/>
      <c r="AE24" s="567"/>
      <c r="AF24" s="567"/>
      <c r="AG24" s="567"/>
      <c r="AH24" s="567"/>
      <c r="AI24" s="567"/>
      <c r="AJ24" s="567"/>
      <c r="AK24" s="567"/>
      <c r="AL24" s="567"/>
      <c r="AM24" s="567"/>
      <c r="AN24" s="567"/>
      <c r="AO24" s="567"/>
      <c r="AP24" s="567"/>
      <c r="AQ24" s="567"/>
      <c r="AR24" s="567">
        <v>0.0</v>
      </c>
      <c r="AS24" s="567">
        <v>0.0</v>
      </c>
      <c r="AT24" s="567">
        <v>-2024.0</v>
      </c>
      <c r="AU24" s="567">
        <v>0.0</v>
      </c>
      <c r="AV24" s="567">
        <v>0.0</v>
      </c>
      <c r="AW24" s="567">
        <v>0.0</v>
      </c>
      <c r="AX24" s="567">
        <v>0.0</v>
      </c>
      <c r="AY24" s="567">
        <v>0.0</v>
      </c>
      <c r="AZ24" s="567">
        <v>0.0</v>
      </c>
      <c r="BA24" s="567">
        <v>0.0</v>
      </c>
      <c r="BB24" s="567"/>
      <c r="BC24" s="567"/>
      <c r="BD24" s="567"/>
      <c r="BE24" s="567">
        <v>1.0</v>
      </c>
      <c r="BF24" s="567"/>
      <c r="BG24" s="567"/>
      <c r="BH24" s="567"/>
      <c r="BI24" s="567"/>
      <c r="BJ24" s="567"/>
      <c r="BK24" s="567"/>
      <c r="BL24" s="725"/>
      <c r="BM24" s="665">
        <f t="shared" si="1"/>
        <v>1</v>
      </c>
      <c r="BN24" s="671"/>
      <c r="BO24" s="668"/>
      <c r="BP24" s="668"/>
      <c r="BQ24" s="668"/>
      <c r="BR24" s="668"/>
      <c r="BS24" s="668"/>
      <c r="BT24" s="668"/>
      <c r="BU24" s="668"/>
      <c r="BV24" s="668"/>
      <c r="BW24" s="670"/>
      <c r="BX24" s="665">
        <f t="shared" si="2"/>
        <v>0</v>
      </c>
      <c r="BY24" s="671">
        <v>0.0</v>
      </c>
      <c r="BZ24" s="668">
        <v>0.0</v>
      </c>
      <c r="CA24" s="668">
        <v>0.0</v>
      </c>
      <c r="CB24" s="668">
        <v>0.0</v>
      </c>
      <c r="CC24" s="668">
        <v>0.0</v>
      </c>
      <c r="CD24" s="668">
        <v>0.0</v>
      </c>
      <c r="CE24" s="668">
        <v>0.0</v>
      </c>
      <c r="CF24" s="668">
        <v>0.0</v>
      </c>
      <c r="CG24" s="668">
        <v>0.0</v>
      </c>
      <c r="CH24" s="670">
        <v>0.0</v>
      </c>
      <c r="CI24" s="665">
        <f t="shared" si="3"/>
        <v>0</v>
      </c>
      <c r="CJ24" s="671">
        <f t="shared" si="4"/>
        <v>1</v>
      </c>
      <c r="CK24" s="715">
        <v>692.48</v>
      </c>
      <c r="CL24" s="668">
        <f t="shared" si="19"/>
        <v>4819.6608</v>
      </c>
      <c r="CM24" s="668">
        <f t="shared" ref="CM24:CV24" si="71">BC24*$CL24</f>
        <v>0</v>
      </c>
      <c r="CN24" s="668">
        <f t="shared" si="71"/>
        <v>0</v>
      </c>
      <c r="CO24" s="668">
        <f t="shared" si="71"/>
        <v>4819.6608</v>
      </c>
      <c r="CP24" s="668">
        <f t="shared" si="71"/>
        <v>0</v>
      </c>
      <c r="CQ24" s="668">
        <f t="shared" si="71"/>
        <v>0</v>
      </c>
      <c r="CR24" s="668">
        <f t="shared" si="71"/>
        <v>0</v>
      </c>
      <c r="CS24" s="668">
        <f t="shared" si="71"/>
        <v>0</v>
      </c>
      <c r="CT24" s="668">
        <f t="shared" si="71"/>
        <v>0</v>
      </c>
      <c r="CU24" s="668">
        <f t="shared" si="71"/>
        <v>0</v>
      </c>
      <c r="CV24" s="668">
        <f t="shared" si="71"/>
        <v>0</v>
      </c>
      <c r="CW24" s="668">
        <f t="shared" si="21"/>
        <v>4819.6608</v>
      </c>
      <c r="CX24" s="668">
        <f t="shared" ref="CX24:DG24" si="72">BN24*$CL24</f>
        <v>0</v>
      </c>
      <c r="CY24" s="668">
        <f t="shared" si="72"/>
        <v>0</v>
      </c>
      <c r="CZ24" s="668">
        <f t="shared" si="72"/>
        <v>0</v>
      </c>
      <c r="DA24" s="668">
        <f t="shared" si="72"/>
        <v>0</v>
      </c>
      <c r="DB24" s="668">
        <f t="shared" si="72"/>
        <v>0</v>
      </c>
      <c r="DC24" s="668">
        <f t="shared" si="72"/>
        <v>0</v>
      </c>
      <c r="DD24" s="668">
        <f t="shared" si="72"/>
        <v>0</v>
      </c>
      <c r="DE24" s="668">
        <f t="shared" si="72"/>
        <v>0</v>
      </c>
      <c r="DF24" s="668">
        <f t="shared" si="72"/>
        <v>0</v>
      </c>
      <c r="DG24" s="668">
        <f t="shared" si="72"/>
        <v>0</v>
      </c>
      <c r="DH24" s="668">
        <f t="shared" si="23"/>
        <v>0</v>
      </c>
      <c r="DI24" s="668">
        <f t="shared" ref="DI24:DR24" si="73">BY24*$CL24</f>
        <v>0</v>
      </c>
      <c r="DJ24" s="668">
        <f t="shared" si="73"/>
        <v>0</v>
      </c>
      <c r="DK24" s="668">
        <f t="shared" si="73"/>
        <v>0</v>
      </c>
      <c r="DL24" s="668">
        <f t="shared" si="73"/>
        <v>0</v>
      </c>
      <c r="DM24" s="668">
        <f t="shared" si="73"/>
        <v>0</v>
      </c>
      <c r="DN24" s="668">
        <f t="shared" si="73"/>
        <v>0</v>
      </c>
      <c r="DO24" s="668">
        <f t="shared" si="73"/>
        <v>0</v>
      </c>
      <c r="DP24" s="668">
        <f t="shared" si="73"/>
        <v>0</v>
      </c>
      <c r="DQ24" s="668">
        <f t="shared" si="73"/>
        <v>0</v>
      </c>
      <c r="DR24" s="668">
        <f t="shared" si="73"/>
        <v>0</v>
      </c>
      <c r="DS24" s="668">
        <f t="shared" si="25"/>
        <v>0</v>
      </c>
      <c r="DT24" s="668">
        <f t="shared" si="15"/>
        <v>4819.6608</v>
      </c>
      <c r="DU24" s="538"/>
      <c r="DV24" s="468"/>
      <c r="DW24" s="698"/>
      <c r="DX24" s="698"/>
      <c r="DY24" s="698"/>
      <c r="DZ24" s="698"/>
      <c r="EA24" s="698"/>
      <c r="EB24" s="698"/>
      <c r="EC24" s="698"/>
      <c r="ED24" s="698"/>
      <c r="EE24" s="698"/>
      <c r="EF24" s="698"/>
      <c r="EG24" s="698"/>
      <c r="EH24" s="576" t="s">
        <v>3062</v>
      </c>
      <c r="EI24" s="716">
        <f>VLOOKUP(I24,CotizacionTDB,4,FALSE())</f>
        <v>692.48</v>
      </c>
      <c r="EJ24" s="716">
        <f>VLOOKUP(I24,CotizacionTDB,5,FALSE())</f>
        <v>588.61</v>
      </c>
      <c r="EK24" s="699"/>
    </row>
    <row r="25" ht="12.0" customHeight="1">
      <c r="A25" s="700" t="s">
        <v>3026</v>
      </c>
      <c r="B25" s="701">
        <v>2.0</v>
      </c>
      <c r="C25" s="562" t="s">
        <v>3027</v>
      </c>
      <c r="D25" s="743" t="s">
        <v>449</v>
      </c>
      <c r="E25" s="571" t="s">
        <v>2708</v>
      </c>
      <c r="F25" s="562" t="s">
        <v>1763</v>
      </c>
      <c r="G25" s="569" t="s">
        <v>2709</v>
      </c>
      <c r="H25" s="569" t="s">
        <v>2866</v>
      </c>
      <c r="I25" s="703" t="s">
        <v>2257</v>
      </c>
      <c r="J25" s="704" t="s">
        <v>1013</v>
      </c>
      <c r="K25" s="562" t="s">
        <v>25</v>
      </c>
      <c r="L25" s="562">
        <v>2024.0</v>
      </c>
      <c r="M25" s="562">
        <v>2024.0</v>
      </c>
      <c r="N25" s="562">
        <v>2024.0</v>
      </c>
      <c r="O25" s="562">
        <v>2024.0</v>
      </c>
      <c r="P25" s="562">
        <v>2024.0</v>
      </c>
      <c r="Q25" s="562">
        <v>2024.0</v>
      </c>
      <c r="R25" s="562">
        <v>2024.0</v>
      </c>
      <c r="S25" s="562">
        <v>2024.0</v>
      </c>
      <c r="T25" s="562">
        <v>2024.0</v>
      </c>
      <c r="U25" s="562">
        <v>2024.0</v>
      </c>
      <c r="V25" s="562"/>
      <c r="W25" s="562">
        <v>2.0</v>
      </c>
      <c r="X25" s="562">
        <v>2.0</v>
      </c>
      <c r="Y25" s="562">
        <v>2.0</v>
      </c>
      <c r="Z25" s="562">
        <v>2.0</v>
      </c>
      <c r="AA25" s="562">
        <v>2.0</v>
      </c>
      <c r="AB25" s="562">
        <v>2.0</v>
      </c>
      <c r="AC25" s="562">
        <v>2.0</v>
      </c>
      <c r="AD25" s="562">
        <v>2.0</v>
      </c>
      <c r="AE25" s="562">
        <v>2.0</v>
      </c>
      <c r="AF25" s="562">
        <v>2.0</v>
      </c>
      <c r="AG25" s="562"/>
      <c r="AH25" s="562"/>
      <c r="AI25" s="562"/>
      <c r="AJ25" s="562"/>
      <c r="AK25" s="562"/>
      <c r="AL25" s="562"/>
      <c r="AM25" s="562"/>
      <c r="AN25" s="562"/>
      <c r="AO25" s="562"/>
      <c r="AP25" s="562"/>
      <c r="AQ25" s="562"/>
      <c r="AR25" s="562">
        <v>-2024.0</v>
      </c>
      <c r="AS25" s="562">
        <v>-2024.0</v>
      </c>
      <c r="AT25" s="562">
        <v>-2024.0</v>
      </c>
      <c r="AU25" s="562">
        <v>-2024.0</v>
      </c>
      <c r="AV25" s="562">
        <v>-2024.0</v>
      </c>
      <c r="AW25" s="562">
        <v>-2024.0</v>
      </c>
      <c r="AX25" s="562">
        <v>-2024.0</v>
      </c>
      <c r="AY25" s="562">
        <v>-2024.0</v>
      </c>
      <c r="AZ25" s="562">
        <v>-2024.0</v>
      </c>
      <c r="BA25" s="562">
        <v>-2024.0</v>
      </c>
      <c r="BB25" s="562"/>
      <c r="BC25" s="562">
        <v>2.0</v>
      </c>
      <c r="BD25" s="562">
        <v>2.0</v>
      </c>
      <c r="BE25" s="562">
        <v>2.0</v>
      </c>
      <c r="BF25" s="562">
        <v>2.0</v>
      </c>
      <c r="BG25" s="562">
        <v>4.0</v>
      </c>
      <c r="BH25" s="562">
        <v>2.0</v>
      </c>
      <c r="BI25" s="562">
        <v>2.0</v>
      </c>
      <c r="BJ25" s="562">
        <v>2.0</v>
      </c>
      <c r="BK25" s="562">
        <v>1.0</v>
      </c>
      <c r="BL25" s="681">
        <v>2.0</v>
      </c>
      <c r="BM25" s="665">
        <f t="shared" si="1"/>
        <v>21</v>
      </c>
      <c r="BN25" s="682"/>
      <c r="BO25" s="683"/>
      <c r="BP25" s="683"/>
      <c r="BQ25" s="683"/>
      <c r="BR25" s="683"/>
      <c r="BS25" s="683"/>
      <c r="BT25" s="744">
        <v>2.0</v>
      </c>
      <c r="BU25" s="683"/>
      <c r="BV25" s="744">
        <v>1.0</v>
      </c>
      <c r="BW25" s="686"/>
      <c r="BX25" s="665">
        <f t="shared" si="2"/>
        <v>3</v>
      </c>
      <c r="BY25" s="682">
        <v>2.0</v>
      </c>
      <c r="BZ25" s="683">
        <v>2.0</v>
      </c>
      <c r="CA25" s="683">
        <v>2.0</v>
      </c>
      <c r="CB25" s="683">
        <v>2.0</v>
      </c>
      <c r="CC25" s="683">
        <v>4.0</v>
      </c>
      <c r="CD25" s="683">
        <v>2.0</v>
      </c>
      <c r="CE25" s="730">
        <v>0.0</v>
      </c>
      <c r="CF25" s="683">
        <v>2.0</v>
      </c>
      <c r="CG25" s="730">
        <v>0.0</v>
      </c>
      <c r="CH25" s="686">
        <v>2.0</v>
      </c>
      <c r="CI25" s="665">
        <f t="shared" si="3"/>
        <v>18</v>
      </c>
      <c r="CJ25" s="682">
        <f t="shared" si="4"/>
        <v>42</v>
      </c>
      <c r="CK25" s="706">
        <v>35.57</v>
      </c>
      <c r="CL25" s="683">
        <f t="shared" si="19"/>
        <v>247.5672</v>
      </c>
      <c r="CM25" s="683">
        <f t="shared" ref="CM25:CV25" si="74">BC25*$CL25</f>
        <v>495.1344</v>
      </c>
      <c r="CN25" s="683">
        <f t="shared" si="74"/>
        <v>495.1344</v>
      </c>
      <c r="CO25" s="683">
        <f t="shared" si="74"/>
        <v>495.1344</v>
      </c>
      <c r="CP25" s="683">
        <f t="shared" si="74"/>
        <v>495.1344</v>
      </c>
      <c r="CQ25" s="683">
        <f t="shared" si="74"/>
        <v>990.2688</v>
      </c>
      <c r="CR25" s="683">
        <f t="shared" si="74"/>
        <v>495.1344</v>
      </c>
      <c r="CS25" s="683">
        <f t="shared" si="74"/>
        <v>495.1344</v>
      </c>
      <c r="CT25" s="683">
        <f t="shared" si="74"/>
        <v>495.1344</v>
      </c>
      <c r="CU25" s="683">
        <f t="shared" si="74"/>
        <v>247.5672</v>
      </c>
      <c r="CV25" s="683">
        <f t="shared" si="74"/>
        <v>495.1344</v>
      </c>
      <c r="CW25" s="683">
        <f t="shared" si="21"/>
        <v>5198.9112</v>
      </c>
      <c r="CX25" s="683">
        <f t="shared" ref="CX25:DG25" si="75">BN25*$CL25</f>
        <v>0</v>
      </c>
      <c r="CY25" s="683">
        <f t="shared" si="75"/>
        <v>0</v>
      </c>
      <c r="CZ25" s="683">
        <f t="shared" si="75"/>
        <v>0</v>
      </c>
      <c r="DA25" s="683">
        <f t="shared" si="75"/>
        <v>0</v>
      </c>
      <c r="DB25" s="683">
        <f t="shared" si="75"/>
        <v>0</v>
      </c>
      <c r="DC25" s="683">
        <f t="shared" si="75"/>
        <v>0</v>
      </c>
      <c r="DD25" s="683">
        <f t="shared" si="75"/>
        <v>495.1344</v>
      </c>
      <c r="DE25" s="683">
        <f t="shared" si="75"/>
        <v>0</v>
      </c>
      <c r="DF25" s="683">
        <f t="shared" si="75"/>
        <v>247.5672</v>
      </c>
      <c r="DG25" s="683">
        <f t="shared" si="75"/>
        <v>0</v>
      </c>
      <c r="DH25" s="683">
        <f t="shared" si="23"/>
        <v>742.7016</v>
      </c>
      <c r="DI25" s="683">
        <f t="shared" ref="DI25:DR25" si="76">BY25*$CL25</f>
        <v>495.1344</v>
      </c>
      <c r="DJ25" s="683">
        <f t="shared" si="76"/>
        <v>495.1344</v>
      </c>
      <c r="DK25" s="683">
        <f t="shared" si="76"/>
        <v>495.1344</v>
      </c>
      <c r="DL25" s="683">
        <f t="shared" si="76"/>
        <v>495.1344</v>
      </c>
      <c r="DM25" s="683">
        <f t="shared" si="76"/>
        <v>990.2688</v>
      </c>
      <c r="DN25" s="683">
        <f t="shared" si="76"/>
        <v>495.1344</v>
      </c>
      <c r="DO25" s="683">
        <f t="shared" si="76"/>
        <v>0</v>
      </c>
      <c r="DP25" s="683">
        <f t="shared" si="76"/>
        <v>495.1344</v>
      </c>
      <c r="DQ25" s="683">
        <f t="shared" si="76"/>
        <v>0</v>
      </c>
      <c r="DR25" s="683">
        <f t="shared" si="76"/>
        <v>495.1344</v>
      </c>
      <c r="DS25" s="683">
        <f t="shared" si="25"/>
        <v>4456.2096</v>
      </c>
      <c r="DT25" s="683">
        <f t="shared" si="15"/>
        <v>10397.8224</v>
      </c>
      <c r="DU25" s="504"/>
      <c r="DV25" s="486"/>
      <c r="DW25" s="688"/>
      <c r="DX25" s="688"/>
      <c r="DY25" s="688"/>
      <c r="DZ25" s="688"/>
      <c r="EA25" s="688"/>
      <c r="EB25" s="688"/>
      <c r="EC25" s="688"/>
      <c r="ED25" s="688"/>
      <c r="EE25" s="688"/>
      <c r="EF25" s="688"/>
      <c r="EG25" s="688"/>
      <c r="EH25" s="707" t="s">
        <v>1013</v>
      </c>
      <c r="EI25" s="708">
        <f>VLOOKUP(I25,CotizacionTDB,4,FALSE())</f>
        <v>35.57</v>
      </c>
      <c r="EJ25" s="708">
        <f>VLOOKUP(I25,CotizacionTDB,5,FALSE())</f>
        <v>30.23</v>
      </c>
      <c r="EK25" s="691"/>
    </row>
    <row r="26" ht="12.0" customHeight="1">
      <c r="A26" s="709" t="s">
        <v>3026</v>
      </c>
      <c r="B26" s="661">
        <v>2.0</v>
      </c>
      <c r="C26" s="567" t="s">
        <v>3027</v>
      </c>
      <c r="D26" s="742" t="s">
        <v>449</v>
      </c>
      <c r="E26" s="568" t="s">
        <v>2708</v>
      </c>
      <c r="F26" s="567" t="s">
        <v>1763</v>
      </c>
      <c r="G26" s="569" t="s">
        <v>2709</v>
      </c>
      <c r="H26" s="658"/>
      <c r="I26" s="721" t="s">
        <v>2461</v>
      </c>
      <c r="J26" s="711" t="s">
        <v>3063</v>
      </c>
      <c r="K26" s="567" t="s">
        <v>25</v>
      </c>
      <c r="L26" s="567">
        <v>2024.0</v>
      </c>
      <c r="M26" s="567">
        <v>2024.0</v>
      </c>
      <c r="N26" s="567">
        <v>2024.0</v>
      </c>
      <c r="O26" s="567">
        <v>2024.0</v>
      </c>
      <c r="P26" s="567">
        <v>2024.0</v>
      </c>
      <c r="Q26" s="567">
        <v>2024.0</v>
      </c>
      <c r="R26" s="567"/>
      <c r="S26" s="567"/>
      <c r="T26" s="567"/>
      <c r="U26" s="567"/>
      <c r="V26" s="567"/>
      <c r="W26" s="567">
        <v>3.0</v>
      </c>
      <c r="X26" s="567">
        <v>3.0</v>
      </c>
      <c r="Y26" s="567">
        <v>3.0</v>
      </c>
      <c r="Z26" s="567">
        <v>2.0</v>
      </c>
      <c r="AA26" s="567">
        <v>2.0</v>
      </c>
      <c r="AB26" s="567">
        <v>2.0</v>
      </c>
      <c r="AC26" s="567"/>
      <c r="AD26" s="567"/>
      <c r="AE26" s="567"/>
      <c r="AF26" s="567"/>
      <c r="AG26" s="567"/>
      <c r="AH26" s="567"/>
      <c r="AI26" s="567"/>
      <c r="AJ26" s="567"/>
      <c r="AK26" s="567"/>
      <c r="AL26" s="567"/>
      <c r="AM26" s="567"/>
      <c r="AN26" s="567"/>
      <c r="AO26" s="567"/>
      <c r="AP26" s="567"/>
      <c r="AQ26" s="567"/>
      <c r="AR26" s="567">
        <v>-2024.0</v>
      </c>
      <c r="AS26" s="567">
        <v>-2024.0</v>
      </c>
      <c r="AT26" s="567">
        <v>-2024.0</v>
      </c>
      <c r="AU26" s="567">
        <v>-2024.0</v>
      </c>
      <c r="AV26" s="567">
        <v>-2024.0</v>
      </c>
      <c r="AW26" s="567">
        <v>-2024.0</v>
      </c>
      <c r="AX26" s="567">
        <v>0.0</v>
      </c>
      <c r="AY26" s="567">
        <v>0.0</v>
      </c>
      <c r="AZ26" s="567">
        <v>0.0</v>
      </c>
      <c r="BA26" s="567">
        <v>0.0</v>
      </c>
      <c r="BB26" s="567"/>
      <c r="BC26" s="567">
        <v>1.0</v>
      </c>
      <c r="BD26" s="567">
        <v>1.0</v>
      </c>
      <c r="BE26" s="567">
        <v>1.0</v>
      </c>
      <c r="BF26" s="567">
        <v>1.0</v>
      </c>
      <c r="BG26" s="567">
        <v>1.0</v>
      </c>
      <c r="BH26" s="567">
        <v>1.0</v>
      </c>
      <c r="BI26" s="567"/>
      <c r="BJ26" s="567"/>
      <c r="BK26" s="567"/>
      <c r="BL26" s="725"/>
      <c r="BM26" s="665">
        <f t="shared" si="1"/>
        <v>6</v>
      </c>
      <c r="BN26" s="671"/>
      <c r="BO26" s="668"/>
      <c r="BP26" s="668"/>
      <c r="BQ26" s="668"/>
      <c r="BR26" s="668"/>
      <c r="BS26" s="668"/>
      <c r="BT26" s="668"/>
      <c r="BU26" s="668"/>
      <c r="BV26" s="668"/>
      <c r="BW26" s="670"/>
      <c r="BX26" s="665">
        <f t="shared" si="2"/>
        <v>0</v>
      </c>
      <c r="BY26" s="671">
        <v>0.0</v>
      </c>
      <c r="BZ26" s="668">
        <v>0.0</v>
      </c>
      <c r="CA26" s="668">
        <v>0.0</v>
      </c>
      <c r="CB26" s="668">
        <v>1.0</v>
      </c>
      <c r="CC26" s="668">
        <v>1.0</v>
      </c>
      <c r="CD26" s="668">
        <v>1.0</v>
      </c>
      <c r="CE26" s="668">
        <v>0.0</v>
      </c>
      <c r="CF26" s="668">
        <v>0.0</v>
      </c>
      <c r="CG26" s="668">
        <v>0.0</v>
      </c>
      <c r="CH26" s="670">
        <v>0.0</v>
      </c>
      <c r="CI26" s="665">
        <f t="shared" si="3"/>
        <v>3</v>
      </c>
      <c r="CJ26" s="671">
        <f t="shared" si="4"/>
        <v>9</v>
      </c>
      <c r="CK26" s="715">
        <v>34.19</v>
      </c>
      <c r="CL26" s="668">
        <f t="shared" si="19"/>
        <v>237.9624</v>
      </c>
      <c r="CM26" s="668">
        <f t="shared" ref="CM26:CV26" si="77">BC26*$CL26</f>
        <v>237.9624</v>
      </c>
      <c r="CN26" s="668">
        <f t="shared" si="77"/>
        <v>237.9624</v>
      </c>
      <c r="CO26" s="668">
        <f t="shared" si="77"/>
        <v>237.9624</v>
      </c>
      <c r="CP26" s="668">
        <f t="shared" si="77"/>
        <v>237.9624</v>
      </c>
      <c r="CQ26" s="668">
        <f t="shared" si="77"/>
        <v>237.9624</v>
      </c>
      <c r="CR26" s="668">
        <f t="shared" si="77"/>
        <v>237.9624</v>
      </c>
      <c r="CS26" s="668">
        <f t="shared" si="77"/>
        <v>0</v>
      </c>
      <c r="CT26" s="668">
        <f t="shared" si="77"/>
        <v>0</v>
      </c>
      <c r="CU26" s="668">
        <f t="shared" si="77"/>
        <v>0</v>
      </c>
      <c r="CV26" s="668">
        <f t="shared" si="77"/>
        <v>0</v>
      </c>
      <c r="CW26" s="668">
        <f t="shared" si="21"/>
        <v>1427.7744</v>
      </c>
      <c r="CX26" s="668">
        <f t="shared" ref="CX26:DG26" si="78">BN26*$CL26</f>
        <v>0</v>
      </c>
      <c r="CY26" s="668">
        <f t="shared" si="78"/>
        <v>0</v>
      </c>
      <c r="CZ26" s="668">
        <f t="shared" si="78"/>
        <v>0</v>
      </c>
      <c r="DA26" s="668">
        <f t="shared" si="78"/>
        <v>0</v>
      </c>
      <c r="DB26" s="668">
        <f t="shared" si="78"/>
        <v>0</v>
      </c>
      <c r="DC26" s="668">
        <f t="shared" si="78"/>
        <v>0</v>
      </c>
      <c r="DD26" s="668">
        <f t="shared" si="78"/>
        <v>0</v>
      </c>
      <c r="DE26" s="668">
        <f t="shared" si="78"/>
        <v>0</v>
      </c>
      <c r="DF26" s="668">
        <f t="shared" si="78"/>
        <v>0</v>
      </c>
      <c r="DG26" s="668">
        <f t="shared" si="78"/>
        <v>0</v>
      </c>
      <c r="DH26" s="668">
        <f t="shared" si="23"/>
        <v>0</v>
      </c>
      <c r="DI26" s="668">
        <f t="shared" ref="DI26:DR26" si="79">BY26*$CL26</f>
        <v>0</v>
      </c>
      <c r="DJ26" s="668">
        <f t="shared" si="79"/>
        <v>0</v>
      </c>
      <c r="DK26" s="668">
        <f t="shared" si="79"/>
        <v>0</v>
      </c>
      <c r="DL26" s="668">
        <f t="shared" si="79"/>
        <v>237.9624</v>
      </c>
      <c r="DM26" s="668">
        <f t="shared" si="79"/>
        <v>237.9624</v>
      </c>
      <c r="DN26" s="668">
        <f t="shared" si="79"/>
        <v>237.9624</v>
      </c>
      <c r="DO26" s="668">
        <f t="shared" si="79"/>
        <v>0</v>
      </c>
      <c r="DP26" s="668">
        <f t="shared" si="79"/>
        <v>0</v>
      </c>
      <c r="DQ26" s="668">
        <f t="shared" si="79"/>
        <v>0</v>
      </c>
      <c r="DR26" s="668">
        <f t="shared" si="79"/>
        <v>0</v>
      </c>
      <c r="DS26" s="668">
        <f t="shared" si="25"/>
        <v>713.8872</v>
      </c>
      <c r="DT26" s="668">
        <f t="shared" si="15"/>
        <v>2141.6616</v>
      </c>
      <c r="DU26" s="538"/>
      <c r="DV26" s="468"/>
      <c r="DW26" s="698"/>
      <c r="DX26" s="698"/>
      <c r="DY26" s="698"/>
      <c r="DZ26" s="698"/>
      <c r="EA26" s="698"/>
      <c r="EB26" s="698"/>
      <c r="EC26" s="698"/>
      <c r="ED26" s="698"/>
      <c r="EE26" s="698"/>
      <c r="EF26" s="698"/>
      <c r="EG26" s="698"/>
      <c r="EH26" s="576" t="s">
        <v>3064</v>
      </c>
      <c r="EI26" s="716">
        <f>VLOOKUP(I26,CotizacionTDB,4,FALSE())</f>
        <v>34.19</v>
      </c>
      <c r="EJ26" s="716">
        <f>VLOOKUP(I26,CotizacionTDB,5,FALSE())</f>
        <v>29.06</v>
      </c>
      <c r="EK26" s="699"/>
    </row>
    <row r="27" ht="12.0" customHeight="1">
      <c r="A27" s="700" t="s">
        <v>3026</v>
      </c>
      <c r="B27" s="701">
        <v>2.0</v>
      </c>
      <c r="C27" s="562" t="s">
        <v>3027</v>
      </c>
      <c r="D27" s="743" t="s">
        <v>449</v>
      </c>
      <c r="E27" s="571" t="s">
        <v>2708</v>
      </c>
      <c r="F27" s="562" t="s">
        <v>1763</v>
      </c>
      <c r="G27" s="569" t="s">
        <v>2709</v>
      </c>
      <c r="H27" s="737"/>
      <c r="I27" s="703" t="s">
        <v>2253</v>
      </c>
      <c r="J27" s="704" t="s">
        <v>1338</v>
      </c>
      <c r="K27" s="562" t="s">
        <v>25</v>
      </c>
      <c r="L27" s="562">
        <v>2025.0</v>
      </c>
      <c r="M27" s="562"/>
      <c r="N27" s="562">
        <v>2024.0</v>
      </c>
      <c r="O27" s="562">
        <v>2024.0</v>
      </c>
      <c r="P27" s="562">
        <v>2024.0</v>
      </c>
      <c r="Q27" s="562">
        <v>2024.0</v>
      </c>
      <c r="R27" s="562"/>
      <c r="S27" s="562"/>
      <c r="T27" s="562"/>
      <c r="U27" s="562"/>
      <c r="V27" s="562"/>
      <c r="W27" s="562">
        <v>3.0</v>
      </c>
      <c r="X27" s="562"/>
      <c r="Y27" s="562">
        <v>3.0</v>
      </c>
      <c r="Z27" s="562">
        <v>2.0</v>
      </c>
      <c r="AA27" s="562">
        <v>2.0</v>
      </c>
      <c r="AB27" s="562">
        <v>2.0</v>
      </c>
      <c r="AC27" s="562"/>
      <c r="AD27" s="562"/>
      <c r="AE27" s="562"/>
      <c r="AF27" s="562"/>
      <c r="AG27" s="562"/>
      <c r="AH27" s="562"/>
      <c r="AI27" s="562"/>
      <c r="AJ27" s="562"/>
      <c r="AK27" s="562"/>
      <c r="AL27" s="562"/>
      <c r="AM27" s="562"/>
      <c r="AN27" s="562"/>
      <c r="AO27" s="562"/>
      <c r="AP27" s="562"/>
      <c r="AQ27" s="562"/>
      <c r="AR27" s="562">
        <v>-2025.0</v>
      </c>
      <c r="AS27" s="562">
        <v>0.0</v>
      </c>
      <c r="AT27" s="562">
        <v>-2024.0</v>
      </c>
      <c r="AU27" s="562">
        <v>-2024.0</v>
      </c>
      <c r="AV27" s="562">
        <v>-2024.0</v>
      </c>
      <c r="AW27" s="562">
        <v>-2024.0</v>
      </c>
      <c r="AX27" s="562">
        <v>0.0</v>
      </c>
      <c r="AY27" s="562">
        <v>0.0</v>
      </c>
      <c r="AZ27" s="562">
        <v>0.0</v>
      </c>
      <c r="BA27" s="562">
        <v>0.0</v>
      </c>
      <c r="BB27" s="562"/>
      <c r="BC27" s="562"/>
      <c r="BD27" s="562"/>
      <c r="BE27" s="562">
        <v>2.0</v>
      </c>
      <c r="BF27" s="562">
        <v>2.0</v>
      </c>
      <c r="BG27" s="562">
        <v>1.0</v>
      </c>
      <c r="BH27" s="562">
        <v>1.0</v>
      </c>
      <c r="BI27" s="562"/>
      <c r="BJ27" s="562"/>
      <c r="BK27" s="562"/>
      <c r="BL27" s="681"/>
      <c r="BM27" s="665">
        <f t="shared" si="1"/>
        <v>6</v>
      </c>
      <c r="BN27" s="682">
        <v>2.0</v>
      </c>
      <c r="BO27" s="683"/>
      <c r="BP27" s="683"/>
      <c r="BQ27" s="683"/>
      <c r="BR27" s="683"/>
      <c r="BS27" s="683"/>
      <c r="BT27" s="683"/>
      <c r="BU27" s="683"/>
      <c r="BV27" s="683"/>
      <c r="BW27" s="686"/>
      <c r="BX27" s="665">
        <f t="shared" si="2"/>
        <v>2</v>
      </c>
      <c r="BY27" s="682">
        <v>0.0</v>
      </c>
      <c r="BZ27" s="683">
        <v>0.0</v>
      </c>
      <c r="CA27" s="683">
        <v>0.0</v>
      </c>
      <c r="CB27" s="683">
        <v>2.0</v>
      </c>
      <c r="CC27" s="683">
        <v>1.0</v>
      </c>
      <c r="CD27" s="683">
        <v>1.0</v>
      </c>
      <c r="CE27" s="683">
        <v>0.0</v>
      </c>
      <c r="CF27" s="683">
        <v>0.0</v>
      </c>
      <c r="CG27" s="683">
        <v>0.0</v>
      </c>
      <c r="CH27" s="686">
        <v>0.0</v>
      </c>
      <c r="CI27" s="665">
        <f t="shared" si="3"/>
        <v>4</v>
      </c>
      <c r="CJ27" s="682">
        <f t="shared" si="4"/>
        <v>12</v>
      </c>
      <c r="CK27" s="706">
        <v>32.26</v>
      </c>
      <c r="CL27" s="683">
        <f t="shared" si="19"/>
        <v>224.5296</v>
      </c>
      <c r="CM27" s="683">
        <f t="shared" ref="CM27:CV27" si="80">BC27*$CL27</f>
        <v>0</v>
      </c>
      <c r="CN27" s="683">
        <f t="shared" si="80"/>
        <v>0</v>
      </c>
      <c r="CO27" s="683">
        <f t="shared" si="80"/>
        <v>449.0592</v>
      </c>
      <c r="CP27" s="683">
        <f t="shared" si="80"/>
        <v>449.0592</v>
      </c>
      <c r="CQ27" s="683">
        <f t="shared" si="80"/>
        <v>224.5296</v>
      </c>
      <c r="CR27" s="683">
        <f t="shared" si="80"/>
        <v>224.5296</v>
      </c>
      <c r="CS27" s="683">
        <f t="shared" si="80"/>
        <v>0</v>
      </c>
      <c r="CT27" s="683">
        <f t="shared" si="80"/>
        <v>0</v>
      </c>
      <c r="CU27" s="683">
        <f t="shared" si="80"/>
        <v>0</v>
      </c>
      <c r="CV27" s="683">
        <f t="shared" si="80"/>
        <v>0</v>
      </c>
      <c r="CW27" s="683">
        <f t="shared" si="21"/>
        <v>1347.1776</v>
      </c>
      <c r="CX27" s="683">
        <f t="shared" ref="CX27:DG27" si="81">BN27*$CL27</f>
        <v>449.0592</v>
      </c>
      <c r="CY27" s="683">
        <f t="shared" si="81"/>
        <v>0</v>
      </c>
      <c r="CZ27" s="683">
        <f t="shared" si="81"/>
        <v>0</v>
      </c>
      <c r="DA27" s="683">
        <f t="shared" si="81"/>
        <v>0</v>
      </c>
      <c r="DB27" s="683">
        <f t="shared" si="81"/>
        <v>0</v>
      </c>
      <c r="DC27" s="683">
        <f t="shared" si="81"/>
        <v>0</v>
      </c>
      <c r="DD27" s="683">
        <f t="shared" si="81"/>
        <v>0</v>
      </c>
      <c r="DE27" s="683">
        <f t="shared" si="81"/>
        <v>0</v>
      </c>
      <c r="DF27" s="683">
        <f t="shared" si="81"/>
        <v>0</v>
      </c>
      <c r="DG27" s="683">
        <f t="shared" si="81"/>
        <v>0</v>
      </c>
      <c r="DH27" s="683">
        <f t="shared" si="23"/>
        <v>449.0592</v>
      </c>
      <c r="DI27" s="683">
        <f t="shared" ref="DI27:DR27" si="82">BY27*$CL27</f>
        <v>0</v>
      </c>
      <c r="DJ27" s="683">
        <f t="shared" si="82"/>
        <v>0</v>
      </c>
      <c r="DK27" s="683">
        <f t="shared" si="82"/>
        <v>0</v>
      </c>
      <c r="DL27" s="683">
        <f t="shared" si="82"/>
        <v>449.0592</v>
      </c>
      <c r="DM27" s="683">
        <f t="shared" si="82"/>
        <v>224.5296</v>
      </c>
      <c r="DN27" s="683">
        <f t="shared" si="82"/>
        <v>224.5296</v>
      </c>
      <c r="DO27" s="683">
        <f t="shared" si="82"/>
        <v>0</v>
      </c>
      <c r="DP27" s="683">
        <f t="shared" si="82"/>
        <v>0</v>
      </c>
      <c r="DQ27" s="683">
        <f t="shared" si="82"/>
        <v>0</v>
      </c>
      <c r="DR27" s="683">
        <f t="shared" si="82"/>
        <v>0</v>
      </c>
      <c r="DS27" s="683">
        <f t="shared" si="25"/>
        <v>898.1184</v>
      </c>
      <c r="DT27" s="683">
        <f t="shared" si="15"/>
        <v>2694.3552</v>
      </c>
      <c r="DU27" s="504"/>
      <c r="DV27" s="486"/>
      <c r="DW27" s="688"/>
      <c r="DX27" s="688"/>
      <c r="DY27" s="688"/>
      <c r="DZ27" s="688"/>
      <c r="EA27" s="688"/>
      <c r="EB27" s="688"/>
      <c r="EC27" s="688"/>
      <c r="ED27" s="688"/>
      <c r="EE27" s="688"/>
      <c r="EF27" s="688"/>
      <c r="EG27" s="688"/>
      <c r="EH27" s="707" t="s">
        <v>3065</v>
      </c>
      <c r="EI27" s="708">
        <f>VLOOKUP(I27,CotizacionTDB,4,FALSE())</f>
        <v>32.26</v>
      </c>
      <c r="EJ27" s="708">
        <f>VLOOKUP(I27,CotizacionTDB,5,FALSE())</f>
        <v>27.42</v>
      </c>
      <c r="EK27" s="691"/>
    </row>
    <row r="28" ht="12.0" customHeight="1">
      <c r="A28" s="709" t="s">
        <v>3026</v>
      </c>
      <c r="B28" s="661">
        <v>2.0</v>
      </c>
      <c r="C28" s="567" t="s">
        <v>3027</v>
      </c>
      <c r="D28" s="742" t="s">
        <v>449</v>
      </c>
      <c r="E28" s="568" t="s">
        <v>2708</v>
      </c>
      <c r="F28" s="567" t="s">
        <v>1763</v>
      </c>
      <c r="G28" s="569" t="s">
        <v>2709</v>
      </c>
      <c r="H28" s="658"/>
      <c r="I28" s="721" t="s">
        <v>2255</v>
      </c>
      <c r="J28" s="711" t="s">
        <v>1442</v>
      </c>
      <c r="K28" s="567" t="s">
        <v>25</v>
      </c>
      <c r="L28" s="567">
        <v>2024.0</v>
      </c>
      <c r="M28" s="567"/>
      <c r="N28" s="567">
        <v>2024.0</v>
      </c>
      <c r="O28" s="567">
        <v>2024.0</v>
      </c>
      <c r="P28" s="567">
        <v>2024.0</v>
      </c>
      <c r="Q28" s="567">
        <v>2024.0</v>
      </c>
      <c r="R28" s="567"/>
      <c r="S28" s="567"/>
      <c r="T28" s="567"/>
      <c r="U28" s="567"/>
      <c r="V28" s="567"/>
      <c r="W28" s="567">
        <v>3.0</v>
      </c>
      <c r="X28" s="567"/>
      <c r="Y28" s="567">
        <v>3.0</v>
      </c>
      <c r="Z28" s="567">
        <v>2.0</v>
      </c>
      <c r="AA28" s="567">
        <v>2.0</v>
      </c>
      <c r="AB28" s="567">
        <v>2.0</v>
      </c>
      <c r="AC28" s="567"/>
      <c r="AD28" s="567"/>
      <c r="AE28" s="567"/>
      <c r="AF28" s="567"/>
      <c r="AG28" s="567"/>
      <c r="AH28" s="567"/>
      <c r="AI28" s="567"/>
      <c r="AJ28" s="567"/>
      <c r="AK28" s="567"/>
      <c r="AL28" s="567"/>
      <c r="AM28" s="567"/>
      <c r="AN28" s="567"/>
      <c r="AO28" s="567"/>
      <c r="AP28" s="567"/>
      <c r="AQ28" s="567"/>
      <c r="AR28" s="567">
        <v>-2024.0</v>
      </c>
      <c r="AS28" s="567">
        <v>0.0</v>
      </c>
      <c r="AT28" s="567">
        <v>-2024.0</v>
      </c>
      <c r="AU28" s="567">
        <v>-2024.0</v>
      </c>
      <c r="AV28" s="567">
        <v>-2024.0</v>
      </c>
      <c r="AW28" s="567">
        <v>-2024.0</v>
      </c>
      <c r="AX28" s="567">
        <v>0.0</v>
      </c>
      <c r="AY28" s="567">
        <v>0.0</v>
      </c>
      <c r="AZ28" s="567">
        <v>0.0</v>
      </c>
      <c r="BA28" s="567">
        <v>0.0</v>
      </c>
      <c r="BB28" s="567"/>
      <c r="BC28" s="567">
        <v>2.0</v>
      </c>
      <c r="BD28" s="567"/>
      <c r="BE28" s="567">
        <v>2.0</v>
      </c>
      <c r="BF28" s="567">
        <v>2.0</v>
      </c>
      <c r="BG28" s="567">
        <v>1.0</v>
      </c>
      <c r="BH28" s="567">
        <v>1.0</v>
      </c>
      <c r="BI28" s="567"/>
      <c r="BJ28" s="567"/>
      <c r="BK28" s="567"/>
      <c r="BL28" s="725"/>
      <c r="BM28" s="665">
        <f t="shared" si="1"/>
        <v>8</v>
      </c>
      <c r="BN28" s="671"/>
      <c r="BO28" s="668"/>
      <c r="BP28" s="668"/>
      <c r="BQ28" s="668"/>
      <c r="BR28" s="668"/>
      <c r="BS28" s="668"/>
      <c r="BT28" s="668"/>
      <c r="BU28" s="668"/>
      <c r="BV28" s="668"/>
      <c r="BW28" s="713">
        <v>2.0</v>
      </c>
      <c r="BX28" s="665">
        <f t="shared" si="2"/>
        <v>2</v>
      </c>
      <c r="BY28" s="671">
        <v>0.0</v>
      </c>
      <c r="BZ28" s="668">
        <v>0.0</v>
      </c>
      <c r="CA28" s="668">
        <v>0.0</v>
      </c>
      <c r="CB28" s="668">
        <v>2.0</v>
      </c>
      <c r="CC28" s="668">
        <v>1.0</v>
      </c>
      <c r="CD28" s="668">
        <v>1.0</v>
      </c>
      <c r="CE28" s="668">
        <v>0.0</v>
      </c>
      <c r="CF28" s="668">
        <v>0.0</v>
      </c>
      <c r="CG28" s="668">
        <v>0.0</v>
      </c>
      <c r="CH28" s="670">
        <v>0.0</v>
      </c>
      <c r="CI28" s="665">
        <f t="shared" si="3"/>
        <v>4</v>
      </c>
      <c r="CJ28" s="671">
        <f t="shared" si="4"/>
        <v>14</v>
      </c>
      <c r="CK28" s="715">
        <v>15.0</v>
      </c>
      <c r="CL28" s="668">
        <f t="shared" si="19"/>
        <v>104.4</v>
      </c>
      <c r="CM28" s="668">
        <f t="shared" ref="CM28:CV28" si="83">BC28*$CL28</f>
        <v>208.8</v>
      </c>
      <c r="CN28" s="668">
        <f t="shared" si="83"/>
        <v>0</v>
      </c>
      <c r="CO28" s="668">
        <f t="shared" si="83"/>
        <v>208.8</v>
      </c>
      <c r="CP28" s="668">
        <f t="shared" si="83"/>
        <v>208.8</v>
      </c>
      <c r="CQ28" s="668">
        <f t="shared" si="83"/>
        <v>104.4</v>
      </c>
      <c r="CR28" s="668">
        <f t="shared" si="83"/>
        <v>104.4</v>
      </c>
      <c r="CS28" s="668">
        <f t="shared" si="83"/>
        <v>0</v>
      </c>
      <c r="CT28" s="668">
        <f t="shared" si="83"/>
        <v>0</v>
      </c>
      <c r="CU28" s="668">
        <f t="shared" si="83"/>
        <v>0</v>
      </c>
      <c r="CV28" s="668">
        <f t="shared" si="83"/>
        <v>0</v>
      </c>
      <c r="CW28" s="668">
        <f t="shared" si="21"/>
        <v>835.2</v>
      </c>
      <c r="CX28" s="668">
        <f t="shared" ref="CX28:DG28" si="84">BN28*$CL28</f>
        <v>0</v>
      </c>
      <c r="CY28" s="668">
        <f t="shared" si="84"/>
        <v>0</v>
      </c>
      <c r="CZ28" s="668">
        <f t="shared" si="84"/>
        <v>0</v>
      </c>
      <c r="DA28" s="668">
        <f t="shared" si="84"/>
        <v>0</v>
      </c>
      <c r="DB28" s="668">
        <f t="shared" si="84"/>
        <v>0</v>
      </c>
      <c r="DC28" s="668">
        <f t="shared" si="84"/>
        <v>0</v>
      </c>
      <c r="DD28" s="668">
        <f t="shared" si="84"/>
        <v>0</v>
      </c>
      <c r="DE28" s="668">
        <f t="shared" si="84"/>
        <v>0</v>
      </c>
      <c r="DF28" s="668">
        <f t="shared" si="84"/>
        <v>0</v>
      </c>
      <c r="DG28" s="668">
        <f t="shared" si="84"/>
        <v>208.8</v>
      </c>
      <c r="DH28" s="668">
        <f t="shared" si="23"/>
        <v>208.8</v>
      </c>
      <c r="DI28" s="668">
        <f t="shared" ref="DI28:DR28" si="85">BY28*$CL28</f>
        <v>0</v>
      </c>
      <c r="DJ28" s="668">
        <f t="shared" si="85"/>
        <v>0</v>
      </c>
      <c r="DK28" s="668">
        <f t="shared" si="85"/>
        <v>0</v>
      </c>
      <c r="DL28" s="668">
        <f t="shared" si="85"/>
        <v>208.8</v>
      </c>
      <c r="DM28" s="668">
        <f t="shared" si="85"/>
        <v>104.4</v>
      </c>
      <c r="DN28" s="668">
        <f t="shared" si="85"/>
        <v>104.4</v>
      </c>
      <c r="DO28" s="668">
        <f t="shared" si="85"/>
        <v>0</v>
      </c>
      <c r="DP28" s="668">
        <f t="shared" si="85"/>
        <v>0</v>
      </c>
      <c r="DQ28" s="668">
        <f t="shared" si="85"/>
        <v>0</v>
      </c>
      <c r="DR28" s="668">
        <f t="shared" si="85"/>
        <v>0</v>
      </c>
      <c r="DS28" s="668">
        <f t="shared" si="25"/>
        <v>417.6</v>
      </c>
      <c r="DT28" s="668">
        <f t="shared" si="15"/>
        <v>1461.6</v>
      </c>
      <c r="DU28" s="538"/>
      <c r="DV28" s="468"/>
      <c r="DW28" s="698"/>
      <c r="DX28" s="698"/>
      <c r="DY28" s="698"/>
      <c r="DZ28" s="698"/>
      <c r="EA28" s="698"/>
      <c r="EB28" s="698"/>
      <c r="EC28" s="698"/>
      <c r="ED28" s="698"/>
      <c r="EE28" s="698"/>
      <c r="EF28" s="698"/>
      <c r="EG28" s="698"/>
      <c r="EH28" s="576" t="s">
        <v>3066</v>
      </c>
      <c r="EI28" s="716">
        <f>VLOOKUP(I28,CotizacionTDB,4,FALSE())</f>
        <v>15</v>
      </c>
      <c r="EJ28" s="716">
        <f>VLOOKUP(I28,CotizacionTDB,5,FALSE())</f>
        <v>12.75</v>
      </c>
      <c r="EK28" s="699"/>
    </row>
    <row r="29" ht="12.0" customHeight="1">
      <c r="A29" s="700" t="s">
        <v>3026</v>
      </c>
      <c r="B29" s="701">
        <v>2.0</v>
      </c>
      <c r="C29" s="562" t="s">
        <v>3027</v>
      </c>
      <c r="D29" s="743" t="s">
        <v>449</v>
      </c>
      <c r="E29" s="571" t="s">
        <v>2708</v>
      </c>
      <c r="F29" s="562" t="s">
        <v>1763</v>
      </c>
      <c r="G29" s="569" t="s">
        <v>2709</v>
      </c>
      <c r="H29" s="569" t="s">
        <v>3067</v>
      </c>
      <c r="I29" s="703" t="s">
        <v>2277</v>
      </c>
      <c r="J29" s="704" t="s">
        <v>1480</v>
      </c>
      <c r="K29" s="562" t="s">
        <v>25</v>
      </c>
      <c r="L29" s="562">
        <v>2024.0</v>
      </c>
      <c r="M29" s="562"/>
      <c r="N29" s="562">
        <v>2024.0</v>
      </c>
      <c r="O29" s="562">
        <v>2024.0</v>
      </c>
      <c r="P29" s="562">
        <v>2024.0</v>
      </c>
      <c r="Q29" s="562">
        <v>2024.0</v>
      </c>
      <c r="R29" s="562"/>
      <c r="S29" s="562"/>
      <c r="T29" s="562"/>
      <c r="U29" s="562"/>
      <c r="V29" s="562"/>
      <c r="W29" s="562">
        <v>3.0</v>
      </c>
      <c r="X29" s="562"/>
      <c r="Y29" s="562">
        <v>3.0</v>
      </c>
      <c r="Z29" s="562">
        <v>2.0</v>
      </c>
      <c r="AA29" s="562">
        <v>2.0</v>
      </c>
      <c r="AB29" s="562">
        <v>2.0</v>
      </c>
      <c r="AC29" s="562"/>
      <c r="AD29" s="562"/>
      <c r="AE29" s="562"/>
      <c r="AF29" s="562"/>
      <c r="AG29" s="562"/>
      <c r="AH29" s="562"/>
      <c r="AI29" s="562"/>
      <c r="AJ29" s="562"/>
      <c r="AK29" s="562"/>
      <c r="AL29" s="562"/>
      <c r="AM29" s="562"/>
      <c r="AN29" s="562"/>
      <c r="AO29" s="562"/>
      <c r="AP29" s="562"/>
      <c r="AQ29" s="562"/>
      <c r="AR29" s="562">
        <v>-2024.0</v>
      </c>
      <c r="AS29" s="562">
        <v>0.0</v>
      </c>
      <c r="AT29" s="562">
        <v>-2024.0</v>
      </c>
      <c r="AU29" s="562">
        <v>-2024.0</v>
      </c>
      <c r="AV29" s="562">
        <v>-2024.0</v>
      </c>
      <c r="AW29" s="562">
        <v>-2024.0</v>
      </c>
      <c r="AX29" s="562">
        <v>0.0</v>
      </c>
      <c r="AY29" s="562">
        <v>0.0</v>
      </c>
      <c r="AZ29" s="562">
        <v>0.0</v>
      </c>
      <c r="BA29" s="562">
        <v>0.0</v>
      </c>
      <c r="BB29" s="562"/>
      <c r="BC29" s="562">
        <v>2.0</v>
      </c>
      <c r="BD29" s="562"/>
      <c r="BE29" s="562">
        <v>2.0</v>
      </c>
      <c r="BF29" s="562">
        <v>3.0</v>
      </c>
      <c r="BG29" s="562">
        <v>1.0</v>
      </c>
      <c r="BH29" s="562">
        <v>1.0</v>
      </c>
      <c r="BI29" s="562"/>
      <c r="BJ29" s="562"/>
      <c r="BK29" s="562"/>
      <c r="BL29" s="681"/>
      <c r="BM29" s="665">
        <f t="shared" si="1"/>
        <v>9</v>
      </c>
      <c r="BN29" s="682"/>
      <c r="BO29" s="683"/>
      <c r="BP29" s="683"/>
      <c r="BQ29" s="683"/>
      <c r="BR29" s="683"/>
      <c r="BS29" s="683"/>
      <c r="BT29" s="683"/>
      <c r="BU29" s="745">
        <v>2.0</v>
      </c>
      <c r="BV29" s="683"/>
      <c r="BW29" s="724">
        <v>2.0</v>
      </c>
      <c r="BX29" s="665">
        <f t="shared" si="2"/>
        <v>4</v>
      </c>
      <c r="BY29" s="682">
        <v>0.0</v>
      </c>
      <c r="BZ29" s="683">
        <v>0.0</v>
      </c>
      <c r="CA29" s="683">
        <v>0.0</v>
      </c>
      <c r="CB29" s="683">
        <v>3.0</v>
      </c>
      <c r="CC29" s="683">
        <v>1.0</v>
      </c>
      <c r="CD29" s="683">
        <v>1.0</v>
      </c>
      <c r="CE29" s="683">
        <v>0.0</v>
      </c>
      <c r="CF29" s="683">
        <v>0.0</v>
      </c>
      <c r="CG29" s="683">
        <v>0.0</v>
      </c>
      <c r="CH29" s="686">
        <v>0.0</v>
      </c>
      <c r="CI29" s="665">
        <f t="shared" si="3"/>
        <v>5</v>
      </c>
      <c r="CJ29" s="682">
        <f t="shared" si="4"/>
        <v>18</v>
      </c>
      <c r="CK29" s="706">
        <v>10.69</v>
      </c>
      <c r="CL29" s="683">
        <f t="shared" si="19"/>
        <v>74.4024</v>
      </c>
      <c r="CM29" s="683">
        <f t="shared" ref="CM29:CV29" si="86">BC29*$CL29</f>
        <v>148.8048</v>
      </c>
      <c r="CN29" s="683">
        <f t="shared" si="86"/>
        <v>0</v>
      </c>
      <c r="CO29" s="683">
        <f t="shared" si="86"/>
        <v>148.8048</v>
      </c>
      <c r="CP29" s="683">
        <f t="shared" si="86"/>
        <v>223.2072</v>
      </c>
      <c r="CQ29" s="683">
        <f t="shared" si="86"/>
        <v>74.4024</v>
      </c>
      <c r="CR29" s="683">
        <f t="shared" si="86"/>
        <v>74.4024</v>
      </c>
      <c r="CS29" s="683">
        <f t="shared" si="86"/>
        <v>0</v>
      </c>
      <c r="CT29" s="683">
        <f t="shared" si="86"/>
        <v>0</v>
      </c>
      <c r="CU29" s="683">
        <f t="shared" si="86"/>
        <v>0</v>
      </c>
      <c r="CV29" s="683">
        <f t="shared" si="86"/>
        <v>0</v>
      </c>
      <c r="CW29" s="683">
        <f t="shared" si="21"/>
        <v>669.6216</v>
      </c>
      <c r="CX29" s="683">
        <f t="shared" ref="CX29:DG29" si="87">BN29*$CL29</f>
        <v>0</v>
      </c>
      <c r="CY29" s="683">
        <f t="shared" si="87"/>
        <v>0</v>
      </c>
      <c r="CZ29" s="683">
        <f t="shared" si="87"/>
        <v>0</v>
      </c>
      <c r="DA29" s="683">
        <f t="shared" si="87"/>
        <v>0</v>
      </c>
      <c r="DB29" s="683">
        <f t="shared" si="87"/>
        <v>0</v>
      </c>
      <c r="DC29" s="683">
        <f t="shared" si="87"/>
        <v>0</v>
      </c>
      <c r="DD29" s="683">
        <f t="shared" si="87"/>
        <v>0</v>
      </c>
      <c r="DE29" s="683">
        <f t="shared" si="87"/>
        <v>148.8048</v>
      </c>
      <c r="DF29" s="683">
        <f t="shared" si="87"/>
        <v>0</v>
      </c>
      <c r="DG29" s="683">
        <f t="shared" si="87"/>
        <v>148.8048</v>
      </c>
      <c r="DH29" s="683">
        <f t="shared" si="23"/>
        <v>297.6096</v>
      </c>
      <c r="DI29" s="683">
        <f t="shared" ref="DI29:DR29" si="88">BY29*$CL29</f>
        <v>0</v>
      </c>
      <c r="DJ29" s="683">
        <f t="shared" si="88"/>
        <v>0</v>
      </c>
      <c r="DK29" s="683">
        <f t="shared" si="88"/>
        <v>0</v>
      </c>
      <c r="DL29" s="683">
        <f t="shared" si="88"/>
        <v>223.2072</v>
      </c>
      <c r="DM29" s="683">
        <f t="shared" si="88"/>
        <v>74.4024</v>
      </c>
      <c r="DN29" s="683">
        <f t="shared" si="88"/>
        <v>74.4024</v>
      </c>
      <c r="DO29" s="683">
        <f t="shared" si="88"/>
        <v>0</v>
      </c>
      <c r="DP29" s="683">
        <f t="shared" si="88"/>
        <v>0</v>
      </c>
      <c r="DQ29" s="683">
        <f t="shared" si="88"/>
        <v>0</v>
      </c>
      <c r="DR29" s="683">
        <f t="shared" si="88"/>
        <v>0</v>
      </c>
      <c r="DS29" s="683">
        <f t="shared" si="25"/>
        <v>372.012</v>
      </c>
      <c r="DT29" s="683">
        <f t="shared" si="15"/>
        <v>1339.2432</v>
      </c>
      <c r="DU29" s="504"/>
      <c r="DV29" s="486"/>
      <c r="DW29" s="688"/>
      <c r="DX29" s="688"/>
      <c r="DY29" s="688"/>
      <c r="DZ29" s="688"/>
      <c r="EA29" s="688"/>
      <c r="EB29" s="688"/>
      <c r="EC29" s="688"/>
      <c r="ED29" s="688"/>
      <c r="EE29" s="688"/>
      <c r="EF29" s="688"/>
      <c r="EG29" s="688"/>
      <c r="EH29" s="707" t="s">
        <v>2278</v>
      </c>
      <c r="EI29" s="708">
        <f>VLOOKUP(I29,CotizacionTDB,4,FALSE())</f>
        <v>10.69</v>
      </c>
      <c r="EJ29" s="708">
        <f>VLOOKUP(I29,CotizacionTDB,5,FALSE())</f>
        <v>9.09</v>
      </c>
      <c r="EK29" s="691"/>
    </row>
    <row r="30" ht="12.0" customHeight="1">
      <c r="A30" s="709" t="s">
        <v>3026</v>
      </c>
      <c r="B30" s="661">
        <v>2.0</v>
      </c>
      <c r="C30" s="567" t="s">
        <v>3027</v>
      </c>
      <c r="D30" s="568" t="s">
        <v>36</v>
      </c>
      <c r="E30" s="568" t="s">
        <v>2708</v>
      </c>
      <c r="F30" s="567" t="s">
        <v>1763</v>
      </c>
      <c r="G30" s="569" t="s">
        <v>2709</v>
      </c>
      <c r="H30" s="658"/>
      <c r="I30" s="721" t="s">
        <v>2296</v>
      </c>
      <c r="J30" s="711" t="s">
        <v>558</v>
      </c>
      <c r="K30" s="567" t="s">
        <v>25</v>
      </c>
      <c r="L30" s="567"/>
      <c r="M30" s="567"/>
      <c r="N30" s="567"/>
      <c r="O30" s="567"/>
      <c r="P30" s="567"/>
      <c r="Q30" s="567"/>
      <c r="R30" s="567"/>
      <c r="S30" s="567">
        <v>2024.0</v>
      </c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>
        <v>5.0</v>
      </c>
      <c r="AE30" s="567"/>
      <c r="AF30" s="567"/>
      <c r="AG30" s="567"/>
      <c r="AH30" s="567"/>
      <c r="AI30" s="567"/>
      <c r="AJ30" s="567"/>
      <c r="AK30" s="567"/>
      <c r="AL30" s="567"/>
      <c r="AM30" s="567"/>
      <c r="AN30" s="567"/>
      <c r="AO30" s="567"/>
      <c r="AP30" s="567"/>
      <c r="AQ30" s="567"/>
      <c r="AR30" s="567">
        <v>0.0</v>
      </c>
      <c r="AS30" s="567">
        <v>0.0</v>
      </c>
      <c r="AT30" s="567">
        <v>0.0</v>
      </c>
      <c r="AU30" s="567">
        <v>0.0</v>
      </c>
      <c r="AV30" s="567">
        <v>0.0</v>
      </c>
      <c r="AW30" s="567">
        <v>0.0</v>
      </c>
      <c r="AX30" s="567">
        <v>0.0</v>
      </c>
      <c r="AY30" s="567">
        <v>-2024.0</v>
      </c>
      <c r="AZ30" s="567">
        <v>0.0</v>
      </c>
      <c r="BA30" s="567">
        <v>0.0</v>
      </c>
      <c r="BB30" s="567"/>
      <c r="BC30" s="718"/>
      <c r="BD30" s="718"/>
      <c r="BE30" s="680"/>
      <c r="BF30" s="718"/>
      <c r="BG30" s="718"/>
      <c r="BH30" s="718"/>
      <c r="BI30" s="718"/>
      <c r="BJ30" s="746"/>
      <c r="BK30" s="718"/>
      <c r="BL30" s="731"/>
      <c r="BM30" s="665">
        <f t="shared" si="1"/>
        <v>0</v>
      </c>
      <c r="BN30" s="671"/>
      <c r="BO30" s="668"/>
      <c r="BP30" s="668"/>
      <c r="BQ30" s="668"/>
      <c r="BR30" s="668"/>
      <c r="BS30" s="668"/>
      <c r="BT30" s="668"/>
      <c r="BU30" s="668"/>
      <c r="BV30" s="668"/>
      <c r="BW30" s="670"/>
      <c r="BX30" s="665">
        <f t="shared" si="2"/>
        <v>0</v>
      </c>
      <c r="BY30" s="671">
        <v>0.0</v>
      </c>
      <c r="BZ30" s="668">
        <v>0.0</v>
      </c>
      <c r="CA30" s="668">
        <v>0.0</v>
      </c>
      <c r="CB30" s="668">
        <v>0.0</v>
      </c>
      <c r="CC30" s="668">
        <v>0.0</v>
      </c>
      <c r="CD30" s="668">
        <v>0.0</v>
      </c>
      <c r="CE30" s="668">
        <v>0.0</v>
      </c>
      <c r="CF30" s="747">
        <v>60.0</v>
      </c>
      <c r="CG30" s="668">
        <v>0.0</v>
      </c>
      <c r="CH30" s="670">
        <v>0.0</v>
      </c>
      <c r="CI30" s="665">
        <f t="shared" si="3"/>
        <v>60</v>
      </c>
      <c r="CJ30" s="671">
        <f t="shared" si="4"/>
        <v>60</v>
      </c>
      <c r="CK30" s="715">
        <v>23.0</v>
      </c>
      <c r="CL30" s="668">
        <f t="shared" si="19"/>
        <v>160.08</v>
      </c>
      <c r="CM30" s="668">
        <f t="shared" ref="CM30:CV30" si="89">BC30*$CL30</f>
        <v>0</v>
      </c>
      <c r="CN30" s="668">
        <f t="shared" si="89"/>
        <v>0</v>
      </c>
      <c r="CO30" s="668">
        <f t="shared" si="89"/>
        <v>0</v>
      </c>
      <c r="CP30" s="668">
        <f t="shared" si="89"/>
        <v>0</v>
      </c>
      <c r="CQ30" s="668">
        <f t="shared" si="89"/>
        <v>0</v>
      </c>
      <c r="CR30" s="668">
        <f t="shared" si="89"/>
        <v>0</v>
      </c>
      <c r="CS30" s="668">
        <f t="shared" si="89"/>
        <v>0</v>
      </c>
      <c r="CT30" s="668">
        <f t="shared" si="89"/>
        <v>0</v>
      </c>
      <c r="CU30" s="668">
        <f t="shared" si="89"/>
        <v>0</v>
      </c>
      <c r="CV30" s="668">
        <f t="shared" si="89"/>
        <v>0</v>
      </c>
      <c r="CW30" s="668">
        <f t="shared" si="21"/>
        <v>0</v>
      </c>
      <c r="CX30" s="668">
        <f t="shared" ref="CX30:DG30" si="90">BN30*$CL30</f>
        <v>0</v>
      </c>
      <c r="CY30" s="668">
        <f t="shared" si="90"/>
        <v>0</v>
      </c>
      <c r="CZ30" s="668">
        <f t="shared" si="90"/>
        <v>0</v>
      </c>
      <c r="DA30" s="668">
        <f t="shared" si="90"/>
        <v>0</v>
      </c>
      <c r="DB30" s="668">
        <f t="shared" si="90"/>
        <v>0</v>
      </c>
      <c r="DC30" s="668">
        <f t="shared" si="90"/>
        <v>0</v>
      </c>
      <c r="DD30" s="668">
        <f t="shared" si="90"/>
        <v>0</v>
      </c>
      <c r="DE30" s="668">
        <f t="shared" si="90"/>
        <v>0</v>
      </c>
      <c r="DF30" s="668">
        <f t="shared" si="90"/>
        <v>0</v>
      </c>
      <c r="DG30" s="668">
        <f t="shared" si="90"/>
        <v>0</v>
      </c>
      <c r="DH30" s="668">
        <f t="shared" si="23"/>
        <v>0</v>
      </c>
      <c r="DI30" s="668">
        <f t="shared" ref="DI30:DR30" si="91">BY30*$CL30</f>
        <v>0</v>
      </c>
      <c r="DJ30" s="668">
        <f t="shared" si="91"/>
        <v>0</v>
      </c>
      <c r="DK30" s="668">
        <f t="shared" si="91"/>
        <v>0</v>
      </c>
      <c r="DL30" s="668">
        <f t="shared" si="91"/>
        <v>0</v>
      </c>
      <c r="DM30" s="668">
        <f t="shared" si="91"/>
        <v>0</v>
      </c>
      <c r="DN30" s="668">
        <f t="shared" si="91"/>
        <v>0</v>
      </c>
      <c r="DO30" s="668">
        <f t="shared" si="91"/>
        <v>0</v>
      </c>
      <c r="DP30" s="668">
        <f t="shared" si="91"/>
        <v>9604.8</v>
      </c>
      <c r="DQ30" s="668">
        <f t="shared" si="91"/>
        <v>0</v>
      </c>
      <c r="DR30" s="668">
        <f t="shared" si="91"/>
        <v>0</v>
      </c>
      <c r="DS30" s="668">
        <f t="shared" si="25"/>
        <v>9604.8</v>
      </c>
      <c r="DT30" s="668">
        <f t="shared" si="15"/>
        <v>9604.8</v>
      </c>
      <c r="DU30" s="538"/>
      <c r="DV30" s="468"/>
      <c r="DW30" s="698"/>
      <c r="DX30" s="698"/>
      <c r="DY30" s="698"/>
      <c r="DZ30" s="698"/>
      <c r="EA30" s="698"/>
      <c r="EB30" s="698"/>
      <c r="EC30" s="698"/>
      <c r="ED30" s="698"/>
      <c r="EE30" s="698"/>
      <c r="EF30" s="698"/>
      <c r="EG30" s="698"/>
      <c r="EH30" s="576" t="s">
        <v>3068</v>
      </c>
      <c r="EI30" s="716">
        <f>VLOOKUP(I30,CotizacionTDB,4,FALSE())</f>
        <v>23</v>
      </c>
      <c r="EJ30" s="716">
        <f>VLOOKUP(I30,CotizacionTDB,5,FALSE())</f>
        <v>19.55</v>
      </c>
      <c r="EK30" s="699"/>
    </row>
    <row r="31" ht="12.0" customHeight="1">
      <c r="A31" s="700" t="s">
        <v>3026</v>
      </c>
      <c r="B31" s="701">
        <v>2.0</v>
      </c>
      <c r="C31" s="562" t="s">
        <v>3027</v>
      </c>
      <c r="D31" s="571" t="s">
        <v>36</v>
      </c>
      <c r="E31" s="571" t="s">
        <v>2708</v>
      </c>
      <c r="F31" s="562" t="s">
        <v>1763</v>
      </c>
      <c r="G31" s="569" t="s">
        <v>2709</v>
      </c>
      <c r="H31" s="737"/>
      <c r="I31" s="748" t="s">
        <v>2283</v>
      </c>
      <c r="J31" s="749" t="s">
        <v>338</v>
      </c>
      <c r="K31" s="562" t="s">
        <v>25</v>
      </c>
      <c r="L31" s="562"/>
      <c r="M31" s="562"/>
      <c r="N31" s="562"/>
      <c r="O31" s="562"/>
      <c r="P31" s="562"/>
      <c r="Q31" s="562"/>
      <c r="R31" s="562"/>
      <c r="S31" s="562">
        <v>2024.0</v>
      </c>
      <c r="T31" s="562"/>
      <c r="U31" s="562"/>
      <c r="V31" s="562"/>
      <c r="W31" s="562"/>
      <c r="X31" s="562"/>
      <c r="Y31" s="562"/>
      <c r="Z31" s="562"/>
      <c r="AA31" s="562"/>
      <c r="AB31" s="562"/>
      <c r="AC31" s="562"/>
      <c r="AD31" s="562">
        <v>5.0</v>
      </c>
      <c r="AE31" s="562"/>
      <c r="AF31" s="562"/>
      <c r="AG31" s="562"/>
      <c r="AH31" s="562"/>
      <c r="AI31" s="562"/>
      <c r="AJ31" s="562"/>
      <c r="AK31" s="562"/>
      <c r="AL31" s="562"/>
      <c r="AM31" s="562"/>
      <c r="AN31" s="562"/>
      <c r="AO31" s="562"/>
      <c r="AP31" s="562"/>
      <c r="AQ31" s="562"/>
      <c r="AR31" s="562">
        <v>0.0</v>
      </c>
      <c r="AS31" s="562">
        <v>0.0</v>
      </c>
      <c r="AT31" s="562">
        <v>0.0</v>
      </c>
      <c r="AU31" s="562">
        <v>0.0</v>
      </c>
      <c r="AV31" s="562">
        <v>0.0</v>
      </c>
      <c r="AW31" s="562">
        <v>0.0</v>
      </c>
      <c r="AX31" s="562">
        <v>0.0</v>
      </c>
      <c r="AY31" s="562">
        <v>-2024.0</v>
      </c>
      <c r="AZ31" s="562">
        <v>0.0</v>
      </c>
      <c r="BA31" s="562">
        <v>0.0</v>
      </c>
      <c r="BB31" s="562"/>
      <c r="BC31" s="562"/>
      <c r="BD31" s="562"/>
      <c r="BE31" s="562"/>
      <c r="BF31" s="562"/>
      <c r="BG31" s="562"/>
      <c r="BH31" s="562"/>
      <c r="BI31" s="562"/>
      <c r="BJ31" s="746"/>
      <c r="BK31" s="562"/>
      <c r="BL31" s="681"/>
      <c r="BM31" s="665">
        <f t="shared" si="1"/>
        <v>0</v>
      </c>
      <c r="BN31" s="682"/>
      <c r="BO31" s="683"/>
      <c r="BP31" s="683"/>
      <c r="BQ31" s="683"/>
      <c r="BR31" s="683"/>
      <c r="BS31" s="683"/>
      <c r="BT31" s="683"/>
      <c r="BU31" s="669">
        <v>50.0</v>
      </c>
      <c r="BV31" s="683"/>
      <c r="BW31" s="686"/>
      <c r="BX31" s="665">
        <f t="shared" si="2"/>
        <v>50</v>
      </c>
      <c r="BY31" s="682">
        <v>0.0</v>
      </c>
      <c r="BZ31" s="683">
        <v>0.0</v>
      </c>
      <c r="CA31" s="683">
        <v>0.0</v>
      </c>
      <c r="CB31" s="683">
        <v>0.0</v>
      </c>
      <c r="CC31" s="683">
        <v>0.0</v>
      </c>
      <c r="CD31" s="683">
        <v>0.0</v>
      </c>
      <c r="CE31" s="683">
        <v>0.0</v>
      </c>
      <c r="CF31" s="669">
        <v>50.0</v>
      </c>
      <c r="CG31" s="683">
        <v>0.0</v>
      </c>
      <c r="CH31" s="686">
        <v>0.0</v>
      </c>
      <c r="CI31" s="665">
        <f t="shared" si="3"/>
        <v>50</v>
      </c>
      <c r="CJ31" s="682">
        <f t="shared" si="4"/>
        <v>100</v>
      </c>
      <c r="CK31" s="706">
        <v>57.11</v>
      </c>
      <c r="CL31" s="683">
        <f t="shared" si="19"/>
        <v>397.4856</v>
      </c>
      <c r="CM31" s="683">
        <f t="shared" ref="CM31:CV31" si="92">BC31*$CL31</f>
        <v>0</v>
      </c>
      <c r="CN31" s="683">
        <f t="shared" si="92"/>
        <v>0</v>
      </c>
      <c r="CO31" s="683">
        <f t="shared" si="92"/>
        <v>0</v>
      </c>
      <c r="CP31" s="683">
        <f t="shared" si="92"/>
        <v>0</v>
      </c>
      <c r="CQ31" s="683">
        <f t="shared" si="92"/>
        <v>0</v>
      </c>
      <c r="CR31" s="683">
        <f t="shared" si="92"/>
        <v>0</v>
      </c>
      <c r="CS31" s="683">
        <f t="shared" si="92"/>
        <v>0</v>
      </c>
      <c r="CT31" s="683">
        <f t="shared" si="92"/>
        <v>0</v>
      </c>
      <c r="CU31" s="683">
        <f t="shared" si="92"/>
        <v>0</v>
      </c>
      <c r="CV31" s="683">
        <f t="shared" si="92"/>
        <v>0</v>
      </c>
      <c r="CW31" s="683">
        <f t="shared" si="21"/>
        <v>0</v>
      </c>
      <c r="CX31" s="683">
        <f t="shared" ref="CX31:DG31" si="93">BN31*$CL31</f>
        <v>0</v>
      </c>
      <c r="CY31" s="683">
        <f t="shared" si="93"/>
        <v>0</v>
      </c>
      <c r="CZ31" s="683">
        <f t="shared" si="93"/>
        <v>0</v>
      </c>
      <c r="DA31" s="683">
        <f t="shared" si="93"/>
        <v>0</v>
      </c>
      <c r="DB31" s="683">
        <f t="shared" si="93"/>
        <v>0</v>
      </c>
      <c r="DC31" s="683">
        <f t="shared" si="93"/>
        <v>0</v>
      </c>
      <c r="DD31" s="683">
        <f t="shared" si="93"/>
        <v>0</v>
      </c>
      <c r="DE31" s="683">
        <f t="shared" si="93"/>
        <v>19874.28</v>
      </c>
      <c r="DF31" s="683">
        <f t="shared" si="93"/>
        <v>0</v>
      </c>
      <c r="DG31" s="683">
        <f t="shared" si="93"/>
        <v>0</v>
      </c>
      <c r="DH31" s="683">
        <f t="shared" si="23"/>
        <v>19874.28</v>
      </c>
      <c r="DI31" s="683">
        <f t="shared" ref="DI31:DR31" si="94">BY31*$CL31</f>
        <v>0</v>
      </c>
      <c r="DJ31" s="683">
        <f t="shared" si="94"/>
        <v>0</v>
      </c>
      <c r="DK31" s="683">
        <f t="shared" si="94"/>
        <v>0</v>
      </c>
      <c r="DL31" s="683">
        <f t="shared" si="94"/>
        <v>0</v>
      </c>
      <c r="DM31" s="683">
        <f t="shared" si="94"/>
        <v>0</v>
      </c>
      <c r="DN31" s="683">
        <f t="shared" si="94"/>
        <v>0</v>
      </c>
      <c r="DO31" s="683">
        <f t="shared" si="94"/>
        <v>0</v>
      </c>
      <c r="DP31" s="683">
        <f t="shared" si="94"/>
        <v>19874.28</v>
      </c>
      <c r="DQ31" s="683">
        <f t="shared" si="94"/>
        <v>0</v>
      </c>
      <c r="DR31" s="683">
        <f t="shared" si="94"/>
        <v>0</v>
      </c>
      <c r="DS31" s="683">
        <f t="shared" si="25"/>
        <v>19874.28</v>
      </c>
      <c r="DT31" s="683">
        <f t="shared" si="15"/>
        <v>39748.56</v>
      </c>
      <c r="DU31" s="504"/>
      <c r="DV31" s="486"/>
      <c r="DW31" s="688"/>
      <c r="DX31" s="688"/>
      <c r="DY31" s="688"/>
      <c r="DZ31" s="688"/>
      <c r="EA31" s="688"/>
      <c r="EB31" s="688"/>
      <c r="EC31" s="688"/>
      <c r="ED31" s="750">
        <v>50.0</v>
      </c>
      <c r="EE31" s="688"/>
      <c r="EF31" s="688"/>
      <c r="EG31" s="688"/>
      <c r="EH31" s="707" t="s">
        <v>3069</v>
      </c>
      <c r="EI31" s="708">
        <f>VLOOKUP(I31,CotizacionTDB,4,FALSE())</f>
        <v>57.11</v>
      </c>
      <c r="EJ31" s="708">
        <f>VLOOKUP(I31,CotizacionTDB,5,FALSE())</f>
        <v>48.54</v>
      </c>
      <c r="EK31" s="691"/>
    </row>
    <row r="32" ht="12.0" customHeight="1">
      <c r="A32" s="709" t="s">
        <v>3026</v>
      </c>
      <c r="B32" s="661">
        <v>2.0</v>
      </c>
      <c r="C32" s="567" t="s">
        <v>3027</v>
      </c>
      <c r="D32" s="568" t="s">
        <v>36</v>
      </c>
      <c r="E32" s="568" t="s">
        <v>2708</v>
      </c>
      <c r="F32" s="567" t="s">
        <v>1763</v>
      </c>
      <c r="G32" s="569" t="s">
        <v>2709</v>
      </c>
      <c r="H32" s="569" t="s">
        <v>3070</v>
      </c>
      <c r="I32" s="721" t="s">
        <v>2175</v>
      </c>
      <c r="J32" s="711" t="s">
        <v>667</v>
      </c>
      <c r="K32" s="567" t="s">
        <v>25</v>
      </c>
      <c r="L32" s="567">
        <v>2024.0</v>
      </c>
      <c r="M32" s="567">
        <v>2025.0</v>
      </c>
      <c r="N32" s="567">
        <v>2024.0</v>
      </c>
      <c r="O32" s="567"/>
      <c r="P32" s="567">
        <v>2025.0</v>
      </c>
      <c r="Q32" s="567"/>
      <c r="R32" s="567">
        <v>2024.0</v>
      </c>
      <c r="S32" s="567">
        <v>2024.0</v>
      </c>
      <c r="T32" s="567"/>
      <c r="U32" s="567">
        <v>2024.0</v>
      </c>
      <c r="V32" s="567"/>
      <c r="W32" s="567">
        <v>3.0</v>
      </c>
      <c r="X32" s="567">
        <v>5.0</v>
      </c>
      <c r="Y32" s="567">
        <v>5.0</v>
      </c>
      <c r="Z32" s="567"/>
      <c r="AA32" s="567">
        <v>2.0</v>
      </c>
      <c r="AB32" s="567"/>
      <c r="AC32" s="567">
        <v>2.0</v>
      </c>
      <c r="AD32" s="567">
        <v>2.0</v>
      </c>
      <c r="AE32" s="567"/>
      <c r="AF32" s="567">
        <v>2.0</v>
      </c>
      <c r="AG32" s="567"/>
      <c r="AH32" s="567"/>
      <c r="AI32" s="567"/>
      <c r="AJ32" s="567"/>
      <c r="AK32" s="567"/>
      <c r="AL32" s="567"/>
      <c r="AM32" s="567"/>
      <c r="AN32" s="567"/>
      <c r="AO32" s="567"/>
      <c r="AP32" s="567"/>
      <c r="AQ32" s="567"/>
      <c r="AR32" s="567">
        <v>-2024.0</v>
      </c>
      <c r="AS32" s="567">
        <v>-2025.0</v>
      </c>
      <c r="AT32" s="567">
        <v>-2024.0</v>
      </c>
      <c r="AU32" s="567">
        <v>0.0</v>
      </c>
      <c r="AV32" s="567">
        <v>-2025.0</v>
      </c>
      <c r="AW32" s="567">
        <v>0.0</v>
      </c>
      <c r="AX32" s="567">
        <v>-2024.0</v>
      </c>
      <c r="AY32" s="567">
        <v>-2024.0</v>
      </c>
      <c r="AZ32" s="567">
        <v>0.0</v>
      </c>
      <c r="BA32" s="567">
        <v>-2024.0</v>
      </c>
      <c r="BB32" s="567"/>
      <c r="BC32" s="567"/>
      <c r="BD32" s="567"/>
      <c r="BE32" s="718"/>
      <c r="BF32" s="567"/>
      <c r="BG32" s="567"/>
      <c r="BH32" s="567"/>
      <c r="BI32" s="718"/>
      <c r="BJ32" s="718"/>
      <c r="BK32" s="567"/>
      <c r="BL32" s="731"/>
      <c r="BM32" s="665">
        <f t="shared" si="1"/>
        <v>0</v>
      </c>
      <c r="BN32" s="671"/>
      <c r="BO32" s="668"/>
      <c r="BP32" s="667">
        <v>60.0</v>
      </c>
      <c r="BQ32" s="668"/>
      <c r="BR32" s="668"/>
      <c r="BS32" s="668"/>
      <c r="BT32" s="667">
        <v>4.0</v>
      </c>
      <c r="BU32" s="667">
        <v>4.0</v>
      </c>
      <c r="BV32" s="668"/>
      <c r="BW32" s="732">
        <v>4.0</v>
      </c>
      <c r="BX32" s="665">
        <f t="shared" si="2"/>
        <v>72</v>
      </c>
      <c r="BY32" s="671">
        <v>0.0</v>
      </c>
      <c r="BZ32" s="668">
        <v>0.0</v>
      </c>
      <c r="CA32" s="668">
        <v>0.0</v>
      </c>
      <c r="CB32" s="668">
        <v>0.0</v>
      </c>
      <c r="CC32" s="667">
        <v>20.0</v>
      </c>
      <c r="CD32" s="668">
        <v>0.0</v>
      </c>
      <c r="CE32" s="667"/>
      <c r="CF32" s="667"/>
      <c r="CG32" s="668"/>
      <c r="CH32" s="732"/>
      <c r="CI32" s="665">
        <f t="shared" si="3"/>
        <v>20</v>
      </c>
      <c r="CJ32" s="671">
        <f t="shared" si="4"/>
        <v>92</v>
      </c>
      <c r="CK32" s="715">
        <v>27.03</v>
      </c>
      <c r="CL32" s="668">
        <f t="shared" si="19"/>
        <v>188.1288</v>
      </c>
      <c r="CM32" s="668">
        <f t="shared" ref="CM32:CV32" si="95">BC32*$CL32</f>
        <v>0</v>
      </c>
      <c r="CN32" s="668">
        <f t="shared" si="95"/>
        <v>0</v>
      </c>
      <c r="CO32" s="668">
        <f t="shared" si="95"/>
        <v>0</v>
      </c>
      <c r="CP32" s="668">
        <f t="shared" si="95"/>
        <v>0</v>
      </c>
      <c r="CQ32" s="668">
        <f t="shared" si="95"/>
        <v>0</v>
      </c>
      <c r="CR32" s="668">
        <f t="shared" si="95"/>
        <v>0</v>
      </c>
      <c r="CS32" s="668">
        <f t="shared" si="95"/>
        <v>0</v>
      </c>
      <c r="CT32" s="668">
        <f t="shared" si="95"/>
        <v>0</v>
      </c>
      <c r="CU32" s="668">
        <f t="shared" si="95"/>
        <v>0</v>
      </c>
      <c r="CV32" s="668">
        <f t="shared" si="95"/>
        <v>0</v>
      </c>
      <c r="CW32" s="668">
        <f t="shared" si="21"/>
        <v>0</v>
      </c>
      <c r="CX32" s="668">
        <f t="shared" ref="CX32:DG32" si="96">BN32*$CL32</f>
        <v>0</v>
      </c>
      <c r="CY32" s="668">
        <f t="shared" si="96"/>
        <v>0</v>
      </c>
      <c r="CZ32" s="668">
        <f t="shared" si="96"/>
        <v>11287.728</v>
      </c>
      <c r="DA32" s="668">
        <f t="shared" si="96"/>
        <v>0</v>
      </c>
      <c r="DB32" s="668">
        <f t="shared" si="96"/>
        <v>0</v>
      </c>
      <c r="DC32" s="668">
        <f t="shared" si="96"/>
        <v>0</v>
      </c>
      <c r="DD32" s="668">
        <f t="shared" si="96"/>
        <v>752.5152</v>
      </c>
      <c r="DE32" s="668">
        <f t="shared" si="96"/>
        <v>752.5152</v>
      </c>
      <c r="DF32" s="668">
        <f t="shared" si="96"/>
        <v>0</v>
      </c>
      <c r="DG32" s="668">
        <f t="shared" si="96"/>
        <v>752.5152</v>
      </c>
      <c r="DH32" s="668">
        <f t="shared" si="23"/>
        <v>13545.2736</v>
      </c>
      <c r="DI32" s="668">
        <f t="shared" ref="DI32:DR32" si="97">BY32*$CL32</f>
        <v>0</v>
      </c>
      <c r="DJ32" s="668">
        <f t="shared" si="97"/>
        <v>0</v>
      </c>
      <c r="DK32" s="668">
        <f t="shared" si="97"/>
        <v>0</v>
      </c>
      <c r="DL32" s="668">
        <f t="shared" si="97"/>
        <v>0</v>
      </c>
      <c r="DM32" s="668">
        <f t="shared" si="97"/>
        <v>3762.576</v>
      </c>
      <c r="DN32" s="668">
        <f t="shared" si="97"/>
        <v>0</v>
      </c>
      <c r="DO32" s="668">
        <f t="shared" si="97"/>
        <v>0</v>
      </c>
      <c r="DP32" s="668">
        <f t="shared" si="97"/>
        <v>0</v>
      </c>
      <c r="DQ32" s="668">
        <f t="shared" si="97"/>
        <v>0</v>
      </c>
      <c r="DR32" s="668">
        <f t="shared" si="97"/>
        <v>0</v>
      </c>
      <c r="DS32" s="668">
        <f t="shared" si="25"/>
        <v>3762.576</v>
      </c>
      <c r="DT32" s="668">
        <f t="shared" si="15"/>
        <v>17307.8496</v>
      </c>
      <c r="DU32" s="538"/>
      <c r="DV32" s="468"/>
      <c r="DW32" s="698"/>
      <c r="DX32" s="698"/>
      <c r="DY32" s="698"/>
      <c r="DZ32" s="698"/>
      <c r="EA32" s="698"/>
      <c r="EB32" s="698"/>
      <c r="EC32" s="751">
        <v>4.0</v>
      </c>
      <c r="ED32" s="751">
        <v>4.0</v>
      </c>
      <c r="EE32" s="752">
        <v>0.0</v>
      </c>
      <c r="EF32" s="751">
        <v>4.0</v>
      </c>
      <c r="EG32" s="698"/>
      <c r="EH32" s="576" t="s">
        <v>3071</v>
      </c>
      <c r="EI32" s="716">
        <f>VLOOKUP(I32,CotizacionTDB,4,FALSE())</f>
        <v>27.03</v>
      </c>
      <c r="EJ32" s="716">
        <f>VLOOKUP(I32,CotizacionTDB,5,FALSE())</f>
        <v>22.98</v>
      </c>
      <c r="EK32" s="699"/>
    </row>
    <row r="33" ht="12.0" customHeight="1">
      <c r="A33" s="700" t="s">
        <v>3026</v>
      </c>
      <c r="B33" s="701">
        <v>2.0</v>
      </c>
      <c r="C33" s="562" t="s">
        <v>3027</v>
      </c>
      <c r="D33" s="571" t="s">
        <v>36</v>
      </c>
      <c r="E33" s="571" t="s">
        <v>2708</v>
      </c>
      <c r="F33" s="562" t="s">
        <v>1763</v>
      </c>
      <c r="G33" s="702" t="s">
        <v>2709</v>
      </c>
      <c r="H33" s="569" t="s">
        <v>3072</v>
      </c>
      <c r="I33" s="703" t="s">
        <v>1926</v>
      </c>
      <c r="J33" s="704" t="s">
        <v>555</v>
      </c>
      <c r="K33" s="562" t="s">
        <v>25</v>
      </c>
      <c r="L33" s="562">
        <v>2024.0</v>
      </c>
      <c r="M33" s="562">
        <v>2025.0</v>
      </c>
      <c r="N33" s="562">
        <v>2024.0</v>
      </c>
      <c r="O33" s="562">
        <v>2025.0</v>
      </c>
      <c r="P33" s="562">
        <v>2025.0</v>
      </c>
      <c r="Q33" s="562">
        <v>2025.0</v>
      </c>
      <c r="R33" s="562">
        <v>2024.0</v>
      </c>
      <c r="S33" s="562">
        <v>2024.0</v>
      </c>
      <c r="T33" s="562"/>
      <c r="U33" s="562">
        <v>2024.0</v>
      </c>
      <c r="V33" s="562"/>
      <c r="W33" s="562">
        <v>3.0</v>
      </c>
      <c r="X33" s="562">
        <v>5.0</v>
      </c>
      <c r="Y33" s="562">
        <v>5.0</v>
      </c>
      <c r="Z33" s="562">
        <v>5.0</v>
      </c>
      <c r="AA33" s="562">
        <v>5.0</v>
      </c>
      <c r="AB33" s="562">
        <v>5.0</v>
      </c>
      <c r="AC33" s="562">
        <v>2.0</v>
      </c>
      <c r="AD33" s="562">
        <v>2.0</v>
      </c>
      <c r="AE33" s="562"/>
      <c r="AF33" s="562">
        <v>2.0</v>
      </c>
      <c r="AG33" s="562"/>
      <c r="AH33" s="562"/>
      <c r="AI33" s="562"/>
      <c r="AJ33" s="562"/>
      <c r="AK33" s="562"/>
      <c r="AL33" s="562"/>
      <c r="AM33" s="562"/>
      <c r="AN33" s="562"/>
      <c r="AO33" s="562"/>
      <c r="AP33" s="562"/>
      <c r="AQ33" s="562"/>
      <c r="AR33" s="562">
        <v>-2024.0</v>
      </c>
      <c r="AS33" s="562">
        <v>-2025.0</v>
      </c>
      <c r="AT33" s="562">
        <v>-2024.0</v>
      </c>
      <c r="AU33" s="562">
        <v>-2025.0</v>
      </c>
      <c r="AV33" s="562">
        <v>-2025.0</v>
      </c>
      <c r="AW33" s="562">
        <v>-2025.0</v>
      </c>
      <c r="AX33" s="562">
        <v>-2024.0</v>
      </c>
      <c r="AY33" s="562">
        <v>-2024.0</v>
      </c>
      <c r="AZ33" s="562">
        <v>0.0</v>
      </c>
      <c r="BA33" s="562">
        <v>-2024.0</v>
      </c>
      <c r="BB33" s="562"/>
      <c r="BC33" s="562"/>
      <c r="BD33" s="562"/>
      <c r="BE33" s="718"/>
      <c r="BF33" s="562"/>
      <c r="BG33" s="562"/>
      <c r="BH33" s="562"/>
      <c r="BI33" s="718"/>
      <c r="BJ33" s="753"/>
      <c r="BK33" s="562"/>
      <c r="BL33" s="681"/>
      <c r="BM33" s="665">
        <f t="shared" si="1"/>
        <v>0</v>
      </c>
      <c r="BN33" s="682"/>
      <c r="BO33" s="683"/>
      <c r="BP33" s="667">
        <v>250.0</v>
      </c>
      <c r="BQ33" s="683"/>
      <c r="BR33" s="683"/>
      <c r="BS33" s="683"/>
      <c r="BT33" s="667">
        <v>4.0</v>
      </c>
      <c r="BU33" s="754">
        <v>90.0</v>
      </c>
      <c r="BV33" s="683"/>
      <c r="BW33" s="686"/>
      <c r="BX33" s="665">
        <f t="shared" si="2"/>
        <v>344</v>
      </c>
      <c r="BY33" s="682">
        <v>0.0</v>
      </c>
      <c r="BZ33" s="683">
        <v>0.0</v>
      </c>
      <c r="CA33" s="683">
        <v>0.0</v>
      </c>
      <c r="CB33" s="667">
        <v>280.0</v>
      </c>
      <c r="CC33" s="667">
        <v>220.0</v>
      </c>
      <c r="CD33" s="667">
        <v>250.0</v>
      </c>
      <c r="CE33" s="683"/>
      <c r="CF33" s="683"/>
      <c r="CG33" s="683"/>
      <c r="CH33" s="732">
        <v>4.0</v>
      </c>
      <c r="CI33" s="665">
        <f t="shared" si="3"/>
        <v>754</v>
      </c>
      <c r="CJ33" s="682">
        <f t="shared" si="4"/>
        <v>1098</v>
      </c>
      <c r="CK33" s="706">
        <v>5.34</v>
      </c>
      <c r="CL33" s="683">
        <f t="shared" si="19"/>
        <v>37.1664</v>
      </c>
      <c r="CM33" s="683">
        <f t="shared" ref="CM33:CV33" si="98">BC33*$CL33</f>
        <v>0</v>
      </c>
      <c r="CN33" s="683">
        <f t="shared" si="98"/>
        <v>0</v>
      </c>
      <c r="CO33" s="683">
        <f t="shared" si="98"/>
        <v>0</v>
      </c>
      <c r="CP33" s="683">
        <f t="shared" si="98"/>
        <v>0</v>
      </c>
      <c r="CQ33" s="683">
        <f t="shared" si="98"/>
        <v>0</v>
      </c>
      <c r="CR33" s="683">
        <f t="shared" si="98"/>
        <v>0</v>
      </c>
      <c r="CS33" s="683">
        <f t="shared" si="98"/>
        <v>0</v>
      </c>
      <c r="CT33" s="683">
        <f t="shared" si="98"/>
        <v>0</v>
      </c>
      <c r="CU33" s="683">
        <f t="shared" si="98"/>
        <v>0</v>
      </c>
      <c r="CV33" s="683">
        <f t="shared" si="98"/>
        <v>0</v>
      </c>
      <c r="CW33" s="683">
        <f t="shared" si="21"/>
        <v>0</v>
      </c>
      <c r="CX33" s="683">
        <f t="shared" ref="CX33:DG33" si="99">BN33*$CL33</f>
        <v>0</v>
      </c>
      <c r="CY33" s="683">
        <f t="shared" si="99"/>
        <v>0</v>
      </c>
      <c r="CZ33" s="683">
        <f t="shared" si="99"/>
        <v>9291.6</v>
      </c>
      <c r="DA33" s="683">
        <f t="shared" si="99"/>
        <v>0</v>
      </c>
      <c r="DB33" s="683">
        <f t="shared" si="99"/>
        <v>0</v>
      </c>
      <c r="DC33" s="683">
        <f t="shared" si="99"/>
        <v>0</v>
      </c>
      <c r="DD33" s="683">
        <f t="shared" si="99"/>
        <v>148.6656</v>
      </c>
      <c r="DE33" s="683">
        <f t="shared" si="99"/>
        <v>3344.976</v>
      </c>
      <c r="DF33" s="683">
        <f t="shared" si="99"/>
        <v>0</v>
      </c>
      <c r="DG33" s="683">
        <f t="shared" si="99"/>
        <v>0</v>
      </c>
      <c r="DH33" s="683">
        <f t="shared" si="23"/>
        <v>12785.2416</v>
      </c>
      <c r="DI33" s="683">
        <f t="shared" ref="DI33:DR33" si="100">BY33*$CL33</f>
        <v>0</v>
      </c>
      <c r="DJ33" s="683">
        <f t="shared" si="100"/>
        <v>0</v>
      </c>
      <c r="DK33" s="683">
        <f t="shared" si="100"/>
        <v>0</v>
      </c>
      <c r="DL33" s="683">
        <f t="shared" si="100"/>
        <v>10406.592</v>
      </c>
      <c r="DM33" s="683">
        <f t="shared" si="100"/>
        <v>8176.608</v>
      </c>
      <c r="DN33" s="683">
        <f t="shared" si="100"/>
        <v>9291.6</v>
      </c>
      <c r="DO33" s="683">
        <f t="shared" si="100"/>
        <v>0</v>
      </c>
      <c r="DP33" s="683">
        <f t="shared" si="100"/>
        <v>0</v>
      </c>
      <c r="DQ33" s="683">
        <f t="shared" si="100"/>
        <v>0</v>
      </c>
      <c r="DR33" s="683">
        <f t="shared" si="100"/>
        <v>148.6656</v>
      </c>
      <c r="DS33" s="683">
        <f t="shared" si="25"/>
        <v>28023.4656</v>
      </c>
      <c r="DT33" s="683">
        <f t="shared" si="15"/>
        <v>40808.7072</v>
      </c>
      <c r="DU33" s="504"/>
      <c r="DV33" s="486"/>
      <c r="DW33" s="688"/>
      <c r="DX33" s="688"/>
      <c r="DY33" s="688"/>
      <c r="DZ33" s="688"/>
      <c r="EA33" s="688"/>
      <c r="EB33" s="688"/>
      <c r="EC33" s="751">
        <v>4.0</v>
      </c>
      <c r="ED33" s="755"/>
      <c r="EE33" s="756">
        <v>0.0</v>
      </c>
      <c r="EF33" s="751">
        <v>4.0</v>
      </c>
      <c r="EG33" s="688"/>
      <c r="EH33" s="707" t="s">
        <v>3073</v>
      </c>
      <c r="EI33" s="708">
        <f>VLOOKUP(I33,CotizacionTDB,4,FALSE())</f>
        <v>5.34</v>
      </c>
      <c r="EJ33" s="708">
        <f>VLOOKUP(I33,CotizacionTDB,5,FALSE())</f>
        <v>4.54</v>
      </c>
      <c r="EK33" s="691"/>
    </row>
    <row r="34" ht="12.0" customHeight="1">
      <c r="A34" s="709" t="s">
        <v>3026</v>
      </c>
      <c r="B34" s="661">
        <v>2.0</v>
      </c>
      <c r="C34" s="567" t="s">
        <v>3027</v>
      </c>
      <c r="D34" s="568" t="s">
        <v>36</v>
      </c>
      <c r="E34" s="568" t="s">
        <v>2708</v>
      </c>
      <c r="F34" s="567" t="s">
        <v>1763</v>
      </c>
      <c r="G34" s="657" t="s">
        <v>2709</v>
      </c>
      <c r="H34" s="569" t="s">
        <v>3074</v>
      </c>
      <c r="I34" s="721" t="s">
        <v>1929</v>
      </c>
      <c r="J34" s="711" t="s">
        <v>735</v>
      </c>
      <c r="K34" s="567" t="s">
        <v>25</v>
      </c>
      <c r="L34" s="567">
        <v>2024.0</v>
      </c>
      <c r="M34" s="567">
        <v>2025.0</v>
      </c>
      <c r="N34" s="567">
        <v>2024.0</v>
      </c>
      <c r="O34" s="567">
        <v>2025.0</v>
      </c>
      <c r="P34" s="567">
        <v>2024.0</v>
      </c>
      <c r="Q34" s="567">
        <v>2025.0</v>
      </c>
      <c r="R34" s="567"/>
      <c r="S34" s="567"/>
      <c r="T34" s="567"/>
      <c r="U34" s="567"/>
      <c r="V34" s="567"/>
      <c r="W34" s="567">
        <v>6.0</v>
      </c>
      <c r="X34" s="567">
        <v>7.0</v>
      </c>
      <c r="Y34" s="567">
        <v>6.0</v>
      </c>
      <c r="Z34" s="567">
        <v>7.0</v>
      </c>
      <c r="AA34" s="567">
        <v>7.0</v>
      </c>
      <c r="AB34" s="567">
        <v>7.0</v>
      </c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>
        <v>-2024.0</v>
      </c>
      <c r="AS34" s="567">
        <v>-2025.0</v>
      </c>
      <c r="AT34" s="567">
        <v>-2024.0</v>
      </c>
      <c r="AU34" s="567">
        <v>-2025.0</v>
      </c>
      <c r="AV34" s="567">
        <v>-2024.0</v>
      </c>
      <c r="AW34" s="567">
        <v>-2025.0</v>
      </c>
      <c r="AX34" s="567">
        <v>0.0</v>
      </c>
      <c r="AY34" s="567">
        <v>0.0</v>
      </c>
      <c r="AZ34" s="567">
        <v>0.0</v>
      </c>
      <c r="BA34" s="567">
        <v>0.0</v>
      </c>
      <c r="BB34" s="567"/>
      <c r="BC34" s="567"/>
      <c r="BD34" s="567"/>
      <c r="BE34" s="718"/>
      <c r="BF34" s="567"/>
      <c r="BG34" s="680"/>
      <c r="BH34" s="567"/>
      <c r="BI34" s="567"/>
      <c r="BJ34" s="567"/>
      <c r="BK34" s="567"/>
      <c r="BL34" s="725"/>
      <c r="BM34" s="665">
        <f t="shared" si="1"/>
        <v>0</v>
      </c>
      <c r="BN34" s="671"/>
      <c r="BO34" s="668"/>
      <c r="BP34" s="667">
        <v>10.0</v>
      </c>
      <c r="BQ34" s="668"/>
      <c r="BR34" s="684">
        <v>8.0</v>
      </c>
      <c r="BS34" s="668"/>
      <c r="BT34" s="668"/>
      <c r="BU34" s="668"/>
      <c r="BV34" s="668"/>
      <c r="BW34" s="757"/>
      <c r="BX34" s="665">
        <f t="shared" si="2"/>
        <v>18</v>
      </c>
      <c r="BY34" s="671">
        <v>0.0</v>
      </c>
      <c r="BZ34" s="668">
        <v>0.0</v>
      </c>
      <c r="CA34" s="667">
        <v>10.0</v>
      </c>
      <c r="CB34" s="668"/>
      <c r="CC34" s="684">
        <v>8.0</v>
      </c>
      <c r="CD34" s="667"/>
      <c r="CE34" s="668"/>
      <c r="CF34" s="668"/>
      <c r="CG34" s="668"/>
      <c r="CH34" s="758"/>
      <c r="CI34" s="665">
        <f t="shared" si="3"/>
        <v>18</v>
      </c>
      <c r="CJ34" s="671">
        <f t="shared" si="4"/>
        <v>36</v>
      </c>
      <c r="CK34" s="715">
        <v>91.06</v>
      </c>
      <c r="CL34" s="668">
        <f t="shared" si="19"/>
        <v>633.7776</v>
      </c>
      <c r="CM34" s="668">
        <f t="shared" ref="CM34:CV34" si="101">BC34*$CL34</f>
        <v>0</v>
      </c>
      <c r="CN34" s="668">
        <f t="shared" si="101"/>
        <v>0</v>
      </c>
      <c r="CO34" s="668">
        <f t="shared" si="101"/>
        <v>0</v>
      </c>
      <c r="CP34" s="668">
        <f t="shared" si="101"/>
        <v>0</v>
      </c>
      <c r="CQ34" s="668">
        <f t="shared" si="101"/>
        <v>0</v>
      </c>
      <c r="CR34" s="668">
        <f t="shared" si="101"/>
        <v>0</v>
      </c>
      <c r="CS34" s="668">
        <f t="shared" si="101"/>
        <v>0</v>
      </c>
      <c r="CT34" s="668">
        <f t="shared" si="101"/>
        <v>0</v>
      </c>
      <c r="CU34" s="668">
        <f t="shared" si="101"/>
        <v>0</v>
      </c>
      <c r="CV34" s="668">
        <f t="shared" si="101"/>
        <v>0</v>
      </c>
      <c r="CW34" s="668">
        <f t="shared" si="21"/>
        <v>0</v>
      </c>
      <c r="CX34" s="668">
        <f t="shared" ref="CX34:DG34" si="102">BN34*$CL34</f>
        <v>0</v>
      </c>
      <c r="CY34" s="668">
        <f t="shared" si="102"/>
        <v>0</v>
      </c>
      <c r="CZ34" s="668">
        <f t="shared" si="102"/>
        <v>6337.776</v>
      </c>
      <c r="DA34" s="668">
        <f t="shared" si="102"/>
        <v>0</v>
      </c>
      <c r="DB34" s="668">
        <f t="shared" si="102"/>
        <v>5070.2208</v>
      </c>
      <c r="DC34" s="668">
        <f t="shared" si="102"/>
        <v>0</v>
      </c>
      <c r="DD34" s="668">
        <f t="shared" si="102"/>
        <v>0</v>
      </c>
      <c r="DE34" s="668">
        <f t="shared" si="102"/>
        <v>0</v>
      </c>
      <c r="DF34" s="668">
        <f t="shared" si="102"/>
        <v>0</v>
      </c>
      <c r="DG34" s="668">
        <f t="shared" si="102"/>
        <v>0</v>
      </c>
      <c r="DH34" s="668">
        <f t="shared" si="23"/>
        <v>11407.9968</v>
      </c>
      <c r="DI34" s="668">
        <f t="shared" ref="DI34:DR34" si="103">BY34*$CL34</f>
        <v>0</v>
      </c>
      <c r="DJ34" s="668">
        <f t="shared" si="103"/>
        <v>0</v>
      </c>
      <c r="DK34" s="668">
        <f t="shared" si="103"/>
        <v>6337.776</v>
      </c>
      <c r="DL34" s="668">
        <f t="shared" si="103"/>
        <v>0</v>
      </c>
      <c r="DM34" s="668">
        <f t="shared" si="103"/>
        <v>5070.2208</v>
      </c>
      <c r="DN34" s="668">
        <f t="shared" si="103"/>
        <v>0</v>
      </c>
      <c r="DO34" s="668">
        <f t="shared" si="103"/>
        <v>0</v>
      </c>
      <c r="DP34" s="668">
        <f t="shared" si="103"/>
        <v>0</v>
      </c>
      <c r="DQ34" s="668">
        <f t="shared" si="103"/>
        <v>0</v>
      </c>
      <c r="DR34" s="668">
        <f t="shared" si="103"/>
        <v>0</v>
      </c>
      <c r="DS34" s="668">
        <f t="shared" si="25"/>
        <v>11407.9968</v>
      </c>
      <c r="DT34" s="668">
        <f t="shared" si="15"/>
        <v>22815.9936</v>
      </c>
      <c r="DU34" s="538"/>
      <c r="DV34" s="468"/>
      <c r="DW34" s="698"/>
      <c r="DX34" s="698"/>
      <c r="DY34" s="698"/>
      <c r="DZ34" s="759">
        <v>8.0</v>
      </c>
      <c r="EA34" s="575"/>
      <c r="EB34" s="759">
        <v>8.0</v>
      </c>
      <c r="EC34" s="729"/>
      <c r="ED34" s="575"/>
      <c r="EE34" s="575"/>
      <c r="EF34" s="760">
        <v>4.0</v>
      </c>
      <c r="EG34" s="698"/>
      <c r="EH34" s="576" t="s">
        <v>3075</v>
      </c>
      <c r="EI34" s="716">
        <f>VLOOKUP(I34,CotizacionTDB,4,FALSE())</f>
        <v>91.06</v>
      </c>
      <c r="EJ34" s="716">
        <f>VLOOKUP(I34,CotizacionTDB,5,FALSE())</f>
        <v>77.4</v>
      </c>
      <c r="EK34" s="699"/>
    </row>
    <row r="35" ht="12.0" customHeight="1">
      <c r="A35" s="700" t="s">
        <v>3026</v>
      </c>
      <c r="B35" s="701">
        <v>2.0</v>
      </c>
      <c r="C35" s="562" t="s">
        <v>3027</v>
      </c>
      <c r="D35" s="571" t="s">
        <v>36</v>
      </c>
      <c r="E35" s="571" t="s">
        <v>2708</v>
      </c>
      <c r="F35" s="562" t="s">
        <v>1763</v>
      </c>
      <c r="G35" s="569" t="s">
        <v>2709</v>
      </c>
      <c r="H35" s="737"/>
      <c r="I35" s="703" t="s">
        <v>2178</v>
      </c>
      <c r="J35" s="704" t="s">
        <v>966</v>
      </c>
      <c r="K35" s="562" t="s">
        <v>25</v>
      </c>
      <c r="L35" s="562"/>
      <c r="M35" s="562"/>
      <c r="N35" s="562"/>
      <c r="O35" s="562">
        <v>2025.0</v>
      </c>
      <c r="P35" s="562">
        <v>2024.0</v>
      </c>
      <c r="Q35" s="562">
        <v>2024.0</v>
      </c>
      <c r="R35" s="562">
        <v>2024.0</v>
      </c>
      <c r="S35" s="562">
        <v>2024.0</v>
      </c>
      <c r="T35" s="562"/>
      <c r="U35" s="562"/>
      <c r="V35" s="562"/>
      <c r="W35" s="562">
        <v>3.0</v>
      </c>
      <c r="X35" s="562"/>
      <c r="Y35" s="562"/>
      <c r="Z35" s="562">
        <v>7.0</v>
      </c>
      <c r="AA35" s="562">
        <v>7.0</v>
      </c>
      <c r="AB35" s="562">
        <v>7.0</v>
      </c>
      <c r="AC35" s="562"/>
      <c r="AD35" s="562"/>
      <c r="AE35" s="562"/>
      <c r="AF35" s="562"/>
      <c r="AG35" s="562"/>
      <c r="AH35" s="562"/>
      <c r="AI35" s="562"/>
      <c r="AJ35" s="562"/>
      <c r="AK35" s="562"/>
      <c r="AL35" s="562"/>
      <c r="AM35" s="562"/>
      <c r="AN35" s="562"/>
      <c r="AO35" s="562"/>
      <c r="AP35" s="562"/>
      <c r="AQ35" s="562"/>
      <c r="AR35" s="562">
        <v>0.0</v>
      </c>
      <c r="AS35" s="562">
        <v>0.0</v>
      </c>
      <c r="AT35" s="562">
        <v>0.0</v>
      </c>
      <c r="AU35" s="562">
        <v>-2025.0</v>
      </c>
      <c r="AV35" s="562">
        <v>-2024.0</v>
      </c>
      <c r="AW35" s="562">
        <v>-2024.0</v>
      </c>
      <c r="AX35" s="562">
        <v>-2024.0</v>
      </c>
      <c r="AY35" s="562">
        <v>-2024.0</v>
      </c>
      <c r="AZ35" s="562">
        <v>0.0</v>
      </c>
      <c r="BA35" s="562">
        <v>0.0</v>
      </c>
      <c r="BB35" s="562"/>
      <c r="BC35" s="718"/>
      <c r="BD35" s="718"/>
      <c r="BE35" s="718"/>
      <c r="BF35" s="718"/>
      <c r="BG35" s="718"/>
      <c r="BH35" s="718"/>
      <c r="BI35" s="718"/>
      <c r="BJ35" s="718"/>
      <c r="BK35" s="718"/>
      <c r="BL35" s="731"/>
      <c r="BM35" s="665">
        <f t="shared" si="1"/>
        <v>0</v>
      </c>
      <c r="BN35" s="683"/>
      <c r="BO35" s="683"/>
      <c r="BP35" s="683"/>
      <c r="BQ35" s="667"/>
      <c r="BR35" s="667">
        <v>100.0</v>
      </c>
      <c r="BS35" s="667">
        <v>100.0</v>
      </c>
      <c r="BT35" s="683"/>
      <c r="BU35" s="683"/>
      <c r="BV35" s="683"/>
      <c r="BW35" s="686"/>
      <c r="BX35" s="665">
        <f t="shared" si="2"/>
        <v>200</v>
      </c>
      <c r="BY35" s="682">
        <v>0.0</v>
      </c>
      <c r="BZ35" s="683">
        <v>0.0</v>
      </c>
      <c r="CA35" s="683">
        <v>0.0</v>
      </c>
      <c r="CB35" s="667">
        <v>100.0</v>
      </c>
      <c r="CC35" s="683">
        <v>0.0</v>
      </c>
      <c r="CD35" s="683">
        <v>0.0</v>
      </c>
      <c r="CE35" s="683">
        <v>0.0</v>
      </c>
      <c r="CF35" s="683">
        <v>0.0</v>
      </c>
      <c r="CG35" s="683">
        <v>0.0</v>
      </c>
      <c r="CH35" s="686">
        <v>0.0</v>
      </c>
      <c r="CI35" s="665">
        <f t="shared" si="3"/>
        <v>100</v>
      </c>
      <c r="CJ35" s="682">
        <f t="shared" si="4"/>
        <v>300</v>
      </c>
      <c r="CK35" s="706">
        <v>5.61</v>
      </c>
      <c r="CL35" s="683">
        <f t="shared" si="19"/>
        <v>39.0456</v>
      </c>
      <c r="CM35" s="683">
        <f t="shared" ref="CM35:CV35" si="104">BC35*$CL35</f>
        <v>0</v>
      </c>
      <c r="CN35" s="683">
        <f t="shared" si="104"/>
        <v>0</v>
      </c>
      <c r="CO35" s="683">
        <f t="shared" si="104"/>
        <v>0</v>
      </c>
      <c r="CP35" s="683">
        <f t="shared" si="104"/>
        <v>0</v>
      </c>
      <c r="CQ35" s="683">
        <f t="shared" si="104"/>
        <v>0</v>
      </c>
      <c r="CR35" s="683">
        <f t="shared" si="104"/>
        <v>0</v>
      </c>
      <c r="CS35" s="683">
        <f t="shared" si="104"/>
        <v>0</v>
      </c>
      <c r="CT35" s="683">
        <f t="shared" si="104"/>
        <v>0</v>
      </c>
      <c r="CU35" s="683">
        <f t="shared" si="104"/>
        <v>0</v>
      </c>
      <c r="CV35" s="683">
        <f t="shared" si="104"/>
        <v>0</v>
      </c>
      <c r="CW35" s="683">
        <f t="shared" si="21"/>
        <v>0</v>
      </c>
      <c r="CX35" s="683">
        <f t="shared" ref="CX35:DG35" si="105">BN35*$CL35</f>
        <v>0</v>
      </c>
      <c r="CY35" s="683">
        <f t="shared" si="105"/>
        <v>0</v>
      </c>
      <c r="CZ35" s="683">
        <f t="shared" si="105"/>
        <v>0</v>
      </c>
      <c r="DA35" s="683">
        <f t="shared" si="105"/>
        <v>0</v>
      </c>
      <c r="DB35" s="683">
        <f t="shared" si="105"/>
        <v>3904.56</v>
      </c>
      <c r="DC35" s="683">
        <f t="shared" si="105"/>
        <v>3904.56</v>
      </c>
      <c r="DD35" s="683">
        <f t="shared" si="105"/>
        <v>0</v>
      </c>
      <c r="DE35" s="683">
        <f t="shared" si="105"/>
        <v>0</v>
      </c>
      <c r="DF35" s="683">
        <f t="shared" si="105"/>
        <v>0</v>
      </c>
      <c r="DG35" s="683">
        <f t="shared" si="105"/>
        <v>0</v>
      </c>
      <c r="DH35" s="683">
        <f t="shared" si="23"/>
        <v>7809.12</v>
      </c>
      <c r="DI35" s="683">
        <f t="shared" ref="DI35:DR35" si="106">BY35*$CL35</f>
        <v>0</v>
      </c>
      <c r="DJ35" s="683">
        <f t="shared" si="106"/>
        <v>0</v>
      </c>
      <c r="DK35" s="683">
        <f t="shared" si="106"/>
        <v>0</v>
      </c>
      <c r="DL35" s="683">
        <f t="shared" si="106"/>
        <v>3904.56</v>
      </c>
      <c r="DM35" s="683">
        <f t="shared" si="106"/>
        <v>0</v>
      </c>
      <c r="DN35" s="683">
        <f t="shared" si="106"/>
        <v>0</v>
      </c>
      <c r="DO35" s="683">
        <f t="shared" si="106"/>
        <v>0</v>
      </c>
      <c r="DP35" s="683">
        <f t="shared" si="106"/>
        <v>0</v>
      </c>
      <c r="DQ35" s="683">
        <f t="shared" si="106"/>
        <v>0</v>
      </c>
      <c r="DR35" s="683">
        <f t="shared" si="106"/>
        <v>0</v>
      </c>
      <c r="DS35" s="683">
        <f t="shared" si="25"/>
        <v>3904.56</v>
      </c>
      <c r="DT35" s="683">
        <f t="shared" si="15"/>
        <v>11713.68</v>
      </c>
      <c r="DU35" s="504"/>
      <c r="DV35" s="486"/>
      <c r="DW35" s="688"/>
      <c r="DX35" s="688"/>
      <c r="DY35" s="688"/>
      <c r="DZ35" s="688"/>
      <c r="EA35" s="688"/>
      <c r="EB35" s="688"/>
      <c r="EC35" s="688"/>
      <c r="ED35" s="688"/>
      <c r="EE35" s="688"/>
      <c r="EF35" s="688"/>
      <c r="EG35" s="688"/>
      <c r="EH35" s="707" t="s">
        <v>3076</v>
      </c>
      <c r="EI35" s="708">
        <f>VLOOKUP(I35,CotizacionTDB,4,FALSE())</f>
        <v>5.61</v>
      </c>
      <c r="EJ35" s="708">
        <f>VLOOKUP(I35,CotizacionTDB,5,FALSE())</f>
        <v>4.77</v>
      </c>
      <c r="EK35" s="691"/>
    </row>
    <row r="36" ht="12.0" customHeight="1">
      <c r="A36" s="709" t="s">
        <v>3026</v>
      </c>
      <c r="B36" s="661">
        <v>2.0</v>
      </c>
      <c r="C36" s="567" t="s">
        <v>3027</v>
      </c>
      <c r="D36" s="568" t="s">
        <v>36</v>
      </c>
      <c r="E36" s="568" t="s">
        <v>2708</v>
      </c>
      <c r="F36" s="567" t="s">
        <v>1763</v>
      </c>
      <c r="G36" s="569" t="s">
        <v>2709</v>
      </c>
      <c r="H36" s="569" t="s">
        <v>3077</v>
      </c>
      <c r="I36" s="721" t="s">
        <v>2030</v>
      </c>
      <c r="J36" s="711" t="s">
        <v>1256</v>
      </c>
      <c r="K36" s="567" t="s">
        <v>25</v>
      </c>
      <c r="L36" s="567">
        <v>2024.0</v>
      </c>
      <c r="M36" s="567">
        <v>2025.0</v>
      </c>
      <c r="N36" s="567"/>
      <c r="O36" s="567"/>
      <c r="P36" s="567"/>
      <c r="Q36" s="567"/>
      <c r="R36" s="567"/>
      <c r="S36" s="567"/>
      <c r="T36" s="567"/>
      <c r="U36" s="567"/>
      <c r="V36" s="567"/>
      <c r="W36" s="567">
        <v>3.0</v>
      </c>
      <c r="X36" s="567">
        <v>5.0</v>
      </c>
      <c r="Y36" s="567"/>
      <c r="Z36" s="567"/>
      <c r="AA36" s="567"/>
      <c r="AB36" s="567"/>
      <c r="AC36" s="567"/>
      <c r="AD36" s="567"/>
      <c r="AE36" s="567"/>
      <c r="AF36" s="567"/>
      <c r="AG36" s="567"/>
      <c r="AH36" s="567"/>
      <c r="AI36" s="567"/>
      <c r="AJ36" s="567"/>
      <c r="AK36" s="567"/>
      <c r="AL36" s="567"/>
      <c r="AM36" s="567"/>
      <c r="AN36" s="567"/>
      <c r="AO36" s="567"/>
      <c r="AP36" s="567"/>
      <c r="AQ36" s="567"/>
      <c r="AR36" s="567">
        <v>-2024.0</v>
      </c>
      <c r="AS36" s="567">
        <v>-2025.0</v>
      </c>
      <c r="AT36" s="567">
        <v>0.0</v>
      </c>
      <c r="AU36" s="567">
        <v>0.0</v>
      </c>
      <c r="AV36" s="567">
        <v>0.0</v>
      </c>
      <c r="AW36" s="567">
        <v>0.0</v>
      </c>
      <c r="AX36" s="567">
        <v>0.0</v>
      </c>
      <c r="AY36" s="567">
        <v>0.0</v>
      </c>
      <c r="AZ36" s="567">
        <v>0.0</v>
      </c>
      <c r="BA36" s="567">
        <v>0.0</v>
      </c>
      <c r="BB36" s="567"/>
      <c r="BC36" s="718"/>
      <c r="BD36" s="718"/>
      <c r="BE36" s="718"/>
      <c r="BF36" s="718"/>
      <c r="BG36" s="718"/>
      <c r="BH36" s="718"/>
      <c r="BI36" s="718"/>
      <c r="BJ36" s="718"/>
      <c r="BK36" s="718"/>
      <c r="BL36" s="731"/>
      <c r="BM36" s="665">
        <f t="shared" si="1"/>
        <v>0</v>
      </c>
      <c r="BN36" s="666">
        <v>20.0</v>
      </c>
      <c r="BO36" s="667"/>
      <c r="BP36" s="668"/>
      <c r="BQ36" s="668"/>
      <c r="BR36" s="668"/>
      <c r="BS36" s="668"/>
      <c r="BT36" s="668"/>
      <c r="BU36" s="668"/>
      <c r="BV36" s="668"/>
      <c r="BW36" s="670"/>
      <c r="BX36" s="665">
        <f t="shared" si="2"/>
        <v>20</v>
      </c>
      <c r="BY36" s="671">
        <v>0.0</v>
      </c>
      <c r="BZ36" s="667">
        <v>15.0</v>
      </c>
      <c r="CA36" s="668">
        <v>0.0</v>
      </c>
      <c r="CB36" s="668">
        <v>0.0</v>
      </c>
      <c r="CC36" s="668">
        <v>0.0</v>
      </c>
      <c r="CD36" s="668">
        <v>0.0</v>
      </c>
      <c r="CE36" s="668">
        <v>0.0</v>
      </c>
      <c r="CF36" s="668">
        <v>0.0</v>
      </c>
      <c r="CG36" s="668">
        <v>0.0</v>
      </c>
      <c r="CH36" s="670">
        <v>0.0</v>
      </c>
      <c r="CI36" s="665">
        <f t="shared" si="3"/>
        <v>15</v>
      </c>
      <c r="CJ36" s="671">
        <f t="shared" si="4"/>
        <v>35</v>
      </c>
      <c r="CK36" s="715">
        <v>16.0</v>
      </c>
      <c r="CL36" s="668">
        <f t="shared" si="19"/>
        <v>111.36</v>
      </c>
      <c r="CM36" s="668">
        <f t="shared" ref="CM36:CV36" si="107">BC36*$CL36</f>
        <v>0</v>
      </c>
      <c r="CN36" s="668">
        <f t="shared" si="107"/>
        <v>0</v>
      </c>
      <c r="CO36" s="668">
        <f t="shared" si="107"/>
        <v>0</v>
      </c>
      <c r="CP36" s="668">
        <f t="shared" si="107"/>
        <v>0</v>
      </c>
      <c r="CQ36" s="668">
        <f t="shared" si="107"/>
        <v>0</v>
      </c>
      <c r="CR36" s="668">
        <f t="shared" si="107"/>
        <v>0</v>
      </c>
      <c r="CS36" s="668">
        <f t="shared" si="107"/>
        <v>0</v>
      </c>
      <c r="CT36" s="668">
        <f t="shared" si="107"/>
        <v>0</v>
      </c>
      <c r="CU36" s="668">
        <f t="shared" si="107"/>
        <v>0</v>
      </c>
      <c r="CV36" s="668">
        <f t="shared" si="107"/>
        <v>0</v>
      </c>
      <c r="CW36" s="668">
        <f t="shared" si="21"/>
        <v>0</v>
      </c>
      <c r="CX36" s="668">
        <f t="shared" ref="CX36:DG36" si="108">BN36*$CL36</f>
        <v>2227.2</v>
      </c>
      <c r="CY36" s="668">
        <f t="shared" si="108"/>
        <v>0</v>
      </c>
      <c r="CZ36" s="668">
        <f t="shared" si="108"/>
        <v>0</v>
      </c>
      <c r="DA36" s="668">
        <f t="shared" si="108"/>
        <v>0</v>
      </c>
      <c r="DB36" s="668">
        <f t="shared" si="108"/>
        <v>0</v>
      </c>
      <c r="DC36" s="668">
        <f t="shared" si="108"/>
        <v>0</v>
      </c>
      <c r="DD36" s="668">
        <f t="shared" si="108"/>
        <v>0</v>
      </c>
      <c r="DE36" s="668">
        <f t="shared" si="108"/>
        <v>0</v>
      </c>
      <c r="DF36" s="668">
        <f t="shared" si="108"/>
        <v>0</v>
      </c>
      <c r="DG36" s="668">
        <f t="shared" si="108"/>
        <v>0</v>
      </c>
      <c r="DH36" s="668">
        <f t="shared" si="23"/>
        <v>2227.2</v>
      </c>
      <c r="DI36" s="668">
        <f t="shared" ref="DI36:DR36" si="109">BY36*$CL36</f>
        <v>0</v>
      </c>
      <c r="DJ36" s="668">
        <f t="shared" si="109"/>
        <v>1670.4</v>
      </c>
      <c r="DK36" s="668">
        <f t="shared" si="109"/>
        <v>0</v>
      </c>
      <c r="DL36" s="668">
        <f t="shared" si="109"/>
        <v>0</v>
      </c>
      <c r="DM36" s="668">
        <f t="shared" si="109"/>
        <v>0</v>
      </c>
      <c r="DN36" s="668">
        <f t="shared" si="109"/>
        <v>0</v>
      </c>
      <c r="DO36" s="668">
        <f t="shared" si="109"/>
        <v>0</v>
      </c>
      <c r="DP36" s="668">
        <f t="shared" si="109"/>
        <v>0</v>
      </c>
      <c r="DQ36" s="668">
        <f t="shared" si="109"/>
        <v>0</v>
      </c>
      <c r="DR36" s="668">
        <f t="shared" si="109"/>
        <v>0</v>
      </c>
      <c r="DS36" s="668">
        <f t="shared" si="25"/>
        <v>1670.4</v>
      </c>
      <c r="DT36" s="668">
        <f t="shared" si="15"/>
        <v>3897.6</v>
      </c>
      <c r="DU36" s="538"/>
      <c r="DV36" s="468"/>
      <c r="DW36" s="698"/>
      <c r="DX36" s="698"/>
      <c r="DY36" s="698"/>
      <c r="DZ36" s="698"/>
      <c r="EA36" s="698"/>
      <c r="EB36" s="698"/>
      <c r="EC36" s="698"/>
      <c r="ED36" s="698"/>
      <c r="EE36" s="698"/>
      <c r="EF36" s="698"/>
      <c r="EG36" s="698"/>
      <c r="EH36" s="576" t="s">
        <v>3078</v>
      </c>
      <c r="EI36" s="716">
        <f>VLOOKUP(I36,CotizacionTDB,4,FALSE())</f>
        <v>16</v>
      </c>
      <c r="EJ36" s="716">
        <f>VLOOKUP(I36,CotizacionTDB,5,FALSE())</f>
        <v>13.6</v>
      </c>
      <c r="EK36" s="699"/>
    </row>
    <row r="37" ht="12.0" customHeight="1">
      <c r="A37" s="700" t="s">
        <v>3026</v>
      </c>
      <c r="B37" s="701">
        <v>2.0</v>
      </c>
      <c r="C37" s="562" t="s">
        <v>3027</v>
      </c>
      <c r="D37" s="571" t="s">
        <v>36</v>
      </c>
      <c r="E37" s="571" t="s">
        <v>2708</v>
      </c>
      <c r="F37" s="562" t="s">
        <v>1763</v>
      </c>
      <c r="G37" s="702" t="s">
        <v>2709</v>
      </c>
      <c r="H37" s="569" t="s">
        <v>2710</v>
      </c>
      <c r="I37" s="703" t="s">
        <v>1855</v>
      </c>
      <c r="J37" s="704" t="s">
        <v>1169</v>
      </c>
      <c r="K37" s="562" t="s">
        <v>25</v>
      </c>
      <c r="L37" s="562"/>
      <c r="M37" s="562"/>
      <c r="N37" s="562">
        <v>2024.0</v>
      </c>
      <c r="O37" s="562">
        <v>2025.0</v>
      </c>
      <c r="P37" s="562">
        <v>2025.0</v>
      </c>
      <c r="Q37" s="562">
        <v>2025.0</v>
      </c>
      <c r="R37" s="562">
        <v>2024.0</v>
      </c>
      <c r="S37" s="562">
        <v>2024.0</v>
      </c>
      <c r="T37" s="562"/>
      <c r="U37" s="562">
        <v>2024.0</v>
      </c>
      <c r="V37" s="562"/>
      <c r="W37" s="562">
        <v>3.0</v>
      </c>
      <c r="X37" s="562"/>
      <c r="Y37" s="562">
        <v>5.0</v>
      </c>
      <c r="Z37" s="562">
        <v>5.0</v>
      </c>
      <c r="AA37" s="562">
        <v>5.0</v>
      </c>
      <c r="AB37" s="562">
        <v>5.0</v>
      </c>
      <c r="AC37" s="562">
        <v>2.0</v>
      </c>
      <c r="AD37" s="562">
        <v>2.0</v>
      </c>
      <c r="AE37" s="562"/>
      <c r="AF37" s="562">
        <v>2.0</v>
      </c>
      <c r="AG37" s="562"/>
      <c r="AH37" s="562"/>
      <c r="AI37" s="562"/>
      <c r="AJ37" s="562"/>
      <c r="AK37" s="562"/>
      <c r="AL37" s="562"/>
      <c r="AM37" s="562"/>
      <c r="AN37" s="562"/>
      <c r="AO37" s="562"/>
      <c r="AP37" s="562"/>
      <c r="AQ37" s="562"/>
      <c r="AR37" s="562">
        <v>0.0</v>
      </c>
      <c r="AS37" s="562">
        <v>0.0</v>
      </c>
      <c r="AT37" s="562">
        <v>-2024.0</v>
      </c>
      <c r="AU37" s="562">
        <v>-2025.0</v>
      </c>
      <c r="AV37" s="562">
        <v>-2025.0</v>
      </c>
      <c r="AW37" s="562">
        <v>-2025.0</v>
      </c>
      <c r="AX37" s="562">
        <v>-2024.0</v>
      </c>
      <c r="AY37" s="562">
        <v>-2024.0</v>
      </c>
      <c r="AZ37" s="562">
        <v>0.0</v>
      </c>
      <c r="BA37" s="562">
        <v>-2024.0</v>
      </c>
      <c r="BB37" s="562"/>
      <c r="BC37" s="718"/>
      <c r="BD37" s="718"/>
      <c r="BE37" s="718"/>
      <c r="BF37" s="718"/>
      <c r="BG37" s="718"/>
      <c r="BH37" s="718"/>
      <c r="BI37" s="718"/>
      <c r="BJ37" s="718"/>
      <c r="BK37" s="718"/>
      <c r="BL37" s="731"/>
      <c r="BM37" s="665">
        <f t="shared" si="1"/>
        <v>0</v>
      </c>
      <c r="BN37" s="682"/>
      <c r="BO37" s="683"/>
      <c r="BP37" s="667">
        <v>500.0</v>
      </c>
      <c r="BQ37" s="667"/>
      <c r="BR37" s="667"/>
      <c r="BS37" s="667"/>
      <c r="BT37" s="667">
        <v>40.0</v>
      </c>
      <c r="BU37" s="667">
        <v>40.0</v>
      </c>
      <c r="BV37" s="683"/>
      <c r="BW37" s="732"/>
      <c r="BX37" s="665">
        <f t="shared" si="2"/>
        <v>580</v>
      </c>
      <c r="BY37" s="682">
        <v>0.0</v>
      </c>
      <c r="BZ37" s="683">
        <v>0.0</v>
      </c>
      <c r="CA37" s="683">
        <v>0.0</v>
      </c>
      <c r="CB37" s="667">
        <v>1120.0</v>
      </c>
      <c r="CC37" s="667">
        <v>50.0</v>
      </c>
      <c r="CD37" s="667">
        <v>50.0</v>
      </c>
      <c r="CE37" s="667">
        <v>40.0</v>
      </c>
      <c r="CF37" s="683">
        <v>40.0</v>
      </c>
      <c r="CG37" s="683">
        <v>0.0</v>
      </c>
      <c r="CH37" s="732">
        <v>50.0</v>
      </c>
      <c r="CI37" s="665">
        <f t="shared" si="3"/>
        <v>1350</v>
      </c>
      <c r="CJ37" s="682">
        <f t="shared" si="4"/>
        <v>1930</v>
      </c>
      <c r="CK37" s="706">
        <v>0.39</v>
      </c>
      <c r="CL37" s="683">
        <f t="shared" si="19"/>
        <v>2.7144</v>
      </c>
      <c r="CM37" s="683">
        <f t="shared" ref="CM37:CV37" si="110">BC37*$CL37</f>
        <v>0</v>
      </c>
      <c r="CN37" s="683">
        <f t="shared" si="110"/>
        <v>0</v>
      </c>
      <c r="CO37" s="683">
        <f t="shared" si="110"/>
        <v>0</v>
      </c>
      <c r="CP37" s="683">
        <f t="shared" si="110"/>
        <v>0</v>
      </c>
      <c r="CQ37" s="683">
        <f t="shared" si="110"/>
        <v>0</v>
      </c>
      <c r="CR37" s="683">
        <f t="shared" si="110"/>
        <v>0</v>
      </c>
      <c r="CS37" s="683">
        <f t="shared" si="110"/>
        <v>0</v>
      </c>
      <c r="CT37" s="683">
        <f t="shared" si="110"/>
        <v>0</v>
      </c>
      <c r="CU37" s="683">
        <f t="shared" si="110"/>
        <v>0</v>
      </c>
      <c r="CV37" s="683">
        <f t="shared" si="110"/>
        <v>0</v>
      </c>
      <c r="CW37" s="683">
        <f t="shared" si="21"/>
        <v>0</v>
      </c>
      <c r="CX37" s="683">
        <f t="shared" ref="CX37:DG37" si="111">BN37*$CL37</f>
        <v>0</v>
      </c>
      <c r="CY37" s="683">
        <f t="shared" si="111"/>
        <v>0</v>
      </c>
      <c r="CZ37" s="683">
        <f t="shared" si="111"/>
        <v>1357.2</v>
      </c>
      <c r="DA37" s="683">
        <f t="shared" si="111"/>
        <v>0</v>
      </c>
      <c r="DB37" s="683">
        <f t="shared" si="111"/>
        <v>0</v>
      </c>
      <c r="DC37" s="683">
        <f t="shared" si="111"/>
        <v>0</v>
      </c>
      <c r="DD37" s="683">
        <f t="shared" si="111"/>
        <v>108.576</v>
      </c>
      <c r="DE37" s="683">
        <f t="shared" si="111"/>
        <v>108.576</v>
      </c>
      <c r="DF37" s="683">
        <f t="shared" si="111"/>
        <v>0</v>
      </c>
      <c r="DG37" s="683">
        <f t="shared" si="111"/>
        <v>0</v>
      </c>
      <c r="DH37" s="683">
        <f t="shared" si="23"/>
        <v>1574.352</v>
      </c>
      <c r="DI37" s="683">
        <f t="shared" ref="DI37:DR37" si="112">BY37*$CL37</f>
        <v>0</v>
      </c>
      <c r="DJ37" s="683">
        <f t="shared" si="112"/>
        <v>0</v>
      </c>
      <c r="DK37" s="683">
        <f t="shared" si="112"/>
        <v>0</v>
      </c>
      <c r="DL37" s="683">
        <f t="shared" si="112"/>
        <v>3040.128</v>
      </c>
      <c r="DM37" s="683">
        <f t="shared" si="112"/>
        <v>135.72</v>
      </c>
      <c r="DN37" s="683">
        <f t="shared" si="112"/>
        <v>135.72</v>
      </c>
      <c r="DO37" s="683">
        <f t="shared" si="112"/>
        <v>108.576</v>
      </c>
      <c r="DP37" s="683">
        <f t="shared" si="112"/>
        <v>108.576</v>
      </c>
      <c r="DQ37" s="683">
        <f t="shared" si="112"/>
        <v>0</v>
      </c>
      <c r="DR37" s="683">
        <f t="shared" si="112"/>
        <v>135.72</v>
      </c>
      <c r="DS37" s="683">
        <f t="shared" si="25"/>
        <v>3664.44</v>
      </c>
      <c r="DT37" s="683">
        <f t="shared" si="15"/>
        <v>5238.792</v>
      </c>
      <c r="DU37" s="504"/>
      <c r="DV37" s="486"/>
      <c r="DW37" s="688"/>
      <c r="DX37" s="688"/>
      <c r="DY37" s="688"/>
      <c r="DZ37" s="688"/>
      <c r="EA37" s="688"/>
      <c r="EB37" s="688"/>
      <c r="EC37" s="688"/>
      <c r="ED37" s="688"/>
      <c r="EE37" s="688"/>
      <c r="EF37" s="688"/>
      <c r="EG37" s="688"/>
      <c r="EH37" s="707" t="s">
        <v>1169</v>
      </c>
      <c r="EI37" s="708">
        <f>VLOOKUP(I37,CotizacionTDB,4,FALSE())</f>
        <v>0.39</v>
      </c>
      <c r="EJ37" s="708">
        <f>VLOOKUP(I37,CotizacionTDB,5,FALSE())</f>
        <v>0.33</v>
      </c>
      <c r="EK37" s="691"/>
    </row>
    <row r="38" ht="12.0" customHeight="1">
      <c r="A38" s="709" t="s">
        <v>3026</v>
      </c>
      <c r="B38" s="661">
        <v>2.0</v>
      </c>
      <c r="C38" s="567" t="s">
        <v>3027</v>
      </c>
      <c r="D38" s="568" t="s">
        <v>36</v>
      </c>
      <c r="E38" s="568" t="s">
        <v>2708</v>
      </c>
      <c r="F38" s="567" t="s">
        <v>1763</v>
      </c>
      <c r="G38" s="569" t="s">
        <v>2709</v>
      </c>
      <c r="H38" s="658"/>
      <c r="I38" s="721" t="s">
        <v>2422</v>
      </c>
      <c r="J38" s="711" t="s">
        <v>1382</v>
      </c>
      <c r="K38" s="567" t="s">
        <v>25</v>
      </c>
      <c r="L38" s="567">
        <v>2024.0</v>
      </c>
      <c r="M38" s="567">
        <v>2025.0</v>
      </c>
      <c r="N38" s="567"/>
      <c r="O38" s="567"/>
      <c r="P38" s="567"/>
      <c r="Q38" s="567"/>
      <c r="R38" s="567"/>
      <c r="S38" s="567"/>
      <c r="T38" s="567"/>
      <c r="U38" s="567"/>
      <c r="V38" s="567"/>
      <c r="W38" s="567">
        <v>3.0</v>
      </c>
      <c r="X38" s="567">
        <v>5.0</v>
      </c>
      <c r="Y38" s="567"/>
      <c r="Z38" s="567"/>
      <c r="AA38" s="567"/>
      <c r="AB38" s="567"/>
      <c r="AC38" s="567"/>
      <c r="AD38" s="567"/>
      <c r="AE38" s="567"/>
      <c r="AF38" s="567"/>
      <c r="AG38" s="567"/>
      <c r="AH38" s="567"/>
      <c r="AI38" s="567"/>
      <c r="AJ38" s="567"/>
      <c r="AK38" s="567"/>
      <c r="AL38" s="567"/>
      <c r="AM38" s="567"/>
      <c r="AN38" s="567"/>
      <c r="AO38" s="567"/>
      <c r="AP38" s="567"/>
      <c r="AQ38" s="567"/>
      <c r="AR38" s="567">
        <v>-2024.0</v>
      </c>
      <c r="AS38" s="567">
        <v>-2025.0</v>
      </c>
      <c r="AT38" s="567">
        <v>0.0</v>
      </c>
      <c r="AU38" s="567">
        <v>0.0</v>
      </c>
      <c r="AV38" s="567">
        <v>0.0</v>
      </c>
      <c r="AW38" s="567">
        <v>0.0</v>
      </c>
      <c r="AX38" s="567">
        <v>0.0</v>
      </c>
      <c r="AY38" s="567">
        <v>0.0</v>
      </c>
      <c r="AZ38" s="567">
        <v>0.0</v>
      </c>
      <c r="BA38" s="567">
        <v>0.0</v>
      </c>
      <c r="BB38" s="567"/>
      <c r="BC38" s="680"/>
      <c r="BD38" s="718"/>
      <c r="BE38" s="718"/>
      <c r="BF38" s="718"/>
      <c r="BG38" s="718"/>
      <c r="BH38" s="718"/>
      <c r="BI38" s="718"/>
      <c r="BJ38" s="761"/>
      <c r="BK38" s="718"/>
      <c r="BL38" s="731"/>
      <c r="BM38" s="665">
        <f t="shared" si="1"/>
        <v>0</v>
      </c>
      <c r="BN38" s="734">
        <v>8.0</v>
      </c>
      <c r="BO38" s="668">
        <v>8.0</v>
      </c>
      <c r="BP38" s="668"/>
      <c r="BQ38" s="668"/>
      <c r="BR38" s="668"/>
      <c r="BS38" s="668"/>
      <c r="BT38" s="668"/>
      <c r="BU38" s="668"/>
      <c r="BV38" s="668"/>
      <c r="BW38" s="670"/>
      <c r="BX38" s="665">
        <f t="shared" si="2"/>
        <v>16</v>
      </c>
      <c r="BY38" s="671">
        <v>0.0</v>
      </c>
      <c r="BZ38" s="668">
        <v>0.0</v>
      </c>
      <c r="CA38" s="668">
        <v>0.0</v>
      </c>
      <c r="CB38" s="668">
        <v>0.0</v>
      </c>
      <c r="CC38" s="668">
        <v>0.0</v>
      </c>
      <c r="CD38" s="668">
        <v>0.0</v>
      </c>
      <c r="CE38" s="668">
        <v>0.0</v>
      </c>
      <c r="CF38" s="668">
        <v>0.0</v>
      </c>
      <c r="CG38" s="668">
        <v>0.0</v>
      </c>
      <c r="CH38" s="670">
        <v>0.0</v>
      </c>
      <c r="CI38" s="665">
        <f t="shared" si="3"/>
        <v>0</v>
      </c>
      <c r="CJ38" s="671">
        <f t="shared" si="4"/>
        <v>16</v>
      </c>
      <c r="CK38" s="715">
        <v>18.23</v>
      </c>
      <c r="CL38" s="668">
        <f t="shared" si="19"/>
        <v>126.8808</v>
      </c>
      <c r="CM38" s="668">
        <f t="shared" ref="CM38:CV38" si="113">BC38*$CL38</f>
        <v>0</v>
      </c>
      <c r="CN38" s="668">
        <f t="shared" si="113"/>
        <v>0</v>
      </c>
      <c r="CO38" s="668">
        <f t="shared" si="113"/>
        <v>0</v>
      </c>
      <c r="CP38" s="668">
        <f t="shared" si="113"/>
        <v>0</v>
      </c>
      <c r="CQ38" s="668">
        <f t="shared" si="113"/>
        <v>0</v>
      </c>
      <c r="CR38" s="668">
        <f t="shared" si="113"/>
        <v>0</v>
      </c>
      <c r="CS38" s="668">
        <f t="shared" si="113"/>
        <v>0</v>
      </c>
      <c r="CT38" s="668">
        <f t="shared" si="113"/>
        <v>0</v>
      </c>
      <c r="CU38" s="668">
        <f t="shared" si="113"/>
        <v>0</v>
      </c>
      <c r="CV38" s="668">
        <f t="shared" si="113"/>
        <v>0</v>
      </c>
      <c r="CW38" s="668">
        <f t="shared" si="21"/>
        <v>0</v>
      </c>
      <c r="CX38" s="668">
        <f t="shared" ref="CX38:DG38" si="114">BN38*$CL38</f>
        <v>1015.0464</v>
      </c>
      <c r="CY38" s="668">
        <f t="shared" si="114"/>
        <v>1015.0464</v>
      </c>
      <c r="CZ38" s="668">
        <f t="shared" si="114"/>
        <v>0</v>
      </c>
      <c r="DA38" s="668">
        <f t="shared" si="114"/>
        <v>0</v>
      </c>
      <c r="DB38" s="668">
        <f t="shared" si="114"/>
        <v>0</v>
      </c>
      <c r="DC38" s="668">
        <f t="shared" si="114"/>
        <v>0</v>
      </c>
      <c r="DD38" s="668">
        <f t="shared" si="114"/>
        <v>0</v>
      </c>
      <c r="DE38" s="668">
        <f t="shared" si="114"/>
        <v>0</v>
      </c>
      <c r="DF38" s="668">
        <f t="shared" si="114"/>
        <v>0</v>
      </c>
      <c r="DG38" s="668">
        <f t="shared" si="114"/>
        <v>0</v>
      </c>
      <c r="DH38" s="668">
        <f t="shared" si="23"/>
        <v>2030.0928</v>
      </c>
      <c r="DI38" s="668">
        <f t="shared" ref="DI38:DR38" si="115">BY38*$CL38</f>
        <v>0</v>
      </c>
      <c r="DJ38" s="668">
        <f t="shared" si="115"/>
        <v>0</v>
      </c>
      <c r="DK38" s="668">
        <f t="shared" si="115"/>
        <v>0</v>
      </c>
      <c r="DL38" s="668">
        <f t="shared" si="115"/>
        <v>0</v>
      </c>
      <c r="DM38" s="668">
        <f t="shared" si="115"/>
        <v>0</v>
      </c>
      <c r="DN38" s="668">
        <f t="shared" si="115"/>
        <v>0</v>
      </c>
      <c r="DO38" s="668">
        <f t="shared" si="115"/>
        <v>0</v>
      </c>
      <c r="DP38" s="668">
        <f t="shared" si="115"/>
        <v>0</v>
      </c>
      <c r="DQ38" s="668">
        <f t="shared" si="115"/>
        <v>0</v>
      </c>
      <c r="DR38" s="668">
        <f t="shared" si="115"/>
        <v>0</v>
      </c>
      <c r="DS38" s="668">
        <f t="shared" si="25"/>
        <v>0</v>
      </c>
      <c r="DT38" s="668">
        <f t="shared" si="15"/>
        <v>2030.0928</v>
      </c>
      <c r="DU38" s="538"/>
      <c r="DV38" s="468"/>
      <c r="DW38" s="698"/>
      <c r="DX38" s="698"/>
      <c r="DY38" s="698"/>
      <c r="DZ38" s="698"/>
      <c r="EA38" s="698"/>
      <c r="EB38" s="698"/>
      <c r="EC38" s="698"/>
      <c r="ED38" s="698"/>
      <c r="EE38" s="698"/>
      <c r="EF38" s="698"/>
      <c r="EG38" s="698"/>
      <c r="EH38" s="576" t="s">
        <v>3079</v>
      </c>
      <c r="EI38" s="716">
        <f>VLOOKUP(I38,CotizacionTDB,4,FALSE())</f>
        <v>18.23</v>
      </c>
      <c r="EJ38" s="716">
        <f>VLOOKUP(I38,CotizacionTDB,5,FALSE())</f>
        <v>15.5</v>
      </c>
      <c r="EK38" s="699"/>
    </row>
    <row r="39" ht="12.0" customHeight="1">
      <c r="A39" s="700" t="s">
        <v>3026</v>
      </c>
      <c r="B39" s="701">
        <v>2.0</v>
      </c>
      <c r="C39" s="562" t="s">
        <v>3027</v>
      </c>
      <c r="D39" s="571" t="s">
        <v>36</v>
      </c>
      <c r="E39" s="571" t="s">
        <v>2708</v>
      </c>
      <c r="F39" s="562" t="s">
        <v>1763</v>
      </c>
      <c r="G39" s="702" t="s">
        <v>2709</v>
      </c>
      <c r="H39" s="569" t="s">
        <v>3080</v>
      </c>
      <c r="I39" s="717" t="s">
        <v>1925</v>
      </c>
      <c r="J39" s="704" t="s">
        <v>1387</v>
      </c>
      <c r="K39" s="562" t="s">
        <v>25</v>
      </c>
      <c r="L39" s="562"/>
      <c r="M39" s="562"/>
      <c r="N39" s="562">
        <v>2024.0</v>
      </c>
      <c r="O39" s="562">
        <v>2025.0</v>
      </c>
      <c r="P39" s="562">
        <v>2025.0</v>
      </c>
      <c r="Q39" s="562">
        <v>2025.0</v>
      </c>
      <c r="R39" s="562">
        <v>2024.0</v>
      </c>
      <c r="S39" s="562">
        <v>2024.0</v>
      </c>
      <c r="T39" s="562"/>
      <c r="U39" s="562">
        <v>2024.0</v>
      </c>
      <c r="V39" s="562"/>
      <c r="W39" s="562">
        <v>3.0</v>
      </c>
      <c r="X39" s="562"/>
      <c r="Y39" s="562">
        <v>5.0</v>
      </c>
      <c r="Z39" s="562">
        <v>5.0</v>
      </c>
      <c r="AA39" s="562">
        <v>5.0</v>
      </c>
      <c r="AB39" s="562">
        <v>5.0</v>
      </c>
      <c r="AC39" s="562">
        <v>2.0</v>
      </c>
      <c r="AD39" s="562">
        <v>2.0</v>
      </c>
      <c r="AE39" s="562"/>
      <c r="AF39" s="562">
        <v>2.0</v>
      </c>
      <c r="AG39" s="562"/>
      <c r="AH39" s="562"/>
      <c r="AI39" s="562"/>
      <c r="AJ39" s="562"/>
      <c r="AK39" s="562"/>
      <c r="AL39" s="562"/>
      <c r="AM39" s="562"/>
      <c r="AN39" s="562"/>
      <c r="AO39" s="562"/>
      <c r="AP39" s="562"/>
      <c r="AQ39" s="562"/>
      <c r="AR39" s="562">
        <v>0.0</v>
      </c>
      <c r="AS39" s="562">
        <v>0.0</v>
      </c>
      <c r="AT39" s="562">
        <v>-2024.0</v>
      </c>
      <c r="AU39" s="562">
        <v>-2025.0</v>
      </c>
      <c r="AV39" s="562">
        <v>-2025.0</v>
      </c>
      <c r="AW39" s="562">
        <v>-2025.0</v>
      </c>
      <c r="AX39" s="562">
        <v>-2024.0</v>
      </c>
      <c r="AY39" s="562">
        <v>-2024.0</v>
      </c>
      <c r="AZ39" s="562">
        <v>0.0</v>
      </c>
      <c r="BA39" s="562">
        <v>-2024.0</v>
      </c>
      <c r="BB39" s="562"/>
      <c r="BC39" s="718"/>
      <c r="BD39" s="718"/>
      <c r="BE39" s="718"/>
      <c r="BF39" s="718"/>
      <c r="BG39" s="718"/>
      <c r="BH39" s="718"/>
      <c r="BI39" s="718"/>
      <c r="BJ39" s="718"/>
      <c r="BK39" s="718"/>
      <c r="BL39" s="762"/>
      <c r="BM39" s="665">
        <f t="shared" si="1"/>
        <v>0</v>
      </c>
      <c r="BN39" s="666"/>
      <c r="BO39" s="667"/>
      <c r="BP39" s="667">
        <v>50.0</v>
      </c>
      <c r="BQ39" s="667"/>
      <c r="BR39" s="667"/>
      <c r="BS39" s="667"/>
      <c r="BT39" s="667">
        <v>10.0</v>
      </c>
      <c r="BU39" s="667">
        <v>10.0</v>
      </c>
      <c r="BV39" s="667"/>
      <c r="BW39" s="763">
        <v>0.0</v>
      </c>
      <c r="BX39" s="665">
        <f t="shared" si="2"/>
        <v>70</v>
      </c>
      <c r="BY39" s="682">
        <v>0.0</v>
      </c>
      <c r="BZ39" s="683">
        <v>0.0</v>
      </c>
      <c r="CA39" s="683">
        <v>0.0</v>
      </c>
      <c r="CB39" s="667">
        <v>15.0</v>
      </c>
      <c r="CC39" s="667">
        <v>15.0</v>
      </c>
      <c r="CD39" s="667">
        <v>20.0</v>
      </c>
      <c r="CE39" s="683">
        <v>10.0</v>
      </c>
      <c r="CF39" s="683">
        <v>10.0</v>
      </c>
      <c r="CG39" s="683">
        <v>0.0</v>
      </c>
      <c r="CH39" s="726">
        <v>0.0</v>
      </c>
      <c r="CI39" s="665">
        <f t="shared" si="3"/>
        <v>70</v>
      </c>
      <c r="CJ39" s="682">
        <f t="shared" si="4"/>
        <v>140</v>
      </c>
      <c r="CK39" s="706">
        <v>1.73</v>
      </c>
      <c r="CL39" s="683">
        <f t="shared" si="19"/>
        <v>12.0408</v>
      </c>
      <c r="CM39" s="683">
        <f t="shared" ref="CM39:CV39" si="116">BC39*$CL39</f>
        <v>0</v>
      </c>
      <c r="CN39" s="683">
        <f t="shared" si="116"/>
        <v>0</v>
      </c>
      <c r="CO39" s="683">
        <f t="shared" si="116"/>
        <v>0</v>
      </c>
      <c r="CP39" s="683">
        <f t="shared" si="116"/>
        <v>0</v>
      </c>
      <c r="CQ39" s="683">
        <f t="shared" si="116"/>
        <v>0</v>
      </c>
      <c r="CR39" s="683">
        <f t="shared" si="116"/>
        <v>0</v>
      </c>
      <c r="CS39" s="683">
        <f t="shared" si="116"/>
        <v>0</v>
      </c>
      <c r="CT39" s="683">
        <f t="shared" si="116"/>
        <v>0</v>
      </c>
      <c r="CU39" s="683">
        <f t="shared" si="116"/>
        <v>0</v>
      </c>
      <c r="CV39" s="683">
        <f t="shared" si="116"/>
        <v>0</v>
      </c>
      <c r="CW39" s="683">
        <f t="shared" si="21"/>
        <v>0</v>
      </c>
      <c r="CX39" s="683">
        <f t="shared" ref="CX39:DG39" si="117">BN39*$CL39</f>
        <v>0</v>
      </c>
      <c r="CY39" s="683">
        <f t="shared" si="117"/>
        <v>0</v>
      </c>
      <c r="CZ39" s="683">
        <f t="shared" si="117"/>
        <v>602.04</v>
      </c>
      <c r="DA39" s="683">
        <f t="shared" si="117"/>
        <v>0</v>
      </c>
      <c r="DB39" s="683">
        <f t="shared" si="117"/>
        <v>0</v>
      </c>
      <c r="DC39" s="683">
        <f t="shared" si="117"/>
        <v>0</v>
      </c>
      <c r="DD39" s="683">
        <f t="shared" si="117"/>
        <v>120.408</v>
      </c>
      <c r="DE39" s="683">
        <f t="shared" si="117"/>
        <v>120.408</v>
      </c>
      <c r="DF39" s="683">
        <f t="shared" si="117"/>
        <v>0</v>
      </c>
      <c r="DG39" s="683">
        <f t="shared" si="117"/>
        <v>0</v>
      </c>
      <c r="DH39" s="683">
        <f t="shared" si="23"/>
        <v>842.856</v>
      </c>
      <c r="DI39" s="683">
        <f t="shared" ref="DI39:DR39" si="118">BY39*$CL39</f>
        <v>0</v>
      </c>
      <c r="DJ39" s="683">
        <f t="shared" si="118"/>
        <v>0</v>
      </c>
      <c r="DK39" s="683">
        <f t="shared" si="118"/>
        <v>0</v>
      </c>
      <c r="DL39" s="683">
        <f t="shared" si="118"/>
        <v>180.612</v>
      </c>
      <c r="DM39" s="683">
        <f t="shared" si="118"/>
        <v>180.612</v>
      </c>
      <c r="DN39" s="683">
        <f t="shared" si="118"/>
        <v>240.816</v>
      </c>
      <c r="DO39" s="683">
        <f t="shared" si="118"/>
        <v>120.408</v>
      </c>
      <c r="DP39" s="683">
        <f t="shared" si="118"/>
        <v>120.408</v>
      </c>
      <c r="DQ39" s="683">
        <f t="shared" si="118"/>
        <v>0</v>
      </c>
      <c r="DR39" s="683">
        <f t="shared" si="118"/>
        <v>0</v>
      </c>
      <c r="DS39" s="683">
        <f t="shared" si="25"/>
        <v>842.856</v>
      </c>
      <c r="DT39" s="683">
        <f t="shared" si="15"/>
        <v>1685.712</v>
      </c>
      <c r="DU39" s="504"/>
      <c r="DV39" s="486"/>
      <c r="DW39" s="688"/>
      <c r="DX39" s="688"/>
      <c r="DY39" s="688"/>
      <c r="DZ39" s="688"/>
      <c r="EA39" s="688"/>
      <c r="EB39" s="688"/>
      <c r="EC39" s="688"/>
      <c r="ED39" s="688"/>
      <c r="EE39" s="688"/>
      <c r="EF39" s="688"/>
      <c r="EG39" s="688"/>
      <c r="EH39" s="707" t="s">
        <v>3081</v>
      </c>
      <c r="EI39" s="708">
        <f>VLOOKUP(I39,CotizacionTDB,4,FALSE())</f>
        <v>1.73</v>
      </c>
      <c r="EJ39" s="708">
        <f>VLOOKUP(I39,CotizacionTDB,5,FALSE())</f>
        <v>1.47</v>
      </c>
      <c r="EK39" s="691"/>
    </row>
    <row r="40" ht="12.0" customHeight="1">
      <c r="A40" s="709" t="s">
        <v>3026</v>
      </c>
      <c r="B40" s="661">
        <v>2.0</v>
      </c>
      <c r="C40" s="567" t="s">
        <v>3027</v>
      </c>
      <c r="D40" s="568" t="s">
        <v>36</v>
      </c>
      <c r="E40" s="568" t="s">
        <v>2708</v>
      </c>
      <c r="F40" s="567" t="s">
        <v>1763</v>
      </c>
      <c r="G40" s="657" t="s">
        <v>2709</v>
      </c>
      <c r="H40" s="569" t="s">
        <v>3082</v>
      </c>
      <c r="I40" s="721" t="s">
        <v>1854</v>
      </c>
      <c r="J40" s="711" t="s">
        <v>1106</v>
      </c>
      <c r="K40" s="567" t="s">
        <v>25</v>
      </c>
      <c r="L40" s="567">
        <v>2024.0</v>
      </c>
      <c r="M40" s="567">
        <v>2025.0</v>
      </c>
      <c r="N40" s="567">
        <v>2024.0</v>
      </c>
      <c r="O40" s="567">
        <v>2025.0</v>
      </c>
      <c r="P40" s="567">
        <v>2025.0</v>
      </c>
      <c r="Q40" s="567">
        <v>2025.0</v>
      </c>
      <c r="R40" s="567">
        <v>2024.0</v>
      </c>
      <c r="S40" s="567">
        <v>2024.0</v>
      </c>
      <c r="T40" s="567"/>
      <c r="U40" s="567">
        <v>2024.0</v>
      </c>
      <c r="V40" s="567"/>
      <c r="W40" s="567">
        <v>3.0</v>
      </c>
      <c r="X40" s="567">
        <v>5.0</v>
      </c>
      <c r="Y40" s="567">
        <v>5.0</v>
      </c>
      <c r="Z40" s="567">
        <v>5.0</v>
      </c>
      <c r="AA40" s="567">
        <v>5.0</v>
      </c>
      <c r="AB40" s="567">
        <v>5.0</v>
      </c>
      <c r="AC40" s="567">
        <v>2.0</v>
      </c>
      <c r="AD40" s="567">
        <v>2.0</v>
      </c>
      <c r="AE40" s="567"/>
      <c r="AF40" s="567">
        <v>2.0</v>
      </c>
      <c r="AG40" s="567"/>
      <c r="AH40" s="567"/>
      <c r="AI40" s="567"/>
      <c r="AJ40" s="567"/>
      <c r="AK40" s="567"/>
      <c r="AL40" s="567"/>
      <c r="AM40" s="567"/>
      <c r="AN40" s="567"/>
      <c r="AO40" s="567"/>
      <c r="AP40" s="567"/>
      <c r="AQ40" s="567"/>
      <c r="AR40" s="567">
        <v>-2024.0</v>
      </c>
      <c r="AS40" s="567">
        <v>-2025.0</v>
      </c>
      <c r="AT40" s="567">
        <v>-2024.0</v>
      </c>
      <c r="AU40" s="567">
        <v>-2025.0</v>
      </c>
      <c r="AV40" s="567">
        <v>-2025.0</v>
      </c>
      <c r="AW40" s="567">
        <v>-2025.0</v>
      </c>
      <c r="AX40" s="567">
        <v>-2024.0</v>
      </c>
      <c r="AY40" s="567">
        <v>-2024.0</v>
      </c>
      <c r="AZ40" s="567">
        <v>0.0</v>
      </c>
      <c r="BA40" s="567">
        <v>-2024.0</v>
      </c>
      <c r="BB40" s="567"/>
      <c r="BC40" s="718"/>
      <c r="BD40" s="567"/>
      <c r="BE40" s="718"/>
      <c r="BF40" s="567"/>
      <c r="BG40" s="567"/>
      <c r="BH40" s="567"/>
      <c r="BI40" s="718"/>
      <c r="BJ40" s="718"/>
      <c r="BK40" s="567"/>
      <c r="BL40" s="725"/>
      <c r="BM40" s="665">
        <f t="shared" si="1"/>
        <v>0</v>
      </c>
      <c r="BN40" s="666">
        <v>200.0</v>
      </c>
      <c r="BO40" s="668"/>
      <c r="BP40" s="667">
        <v>250.0</v>
      </c>
      <c r="BQ40" s="668"/>
      <c r="BR40" s="668"/>
      <c r="BS40" s="668"/>
      <c r="BT40" s="667">
        <v>20.0</v>
      </c>
      <c r="BU40" s="667">
        <v>20.0</v>
      </c>
      <c r="BV40" s="668"/>
      <c r="BW40" s="670"/>
      <c r="BX40" s="665">
        <f t="shared" si="2"/>
        <v>490</v>
      </c>
      <c r="BY40" s="671">
        <v>0.0</v>
      </c>
      <c r="BZ40" s="667">
        <v>200.0</v>
      </c>
      <c r="CA40" s="668"/>
      <c r="CB40" s="684">
        <v>280.0</v>
      </c>
      <c r="CC40" s="667">
        <v>30.0</v>
      </c>
      <c r="CD40" s="667">
        <v>30.0</v>
      </c>
      <c r="CE40" s="667">
        <v>20.0</v>
      </c>
      <c r="CF40" s="668"/>
      <c r="CG40" s="668"/>
      <c r="CH40" s="732">
        <v>25.0</v>
      </c>
      <c r="CI40" s="665">
        <f t="shared" si="3"/>
        <v>585</v>
      </c>
      <c r="CJ40" s="671">
        <f t="shared" si="4"/>
        <v>1075</v>
      </c>
      <c r="CK40" s="715">
        <v>0.23</v>
      </c>
      <c r="CL40" s="668">
        <f t="shared" si="19"/>
        <v>1.6008</v>
      </c>
      <c r="CM40" s="668">
        <f t="shared" ref="CM40:CV40" si="119">BC40*$CL40</f>
        <v>0</v>
      </c>
      <c r="CN40" s="668">
        <f t="shared" si="119"/>
        <v>0</v>
      </c>
      <c r="CO40" s="668">
        <f t="shared" si="119"/>
        <v>0</v>
      </c>
      <c r="CP40" s="668">
        <f t="shared" si="119"/>
        <v>0</v>
      </c>
      <c r="CQ40" s="668">
        <f t="shared" si="119"/>
        <v>0</v>
      </c>
      <c r="CR40" s="668">
        <f t="shared" si="119"/>
        <v>0</v>
      </c>
      <c r="CS40" s="668">
        <f t="shared" si="119"/>
        <v>0</v>
      </c>
      <c r="CT40" s="668">
        <f t="shared" si="119"/>
        <v>0</v>
      </c>
      <c r="CU40" s="668">
        <f t="shared" si="119"/>
        <v>0</v>
      </c>
      <c r="CV40" s="668">
        <f t="shared" si="119"/>
        <v>0</v>
      </c>
      <c r="CW40" s="668">
        <f t="shared" si="21"/>
        <v>0</v>
      </c>
      <c r="CX40" s="668">
        <f t="shared" ref="CX40:DG40" si="120">BN40*$CL40</f>
        <v>320.16</v>
      </c>
      <c r="CY40" s="668">
        <f t="shared" si="120"/>
        <v>0</v>
      </c>
      <c r="CZ40" s="668">
        <f t="shared" si="120"/>
        <v>400.2</v>
      </c>
      <c r="DA40" s="668">
        <f t="shared" si="120"/>
        <v>0</v>
      </c>
      <c r="DB40" s="668">
        <f t="shared" si="120"/>
        <v>0</v>
      </c>
      <c r="DC40" s="668">
        <f t="shared" si="120"/>
        <v>0</v>
      </c>
      <c r="DD40" s="668">
        <f t="shared" si="120"/>
        <v>32.016</v>
      </c>
      <c r="DE40" s="668">
        <f t="shared" si="120"/>
        <v>32.016</v>
      </c>
      <c r="DF40" s="668">
        <f t="shared" si="120"/>
        <v>0</v>
      </c>
      <c r="DG40" s="668">
        <f t="shared" si="120"/>
        <v>0</v>
      </c>
      <c r="DH40" s="668">
        <f t="shared" si="23"/>
        <v>784.392</v>
      </c>
      <c r="DI40" s="668">
        <f t="shared" ref="DI40:DR40" si="121">BY40*$CL40</f>
        <v>0</v>
      </c>
      <c r="DJ40" s="668">
        <f t="shared" si="121"/>
        <v>320.16</v>
      </c>
      <c r="DK40" s="668">
        <f t="shared" si="121"/>
        <v>0</v>
      </c>
      <c r="DL40" s="668">
        <f t="shared" si="121"/>
        <v>448.224</v>
      </c>
      <c r="DM40" s="668">
        <f t="shared" si="121"/>
        <v>48.024</v>
      </c>
      <c r="DN40" s="668">
        <f t="shared" si="121"/>
        <v>48.024</v>
      </c>
      <c r="DO40" s="668">
        <f t="shared" si="121"/>
        <v>32.016</v>
      </c>
      <c r="DP40" s="668">
        <f t="shared" si="121"/>
        <v>0</v>
      </c>
      <c r="DQ40" s="668">
        <f t="shared" si="121"/>
        <v>0</v>
      </c>
      <c r="DR40" s="668">
        <f t="shared" si="121"/>
        <v>40.02</v>
      </c>
      <c r="DS40" s="668">
        <f t="shared" si="25"/>
        <v>936.468</v>
      </c>
      <c r="DT40" s="668">
        <f t="shared" si="15"/>
        <v>1720.86</v>
      </c>
      <c r="DU40" s="538"/>
      <c r="DV40" s="468"/>
      <c r="DW40" s="698"/>
      <c r="DX40" s="698"/>
      <c r="DY40" s="698"/>
      <c r="DZ40" s="698"/>
      <c r="EA40" s="698"/>
      <c r="EB40" s="698"/>
      <c r="EC40" s="698"/>
      <c r="ED40" s="698"/>
      <c r="EE40" s="698"/>
      <c r="EF40" s="698"/>
      <c r="EG40" s="698"/>
      <c r="EH40" s="576" t="s">
        <v>1106</v>
      </c>
      <c r="EI40" s="716">
        <f>VLOOKUP(I40,CotizacionTDB,4,FALSE())</f>
        <v>0.23</v>
      </c>
      <c r="EJ40" s="716">
        <f>VLOOKUP(I40,CotizacionTDB,5,FALSE())</f>
        <v>0.2</v>
      </c>
      <c r="EK40" s="699"/>
    </row>
    <row r="41" ht="12.0" customHeight="1">
      <c r="A41" s="700" t="s">
        <v>3026</v>
      </c>
      <c r="B41" s="701">
        <v>2.0</v>
      </c>
      <c r="C41" s="562" t="s">
        <v>3027</v>
      </c>
      <c r="D41" s="571" t="s">
        <v>36</v>
      </c>
      <c r="E41" s="571" t="s">
        <v>2708</v>
      </c>
      <c r="F41" s="562" t="s">
        <v>1763</v>
      </c>
      <c r="G41" s="569" t="s">
        <v>2709</v>
      </c>
      <c r="H41" s="737"/>
      <c r="I41" s="703" t="s">
        <v>2149</v>
      </c>
      <c r="J41" s="704" t="s">
        <v>1299</v>
      </c>
      <c r="K41" s="562" t="s">
        <v>25</v>
      </c>
      <c r="L41" s="562"/>
      <c r="M41" s="562"/>
      <c r="N41" s="562"/>
      <c r="O41" s="562"/>
      <c r="P41" s="562"/>
      <c r="Q41" s="562"/>
      <c r="R41" s="562"/>
      <c r="S41" s="562">
        <v>2024.0</v>
      </c>
      <c r="T41" s="562"/>
      <c r="U41" s="562"/>
      <c r="V41" s="562"/>
      <c r="W41" s="562"/>
      <c r="X41" s="562"/>
      <c r="Y41" s="562"/>
      <c r="Z41" s="562"/>
      <c r="AA41" s="562"/>
      <c r="AB41" s="562"/>
      <c r="AC41" s="562"/>
      <c r="AD41" s="562">
        <v>5.0</v>
      </c>
      <c r="AE41" s="562"/>
      <c r="AF41" s="562"/>
      <c r="AG41" s="562"/>
      <c r="AH41" s="562"/>
      <c r="AI41" s="562"/>
      <c r="AJ41" s="562"/>
      <c r="AK41" s="562"/>
      <c r="AL41" s="562"/>
      <c r="AM41" s="562"/>
      <c r="AN41" s="562"/>
      <c r="AO41" s="562"/>
      <c r="AP41" s="562"/>
      <c r="AQ41" s="562"/>
      <c r="AR41" s="562">
        <v>0.0</v>
      </c>
      <c r="AS41" s="562">
        <v>0.0</v>
      </c>
      <c r="AT41" s="562">
        <v>0.0</v>
      </c>
      <c r="AU41" s="562">
        <v>0.0</v>
      </c>
      <c r="AV41" s="562">
        <v>0.0</v>
      </c>
      <c r="AW41" s="562">
        <v>0.0</v>
      </c>
      <c r="AX41" s="562">
        <v>0.0</v>
      </c>
      <c r="AY41" s="562">
        <v>-2024.0</v>
      </c>
      <c r="AZ41" s="562">
        <v>0.0</v>
      </c>
      <c r="BA41" s="562">
        <v>0.0</v>
      </c>
      <c r="BB41" s="562"/>
      <c r="BC41" s="562"/>
      <c r="BD41" s="562"/>
      <c r="BE41" s="562"/>
      <c r="BF41" s="562"/>
      <c r="BG41" s="562"/>
      <c r="BH41" s="562"/>
      <c r="BI41" s="562"/>
      <c r="BJ41" s="746"/>
      <c r="BK41" s="562"/>
      <c r="BL41" s="681"/>
      <c r="BM41" s="665">
        <f t="shared" si="1"/>
        <v>0</v>
      </c>
      <c r="BN41" s="682"/>
      <c r="BO41" s="683"/>
      <c r="BP41" s="683"/>
      <c r="BQ41" s="683"/>
      <c r="BR41" s="683"/>
      <c r="BS41" s="683"/>
      <c r="BT41" s="683"/>
      <c r="BU41" s="669">
        <v>60.0</v>
      </c>
      <c r="BV41" s="683"/>
      <c r="BW41" s="686"/>
      <c r="BX41" s="665">
        <f t="shared" si="2"/>
        <v>60</v>
      </c>
      <c r="BY41" s="682">
        <v>0.0</v>
      </c>
      <c r="BZ41" s="683">
        <v>0.0</v>
      </c>
      <c r="CA41" s="683">
        <v>0.0</v>
      </c>
      <c r="CB41" s="683">
        <v>0.0</v>
      </c>
      <c r="CC41" s="683">
        <v>0.0</v>
      </c>
      <c r="CD41" s="683">
        <v>0.0</v>
      </c>
      <c r="CE41" s="683">
        <v>0.0</v>
      </c>
      <c r="CF41" s="683">
        <v>0.0</v>
      </c>
      <c r="CG41" s="683">
        <v>0.0</v>
      </c>
      <c r="CH41" s="686">
        <v>0.0</v>
      </c>
      <c r="CI41" s="665">
        <f t="shared" si="3"/>
        <v>0</v>
      </c>
      <c r="CJ41" s="682">
        <f t="shared" si="4"/>
        <v>60</v>
      </c>
      <c r="CK41" s="706">
        <v>1.27</v>
      </c>
      <c r="CL41" s="683">
        <f t="shared" si="19"/>
        <v>8.8392</v>
      </c>
      <c r="CM41" s="683">
        <f t="shared" ref="CM41:CV41" si="122">BC41*$CL41</f>
        <v>0</v>
      </c>
      <c r="CN41" s="683">
        <f t="shared" si="122"/>
        <v>0</v>
      </c>
      <c r="CO41" s="683">
        <f t="shared" si="122"/>
        <v>0</v>
      </c>
      <c r="CP41" s="683">
        <f t="shared" si="122"/>
        <v>0</v>
      </c>
      <c r="CQ41" s="683">
        <f t="shared" si="122"/>
        <v>0</v>
      </c>
      <c r="CR41" s="683">
        <f t="shared" si="122"/>
        <v>0</v>
      </c>
      <c r="CS41" s="683">
        <f t="shared" si="122"/>
        <v>0</v>
      </c>
      <c r="CT41" s="683">
        <f t="shared" si="122"/>
        <v>0</v>
      </c>
      <c r="CU41" s="683">
        <f t="shared" si="122"/>
        <v>0</v>
      </c>
      <c r="CV41" s="683">
        <f t="shared" si="122"/>
        <v>0</v>
      </c>
      <c r="CW41" s="683">
        <f t="shared" si="21"/>
        <v>0</v>
      </c>
      <c r="CX41" s="683">
        <f t="shared" ref="CX41:DG41" si="123">BN41*$CL41</f>
        <v>0</v>
      </c>
      <c r="CY41" s="683">
        <f t="shared" si="123"/>
        <v>0</v>
      </c>
      <c r="CZ41" s="683">
        <f t="shared" si="123"/>
        <v>0</v>
      </c>
      <c r="DA41" s="683">
        <f t="shared" si="123"/>
        <v>0</v>
      </c>
      <c r="DB41" s="683">
        <f t="shared" si="123"/>
        <v>0</v>
      </c>
      <c r="DC41" s="683">
        <f t="shared" si="123"/>
        <v>0</v>
      </c>
      <c r="DD41" s="683">
        <f t="shared" si="123"/>
        <v>0</v>
      </c>
      <c r="DE41" s="683">
        <f t="shared" si="123"/>
        <v>530.352</v>
      </c>
      <c r="DF41" s="683">
        <f t="shared" si="123"/>
        <v>0</v>
      </c>
      <c r="DG41" s="683">
        <f t="shared" si="123"/>
        <v>0</v>
      </c>
      <c r="DH41" s="683">
        <f t="shared" si="23"/>
        <v>530.352</v>
      </c>
      <c r="DI41" s="683">
        <f t="shared" ref="DI41:DR41" si="124">BY41*$CL41</f>
        <v>0</v>
      </c>
      <c r="DJ41" s="683">
        <f t="shared" si="124"/>
        <v>0</v>
      </c>
      <c r="DK41" s="683">
        <f t="shared" si="124"/>
        <v>0</v>
      </c>
      <c r="DL41" s="683">
        <f t="shared" si="124"/>
        <v>0</v>
      </c>
      <c r="DM41" s="683">
        <f t="shared" si="124"/>
        <v>0</v>
      </c>
      <c r="DN41" s="683">
        <f t="shared" si="124"/>
        <v>0</v>
      </c>
      <c r="DO41" s="683">
        <f t="shared" si="124"/>
        <v>0</v>
      </c>
      <c r="DP41" s="683">
        <f t="shared" si="124"/>
        <v>0</v>
      </c>
      <c r="DQ41" s="683">
        <f t="shared" si="124"/>
        <v>0</v>
      </c>
      <c r="DR41" s="683">
        <f t="shared" si="124"/>
        <v>0</v>
      </c>
      <c r="DS41" s="683">
        <f t="shared" si="25"/>
        <v>0</v>
      </c>
      <c r="DT41" s="683">
        <f t="shared" si="15"/>
        <v>530.352</v>
      </c>
      <c r="DU41" s="504"/>
      <c r="DV41" s="486"/>
      <c r="DW41" s="688"/>
      <c r="DX41" s="688"/>
      <c r="DY41" s="688"/>
      <c r="DZ41" s="688"/>
      <c r="EA41" s="688"/>
      <c r="EB41" s="688"/>
      <c r="EC41" s="688"/>
      <c r="ED41" s="688"/>
      <c r="EE41" s="688"/>
      <c r="EF41" s="688"/>
      <c r="EG41" s="688"/>
      <c r="EH41" s="707" t="s">
        <v>3083</v>
      </c>
      <c r="EI41" s="708">
        <f>VLOOKUP(I41,CotizacionTDB,4,FALSE())</f>
        <v>1.27</v>
      </c>
      <c r="EJ41" s="708">
        <f>VLOOKUP(I41,CotizacionTDB,5,FALSE())</f>
        <v>1.08</v>
      </c>
      <c r="EK41" s="691"/>
    </row>
    <row r="42" ht="12.0" customHeight="1">
      <c r="A42" s="709" t="s">
        <v>3026</v>
      </c>
      <c r="B42" s="661">
        <v>2.0</v>
      </c>
      <c r="C42" s="567" t="s">
        <v>3027</v>
      </c>
      <c r="D42" s="568" t="s">
        <v>36</v>
      </c>
      <c r="E42" s="568" t="s">
        <v>2708</v>
      </c>
      <c r="F42" s="567" t="s">
        <v>1763</v>
      </c>
      <c r="G42" s="569" t="s">
        <v>2709</v>
      </c>
      <c r="H42" s="569" t="s">
        <v>3084</v>
      </c>
      <c r="I42" s="721" t="s">
        <v>2086</v>
      </c>
      <c r="J42" s="711" t="s">
        <v>1490</v>
      </c>
      <c r="K42" s="567" t="s">
        <v>25</v>
      </c>
      <c r="L42" s="567"/>
      <c r="M42" s="567"/>
      <c r="N42" s="567"/>
      <c r="O42" s="567"/>
      <c r="P42" s="567"/>
      <c r="Q42" s="567"/>
      <c r="R42" s="567">
        <v>2024.0</v>
      </c>
      <c r="S42" s="567">
        <v>2024.0</v>
      </c>
      <c r="T42" s="567"/>
      <c r="U42" s="567"/>
      <c r="V42" s="567"/>
      <c r="W42" s="567"/>
      <c r="X42" s="567"/>
      <c r="Y42" s="567"/>
      <c r="Z42" s="567"/>
      <c r="AA42" s="567"/>
      <c r="AB42" s="567"/>
      <c r="AC42" s="567">
        <v>2.0</v>
      </c>
      <c r="AD42" s="567">
        <v>2.0</v>
      </c>
      <c r="AE42" s="567"/>
      <c r="AF42" s="567"/>
      <c r="AG42" s="567"/>
      <c r="AH42" s="567"/>
      <c r="AI42" s="567"/>
      <c r="AJ42" s="567"/>
      <c r="AK42" s="567"/>
      <c r="AL42" s="567"/>
      <c r="AM42" s="567"/>
      <c r="AN42" s="567"/>
      <c r="AO42" s="567"/>
      <c r="AP42" s="567"/>
      <c r="AQ42" s="567"/>
      <c r="AR42" s="567">
        <v>0.0</v>
      </c>
      <c r="AS42" s="567">
        <v>0.0</v>
      </c>
      <c r="AT42" s="567">
        <v>0.0</v>
      </c>
      <c r="AU42" s="567">
        <v>0.0</v>
      </c>
      <c r="AV42" s="567">
        <v>0.0</v>
      </c>
      <c r="AW42" s="567">
        <v>0.0</v>
      </c>
      <c r="AX42" s="567">
        <v>-2024.0</v>
      </c>
      <c r="AY42" s="567">
        <v>-2024.0</v>
      </c>
      <c r="AZ42" s="567">
        <v>0.0</v>
      </c>
      <c r="BA42" s="567">
        <v>0.0</v>
      </c>
      <c r="BB42" s="567"/>
      <c r="BC42" s="567"/>
      <c r="BD42" s="567"/>
      <c r="BE42" s="567"/>
      <c r="BF42" s="567"/>
      <c r="BG42" s="567"/>
      <c r="BH42" s="567"/>
      <c r="BI42" s="718"/>
      <c r="BJ42" s="718"/>
      <c r="BK42" s="567"/>
      <c r="BL42" s="725"/>
      <c r="BM42" s="665">
        <f t="shared" si="1"/>
        <v>0</v>
      </c>
      <c r="BN42" s="668"/>
      <c r="BO42" s="668"/>
      <c r="BP42" s="668"/>
      <c r="BQ42" s="668"/>
      <c r="BR42" s="668"/>
      <c r="BS42" s="668"/>
      <c r="BT42" s="667">
        <v>2.0</v>
      </c>
      <c r="BU42" s="667">
        <v>2.0</v>
      </c>
      <c r="BV42" s="668"/>
      <c r="BW42" s="670"/>
      <c r="BX42" s="665">
        <f t="shared" si="2"/>
        <v>4</v>
      </c>
      <c r="BY42" s="671">
        <v>0.0</v>
      </c>
      <c r="BZ42" s="668">
        <v>0.0</v>
      </c>
      <c r="CA42" s="668">
        <v>0.0</v>
      </c>
      <c r="CB42" s="668">
        <v>0.0</v>
      </c>
      <c r="CC42" s="668">
        <v>0.0</v>
      </c>
      <c r="CD42" s="668">
        <v>0.0</v>
      </c>
      <c r="CE42" s="667">
        <v>2.0</v>
      </c>
      <c r="CF42" s="667"/>
      <c r="CG42" s="668">
        <v>0.0</v>
      </c>
      <c r="CH42" s="670">
        <v>0.0</v>
      </c>
      <c r="CI42" s="665">
        <f t="shared" si="3"/>
        <v>2</v>
      </c>
      <c r="CJ42" s="671">
        <f t="shared" si="4"/>
        <v>6</v>
      </c>
      <c r="CK42" s="715">
        <v>17.54</v>
      </c>
      <c r="CL42" s="668">
        <f t="shared" si="19"/>
        <v>122.0784</v>
      </c>
      <c r="CM42" s="668">
        <f t="shared" ref="CM42:CV42" si="125">BC42*$CL42</f>
        <v>0</v>
      </c>
      <c r="CN42" s="668">
        <f t="shared" si="125"/>
        <v>0</v>
      </c>
      <c r="CO42" s="668">
        <f t="shared" si="125"/>
        <v>0</v>
      </c>
      <c r="CP42" s="668">
        <f t="shared" si="125"/>
        <v>0</v>
      </c>
      <c r="CQ42" s="668">
        <f t="shared" si="125"/>
        <v>0</v>
      </c>
      <c r="CR42" s="668">
        <f t="shared" si="125"/>
        <v>0</v>
      </c>
      <c r="CS42" s="668">
        <f t="shared" si="125"/>
        <v>0</v>
      </c>
      <c r="CT42" s="668">
        <f t="shared" si="125"/>
        <v>0</v>
      </c>
      <c r="CU42" s="668">
        <f t="shared" si="125"/>
        <v>0</v>
      </c>
      <c r="CV42" s="668">
        <f t="shared" si="125"/>
        <v>0</v>
      </c>
      <c r="CW42" s="668">
        <f t="shared" si="21"/>
        <v>0</v>
      </c>
      <c r="CX42" s="668">
        <f t="shared" ref="CX42:DG42" si="126">BN42*$CL42</f>
        <v>0</v>
      </c>
      <c r="CY42" s="668">
        <f t="shared" si="126"/>
        <v>0</v>
      </c>
      <c r="CZ42" s="668">
        <f t="shared" si="126"/>
        <v>0</v>
      </c>
      <c r="DA42" s="668">
        <f t="shared" si="126"/>
        <v>0</v>
      </c>
      <c r="DB42" s="668">
        <f t="shared" si="126"/>
        <v>0</v>
      </c>
      <c r="DC42" s="668">
        <f t="shared" si="126"/>
        <v>0</v>
      </c>
      <c r="DD42" s="668">
        <f t="shared" si="126"/>
        <v>244.1568</v>
      </c>
      <c r="DE42" s="668">
        <f t="shared" si="126"/>
        <v>244.1568</v>
      </c>
      <c r="DF42" s="668">
        <f t="shared" si="126"/>
        <v>0</v>
      </c>
      <c r="DG42" s="668">
        <f t="shared" si="126"/>
        <v>0</v>
      </c>
      <c r="DH42" s="668">
        <f t="shared" si="23"/>
        <v>488.3136</v>
      </c>
      <c r="DI42" s="668">
        <f t="shared" ref="DI42:DR42" si="127">BY42*$CL42</f>
        <v>0</v>
      </c>
      <c r="DJ42" s="668">
        <f t="shared" si="127"/>
        <v>0</v>
      </c>
      <c r="DK42" s="668">
        <f t="shared" si="127"/>
        <v>0</v>
      </c>
      <c r="DL42" s="668">
        <f t="shared" si="127"/>
        <v>0</v>
      </c>
      <c r="DM42" s="668">
        <f t="shared" si="127"/>
        <v>0</v>
      </c>
      <c r="DN42" s="668">
        <f t="shared" si="127"/>
        <v>0</v>
      </c>
      <c r="DO42" s="668">
        <f t="shared" si="127"/>
        <v>244.1568</v>
      </c>
      <c r="DP42" s="668">
        <f t="shared" si="127"/>
        <v>0</v>
      </c>
      <c r="DQ42" s="668">
        <f t="shared" si="127"/>
        <v>0</v>
      </c>
      <c r="DR42" s="668">
        <f t="shared" si="127"/>
        <v>0</v>
      </c>
      <c r="DS42" s="668">
        <f t="shared" si="25"/>
        <v>244.1568</v>
      </c>
      <c r="DT42" s="668">
        <f t="shared" si="15"/>
        <v>732.4704</v>
      </c>
      <c r="DU42" s="538"/>
      <c r="DV42" s="468"/>
      <c r="DW42" s="698"/>
      <c r="DX42" s="698"/>
      <c r="DY42" s="698"/>
      <c r="DZ42" s="698"/>
      <c r="EA42" s="698"/>
      <c r="EB42" s="698"/>
      <c r="EC42" s="698"/>
      <c r="ED42" s="751">
        <v>2.0</v>
      </c>
      <c r="EE42" s="698"/>
      <c r="EF42" s="698"/>
      <c r="EG42" s="698"/>
      <c r="EH42" s="576" t="s">
        <v>1490</v>
      </c>
      <c r="EI42" s="716">
        <f>VLOOKUP(I42,CotizacionTDB,4,FALSE())</f>
        <v>17.54</v>
      </c>
      <c r="EJ42" s="716">
        <f>VLOOKUP(I42,CotizacionTDB,5,FALSE())</f>
        <v>14.91</v>
      </c>
      <c r="EK42" s="699"/>
    </row>
    <row r="43" ht="12.0" customHeight="1">
      <c r="A43" s="700" t="s">
        <v>3026</v>
      </c>
      <c r="B43" s="701">
        <v>2.0</v>
      </c>
      <c r="C43" s="562" t="s">
        <v>3027</v>
      </c>
      <c r="D43" s="571" t="s">
        <v>36</v>
      </c>
      <c r="E43" s="571" t="s">
        <v>2708</v>
      </c>
      <c r="F43" s="562" t="s">
        <v>1763</v>
      </c>
      <c r="G43" s="569" t="s">
        <v>2709</v>
      </c>
      <c r="H43" s="569" t="s">
        <v>3085</v>
      </c>
      <c r="I43" s="703" t="s">
        <v>2264</v>
      </c>
      <c r="J43" s="704" t="s">
        <v>1647</v>
      </c>
      <c r="K43" s="562" t="s">
        <v>25</v>
      </c>
      <c r="L43" s="562"/>
      <c r="M43" s="562"/>
      <c r="N43" s="562"/>
      <c r="O43" s="562"/>
      <c r="P43" s="562"/>
      <c r="Q43" s="562"/>
      <c r="R43" s="562">
        <v>2024.0</v>
      </c>
      <c r="S43" s="562">
        <v>2024.0</v>
      </c>
      <c r="T43" s="562"/>
      <c r="U43" s="562"/>
      <c r="V43" s="562"/>
      <c r="W43" s="562"/>
      <c r="X43" s="562"/>
      <c r="Y43" s="562"/>
      <c r="Z43" s="562"/>
      <c r="AA43" s="562"/>
      <c r="AB43" s="562"/>
      <c r="AC43" s="562">
        <v>2.0</v>
      </c>
      <c r="AD43" s="562">
        <v>2.0</v>
      </c>
      <c r="AE43" s="562"/>
      <c r="AF43" s="562"/>
      <c r="AG43" s="562"/>
      <c r="AH43" s="562"/>
      <c r="AI43" s="562"/>
      <c r="AJ43" s="562"/>
      <c r="AK43" s="562"/>
      <c r="AL43" s="562"/>
      <c r="AM43" s="562"/>
      <c r="AN43" s="562"/>
      <c r="AO43" s="562"/>
      <c r="AP43" s="562"/>
      <c r="AQ43" s="562"/>
      <c r="AR43" s="562">
        <v>0.0</v>
      </c>
      <c r="AS43" s="562">
        <v>0.0</v>
      </c>
      <c r="AT43" s="562">
        <v>0.0</v>
      </c>
      <c r="AU43" s="562">
        <v>0.0</v>
      </c>
      <c r="AV43" s="562">
        <v>0.0</v>
      </c>
      <c r="AW43" s="562">
        <v>0.0</v>
      </c>
      <c r="AX43" s="562">
        <v>-2024.0</v>
      </c>
      <c r="AY43" s="562">
        <v>-2024.0</v>
      </c>
      <c r="AZ43" s="562">
        <v>0.0</v>
      </c>
      <c r="BA43" s="562">
        <v>0.0</v>
      </c>
      <c r="BB43" s="562"/>
      <c r="BC43" s="562"/>
      <c r="BD43" s="562"/>
      <c r="BE43" s="562"/>
      <c r="BF43" s="680"/>
      <c r="BG43" s="680"/>
      <c r="BH43" s="680"/>
      <c r="BI43" s="718"/>
      <c r="BJ43" s="718"/>
      <c r="BK43" s="562"/>
      <c r="BL43" s="681"/>
      <c r="BM43" s="665">
        <f t="shared" si="1"/>
        <v>0</v>
      </c>
      <c r="BN43" s="682"/>
      <c r="BO43" s="683"/>
      <c r="BP43" s="683"/>
      <c r="BQ43" s="684">
        <v>30.0</v>
      </c>
      <c r="BR43" s="684">
        <v>30.0</v>
      </c>
      <c r="BS43" s="684">
        <v>60.0</v>
      </c>
      <c r="BT43" s="667">
        <v>2.0</v>
      </c>
      <c r="BU43" s="667">
        <v>2.0</v>
      </c>
      <c r="BV43" s="683"/>
      <c r="BW43" s="686"/>
      <c r="BX43" s="665">
        <f t="shared" si="2"/>
        <v>124</v>
      </c>
      <c r="BY43" s="682"/>
      <c r="BZ43" s="683"/>
      <c r="CA43" s="683"/>
      <c r="CB43" s="683"/>
      <c r="CC43" s="683"/>
      <c r="CD43" s="683"/>
      <c r="CE43" s="683"/>
      <c r="CF43" s="683"/>
      <c r="CG43" s="683"/>
      <c r="CH43" s="686"/>
      <c r="CI43" s="665">
        <f t="shared" si="3"/>
        <v>0</v>
      </c>
      <c r="CJ43" s="682">
        <f t="shared" si="4"/>
        <v>124</v>
      </c>
      <c r="CK43" s="706">
        <v>0.23</v>
      </c>
      <c r="CL43" s="683">
        <f t="shared" si="19"/>
        <v>1.6008</v>
      </c>
      <c r="CM43" s="683">
        <f t="shared" ref="CM43:CV43" si="128">BC43*$CL43</f>
        <v>0</v>
      </c>
      <c r="CN43" s="683">
        <f t="shared" si="128"/>
        <v>0</v>
      </c>
      <c r="CO43" s="683">
        <f t="shared" si="128"/>
        <v>0</v>
      </c>
      <c r="CP43" s="683">
        <f t="shared" si="128"/>
        <v>0</v>
      </c>
      <c r="CQ43" s="683">
        <f t="shared" si="128"/>
        <v>0</v>
      </c>
      <c r="CR43" s="683">
        <f t="shared" si="128"/>
        <v>0</v>
      </c>
      <c r="CS43" s="683">
        <f t="shared" si="128"/>
        <v>0</v>
      </c>
      <c r="CT43" s="683">
        <f t="shared" si="128"/>
        <v>0</v>
      </c>
      <c r="CU43" s="683">
        <f t="shared" si="128"/>
        <v>0</v>
      </c>
      <c r="CV43" s="683">
        <f t="shared" si="128"/>
        <v>0</v>
      </c>
      <c r="CW43" s="683">
        <f t="shared" si="21"/>
        <v>0</v>
      </c>
      <c r="CX43" s="683">
        <f t="shared" ref="CX43:DG43" si="129">BN43*$CL43</f>
        <v>0</v>
      </c>
      <c r="CY43" s="683">
        <f t="shared" si="129"/>
        <v>0</v>
      </c>
      <c r="CZ43" s="683">
        <f t="shared" si="129"/>
        <v>0</v>
      </c>
      <c r="DA43" s="683">
        <f t="shared" si="129"/>
        <v>48.024</v>
      </c>
      <c r="DB43" s="683">
        <f t="shared" si="129"/>
        <v>48.024</v>
      </c>
      <c r="DC43" s="683">
        <f t="shared" si="129"/>
        <v>96.048</v>
      </c>
      <c r="DD43" s="683">
        <f t="shared" si="129"/>
        <v>3.2016</v>
      </c>
      <c r="DE43" s="683">
        <f t="shared" si="129"/>
        <v>3.2016</v>
      </c>
      <c r="DF43" s="683">
        <f t="shared" si="129"/>
        <v>0</v>
      </c>
      <c r="DG43" s="683">
        <f t="shared" si="129"/>
        <v>0</v>
      </c>
      <c r="DH43" s="683">
        <f t="shared" si="23"/>
        <v>198.4992</v>
      </c>
      <c r="DI43" s="683">
        <f t="shared" ref="DI43:DR43" si="130">BY43*$CL43</f>
        <v>0</v>
      </c>
      <c r="DJ43" s="683">
        <f t="shared" si="130"/>
        <v>0</v>
      </c>
      <c r="DK43" s="683">
        <f t="shared" si="130"/>
        <v>0</v>
      </c>
      <c r="DL43" s="683">
        <f t="shared" si="130"/>
        <v>0</v>
      </c>
      <c r="DM43" s="683">
        <f t="shared" si="130"/>
        <v>0</v>
      </c>
      <c r="DN43" s="683">
        <f t="shared" si="130"/>
        <v>0</v>
      </c>
      <c r="DO43" s="683">
        <f t="shared" si="130"/>
        <v>0</v>
      </c>
      <c r="DP43" s="683">
        <f t="shared" si="130"/>
        <v>0</v>
      </c>
      <c r="DQ43" s="683">
        <f t="shared" si="130"/>
        <v>0</v>
      </c>
      <c r="DR43" s="683">
        <f t="shared" si="130"/>
        <v>0</v>
      </c>
      <c r="DS43" s="683">
        <f t="shared" si="25"/>
        <v>0</v>
      </c>
      <c r="DT43" s="683">
        <f t="shared" si="15"/>
        <v>198.4992</v>
      </c>
      <c r="DU43" s="504"/>
      <c r="DV43" s="486"/>
      <c r="DW43" s="688"/>
      <c r="DX43" s="688"/>
      <c r="DY43" s="688"/>
      <c r="DZ43" s="688"/>
      <c r="EA43" s="688"/>
      <c r="EB43" s="688"/>
      <c r="EC43" s="688"/>
      <c r="ED43" s="688"/>
      <c r="EE43" s="688"/>
      <c r="EF43" s="688"/>
      <c r="EG43" s="688"/>
      <c r="EH43" s="707" t="s">
        <v>1647</v>
      </c>
      <c r="EI43" s="708">
        <f>VLOOKUP(I43,CotizacionTDB,4,FALSE())</f>
        <v>0.23</v>
      </c>
      <c r="EJ43" s="708">
        <f>VLOOKUP(I43,CotizacionTDB,5,FALSE())</f>
        <v>0.2</v>
      </c>
      <c r="EK43" s="691"/>
    </row>
    <row r="44" ht="12.0" customHeight="1">
      <c r="A44" s="709" t="s">
        <v>3026</v>
      </c>
      <c r="B44" s="661">
        <v>2.0</v>
      </c>
      <c r="C44" s="567" t="s">
        <v>3027</v>
      </c>
      <c r="D44" s="568" t="s">
        <v>36</v>
      </c>
      <c r="E44" s="568" t="s">
        <v>2708</v>
      </c>
      <c r="F44" s="567" t="s">
        <v>1763</v>
      </c>
      <c r="G44" s="657" t="s">
        <v>2709</v>
      </c>
      <c r="H44" s="569" t="s">
        <v>3086</v>
      </c>
      <c r="I44" s="721" t="s">
        <v>1889</v>
      </c>
      <c r="J44" s="711" t="s">
        <v>1466</v>
      </c>
      <c r="K44" s="567" t="s">
        <v>25</v>
      </c>
      <c r="L44" s="567">
        <v>2024.0</v>
      </c>
      <c r="M44" s="567">
        <v>2025.0</v>
      </c>
      <c r="N44" s="567">
        <v>2024.0</v>
      </c>
      <c r="O44" s="567">
        <v>2025.0</v>
      </c>
      <c r="P44" s="567">
        <v>2025.0</v>
      </c>
      <c r="Q44" s="567">
        <v>2025.0</v>
      </c>
      <c r="R44" s="567">
        <v>2024.0</v>
      </c>
      <c r="S44" s="567">
        <v>2024.0</v>
      </c>
      <c r="T44" s="567"/>
      <c r="U44" s="567">
        <v>2024.0</v>
      </c>
      <c r="V44" s="567"/>
      <c r="W44" s="567">
        <v>3.0</v>
      </c>
      <c r="X44" s="567">
        <v>5.0</v>
      </c>
      <c r="Y44" s="567">
        <v>5.0</v>
      </c>
      <c r="Z44" s="567">
        <v>5.0</v>
      </c>
      <c r="AA44" s="567">
        <v>5.0</v>
      </c>
      <c r="AB44" s="567">
        <v>5.0</v>
      </c>
      <c r="AC44" s="567">
        <v>2.0</v>
      </c>
      <c r="AD44" s="567">
        <v>2.0</v>
      </c>
      <c r="AE44" s="567"/>
      <c r="AF44" s="567">
        <v>2.0</v>
      </c>
      <c r="AG44" s="567"/>
      <c r="AH44" s="567"/>
      <c r="AI44" s="567"/>
      <c r="AJ44" s="567"/>
      <c r="AK44" s="567"/>
      <c r="AL44" s="567"/>
      <c r="AM44" s="567"/>
      <c r="AN44" s="567"/>
      <c r="AO44" s="567"/>
      <c r="AP44" s="567"/>
      <c r="AQ44" s="567"/>
      <c r="AR44" s="567">
        <v>-2024.0</v>
      </c>
      <c r="AS44" s="567">
        <v>-2025.0</v>
      </c>
      <c r="AT44" s="567">
        <v>-2024.0</v>
      </c>
      <c r="AU44" s="567">
        <v>-2025.0</v>
      </c>
      <c r="AV44" s="567">
        <v>-2025.0</v>
      </c>
      <c r="AW44" s="567">
        <v>-2025.0</v>
      </c>
      <c r="AX44" s="567">
        <v>-2024.0</v>
      </c>
      <c r="AY44" s="567">
        <v>-2024.0</v>
      </c>
      <c r="AZ44" s="567">
        <v>0.0</v>
      </c>
      <c r="BA44" s="567">
        <v>-2024.0</v>
      </c>
      <c r="BB44" s="567"/>
      <c r="BC44" s="680"/>
      <c r="BD44" s="718"/>
      <c r="BE44" s="718"/>
      <c r="BF44" s="567"/>
      <c r="BG44" s="567"/>
      <c r="BH44" s="567"/>
      <c r="BI44" s="718"/>
      <c r="BJ44" s="718"/>
      <c r="BK44" s="567"/>
      <c r="BL44" s="725"/>
      <c r="BM44" s="665">
        <f t="shared" si="1"/>
        <v>0</v>
      </c>
      <c r="BN44" s="734">
        <v>0.0</v>
      </c>
      <c r="BO44" s="667"/>
      <c r="BP44" s="667">
        <v>250.0</v>
      </c>
      <c r="BQ44" s="668"/>
      <c r="BR44" s="668"/>
      <c r="BS44" s="668"/>
      <c r="BT44" s="667">
        <v>4.0</v>
      </c>
      <c r="BU44" s="667">
        <v>4.0</v>
      </c>
      <c r="BV44" s="668"/>
      <c r="BW44" s="670"/>
      <c r="BX44" s="665">
        <f t="shared" si="2"/>
        <v>258</v>
      </c>
      <c r="BY44" s="671"/>
      <c r="BZ44" s="667">
        <v>200.0</v>
      </c>
      <c r="CA44" s="668"/>
      <c r="CB44" s="667">
        <v>280.0</v>
      </c>
      <c r="CC44" s="667">
        <v>220.0</v>
      </c>
      <c r="CD44" s="667">
        <v>250.0</v>
      </c>
      <c r="CE44" s="667">
        <v>4.0</v>
      </c>
      <c r="CF44" s="668"/>
      <c r="CG44" s="668"/>
      <c r="CH44" s="763">
        <v>4.0</v>
      </c>
      <c r="CI44" s="665">
        <f t="shared" si="3"/>
        <v>958</v>
      </c>
      <c r="CJ44" s="671">
        <f t="shared" si="4"/>
        <v>1216</v>
      </c>
      <c r="CK44" s="715">
        <v>0.11</v>
      </c>
      <c r="CL44" s="668">
        <f t="shared" si="19"/>
        <v>0.7656</v>
      </c>
      <c r="CM44" s="668">
        <f t="shared" ref="CM44:CV44" si="131">BC44*$CL44</f>
        <v>0</v>
      </c>
      <c r="CN44" s="668">
        <f t="shared" si="131"/>
        <v>0</v>
      </c>
      <c r="CO44" s="668">
        <f t="shared" si="131"/>
        <v>0</v>
      </c>
      <c r="CP44" s="668">
        <f t="shared" si="131"/>
        <v>0</v>
      </c>
      <c r="CQ44" s="668">
        <f t="shared" si="131"/>
        <v>0</v>
      </c>
      <c r="CR44" s="668">
        <f t="shared" si="131"/>
        <v>0</v>
      </c>
      <c r="CS44" s="668">
        <f t="shared" si="131"/>
        <v>0</v>
      </c>
      <c r="CT44" s="668">
        <f t="shared" si="131"/>
        <v>0</v>
      </c>
      <c r="CU44" s="668">
        <f t="shared" si="131"/>
        <v>0</v>
      </c>
      <c r="CV44" s="668">
        <f t="shared" si="131"/>
        <v>0</v>
      </c>
      <c r="CW44" s="668">
        <f t="shared" si="21"/>
        <v>0</v>
      </c>
      <c r="CX44" s="668">
        <f t="shared" ref="CX44:DG44" si="132">BN44*$CL44</f>
        <v>0</v>
      </c>
      <c r="CY44" s="668">
        <f t="shared" si="132"/>
        <v>0</v>
      </c>
      <c r="CZ44" s="668">
        <f t="shared" si="132"/>
        <v>191.4</v>
      </c>
      <c r="DA44" s="668">
        <f t="shared" si="132"/>
        <v>0</v>
      </c>
      <c r="DB44" s="668">
        <f t="shared" si="132"/>
        <v>0</v>
      </c>
      <c r="DC44" s="668">
        <f t="shared" si="132"/>
        <v>0</v>
      </c>
      <c r="DD44" s="668">
        <f t="shared" si="132"/>
        <v>3.0624</v>
      </c>
      <c r="DE44" s="668">
        <f t="shared" si="132"/>
        <v>3.0624</v>
      </c>
      <c r="DF44" s="668">
        <f t="shared" si="132"/>
        <v>0</v>
      </c>
      <c r="DG44" s="668">
        <f t="shared" si="132"/>
        <v>0</v>
      </c>
      <c r="DH44" s="668">
        <f t="shared" si="23"/>
        <v>197.5248</v>
      </c>
      <c r="DI44" s="668">
        <f t="shared" ref="DI44:DR44" si="133">BY44*$CL44</f>
        <v>0</v>
      </c>
      <c r="DJ44" s="668">
        <f t="shared" si="133"/>
        <v>153.12</v>
      </c>
      <c r="DK44" s="668">
        <f t="shared" si="133"/>
        <v>0</v>
      </c>
      <c r="DL44" s="668">
        <f t="shared" si="133"/>
        <v>214.368</v>
      </c>
      <c r="DM44" s="668">
        <f t="shared" si="133"/>
        <v>168.432</v>
      </c>
      <c r="DN44" s="668">
        <f t="shared" si="133"/>
        <v>191.4</v>
      </c>
      <c r="DO44" s="668">
        <f t="shared" si="133"/>
        <v>3.0624</v>
      </c>
      <c r="DP44" s="668">
        <f t="shared" si="133"/>
        <v>0</v>
      </c>
      <c r="DQ44" s="668">
        <f t="shared" si="133"/>
        <v>0</v>
      </c>
      <c r="DR44" s="668">
        <f t="shared" si="133"/>
        <v>3.0624</v>
      </c>
      <c r="DS44" s="668">
        <f t="shared" si="25"/>
        <v>733.4448</v>
      </c>
      <c r="DT44" s="668">
        <f t="shared" si="15"/>
        <v>930.9696</v>
      </c>
      <c r="DU44" s="538"/>
      <c r="DV44" s="468"/>
      <c r="DW44" s="698"/>
      <c r="DX44" s="698"/>
      <c r="DY44" s="698"/>
      <c r="DZ44" s="698"/>
      <c r="EA44" s="698"/>
      <c r="EB44" s="698"/>
      <c r="EC44" s="698"/>
      <c r="ED44" s="698"/>
      <c r="EE44" s="698"/>
      <c r="EF44" s="698"/>
      <c r="EG44" s="698"/>
      <c r="EH44" s="576" t="s">
        <v>3087</v>
      </c>
      <c r="EI44" s="716">
        <f>VLOOKUP(I44,CotizacionTDB,4,FALSE())</f>
        <v>0.11</v>
      </c>
      <c r="EJ44" s="716">
        <f>VLOOKUP(I44,CotizacionTDB,5,FALSE())</f>
        <v>0.09</v>
      </c>
      <c r="EK44" s="699"/>
    </row>
    <row r="45" ht="12.0" customHeight="1">
      <c r="A45" s="700" t="s">
        <v>3026</v>
      </c>
      <c r="B45" s="701">
        <v>2.0</v>
      </c>
      <c r="C45" s="562" t="s">
        <v>3027</v>
      </c>
      <c r="D45" s="571" t="s">
        <v>36</v>
      </c>
      <c r="E45" s="571" t="s">
        <v>2708</v>
      </c>
      <c r="F45" s="562" t="s">
        <v>1763</v>
      </c>
      <c r="G45" s="569" t="s">
        <v>2709</v>
      </c>
      <c r="H45" s="569" t="s">
        <v>3088</v>
      </c>
      <c r="I45" s="703" t="s">
        <v>2082</v>
      </c>
      <c r="J45" s="704" t="s">
        <v>1599</v>
      </c>
      <c r="K45" s="562" t="s">
        <v>25</v>
      </c>
      <c r="L45" s="562">
        <v>2024.0</v>
      </c>
      <c r="M45" s="562">
        <v>2025.0</v>
      </c>
      <c r="N45" s="562"/>
      <c r="O45" s="562"/>
      <c r="P45" s="562"/>
      <c r="Q45" s="562"/>
      <c r="R45" s="562"/>
      <c r="S45" s="562"/>
      <c r="T45" s="562"/>
      <c r="U45" s="562"/>
      <c r="V45" s="562"/>
      <c r="W45" s="562">
        <v>3.0</v>
      </c>
      <c r="X45" s="562">
        <v>5.0</v>
      </c>
      <c r="Y45" s="562"/>
      <c r="Z45" s="562"/>
      <c r="AA45" s="562"/>
      <c r="AB45" s="562"/>
      <c r="AC45" s="562"/>
      <c r="AD45" s="562"/>
      <c r="AE45" s="562"/>
      <c r="AF45" s="562"/>
      <c r="AG45" s="562"/>
      <c r="AH45" s="562"/>
      <c r="AI45" s="562"/>
      <c r="AJ45" s="562"/>
      <c r="AK45" s="562"/>
      <c r="AL45" s="562"/>
      <c r="AM45" s="562"/>
      <c r="AN45" s="562"/>
      <c r="AO45" s="562"/>
      <c r="AP45" s="562"/>
      <c r="AQ45" s="562"/>
      <c r="AR45" s="562">
        <v>-2024.0</v>
      </c>
      <c r="AS45" s="562">
        <v>-2025.0</v>
      </c>
      <c r="AT45" s="562">
        <v>0.0</v>
      </c>
      <c r="AU45" s="562">
        <v>0.0</v>
      </c>
      <c r="AV45" s="562">
        <v>0.0</v>
      </c>
      <c r="AW45" s="562">
        <v>0.0</v>
      </c>
      <c r="AX45" s="562">
        <v>0.0</v>
      </c>
      <c r="AY45" s="562">
        <v>0.0</v>
      </c>
      <c r="AZ45" s="562">
        <v>0.0</v>
      </c>
      <c r="BA45" s="562">
        <v>0.0</v>
      </c>
      <c r="BB45" s="562"/>
      <c r="BC45" s="680"/>
      <c r="BD45" s="562"/>
      <c r="BE45" s="562"/>
      <c r="BF45" s="562"/>
      <c r="BG45" s="562"/>
      <c r="BH45" s="562"/>
      <c r="BI45" s="680"/>
      <c r="BJ45" s="761"/>
      <c r="BK45" s="562"/>
      <c r="BL45" s="681"/>
      <c r="BM45" s="665">
        <f t="shared" si="1"/>
        <v>0</v>
      </c>
      <c r="BN45" s="734">
        <v>20.0</v>
      </c>
      <c r="BO45" s="683"/>
      <c r="BP45" s="683"/>
      <c r="BQ45" s="683"/>
      <c r="BR45" s="683"/>
      <c r="BS45" s="683"/>
      <c r="BT45" s="684">
        <v>1.0</v>
      </c>
      <c r="BU45" s="672"/>
      <c r="BV45" s="683"/>
      <c r="BW45" s="686"/>
      <c r="BX45" s="665">
        <f t="shared" si="2"/>
        <v>21</v>
      </c>
      <c r="BY45" s="682"/>
      <c r="BZ45" s="667">
        <v>20.0</v>
      </c>
      <c r="CA45" s="683"/>
      <c r="CB45" s="683"/>
      <c r="CC45" s="683"/>
      <c r="CD45" s="683"/>
      <c r="CE45" s="683"/>
      <c r="CF45" s="683"/>
      <c r="CG45" s="683"/>
      <c r="CH45" s="686"/>
      <c r="CI45" s="665">
        <f t="shared" si="3"/>
        <v>20</v>
      </c>
      <c r="CJ45" s="682">
        <f t="shared" si="4"/>
        <v>41</v>
      </c>
      <c r="CK45" s="706">
        <v>1.35</v>
      </c>
      <c r="CL45" s="683">
        <f t="shared" si="19"/>
        <v>9.396</v>
      </c>
      <c r="CM45" s="683">
        <f t="shared" ref="CM45:CV45" si="134">BC45*$CL45</f>
        <v>0</v>
      </c>
      <c r="CN45" s="683">
        <f t="shared" si="134"/>
        <v>0</v>
      </c>
      <c r="CO45" s="683">
        <f t="shared" si="134"/>
        <v>0</v>
      </c>
      <c r="CP45" s="683">
        <f t="shared" si="134"/>
        <v>0</v>
      </c>
      <c r="CQ45" s="683">
        <f t="shared" si="134"/>
        <v>0</v>
      </c>
      <c r="CR45" s="683">
        <f t="shared" si="134"/>
        <v>0</v>
      </c>
      <c r="CS45" s="683">
        <f t="shared" si="134"/>
        <v>0</v>
      </c>
      <c r="CT45" s="683">
        <f t="shared" si="134"/>
        <v>0</v>
      </c>
      <c r="CU45" s="683">
        <f t="shared" si="134"/>
        <v>0</v>
      </c>
      <c r="CV45" s="683">
        <f t="shared" si="134"/>
        <v>0</v>
      </c>
      <c r="CW45" s="683">
        <f t="shared" si="21"/>
        <v>0</v>
      </c>
      <c r="CX45" s="683">
        <f t="shared" ref="CX45:DG45" si="135">BN45*$CL45</f>
        <v>187.92</v>
      </c>
      <c r="CY45" s="683">
        <f t="shared" si="135"/>
        <v>0</v>
      </c>
      <c r="CZ45" s="683">
        <f t="shared" si="135"/>
        <v>0</v>
      </c>
      <c r="DA45" s="683">
        <f t="shared" si="135"/>
        <v>0</v>
      </c>
      <c r="DB45" s="683">
        <f t="shared" si="135"/>
        <v>0</v>
      </c>
      <c r="DC45" s="683">
        <f t="shared" si="135"/>
        <v>0</v>
      </c>
      <c r="DD45" s="683">
        <f t="shared" si="135"/>
        <v>9.396</v>
      </c>
      <c r="DE45" s="683">
        <f t="shared" si="135"/>
        <v>0</v>
      </c>
      <c r="DF45" s="683">
        <f t="shared" si="135"/>
        <v>0</v>
      </c>
      <c r="DG45" s="683">
        <f t="shared" si="135"/>
        <v>0</v>
      </c>
      <c r="DH45" s="683">
        <f t="shared" si="23"/>
        <v>197.316</v>
      </c>
      <c r="DI45" s="683">
        <f t="shared" ref="DI45:DR45" si="136">BY45*$CL45</f>
        <v>0</v>
      </c>
      <c r="DJ45" s="683">
        <f t="shared" si="136"/>
        <v>187.92</v>
      </c>
      <c r="DK45" s="683">
        <f t="shared" si="136"/>
        <v>0</v>
      </c>
      <c r="DL45" s="683">
        <f t="shared" si="136"/>
        <v>0</v>
      </c>
      <c r="DM45" s="683">
        <f t="shared" si="136"/>
        <v>0</v>
      </c>
      <c r="DN45" s="683">
        <f t="shared" si="136"/>
        <v>0</v>
      </c>
      <c r="DO45" s="683">
        <f t="shared" si="136"/>
        <v>0</v>
      </c>
      <c r="DP45" s="683">
        <f t="shared" si="136"/>
        <v>0</v>
      </c>
      <c r="DQ45" s="683">
        <f t="shared" si="136"/>
        <v>0</v>
      </c>
      <c r="DR45" s="683">
        <f t="shared" si="136"/>
        <v>0</v>
      </c>
      <c r="DS45" s="683">
        <f t="shared" si="25"/>
        <v>187.92</v>
      </c>
      <c r="DT45" s="683">
        <f t="shared" si="15"/>
        <v>385.236</v>
      </c>
      <c r="DU45" s="504"/>
      <c r="DV45" s="486"/>
      <c r="DW45" s="688"/>
      <c r="DX45" s="688"/>
      <c r="DY45" s="688"/>
      <c r="DZ45" s="688"/>
      <c r="EA45" s="688"/>
      <c r="EB45" s="688"/>
      <c r="EC45" s="688"/>
      <c r="ED45" s="688"/>
      <c r="EE45" s="688"/>
      <c r="EF45" s="688"/>
      <c r="EG45" s="688"/>
      <c r="EH45" s="707" t="s">
        <v>3089</v>
      </c>
      <c r="EI45" s="708">
        <f>VLOOKUP(I45,CotizacionTDB,4,FALSE())</f>
        <v>1.35</v>
      </c>
      <c r="EJ45" s="708">
        <f>VLOOKUP(I45,CotizacionTDB,5,FALSE())</f>
        <v>1.15</v>
      </c>
      <c r="EK45" s="691"/>
    </row>
    <row r="46" ht="12.0" customHeight="1">
      <c r="A46" s="709" t="s">
        <v>3026</v>
      </c>
      <c r="B46" s="661">
        <v>2.0</v>
      </c>
      <c r="C46" s="567" t="s">
        <v>3027</v>
      </c>
      <c r="D46" s="568" t="s">
        <v>36</v>
      </c>
      <c r="E46" s="568" t="s">
        <v>2708</v>
      </c>
      <c r="F46" s="567" t="s">
        <v>1763</v>
      </c>
      <c r="G46" s="569" t="s">
        <v>2709</v>
      </c>
      <c r="H46" s="569" t="s">
        <v>3090</v>
      </c>
      <c r="I46" s="721" t="s">
        <v>2266</v>
      </c>
      <c r="J46" s="711" t="s">
        <v>1475</v>
      </c>
      <c r="K46" s="567" t="s">
        <v>25</v>
      </c>
      <c r="L46" s="567"/>
      <c r="M46" s="567"/>
      <c r="N46" s="567"/>
      <c r="O46" s="567"/>
      <c r="P46" s="567"/>
      <c r="Q46" s="567"/>
      <c r="R46" s="567"/>
      <c r="S46" s="567">
        <v>2024.0</v>
      </c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>
        <v>5.0</v>
      </c>
      <c r="AE46" s="567"/>
      <c r="AF46" s="567"/>
      <c r="AG46" s="567"/>
      <c r="AH46" s="567"/>
      <c r="AI46" s="567"/>
      <c r="AJ46" s="567"/>
      <c r="AK46" s="567"/>
      <c r="AL46" s="567"/>
      <c r="AM46" s="567"/>
      <c r="AN46" s="567"/>
      <c r="AO46" s="567"/>
      <c r="AP46" s="567"/>
      <c r="AQ46" s="567"/>
      <c r="AR46" s="567">
        <v>0.0</v>
      </c>
      <c r="AS46" s="567">
        <v>0.0</v>
      </c>
      <c r="AT46" s="567">
        <v>0.0</v>
      </c>
      <c r="AU46" s="567">
        <v>0.0</v>
      </c>
      <c r="AV46" s="567">
        <v>0.0</v>
      </c>
      <c r="AW46" s="567">
        <v>0.0</v>
      </c>
      <c r="AX46" s="567">
        <v>0.0</v>
      </c>
      <c r="AY46" s="567">
        <v>-2024.0</v>
      </c>
      <c r="AZ46" s="567">
        <v>0.0</v>
      </c>
      <c r="BA46" s="567">
        <v>0.0</v>
      </c>
      <c r="BB46" s="567"/>
      <c r="BC46" s="567"/>
      <c r="BD46" s="567"/>
      <c r="BE46" s="567"/>
      <c r="BF46" s="567"/>
      <c r="BG46" s="567"/>
      <c r="BH46" s="567"/>
      <c r="BI46" s="567"/>
      <c r="BJ46" s="746"/>
      <c r="BK46" s="567"/>
      <c r="BL46" s="725"/>
      <c r="BM46" s="665">
        <f t="shared" si="1"/>
        <v>0</v>
      </c>
      <c r="BN46" s="671"/>
      <c r="BO46" s="668"/>
      <c r="BP46" s="668"/>
      <c r="BQ46" s="668"/>
      <c r="BR46" s="668"/>
      <c r="BS46" s="668"/>
      <c r="BT46" s="668"/>
      <c r="BU46" s="669">
        <v>60.0</v>
      </c>
      <c r="BV46" s="668"/>
      <c r="BW46" s="670"/>
      <c r="BX46" s="665">
        <f t="shared" si="2"/>
        <v>60</v>
      </c>
      <c r="BY46" s="671"/>
      <c r="BZ46" s="668"/>
      <c r="CA46" s="668"/>
      <c r="CB46" s="668"/>
      <c r="CC46" s="668"/>
      <c r="CD46" s="668"/>
      <c r="CE46" s="668"/>
      <c r="CF46" s="668"/>
      <c r="CG46" s="668"/>
      <c r="CH46" s="670"/>
      <c r="CI46" s="665">
        <f t="shared" si="3"/>
        <v>0</v>
      </c>
      <c r="CJ46" s="671">
        <f t="shared" si="4"/>
        <v>60</v>
      </c>
      <c r="CK46" s="715">
        <v>0.46</v>
      </c>
      <c r="CL46" s="668">
        <f t="shared" si="19"/>
        <v>3.2016</v>
      </c>
      <c r="CM46" s="668">
        <f t="shared" ref="CM46:CV46" si="137">BC46*$CL46</f>
        <v>0</v>
      </c>
      <c r="CN46" s="668">
        <f t="shared" si="137"/>
        <v>0</v>
      </c>
      <c r="CO46" s="668">
        <f t="shared" si="137"/>
        <v>0</v>
      </c>
      <c r="CP46" s="668">
        <f t="shared" si="137"/>
        <v>0</v>
      </c>
      <c r="CQ46" s="668">
        <f t="shared" si="137"/>
        <v>0</v>
      </c>
      <c r="CR46" s="668">
        <f t="shared" si="137"/>
        <v>0</v>
      </c>
      <c r="CS46" s="668">
        <f t="shared" si="137"/>
        <v>0</v>
      </c>
      <c r="CT46" s="668">
        <f t="shared" si="137"/>
        <v>0</v>
      </c>
      <c r="CU46" s="668">
        <f t="shared" si="137"/>
        <v>0</v>
      </c>
      <c r="CV46" s="668">
        <f t="shared" si="137"/>
        <v>0</v>
      </c>
      <c r="CW46" s="668">
        <f t="shared" si="21"/>
        <v>0</v>
      </c>
      <c r="CX46" s="668">
        <f t="shared" ref="CX46:DG46" si="138">BN46*$CL46</f>
        <v>0</v>
      </c>
      <c r="CY46" s="668">
        <f t="shared" si="138"/>
        <v>0</v>
      </c>
      <c r="CZ46" s="668">
        <f t="shared" si="138"/>
        <v>0</v>
      </c>
      <c r="DA46" s="668">
        <f t="shared" si="138"/>
        <v>0</v>
      </c>
      <c r="DB46" s="668">
        <f t="shared" si="138"/>
        <v>0</v>
      </c>
      <c r="DC46" s="668">
        <f t="shared" si="138"/>
        <v>0</v>
      </c>
      <c r="DD46" s="668">
        <f t="shared" si="138"/>
        <v>0</v>
      </c>
      <c r="DE46" s="668">
        <f t="shared" si="138"/>
        <v>192.096</v>
      </c>
      <c r="DF46" s="668">
        <f t="shared" si="138"/>
        <v>0</v>
      </c>
      <c r="DG46" s="668">
        <f t="shared" si="138"/>
        <v>0</v>
      </c>
      <c r="DH46" s="668">
        <f t="shared" si="23"/>
        <v>192.096</v>
      </c>
      <c r="DI46" s="668">
        <f t="shared" ref="DI46:DR46" si="139">BY46*$CL46</f>
        <v>0</v>
      </c>
      <c r="DJ46" s="668">
        <f t="shared" si="139"/>
        <v>0</v>
      </c>
      <c r="DK46" s="668">
        <f t="shared" si="139"/>
        <v>0</v>
      </c>
      <c r="DL46" s="668">
        <f t="shared" si="139"/>
        <v>0</v>
      </c>
      <c r="DM46" s="668">
        <f t="shared" si="139"/>
        <v>0</v>
      </c>
      <c r="DN46" s="668">
        <f t="shared" si="139"/>
        <v>0</v>
      </c>
      <c r="DO46" s="668">
        <f t="shared" si="139"/>
        <v>0</v>
      </c>
      <c r="DP46" s="668">
        <f t="shared" si="139"/>
        <v>0</v>
      </c>
      <c r="DQ46" s="668">
        <f t="shared" si="139"/>
        <v>0</v>
      </c>
      <c r="DR46" s="668">
        <f t="shared" si="139"/>
        <v>0</v>
      </c>
      <c r="DS46" s="668">
        <f t="shared" si="25"/>
        <v>0</v>
      </c>
      <c r="DT46" s="668">
        <f t="shared" si="15"/>
        <v>192.096</v>
      </c>
      <c r="DU46" s="538"/>
      <c r="DV46" s="468"/>
      <c r="DW46" s="698"/>
      <c r="DX46" s="698"/>
      <c r="DY46" s="698"/>
      <c r="DZ46" s="698"/>
      <c r="EA46" s="698"/>
      <c r="EB46" s="698"/>
      <c r="EC46" s="698"/>
      <c r="ED46" s="698"/>
      <c r="EE46" s="698"/>
      <c r="EF46" s="698"/>
      <c r="EG46" s="698"/>
      <c r="EH46" s="576" t="s">
        <v>3091</v>
      </c>
      <c r="EI46" s="716">
        <f>VLOOKUP(I46,CotizacionTDB,4,FALSE())</f>
        <v>0.46</v>
      </c>
      <c r="EJ46" s="716">
        <f>VLOOKUP(I46,CotizacionTDB,5,FALSE())</f>
        <v>0.39</v>
      </c>
      <c r="EK46" s="699"/>
    </row>
    <row r="47" ht="12.0" customHeight="1">
      <c r="A47" s="700" t="s">
        <v>3026</v>
      </c>
      <c r="B47" s="701">
        <v>2.0</v>
      </c>
      <c r="C47" s="562" t="s">
        <v>3027</v>
      </c>
      <c r="D47" s="571" t="s">
        <v>36</v>
      </c>
      <c r="E47" s="571" t="s">
        <v>2708</v>
      </c>
      <c r="F47" s="562" t="s">
        <v>1763</v>
      </c>
      <c r="G47" s="702" t="s">
        <v>2709</v>
      </c>
      <c r="H47" s="737"/>
      <c r="I47" s="703" t="s">
        <v>1930</v>
      </c>
      <c r="J47" s="704" t="s">
        <v>1639</v>
      </c>
      <c r="K47" s="562" t="s">
        <v>25</v>
      </c>
      <c r="L47" s="562"/>
      <c r="M47" s="562"/>
      <c r="N47" s="562">
        <v>2024.0</v>
      </c>
      <c r="O47" s="562">
        <v>2025.0</v>
      </c>
      <c r="P47" s="562">
        <v>2025.0</v>
      </c>
      <c r="Q47" s="562">
        <v>2025.0</v>
      </c>
      <c r="R47" s="562"/>
      <c r="S47" s="562"/>
      <c r="T47" s="562"/>
      <c r="U47" s="562"/>
      <c r="V47" s="562"/>
      <c r="W47" s="562">
        <v>3.0</v>
      </c>
      <c r="X47" s="562"/>
      <c r="Y47" s="562">
        <v>5.0</v>
      </c>
      <c r="Z47" s="562">
        <v>5.0</v>
      </c>
      <c r="AA47" s="562">
        <v>5.0</v>
      </c>
      <c r="AB47" s="562">
        <v>5.0</v>
      </c>
      <c r="AC47" s="562"/>
      <c r="AD47" s="562"/>
      <c r="AE47" s="562"/>
      <c r="AF47" s="562"/>
      <c r="AG47" s="562"/>
      <c r="AH47" s="562"/>
      <c r="AI47" s="562"/>
      <c r="AJ47" s="562"/>
      <c r="AK47" s="562"/>
      <c r="AL47" s="562"/>
      <c r="AM47" s="562"/>
      <c r="AN47" s="562"/>
      <c r="AO47" s="562"/>
      <c r="AP47" s="562"/>
      <c r="AQ47" s="562"/>
      <c r="AR47" s="562">
        <v>0.0</v>
      </c>
      <c r="AS47" s="562">
        <v>0.0</v>
      </c>
      <c r="AT47" s="562">
        <v>-2024.0</v>
      </c>
      <c r="AU47" s="562">
        <v>-2025.0</v>
      </c>
      <c r="AV47" s="562">
        <v>-2025.0</v>
      </c>
      <c r="AW47" s="562">
        <v>-2025.0</v>
      </c>
      <c r="AX47" s="562">
        <v>0.0</v>
      </c>
      <c r="AY47" s="562">
        <v>0.0</v>
      </c>
      <c r="AZ47" s="562">
        <v>0.0</v>
      </c>
      <c r="BA47" s="562">
        <v>0.0</v>
      </c>
      <c r="BB47" s="562"/>
      <c r="BC47" s="562"/>
      <c r="BD47" s="562"/>
      <c r="BE47" s="718"/>
      <c r="BF47" s="562"/>
      <c r="BG47" s="562"/>
      <c r="BH47" s="562"/>
      <c r="BI47" s="562"/>
      <c r="BJ47" s="562"/>
      <c r="BK47" s="562"/>
      <c r="BL47" s="681"/>
      <c r="BM47" s="665">
        <f t="shared" si="1"/>
        <v>0</v>
      </c>
      <c r="BN47" s="682"/>
      <c r="BO47" s="683"/>
      <c r="BP47" s="667">
        <v>180.0</v>
      </c>
      <c r="BQ47" s="667"/>
      <c r="BR47" s="667"/>
      <c r="BS47" s="667"/>
      <c r="BT47" s="683"/>
      <c r="BU47" s="683"/>
      <c r="BV47" s="683"/>
      <c r="BW47" s="764">
        <v>8.0</v>
      </c>
      <c r="BX47" s="665">
        <f t="shared" si="2"/>
        <v>188</v>
      </c>
      <c r="BY47" s="682">
        <v>0.0</v>
      </c>
      <c r="BZ47" s="683">
        <v>0.0</v>
      </c>
      <c r="CA47" s="683">
        <v>0.0</v>
      </c>
      <c r="CB47" s="667">
        <v>100.0</v>
      </c>
      <c r="CC47" s="667">
        <v>100.0</v>
      </c>
      <c r="CD47" s="667">
        <v>100.0</v>
      </c>
      <c r="CE47" s="683">
        <v>0.0</v>
      </c>
      <c r="CF47" s="683">
        <v>0.0</v>
      </c>
      <c r="CG47" s="683">
        <v>0.0</v>
      </c>
      <c r="CH47" s="686">
        <v>0.0</v>
      </c>
      <c r="CI47" s="665">
        <f t="shared" si="3"/>
        <v>300</v>
      </c>
      <c r="CJ47" s="682">
        <f t="shared" si="4"/>
        <v>488</v>
      </c>
      <c r="CK47" s="706">
        <v>0.08</v>
      </c>
      <c r="CL47" s="683">
        <f t="shared" si="19"/>
        <v>0.5568</v>
      </c>
      <c r="CM47" s="683">
        <f t="shared" ref="CM47:CV47" si="140">BC47*$CL47</f>
        <v>0</v>
      </c>
      <c r="CN47" s="683">
        <f t="shared" si="140"/>
        <v>0</v>
      </c>
      <c r="CO47" s="683">
        <f t="shared" si="140"/>
        <v>0</v>
      </c>
      <c r="CP47" s="683">
        <f t="shared" si="140"/>
        <v>0</v>
      </c>
      <c r="CQ47" s="683">
        <f t="shared" si="140"/>
        <v>0</v>
      </c>
      <c r="CR47" s="683">
        <f t="shared" si="140"/>
        <v>0</v>
      </c>
      <c r="CS47" s="683">
        <f t="shared" si="140"/>
        <v>0</v>
      </c>
      <c r="CT47" s="683">
        <f t="shared" si="140"/>
        <v>0</v>
      </c>
      <c r="CU47" s="683">
        <f t="shared" si="140"/>
        <v>0</v>
      </c>
      <c r="CV47" s="683">
        <f t="shared" si="140"/>
        <v>0</v>
      </c>
      <c r="CW47" s="683">
        <f t="shared" si="21"/>
        <v>0</v>
      </c>
      <c r="CX47" s="683">
        <f t="shared" ref="CX47:DG47" si="141">BN47*$CL47</f>
        <v>0</v>
      </c>
      <c r="CY47" s="683">
        <f t="shared" si="141"/>
        <v>0</v>
      </c>
      <c r="CZ47" s="683">
        <f t="shared" si="141"/>
        <v>100.224</v>
      </c>
      <c r="DA47" s="683">
        <f t="shared" si="141"/>
        <v>0</v>
      </c>
      <c r="DB47" s="683">
        <f t="shared" si="141"/>
        <v>0</v>
      </c>
      <c r="DC47" s="683">
        <f t="shared" si="141"/>
        <v>0</v>
      </c>
      <c r="DD47" s="683">
        <f t="shared" si="141"/>
        <v>0</v>
      </c>
      <c r="DE47" s="683">
        <f t="shared" si="141"/>
        <v>0</v>
      </c>
      <c r="DF47" s="683">
        <f t="shared" si="141"/>
        <v>0</v>
      </c>
      <c r="DG47" s="683">
        <f t="shared" si="141"/>
        <v>4.4544</v>
      </c>
      <c r="DH47" s="683">
        <f t="shared" si="23"/>
        <v>104.6784</v>
      </c>
      <c r="DI47" s="683">
        <f t="shared" ref="DI47:DR47" si="142">BY47*$CL47</f>
        <v>0</v>
      </c>
      <c r="DJ47" s="683">
        <f t="shared" si="142"/>
        <v>0</v>
      </c>
      <c r="DK47" s="683">
        <f t="shared" si="142"/>
        <v>0</v>
      </c>
      <c r="DL47" s="683">
        <f t="shared" si="142"/>
        <v>55.68</v>
      </c>
      <c r="DM47" s="683">
        <f t="shared" si="142"/>
        <v>55.68</v>
      </c>
      <c r="DN47" s="683">
        <f t="shared" si="142"/>
        <v>55.68</v>
      </c>
      <c r="DO47" s="683">
        <f t="shared" si="142"/>
        <v>0</v>
      </c>
      <c r="DP47" s="683">
        <f t="shared" si="142"/>
        <v>0</v>
      </c>
      <c r="DQ47" s="683">
        <f t="shared" si="142"/>
        <v>0</v>
      </c>
      <c r="DR47" s="683">
        <f t="shared" si="142"/>
        <v>0</v>
      </c>
      <c r="DS47" s="683">
        <f t="shared" si="25"/>
        <v>167.04</v>
      </c>
      <c r="DT47" s="683">
        <f t="shared" si="15"/>
        <v>271.7184</v>
      </c>
      <c r="DU47" s="504"/>
      <c r="DV47" s="486"/>
      <c r="DW47" s="688"/>
      <c r="DX47" s="688"/>
      <c r="DY47" s="688"/>
      <c r="DZ47" s="688"/>
      <c r="EA47" s="688"/>
      <c r="EB47" s="688"/>
      <c r="EC47" s="688"/>
      <c r="ED47" s="688"/>
      <c r="EE47" s="688"/>
      <c r="EF47" s="688"/>
      <c r="EG47" s="688"/>
      <c r="EH47" s="707" t="s">
        <v>3092</v>
      </c>
      <c r="EI47" s="708">
        <f>VLOOKUP(I47,CotizacionTDB,4,FALSE())</f>
        <v>0.08</v>
      </c>
      <c r="EJ47" s="708">
        <f>VLOOKUP(I47,CotizacionTDB,5,FALSE())</f>
        <v>0.07</v>
      </c>
      <c r="EK47" s="691"/>
    </row>
    <row r="48" ht="12.0" customHeight="1">
      <c r="A48" s="709" t="s">
        <v>3026</v>
      </c>
      <c r="B48" s="661">
        <v>2.0</v>
      </c>
      <c r="C48" s="567" t="s">
        <v>3027</v>
      </c>
      <c r="D48" s="568" t="s">
        <v>36</v>
      </c>
      <c r="E48" s="568" t="s">
        <v>2708</v>
      </c>
      <c r="F48" s="567" t="s">
        <v>1763</v>
      </c>
      <c r="G48" s="569" t="s">
        <v>2709</v>
      </c>
      <c r="H48" s="569" t="s">
        <v>3093</v>
      </c>
      <c r="I48" s="721" t="s">
        <v>1990</v>
      </c>
      <c r="J48" s="711" t="s">
        <v>1636</v>
      </c>
      <c r="K48" s="567" t="s">
        <v>25</v>
      </c>
      <c r="L48" s="567"/>
      <c r="M48" s="567"/>
      <c r="N48" s="567"/>
      <c r="O48" s="567"/>
      <c r="P48" s="567"/>
      <c r="Q48" s="567"/>
      <c r="R48" s="567">
        <v>2024.0</v>
      </c>
      <c r="S48" s="567">
        <v>2024.0</v>
      </c>
      <c r="T48" s="567"/>
      <c r="U48" s="567">
        <v>2024.0</v>
      </c>
      <c r="V48" s="567"/>
      <c r="W48" s="567"/>
      <c r="X48" s="567"/>
      <c r="Y48" s="567"/>
      <c r="Z48" s="567"/>
      <c r="AA48" s="567"/>
      <c r="AB48" s="567"/>
      <c r="AC48" s="567">
        <v>2.0</v>
      </c>
      <c r="AD48" s="567">
        <v>2.0</v>
      </c>
      <c r="AE48" s="567"/>
      <c r="AF48" s="567">
        <v>2.0</v>
      </c>
      <c r="AG48" s="567"/>
      <c r="AH48" s="567"/>
      <c r="AI48" s="567"/>
      <c r="AJ48" s="567"/>
      <c r="AK48" s="567"/>
      <c r="AL48" s="567"/>
      <c r="AM48" s="567"/>
      <c r="AN48" s="567"/>
      <c r="AO48" s="567"/>
      <c r="AP48" s="567"/>
      <c r="AQ48" s="567"/>
      <c r="AR48" s="567">
        <v>0.0</v>
      </c>
      <c r="AS48" s="567">
        <v>0.0</v>
      </c>
      <c r="AT48" s="567">
        <v>0.0</v>
      </c>
      <c r="AU48" s="567">
        <v>0.0</v>
      </c>
      <c r="AV48" s="567">
        <v>0.0</v>
      </c>
      <c r="AW48" s="567">
        <v>0.0</v>
      </c>
      <c r="AX48" s="567">
        <v>-2024.0</v>
      </c>
      <c r="AY48" s="567">
        <v>-2024.0</v>
      </c>
      <c r="AZ48" s="567">
        <v>0.0</v>
      </c>
      <c r="BA48" s="567">
        <v>-2024.0</v>
      </c>
      <c r="BB48" s="567"/>
      <c r="BC48" s="661"/>
      <c r="BD48" s="661"/>
      <c r="BE48" s="661"/>
      <c r="BF48" s="661"/>
      <c r="BG48" s="661"/>
      <c r="BH48" s="661"/>
      <c r="BI48" s="718"/>
      <c r="BJ48" s="718"/>
      <c r="BK48" s="661"/>
      <c r="BL48" s="712"/>
      <c r="BM48" s="665">
        <f t="shared" si="1"/>
        <v>0</v>
      </c>
      <c r="BN48" s="736"/>
      <c r="BO48" s="674"/>
      <c r="BP48" s="674"/>
      <c r="BQ48" s="674"/>
      <c r="BR48" s="674"/>
      <c r="BS48" s="674"/>
      <c r="BT48" s="667">
        <v>1.0</v>
      </c>
      <c r="BU48" s="667">
        <v>1.0</v>
      </c>
      <c r="BV48" s="674"/>
      <c r="BW48" s="714"/>
      <c r="BX48" s="665">
        <f t="shared" si="2"/>
        <v>2</v>
      </c>
      <c r="BY48" s="671"/>
      <c r="BZ48" s="668"/>
      <c r="CA48" s="668"/>
      <c r="CB48" s="668"/>
      <c r="CC48" s="668"/>
      <c r="CD48" s="668"/>
      <c r="CE48" s="668"/>
      <c r="CF48" s="668"/>
      <c r="CG48" s="684">
        <v>1.0</v>
      </c>
      <c r="CH48" s="732">
        <v>1.0</v>
      </c>
      <c r="CI48" s="665">
        <f t="shared" si="3"/>
        <v>2</v>
      </c>
      <c r="CJ48" s="671">
        <f t="shared" si="4"/>
        <v>4</v>
      </c>
      <c r="CK48" s="715">
        <v>6.73</v>
      </c>
      <c r="CL48" s="668">
        <f t="shared" si="19"/>
        <v>46.8408</v>
      </c>
      <c r="CM48" s="668">
        <f t="shared" ref="CM48:CV48" si="143">BC48*$CL48</f>
        <v>0</v>
      </c>
      <c r="CN48" s="668">
        <f t="shared" si="143"/>
        <v>0</v>
      </c>
      <c r="CO48" s="668">
        <f t="shared" si="143"/>
        <v>0</v>
      </c>
      <c r="CP48" s="668">
        <f t="shared" si="143"/>
        <v>0</v>
      </c>
      <c r="CQ48" s="668">
        <f t="shared" si="143"/>
        <v>0</v>
      </c>
      <c r="CR48" s="668">
        <f t="shared" si="143"/>
        <v>0</v>
      </c>
      <c r="CS48" s="668">
        <f t="shared" si="143"/>
        <v>0</v>
      </c>
      <c r="CT48" s="668">
        <f t="shared" si="143"/>
        <v>0</v>
      </c>
      <c r="CU48" s="668">
        <f t="shared" si="143"/>
        <v>0</v>
      </c>
      <c r="CV48" s="668">
        <f t="shared" si="143"/>
        <v>0</v>
      </c>
      <c r="CW48" s="668">
        <f t="shared" si="21"/>
        <v>0</v>
      </c>
      <c r="CX48" s="668">
        <f t="shared" ref="CX48:DG48" si="144">BN48*$CL48</f>
        <v>0</v>
      </c>
      <c r="CY48" s="668">
        <f t="shared" si="144"/>
        <v>0</v>
      </c>
      <c r="CZ48" s="668">
        <f t="shared" si="144"/>
        <v>0</v>
      </c>
      <c r="DA48" s="668">
        <f t="shared" si="144"/>
        <v>0</v>
      </c>
      <c r="DB48" s="668">
        <f t="shared" si="144"/>
        <v>0</v>
      </c>
      <c r="DC48" s="668">
        <f t="shared" si="144"/>
        <v>0</v>
      </c>
      <c r="DD48" s="668">
        <f t="shared" si="144"/>
        <v>46.8408</v>
      </c>
      <c r="DE48" s="668">
        <f t="shared" si="144"/>
        <v>46.8408</v>
      </c>
      <c r="DF48" s="668">
        <f t="shared" si="144"/>
        <v>0</v>
      </c>
      <c r="DG48" s="668">
        <f t="shared" si="144"/>
        <v>0</v>
      </c>
      <c r="DH48" s="668">
        <f t="shared" si="23"/>
        <v>93.6816</v>
      </c>
      <c r="DI48" s="668">
        <f t="shared" ref="DI48:DR48" si="145">BY48*$CL48</f>
        <v>0</v>
      </c>
      <c r="DJ48" s="668">
        <f t="shared" si="145"/>
        <v>0</v>
      </c>
      <c r="DK48" s="668">
        <f t="shared" si="145"/>
        <v>0</v>
      </c>
      <c r="DL48" s="668">
        <f t="shared" si="145"/>
        <v>0</v>
      </c>
      <c r="DM48" s="668">
        <f t="shared" si="145"/>
        <v>0</v>
      </c>
      <c r="DN48" s="668">
        <f t="shared" si="145"/>
        <v>0</v>
      </c>
      <c r="DO48" s="668">
        <f t="shared" si="145"/>
        <v>0</v>
      </c>
      <c r="DP48" s="668">
        <f t="shared" si="145"/>
        <v>0</v>
      </c>
      <c r="DQ48" s="668">
        <f t="shared" si="145"/>
        <v>46.8408</v>
      </c>
      <c r="DR48" s="668">
        <f t="shared" si="145"/>
        <v>46.8408</v>
      </c>
      <c r="DS48" s="668">
        <f t="shared" si="25"/>
        <v>93.6816</v>
      </c>
      <c r="DT48" s="668">
        <f t="shared" si="15"/>
        <v>187.3632</v>
      </c>
      <c r="DU48" s="538"/>
      <c r="DV48" s="468"/>
      <c r="DW48" s="698"/>
      <c r="DX48" s="698"/>
      <c r="DY48" s="698"/>
      <c r="DZ48" s="698"/>
      <c r="EA48" s="698"/>
      <c r="EB48" s="698"/>
      <c r="EC48" s="765">
        <v>0.0</v>
      </c>
      <c r="ED48" s="751">
        <v>1.0</v>
      </c>
      <c r="EE48" s="752">
        <v>0.0</v>
      </c>
      <c r="EF48" s="751">
        <v>1.0</v>
      </c>
      <c r="EG48" s="698"/>
      <c r="EH48" s="576" t="s">
        <v>3094</v>
      </c>
      <c r="EI48" s="716">
        <f>VLOOKUP(I48,CotizacionTDB,4,FALSE())</f>
        <v>6.73</v>
      </c>
      <c r="EJ48" s="716">
        <f>VLOOKUP(I48,CotizacionTDB,5,FALSE())</f>
        <v>5.72</v>
      </c>
      <c r="EK48" s="699"/>
    </row>
    <row r="49" ht="12.0" customHeight="1">
      <c r="A49" s="700" t="s">
        <v>3026</v>
      </c>
      <c r="B49" s="701">
        <v>2.0</v>
      </c>
      <c r="C49" s="562" t="s">
        <v>3027</v>
      </c>
      <c r="D49" s="571" t="s">
        <v>36</v>
      </c>
      <c r="E49" s="571" t="s">
        <v>2708</v>
      </c>
      <c r="F49" s="562" t="s">
        <v>1763</v>
      </c>
      <c r="G49" s="702" t="s">
        <v>2709</v>
      </c>
      <c r="H49" s="702" t="s">
        <v>3095</v>
      </c>
      <c r="I49" s="703" t="s">
        <v>1851</v>
      </c>
      <c r="J49" s="704" t="s">
        <v>1575</v>
      </c>
      <c r="K49" s="562" t="s">
        <v>25</v>
      </c>
      <c r="L49" s="562">
        <v>2024.0</v>
      </c>
      <c r="M49" s="562">
        <v>2025.0</v>
      </c>
      <c r="N49" s="562">
        <v>2024.0</v>
      </c>
      <c r="O49" s="562">
        <v>2025.0</v>
      </c>
      <c r="P49" s="562">
        <v>2025.0</v>
      </c>
      <c r="Q49" s="562">
        <v>2025.0</v>
      </c>
      <c r="R49" s="562">
        <v>2024.0</v>
      </c>
      <c r="S49" s="562">
        <v>2024.0</v>
      </c>
      <c r="T49" s="562"/>
      <c r="U49" s="562">
        <v>2024.0</v>
      </c>
      <c r="V49" s="562"/>
      <c r="W49" s="562">
        <v>3.0</v>
      </c>
      <c r="X49" s="562">
        <v>5.0</v>
      </c>
      <c r="Y49" s="562">
        <v>5.0</v>
      </c>
      <c r="Z49" s="562">
        <v>5.0</v>
      </c>
      <c r="AA49" s="562">
        <v>5.0</v>
      </c>
      <c r="AB49" s="562">
        <v>5.0</v>
      </c>
      <c r="AC49" s="562">
        <v>2.0</v>
      </c>
      <c r="AD49" s="562">
        <v>2.0</v>
      </c>
      <c r="AE49" s="562"/>
      <c r="AF49" s="562">
        <v>2.0</v>
      </c>
      <c r="AG49" s="562"/>
      <c r="AH49" s="562"/>
      <c r="AI49" s="562"/>
      <c r="AJ49" s="562"/>
      <c r="AK49" s="562"/>
      <c r="AL49" s="562"/>
      <c r="AM49" s="562"/>
      <c r="AN49" s="562"/>
      <c r="AO49" s="562"/>
      <c r="AP49" s="562"/>
      <c r="AQ49" s="562"/>
      <c r="AR49" s="562">
        <v>-2024.0</v>
      </c>
      <c r="AS49" s="562">
        <v>-2025.0</v>
      </c>
      <c r="AT49" s="562">
        <v>-2024.0</v>
      </c>
      <c r="AU49" s="562">
        <v>-2025.0</v>
      </c>
      <c r="AV49" s="562">
        <v>-2025.0</v>
      </c>
      <c r="AW49" s="562">
        <v>-2025.0</v>
      </c>
      <c r="AX49" s="562">
        <v>-2024.0</v>
      </c>
      <c r="AY49" s="562">
        <v>-2024.0</v>
      </c>
      <c r="AZ49" s="562">
        <v>0.0</v>
      </c>
      <c r="BA49" s="562">
        <v>-2024.0</v>
      </c>
      <c r="BB49" s="562"/>
      <c r="BC49" s="718"/>
      <c r="BD49" s="701"/>
      <c r="BE49" s="718"/>
      <c r="BF49" s="701"/>
      <c r="BG49" s="701"/>
      <c r="BH49" s="701"/>
      <c r="BI49" s="718"/>
      <c r="BJ49" s="718"/>
      <c r="BK49" s="701"/>
      <c r="BL49" s="723"/>
      <c r="BM49" s="665">
        <f t="shared" si="1"/>
        <v>0</v>
      </c>
      <c r="BN49" s="666">
        <v>80.0</v>
      </c>
      <c r="BO49" s="687"/>
      <c r="BP49" s="667">
        <v>72.0</v>
      </c>
      <c r="BQ49" s="687"/>
      <c r="BR49" s="687"/>
      <c r="BS49" s="687"/>
      <c r="BT49" s="667">
        <v>2.0</v>
      </c>
      <c r="BU49" s="667">
        <v>2.0</v>
      </c>
      <c r="BV49" s="687"/>
      <c r="BW49" s="726"/>
      <c r="BX49" s="665">
        <f t="shared" si="2"/>
        <v>156</v>
      </c>
      <c r="BY49" s="682"/>
      <c r="BZ49" s="667">
        <v>60.0</v>
      </c>
      <c r="CA49" s="683"/>
      <c r="CB49" s="667">
        <v>280.0</v>
      </c>
      <c r="CC49" s="667">
        <v>220.0</v>
      </c>
      <c r="CD49" s="667">
        <v>250.0</v>
      </c>
      <c r="CE49" s="667">
        <v>2.0</v>
      </c>
      <c r="CF49" s="683"/>
      <c r="CG49" s="683"/>
      <c r="CH49" s="732">
        <v>2.0</v>
      </c>
      <c r="CI49" s="665">
        <f t="shared" si="3"/>
        <v>814</v>
      </c>
      <c r="CJ49" s="682">
        <f t="shared" si="4"/>
        <v>970</v>
      </c>
      <c r="CK49" s="706">
        <v>0.08</v>
      </c>
      <c r="CL49" s="683">
        <f t="shared" si="19"/>
        <v>0.5568</v>
      </c>
      <c r="CM49" s="683">
        <f t="shared" ref="CM49:CV49" si="146">BC49*$CL49</f>
        <v>0</v>
      </c>
      <c r="CN49" s="683">
        <f t="shared" si="146"/>
        <v>0</v>
      </c>
      <c r="CO49" s="683">
        <f t="shared" si="146"/>
        <v>0</v>
      </c>
      <c r="CP49" s="683">
        <f t="shared" si="146"/>
        <v>0</v>
      </c>
      <c r="CQ49" s="683">
        <f t="shared" si="146"/>
        <v>0</v>
      </c>
      <c r="CR49" s="683">
        <f t="shared" si="146"/>
        <v>0</v>
      </c>
      <c r="CS49" s="683">
        <f t="shared" si="146"/>
        <v>0</v>
      </c>
      <c r="CT49" s="683">
        <f t="shared" si="146"/>
        <v>0</v>
      </c>
      <c r="CU49" s="683">
        <f t="shared" si="146"/>
        <v>0</v>
      </c>
      <c r="CV49" s="683">
        <f t="shared" si="146"/>
        <v>0</v>
      </c>
      <c r="CW49" s="683">
        <f t="shared" si="21"/>
        <v>0</v>
      </c>
      <c r="CX49" s="683">
        <f t="shared" ref="CX49:DG49" si="147">BN49*$CL49</f>
        <v>44.544</v>
      </c>
      <c r="CY49" s="683">
        <f t="shared" si="147"/>
        <v>0</v>
      </c>
      <c r="CZ49" s="683">
        <f t="shared" si="147"/>
        <v>40.0896</v>
      </c>
      <c r="DA49" s="683">
        <f t="shared" si="147"/>
        <v>0</v>
      </c>
      <c r="DB49" s="683">
        <f t="shared" si="147"/>
        <v>0</v>
      </c>
      <c r="DC49" s="683">
        <f t="shared" si="147"/>
        <v>0</v>
      </c>
      <c r="DD49" s="683">
        <f t="shared" si="147"/>
        <v>1.1136</v>
      </c>
      <c r="DE49" s="683">
        <f t="shared" si="147"/>
        <v>1.1136</v>
      </c>
      <c r="DF49" s="683">
        <f t="shared" si="147"/>
        <v>0</v>
      </c>
      <c r="DG49" s="683">
        <f t="shared" si="147"/>
        <v>0</v>
      </c>
      <c r="DH49" s="683">
        <f t="shared" si="23"/>
        <v>86.8608</v>
      </c>
      <c r="DI49" s="683">
        <f t="shared" ref="DI49:DR49" si="148">BY49*$CL49</f>
        <v>0</v>
      </c>
      <c r="DJ49" s="683">
        <f t="shared" si="148"/>
        <v>33.408</v>
      </c>
      <c r="DK49" s="683">
        <f t="shared" si="148"/>
        <v>0</v>
      </c>
      <c r="DL49" s="683">
        <f t="shared" si="148"/>
        <v>155.904</v>
      </c>
      <c r="DM49" s="683">
        <f t="shared" si="148"/>
        <v>122.496</v>
      </c>
      <c r="DN49" s="683">
        <f t="shared" si="148"/>
        <v>139.2</v>
      </c>
      <c r="DO49" s="683">
        <f t="shared" si="148"/>
        <v>1.1136</v>
      </c>
      <c r="DP49" s="683">
        <f t="shared" si="148"/>
        <v>0</v>
      </c>
      <c r="DQ49" s="683">
        <f t="shared" si="148"/>
        <v>0</v>
      </c>
      <c r="DR49" s="683">
        <f t="shared" si="148"/>
        <v>1.1136</v>
      </c>
      <c r="DS49" s="683">
        <f t="shared" si="25"/>
        <v>453.2352</v>
      </c>
      <c r="DT49" s="683">
        <f t="shared" si="15"/>
        <v>540.096</v>
      </c>
      <c r="DU49" s="504"/>
      <c r="DV49" s="486"/>
      <c r="DW49" s="688"/>
      <c r="DX49" s="688"/>
      <c r="DY49" s="688"/>
      <c r="DZ49" s="688"/>
      <c r="EA49" s="688"/>
      <c r="EB49" s="688"/>
      <c r="EC49" s="766">
        <v>0.0</v>
      </c>
      <c r="ED49" s="751">
        <v>2.0</v>
      </c>
      <c r="EE49" s="756">
        <v>0.0</v>
      </c>
      <c r="EF49" s="751">
        <v>2.0</v>
      </c>
      <c r="EG49" s="688"/>
      <c r="EH49" s="707" t="s">
        <v>3096</v>
      </c>
      <c r="EI49" s="708">
        <f>VLOOKUP(I49,CotizacionTDB,4,FALSE())</f>
        <v>0.08</v>
      </c>
      <c r="EJ49" s="708">
        <f>VLOOKUP(I49,CotizacionTDB,5,FALSE())</f>
        <v>0.07</v>
      </c>
      <c r="EK49" s="691"/>
    </row>
    <row r="50" ht="12.0" customHeight="1">
      <c r="A50" s="709" t="s">
        <v>3026</v>
      </c>
      <c r="B50" s="661">
        <v>2.0</v>
      </c>
      <c r="C50" s="567" t="s">
        <v>3027</v>
      </c>
      <c r="D50" s="568" t="s">
        <v>36</v>
      </c>
      <c r="E50" s="568" t="s">
        <v>2708</v>
      </c>
      <c r="F50" s="567" t="s">
        <v>1763</v>
      </c>
      <c r="G50" s="569" t="s">
        <v>2709</v>
      </c>
      <c r="H50" s="569" t="s">
        <v>3097</v>
      </c>
      <c r="I50" s="721" t="s">
        <v>2395</v>
      </c>
      <c r="J50" s="711" t="s">
        <v>1644</v>
      </c>
      <c r="K50" s="567" t="s">
        <v>25</v>
      </c>
      <c r="L50" s="567">
        <v>2024.0</v>
      </c>
      <c r="M50" s="567">
        <v>2025.0</v>
      </c>
      <c r="N50" s="567">
        <v>2024.0</v>
      </c>
      <c r="O50" s="567"/>
      <c r="P50" s="567"/>
      <c r="Q50" s="567"/>
      <c r="R50" s="567">
        <v>2024.0</v>
      </c>
      <c r="S50" s="567">
        <v>2024.0</v>
      </c>
      <c r="T50" s="567"/>
      <c r="U50" s="567">
        <v>2024.0</v>
      </c>
      <c r="V50" s="567"/>
      <c r="W50" s="567">
        <v>3.0</v>
      </c>
      <c r="X50" s="567">
        <v>5.0</v>
      </c>
      <c r="Y50" s="567">
        <v>5.0</v>
      </c>
      <c r="Z50" s="567"/>
      <c r="AA50" s="567"/>
      <c r="AB50" s="567"/>
      <c r="AC50" s="567">
        <v>2.0</v>
      </c>
      <c r="AD50" s="567">
        <v>2.0</v>
      </c>
      <c r="AE50" s="567"/>
      <c r="AF50" s="567">
        <v>2.0</v>
      </c>
      <c r="AG50" s="567"/>
      <c r="AH50" s="567"/>
      <c r="AI50" s="567"/>
      <c r="AJ50" s="567"/>
      <c r="AK50" s="567"/>
      <c r="AL50" s="567"/>
      <c r="AM50" s="567"/>
      <c r="AN50" s="567"/>
      <c r="AO50" s="567"/>
      <c r="AP50" s="567"/>
      <c r="AQ50" s="567"/>
      <c r="AR50" s="567">
        <v>-2024.0</v>
      </c>
      <c r="AS50" s="567">
        <v>-2025.0</v>
      </c>
      <c r="AT50" s="567">
        <v>-2024.0</v>
      </c>
      <c r="AU50" s="567">
        <v>0.0</v>
      </c>
      <c r="AV50" s="567">
        <v>0.0</v>
      </c>
      <c r="AW50" s="567">
        <v>0.0</v>
      </c>
      <c r="AX50" s="567">
        <v>-2024.0</v>
      </c>
      <c r="AY50" s="567">
        <v>-2024.0</v>
      </c>
      <c r="AZ50" s="567">
        <v>0.0</v>
      </c>
      <c r="BA50" s="567">
        <v>-2024.0</v>
      </c>
      <c r="BB50" s="567"/>
      <c r="BC50" s="661"/>
      <c r="BD50" s="661"/>
      <c r="BE50" s="718"/>
      <c r="BF50" s="661"/>
      <c r="BG50" s="661"/>
      <c r="BH50" s="661"/>
      <c r="BI50" s="718"/>
      <c r="BJ50" s="718"/>
      <c r="BK50" s="661"/>
      <c r="BL50" s="731"/>
      <c r="BM50" s="665">
        <f t="shared" si="1"/>
        <v>0</v>
      </c>
      <c r="BN50" s="736"/>
      <c r="BO50" s="674"/>
      <c r="BP50" s="667">
        <v>40.0</v>
      </c>
      <c r="BQ50" s="674"/>
      <c r="BR50" s="674"/>
      <c r="BS50" s="674"/>
      <c r="BT50" s="667">
        <v>2.0</v>
      </c>
      <c r="BU50" s="667">
        <v>2.0</v>
      </c>
      <c r="BV50" s="674"/>
      <c r="BW50" s="732">
        <v>2.0</v>
      </c>
      <c r="BX50" s="665">
        <f t="shared" si="2"/>
        <v>46</v>
      </c>
      <c r="BY50" s="671"/>
      <c r="BZ50" s="667">
        <v>40.0</v>
      </c>
      <c r="CA50" s="668"/>
      <c r="CB50" s="668"/>
      <c r="CC50" s="668"/>
      <c r="CD50" s="668"/>
      <c r="CE50" s="668"/>
      <c r="CF50" s="668"/>
      <c r="CG50" s="668"/>
      <c r="CH50" s="670"/>
      <c r="CI50" s="665">
        <f t="shared" si="3"/>
        <v>40</v>
      </c>
      <c r="CJ50" s="671">
        <f t="shared" si="4"/>
        <v>86</v>
      </c>
      <c r="CK50" s="715">
        <v>0.27</v>
      </c>
      <c r="CL50" s="668">
        <f t="shared" si="19"/>
        <v>1.8792</v>
      </c>
      <c r="CM50" s="668">
        <f t="shared" ref="CM50:CV50" si="149">BC50*$CL50</f>
        <v>0</v>
      </c>
      <c r="CN50" s="668">
        <f t="shared" si="149"/>
        <v>0</v>
      </c>
      <c r="CO50" s="668">
        <f t="shared" si="149"/>
        <v>0</v>
      </c>
      <c r="CP50" s="668">
        <f t="shared" si="149"/>
        <v>0</v>
      </c>
      <c r="CQ50" s="668">
        <f t="shared" si="149"/>
        <v>0</v>
      </c>
      <c r="CR50" s="668">
        <f t="shared" si="149"/>
        <v>0</v>
      </c>
      <c r="CS50" s="668">
        <f t="shared" si="149"/>
        <v>0</v>
      </c>
      <c r="CT50" s="668">
        <f t="shared" si="149"/>
        <v>0</v>
      </c>
      <c r="CU50" s="668">
        <f t="shared" si="149"/>
        <v>0</v>
      </c>
      <c r="CV50" s="668">
        <f t="shared" si="149"/>
        <v>0</v>
      </c>
      <c r="CW50" s="668">
        <f t="shared" si="21"/>
        <v>0</v>
      </c>
      <c r="CX50" s="668">
        <f t="shared" ref="CX50:DG50" si="150">BN50*$CL50</f>
        <v>0</v>
      </c>
      <c r="CY50" s="668">
        <f t="shared" si="150"/>
        <v>0</v>
      </c>
      <c r="CZ50" s="668">
        <f t="shared" si="150"/>
        <v>75.168</v>
      </c>
      <c r="DA50" s="668">
        <f t="shared" si="150"/>
        <v>0</v>
      </c>
      <c r="DB50" s="668">
        <f t="shared" si="150"/>
        <v>0</v>
      </c>
      <c r="DC50" s="668">
        <f t="shared" si="150"/>
        <v>0</v>
      </c>
      <c r="DD50" s="668">
        <f t="shared" si="150"/>
        <v>3.7584</v>
      </c>
      <c r="DE50" s="668">
        <f t="shared" si="150"/>
        <v>3.7584</v>
      </c>
      <c r="DF50" s="668">
        <f t="shared" si="150"/>
        <v>0</v>
      </c>
      <c r="DG50" s="668">
        <f t="shared" si="150"/>
        <v>3.7584</v>
      </c>
      <c r="DH50" s="668">
        <f t="shared" si="23"/>
        <v>86.4432</v>
      </c>
      <c r="DI50" s="668">
        <f t="shared" ref="DI50:DR50" si="151">BY50*$CL50</f>
        <v>0</v>
      </c>
      <c r="DJ50" s="668">
        <f t="shared" si="151"/>
        <v>75.168</v>
      </c>
      <c r="DK50" s="668">
        <f t="shared" si="151"/>
        <v>0</v>
      </c>
      <c r="DL50" s="668">
        <f t="shared" si="151"/>
        <v>0</v>
      </c>
      <c r="DM50" s="668">
        <f t="shared" si="151"/>
        <v>0</v>
      </c>
      <c r="DN50" s="668">
        <f t="shared" si="151"/>
        <v>0</v>
      </c>
      <c r="DO50" s="668">
        <f t="shared" si="151"/>
        <v>0</v>
      </c>
      <c r="DP50" s="668">
        <f t="shared" si="151"/>
        <v>0</v>
      </c>
      <c r="DQ50" s="668">
        <f t="shared" si="151"/>
        <v>0</v>
      </c>
      <c r="DR50" s="668">
        <f t="shared" si="151"/>
        <v>0</v>
      </c>
      <c r="DS50" s="668">
        <f t="shared" si="25"/>
        <v>75.168</v>
      </c>
      <c r="DT50" s="668">
        <f t="shared" si="15"/>
        <v>161.6112</v>
      </c>
      <c r="DU50" s="538"/>
      <c r="DV50" s="468"/>
      <c r="DW50" s="698"/>
      <c r="DX50" s="698"/>
      <c r="DY50" s="698"/>
      <c r="DZ50" s="698"/>
      <c r="EA50" s="698"/>
      <c r="EB50" s="698"/>
      <c r="EC50" s="751">
        <v>2.0</v>
      </c>
      <c r="ED50" s="751">
        <v>2.0</v>
      </c>
      <c r="EE50" s="752">
        <v>0.0</v>
      </c>
      <c r="EF50" s="751">
        <v>2.0</v>
      </c>
      <c r="EG50" s="698"/>
      <c r="EH50" s="576" t="s">
        <v>1644</v>
      </c>
      <c r="EI50" s="716">
        <f>VLOOKUP(I50,CotizacionTDB,4,FALSE())</f>
        <v>0.27</v>
      </c>
      <c r="EJ50" s="716">
        <f>VLOOKUP(I50,CotizacionTDB,5,FALSE())</f>
        <v>0.23</v>
      </c>
      <c r="EK50" s="699"/>
    </row>
    <row r="51" ht="12.0" customHeight="1">
      <c r="A51" s="700" t="s">
        <v>3026</v>
      </c>
      <c r="B51" s="701">
        <v>2.0</v>
      </c>
      <c r="C51" s="562" t="s">
        <v>3027</v>
      </c>
      <c r="D51" s="571" t="s">
        <v>36</v>
      </c>
      <c r="E51" s="571" t="s">
        <v>2708</v>
      </c>
      <c r="F51" s="562" t="s">
        <v>1763</v>
      </c>
      <c r="G51" s="702" t="s">
        <v>2709</v>
      </c>
      <c r="H51" s="569" t="s">
        <v>3098</v>
      </c>
      <c r="I51" s="703" t="s">
        <v>1894</v>
      </c>
      <c r="J51" s="704" t="s">
        <v>1681</v>
      </c>
      <c r="K51" s="562" t="s">
        <v>25</v>
      </c>
      <c r="L51" s="562"/>
      <c r="M51" s="562"/>
      <c r="N51" s="562"/>
      <c r="O51" s="562"/>
      <c r="P51" s="562"/>
      <c r="Q51" s="562"/>
      <c r="R51" s="562">
        <v>2024.0</v>
      </c>
      <c r="S51" s="562">
        <v>2024.0</v>
      </c>
      <c r="T51" s="562"/>
      <c r="U51" s="562">
        <v>2024.0</v>
      </c>
      <c r="V51" s="562"/>
      <c r="W51" s="562"/>
      <c r="X51" s="562"/>
      <c r="Y51" s="562"/>
      <c r="Z51" s="562"/>
      <c r="AA51" s="562"/>
      <c r="AB51" s="562"/>
      <c r="AC51" s="562">
        <v>2.0</v>
      </c>
      <c r="AD51" s="562">
        <v>2.0</v>
      </c>
      <c r="AE51" s="562"/>
      <c r="AF51" s="562">
        <v>2.0</v>
      </c>
      <c r="AG51" s="562"/>
      <c r="AH51" s="562"/>
      <c r="AI51" s="562"/>
      <c r="AJ51" s="562"/>
      <c r="AK51" s="562"/>
      <c r="AL51" s="562"/>
      <c r="AM51" s="562"/>
      <c r="AN51" s="562"/>
      <c r="AO51" s="562"/>
      <c r="AP51" s="562"/>
      <c r="AQ51" s="562"/>
      <c r="AR51" s="562">
        <v>0.0</v>
      </c>
      <c r="AS51" s="562">
        <v>0.0</v>
      </c>
      <c r="AT51" s="562">
        <v>0.0</v>
      </c>
      <c r="AU51" s="562">
        <v>0.0</v>
      </c>
      <c r="AV51" s="562">
        <v>0.0</v>
      </c>
      <c r="AW51" s="562">
        <v>0.0</v>
      </c>
      <c r="AX51" s="562">
        <v>-2024.0</v>
      </c>
      <c r="AY51" s="562">
        <v>-2024.0</v>
      </c>
      <c r="AZ51" s="562">
        <v>0.0</v>
      </c>
      <c r="BA51" s="562">
        <v>-2024.0</v>
      </c>
      <c r="BB51" s="562"/>
      <c r="BC51" s="562"/>
      <c r="BD51" s="562"/>
      <c r="BE51" s="562"/>
      <c r="BF51" s="562"/>
      <c r="BG51" s="562"/>
      <c r="BH51" s="562"/>
      <c r="BI51" s="718"/>
      <c r="BJ51" s="718"/>
      <c r="BK51" s="562"/>
      <c r="BL51" s="681"/>
      <c r="BM51" s="665">
        <f t="shared" si="1"/>
        <v>0</v>
      </c>
      <c r="BN51" s="682"/>
      <c r="BO51" s="683"/>
      <c r="BP51" s="683"/>
      <c r="BQ51" s="683"/>
      <c r="BR51" s="683"/>
      <c r="BS51" s="683"/>
      <c r="BT51" s="667">
        <v>2.0</v>
      </c>
      <c r="BU51" s="667">
        <v>2.0</v>
      </c>
      <c r="BV51" s="683"/>
      <c r="BW51" s="686"/>
      <c r="BX51" s="665">
        <f t="shared" si="2"/>
        <v>4</v>
      </c>
      <c r="BY51" s="682"/>
      <c r="BZ51" s="683"/>
      <c r="CA51" s="683"/>
      <c r="CB51" s="683"/>
      <c r="CC51" s="683"/>
      <c r="CD51" s="683"/>
      <c r="CE51" s="667">
        <v>2.0</v>
      </c>
      <c r="CF51" s="683"/>
      <c r="CG51" s="683"/>
      <c r="CH51" s="732">
        <v>2.0</v>
      </c>
      <c r="CI51" s="665">
        <f t="shared" si="3"/>
        <v>4</v>
      </c>
      <c r="CJ51" s="682">
        <f t="shared" si="4"/>
        <v>8</v>
      </c>
      <c r="CK51" s="706">
        <v>1.77</v>
      </c>
      <c r="CL51" s="683">
        <f t="shared" si="19"/>
        <v>12.3192</v>
      </c>
      <c r="CM51" s="683">
        <f t="shared" ref="CM51:CV51" si="152">BC51*$CL51</f>
        <v>0</v>
      </c>
      <c r="CN51" s="683">
        <f t="shared" si="152"/>
        <v>0</v>
      </c>
      <c r="CO51" s="683">
        <f t="shared" si="152"/>
        <v>0</v>
      </c>
      <c r="CP51" s="683">
        <f t="shared" si="152"/>
        <v>0</v>
      </c>
      <c r="CQ51" s="683">
        <f t="shared" si="152"/>
        <v>0</v>
      </c>
      <c r="CR51" s="683">
        <f t="shared" si="152"/>
        <v>0</v>
      </c>
      <c r="CS51" s="683">
        <f t="shared" si="152"/>
        <v>0</v>
      </c>
      <c r="CT51" s="683">
        <f t="shared" si="152"/>
        <v>0</v>
      </c>
      <c r="CU51" s="683">
        <f t="shared" si="152"/>
        <v>0</v>
      </c>
      <c r="CV51" s="683">
        <f t="shared" si="152"/>
        <v>0</v>
      </c>
      <c r="CW51" s="683">
        <f t="shared" si="21"/>
        <v>0</v>
      </c>
      <c r="CX51" s="683">
        <f t="shared" ref="CX51:DG51" si="153">BN51*$CL51</f>
        <v>0</v>
      </c>
      <c r="CY51" s="683">
        <f t="shared" si="153"/>
        <v>0</v>
      </c>
      <c r="CZ51" s="683">
        <f t="shared" si="153"/>
        <v>0</v>
      </c>
      <c r="DA51" s="683">
        <f t="shared" si="153"/>
        <v>0</v>
      </c>
      <c r="DB51" s="683">
        <f t="shared" si="153"/>
        <v>0</v>
      </c>
      <c r="DC51" s="683">
        <f t="shared" si="153"/>
        <v>0</v>
      </c>
      <c r="DD51" s="683">
        <f t="shared" si="153"/>
        <v>24.6384</v>
      </c>
      <c r="DE51" s="683">
        <f t="shared" si="153"/>
        <v>24.6384</v>
      </c>
      <c r="DF51" s="683">
        <f t="shared" si="153"/>
        <v>0</v>
      </c>
      <c r="DG51" s="683">
        <f t="shared" si="153"/>
        <v>0</v>
      </c>
      <c r="DH51" s="683">
        <f t="shared" si="23"/>
        <v>49.2768</v>
      </c>
      <c r="DI51" s="683">
        <f t="shared" ref="DI51:DR51" si="154">BY51*$CL51</f>
        <v>0</v>
      </c>
      <c r="DJ51" s="683">
        <f t="shared" si="154"/>
        <v>0</v>
      </c>
      <c r="DK51" s="683">
        <f t="shared" si="154"/>
        <v>0</v>
      </c>
      <c r="DL51" s="683">
        <f t="shared" si="154"/>
        <v>0</v>
      </c>
      <c r="DM51" s="683">
        <f t="shared" si="154"/>
        <v>0</v>
      </c>
      <c r="DN51" s="683">
        <f t="shared" si="154"/>
        <v>0</v>
      </c>
      <c r="DO51" s="683">
        <f t="shared" si="154"/>
        <v>24.6384</v>
      </c>
      <c r="DP51" s="683">
        <f t="shared" si="154"/>
        <v>0</v>
      </c>
      <c r="DQ51" s="683">
        <f t="shared" si="154"/>
        <v>0</v>
      </c>
      <c r="DR51" s="683">
        <f t="shared" si="154"/>
        <v>24.6384</v>
      </c>
      <c r="DS51" s="683">
        <f t="shared" si="25"/>
        <v>49.2768</v>
      </c>
      <c r="DT51" s="683">
        <f t="shared" si="15"/>
        <v>98.5536</v>
      </c>
      <c r="DU51" s="504"/>
      <c r="DV51" s="486"/>
      <c r="DW51" s="756">
        <v>0.0</v>
      </c>
      <c r="DX51" s="756">
        <v>0.0</v>
      </c>
      <c r="DY51" s="756">
        <v>0.0</v>
      </c>
      <c r="DZ51" s="756">
        <v>0.0</v>
      </c>
      <c r="EA51" s="756">
        <v>0.0</v>
      </c>
      <c r="EB51" s="756">
        <v>0.0</v>
      </c>
      <c r="EC51" s="766">
        <v>0.0</v>
      </c>
      <c r="ED51" s="751">
        <v>2.0</v>
      </c>
      <c r="EE51" s="756">
        <v>0.0</v>
      </c>
      <c r="EF51" s="751">
        <v>2.0</v>
      </c>
      <c r="EG51" s="688"/>
      <c r="EH51" s="707" t="s">
        <v>1681</v>
      </c>
      <c r="EI51" s="708">
        <f>VLOOKUP(I51,CotizacionTDB,4,FALSE())</f>
        <v>1.77</v>
      </c>
      <c r="EJ51" s="708">
        <f>VLOOKUP(I51,CotizacionTDB,5,FALSE())</f>
        <v>1.5</v>
      </c>
      <c r="EK51" s="691"/>
    </row>
    <row r="52" ht="12.0" customHeight="1">
      <c r="A52" s="709" t="s">
        <v>3026</v>
      </c>
      <c r="B52" s="661">
        <v>2.0</v>
      </c>
      <c r="C52" s="567" t="s">
        <v>3027</v>
      </c>
      <c r="D52" s="568" t="s">
        <v>36</v>
      </c>
      <c r="E52" s="568" t="s">
        <v>2708</v>
      </c>
      <c r="F52" s="567" t="s">
        <v>1763</v>
      </c>
      <c r="G52" s="657" t="s">
        <v>2709</v>
      </c>
      <c r="H52" s="569" t="s">
        <v>3099</v>
      </c>
      <c r="I52" s="721" t="s">
        <v>1898</v>
      </c>
      <c r="J52" s="711" t="s">
        <v>1696</v>
      </c>
      <c r="K52" s="567" t="s">
        <v>25</v>
      </c>
      <c r="L52" s="567"/>
      <c r="M52" s="567"/>
      <c r="N52" s="567"/>
      <c r="O52" s="567"/>
      <c r="P52" s="567"/>
      <c r="Q52" s="567"/>
      <c r="R52" s="567">
        <v>2024.0</v>
      </c>
      <c r="S52" s="567">
        <v>2024.0</v>
      </c>
      <c r="T52" s="567"/>
      <c r="U52" s="567">
        <v>2024.0</v>
      </c>
      <c r="V52" s="567"/>
      <c r="W52" s="567"/>
      <c r="X52" s="567"/>
      <c r="Y52" s="567"/>
      <c r="Z52" s="567"/>
      <c r="AA52" s="567"/>
      <c r="AB52" s="567"/>
      <c r="AC52" s="567">
        <v>2.0</v>
      </c>
      <c r="AD52" s="567">
        <v>2.0</v>
      </c>
      <c r="AE52" s="567"/>
      <c r="AF52" s="567">
        <v>2.0</v>
      </c>
      <c r="AG52" s="567"/>
      <c r="AH52" s="567"/>
      <c r="AI52" s="567"/>
      <c r="AJ52" s="567"/>
      <c r="AK52" s="567"/>
      <c r="AL52" s="567"/>
      <c r="AM52" s="567"/>
      <c r="AN52" s="567"/>
      <c r="AO52" s="567"/>
      <c r="AP52" s="567"/>
      <c r="AQ52" s="567"/>
      <c r="AR52" s="567">
        <v>0.0</v>
      </c>
      <c r="AS52" s="567">
        <v>0.0</v>
      </c>
      <c r="AT52" s="567">
        <v>0.0</v>
      </c>
      <c r="AU52" s="567">
        <v>0.0</v>
      </c>
      <c r="AV52" s="567">
        <v>0.0</v>
      </c>
      <c r="AW52" s="567">
        <v>0.0</v>
      </c>
      <c r="AX52" s="567">
        <v>-2024.0</v>
      </c>
      <c r="AY52" s="567">
        <v>-2024.0</v>
      </c>
      <c r="AZ52" s="567">
        <v>0.0</v>
      </c>
      <c r="BA52" s="567">
        <v>-2024.0</v>
      </c>
      <c r="BB52" s="567"/>
      <c r="BC52" s="567"/>
      <c r="BD52" s="567"/>
      <c r="BE52" s="567"/>
      <c r="BF52" s="567"/>
      <c r="BG52" s="567"/>
      <c r="BH52" s="567"/>
      <c r="BI52" s="718"/>
      <c r="BJ52" s="718"/>
      <c r="BK52" s="567"/>
      <c r="BL52" s="725"/>
      <c r="BM52" s="665">
        <f t="shared" si="1"/>
        <v>0</v>
      </c>
      <c r="BN52" s="668"/>
      <c r="BO52" s="668"/>
      <c r="BP52" s="668"/>
      <c r="BQ52" s="668"/>
      <c r="BR52" s="668"/>
      <c r="BS52" s="668"/>
      <c r="BT52" s="667">
        <v>2.0</v>
      </c>
      <c r="BU52" s="667">
        <v>2.0</v>
      </c>
      <c r="BV52" s="668"/>
      <c r="BW52" s="670"/>
      <c r="BX52" s="665">
        <f t="shared" si="2"/>
        <v>4</v>
      </c>
      <c r="BY52" s="671"/>
      <c r="BZ52" s="668"/>
      <c r="CA52" s="668"/>
      <c r="CB52" s="668"/>
      <c r="CC52" s="668"/>
      <c r="CD52" s="668"/>
      <c r="CE52" s="667">
        <v>2.0</v>
      </c>
      <c r="CF52" s="668"/>
      <c r="CG52" s="668"/>
      <c r="CH52" s="732">
        <v>2.0</v>
      </c>
      <c r="CI52" s="665">
        <f t="shared" si="3"/>
        <v>4</v>
      </c>
      <c r="CJ52" s="671">
        <f t="shared" si="4"/>
        <v>8</v>
      </c>
      <c r="CK52" s="715">
        <v>0.27</v>
      </c>
      <c r="CL52" s="668">
        <f t="shared" si="19"/>
        <v>1.8792</v>
      </c>
      <c r="CM52" s="668">
        <f t="shared" ref="CM52:CV52" si="155">BC52*$CL52</f>
        <v>0</v>
      </c>
      <c r="CN52" s="668">
        <f t="shared" si="155"/>
        <v>0</v>
      </c>
      <c r="CO52" s="668">
        <f t="shared" si="155"/>
        <v>0</v>
      </c>
      <c r="CP52" s="668">
        <f t="shared" si="155"/>
        <v>0</v>
      </c>
      <c r="CQ52" s="668">
        <f t="shared" si="155"/>
        <v>0</v>
      </c>
      <c r="CR52" s="668">
        <f t="shared" si="155"/>
        <v>0</v>
      </c>
      <c r="CS52" s="668">
        <f t="shared" si="155"/>
        <v>0</v>
      </c>
      <c r="CT52" s="668">
        <f t="shared" si="155"/>
        <v>0</v>
      </c>
      <c r="CU52" s="668">
        <f t="shared" si="155"/>
        <v>0</v>
      </c>
      <c r="CV52" s="668">
        <f t="shared" si="155"/>
        <v>0</v>
      </c>
      <c r="CW52" s="668">
        <f t="shared" si="21"/>
        <v>0</v>
      </c>
      <c r="CX52" s="668">
        <f t="shared" ref="CX52:DG52" si="156">BN52*$CL52</f>
        <v>0</v>
      </c>
      <c r="CY52" s="668">
        <f t="shared" si="156"/>
        <v>0</v>
      </c>
      <c r="CZ52" s="668">
        <f t="shared" si="156"/>
        <v>0</v>
      </c>
      <c r="DA52" s="668">
        <f t="shared" si="156"/>
        <v>0</v>
      </c>
      <c r="DB52" s="668">
        <f t="shared" si="156"/>
        <v>0</v>
      </c>
      <c r="DC52" s="668">
        <f t="shared" si="156"/>
        <v>0</v>
      </c>
      <c r="DD52" s="668">
        <f t="shared" si="156"/>
        <v>3.7584</v>
      </c>
      <c r="DE52" s="668">
        <f t="shared" si="156"/>
        <v>3.7584</v>
      </c>
      <c r="DF52" s="668">
        <f t="shared" si="156"/>
        <v>0</v>
      </c>
      <c r="DG52" s="668">
        <f t="shared" si="156"/>
        <v>0</v>
      </c>
      <c r="DH52" s="668">
        <f t="shared" si="23"/>
        <v>7.5168</v>
      </c>
      <c r="DI52" s="668">
        <f t="shared" ref="DI52:DR52" si="157">BY52*$CL52</f>
        <v>0</v>
      </c>
      <c r="DJ52" s="668">
        <f t="shared" si="157"/>
        <v>0</v>
      </c>
      <c r="DK52" s="668">
        <f t="shared" si="157"/>
        <v>0</v>
      </c>
      <c r="DL52" s="668">
        <f t="shared" si="157"/>
        <v>0</v>
      </c>
      <c r="DM52" s="668">
        <f t="shared" si="157"/>
        <v>0</v>
      </c>
      <c r="DN52" s="668">
        <f t="shared" si="157"/>
        <v>0</v>
      </c>
      <c r="DO52" s="668">
        <f t="shared" si="157"/>
        <v>3.7584</v>
      </c>
      <c r="DP52" s="668">
        <f t="shared" si="157"/>
        <v>0</v>
      </c>
      <c r="DQ52" s="668">
        <f t="shared" si="157"/>
        <v>0</v>
      </c>
      <c r="DR52" s="668">
        <f t="shared" si="157"/>
        <v>3.7584</v>
      </c>
      <c r="DS52" s="668">
        <f t="shared" si="25"/>
        <v>7.5168</v>
      </c>
      <c r="DT52" s="668">
        <f t="shared" si="15"/>
        <v>15.0336</v>
      </c>
      <c r="DU52" s="767"/>
      <c r="DV52" s="468"/>
      <c r="DW52" s="752">
        <v>0.0</v>
      </c>
      <c r="DX52" s="752">
        <v>0.0</v>
      </c>
      <c r="DY52" s="752">
        <v>0.0</v>
      </c>
      <c r="DZ52" s="752">
        <v>0.0</v>
      </c>
      <c r="EA52" s="752">
        <v>0.0</v>
      </c>
      <c r="EB52" s="752">
        <v>0.0</v>
      </c>
      <c r="EC52" s="766">
        <v>0.0</v>
      </c>
      <c r="ED52" s="751">
        <v>2.0</v>
      </c>
      <c r="EE52" s="752">
        <v>0.0</v>
      </c>
      <c r="EF52" s="751">
        <v>2.0</v>
      </c>
      <c r="EG52" s="698"/>
      <c r="EH52" s="576" t="s">
        <v>1696</v>
      </c>
      <c r="EI52" s="716">
        <f>VLOOKUP(I52,CotizacionTDB,4,FALSE())</f>
        <v>0.27</v>
      </c>
      <c r="EJ52" s="716">
        <f>VLOOKUP(I52,CotizacionTDB,5,FALSE())</f>
        <v>0.23</v>
      </c>
      <c r="EK52" s="699"/>
    </row>
    <row r="53" ht="12.0" customHeight="1">
      <c r="A53" s="700" t="s">
        <v>3026</v>
      </c>
      <c r="B53" s="701">
        <v>2.0</v>
      </c>
      <c r="C53" s="562" t="s">
        <v>3027</v>
      </c>
      <c r="D53" s="571" t="s">
        <v>36</v>
      </c>
      <c r="E53" s="571" t="s">
        <v>2708</v>
      </c>
      <c r="F53" s="562" t="s">
        <v>1763</v>
      </c>
      <c r="G53" s="702" t="s">
        <v>2709</v>
      </c>
      <c r="H53" s="737"/>
      <c r="I53" s="703" t="s">
        <v>1850</v>
      </c>
      <c r="J53" s="704" t="s">
        <v>1660</v>
      </c>
      <c r="K53" s="562" t="s">
        <v>25</v>
      </c>
      <c r="L53" s="562"/>
      <c r="M53" s="562"/>
      <c r="N53" s="562"/>
      <c r="O53" s="562"/>
      <c r="P53" s="562"/>
      <c r="Q53" s="562"/>
      <c r="R53" s="562"/>
      <c r="S53" s="562">
        <v>2024.0</v>
      </c>
      <c r="T53" s="562"/>
      <c r="U53" s="562"/>
      <c r="V53" s="562"/>
      <c r="W53" s="562"/>
      <c r="X53" s="562"/>
      <c r="Y53" s="562"/>
      <c r="Z53" s="562"/>
      <c r="AA53" s="562"/>
      <c r="AB53" s="562"/>
      <c r="AC53" s="562"/>
      <c r="AD53" s="562">
        <v>5.0</v>
      </c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>
        <v>0.0</v>
      </c>
      <c r="AS53" s="562">
        <v>0.0</v>
      </c>
      <c r="AT53" s="562">
        <v>0.0</v>
      </c>
      <c r="AU53" s="562">
        <v>0.0</v>
      </c>
      <c r="AV53" s="562">
        <v>0.0</v>
      </c>
      <c r="AW53" s="562">
        <v>0.0</v>
      </c>
      <c r="AX53" s="562">
        <v>0.0</v>
      </c>
      <c r="AY53" s="562">
        <v>-2024.0</v>
      </c>
      <c r="AZ53" s="562">
        <v>0.0</v>
      </c>
      <c r="BA53" s="562">
        <v>0.0</v>
      </c>
      <c r="BB53" s="562"/>
      <c r="BC53" s="562"/>
      <c r="BD53" s="562"/>
      <c r="BE53" s="562"/>
      <c r="BF53" s="562"/>
      <c r="BG53" s="562"/>
      <c r="BH53" s="562"/>
      <c r="BI53" s="562"/>
      <c r="BJ53" s="746"/>
      <c r="BK53" s="562"/>
      <c r="BL53" s="681"/>
      <c r="BM53" s="665">
        <f t="shared" si="1"/>
        <v>0</v>
      </c>
      <c r="BN53" s="682"/>
      <c r="BO53" s="683"/>
      <c r="BP53" s="683"/>
      <c r="BQ53" s="683"/>
      <c r="BR53" s="683"/>
      <c r="BS53" s="683"/>
      <c r="BT53" s="683"/>
      <c r="BU53" s="669">
        <v>10.0</v>
      </c>
      <c r="BV53" s="683"/>
      <c r="BW53" s="686"/>
      <c r="BX53" s="665">
        <f t="shared" si="2"/>
        <v>10</v>
      </c>
      <c r="BY53" s="682"/>
      <c r="BZ53" s="683"/>
      <c r="CA53" s="683"/>
      <c r="CB53" s="683"/>
      <c r="CC53" s="683"/>
      <c r="CD53" s="683"/>
      <c r="CE53" s="683"/>
      <c r="CF53" s="669">
        <v>50.0</v>
      </c>
      <c r="CG53" s="683"/>
      <c r="CH53" s="686"/>
      <c r="CI53" s="665">
        <f t="shared" si="3"/>
        <v>50</v>
      </c>
      <c r="CJ53" s="682">
        <f t="shared" si="4"/>
        <v>60</v>
      </c>
      <c r="CK53" s="706">
        <v>0.08</v>
      </c>
      <c r="CL53" s="683">
        <f t="shared" si="19"/>
        <v>0.5568</v>
      </c>
      <c r="CM53" s="683">
        <f t="shared" ref="CM53:CV53" si="158">BC53*$CL53</f>
        <v>0</v>
      </c>
      <c r="CN53" s="683">
        <f t="shared" si="158"/>
        <v>0</v>
      </c>
      <c r="CO53" s="683">
        <f t="shared" si="158"/>
        <v>0</v>
      </c>
      <c r="CP53" s="683">
        <f t="shared" si="158"/>
        <v>0</v>
      </c>
      <c r="CQ53" s="683">
        <f t="shared" si="158"/>
        <v>0</v>
      </c>
      <c r="CR53" s="683">
        <f t="shared" si="158"/>
        <v>0</v>
      </c>
      <c r="CS53" s="683">
        <f t="shared" si="158"/>
        <v>0</v>
      </c>
      <c r="CT53" s="683">
        <f t="shared" si="158"/>
        <v>0</v>
      </c>
      <c r="CU53" s="683">
        <f t="shared" si="158"/>
        <v>0</v>
      </c>
      <c r="CV53" s="683">
        <f t="shared" si="158"/>
        <v>0</v>
      </c>
      <c r="CW53" s="683">
        <f t="shared" si="21"/>
        <v>0</v>
      </c>
      <c r="CX53" s="683">
        <f t="shared" ref="CX53:DG53" si="159">BN53*$CL53</f>
        <v>0</v>
      </c>
      <c r="CY53" s="683">
        <f t="shared" si="159"/>
        <v>0</v>
      </c>
      <c r="CZ53" s="683">
        <f t="shared" si="159"/>
        <v>0</v>
      </c>
      <c r="DA53" s="683">
        <f t="shared" si="159"/>
        <v>0</v>
      </c>
      <c r="DB53" s="683">
        <f t="shared" si="159"/>
        <v>0</v>
      </c>
      <c r="DC53" s="683">
        <f t="shared" si="159"/>
        <v>0</v>
      </c>
      <c r="DD53" s="683">
        <f t="shared" si="159"/>
        <v>0</v>
      </c>
      <c r="DE53" s="683">
        <f t="shared" si="159"/>
        <v>5.568</v>
      </c>
      <c r="DF53" s="683">
        <f t="shared" si="159"/>
        <v>0</v>
      </c>
      <c r="DG53" s="683">
        <f t="shared" si="159"/>
        <v>0</v>
      </c>
      <c r="DH53" s="683">
        <f t="shared" si="23"/>
        <v>5.568</v>
      </c>
      <c r="DI53" s="683">
        <f t="shared" ref="DI53:DR53" si="160">BY53*$CL53</f>
        <v>0</v>
      </c>
      <c r="DJ53" s="683">
        <f t="shared" si="160"/>
        <v>0</v>
      </c>
      <c r="DK53" s="683">
        <f t="shared" si="160"/>
        <v>0</v>
      </c>
      <c r="DL53" s="683">
        <f t="shared" si="160"/>
        <v>0</v>
      </c>
      <c r="DM53" s="683">
        <f t="shared" si="160"/>
        <v>0</v>
      </c>
      <c r="DN53" s="683">
        <f t="shared" si="160"/>
        <v>0</v>
      </c>
      <c r="DO53" s="683">
        <f t="shared" si="160"/>
        <v>0</v>
      </c>
      <c r="DP53" s="683">
        <f t="shared" si="160"/>
        <v>27.84</v>
      </c>
      <c r="DQ53" s="683">
        <f t="shared" si="160"/>
        <v>0</v>
      </c>
      <c r="DR53" s="683">
        <f t="shared" si="160"/>
        <v>0</v>
      </c>
      <c r="DS53" s="683">
        <f t="shared" si="25"/>
        <v>27.84</v>
      </c>
      <c r="DT53" s="683">
        <f t="shared" si="15"/>
        <v>33.408</v>
      </c>
      <c r="DU53" s="504"/>
      <c r="DV53" s="486"/>
      <c r="DW53" s="756">
        <v>0.0</v>
      </c>
      <c r="DX53" s="756">
        <v>0.0</v>
      </c>
      <c r="DY53" s="756">
        <v>0.0</v>
      </c>
      <c r="DZ53" s="756">
        <v>0.0</v>
      </c>
      <c r="EA53" s="756">
        <v>0.0</v>
      </c>
      <c r="EB53" s="756">
        <v>0.0</v>
      </c>
      <c r="EC53" s="756">
        <v>0.0</v>
      </c>
      <c r="ED53" s="756">
        <v>0.0</v>
      </c>
      <c r="EE53" s="756">
        <v>0.0</v>
      </c>
      <c r="EF53" s="756">
        <v>0.0</v>
      </c>
      <c r="EG53" s="688"/>
      <c r="EH53" s="707" t="s">
        <v>3100</v>
      </c>
      <c r="EI53" s="708">
        <f>VLOOKUP(I53,CotizacionTDB,4,FALSE())</f>
        <v>0.08</v>
      </c>
      <c r="EJ53" s="708">
        <f>VLOOKUP(I53,CotizacionTDB,5,FALSE())</f>
        <v>0.07</v>
      </c>
      <c r="EK53" s="691"/>
    </row>
    <row r="54" ht="12.0" customHeight="1">
      <c r="A54" s="709" t="s">
        <v>3026</v>
      </c>
      <c r="B54" s="661">
        <v>2.0</v>
      </c>
      <c r="C54" s="567" t="s">
        <v>3027</v>
      </c>
      <c r="D54" s="568" t="s">
        <v>36</v>
      </c>
      <c r="E54" s="568" t="s">
        <v>2708</v>
      </c>
      <c r="F54" s="567" t="s">
        <v>1763</v>
      </c>
      <c r="G54" s="657" t="s">
        <v>2709</v>
      </c>
      <c r="H54" s="569" t="s">
        <v>2939</v>
      </c>
      <c r="I54" s="721" t="s">
        <v>1852</v>
      </c>
      <c r="J54" s="711" t="s">
        <v>1495</v>
      </c>
      <c r="K54" s="567" t="s">
        <v>25</v>
      </c>
      <c r="L54" s="567"/>
      <c r="M54" s="567"/>
      <c r="N54" s="567"/>
      <c r="O54" s="567"/>
      <c r="P54" s="567"/>
      <c r="Q54" s="567"/>
      <c r="R54" s="567">
        <v>2024.0</v>
      </c>
      <c r="S54" s="567">
        <v>2024.0</v>
      </c>
      <c r="T54" s="567"/>
      <c r="U54" s="567">
        <v>2024.0</v>
      </c>
      <c r="V54" s="567"/>
      <c r="W54" s="567"/>
      <c r="X54" s="567"/>
      <c r="Y54" s="567"/>
      <c r="Z54" s="567"/>
      <c r="AA54" s="567"/>
      <c r="AB54" s="567"/>
      <c r="AC54" s="567">
        <v>2.0</v>
      </c>
      <c r="AD54" s="567">
        <v>2.0</v>
      </c>
      <c r="AE54" s="567"/>
      <c r="AF54" s="567">
        <v>2.0</v>
      </c>
      <c r="AG54" s="567"/>
      <c r="AH54" s="567"/>
      <c r="AI54" s="567"/>
      <c r="AJ54" s="567"/>
      <c r="AK54" s="567"/>
      <c r="AL54" s="567"/>
      <c r="AM54" s="567"/>
      <c r="AN54" s="567"/>
      <c r="AO54" s="567"/>
      <c r="AP54" s="567"/>
      <c r="AQ54" s="567"/>
      <c r="AR54" s="567">
        <v>0.0</v>
      </c>
      <c r="AS54" s="567">
        <v>0.0</v>
      </c>
      <c r="AT54" s="567">
        <v>0.0</v>
      </c>
      <c r="AU54" s="567">
        <v>0.0</v>
      </c>
      <c r="AV54" s="567">
        <v>0.0</v>
      </c>
      <c r="AW54" s="567">
        <v>0.0</v>
      </c>
      <c r="AX54" s="567">
        <v>-2024.0</v>
      </c>
      <c r="AY54" s="567">
        <v>-2024.0</v>
      </c>
      <c r="AZ54" s="567">
        <v>0.0</v>
      </c>
      <c r="BA54" s="567">
        <v>-2024.0</v>
      </c>
      <c r="BB54" s="567"/>
      <c r="BC54" s="567"/>
      <c r="BD54" s="567"/>
      <c r="BE54" s="567"/>
      <c r="BF54" s="567"/>
      <c r="BG54" s="567"/>
      <c r="BH54" s="567"/>
      <c r="BI54" s="718"/>
      <c r="BJ54" s="718"/>
      <c r="BK54" s="567"/>
      <c r="BL54" s="725"/>
      <c r="BM54" s="665">
        <f t="shared" si="1"/>
        <v>0</v>
      </c>
      <c r="BN54" s="671"/>
      <c r="BO54" s="668"/>
      <c r="BP54" s="668"/>
      <c r="BQ54" s="668"/>
      <c r="BR54" s="668"/>
      <c r="BS54" s="668"/>
      <c r="BT54" s="667">
        <v>2.0</v>
      </c>
      <c r="BU54" s="667">
        <v>2.0</v>
      </c>
      <c r="BV54" s="668"/>
      <c r="BW54" s="670"/>
      <c r="BX54" s="665">
        <f t="shared" si="2"/>
        <v>4</v>
      </c>
      <c r="BY54" s="671"/>
      <c r="BZ54" s="668"/>
      <c r="CA54" s="668"/>
      <c r="CB54" s="668"/>
      <c r="CC54" s="668"/>
      <c r="CD54" s="668"/>
      <c r="CE54" s="667">
        <v>2.0</v>
      </c>
      <c r="CF54" s="668"/>
      <c r="CG54" s="668"/>
      <c r="CH54" s="732">
        <v>2.0</v>
      </c>
      <c r="CI54" s="665">
        <f t="shared" si="3"/>
        <v>4</v>
      </c>
      <c r="CJ54" s="671">
        <f t="shared" si="4"/>
        <v>8</v>
      </c>
      <c r="CK54" s="715">
        <v>0.08</v>
      </c>
      <c r="CL54" s="668">
        <f t="shared" si="19"/>
        <v>0.5568</v>
      </c>
      <c r="CM54" s="668">
        <f t="shared" ref="CM54:CV54" si="161">BC54*$CL54</f>
        <v>0</v>
      </c>
      <c r="CN54" s="668">
        <f t="shared" si="161"/>
        <v>0</v>
      </c>
      <c r="CO54" s="668">
        <f t="shared" si="161"/>
        <v>0</v>
      </c>
      <c r="CP54" s="668">
        <f t="shared" si="161"/>
        <v>0</v>
      </c>
      <c r="CQ54" s="668">
        <f t="shared" si="161"/>
        <v>0</v>
      </c>
      <c r="CR54" s="668">
        <f t="shared" si="161"/>
        <v>0</v>
      </c>
      <c r="CS54" s="668">
        <f t="shared" si="161"/>
        <v>0</v>
      </c>
      <c r="CT54" s="668">
        <f t="shared" si="161"/>
        <v>0</v>
      </c>
      <c r="CU54" s="668">
        <f t="shared" si="161"/>
        <v>0</v>
      </c>
      <c r="CV54" s="668">
        <f t="shared" si="161"/>
        <v>0</v>
      </c>
      <c r="CW54" s="668">
        <f t="shared" si="21"/>
        <v>0</v>
      </c>
      <c r="CX54" s="668">
        <f t="shared" ref="CX54:DG54" si="162">BN54*$CL54</f>
        <v>0</v>
      </c>
      <c r="CY54" s="668">
        <f t="shared" si="162"/>
        <v>0</v>
      </c>
      <c r="CZ54" s="668">
        <f t="shared" si="162"/>
        <v>0</v>
      </c>
      <c r="DA54" s="668">
        <f t="shared" si="162"/>
        <v>0</v>
      </c>
      <c r="DB54" s="668">
        <f t="shared" si="162"/>
        <v>0</v>
      </c>
      <c r="DC54" s="668">
        <f t="shared" si="162"/>
        <v>0</v>
      </c>
      <c r="DD54" s="668">
        <f t="shared" si="162"/>
        <v>1.1136</v>
      </c>
      <c r="DE54" s="668">
        <f t="shared" si="162"/>
        <v>1.1136</v>
      </c>
      <c r="DF54" s="668">
        <f t="shared" si="162"/>
        <v>0</v>
      </c>
      <c r="DG54" s="668">
        <f t="shared" si="162"/>
        <v>0</v>
      </c>
      <c r="DH54" s="668">
        <f t="shared" si="23"/>
        <v>2.2272</v>
      </c>
      <c r="DI54" s="668">
        <f t="shared" ref="DI54:DR54" si="163">BY54*$CL54</f>
        <v>0</v>
      </c>
      <c r="DJ54" s="668">
        <f t="shared" si="163"/>
        <v>0</v>
      </c>
      <c r="DK54" s="668">
        <f t="shared" si="163"/>
        <v>0</v>
      </c>
      <c r="DL54" s="668">
        <f t="shared" si="163"/>
        <v>0</v>
      </c>
      <c r="DM54" s="668">
        <f t="shared" si="163"/>
        <v>0</v>
      </c>
      <c r="DN54" s="668">
        <f t="shared" si="163"/>
        <v>0</v>
      </c>
      <c r="DO54" s="668">
        <f t="shared" si="163"/>
        <v>1.1136</v>
      </c>
      <c r="DP54" s="668">
        <f t="shared" si="163"/>
        <v>0</v>
      </c>
      <c r="DQ54" s="668">
        <f t="shared" si="163"/>
        <v>0</v>
      </c>
      <c r="DR54" s="668">
        <f t="shared" si="163"/>
        <v>1.1136</v>
      </c>
      <c r="DS54" s="668">
        <f t="shared" si="25"/>
        <v>2.2272</v>
      </c>
      <c r="DT54" s="668">
        <f t="shared" si="15"/>
        <v>4.4544</v>
      </c>
      <c r="DU54" s="538"/>
      <c r="DV54" s="468"/>
      <c r="DW54" s="752">
        <v>0.0</v>
      </c>
      <c r="DX54" s="752">
        <v>0.0</v>
      </c>
      <c r="DY54" s="752">
        <v>0.0</v>
      </c>
      <c r="DZ54" s="752">
        <v>0.0</v>
      </c>
      <c r="EA54" s="752">
        <v>0.0</v>
      </c>
      <c r="EB54" s="752">
        <v>0.0</v>
      </c>
      <c r="EC54" s="766">
        <v>0.0</v>
      </c>
      <c r="ED54" s="751">
        <v>2.0</v>
      </c>
      <c r="EE54" s="752">
        <v>0.0</v>
      </c>
      <c r="EF54" s="751">
        <v>2.0</v>
      </c>
      <c r="EG54" s="698"/>
      <c r="EH54" s="576" t="s">
        <v>1495</v>
      </c>
      <c r="EI54" s="716">
        <f>VLOOKUP(I54,CotizacionTDB,4,FALSE())</f>
        <v>0.08</v>
      </c>
      <c r="EJ54" s="716">
        <f>VLOOKUP(I54,CotizacionTDB,5,FALSE())</f>
        <v>0.07</v>
      </c>
      <c r="EK54" s="699"/>
    </row>
    <row r="55" ht="12.0" customHeight="1">
      <c r="A55" s="700" t="s">
        <v>3026</v>
      </c>
      <c r="B55" s="701"/>
      <c r="C55" s="562" t="s">
        <v>3027</v>
      </c>
      <c r="D55" s="571" t="s">
        <v>36</v>
      </c>
      <c r="E55" s="571" t="s">
        <v>2708</v>
      </c>
      <c r="F55" s="562" t="s">
        <v>1763</v>
      </c>
      <c r="G55" s="702" t="s">
        <v>2709</v>
      </c>
      <c r="H55" s="737"/>
      <c r="I55" s="768">
        <v>1.0001201E7</v>
      </c>
      <c r="J55" s="571" t="s">
        <v>3101</v>
      </c>
      <c r="K55" s="562" t="s">
        <v>25</v>
      </c>
      <c r="L55" s="562">
        <v>2024.0</v>
      </c>
      <c r="M55" s="562">
        <v>2025.0</v>
      </c>
      <c r="N55" s="562"/>
      <c r="O55" s="562"/>
      <c r="P55" s="562"/>
      <c r="Q55" s="562"/>
      <c r="R55" s="562"/>
      <c r="S55" s="562"/>
      <c r="T55" s="562"/>
      <c r="U55" s="562"/>
      <c r="V55" s="562"/>
      <c r="W55" s="562">
        <v>3.0</v>
      </c>
      <c r="X55" s="562">
        <v>5.0</v>
      </c>
      <c r="Y55" s="562"/>
      <c r="Z55" s="562"/>
      <c r="AA55" s="562"/>
      <c r="AB55" s="562"/>
      <c r="AC55" s="562"/>
      <c r="AD55" s="562"/>
      <c r="AE55" s="562"/>
      <c r="AF55" s="562"/>
      <c r="AG55" s="562"/>
      <c r="AH55" s="562"/>
      <c r="AI55" s="562"/>
      <c r="AJ55" s="562"/>
      <c r="AK55" s="562"/>
      <c r="AL55" s="562"/>
      <c r="AM55" s="562"/>
      <c r="AN55" s="562"/>
      <c r="AO55" s="562"/>
      <c r="AP55" s="562"/>
      <c r="AQ55" s="562"/>
      <c r="AR55" s="562">
        <v>-2024.0</v>
      </c>
      <c r="AS55" s="562">
        <v>-2025.0</v>
      </c>
      <c r="AT55" s="562">
        <v>0.0</v>
      </c>
      <c r="AU55" s="562">
        <v>0.0</v>
      </c>
      <c r="AV55" s="562">
        <v>0.0</v>
      </c>
      <c r="AW55" s="562">
        <v>0.0</v>
      </c>
      <c r="AX55" s="562">
        <v>0.0</v>
      </c>
      <c r="AY55" s="562">
        <v>0.0</v>
      </c>
      <c r="AZ55" s="562">
        <v>0.0</v>
      </c>
      <c r="BA55" s="562">
        <v>0.0</v>
      </c>
      <c r="BB55" s="562"/>
      <c r="BC55" s="718"/>
      <c r="BD55" s="718"/>
      <c r="BE55" s="718"/>
      <c r="BF55" s="718"/>
      <c r="BG55" s="718"/>
      <c r="BH55" s="718"/>
      <c r="BI55" s="718"/>
      <c r="BJ55" s="761"/>
      <c r="BK55" s="718"/>
      <c r="BL55" s="731"/>
      <c r="BM55" s="665">
        <f t="shared" si="1"/>
        <v>0</v>
      </c>
      <c r="BN55" s="733"/>
      <c r="BO55" s="683"/>
      <c r="BP55" s="683"/>
      <c r="BQ55" s="683"/>
      <c r="BR55" s="683"/>
      <c r="BS55" s="683"/>
      <c r="BT55" s="683"/>
      <c r="BU55" s="683"/>
      <c r="BV55" s="683"/>
      <c r="BW55" s="686"/>
      <c r="BX55" s="665">
        <f t="shared" si="2"/>
        <v>0</v>
      </c>
      <c r="BY55" s="682">
        <v>0.0</v>
      </c>
      <c r="BZ55" s="683">
        <v>0.0</v>
      </c>
      <c r="CA55" s="683">
        <v>0.0</v>
      </c>
      <c r="CB55" s="683">
        <v>0.0</v>
      </c>
      <c r="CC55" s="683">
        <v>0.0</v>
      </c>
      <c r="CD55" s="683">
        <v>0.0</v>
      </c>
      <c r="CE55" s="683">
        <v>0.0</v>
      </c>
      <c r="CF55" s="683">
        <v>0.0</v>
      </c>
      <c r="CG55" s="683">
        <v>0.0</v>
      </c>
      <c r="CH55" s="686">
        <v>0.0</v>
      </c>
      <c r="CI55" s="665">
        <f t="shared" si="3"/>
        <v>0</v>
      </c>
      <c r="CJ55" s="682">
        <f t="shared" si="4"/>
        <v>0</v>
      </c>
      <c r="CK55" s="683"/>
      <c r="CL55" s="683">
        <v>12.6157</v>
      </c>
      <c r="CM55" s="683">
        <f t="shared" ref="CM55:CV55" si="164">BC55*$CL55</f>
        <v>0</v>
      </c>
      <c r="CN55" s="683">
        <f t="shared" si="164"/>
        <v>0</v>
      </c>
      <c r="CO55" s="683">
        <f t="shared" si="164"/>
        <v>0</v>
      </c>
      <c r="CP55" s="683">
        <f t="shared" si="164"/>
        <v>0</v>
      </c>
      <c r="CQ55" s="683">
        <f t="shared" si="164"/>
        <v>0</v>
      </c>
      <c r="CR55" s="683">
        <f t="shared" si="164"/>
        <v>0</v>
      </c>
      <c r="CS55" s="683">
        <f t="shared" si="164"/>
        <v>0</v>
      </c>
      <c r="CT55" s="683">
        <f t="shared" si="164"/>
        <v>0</v>
      </c>
      <c r="CU55" s="683">
        <f t="shared" si="164"/>
        <v>0</v>
      </c>
      <c r="CV55" s="683">
        <f t="shared" si="164"/>
        <v>0</v>
      </c>
      <c r="CW55" s="683">
        <f t="shared" si="21"/>
        <v>0</v>
      </c>
      <c r="CX55" s="683">
        <f t="shared" ref="CX55:DG55" si="165">BN55*$CL55</f>
        <v>0</v>
      </c>
      <c r="CY55" s="683">
        <f t="shared" si="165"/>
        <v>0</v>
      </c>
      <c r="CZ55" s="683">
        <f t="shared" si="165"/>
        <v>0</v>
      </c>
      <c r="DA55" s="683">
        <f t="shared" si="165"/>
        <v>0</v>
      </c>
      <c r="DB55" s="683">
        <f t="shared" si="165"/>
        <v>0</v>
      </c>
      <c r="DC55" s="683">
        <f t="shared" si="165"/>
        <v>0</v>
      </c>
      <c r="DD55" s="683">
        <f t="shared" si="165"/>
        <v>0</v>
      </c>
      <c r="DE55" s="683">
        <f t="shared" si="165"/>
        <v>0</v>
      </c>
      <c r="DF55" s="683">
        <f t="shared" si="165"/>
        <v>0</v>
      </c>
      <c r="DG55" s="683">
        <f t="shared" si="165"/>
        <v>0</v>
      </c>
      <c r="DH55" s="683">
        <f t="shared" si="23"/>
        <v>0</v>
      </c>
      <c r="DI55" s="683">
        <f t="shared" ref="DI55:DR55" si="166">BY55*$CL55</f>
        <v>0</v>
      </c>
      <c r="DJ55" s="683">
        <f t="shared" si="166"/>
        <v>0</v>
      </c>
      <c r="DK55" s="683">
        <f t="shared" si="166"/>
        <v>0</v>
      </c>
      <c r="DL55" s="683">
        <f t="shared" si="166"/>
        <v>0</v>
      </c>
      <c r="DM55" s="683">
        <f t="shared" si="166"/>
        <v>0</v>
      </c>
      <c r="DN55" s="683">
        <f t="shared" si="166"/>
        <v>0</v>
      </c>
      <c r="DO55" s="683">
        <f t="shared" si="166"/>
        <v>0</v>
      </c>
      <c r="DP55" s="683">
        <f t="shared" si="166"/>
        <v>0</v>
      </c>
      <c r="DQ55" s="683">
        <f t="shared" si="166"/>
        <v>0</v>
      </c>
      <c r="DR55" s="683">
        <f t="shared" si="166"/>
        <v>0</v>
      </c>
      <c r="DS55" s="683">
        <f t="shared" si="25"/>
        <v>0</v>
      </c>
      <c r="DT55" s="683">
        <f t="shared" si="15"/>
        <v>0</v>
      </c>
      <c r="DU55" s="504"/>
      <c r="DV55" s="486"/>
      <c r="DW55" s="688"/>
      <c r="DX55" s="688"/>
      <c r="DY55" s="688"/>
      <c r="DZ55" s="688"/>
      <c r="EA55" s="688"/>
      <c r="EB55" s="688"/>
      <c r="EC55" s="688"/>
      <c r="ED55" s="688"/>
      <c r="EE55" s="688"/>
      <c r="EF55" s="688"/>
      <c r="EG55" s="688"/>
      <c r="EH55" s="689">
        <f t="shared" ref="EH55:EH56" si="167">CK55*6.97</f>
        <v>0</v>
      </c>
      <c r="EI55" s="690">
        <v>1.0</v>
      </c>
      <c r="EJ55" s="691"/>
      <c r="EK55" s="691"/>
    </row>
    <row r="56" ht="12.0" customHeight="1">
      <c r="A56" s="709" t="s">
        <v>3026</v>
      </c>
      <c r="B56" s="661"/>
      <c r="C56" s="567" t="s">
        <v>3027</v>
      </c>
      <c r="D56" s="568" t="s">
        <v>36</v>
      </c>
      <c r="E56" s="769" t="s">
        <v>3028</v>
      </c>
      <c r="F56" s="567" t="s">
        <v>1763</v>
      </c>
      <c r="G56" s="569" t="s">
        <v>3102</v>
      </c>
      <c r="H56" s="569" t="s">
        <v>3103</v>
      </c>
      <c r="I56" s="659">
        <v>1.0541941E7</v>
      </c>
      <c r="J56" s="568" t="s">
        <v>3104</v>
      </c>
      <c r="K56" s="567" t="s">
        <v>25</v>
      </c>
      <c r="L56" s="567">
        <v>2024.0</v>
      </c>
      <c r="M56" s="567">
        <v>2024.0</v>
      </c>
      <c r="N56" s="567">
        <v>2024.0</v>
      </c>
      <c r="O56" s="567">
        <v>2025.0</v>
      </c>
      <c r="P56" s="567">
        <v>2024.0</v>
      </c>
      <c r="Q56" s="567">
        <v>2025.0</v>
      </c>
      <c r="R56" s="567"/>
      <c r="S56" s="567"/>
      <c r="T56" s="567"/>
      <c r="U56" s="567"/>
      <c r="V56" s="567"/>
      <c r="W56" s="567">
        <v>2.0</v>
      </c>
      <c r="X56" s="567">
        <v>2.0</v>
      </c>
      <c r="Y56" s="567">
        <v>2.0</v>
      </c>
      <c r="Z56" s="567">
        <v>2.0</v>
      </c>
      <c r="AA56" s="567">
        <v>2.0</v>
      </c>
      <c r="AB56" s="567">
        <v>2.0</v>
      </c>
      <c r="AC56" s="567"/>
      <c r="AD56" s="567"/>
      <c r="AE56" s="567"/>
      <c r="AF56" s="567"/>
      <c r="AG56" s="567"/>
      <c r="AH56" s="567"/>
      <c r="AI56" s="567"/>
      <c r="AJ56" s="567"/>
      <c r="AK56" s="567"/>
      <c r="AL56" s="567"/>
      <c r="AM56" s="567"/>
      <c r="AN56" s="567"/>
      <c r="AO56" s="567"/>
      <c r="AP56" s="567"/>
      <c r="AQ56" s="567"/>
      <c r="AR56" s="567">
        <v>-2024.0</v>
      </c>
      <c r="AS56" s="567">
        <v>-2024.0</v>
      </c>
      <c r="AT56" s="567">
        <v>-2024.0</v>
      </c>
      <c r="AU56" s="567">
        <v>-2025.0</v>
      </c>
      <c r="AV56" s="567">
        <v>-2024.0</v>
      </c>
      <c r="AW56" s="567">
        <v>-2025.0</v>
      </c>
      <c r="AX56" s="567">
        <v>0.0</v>
      </c>
      <c r="AY56" s="567">
        <v>0.0</v>
      </c>
      <c r="AZ56" s="567">
        <v>0.0</v>
      </c>
      <c r="BA56" s="567">
        <v>0.0</v>
      </c>
      <c r="BB56" s="567"/>
      <c r="BC56" s="718"/>
      <c r="BD56" s="718"/>
      <c r="BE56" s="718"/>
      <c r="BF56" s="567"/>
      <c r="BG56" s="567"/>
      <c r="BH56" s="567"/>
      <c r="BI56" s="567"/>
      <c r="BJ56" s="567"/>
      <c r="BK56" s="567"/>
      <c r="BL56" s="725"/>
      <c r="BM56" s="665">
        <f t="shared" si="1"/>
        <v>0</v>
      </c>
      <c r="BN56" s="666"/>
      <c r="BO56" s="667"/>
      <c r="BP56" s="667"/>
      <c r="BQ56" s="667"/>
      <c r="BR56" s="668"/>
      <c r="BS56" s="667"/>
      <c r="BT56" s="668"/>
      <c r="BU56" s="668"/>
      <c r="BV56" s="668"/>
      <c r="BW56" s="670"/>
      <c r="BX56" s="665">
        <f t="shared" si="2"/>
        <v>0</v>
      </c>
      <c r="BY56" s="671"/>
      <c r="BZ56" s="668"/>
      <c r="CA56" s="668"/>
      <c r="CB56" s="667"/>
      <c r="CC56" s="668"/>
      <c r="CD56" s="667"/>
      <c r="CE56" s="668"/>
      <c r="CF56" s="668"/>
      <c r="CG56" s="668"/>
      <c r="CH56" s="670"/>
      <c r="CI56" s="665">
        <f t="shared" si="3"/>
        <v>0</v>
      </c>
      <c r="CJ56" s="671">
        <f t="shared" si="4"/>
        <v>0</v>
      </c>
      <c r="CK56" s="674">
        <v>115.29</v>
      </c>
      <c r="CL56" s="668">
        <v>803.5713000000001</v>
      </c>
      <c r="CM56" s="668"/>
      <c r="CN56" s="668"/>
      <c r="CO56" s="668"/>
      <c r="CP56" s="668"/>
      <c r="CQ56" s="668"/>
      <c r="CR56" s="668"/>
      <c r="CS56" s="668"/>
      <c r="CT56" s="668"/>
      <c r="CU56" s="668"/>
      <c r="CV56" s="668"/>
      <c r="CW56" s="668">
        <f t="shared" si="21"/>
        <v>0</v>
      </c>
      <c r="CX56" s="668"/>
      <c r="CY56" s="668"/>
      <c r="CZ56" s="668"/>
      <c r="DA56" s="668"/>
      <c r="DB56" s="668"/>
      <c r="DC56" s="668"/>
      <c r="DD56" s="668"/>
      <c r="DE56" s="668"/>
      <c r="DF56" s="668"/>
      <c r="DG56" s="668"/>
      <c r="DH56" s="668">
        <f t="shared" si="23"/>
        <v>0</v>
      </c>
      <c r="DI56" s="668"/>
      <c r="DJ56" s="668"/>
      <c r="DK56" s="668"/>
      <c r="DL56" s="668"/>
      <c r="DM56" s="668"/>
      <c r="DN56" s="668"/>
      <c r="DO56" s="668"/>
      <c r="DP56" s="668"/>
      <c r="DQ56" s="668"/>
      <c r="DR56" s="668"/>
      <c r="DS56" s="668">
        <f t="shared" si="25"/>
        <v>0</v>
      </c>
      <c r="DT56" s="668">
        <f>SUM(CW56:DS56)</f>
        <v>0</v>
      </c>
      <c r="DU56" s="538"/>
      <c r="DV56" s="675" t="s">
        <v>3105</v>
      </c>
      <c r="DW56" s="751">
        <v>4.0</v>
      </c>
      <c r="DX56" s="770">
        <v>8.0</v>
      </c>
      <c r="DY56" s="751">
        <v>8.0</v>
      </c>
      <c r="DZ56" s="676"/>
      <c r="EA56" s="676"/>
      <c r="EB56" s="676"/>
      <c r="EC56" s="676"/>
      <c r="ED56" s="676"/>
      <c r="EE56" s="676"/>
      <c r="EF56" s="676"/>
      <c r="EG56" s="676"/>
      <c r="EH56" s="677">
        <f t="shared" si="167"/>
        <v>803.5713</v>
      </c>
      <c r="EI56" s="678">
        <v>1.0</v>
      </c>
      <c r="EJ56" s="699"/>
      <c r="EK56" s="699"/>
    </row>
    <row r="57" ht="12.0" customHeight="1">
      <c r="A57" s="700" t="s">
        <v>3026</v>
      </c>
      <c r="B57" s="701">
        <v>2.0</v>
      </c>
      <c r="C57" s="562" t="s">
        <v>3027</v>
      </c>
      <c r="D57" s="571" t="s">
        <v>140</v>
      </c>
      <c r="E57" s="571" t="s">
        <v>2708</v>
      </c>
      <c r="F57" s="562" t="s">
        <v>1763</v>
      </c>
      <c r="G57" s="569" t="s">
        <v>2709</v>
      </c>
      <c r="H57" s="737"/>
      <c r="I57" s="717" t="s">
        <v>2362</v>
      </c>
      <c r="J57" s="771" t="s">
        <v>319</v>
      </c>
      <c r="K57" s="562" t="s">
        <v>25</v>
      </c>
      <c r="L57" s="562"/>
      <c r="M57" s="562"/>
      <c r="N57" s="562"/>
      <c r="O57" s="562">
        <v>2024.0</v>
      </c>
      <c r="P57" s="562">
        <v>2024.0</v>
      </c>
      <c r="Q57" s="562">
        <v>2024.0</v>
      </c>
      <c r="R57" s="562"/>
      <c r="S57" s="562"/>
      <c r="T57" s="562"/>
      <c r="U57" s="562"/>
      <c r="V57" s="562"/>
      <c r="W57" s="562"/>
      <c r="X57" s="562"/>
      <c r="Y57" s="562"/>
      <c r="Z57" s="562">
        <v>3.0</v>
      </c>
      <c r="AA57" s="562">
        <v>3.0</v>
      </c>
      <c r="AB57" s="562">
        <v>3.0</v>
      </c>
      <c r="AC57" s="562"/>
      <c r="AD57" s="562"/>
      <c r="AE57" s="562"/>
      <c r="AF57" s="562"/>
      <c r="AG57" s="562"/>
      <c r="AH57" s="562"/>
      <c r="AI57" s="562"/>
      <c r="AJ57" s="562"/>
      <c r="AK57" s="562"/>
      <c r="AL57" s="562"/>
      <c r="AM57" s="562"/>
      <c r="AN57" s="562"/>
      <c r="AO57" s="562"/>
      <c r="AP57" s="562"/>
      <c r="AQ57" s="562"/>
      <c r="AR57" s="562">
        <v>0.0</v>
      </c>
      <c r="AS57" s="562">
        <v>0.0</v>
      </c>
      <c r="AT57" s="562">
        <v>0.0</v>
      </c>
      <c r="AU57" s="562">
        <v>-2024.0</v>
      </c>
      <c r="AV57" s="562">
        <v>-2024.0</v>
      </c>
      <c r="AW57" s="562">
        <v>-2024.0</v>
      </c>
      <c r="AX57" s="562">
        <v>0.0</v>
      </c>
      <c r="AY57" s="562">
        <v>0.0</v>
      </c>
      <c r="AZ57" s="562">
        <v>0.0</v>
      </c>
      <c r="BA57" s="562">
        <v>0.0</v>
      </c>
      <c r="BB57" s="562"/>
      <c r="BC57" s="562"/>
      <c r="BD57" s="562"/>
      <c r="BE57" s="562"/>
      <c r="BF57" s="772"/>
      <c r="BG57" s="772"/>
      <c r="BH57" s="680"/>
      <c r="BI57" s="562"/>
      <c r="BJ57" s="746"/>
      <c r="BK57" s="562"/>
      <c r="BL57" s="681"/>
      <c r="BM57" s="665">
        <f t="shared" si="1"/>
        <v>0</v>
      </c>
      <c r="BN57" s="682"/>
      <c r="BO57" s="683"/>
      <c r="BP57" s="683"/>
      <c r="BQ57" s="773"/>
      <c r="BR57" s="773"/>
      <c r="BS57" s="684">
        <v>1.0</v>
      </c>
      <c r="BT57" s="683"/>
      <c r="BU57" s="669">
        <v>1.0</v>
      </c>
      <c r="BV57" s="683"/>
      <c r="BW57" s="686"/>
      <c r="BX57" s="665">
        <f t="shared" si="2"/>
        <v>2</v>
      </c>
      <c r="BY57" s="682"/>
      <c r="BZ57" s="683"/>
      <c r="CA57" s="683"/>
      <c r="CB57" s="773">
        <v>2.0</v>
      </c>
      <c r="CC57" s="773">
        <v>4.0</v>
      </c>
      <c r="CD57" s="774">
        <v>1.0</v>
      </c>
      <c r="CE57" s="683"/>
      <c r="CF57" s="683"/>
      <c r="CG57" s="683"/>
      <c r="CH57" s="724">
        <v>1.0</v>
      </c>
      <c r="CI57" s="665">
        <f t="shared" si="3"/>
        <v>8</v>
      </c>
      <c r="CJ57" s="682">
        <f t="shared" si="4"/>
        <v>10</v>
      </c>
      <c r="CK57" s="706">
        <v>2573.57</v>
      </c>
      <c r="CL57" s="683">
        <f t="shared" ref="CL57:CL67" si="171">CK57*$CL$1</f>
        <v>17912.0472</v>
      </c>
      <c r="CM57" s="683">
        <f t="shared" ref="CM57:CV57" si="168">BC57*$CL57</f>
        <v>0</v>
      </c>
      <c r="CN57" s="683">
        <f t="shared" si="168"/>
        <v>0</v>
      </c>
      <c r="CO57" s="683">
        <f t="shared" si="168"/>
        <v>0</v>
      </c>
      <c r="CP57" s="683">
        <f t="shared" si="168"/>
        <v>0</v>
      </c>
      <c r="CQ57" s="683">
        <f t="shared" si="168"/>
        <v>0</v>
      </c>
      <c r="CR57" s="683">
        <f t="shared" si="168"/>
        <v>0</v>
      </c>
      <c r="CS57" s="683">
        <f t="shared" si="168"/>
        <v>0</v>
      </c>
      <c r="CT57" s="683">
        <f t="shared" si="168"/>
        <v>0</v>
      </c>
      <c r="CU57" s="683">
        <f t="shared" si="168"/>
        <v>0</v>
      </c>
      <c r="CV57" s="683">
        <f t="shared" si="168"/>
        <v>0</v>
      </c>
      <c r="CW57" s="683">
        <f t="shared" si="21"/>
        <v>0</v>
      </c>
      <c r="CX57" s="683">
        <f t="shared" ref="CX57:DG57" si="169">BN57*$CL57</f>
        <v>0</v>
      </c>
      <c r="CY57" s="683">
        <f t="shared" si="169"/>
        <v>0</v>
      </c>
      <c r="CZ57" s="683">
        <f t="shared" si="169"/>
        <v>0</v>
      </c>
      <c r="DA57" s="683">
        <f t="shared" si="169"/>
        <v>0</v>
      </c>
      <c r="DB57" s="683">
        <f t="shared" si="169"/>
        <v>0</v>
      </c>
      <c r="DC57" s="683">
        <f t="shared" si="169"/>
        <v>17912.0472</v>
      </c>
      <c r="DD57" s="683">
        <f t="shared" si="169"/>
        <v>0</v>
      </c>
      <c r="DE57" s="683">
        <f t="shared" si="169"/>
        <v>17912.0472</v>
      </c>
      <c r="DF57" s="683">
        <f t="shared" si="169"/>
        <v>0</v>
      </c>
      <c r="DG57" s="683">
        <f t="shared" si="169"/>
        <v>0</v>
      </c>
      <c r="DH57" s="683">
        <f t="shared" si="23"/>
        <v>35824.0944</v>
      </c>
      <c r="DI57" s="683">
        <f t="shared" ref="DI57:DR57" si="170">BY57*$CL57</f>
        <v>0</v>
      </c>
      <c r="DJ57" s="683">
        <f t="shared" si="170"/>
        <v>0</v>
      </c>
      <c r="DK57" s="683">
        <f t="shared" si="170"/>
        <v>0</v>
      </c>
      <c r="DL57" s="683">
        <f t="shared" si="170"/>
        <v>35824.0944</v>
      </c>
      <c r="DM57" s="683">
        <f t="shared" si="170"/>
        <v>71648.1888</v>
      </c>
      <c r="DN57" s="683">
        <f t="shared" si="170"/>
        <v>17912.0472</v>
      </c>
      <c r="DO57" s="683">
        <f t="shared" si="170"/>
        <v>0</v>
      </c>
      <c r="DP57" s="683">
        <f t="shared" si="170"/>
        <v>0</v>
      </c>
      <c r="DQ57" s="683">
        <f t="shared" si="170"/>
        <v>0</v>
      </c>
      <c r="DR57" s="683">
        <f t="shared" si="170"/>
        <v>17912.0472</v>
      </c>
      <c r="DS57" s="683">
        <f t="shared" si="25"/>
        <v>143296.3776</v>
      </c>
      <c r="DT57" s="683">
        <f t="shared" ref="DT57:DT219" si="175">CL57*CJ57</f>
        <v>179120.472</v>
      </c>
      <c r="DU57" s="508"/>
      <c r="DV57" s="775" t="s">
        <v>3106</v>
      </c>
      <c r="DW57" s="688"/>
      <c r="DX57" s="688"/>
      <c r="DY57" s="688"/>
      <c r="DZ57" s="688"/>
      <c r="EA57" s="688"/>
      <c r="EB57" s="688"/>
      <c r="EC57" s="688"/>
      <c r="ED57" s="688"/>
      <c r="EE57" s="688"/>
      <c r="EF57" s="688"/>
      <c r="EG57" s="688"/>
      <c r="EH57" s="776" t="s">
        <v>319</v>
      </c>
      <c r="EI57" s="708">
        <f>VLOOKUP(I57,CotizacionTDB,4,FALSE())</f>
        <v>2573.57</v>
      </c>
      <c r="EJ57" s="708">
        <f>VLOOKUP(I57,CotizacionTDB,5,FALSE())</f>
        <v>2187.53</v>
      </c>
      <c r="EK57" s="691"/>
    </row>
    <row r="58" ht="12.0" customHeight="1">
      <c r="A58" s="709" t="s">
        <v>3026</v>
      </c>
      <c r="B58" s="661">
        <v>2.0</v>
      </c>
      <c r="C58" s="567" t="s">
        <v>3027</v>
      </c>
      <c r="D58" s="568" t="s">
        <v>140</v>
      </c>
      <c r="E58" s="568" t="s">
        <v>2708</v>
      </c>
      <c r="F58" s="567" t="s">
        <v>1763</v>
      </c>
      <c r="G58" s="569" t="s">
        <v>2709</v>
      </c>
      <c r="H58" s="658"/>
      <c r="I58" s="710" t="s">
        <v>2371</v>
      </c>
      <c r="J58" s="777" t="s">
        <v>720</v>
      </c>
      <c r="K58" s="567" t="s">
        <v>25</v>
      </c>
      <c r="L58" s="567"/>
      <c r="M58" s="567"/>
      <c r="N58" s="567"/>
      <c r="O58" s="567"/>
      <c r="P58" s="567"/>
      <c r="Q58" s="567">
        <v>2024.0</v>
      </c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>
        <v>3.0</v>
      </c>
      <c r="AC58" s="567"/>
      <c r="AD58" s="567"/>
      <c r="AE58" s="567"/>
      <c r="AF58" s="567"/>
      <c r="AG58" s="567"/>
      <c r="AH58" s="567"/>
      <c r="AI58" s="567"/>
      <c r="AJ58" s="567"/>
      <c r="AK58" s="567"/>
      <c r="AL58" s="567"/>
      <c r="AM58" s="567"/>
      <c r="AN58" s="567"/>
      <c r="AO58" s="567"/>
      <c r="AP58" s="567"/>
      <c r="AQ58" s="567"/>
      <c r="AR58" s="567">
        <v>0.0</v>
      </c>
      <c r="AS58" s="567">
        <v>0.0</v>
      </c>
      <c r="AT58" s="567">
        <v>0.0</v>
      </c>
      <c r="AU58" s="567">
        <v>0.0</v>
      </c>
      <c r="AV58" s="567">
        <v>0.0</v>
      </c>
      <c r="AW58" s="567">
        <v>-2024.0</v>
      </c>
      <c r="AX58" s="567">
        <v>0.0</v>
      </c>
      <c r="AY58" s="567">
        <v>0.0</v>
      </c>
      <c r="AZ58" s="567">
        <v>0.0</v>
      </c>
      <c r="BA58" s="567">
        <v>0.0</v>
      </c>
      <c r="BB58" s="567"/>
      <c r="BC58" s="567"/>
      <c r="BD58" s="567"/>
      <c r="BE58" s="567"/>
      <c r="BF58" s="567"/>
      <c r="BG58" s="567"/>
      <c r="BH58" s="718"/>
      <c r="BI58" s="567"/>
      <c r="BJ58" s="567"/>
      <c r="BK58" s="567"/>
      <c r="BL58" s="725"/>
      <c r="BM58" s="665">
        <f t="shared" si="1"/>
        <v>0</v>
      </c>
      <c r="BN58" s="671"/>
      <c r="BO58" s="668"/>
      <c r="BP58" s="668"/>
      <c r="BQ58" s="668"/>
      <c r="BR58" s="668"/>
      <c r="BS58" s="667">
        <v>1.0</v>
      </c>
      <c r="BT58" s="668"/>
      <c r="BU58" s="668"/>
      <c r="BV58" s="668"/>
      <c r="BW58" s="670"/>
      <c r="BX58" s="665">
        <f t="shared" si="2"/>
        <v>1</v>
      </c>
      <c r="BY58" s="778"/>
      <c r="BZ58" s="668"/>
      <c r="CA58" s="779"/>
      <c r="CB58" s="668"/>
      <c r="CC58" s="668"/>
      <c r="CD58" s="668"/>
      <c r="CE58" s="668"/>
      <c r="CF58" s="668"/>
      <c r="CG58" s="668"/>
      <c r="CH58" s="670"/>
      <c r="CI58" s="665">
        <f t="shared" si="3"/>
        <v>0</v>
      </c>
      <c r="CJ58" s="671">
        <f t="shared" si="4"/>
        <v>1</v>
      </c>
      <c r="CK58" s="715">
        <v>4345.36</v>
      </c>
      <c r="CL58" s="668">
        <f t="shared" si="171"/>
        <v>30243.7056</v>
      </c>
      <c r="CM58" s="668">
        <f t="shared" ref="CM58:CV58" si="172">BC58*$CL58</f>
        <v>0</v>
      </c>
      <c r="CN58" s="668">
        <f t="shared" si="172"/>
        <v>0</v>
      </c>
      <c r="CO58" s="668">
        <f t="shared" si="172"/>
        <v>0</v>
      </c>
      <c r="CP58" s="668">
        <f t="shared" si="172"/>
        <v>0</v>
      </c>
      <c r="CQ58" s="668">
        <f t="shared" si="172"/>
        <v>0</v>
      </c>
      <c r="CR58" s="668">
        <f t="shared" si="172"/>
        <v>0</v>
      </c>
      <c r="CS58" s="668">
        <f t="shared" si="172"/>
        <v>0</v>
      </c>
      <c r="CT58" s="668">
        <f t="shared" si="172"/>
        <v>0</v>
      </c>
      <c r="CU58" s="668">
        <f t="shared" si="172"/>
        <v>0</v>
      </c>
      <c r="CV58" s="668">
        <f t="shared" si="172"/>
        <v>0</v>
      </c>
      <c r="CW58" s="668">
        <f t="shared" si="21"/>
        <v>0</v>
      </c>
      <c r="CX58" s="668">
        <f t="shared" ref="CX58:DG58" si="173">BN58*$CL58</f>
        <v>0</v>
      </c>
      <c r="CY58" s="668">
        <f t="shared" si="173"/>
        <v>0</v>
      </c>
      <c r="CZ58" s="668">
        <f t="shared" si="173"/>
        <v>0</v>
      </c>
      <c r="DA58" s="668">
        <f t="shared" si="173"/>
        <v>0</v>
      </c>
      <c r="DB58" s="668">
        <f t="shared" si="173"/>
        <v>0</v>
      </c>
      <c r="DC58" s="668">
        <f t="shared" si="173"/>
        <v>30243.7056</v>
      </c>
      <c r="DD58" s="668">
        <f t="shared" si="173"/>
        <v>0</v>
      </c>
      <c r="DE58" s="668">
        <f t="shared" si="173"/>
        <v>0</v>
      </c>
      <c r="DF58" s="668">
        <f t="shared" si="173"/>
        <v>0</v>
      </c>
      <c r="DG58" s="668">
        <f t="shared" si="173"/>
        <v>0</v>
      </c>
      <c r="DH58" s="668">
        <f t="shared" si="23"/>
        <v>30243.7056</v>
      </c>
      <c r="DI58" s="668">
        <f t="shared" ref="DI58:DR58" si="174">BY58*$CL58</f>
        <v>0</v>
      </c>
      <c r="DJ58" s="668">
        <f t="shared" si="174"/>
        <v>0</v>
      </c>
      <c r="DK58" s="668">
        <f t="shared" si="174"/>
        <v>0</v>
      </c>
      <c r="DL58" s="668">
        <f t="shared" si="174"/>
        <v>0</v>
      </c>
      <c r="DM58" s="668">
        <f t="shared" si="174"/>
        <v>0</v>
      </c>
      <c r="DN58" s="668">
        <f t="shared" si="174"/>
        <v>0</v>
      </c>
      <c r="DO58" s="668">
        <f t="shared" si="174"/>
        <v>0</v>
      </c>
      <c r="DP58" s="668">
        <f t="shared" si="174"/>
        <v>0</v>
      </c>
      <c r="DQ58" s="668">
        <f t="shared" si="174"/>
        <v>0</v>
      </c>
      <c r="DR58" s="668">
        <f t="shared" si="174"/>
        <v>0</v>
      </c>
      <c r="DS58" s="668">
        <f t="shared" si="25"/>
        <v>0</v>
      </c>
      <c r="DT58" s="668">
        <f t="shared" si="175"/>
        <v>30243.7056</v>
      </c>
      <c r="DU58" s="538"/>
      <c r="DV58" s="468"/>
      <c r="DW58" s="698"/>
      <c r="DX58" s="698"/>
      <c r="DY58" s="698"/>
      <c r="DZ58" s="698"/>
      <c r="EA58" s="698"/>
      <c r="EB58" s="698"/>
      <c r="EC58" s="698"/>
      <c r="ED58" s="698"/>
      <c r="EE58" s="698"/>
      <c r="EF58" s="698"/>
      <c r="EG58" s="698"/>
      <c r="EH58" s="576" t="s">
        <v>720</v>
      </c>
      <c r="EI58" s="716">
        <f>VLOOKUP(I58,CotizacionTDB,4,FALSE())</f>
        <v>4345.36</v>
      </c>
      <c r="EJ58" s="716">
        <f>VLOOKUP(I58,CotizacionTDB,5,FALSE())</f>
        <v>3693.56</v>
      </c>
      <c r="EK58" s="699"/>
    </row>
    <row r="59" ht="12.0" customHeight="1">
      <c r="A59" s="700" t="s">
        <v>3026</v>
      </c>
      <c r="B59" s="701">
        <v>2.0</v>
      </c>
      <c r="C59" s="562" t="s">
        <v>3027</v>
      </c>
      <c r="D59" s="571" t="s">
        <v>140</v>
      </c>
      <c r="E59" s="571" t="s">
        <v>2708</v>
      </c>
      <c r="F59" s="562" t="s">
        <v>1763</v>
      </c>
      <c r="G59" s="569" t="s">
        <v>2709</v>
      </c>
      <c r="H59" s="737"/>
      <c r="I59" s="780" t="s">
        <v>2373</v>
      </c>
      <c r="J59" s="781" t="s">
        <v>369</v>
      </c>
      <c r="K59" s="562" t="s">
        <v>25</v>
      </c>
      <c r="L59" s="562"/>
      <c r="M59" s="562"/>
      <c r="N59" s="562"/>
      <c r="O59" s="562"/>
      <c r="P59" s="562"/>
      <c r="Q59" s="562"/>
      <c r="R59" s="562">
        <v>2024.0</v>
      </c>
      <c r="S59" s="562">
        <v>2024.0</v>
      </c>
      <c r="T59" s="562">
        <v>2024.0</v>
      </c>
      <c r="U59" s="562">
        <v>2024.0</v>
      </c>
      <c r="V59" s="562"/>
      <c r="W59" s="562"/>
      <c r="X59" s="562"/>
      <c r="Y59" s="562"/>
      <c r="Z59" s="562"/>
      <c r="AA59" s="562"/>
      <c r="AB59" s="562"/>
      <c r="AC59" s="562">
        <v>3.0</v>
      </c>
      <c r="AD59" s="562">
        <v>3.0</v>
      </c>
      <c r="AE59" s="562">
        <v>3.0</v>
      </c>
      <c r="AF59" s="562">
        <v>3.0</v>
      </c>
      <c r="AG59" s="562"/>
      <c r="AH59" s="562"/>
      <c r="AI59" s="562"/>
      <c r="AJ59" s="562"/>
      <c r="AK59" s="562"/>
      <c r="AL59" s="562"/>
      <c r="AM59" s="562"/>
      <c r="AN59" s="562"/>
      <c r="AO59" s="562"/>
      <c r="AP59" s="562"/>
      <c r="AQ59" s="562"/>
      <c r="AR59" s="562">
        <v>0.0</v>
      </c>
      <c r="AS59" s="562">
        <v>0.0</v>
      </c>
      <c r="AT59" s="562">
        <v>0.0</v>
      </c>
      <c r="AU59" s="562">
        <v>0.0</v>
      </c>
      <c r="AV59" s="562">
        <v>0.0</v>
      </c>
      <c r="AW59" s="562">
        <v>0.0</v>
      </c>
      <c r="AX59" s="562">
        <v>-2024.0</v>
      </c>
      <c r="AY59" s="562">
        <v>-2024.0</v>
      </c>
      <c r="AZ59" s="562">
        <v>-2024.0</v>
      </c>
      <c r="BA59" s="562">
        <v>-2024.0</v>
      </c>
      <c r="BB59" s="562"/>
      <c r="BC59" s="562"/>
      <c r="BD59" s="562"/>
      <c r="BE59" s="562"/>
      <c r="BF59" s="562"/>
      <c r="BG59" s="562"/>
      <c r="BH59" s="562"/>
      <c r="BI59" s="680"/>
      <c r="BJ59" s="746"/>
      <c r="BK59" s="782"/>
      <c r="BL59" s="723"/>
      <c r="BM59" s="665">
        <f t="shared" si="1"/>
        <v>0</v>
      </c>
      <c r="BN59" s="682"/>
      <c r="BO59" s="683"/>
      <c r="BP59" s="683"/>
      <c r="BQ59" s="683"/>
      <c r="BR59" s="683"/>
      <c r="BS59" s="683"/>
      <c r="BT59" s="684">
        <v>1.0</v>
      </c>
      <c r="BU59" s="669">
        <v>1.0</v>
      </c>
      <c r="BV59" s="774"/>
      <c r="BW59" s="726">
        <v>0.0</v>
      </c>
      <c r="BX59" s="665">
        <f t="shared" si="2"/>
        <v>2</v>
      </c>
      <c r="BY59" s="682"/>
      <c r="BZ59" s="683"/>
      <c r="CA59" s="683"/>
      <c r="CB59" s="683"/>
      <c r="CC59" s="683"/>
      <c r="CD59" s="683"/>
      <c r="CE59" s="683"/>
      <c r="CF59" s="683"/>
      <c r="CG59" s="783">
        <v>1.0</v>
      </c>
      <c r="CH59" s="724">
        <v>1.0</v>
      </c>
      <c r="CI59" s="665">
        <f t="shared" si="3"/>
        <v>2</v>
      </c>
      <c r="CJ59" s="682">
        <f t="shared" si="4"/>
        <v>4</v>
      </c>
      <c r="CK59" s="706">
        <v>1661.89</v>
      </c>
      <c r="CL59" s="683">
        <f t="shared" si="171"/>
        <v>11566.7544</v>
      </c>
      <c r="CM59" s="683">
        <f t="shared" ref="CM59:CV59" si="176">BC59*$CL59</f>
        <v>0</v>
      </c>
      <c r="CN59" s="683">
        <f t="shared" si="176"/>
        <v>0</v>
      </c>
      <c r="CO59" s="683">
        <f t="shared" si="176"/>
        <v>0</v>
      </c>
      <c r="CP59" s="683">
        <f t="shared" si="176"/>
        <v>0</v>
      </c>
      <c r="CQ59" s="683">
        <f t="shared" si="176"/>
        <v>0</v>
      </c>
      <c r="CR59" s="683">
        <f t="shared" si="176"/>
        <v>0</v>
      </c>
      <c r="CS59" s="683">
        <f t="shared" si="176"/>
        <v>0</v>
      </c>
      <c r="CT59" s="683">
        <f t="shared" si="176"/>
        <v>0</v>
      </c>
      <c r="CU59" s="683">
        <f t="shared" si="176"/>
        <v>0</v>
      </c>
      <c r="CV59" s="683">
        <f t="shared" si="176"/>
        <v>0</v>
      </c>
      <c r="CW59" s="683">
        <f t="shared" si="21"/>
        <v>0</v>
      </c>
      <c r="CX59" s="683">
        <f t="shared" ref="CX59:DG59" si="177">BN59*$CL59</f>
        <v>0</v>
      </c>
      <c r="CY59" s="683">
        <f t="shared" si="177"/>
        <v>0</v>
      </c>
      <c r="CZ59" s="683">
        <f t="shared" si="177"/>
        <v>0</v>
      </c>
      <c r="DA59" s="683">
        <f t="shared" si="177"/>
        <v>0</v>
      </c>
      <c r="DB59" s="683">
        <f t="shared" si="177"/>
        <v>0</v>
      </c>
      <c r="DC59" s="683">
        <f t="shared" si="177"/>
        <v>0</v>
      </c>
      <c r="DD59" s="683">
        <f t="shared" si="177"/>
        <v>11566.7544</v>
      </c>
      <c r="DE59" s="683">
        <f t="shared" si="177"/>
        <v>11566.7544</v>
      </c>
      <c r="DF59" s="683">
        <f t="shared" si="177"/>
        <v>0</v>
      </c>
      <c r="DG59" s="683">
        <f t="shared" si="177"/>
        <v>0</v>
      </c>
      <c r="DH59" s="683">
        <f t="shared" si="23"/>
        <v>23133.5088</v>
      </c>
      <c r="DI59" s="683">
        <f t="shared" ref="DI59:DR59" si="178">BY59*$CL59</f>
        <v>0</v>
      </c>
      <c r="DJ59" s="683">
        <f t="shared" si="178"/>
        <v>0</v>
      </c>
      <c r="DK59" s="683">
        <f t="shared" si="178"/>
        <v>0</v>
      </c>
      <c r="DL59" s="683">
        <f t="shared" si="178"/>
        <v>0</v>
      </c>
      <c r="DM59" s="683">
        <f t="shared" si="178"/>
        <v>0</v>
      </c>
      <c r="DN59" s="683">
        <f t="shared" si="178"/>
        <v>0</v>
      </c>
      <c r="DO59" s="683">
        <f t="shared" si="178"/>
        <v>0</v>
      </c>
      <c r="DP59" s="683">
        <f t="shared" si="178"/>
        <v>0</v>
      </c>
      <c r="DQ59" s="683">
        <f t="shared" si="178"/>
        <v>11566.7544</v>
      </c>
      <c r="DR59" s="683">
        <f t="shared" si="178"/>
        <v>11566.7544</v>
      </c>
      <c r="DS59" s="683">
        <f t="shared" si="25"/>
        <v>23133.5088</v>
      </c>
      <c r="DT59" s="683">
        <f t="shared" si="175"/>
        <v>46267.0176</v>
      </c>
      <c r="DU59" s="784"/>
      <c r="DV59" s="486" t="s">
        <v>417</v>
      </c>
      <c r="DW59" s="688"/>
      <c r="DX59" s="688"/>
      <c r="DY59" s="688"/>
      <c r="DZ59" s="688"/>
      <c r="EA59" s="688"/>
      <c r="EB59" s="688"/>
      <c r="EC59" s="688"/>
      <c r="ED59" s="688"/>
      <c r="EE59" s="688"/>
      <c r="EF59" s="688"/>
      <c r="EG59" s="688"/>
      <c r="EH59" s="776" t="s">
        <v>3107</v>
      </c>
      <c r="EI59" s="708">
        <f>VLOOKUP(I59,CotizacionTDB,4,FALSE())</f>
        <v>1661.89</v>
      </c>
      <c r="EJ59" s="708">
        <f>VLOOKUP(I59,CotizacionTDB,5,FALSE())</f>
        <v>1412.61</v>
      </c>
      <c r="EK59" s="691"/>
    </row>
    <row r="60" ht="12.0" customHeight="1">
      <c r="A60" s="709" t="s">
        <v>3026</v>
      </c>
      <c r="B60" s="661">
        <v>2.0</v>
      </c>
      <c r="C60" s="567" t="s">
        <v>3027</v>
      </c>
      <c r="D60" s="568" t="s">
        <v>140</v>
      </c>
      <c r="E60" s="568" t="s">
        <v>2708</v>
      </c>
      <c r="F60" s="567" t="s">
        <v>1763</v>
      </c>
      <c r="G60" s="569" t="s">
        <v>2709</v>
      </c>
      <c r="H60" s="658"/>
      <c r="I60" s="721" t="s">
        <v>1907</v>
      </c>
      <c r="J60" s="711" t="s">
        <v>1410</v>
      </c>
      <c r="K60" s="567" t="s">
        <v>25</v>
      </c>
      <c r="L60" s="567"/>
      <c r="M60" s="567"/>
      <c r="N60" s="567"/>
      <c r="O60" s="567">
        <v>2024.0</v>
      </c>
      <c r="P60" s="567">
        <v>2024.0</v>
      </c>
      <c r="Q60" s="567">
        <v>2024.0</v>
      </c>
      <c r="R60" s="567"/>
      <c r="S60" s="567"/>
      <c r="T60" s="567"/>
      <c r="U60" s="567"/>
      <c r="V60" s="567"/>
      <c r="W60" s="567"/>
      <c r="X60" s="567"/>
      <c r="Y60" s="567"/>
      <c r="Z60" s="567">
        <v>3.0</v>
      </c>
      <c r="AA60" s="567">
        <v>3.0</v>
      </c>
      <c r="AB60" s="567">
        <v>3.0</v>
      </c>
      <c r="AC60" s="567"/>
      <c r="AD60" s="567"/>
      <c r="AE60" s="567"/>
      <c r="AF60" s="567"/>
      <c r="AG60" s="567"/>
      <c r="AH60" s="567"/>
      <c r="AI60" s="567"/>
      <c r="AJ60" s="567"/>
      <c r="AK60" s="567"/>
      <c r="AL60" s="567"/>
      <c r="AM60" s="567"/>
      <c r="AN60" s="567"/>
      <c r="AO60" s="567"/>
      <c r="AP60" s="567"/>
      <c r="AQ60" s="567"/>
      <c r="AR60" s="567">
        <v>0.0</v>
      </c>
      <c r="AS60" s="567">
        <v>0.0</v>
      </c>
      <c r="AT60" s="567">
        <v>0.0</v>
      </c>
      <c r="AU60" s="567">
        <v>-2024.0</v>
      </c>
      <c r="AV60" s="567">
        <v>-2024.0</v>
      </c>
      <c r="AW60" s="567">
        <v>-2024.0</v>
      </c>
      <c r="AX60" s="567">
        <v>0.0</v>
      </c>
      <c r="AY60" s="567">
        <v>0.0</v>
      </c>
      <c r="AZ60" s="567">
        <v>0.0</v>
      </c>
      <c r="BA60" s="567">
        <v>0.0</v>
      </c>
      <c r="BB60" s="567"/>
      <c r="BC60" s="567"/>
      <c r="BD60" s="567"/>
      <c r="BE60" s="567"/>
      <c r="BF60" s="718"/>
      <c r="BG60" s="718"/>
      <c r="BH60" s="718"/>
      <c r="BI60" s="567"/>
      <c r="BJ60" s="567"/>
      <c r="BK60" s="567"/>
      <c r="BL60" s="725"/>
      <c r="BM60" s="665">
        <f t="shared" si="1"/>
        <v>0</v>
      </c>
      <c r="BN60" s="668"/>
      <c r="BO60" s="668"/>
      <c r="BP60" s="668"/>
      <c r="BQ60" s="667">
        <v>2.0</v>
      </c>
      <c r="BR60" s="667">
        <v>2.0</v>
      </c>
      <c r="BS60" s="667">
        <v>2.0</v>
      </c>
      <c r="BT60" s="668"/>
      <c r="BU60" s="668"/>
      <c r="BV60" s="668"/>
      <c r="BW60" s="670"/>
      <c r="BX60" s="665">
        <f t="shared" si="2"/>
        <v>6</v>
      </c>
      <c r="BY60" s="671"/>
      <c r="BZ60" s="668"/>
      <c r="CA60" s="668"/>
      <c r="CB60" s="668"/>
      <c r="CC60" s="668"/>
      <c r="CD60" s="668"/>
      <c r="CE60" s="668"/>
      <c r="CF60" s="668"/>
      <c r="CG60" s="668"/>
      <c r="CH60" s="785">
        <v>1.0</v>
      </c>
      <c r="CI60" s="665">
        <f t="shared" si="3"/>
        <v>1</v>
      </c>
      <c r="CJ60" s="671">
        <f t="shared" si="4"/>
        <v>7</v>
      </c>
      <c r="CK60" s="715">
        <v>36.61</v>
      </c>
      <c r="CL60" s="668">
        <f t="shared" si="171"/>
        <v>254.8056</v>
      </c>
      <c r="CM60" s="668">
        <f t="shared" ref="CM60:CV60" si="179">BC60*$CL60</f>
        <v>0</v>
      </c>
      <c r="CN60" s="668">
        <f t="shared" si="179"/>
        <v>0</v>
      </c>
      <c r="CO60" s="668">
        <f t="shared" si="179"/>
        <v>0</v>
      </c>
      <c r="CP60" s="668">
        <f t="shared" si="179"/>
        <v>0</v>
      </c>
      <c r="CQ60" s="668">
        <f t="shared" si="179"/>
        <v>0</v>
      </c>
      <c r="CR60" s="668">
        <f t="shared" si="179"/>
        <v>0</v>
      </c>
      <c r="CS60" s="668">
        <f t="shared" si="179"/>
        <v>0</v>
      </c>
      <c r="CT60" s="668">
        <f t="shared" si="179"/>
        <v>0</v>
      </c>
      <c r="CU60" s="668">
        <f t="shared" si="179"/>
        <v>0</v>
      </c>
      <c r="CV60" s="668">
        <f t="shared" si="179"/>
        <v>0</v>
      </c>
      <c r="CW60" s="668">
        <f t="shared" si="21"/>
        <v>0</v>
      </c>
      <c r="CX60" s="668">
        <f t="shared" ref="CX60:DG60" si="180">BN60*$CL60</f>
        <v>0</v>
      </c>
      <c r="CY60" s="668">
        <f t="shared" si="180"/>
        <v>0</v>
      </c>
      <c r="CZ60" s="668">
        <f t="shared" si="180"/>
        <v>0</v>
      </c>
      <c r="DA60" s="668">
        <f t="shared" si="180"/>
        <v>509.6112</v>
      </c>
      <c r="DB60" s="668">
        <f t="shared" si="180"/>
        <v>509.6112</v>
      </c>
      <c r="DC60" s="668">
        <f t="shared" si="180"/>
        <v>509.6112</v>
      </c>
      <c r="DD60" s="668">
        <f t="shared" si="180"/>
        <v>0</v>
      </c>
      <c r="DE60" s="668">
        <f t="shared" si="180"/>
        <v>0</v>
      </c>
      <c r="DF60" s="668">
        <f t="shared" si="180"/>
        <v>0</v>
      </c>
      <c r="DG60" s="668">
        <f t="shared" si="180"/>
        <v>0</v>
      </c>
      <c r="DH60" s="668">
        <f t="shared" si="23"/>
        <v>1528.8336</v>
      </c>
      <c r="DI60" s="668">
        <f t="shared" ref="DI60:DR60" si="181">BY60*$CL60</f>
        <v>0</v>
      </c>
      <c r="DJ60" s="668">
        <f t="shared" si="181"/>
        <v>0</v>
      </c>
      <c r="DK60" s="668">
        <f t="shared" si="181"/>
        <v>0</v>
      </c>
      <c r="DL60" s="668">
        <f t="shared" si="181"/>
        <v>0</v>
      </c>
      <c r="DM60" s="668">
        <f t="shared" si="181"/>
        <v>0</v>
      </c>
      <c r="DN60" s="668">
        <f t="shared" si="181"/>
        <v>0</v>
      </c>
      <c r="DO60" s="668">
        <f t="shared" si="181"/>
        <v>0</v>
      </c>
      <c r="DP60" s="668">
        <f t="shared" si="181"/>
        <v>0</v>
      </c>
      <c r="DQ60" s="668">
        <f t="shared" si="181"/>
        <v>0</v>
      </c>
      <c r="DR60" s="668">
        <f t="shared" si="181"/>
        <v>254.8056</v>
      </c>
      <c r="DS60" s="668">
        <f t="shared" si="25"/>
        <v>254.8056</v>
      </c>
      <c r="DT60" s="668">
        <f t="shared" si="175"/>
        <v>1783.6392</v>
      </c>
      <c r="DU60" s="538"/>
      <c r="DV60" s="468"/>
      <c r="DW60" s="698"/>
      <c r="DX60" s="698"/>
      <c r="DY60" s="698"/>
      <c r="DZ60" s="698"/>
      <c r="EA60" s="698"/>
      <c r="EB60" s="698"/>
      <c r="EC60" s="698"/>
      <c r="ED60" s="698"/>
      <c r="EE60" s="698"/>
      <c r="EF60" s="698"/>
      <c r="EG60" s="698"/>
      <c r="EH60" s="576" t="s">
        <v>3108</v>
      </c>
      <c r="EI60" s="716">
        <f>VLOOKUP(I60,CotizacionTDB,4,FALSE())</f>
        <v>36.61</v>
      </c>
      <c r="EJ60" s="716">
        <f>VLOOKUP(I60,CotizacionTDB,5,FALSE())</f>
        <v>31.12</v>
      </c>
      <c r="EK60" s="699"/>
    </row>
    <row r="61" ht="12.0" customHeight="1">
      <c r="A61" s="700" t="s">
        <v>3026</v>
      </c>
      <c r="B61" s="701">
        <v>2.0</v>
      </c>
      <c r="C61" s="562" t="s">
        <v>3027</v>
      </c>
      <c r="D61" s="571" t="s">
        <v>140</v>
      </c>
      <c r="E61" s="571" t="s">
        <v>2708</v>
      </c>
      <c r="F61" s="562" t="s">
        <v>1763</v>
      </c>
      <c r="G61" s="702" t="s">
        <v>2709</v>
      </c>
      <c r="H61" s="737"/>
      <c r="I61" s="703" t="s">
        <v>2270</v>
      </c>
      <c r="J61" s="704" t="s">
        <v>1458</v>
      </c>
      <c r="K61" s="562" t="s">
        <v>25</v>
      </c>
      <c r="L61" s="562"/>
      <c r="M61" s="562"/>
      <c r="N61" s="562"/>
      <c r="O61" s="562">
        <v>2024.0</v>
      </c>
      <c r="P61" s="562">
        <v>2024.0</v>
      </c>
      <c r="Q61" s="562">
        <v>2024.0</v>
      </c>
      <c r="R61" s="562"/>
      <c r="S61" s="562"/>
      <c r="T61" s="562"/>
      <c r="U61" s="562"/>
      <c r="V61" s="562"/>
      <c r="W61" s="562"/>
      <c r="X61" s="562"/>
      <c r="Y61" s="562"/>
      <c r="Z61" s="562">
        <v>3.0</v>
      </c>
      <c r="AA61" s="562">
        <v>3.0</v>
      </c>
      <c r="AB61" s="562">
        <v>3.0</v>
      </c>
      <c r="AC61" s="562"/>
      <c r="AD61" s="562"/>
      <c r="AE61" s="562"/>
      <c r="AF61" s="562"/>
      <c r="AG61" s="562"/>
      <c r="AH61" s="562"/>
      <c r="AI61" s="562"/>
      <c r="AJ61" s="562"/>
      <c r="AK61" s="562"/>
      <c r="AL61" s="562"/>
      <c r="AM61" s="562"/>
      <c r="AN61" s="562"/>
      <c r="AO61" s="562"/>
      <c r="AP61" s="562"/>
      <c r="AQ61" s="562"/>
      <c r="AR61" s="562">
        <v>0.0</v>
      </c>
      <c r="AS61" s="562">
        <v>0.0</v>
      </c>
      <c r="AT61" s="562">
        <v>0.0</v>
      </c>
      <c r="AU61" s="562">
        <v>-2024.0</v>
      </c>
      <c r="AV61" s="562">
        <v>-2024.0</v>
      </c>
      <c r="AW61" s="562">
        <v>-2024.0</v>
      </c>
      <c r="AX61" s="562">
        <v>0.0</v>
      </c>
      <c r="AY61" s="562">
        <v>0.0</v>
      </c>
      <c r="AZ61" s="562">
        <v>0.0</v>
      </c>
      <c r="BA61" s="562">
        <v>0.0</v>
      </c>
      <c r="BB61" s="562"/>
      <c r="BC61" s="562"/>
      <c r="BD61" s="562"/>
      <c r="BE61" s="562"/>
      <c r="BF61" s="718"/>
      <c r="BG61" s="718"/>
      <c r="BH61" s="718"/>
      <c r="BI61" s="562"/>
      <c r="BJ61" s="562"/>
      <c r="BK61" s="562"/>
      <c r="BL61" s="681"/>
      <c r="BM61" s="665">
        <f t="shared" si="1"/>
        <v>0</v>
      </c>
      <c r="BN61" s="682"/>
      <c r="BO61" s="683"/>
      <c r="BP61" s="683"/>
      <c r="BQ61" s="667">
        <v>2.0</v>
      </c>
      <c r="BR61" s="667">
        <v>2.0</v>
      </c>
      <c r="BS61" s="667">
        <v>2.0</v>
      </c>
      <c r="BT61" s="683"/>
      <c r="BU61" s="683"/>
      <c r="BV61" s="683"/>
      <c r="BW61" s="686"/>
      <c r="BX61" s="665">
        <f t="shared" si="2"/>
        <v>6</v>
      </c>
      <c r="BY61" s="682"/>
      <c r="BZ61" s="683"/>
      <c r="CA61" s="683"/>
      <c r="CB61" s="683"/>
      <c r="CC61" s="683"/>
      <c r="CD61" s="683"/>
      <c r="CE61" s="683"/>
      <c r="CF61" s="683"/>
      <c r="CG61" s="683"/>
      <c r="CH61" s="724">
        <v>1.0</v>
      </c>
      <c r="CI61" s="665">
        <f t="shared" si="3"/>
        <v>1</v>
      </c>
      <c r="CJ61" s="682">
        <f t="shared" si="4"/>
        <v>7</v>
      </c>
      <c r="CK61" s="706">
        <v>27.92</v>
      </c>
      <c r="CL61" s="683">
        <f t="shared" si="171"/>
        <v>194.3232</v>
      </c>
      <c r="CM61" s="683">
        <f t="shared" ref="CM61:CV61" si="182">BC61*$CL61</f>
        <v>0</v>
      </c>
      <c r="CN61" s="683">
        <f t="shared" si="182"/>
        <v>0</v>
      </c>
      <c r="CO61" s="683">
        <f t="shared" si="182"/>
        <v>0</v>
      </c>
      <c r="CP61" s="683">
        <f t="shared" si="182"/>
        <v>0</v>
      </c>
      <c r="CQ61" s="683">
        <f t="shared" si="182"/>
        <v>0</v>
      </c>
      <c r="CR61" s="683">
        <f t="shared" si="182"/>
        <v>0</v>
      </c>
      <c r="CS61" s="683">
        <f t="shared" si="182"/>
        <v>0</v>
      </c>
      <c r="CT61" s="683">
        <f t="shared" si="182"/>
        <v>0</v>
      </c>
      <c r="CU61" s="683">
        <f t="shared" si="182"/>
        <v>0</v>
      </c>
      <c r="CV61" s="683">
        <f t="shared" si="182"/>
        <v>0</v>
      </c>
      <c r="CW61" s="683">
        <f t="shared" si="21"/>
        <v>0</v>
      </c>
      <c r="CX61" s="683">
        <f t="shared" ref="CX61:DG61" si="183">BN61*$CL61</f>
        <v>0</v>
      </c>
      <c r="CY61" s="683">
        <f t="shared" si="183"/>
        <v>0</v>
      </c>
      <c r="CZ61" s="683">
        <f t="shared" si="183"/>
        <v>0</v>
      </c>
      <c r="DA61" s="683">
        <f t="shared" si="183"/>
        <v>388.6464</v>
      </c>
      <c r="DB61" s="683">
        <f t="shared" si="183"/>
        <v>388.6464</v>
      </c>
      <c r="DC61" s="683">
        <f t="shared" si="183"/>
        <v>388.6464</v>
      </c>
      <c r="DD61" s="683">
        <f t="shared" si="183"/>
        <v>0</v>
      </c>
      <c r="DE61" s="683">
        <f t="shared" si="183"/>
        <v>0</v>
      </c>
      <c r="DF61" s="683">
        <f t="shared" si="183"/>
        <v>0</v>
      </c>
      <c r="DG61" s="683">
        <f t="shared" si="183"/>
        <v>0</v>
      </c>
      <c r="DH61" s="683">
        <f t="shared" si="23"/>
        <v>1165.9392</v>
      </c>
      <c r="DI61" s="683">
        <f t="shared" ref="DI61:DR61" si="184">BY61*$CL61</f>
        <v>0</v>
      </c>
      <c r="DJ61" s="683">
        <f t="shared" si="184"/>
        <v>0</v>
      </c>
      <c r="DK61" s="683">
        <f t="shared" si="184"/>
        <v>0</v>
      </c>
      <c r="DL61" s="683">
        <f t="shared" si="184"/>
        <v>0</v>
      </c>
      <c r="DM61" s="683">
        <f t="shared" si="184"/>
        <v>0</v>
      </c>
      <c r="DN61" s="683">
        <f t="shared" si="184"/>
        <v>0</v>
      </c>
      <c r="DO61" s="683">
        <f t="shared" si="184"/>
        <v>0</v>
      </c>
      <c r="DP61" s="683">
        <f t="shared" si="184"/>
        <v>0</v>
      </c>
      <c r="DQ61" s="683">
        <f t="shared" si="184"/>
        <v>0</v>
      </c>
      <c r="DR61" s="683">
        <f t="shared" si="184"/>
        <v>194.3232</v>
      </c>
      <c r="DS61" s="683">
        <f t="shared" si="25"/>
        <v>194.3232</v>
      </c>
      <c r="DT61" s="683">
        <f t="shared" si="175"/>
        <v>1360.2624</v>
      </c>
      <c r="DU61" s="504"/>
      <c r="DV61" s="486"/>
      <c r="DW61" s="688"/>
      <c r="DX61" s="688"/>
      <c r="DY61" s="688"/>
      <c r="DZ61" s="688"/>
      <c r="EA61" s="688"/>
      <c r="EB61" s="688"/>
      <c r="EC61" s="688"/>
      <c r="ED61" s="688"/>
      <c r="EE61" s="688"/>
      <c r="EF61" s="688"/>
      <c r="EG61" s="688"/>
      <c r="EH61" s="707" t="s">
        <v>3109</v>
      </c>
      <c r="EI61" s="708">
        <f>VLOOKUP(I61,CotizacionTDB,4,FALSE())</f>
        <v>27.92</v>
      </c>
      <c r="EJ61" s="708">
        <f>VLOOKUP(I61,CotizacionTDB,5,FALSE())</f>
        <v>23.73</v>
      </c>
      <c r="EK61" s="691"/>
    </row>
    <row r="62" ht="12.0" customHeight="1">
      <c r="A62" s="709" t="s">
        <v>3026</v>
      </c>
      <c r="B62" s="661">
        <v>2.0</v>
      </c>
      <c r="C62" s="567" t="s">
        <v>3027</v>
      </c>
      <c r="D62" s="568" t="s">
        <v>140</v>
      </c>
      <c r="E62" s="568" t="s">
        <v>2708</v>
      </c>
      <c r="F62" s="567" t="s">
        <v>1763</v>
      </c>
      <c r="G62" s="569" t="s">
        <v>2709</v>
      </c>
      <c r="H62" s="658"/>
      <c r="I62" s="721" t="s">
        <v>2394</v>
      </c>
      <c r="J62" s="711" t="s">
        <v>1723</v>
      </c>
      <c r="K62" s="567" t="s">
        <v>25</v>
      </c>
      <c r="L62" s="567"/>
      <c r="M62" s="567"/>
      <c r="N62" s="567"/>
      <c r="O62" s="567">
        <v>2024.0</v>
      </c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>
        <v>3.0</v>
      </c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  <c r="AN62" s="567"/>
      <c r="AO62" s="567"/>
      <c r="AP62" s="567"/>
      <c r="AQ62" s="567"/>
      <c r="AR62" s="567">
        <v>0.0</v>
      </c>
      <c r="AS62" s="567">
        <v>0.0</v>
      </c>
      <c r="AT62" s="567">
        <v>0.0</v>
      </c>
      <c r="AU62" s="567">
        <v>-2024.0</v>
      </c>
      <c r="AV62" s="567">
        <v>0.0</v>
      </c>
      <c r="AW62" s="567">
        <v>0.0</v>
      </c>
      <c r="AX62" s="567">
        <v>0.0</v>
      </c>
      <c r="AY62" s="567">
        <v>0.0</v>
      </c>
      <c r="AZ62" s="567">
        <v>0.0</v>
      </c>
      <c r="BA62" s="567">
        <v>0.0</v>
      </c>
      <c r="BB62" s="567"/>
      <c r="BC62" s="680"/>
      <c r="BD62" s="567"/>
      <c r="BE62" s="680"/>
      <c r="BF62" s="718"/>
      <c r="BG62" s="567"/>
      <c r="BH62" s="567"/>
      <c r="BI62" s="567"/>
      <c r="BJ62" s="567"/>
      <c r="BK62" s="567"/>
      <c r="BL62" s="725"/>
      <c r="BM62" s="665">
        <f t="shared" si="1"/>
        <v>0</v>
      </c>
      <c r="BN62" s="734">
        <v>2.0</v>
      </c>
      <c r="BO62" s="668"/>
      <c r="BP62" s="684">
        <v>2.0</v>
      </c>
      <c r="BQ62" s="667">
        <v>2.0</v>
      </c>
      <c r="BR62" s="668"/>
      <c r="BS62" s="668"/>
      <c r="BT62" s="668"/>
      <c r="BU62" s="668"/>
      <c r="BV62" s="668"/>
      <c r="BW62" s="670"/>
      <c r="BX62" s="665">
        <f t="shared" si="2"/>
        <v>6</v>
      </c>
      <c r="BY62" s="671"/>
      <c r="BZ62" s="674">
        <v>6.0</v>
      </c>
      <c r="CA62" s="668"/>
      <c r="CB62" s="668"/>
      <c r="CC62" s="668"/>
      <c r="CD62" s="668"/>
      <c r="CE62" s="668"/>
      <c r="CF62" s="668"/>
      <c r="CG62" s="668"/>
      <c r="CH62" s="670"/>
      <c r="CI62" s="665">
        <f t="shared" si="3"/>
        <v>6</v>
      </c>
      <c r="CJ62" s="671">
        <f t="shared" si="4"/>
        <v>12</v>
      </c>
      <c r="CK62" s="715">
        <v>3.38</v>
      </c>
      <c r="CL62" s="668">
        <f t="shared" si="171"/>
        <v>23.5248</v>
      </c>
      <c r="CM62" s="668">
        <f t="shared" ref="CM62:CV62" si="185">BC62*$CL62</f>
        <v>0</v>
      </c>
      <c r="CN62" s="668">
        <f t="shared" si="185"/>
        <v>0</v>
      </c>
      <c r="CO62" s="668">
        <f t="shared" si="185"/>
        <v>0</v>
      </c>
      <c r="CP62" s="668">
        <f t="shared" si="185"/>
        <v>0</v>
      </c>
      <c r="CQ62" s="668">
        <f t="shared" si="185"/>
        <v>0</v>
      </c>
      <c r="CR62" s="668">
        <f t="shared" si="185"/>
        <v>0</v>
      </c>
      <c r="CS62" s="668">
        <f t="shared" si="185"/>
        <v>0</v>
      </c>
      <c r="CT62" s="668">
        <f t="shared" si="185"/>
        <v>0</v>
      </c>
      <c r="CU62" s="668">
        <f t="shared" si="185"/>
        <v>0</v>
      </c>
      <c r="CV62" s="668">
        <f t="shared" si="185"/>
        <v>0</v>
      </c>
      <c r="CW62" s="668">
        <f t="shared" si="21"/>
        <v>0</v>
      </c>
      <c r="CX62" s="668">
        <f t="shared" ref="CX62:DG62" si="186">BN62*$CL62</f>
        <v>47.0496</v>
      </c>
      <c r="CY62" s="668">
        <f t="shared" si="186"/>
        <v>0</v>
      </c>
      <c r="CZ62" s="668">
        <f t="shared" si="186"/>
        <v>47.0496</v>
      </c>
      <c r="DA62" s="668">
        <f t="shared" si="186"/>
        <v>47.0496</v>
      </c>
      <c r="DB62" s="668">
        <f t="shared" si="186"/>
        <v>0</v>
      </c>
      <c r="DC62" s="668">
        <f t="shared" si="186"/>
        <v>0</v>
      </c>
      <c r="DD62" s="668">
        <f t="shared" si="186"/>
        <v>0</v>
      </c>
      <c r="DE62" s="668">
        <f t="shared" si="186"/>
        <v>0</v>
      </c>
      <c r="DF62" s="668">
        <f t="shared" si="186"/>
        <v>0</v>
      </c>
      <c r="DG62" s="668">
        <f t="shared" si="186"/>
        <v>0</v>
      </c>
      <c r="DH62" s="668">
        <f t="shared" si="23"/>
        <v>141.1488</v>
      </c>
      <c r="DI62" s="668">
        <f t="shared" ref="DI62:DR62" si="187">BY62*$CL62</f>
        <v>0</v>
      </c>
      <c r="DJ62" s="668">
        <f t="shared" si="187"/>
        <v>141.1488</v>
      </c>
      <c r="DK62" s="668">
        <f t="shared" si="187"/>
        <v>0</v>
      </c>
      <c r="DL62" s="668">
        <f t="shared" si="187"/>
        <v>0</v>
      </c>
      <c r="DM62" s="668">
        <f t="shared" si="187"/>
        <v>0</v>
      </c>
      <c r="DN62" s="668">
        <f t="shared" si="187"/>
        <v>0</v>
      </c>
      <c r="DO62" s="668">
        <f t="shared" si="187"/>
        <v>0</v>
      </c>
      <c r="DP62" s="668">
        <f t="shared" si="187"/>
        <v>0</v>
      </c>
      <c r="DQ62" s="668">
        <f t="shared" si="187"/>
        <v>0</v>
      </c>
      <c r="DR62" s="668">
        <f t="shared" si="187"/>
        <v>0</v>
      </c>
      <c r="DS62" s="668">
        <f t="shared" si="25"/>
        <v>141.1488</v>
      </c>
      <c r="DT62" s="668">
        <f t="shared" si="175"/>
        <v>282.2976</v>
      </c>
      <c r="DU62" s="538"/>
      <c r="DV62" s="468"/>
      <c r="DW62" s="698"/>
      <c r="DX62" s="698"/>
      <c r="DY62" s="698"/>
      <c r="DZ62" s="698"/>
      <c r="EA62" s="698"/>
      <c r="EB62" s="698"/>
      <c r="EC62" s="698"/>
      <c r="ED62" s="698"/>
      <c r="EE62" s="698"/>
      <c r="EF62" s="698"/>
      <c r="EG62" s="698"/>
      <c r="EH62" s="576" t="s">
        <v>3110</v>
      </c>
      <c r="EI62" s="716">
        <f>VLOOKUP(I62,CotizacionTDB,4,FALSE())</f>
        <v>3.38</v>
      </c>
      <c r="EJ62" s="716">
        <f>VLOOKUP(I62,CotizacionTDB,5,FALSE())</f>
        <v>2.87</v>
      </c>
      <c r="EK62" s="699"/>
    </row>
    <row r="63" ht="12.0" customHeight="1">
      <c r="A63" s="700" t="s">
        <v>3026</v>
      </c>
      <c r="B63" s="701">
        <v>2.0</v>
      </c>
      <c r="C63" s="562" t="s">
        <v>3027</v>
      </c>
      <c r="D63" s="571" t="s">
        <v>140</v>
      </c>
      <c r="E63" s="571" t="s">
        <v>2708</v>
      </c>
      <c r="F63" s="562" t="s">
        <v>1763</v>
      </c>
      <c r="G63" s="702" t="s">
        <v>2709</v>
      </c>
      <c r="H63" s="569" t="s">
        <v>3111</v>
      </c>
      <c r="I63" s="703" t="s">
        <v>1895</v>
      </c>
      <c r="J63" s="704" t="s">
        <v>1608</v>
      </c>
      <c r="K63" s="562" t="s">
        <v>25</v>
      </c>
      <c r="L63" s="562"/>
      <c r="M63" s="562"/>
      <c r="N63" s="562"/>
      <c r="O63" s="562"/>
      <c r="P63" s="562"/>
      <c r="Q63" s="562"/>
      <c r="R63" s="562">
        <v>2024.0</v>
      </c>
      <c r="S63" s="562">
        <v>2024.0</v>
      </c>
      <c r="T63" s="562">
        <v>2024.0</v>
      </c>
      <c r="U63" s="562">
        <v>2024.0</v>
      </c>
      <c r="V63" s="562"/>
      <c r="W63" s="562"/>
      <c r="X63" s="562"/>
      <c r="Y63" s="562"/>
      <c r="Z63" s="562"/>
      <c r="AA63" s="562"/>
      <c r="AB63" s="562"/>
      <c r="AC63" s="562">
        <v>5.0</v>
      </c>
      <c r="AD63" s="562">
        <v>5.0</v>
      </c>
      <c r="AE63" s="562">
        <v>5.0</v>
      </c>
      <c r="AF63" s="562">
        <v>5.0</v>
      </c>
      <c r="AG63" s="562"/>
      <c r="AH63" s="562"/>
      <c r="AI63" s="562"/>
      <c r="AJ63" s="562"/>
      <c r="AK63" s="562"/>
      <c r="AL63" s="562"/>
      <c r="AM63" s="562"/>
      <c r="AN63" s="562"/>
      <c r="AO63" s="562"/>
      <c r="AP63" s="562"/>
      <c r="AQ63" s="562"/>
      <c r="AR63" s="562">
        <v>0.0</v>
      </c>
      <c r="AS63" s="562">
        <v>0.0</v>
      </c>
      <c r="AT63" s="562">
        <v>0.0</v>
      </c>
      <c r="AU63" s="562">
        <v>0.0</v>
      </c>
      <c r="AV63" s="562">
        <v>0.0</v>
      </c>
      <c r="AW63" s="562">
        <v>0.0</v>
      </c>
      <c r="AX63" s="562">
        <v>-2024.0</v>
      </c>
      <c r="AY63" s="562">
        <v>-2024.0</v>
      </c>
      <c r="AZ63" s="562">
        <v>-2024.0</v>
      </c>
      <c r="BA63" s="562">
        <v>-2024.0</v>
      </c>
      <c r="BB63" s="562"/>
      <c r="BC63" s="562"/>
      <c r="BD63" s="562"/>
      <c r="BE63" s="562"/>
      <c r="BF63" s="562"/>
      <c r="BG63" s="562"/>
      <c r="BH63" s="562"/>
      <c r="BI63" s="718"/>
      <c r="BJ63" s="718"/>
      <c r="BK63" s="718"/>
      <c r="BL63" s="681"/>
      <c r="BM63" s="665">
        <f t="shared" si="1"/>
        <v>0</v>
      </c>
      <c r="BN63" s="682"/>
      <c r="BO63" s="683"/>
      <c r="BP63" s="683"/>
      <c r="BQ63" s="683"/>
      <c r="BR63" s="683"/>
      <c r="BS63" s="683"/>
      <c r="BT63" s="667"/>
      <c r="BU63" s="667"/>
      <c r="BV63" s="667"/>
      <c r="BW63" s="686"/>
      <c r="BX63" s="665">
        <f t="shared" si="2"/>
        <v>0</v>
      </c>
      <c r="BY63" s="682"/>
      <c r="BZ63" s="683"/>
      <c r="CA63" s="683"/>
      <c r="CB63" s="683"/>
      <c r="CC63" s="683"/>
      <c r="CD63" s="683"/>
      <c r="CE63" s="667">
        <v>6.0</v>
      </c>
      <c r="CF63" s="667">
        <v>6.0</v>
      </c>
      <c r="CG63" s="667">
        <v>6.0</v>
      </c>
      <c r="CH63" s="686"/>
      <c r="CI63" s="665">
        <f t="shared" si="3"/>
        <v>18</v>
      </c>
      <c r="CJ63" s="682">
        <f t="shared" si="4"/>
        <v>18</v>
      </c>
      <c r="CK63" s="706">
        <v>0.39</v>
      </c>
      <c r="CL63" s="683">
        <f t="shared" si="171"/>
        <v>2.7144</v>
      </c>
      <c r="CM63" s="683">
        <f t="shared" ref="CM63:CV63" si="188">BC63*$CL63</f>
        <v>0</v>
      </c>
      <c r="CN63" s="683">
        <f t="shared" si="188"/>
        <v>0</v>
      </c>
      <c r="CO63" s="683">
        <f t="shared" si="188"/>
        <v>0</v>
      </c>
      <c r="CP63" s="683">
        <f t="shared" si="188"/>
        <v>0</v>
      </c>
      <c r="CQ63" s="683">
        <f t="shared" si="188"/>
        <v>0</v>
      </c>
      <c r="CR63" s="683">
        <f t="shared" si="188"/>
        <v>0</v>
      </c>
      <c r="CS63" s="683">
        <f t="shared" si="188"/>
        <v>0</v>
      </c>
      <c r="CT63" s="683">
        <f t="shared" si="188"/>
        <v>0</v>
      </c>
      <c r="CU63" s="683">
        <f t="shared" si="188"/>
        <v>0</v>
      </c>
      <c r="CV63" s="683">
        <f t="shared" si="188"/>
        <v>0</v>
      </c>
      <c r="CW63" s="683">
        <f t="shared" si="21"/>
        <v>0</v>
      </c>
      <c r="CX63" s="683">
        <f t="shared" ref="CX63:DG63" si="189">BN63*$CL63</f>
        <v>0</v>
      </c>
      <c r="CY63" s="683">
        <f t="shared" si="189"/>
        <v>0</v>
      </c>
      <c r="CZ63" s="683">
        <f t="shared" si="189"/>
        <v>0</v>
      </c>
      <c r="DA63" s="683">
        <f t="shared" si="189"/>
        <v>0</v>
      </c>
      <c r="DB63" s="683">
        <f t="shared" si="189"/>
        <v>0</v>
      </c>
      <c r="DC63" s="683">
        <f t="shared" si="189"/>
        <v>0</v>
      </c>
      <c r="DD63" s="683">
        <f t="shared" si="189"/>
        <v>0</v>
      </c>
      <c r="DE63" s="683">
        <f t="shared" si="189"/>
        <v>0</v>
      </c>
      <c r="DF63" s="683">
        <f t="shared" si="189"/>
        <v>0</v>
      </c>
      <c r="DG63" s="683">
        <f t="shared" si="189"/>
        <v>0</v>
      </c>
      <c r="DH63" s="683">
        <f t="shared" si="23"/>
        <v>0</v>
      </c>
      <c r="DI63" s="683">
        <f t="shared" ref="DI63:DR63" si="190">BY63*$CL63</f>
        <v>0</v>
      </c>
      <c r="DJ63" s="683">
        <f t="shared" si="190"/>
        <v>0</v>
      </c>
      <c r="DK63" s="683">
        <f t="shared" si="190"/>
        <v>0</v>
      </c>
      <c r="DL63" s="683">
        <f t="shared" si="190"/>
        <v>0</v>
      </c>
      <c r="DM63" s="683">
        <f t="shared" si="190"/>
        <v>0</v>
      </c>
      <c r="DN63" s="683">
        <f t="shared" si="190"/>
        <v>0</v>
      </c>
      <c r="DO63" s="683">
        <f t="shared" si="190"/>
        <v>16.2864</v>
      </c>
      <c r="DP63" s="683">
        <f t="shared" si="190"/>
        <v>16.2864</v>
      </c>
      <c r="DQ63" s="683">
        <f t="shared" si="190"/>
        <v>16.2864</v>
      </c>
      <c r="DR63" s="683">
        <f t="shared" si="190"/>
        <v>0</v>
      </c>
      <c r="DS63" s="683">
        <f t="shared" si="25"/>
        <v>48.8592</v>
      </c>
      <c r="DT63" s="683">
        <f t="shared" si="175"/>
        <v>48.8592</v>
      </c>
      <c r="DU63" s="504"/>
      <c r="DV63" s="486"/>
      <c r="DW63" s="570"/>
      <c r="DX63" s="570"/>
      <c r="DY63" s="570"/>
      <c r="DZ63" s="570"/>
      <c r="EA63" s="570"/>
      <c r="EB63" s="570"/>
      <c r="EC63" s="786"/>
      <c r="ED63" s="570"/>
      <c r="EE63" s="570"/>
      <c r="EF63" s="759">
        <v>6.0</v>
      </c>
      <c r="EG63" s="688"/>
      <c r="EH63" s="707" t="s">
        <v>3112</v>
      </c>
      <c r="EI63" s="708">
        <f>VLOOKUP(I63,CotizacionTDB,4,FALSE())</f>
        <v>0.39</v>
      </c>
      <c r="EJ63" s="708">
        <f>VLOOKUP(I63,CotizacionTDB,5,FALSE())</f>
        <v>0.33</v>
      </c>
      <c r="EK63" s="691"/>
    </row>
    <row r="64" ht="12.0" customHeight="1">
      <c r="A64" s="709" t="s">
        <v>3026</v>
      </c>
      <c r="B64" s="661">
        <v>2.0</v>
      </c>
      <c r="C64" s="567" t="s">
        <v>3027</v>
      </c>
      <c r="D64" s="568" t="s">
        <v>140</v>
      </c>
      <c r="E64" s="568" t="s">
        <v>2708</v>
      </c>
      <c r="F64" s="567" t="s">
        <v>1763</v>
      </c>
      <c r="G64" s="657" t="s">
        <v>2709</v>
      </c>
      <c r="H64" s="658"/>
      <c r="I64" s="787" t="s">
        <v>2369</v>
      </c>
      <c r="J64" s="711" t="s">
        <v>1735</v>
      </c>
      <c r="K64" s="567" t="s">
        <v>25</v>
      </c>
      <c r="L64" s="567"/>
      <c r="M64" s="567"/>
      <c r="N64" s="567"/>
      <c r="O64" s="567">
        <v>2024.0</v>
      </c>
      <c r="P64" s="567">
        <v>2024.0</v>
      </c>
      <c r="Q64" s="567">
        <v>2024.0</v>
      </c>
      <c r="R64" s="567"/>
      <c r="S64" s="567"/>
      <c r="T64" s="567"/>
      <c r="U64" s="567"/>
      <c r="V64" s="567"/>
      <c r="W64" s="567"/>
      <c r="X64" s="567"/>
      <c r="Y64" s="567"/>
      <c r="Z64" s="567">
        <v>3.0</v>
      </c>
      <c r="AA64" s="567">
        <v>3.0</v>
      </c>
      <c r="AB64" s="567">
        <v>3.0</v>
      </c>
      <c r="AC64" s="567"/>
      <c r="AD64" s="567"/>
      <c r="AE64" s="567"/>
      <c r="AF64" s="567"/>
      <c r="AG64" s="567"/>
      <c r="AH64" s="567"/>
      <c r="AI64" s="567"/>
      <c r="AJ64" s="567"/>
      <c r="AK64" s="567"/>
      <c r="AL64" s="567"/>
      <c r="AM64" s="567"/>
      <c r="AN64" s="567"/>
      <c r="AO64" s="567"/>
      <c r="AP64" s="567"/>
      <c r="AQ64" s="567"/>
      <c r="AR64" s="567">
        <v>0.0</v>
      </c>
      <c r="AS64" s="567">
        <v>0.0</v>
      </c>
      <c r="AT64" s="567">
        <v>0.0</v>
      </c>
      <c r="AU64" s="567">
        <v>-2024.0</v>
      </c>
      <c r="AV64" s="567">
        <v>-2024.0</v>
      </c>
      <c r="AW64" s="567">
        <v>-2024.0</v>
      </c>
      <c r="AX64" s="567">
        <v>0.0</v>
      </c>
      <c r="AY64" s="567">
        <v>0.0</v>
      </c>
      <c r="AZ64" s="567">
        <v>0.0</v>
      </c>
      <c r="BA64" s="567">
        <v>0.0</v>
      </c>
      <c r="BB64" s="567"/>
      <c r="BC64" s="567"/>
      <c r="BD64" s="567"/>
      <c r="BE64" s="567"/>
      <c r="BF64" s="567"/>
      <c r="BG64" s="567"/>
      <c r="BH64" s="567"/>
      <c r="BI64" s="567"/>
      <c r="BJ64" s="567"/>
      <c r="BK64" s="567"/>
      <c r="BL64" s="725"/>
      <c r="BM64" s="665">
        <f t="shared" si="1"/>
        <v>0</v>
      </c>
      <c r="BN64" s="671"/>
      <c r="BO64" s="668"/>
      <c r="BP64" s="668"/>
      <c r="BQ64" s="668"/>
      <c r="BR64" s="668"/>
      <c r="BS64" s="668"/>
      <c r="BT64" s="668"/>
      <c r="BU64" s="668"/>
      <c r="BV64" s="668"/>
      <c r="BW64" s="670"/>
      <c r="BX64" s="665">
        <f t="shared" si="2"/>
        <v>0</v>
      </c>
      <c r="BY64" s="671"/>
      <c r="BZ64" s="668"/>
      <c r="CA64" s="668"/>
      <c r="CB64" s="667">
        <v>4.0</v>
      </c>
      <c r="CC64" s="667">
        <v>4.0</v>
      </c>
      <c r="CD64" s="667">
        <v>4.0</v>
      </c>
      <c r="CE64" s="668"/>
      <c r="CF64" s="668"/>
      <c r="CG64" s="668"/>
      <c r="CH64" s="670"/>
      <c r="CI64" s="665">
        <f t="shared" si="3"/>
        <v>12</v>
      </c>
      <c r="CJ64" s="671">
        <f t="shared" si="4"/>
        <v>12</v>
      </c>
      <c r="CK64" s="715">
        <v>0.31</v>
      </c>
      <c r="CL64" s="668">
        <f t="shared" si="171"/>
        <v>2.1576</v>
      </c>
      <c r="CM64" s="668">
        <f t="shared" ref="CM64:CV64" si="191">BC64*$CL64</f>
        <v>0</v>
      </c>
      <c r="CN64" s="668">
        <f t="shared" si="191"/>
        <v>0</v>
      </c>
      <c r="CO64" s="668">
        <f t="shared" si="191"/>
        <v>0</v>
      </c>
      <c r="CP64" s="668">
        <f t="shared" si="191"/>
        <v>0</v>
      </c>
      <c r="CQ64" s="668">
        <f t="shared" si="191"/>
        <v>0</v>
      </c>
      <c r="CR64" s="668">
        <f t="shared" si="191"/>
        <v>0</v>
      </c>
      <c r="CS64" s="668">
        <f t="shared" si="191"/>
        <v>0</v>
      </c>
      <c r="CT64" s="668">
        <f t="shared" si="191"/>
        <v>0</v>
      </c>
      <c r="CU64" s="668">
        <f t="shared" si="191"/>
        <v>0</v>
      </c>
      <c r="CV64" s="668">
        <f t="shared" si="191"/>
        <v>0</v>
      </c>
      <c r="CW64" s="668">
        <f t="shared" si="21"/>
        <v>0</v>
      </c>
      <c r="CX64" s="668">
        <f t="shared" ref="CX64:DG64" si="192">BN64*$CL64</f>
        <v>0</v>
      </c>
      <c r="CY64" s="668">
        <f t="shared" si="192"/>
        <v>0</v>
      </c>
      <c r="CZ64" s="668">
        <f t="shared" si="192"/>
        <v>0</v>
      </c>
      <c r="DA64" s="668">
        <f t="shared" si="192"/>
        <v>0</v>
      </c>
      <c r="DB64" s="668">
        <f t="shared" si="192"/>
        <v>0</v>
      </c>
      <c r="DC64" s="668">
        <f t="shared" si="192"/>
        <v>0</v>
      </c>
      <c r="DD64" s="668">
        <f t="shared" si="192"/>
        <v>0</v>
      </c>
      <c r="DE64" s="668">
        <f t="shared" si="192"/>
        <v>0</v>
      </c>
      <c r="DF64" s="668">
        <f t="shared" si="192"/>
        <v>0</v>
      </c>
      <c r="DG64" s="668">
        <f t="shared" si="192"/>
        <v>0</v>
      </c>
      <c r="DH64" s="668">
        <f t="shared" si="23"/>
        <v>0</v>
      </c>
      <c r="DI64" s="668">
        <f t="shared" ref="DI64:DR64" si="193">BY64*$CL64</f>
        <v>0</v>
      </c>
      <c r="DJ64" s="668">
        <f t="shared" si="193"/>
        <v>0</v>
      </c>
      <c r="DK64" s="668">
        <f t="shared" si="193"/>
        <v>0</v>
      </c>
      <c r="DL64" s="668">
        <f t="shared" si="193"/>
        <v>8.6304</v>
      </c>
      <c r="DM64" s="668">
        <f t="shared" si="193"/>
        <v>8.6304</v>
      </c>
      <c r="DN64" s="668">
        <f t="shared" si="193"/>
        <v>8.6304</v>
      </c>
      <c r="DO64" s="668">
        <f t="shared" si="193"/>
        <v>0</v>
      </c>
      <c r="DP64" s="668">
        <f t="shared" si="193"/>
        <v>0</v>
      </c>
      <c r="DQ64" s="668">
        <f t="shared" si="193"/>
        <v>0</v>
      </c>
      <c r="DR64" s="668">
        <f t="shared" si="193"/>
        <v>0</v>
      </c>
      <c r="DS64" s="668">
        <f t="shared" si="25"/>
        <v>25.8912</v>
      </c>
      <c r="DT64" s="668">
        <f t="shared" si="175"/>
        <v>25.8912</v>
      </c>
      <c r="DU64" s="538"/>
      <c r="DV64" s="468" t="s">
        <v>3113</v>
      </c>
      <c r="DW64" s="575"/>
      <c r="DX64" s="575"/>
      <c r="DY64" s="575"/>
      <c r="DZ64" s="575"/>
      <c r="EA64" s="575"/>
      <c r="EB64" s="575"/>
      <c r="EC64" s="729"/>
      <c r="ED64" s="575"/>
      <c r="EE64" s="575"/>
      <c r="EF64" s="575"/>
      <c r="EG64" s="698"/>
      <c r="EH64" s="576" t="s">
        <v>3114</v>
      </c>
      <c r="EI64" s="716">
        <f>VLOOKUP(I64,CotizacionTDB,4,FALSE())</f>
        <v>0.31</v>
      </c>
      <c r="EJ64" s="716">
        <f>VLOOKUP(I64,CotizacionTDB,5,FALSE())</f>
        <v>0.26</v>
      </c>
      <c r="EK64" s="699"/>
    </row>
    <row r="65" ht="12.0" customHeight="1">
      <c r="A65" s="700" t="s">
        <v>3026</v>
      </c>
      <c r="B65" s="701">
        <v>2.0</v>
      </c>
      <c r="C65" s="562" t="s">
        <v>3027</v>
      </c>
      <c r="D65" s="571" t="s">
        <v>140</v>
      </c>
      <c r="E65" s="571" t="s">
        <v>2708</v>
      </c>
      <c r="F65" s="562" t="s">
        <v>1763</v>
      </c>
      <c r="G65" s="569" t="s">
        <v>2709</v>
      </c>
      <c r="H65" s="737"/>
      <c r="I65" s="703" t="s">
        <v>2415</v>
      </c>
      <c r="J65" s="704" t="s">
        <v>1753</v>
      </c>
      <c r="K65" s="562" t="s">
        <v>25</v>
      </c>
      <c r="L65" s="562"/>
      <c r="M65" s="562"/>
      <c r="N65" s="562"/>
      <c r="O65" s="562">
        <v>2024.0</v>
      </c>
      <c r="P65" s="562"/>
      <c r="Q65" s="562"/>
      <c r="R65" s="562"/>
      <c r="S65" s="562"/>
      <c r="T65" s="562"/>
      <c r="U65" s="562"/>
      <c r="V65" s="562"/>
      <c r="W65" s="562"/>
      <c r="X65" s="562"/>
      <c r="Y65" s="562"/>
      <c r="Z65" s="562">
        <v>3.0</v>
      </c>
      <c r="AA65" s="562"/>
      <c r="AB65" s="562"/>
      <c r="AC65" s="562"/>
      <c r="AD65" s="562"/>
      <c r="AE65" s="562"/>
      <c r="AF65" s="562"/>
      <c r="AG65" s="562"/>
      <c r="AH65" s="562"/>
      <c r="AI65" s="562"/>
      <c r="AJ65" s="562"/>
      <c r="AK65" s="562"/>
      <c r="AL65" s="562"/>
      <c r="AM65" s="562"/>
      <c r="AN65" s="562"/>
      <c r="AO65" s="562"/>
      <c r="AP65" s="562"/>
      <c r="AQ65" s="562"/>
      <c r="AR65" s="562">
        <v>0.0</v>
      </c>
      <c r="AS65" s="562">
        <v>0.0</v>
      </c>
      <c r="AT65" s="562">
        <v>0.0</v>
      </c>
      <c r="AU65" s="562">
        <v>-2024.0</v>
      </c>
      <c r="AV65" s="562">
        <v>0.0</v>
      </c>
      <c r="AW65" s="562">
        <v>0.0</v>
      </c>
      <c r="AX65" s="562">
        <v>0.0</v>
      </c>
      <c r="AY65" s="562">
        <v>0.0</v>
      </c>
      <c r="AZ65" s="562">
        <v>0.0</v>
      </c>
      <c r="BA65" s="562">
        <v>0.0</v>
      </c>
      <c r="BB65" s="562"/>
      <c r="BC65" s="562"/>
      <c r="BD65" s="562"/>
      <c r="BE65" s="562"/>
      <c r="BF65" s="562"/>
      <c r="BG65" s="562"/>
      <c r="BH65" s="562"/>
      <c r="BI65" s="562"/>
      <c r="BJ65" s="562"/>
      <c r="BK65" s="562"/>
      <c r="BL65" s="681"/>
      <c r="BM65" s="665">
        <f t="shared" si="1"/>
        <v>0</v>
      </c>
      <c r="BN65" s="682"/>
      <c r="BO65" s="683"/>
      <c r="BP65" s="683"/>
      <c r="BQ65" s="683"/>
      <c r="BR65" s="683"/>
      <c r="BS65" s="683"/>
      <c r="BT65" s="683"/>
      <c r="BU65" s="683"/>
      <c r="BV65" s="683"/>
      <c r="BW65" s="686"/>
      <c r="BX65" s="665">
        <f t="shared" si="2"/>
        <v>0</v>
      </c>
      <c r="BY65" s="734">
        <v>8.0</v>
      </c>
      <c r="BZ65" s="683"/>
      <c r="CA65" s="684">
        <v>8.0</v>
      </c>
      <c r="CB65" s="667">
        <v>6.0</v>
      </c>
      <c r="CC65" s="683"/>
      <c r="CD65" s="683"/>
      <c r="CE65" s="683"/>
      <c r="CF65" s="683"/>
      <c r="CG65" s="683"/>
      <c r="CH65" s="686"/>
      <c r="CI65" s="665">
        <f t="shared" si="3"/>
        <v>22</v>
      </c>
      <c r="CJ65" s="682">
        <f t="shared" si="4"/>
        <v>22</v>
      </c>
      <c r="CK65" s="706">
        <v>0.11</v>
      </c>
      <c r="CL65" s="683">
        <f t="shared" si="171"/>
        <v>0.7656</v>
      </c>
      <c r="CM65" s="683">
        <f t="shared" ref="CM65:CV65" si="194">BC65*$CL65</f>
        <v>0</v>
      </c>
      <c r="CN65" s="683">
        <f t="shared" si="194"/>
        <v>0</v>
      </c>
      <c r="CO65" s="683">
        <f t="shared" si="194"/>
        <v>0</v>
      </c>
      <c r="CP65" s="683">
        <f t="shared" si="194"/>
        <v>0</v>
      </c>
      <c r="CQ65" s="683">
        <f t="shared" si="194"/>
        <v>0</v>
      </c>
      <c r="CR65" s="683">
        <f t="shared" si="194"/>
        <v>0</v>
      </c>
      <c r="CS65" s="683">
        <f t="shared" si="194"/>
        <v>0</v>
      </c>
      <c r="CT65" s="683">
        <f t="shared" si="194"/>
        <v>0</v>
      </c>
      <c r="CU65" s="683">
        <f t="shared" si="194"/>
        <v>0</v>
      </c>
      <c r="CV65" s="683">
        <f t="shared" si="194"/>
        <v>0</v>
      </c>
      <c r="CW65" s="683">
        <f t="shared" si="21"/>
        <v>0</v>
      </c>
      <c r="CX65" s="683">
        <f t="shared" ref="CX65:DG65" si="195">BN65*$CL65</f>
        <v>0</v>
      </c>
      <c r="CY65" s="683">
        <f t="shared" si="195"/>
        <v>0</v>
      </c>
      <c r="CZ65" s="683">
        <f t="shared" si="195"/>
        <v>0</v>
      </c>
      <c r="DA65" s="683">
        <f t="shared" si="195"/>
        <v>0</v>
      </c>
      <c r="DB65" s="683">
        <f t="shared" si="195"/>
        <v>0</v>
      </c>
      <c r="DC65" s="683">
        <f t="shared" si="195"/>
        <v>0</v>
      </c>
      <c r="DD65" s="683">
        <f t="shared" si="195"/>
        <v>0</v>
      </c>
      <c r="DE65" s="683">
        <f t="shared" si="195"/>
        <v>0</v>
      </c>
      <c r="DF65" s="683">
        <f t="shared" si="195"/>
        <v>0</v>
      </c>
      <c r="DG65" s="683">
        <f t="shared" si="195"/>
        <v>0</v>
      </c>
      <c r="DH65" s="683">
        <f t="shared" si="23"/>
        <v>0</v>
      </c>
      <c r="DI65" s="683">
        <f t="shared" ref="DI65:DR65" si="196">BY65*$CL65</f>
        <v>6.1248</v>
      </c>
      <c r="DJ65" s="683">
        <f t="shared" si="196"/>
        <v>0</v>
      </c>
      <c r="DK65" s="683">
        <f t="shared" si="196"/>
        <v>6.1248</v>
      </c>
      <c r="DL65" s="683">
        <f t="shared" si="196"/>
        <v>4.5936</v>
      </c>
      <c r="DM65" s="683">
        <f t="shared" si="196"/>
        <v>0</v>
      </c>
      <c r="DN65" s="683">
        <f t="shared" si="196"/>
        <v>0</v>
      </c>
      <c r="DO65" s="683">
        <f t="shared" si="196"/>
        <v>0</v>
      </c>
      <c r="DP65" s="683">
        <f t="shared" si="196"/>
        <v>0</v>
      </c>
      <c r="DQ65" s="683">
        <f t="shared" si="196"/>
        <v>0</v>
      </c>
      <c r="DR65" s="683">
        <f t="shared" si="196"/>
        <v>0</v>
      </c>
      <c r="DS65" s="683">
        <f t="shared" si="25"/>
        <v>16.8432</v>
      </c>
      <c r="DT65" s="683">
        <f t="shared" si="175"/>
        <v>16.8432</v>
      </c>
      <c r="DU65" s="504"/>
      <c r="DV65" s="486" t="s">
        <v>3115</v>
      </c>
      <c r="DW65" s="570"/>
      <c r="DX65" s="788">
        <v>6.0</v>
      </c>
      <c r="DY65" s="570"/>
      <c r="DZ65" s="570"/>
      <c r="EA65" s="570"/>
      <c r="EB65" s="570"/>
      <c r="EC65" s="786"/>
      <c r="ED65" s="570"/>
      <c r="EE65" s="570"/>
      <c r="EF65" s="570"/>
      <c r="EG65" s="688"/>
      <c r="EH65" s="707" t="s">
        <v>3116</v>
      </c>
      <c r="EI65" s="708">
        <f>VLOOKUP(I65,CotizacionTDB,4,FALSE())</f>
        <v>0.11</v>
      </c>
      <c r="EJ65" s="708">
        <f>VLOOKUP(I65,CotizacionTDB,5,FALSE())</f>
        <v>0.09</v>
      </c>
      <c r="EK65" s="691"/>
    </row>
    <row r="66" ht="12.0" customHeight="1">
      <c r="A66" s="709" t="s">
        <v>3026</v>
      </c>
      <c r="B66" s="661">
        <v>2.0</v>
      </c>
      <c r="C66" s="567" t="s">
        <v>3027</v>
      </c>
      <c r="D66" s="568" t="s">
        <v>140</v>
      </c>
      <c r="E66" s="568" t="s">
        <v>2708</v>
      </c>
      <c r="F66" s="567" t="s">
        <v>1763</v>
      </c>
      <c r="G66" s="657" t="s">
        <v>2709</v>
      </c>
      <c r="H66" s="658"/>
      <c r="I66" s="721" t="s">
        <v>1892</v>
      </c>
      <c r="J66" s="711" t="s">
        <v>1743</v>
      </c>
      <c r="K66" s="567" t="s">
        <v>25</v>
      </c>
      <c r="L66" s="567"/>
      <c r="M66" s="567"/>
      <c r="N66" s="567"/>
      <c r="O66" s="567">
        <v>2024.0</v>
      </c>
      <c r="P66" s="567">
        <v>2024.0</v>
      </c>
      <c r="Q66" s="567">
        <v>2024.0</v>
      </c>
      <c r="R66" s="567"/>
      <c r="S66" s="567"/>
      <c r="T66" s="567"/>
      <c r="U66" s="567"/>
      <c r="V66" s="567"/>
      <c r="W66" s="567"/>
      <c r="X66" s="567"/>
      <c r="Y66" s="567"/>
      <c r="Z66" s="567">
        <v>3.0</v>
      </c>
      <c r="AA66" s="567">
        <v>3.0</v>
      </c>
      <c r="AB66" s="567">
        <v>3.0</v>
      </c>
      <c r="AC66" s="567"/>
      <c r="AD66" s="567"/>
      <c r="AE66" s="567"/>
      <c r="AF66" s="567"/>
      <c r="AG66" s="567"/>
      <c r="AH66" s="567"/>
      <c r="AI66" s="567"/>
      <c r="AJ66" s="567"/>
      <c r="AK66" s="567"/>
      <c r="AL66" s="567"/>
      <c r="AM66" s="567"/>
      <c r="AN66" s="567"/>
      <c r="AO66" s="567"/>
      <c r="AP66" s="567"/>
      <c r="AQ66" s="567"/>
      <c r="AR66" s="567">
        <v>0.0</v>
      </c>
      <c r="AS66" s="567">
        <v>0.0</v>
      </c>
      <c r="AT66" s="567">
        <v>0.0</v>
      </c>
      <c r="AU66" s="567">
        <v>-2024.0</v>
      </c>
      <c r="AV66" s="567">
        <v>-2024.0</v>
      </c>
      <c r="AW66" s="567">
        <v>-2024.0</v>
      </c>
      <c r="AX66" s="567">
        <v>0.0</v>
      </c>
      <c r="AY66" s="567">
        <v>0.0</v>
      </c>
      <c r="AZ66" s="567">
        <v>0.0</v>
      </c>
      <c r="BA66" s="567">
        <v>0.0</v>
      </c>
      <c r="BB66" s="567"/>
      <c r="BC66" s="567"/>
      <c r="BD66" s="567"/>
      <c r="BE66" s="567"/>
      <c r="BF66" s="567"/>
      <c r="BG66" s="567"/>
      <c r="BH66" s="567"/>
      <c r="BI66" s="567"/>
      <c r="BJ66" s="567"/>
      <c r="BK66" s="567"/>
      <c r="BL66" s="725"/>
      <c r="BM66" s="665">
        <f t="shared" si="1"/>
        <v>0</v>
      </c>
      <c r="BN66" s="671"/>
      <c r="BO66" s="668"/>
      <c r="BP66" s="668"/>
      <c r="BQ66" s="668"/>
      <c r="BR66" s="668"/>
      <c r="BS66" s="668"/>
      <c r="BT66" s="668"/>
      <c r="BU66" s="668"/>
      <c r="BV66" s="668"/>
      <c r="BW66" s="670"/>
      <c r="BX66" s="665">
        <f t="shared" si="2"/>
        <v>0</v>
      </c>
      <c r="BY66" s="671"/>
      <c r="BZ66" s="668"/>
      <c r="CA66" s="668"/>
      <c r="CB66" s="667">
        <v>6.0</v>
      </c>
      <c r="CC66" s="667">
        <v>6.0</v>
      </c>
      <c r="CD66" s="667">
        <v>6.0</v>
      </c>
      <c r="CE66" s="668"/>
      <c r="CF66" s="668"/>
      <c r="CG66" s="668"/>
      <c r="CH66" s="785"/>
      <c r="CI66" s="665">
        <f t="shared" si="3"/>
        <v>18</v>
      </c>
      <c r="CJ66" s="671">
        <f t="shared" si="4"/>
        <v>18</v>
      </c>
      <c r="CK66" s="715">
        <v>0.11</v>
      </c>
      <c r="CL66" s="668">
        <f t="shared" si="171"/>
        <v>0.7656</v>
      </c>
      <c r="CM66" s="668">
        <f t="shared" ref="CM66:CV66" si="197">BC66*$CL66</f>
        <v>0</v>
      </c>
      <c r="CN66" s="668">
        <f t="shared" si="197"/>
        <v>0</v>
      </c>
      <c r="CO66" s="668">
        <f t="shared" si="197"/>
        <v>0</v>
      </c>
      <c r="CP66" s="668">
        <f t="shared" si="197"/>
        <v>0</v>
      </c>
      <c r="CQ66" s="668">
        <f t="shared" si="197"/>
        <v>0</v>
      </c>
      <c r="CR66" s="668">
        <f t="shared" si="197"/>
        <v>0</v>
      </c>
      <c r="CS66" s="668">
        <f t="shared" si="197"/>
        <v>0</v>
      </c>
      <c r="CT66" s="668">
        <f t="shared" si="197"/>
        <v>0</v>
      </c>
      <c r="CU66" s="668">
        <f t="shared" si="197"/>
        <v>0</v>
      </c>
      <c r="CV66" s="668">
        <f t="shared" si="197"/>
        <v>0</v>
      </c>
      <c r="CW66" s="668">
        <f t="shared" si="21"/>
        <v>0</v>
      </c>
      <c r="CX66" s="668">
        <f t="shared" ref="CX66:DG66" si="198">BN66*$CL66</f>
        <v>0</v>
      </c>
      <c r="CY66" s="668">
        <f t="shared" si="198"/>
        <v>0</v>
      </c>
      <c r="CZ66" s="668">
        <f t="shared" si="198"/>
        <v>0</v>
      </c>
      <c r="DA66" s="668">
        <f t="shared" si="198"/>
        <v>0</v>
      </c>
      <c r="DB66" s="668">
        <f t="shared" si="198"/>
        <v>0</v>
      </c>
      <c r="DC66" s="668">
        <f t="shared" si="198"/>
        <v>0</v>
      </c>
      <c r="DD66" s="668">
        <f t="shared" si="198"/>
        <v>0</v>
      </c>
      <c r="DE66" s="668">
        <f t="shared" si="198"/>
        <v>0</v>
      </c>
      <c r="DF66" s="668">
        <f t="shared" si="198"/>
        <v>0</v>
      </c>
      <c r="DG66" s="668">
        <f t="shared" si="198"/>
        <v>0</v>
      </c>
      <c r="DH66" s="668">
        <f t="shared" si="23"/>
        <v>0</v>
      </c>
      <c r="DI66" s="668">
        <f t="shared" ref="DI66:DR66" si="199">BY66*$CL66</f>
        <v>0</v>
      </c>
      <c r="DJ66" s="668">
        <f t="shared" si="199"/>
        <v>0</v>
      </c>
      <c r="DK66" s="668">
        <f t="shared" si="199"/>
        <v>0</v>
      </c>
      <c r="DL66" s="668">
        <f t="shared" si="199"/>
        <v>4.5936</v>
      </c>
      <c r="DM66" s="668">
        <f t="shared" si="199"/>
        <v>4.5936</v>
      </c>
      <c r="DN66" s="668">
        <f t="shared" si="199"/>
        <v>4.5936</v>
      </c>
      <c r="DO66" s="668">
        <f t="shared" si="199"/>
        <v>0</v>
      </c>
      <c r="DP66" s="668">
        <f t="shared" si="199"/>
        <v>0</v>
      </c>
      <c r="DQ66" s="668">
        <f t="shared" si="199"/>
        <v>0</v>
      </c>
      <c r="DR66" s="668">
        <f t="shared" si="199"/>
        <v>0</v>
      </c>
      <c r="DS66" s="668">
        <f t="shared" si="25"/>
        <v>13.7808</v>
      </c>
      <c r="DT66" s="668">
        <f t="shared" si="175"/>
        <v>13.7808</v>
      </c>
      <c r="DU66" s="538"/>
      <c r="DV66" s="468"/>
      <c r="DW66" s="575"/>
      <c r="DX66" s="575"/>
      <c r="DY66" s="575"/>
      <c r="DZ66" s="575"/>
      <c r="EA66" s="575"/>
      <c r="EB66" s="575"/>
      <c r="EC66" s="729"/>
      <c r="ED66" s="575"/>
      <c r="EE66" s="575"/>
      <c r="EF66" s="789">
        <v>6.0</v>
      </c>
      <c r="EG66" s="698"/>
      <c r="EH66" s="576" t="s">
        <v>3117</v>
      </c>
      <c r="EI66" s="716">
        <f>VLOOKUP(I66,CotizacionTDB,4,FALSE())</f>
        <v>0.11</v>
      </c>
      <c r="EJ66" s="716">
        <f>VLOOKUP(I66,CotizacionTDB,5,FALSE())</f>
        <v>0.09</v>
      </c>
      <c r="EK66" s="699"/>
    </row>
    <row r="67" ht="12.0" customHeight="1">
      <c r="A67" s="700" t="s">
        <v>3026</v>
      </c>
      <c r="B67" s="701">
        <v>2.0</v>
      </c>
      <c r="C67" s="562" t="s">
        <v>3027</v>
      </c>
      <c r="D67" s="571" t="s">
        <v>140</v>
      </c>
      <c r="E67" s="571" t="s">
        <v>2708</v>
      </c>
      <c r="F67" s="562" t="s">
        <v>1763</v>
      </c>
      <c r="G67" s="702" t="s">
        <v>2709</v>
      </c>
      <c r="H67" s="737"/>
      <c r="I67" s="703" t="s">
        <v>1891</v>
      </c>
      <c r="J67" s="704" t="s">
        <v>1748</v>
      </c>
      <c r="K67" s="562" t="s">
        <v>25</v>
      </c>
      <c r="L67" s="562"/>
      <c r="M67" s="562"/>
      <c r="N67" s="562"/>
      <c r="O67" s="562">
        <v>2024.0</v>
      </c>
      <c r="P67" s="562">
        <v>2024.0</v>
      </c>
      <c r="Q67" s="562">
        <v>2024.0</v>
      </c>
      <c r="R67" s="562"/>
      <c r="S67" s="562"/>
      <c r="T67" s="562"/>
      <c r="U67" s="562"/>
      <c r="V67" s="562"/>
      <c r="W67" s="562"/>
      <c r="X67" s="562"/>
      <c r="Y67" s="562"/>
      <c r="Z67" s="562">
        <v>3.0</v>
      </c>
      <c r="AA67" s="562">
        <v>3.0</v>
      </c>
      <c r="AB67" s="562">
        <v>3.0</v>
      </c>
      <c r="AC67" s="562"/>
      <c r="AD67" s="562"/>
      <c r="AE67" s="562"/>
      <c r="AF67" s="562"/>
      <c r="AG67" s="562"/>
      <c r="AH67" s="562"/>
      <c r="AI67" s="562"/>
      <c r="AJ67" s="562"/>
      <c r="AK67" s="562"/>
      <c r="AL67" s="562"/>
      <c r="AM67" s="562"/>
      <c r="AN67" s="562"/>
      <c r="AO67" s="562"/>
      <c r="AP67" s="562"/>
      <c r="AQ67" s="562"/>
      <c r="AR67" s="562">
        <v>0.0</v>
      </c>
      <c r="AS67" s="562">
        <v>0.0</v>
      </c>
      <c r="AT67" s="562">
        <v>0.0</v>
      </c>
      <c r="AU67" s="562">
        <v>-2024.0</v>
      </c>
      <c r="AV67" s="562">
        <v>-2024.0</v>
      </c>
      <c r="AW67" s="562">
        <v>-2024.0</v>
      </c>
      <c r="AX67" s="562">
        <v>0.0</v>
      </c>
      <c r="AY67" s="562">
        <v>0.0</v>
      </c>
      <c r="AZ67" s="562">
        <v>0.0</v>
      </c>
      <c r="BA67" s="562">
        <v>0.0</v>
      </c>
      <c r="BB67" s="562"/>
      <c r="BC67" s="562"/>
      <c r="BD67" s="562"/>
      <c r="BE67" s="562"/>
      <c r="BF67" s="562"/>
      <c r="BG67" s="562"/>
      <c r="BH67" s="562"/>
      <c r="BI67" s="562"/>
      <c r="BJ67" s="562"/>
      <c r="BK67" s="562"/>
      <c r="BL67" s="681"/>
      <c r="BM67" s="665">
        <f t="shared" si="1"/>
        <v>0</v>
      </c>
      <c r="BN67" s="682"/>
      <c r="BO67" s="683"/>
      <c r="BP67" s="683"/>
      <c r="BQ67" s="683"/>
      <c r="BR67" s="683"/>
      <c r="BS67" s="683"/>
      <c r="BT67" s="683"/>
      <c r="BU67" s="683"/>
      <c r="BV67" s="683"/>
      <c r="BW67" s="686"/>
      <c r="BX67" s="665">
        <f t="shared" si="2"/>
        <v>0</v>
      </c>
      <c r="BY67" s="682"/>
      <c r="BZ67" s="683"/>
      <c r="CA67" s="683"/>
      <c r="CB67" s="667">
        <v>6.0</v>
      </c>
      <c r="CC67" s="667">
        <v>6.0</v>
      </c>
      <c r="CD67" s="667">
        <v>6.0</v>
      </c>
      <c r="CE67" s="683"/>
      <c r="CF67" s="683"/>
      <c r="CG67" s="683"/>
      <c r="CH67" s="790"/>
      <c r="CI67" s="665">
        <f t="shared" si="3"/>
        <v>18</v>
      </c>
      <c r="CJ67" s="682">
        <f t="shared" si="4"/>
        <v>18</v>
      </c>
      <c r="CK67" s="706">
        <v>0.08</v>
      </c>
      <c r="CL67" s="683">
        <f t="shared" si="171"/>
        <v>0.5568</v>
      </c>
      <c r="CM67" s="683">
        <f t="shared" ref="CM67:CV67" si="200">BC67*$CL67</f>
        <v>0</v>
      </c>
      <c r="CN67" s="683">
        <f t="shared" si="200"/>
        <v>0</v>
      </c>
      <c r="CO67" s="683">
        <f t="shared" si="200"/>
        <v>0</v>
      </c>
      <c r="CP67" s="683">
        <f t="shared" si="200"/>
        <v>0</v>
      </c>
      <c r="CQ67" s="683">
        <f t="shared" si="200"/>
        <v>0</v>
      </c>
      <c r="CR67" s="683">
        <f t="shared" si="200"/>
        <v>0</v>
      </c>
      <c r="CS67" s="683">
        <f t="shared" si="200"/>
        <v>0</v>
      </c>
      <c r="CT67" s="683">
        <f t="shared" si="200"/>
        <v>0</v>
      </c>
      <c r="CU67" s="683">
        <f t="shared" si="200"/>
        <v>0</v>
      </c>
      <c r="CV67" s="683">
        <f t="shared" si="200"/>
        <v>0</v>
      </c>
      <c r="CW67" s="683">
        <f t="shared" si="21"/>
        <v>0</v>
      </c>
      <c r="CX67" s="683">
        <f t="shared" ref="CX67:DG67" si="201">BN67*$CL67</f>
        <v>0</v>
      </c>
      <c r="CY67" s="683">
        <f t="shared" si="201"/>
        <v>0</v>
      </c>
      <c r="CZ67" s="683">
        <f t="shared" si="201"/>
        <v>0</v>
      </c>
      <c r="DA67" s="683">
        <f t="shared" si="201"/>
        <v>0</v>
      </c>
      <c r="DB67" s="683">
        <f t="shared" si="201"/>
        <v>0</v>
      </c>
      <c r="DC67" s="683">
        <f t="shared" si="201"/>
        <v>0</v>
      </c>
      <c r="DD67" s="683">
        <f t="shared" si="201"/>
        <v>0</v>
      </c>
      <c r="DE67" s="683">
        <f t="shared" si="201"/>
        <v>0</v>
      </c>
      <c r="DF67" s="683">
        <f t="shared" si="201"/>
        <v>0</v>
      </c>
      <c r="DG67" s="683">
        <f t="shared" si="201"/>
        <v>0</v>
      </c>
      <c r="DH67" s="683">
        <f t="shared" si="23"/>
        <v>0</v>
      </c>
      <c r="DI67" s="683">
        <f t="shared" ref="DI67:DR67" si="202">BY67*$CL67</f>
        <v>0</v>
      </c>
      <c r="DJ67" s="683">
        <f t="shared" si="202"/>
        <v>0</v>
      </c>
      <c r="DK67" s="683">
        <f t="shared" si="202"/>
        <v>0</v>
      </c>
      <c r="DL67" s="683">
        <f t="shared" si="202"/>
        <v>3.3408</v>
      </c>
      <c r="DM67" s="683">
        <f t="shared" si="202"/>
        <v>3.3408</v>
      </c>
      <c r="DN67" s="683">
        <f t="shared" si="202"/>
        <v>3.3408</v>
      </c>
      <c r="DO67" s="683">
        <f t="shared" si="202"/>
        <v>0</v>
      </c>
      <c r="DP67" s="683">
        <f t="shared" si="202"/>
        <v>0</v>
      </c>
      <c r="DQ67" s="683">
        <f t="shared" si="202"/>
        <v>0</v>
      </c>
      <c r="DR67" s="683">
        <f t="shared" si="202"/>
        <v>0</v>
      </c>
      <c r="DS67" s="683">
        <f t="shared" si="25"/>
        <v>10.0224</v>
      </c>
      <c r="DT67" s="683">
        <f t="shared" si="175"/>
        <v>10.0224</v>
      </c>
      <c r="DU67" s="504"/>
      <c r="DV67" s="486"/>
      <c r="DW67" s="570"/>
      <c r="DX67" s="570"/>
      <c r="DY67" s="570"/>
      <c r="DZ67" s="570"/>
      <c r="EA67" s="570"/>
      <c r="EB67" s="570"/>
      <c r="EC67" s="786"/>
      <c r="ED67" s="570"/>
      <c r="EE67" s="570"/>
      <c r="EF67" s="789">
        <v>6.0</v>
      </c>
      <c r="EG67" s="688"/>
      <c r="EH67" s="707" t="s">
        <v>3118</v>
      </c>
      <c r="EI67" s="708">
        <f>VLOOKUP(I67,CotizacionTDB,4,FALSE())</f>
        <v>0.08</v>
      </c>
      <c r="EJ67" s="708">
        <f>VLOOKUP(I67,CotizacionTDB,5,FALSE())</f>
        <v>0.07</v>
      </c>
      <c r="EK67" s="691"/>
    </row>
    <row r="68" ht="12.0" customHeight="1">
      <c r="A68" s="709" t="s">
        <v>3026</v>
      </c>
      <c r="B68" s="661"/>
      <c r="C68" s="567" t="s">
        <v>3027</v>
      </c>
      <c r="D68" s="568" t="s">
        <v>140</v>
      </c>
      <c r="E68" s="568" t="s">
        <v>2708</v>
      </c>
      <c r="F68" s="567" t="s">
        <v>1763</v>
      </c>
      <c r="G68" s="657" t="s">
        <v>2709</v>
      </c>
      <c r="H68" s="569" t="s">
        <v>3119</v>
      </c>
      <c r="I68" s="659">
        <v>1.0966162E7</v>
      </c>
      <c r="J68" s="568" t="s">
        <v>1037</v>
      </c>
      <c r="K68" s="567" t="s">
        <v>25</v>
      </c>
      <c r="L68" s="567"/>
      <c r="M68" s="567"/>
      <c r="N68" s="567"/>
      <c r="O68" s="567">
        <v>2024.0</v>
      </c>
      <c r="P68" s="567">
        <v>2024.0</v>
      </c>
      <c r="Q68" s="567">
        <v>2024.0</v>
      </c>
      <c r="R68" s="567"/>
      <c r="S68" s="567"/>
      <c r="T68" s="567"/>
      <c r="U68" s="567"/>
      <c r="V68" s="567"/>
      <c r="W68" s="567"/>
      <c r="X68" s="567"/>
      <c r="Y68" s="567"/>
      <c r="Z68" s="567">
        <v>3.0</v>
      </c>
      <c r="AA68" s="567">
        <v>3.0</v>
      </c>
      <c r="AB68" s="567">
        <v>3.0</v>
      </c>
      <c r="AC68" s="567"/>
      <c r="AD68" s="567"/>
      <c r="AE68" s="567"/>
      <c r="AF68" s="567"/>
      <c r="AG68" s="567"/>
      <c r="AH68" s="567"/>
      <c r="AI68" s="567"/>
      <c r="AJ68" s="567"/>
      <c r="AK68" s="567"/>
      <c r="AL68" s="567"/>
      <c r="AM68" s="567"/>
      <c r="AN68" s="567"/>
      <c r="AO68" s="567"/>
      <c r="AP68" s="567"/>
      <c r="AQ68" s="567"/>
      <c r="AR68" s="567">
        <v>0.0</v>
      </c>
      <c r="AS68" s="567">
        <v>0.0</v>
      </c>
      <c r="AT68" s="567">
        <v>0.0</v>
      </c>
      <c r="AU68" s="567">
        <v>-2024.0</v>
      </c>
      <c r="AV68" s="567">
        <v>-2024.0</v>
      </c>
      <c r="AW68" s="567">
        <v>-2024.0</v>
      </c>
      <c r="AX68" s="567">
        <v>0.0</v>
      </c>
      <c r="AY68" s="567">
        <v>0.0</v>
      </c>
      <c r="AZ68" s="567">
        <v>0.0</v>
      </c>
      <c r="BA68" s="567">
        <v>0.0</v>
      </c>
      <c r="BB68" s="567"/>
      <c r="BC68" s="791"/>
      <c r="BD68" s="567"/>
      <c r="BE68" s="567"/>
      <c r="BF68" s="567"/>
      <c r="BG68" s="567"/>
      <c r="BH68" s="567"/>
      <c r="BI68" s="567"/>
      <c r="BJ68" s="567"/>
      <c r="BK68" s="567"/>
      <c r="BL68" s="725"/>
      <c r="BM68" s="665">
        <f t="shared" si="1"/>
        <v>0</v>
      </c>
      <c r="BN68" s="671"/>
      <c r="BO68" s="668"/>
      <c r="BP68" s="668"/>
      <c r="BQ68" s="668"/>
      <c r="BR68" s="668"/>
      <c r="BS68" s="668"/>
      <c r="BT68" s="668"/>
      <c r="BU68" s="668"/>
      <c r="BV68" s="668"/>
      <c r="BW68" s="670"/>
      <c r="BX68" s="665">
        <f t="shared" si="2"/>
        <v>0</v>
      </c>
      <c r="BY68" s="671">
        <v>0.0</v>
      </c>
      <c r="BZ68" s="668">
        <v>0.0</v>
      </c>
      <c r="CA68" s="668">
        <v>0.0</v>
      </c>
      <c r="CB68" s="668">
        <v>0.0</v>
      </c>
      <c r="CC68" s="668">
        <v>0.0</v>
      </c>
      <c r="CD68" s="668">
        <v>0.0</v>
      </c>
      <c r="CE68" s="668">
        <v>0.0</v>
      </c>
      <c r="CF68" s="668">
        <v>0.0</v>
      </c>
      <c r="CG68" s="668">
        <v>0.0</v>
      </c>
      <c r="CH68" s="670">
        <v>0.0</v>
      </c>
      <c r="CI68" s="665">
        <f t="shared" si="3"/>
        <v>0</v>
      </c>
      <c r="CJ68" s="671">
        <f t="shared" si="4"/>
        <v>0</v>
      </c>
      <c r="CK68" s="674">
        <v>100.26</v>
      </c>
      <c r="CL68" s="668">
        <v>698.8122</v>
      </c>
      <c r="CM68" s="668">
        <f t="shared" ref="CM68:CV68" si="203">BC68*$CL68</f>
        <v>0</v>
      </c>
      <c r="CN68" s="668">
        <f t="shared" si="203"/>
        <v>0</v>
      </c>
      <c r="CO68" s="668">
        <f t="shared" si="203"/>
        <v>0</v>
      </c>
      <c r="CP68" s="668">
        <f t="shared" si="203"/>
        <v>0</v>
      </c>
      <c r="CQ68" s="668">
        <f t="shared" si="203"/>
        <v>0</v>
      </c>
      <c r="CR68" s="668">
        <f t="shared" si="203"/>
        <v>0</v>
      </c>
      <c r="CS68" s="668">
        <f t="shared" si="203"/>
        <v>0</v>
      </c>
      <c r="CT68" s="668">
        <f t="shared" si="203"/>
        <v>0</v>
      </c>
      <c r="CU68" s="668">
        <f t="shared" si="203"/>
        <v>0</v>
      </c>
      <c r="CV68" s="668">
        <f t="shared" si="203"/>
        <v>0</v>
      </c>
      <c r="CW68" s="668">
        <f t="shared" si="21"/>
        <v>0</v>
      </c>
      <c r="CX68" s="668">
        <f t="shared" ref="CX68:DG68" si="204">BN68*$CL68</f>
        <v>0</v>
      </c>
      <c r="CY68" s="668">
        <f t="shared" si="204"/>
        <v>0</v>
      </c>
      <c r="CZ68" s="668">
        <f t="shared" si="204"/>
        <v>0</v>
      </c>
      <c r="DA68" s="668">
        <f t="shared" si="204"/>
        <v>0</v>
      </c>
      <c r="DB68" s="668">
        <f t="shared" si="204"/>
        <v>0</v>
      </c>
      <c r="DC68" s="668">
        <f t="shared" si="204"/>
        <v>0</v>
      </c>
      <c r="DD68" s="668">
        <f t="shared" si="204"/>
        <v>0</v>
      </c>
      <c r="DE68" s="668">
        <f t="shared" si="204"/>
        <v>0</v>
      </c>
      <c r="DF68" s="668">
        <f t="shared" si="204"/>
        <v>0</v>
      </c>
      <c r="DG68" s="668">
        <f t="shared" si="204"/>
        <v>0</v>
      </c>
      <c r="DH68" s="668">
        <f t="shared" si="23"/>
        <v>0</v>
      </c>
      <c r="DI68" s="668">
        <f t="shared" ref="DI68:DR68" si="205">BY68*$CL68</f>
        <v>0</v>
      </c>
      <c r="DJ68" s="668">
        <f t="shared" si="205"/>
        <v>0</v>
      </c>
      <c r="DK68" s="668">
        <f t="shared" si="205"/>
        <v>0</v>
      </c>
      <c r="DL68" s="668">
        <f t="shared" si="205"/>
        <v>0</v>
      </c>
      <c r="DM68" s="668">
        <f t="shared" si="205"/>
        <v>0</v>
      </c>
      <c r="DN68" s="668">
        <f t="shared" si="205"/>
        <v>0</v>
      </c>
      <c r="DO68" s="668">
        <f t="shared" si="205"/>
        <v>0</v>
      </c>
      <c r="DP68" s="668">
        <f t="shared" si="205"/>
        <v>0</v>
      </c>
      <c r="DQ68" s="668">
        <f t="shared" si="205"/>
        <v>0</v>
      </c>
      <c r="DR68" s="668">
        <f t="shared" si="205"/>
        <v>0</v>
      </c>
      <c r="DS68" s="668">
        <f t="shared" si="25"/>
        <v>0</v>
      </c>
      <c r="DT68" s="668">
        <f t="shared" si="175"/>
        <v>0</v>
      </c>
      <c r="DU68" s="792"/>
      <c r="DV68" s="675" t="s">
        <v>3120</v>
      </c>
      <c r="DW68" s="676"/>
      <c r="DX68" s="676"/>
      <c r="DY68" s="676"/>
      <c r="DZ68" s="676"/>
      <c r="EA68" s="676"/>
      <c r="EB68" s="676"/>
      <c r="EC68" s="676"/>
      <c r="ED68" s="676"/>
      <c r="EE68" s="676"/>
      <c r="EF68" s="676"/>
      <c r="EG68" s="676"/>
      <c r="EH68" s="677">
        <f t="shared" ref="EH68:EH72" si="209">CK68*6.97</f>
        <v>698.8122</v>
      </c>
      <c r="EI68" s="678">
        <v>1.0</v>
      </c>
      <c r="EJ68" s="699"/>
      <c r="EK68" s="699"/>
    </row>
    <row r="69" ht="12.0" customHeight="1">
      <c r="A69" s="700" t="s">
        <v>3026</v>
      </c>
      <c r="B69" s="701"/>
      <c r="C69" s="562" t="s">
        <v>3027</v>
      </c>
      <c r="D69" s="571" t="s">
        <v>140</v>
      </c>
      <c r="E69" s="571" t="s">
        <v>2708</v>
      </c>
      <c r="F69" s="562" t="s">
        <v>1763</v>
      </c>
      <c r="G69" s="569" t="s">
        <v>2709</v>
      </c>
      <c r="H69" s="737"/>
      <c r="I69" s="768">
        <v>1.1651921E7</v>
      </c>
      <c r="J69" s="571" t="s">
        <v>3121</v>
      </c>
      <c r="K69" s="562" t="s">
        <v>25</v>
      </c>
      <c r="L69" s="562">
        <v>2024.0</v>
      </c>
      <c r="M69" s="562"/>
      <c r="N69" s="562"/>
      <c r="O69" s="562"/>
      <c r="P69" s="562"/>
      <c r="Q69" s="562"/>
      <c r="R69" s="562"/>
      <c r="S69" s="562"/>
      <c r="T69" s="562"/>
      <c r="U69" s="562"/>
      <c r="V69" s="562"/>
      <c r="W69" s="562">
        <v>3.0</v>
      </c>
      <c r="X69" s="562"/>
      <c r="Y69" s="562"/>
      <c r="Z69" s="562"/>
      <c r="AA69" s="562"/>
      <c r="AB69" s="562"/>
      <c r="AC69" s="562"/>
      <c r="AD69" s="562"/>
      <c r="AE69" s="562"/>
      <c r="AF69" s="562"/>
      <c r="AG69" s="562"/>
      <c r="AH69" s="562"/>
      <c r="AI69" s="562"/>
      <c r="AJ69" s="562"/>
      <c r="AK69" s="562"/>
      <c r="AL69" s="562"/>
      <c r="AM69" s="562"/>
      <c r="AN69" s="562"/>
      <c r="AO69" s="562"/>
      <c r="AP69" s="562"/>
      <c r="AQ69" s="562"/>
      <c r="AR69" s="562">
        <v>-2024.0</v>
      </c>
      <c r="AS69" s="562">
        <v>0.0</v>
      </c>
      <c r="AT69" s="562">
        <v>0.0</v>
      </c>
      <c r="AU69" s="562">
        <v>0.0</v>
      </c>
      <c r="AV69" s="562">
        <v>0.0</v>
      </c>
      <c r="AW69" s="562">
        <v>0.0</v>
      </c>
      <c r="AX69" s="562">
        <v>0.0</v>
      </c>
      <c r="AY69" s="562">
        <v>0.0</v>
      </c>
      <c r="AZ69" s="562">
        <v>0.0</v>
      </c>
      <c r="BA69" s="562">
        <v>0.0</v>
      </c>
      <c r="BB69" s="562"/>
      <c r="BC69" s="562"/>
      <c r="BD69" s="562"/>
      <c r="BE69" s="562"/>
      <c r="BF69" s="562"/>
      <c r="BG69" s="562"/>
      <c r="BH69" s="562"/>
      <c r="BI69" s="562"/>
      <c r="BJ69" s="562"/>
      <c r="BK69" s="562"/>
      <c r="BL69" s="681"/>
      <c r="BM69" s="665">
        <f t="shared" si="1"/>
        <v>0</v>
      </c>
      <c r="BN69" s="778"/>
      <c r="BO69" s="683"/>
      <c r="BP69" s="793"/>
      <c r="BQ69" s="683"/>
      <c r="BR69" s="683"/>
      <c r="BS69" s="683"/>
      <c r="BT69" s="683"/>
      <c r="BU69" s="683"/>
      <c r="BV69" s="683"/>
      <c r="BW69" s="686"/>
      <c r="BX69" s="665">
        <f t="shared" si="2"/>
        <v>0</v>
      </c>
      <c r="BY69" s="682">
        <v>0.0</v>
      </c>
      <c r="BZ69" s="683">
        <v>0.0</v>
      </c>
      <c r="CA69" s="683">
        <v>0.0</v>
      </c>
      <c r="CB69" s="683">
        <v>0.0</v>
      </c>
      <c r="CC69" s="683">
        <v>0.0</v>
      </c>
      <c r="CD69" s="683">
        <v>0.0</v>
      </c>
      <c r="CE69" s="683">
        <v>0.0</v>
      </c>
      <c r="CF69" s="683">
        <v>0.0</v>
      </c>
      <c r="CG69" s="683">
        <v>0.0</v>
      </c>
      <c r="CH69" s="686">
        <v>0.0</v>
      </c>
      <c r="CI69" s="665">
        <f t="shared" si="3"/>
        <v>0</v>
      </c>
      <c r="CJ69" s="682">
        <f t="shared" si="4"/>
        <v>0</v>
      </c>
      <c r="CK69" s="683"/>
      <c r="CL69" s="683">
        <v>111327.4886</v>
      </c>
      <c r="CM69" s="683">
        <f t="shared" ref="CM69:CV69" si="206">BC69*$CL69</f>
        <v>0</v>
      </c>
      <c r="CN69" s="683">
        <f t="shared" si="206"/>
        <v>0</v>
      </c>
      <c r="CO69" s="683">
        <f t="shared" si="206"/>
        <v>0</v>
      </c>
      <c r="CP69" s="683">
        <f t="shared" si="206"/>
        <v>0</v>
      </c>
      <c r="CQ69" s="683">
        <f t="shared" si="206"/>
        <v>0</v>
      </c>
      <c r="CR69" s="683">
        <f t="shared" si="206"/>
        <v>0</v>
      </c>
      <c r="CS69" s="683">
        <f t="shared" si="206"/>
        <v>0</v>
      </c>
      <c r="CT69" s="683">
        <f t="shared" si="206"/>
        <v>0</v>
      </c>
      <c r="CU69" s="683">
        <f t="shared" si="206"/>
        <v>0</v>
      </c>
      <c r="CV69" s="683">
        <f t="shared" si="206"/>
        <v>0</v>
      </c>
      <c r="CW69" s="683">
        <f t="shared" si="21"/>
        <v>0</v>
      </c>
      <c r="CX69" s="683">
        <f t="shared" ref="CX69:DG69" si="207">BN69*$CL69</f>
        <v>0</v>
      </c>
      <c r="CY69" s="683">
        <f t="shared" si="207"/>
        <v>0</v>
      </c>
      <c r="CZ69" s="683">
        <f t="shared" si="207"/>
        <v>0</v>
      </c>
      <c r="DA69" s="683">
        <f t="shared" si="207"/>
        <v>0</v>
      </c>
      <c r="DB69" s="683">
        <f t="shared" si="207"/>
        <v>0</v>
      </c>
      <c r="DC69" s="683">
        <f t="shared" si="207"/>
        <v>0</v>
      </c>
      <c r="DD69" s="683">
        <f t="shared" si="207"/>
        <v>0</v>
      </c>
      <c r="DE69" s="683">
        <f t="shared" si="207"/>
        <v>0</v>
      </c>
      <c r="DF69" s="683">
        <f t="shared" si="207"/>
        <v>0</v>
      </c>
      <c r="DG69" s="683">
        <f t="shared" si="207"/>
        <v>0</v>
      </c>
      <c r="DH69" s="683">
        <f t="shared" si="23"/>
        <v>0</v>
      </c>
      <c r="DI69" s="683">
        <f t="shared" ref="DI69:DR69" si="208">BY69*$CL69</f>
        <v>0</v>
      </c>
      <c r="DJ69" s="683">
        <f t="shared" si="208"/>
        <v>0</v>
      </c>
      <c r="DK69" s="683">
        <f t="shared" si="208"/>
        <v>0</v>
      </c>
      <c r="DL69" s="683">
        <f t="shared" si="208"/>
        <v>0</v>
      </c>
      <c r="DM69" s="683">
        <f t="shared" si="208"/>
        <v>0</v>
      </c>
      <c r="DN69" s="683">
        <f t="shared" si="208"/>
        <v>0</v>
      </c>
      <c r="DO69" s="683">
        <f t="shared" si="208"/>
        <v>0</v>
      </c>
      <c r="DP69" s="683">
        <f t="shared" si="208"/>
        <v>0</v>
      </c>
      <c r="DQ69" s="683">
        <f t="shared" si="208"/>
        <v>0</v>
      </c>
      <c r="DR69" s="683">
        <f t="shared" si="208"/>
        <v>0</v>
      </c>
      <c r="DS69" s="683">
        <f t="shared" si="25"/>
        <v>0</v>
      </c>
      <c r="DT69" s="683">
        <f t="shared" si="175"/>
        <v>0</v>
      </c>
      <c r="DU69" s="504"/>
      <c r="DV69" s="486"/>
      <c r="DW69" s="688"/>
      <c r="DX69" s="688"/>
      <c r="DY69" s="688"/>
      <c r="DZ69" s="688"/>
      <c r="EA69" s="688"/>
      <c r="EB69" s="688"/>
      <c r="EC69" s="688"/>
      <c r="ED69" s="688"/>
      <c r="EE69" s="688"/>
      <c r="EF69" s="688"/>
      <c r="EG69" s="688"/>
      <c r="EH69" s="689">
        <f t="shared" si="209"/>
        <v>0</v>
      </c>
      <c r="EI69" s="690">
        <v>1.0</v>
      </c>
      <c r="EJ69" s="691"/>
      <c r="EK69" s="691"/>
    </row>
    <row r="70" ht="12.0" customHeight="1">
      <c r="A70" s="709" t="s">
        <v>3026</v>
      </c>
      <c r="B70" s="661">
        <v>39.0</v>
      </c>
      <c r="C70" s="567" t="s">
        <v>3122</v>
      </c>
      <c r="D70" s="567" t="s">
        <v>1810</v>
      </c>
      <c r="E70" s="567" t="s">
        <v>2722</v>
      </c>
      <c r="F70" s="567" t="s">
        <v>1774</v>
      </c>
      <c r="G70" s="794" t="s">
        <v>2723</v>
      </c>
      <c r="H70" s="795" t="s">
        <v>3123</v>
      </c>
      <c r="I70" s="567"/>
      <c r="J70" s="568" t="s">
        <v>3124</v>
      </c>
      <c r="K70" s="567" t="s">
        <v>25</v>
      </c>
      <c r="L70" s="567">
        <v>2024.0</v>
      </c>
      <c r="M70" s="567">
        <v>2024.0</v>
      </c>
      <c r="N70" s="567">
        <v>2024.0</v>
      </c>
      <c r="O70" s="567"/>
      <c r="P70" s="567"/>
      <c r="Q70" s="567"/>
      <c r="R70" s="567"/>
      <c r="S70" s="567"/>
      <c r="T70" s="567"/>
      <c r="U70" s="567"/>
      <c r="V70" s="567"/>
      <c r="W70" s="567">
        <v>5.0</v>
      </c>
      <c r="X70" s="567">
        <v>5.0</v>
      </c>
      <c r="Y70" s="567">
        <v>5.0</v>
      </c>
      <c r="Z70" s="567"/>
      <c r="AA70" s="567"/>
      <c r="AB70" s="567"/>
      <c r="AC70" s="567"/>
      <c r="AD70" s="567"/>
      <c r="AE70" s="567"/>
      <c r="AF70" s="567"/>
      <c r="AG70" s="567"/>
      <c r="AH70" s="567"/>
      <c r="AI70" s="567"/>
      <c r="AJ70" s="567"/>
      <c r="AK70" s="567"/>
      <c r="AL70" s="567"/>
      <c r="AM70" s="567"/>
      <c r="AN70" s="567"/>
      <c r="AO70" s="567"/>
      <c r="AP70" s="567"/>
      <c r="AQ70" s="567"/>
      <c r="AR70" s="567">
        <v>-2024.0</v>
      </c>
      <c r="AS70" s="567">
        <v>-2024.0</v>
      </c>
      <c r="AT70" s="567">
        <v>-2024.0</v>
      </c>
      <c r="AU70" s="567">
        <v>0.0</v>
      </c>
      <c r="AV70" s="567">
        <v>0.0</v>
      </c>
      <c r="AW70" s="567">
        <v>0.0</v>
      </c>
      <c r="AX70" s="567">
        <v>0.0</v>
      </c>
      <c r="AY70" s="567">
        <v>0.0</v>
      </c>
      <c r="AZ70" s="567">
        <v>0.0</v>
      </c>
      <c r="BA70" s="567">
        <v>0.0</v>
      </c>
      <c r="BB70" s="567"/>
      <c r="BC70" s="567">
        <v>8.0</v>
      </c>
      <c r="BD70" s="796"/>
      <c r="BE70" s="567">
        <v>4.0</v>
      </c>
      <c r="BF70" s="567"/>
      <c r="BG70" s="567"/>
      <c r="BH70" s="567"/>
      <c r="BI70" s="567"/>
      <c r="BJ70" s="567"/>
      <c r="BK70" s="567"/>
      <c r="BL70" s="725"/>
      <c r="BM70" s="665">
        <f t="shared" si="1"/>
        <v>12</v>
      </c>
      <c r="BN70" s="671"/>
      <c r="BO70" s="797">
        <v>6.0</v>
      </c>
      <c r="BP70" s="668"/>
      <c r="BQ70" s="671"/>
      <c r="BR70" s="671"/>
      <c r="BS70" s="668"/>
      <c r="BT70" s="668"/>
      <c r="BU70" s="668"/>
      <c r="BV70" s="668"/>
      <c r="BW70" s="670"/>
      <c r="BX70" s="665">
        <f t="shared" si="2"/>
        <v>6</v>
      </c>
      <c r="BY70" s="671">
        <v>0.0</v>
      </c>
      <c r="BZ70" s="668">
        <v>0.0</v>
      </c>
      <c r="CA70" s="668">
        <v>0.0</v>
      </c>
      <c r="CB70" s="668">
        <v>0.0</v>
      </c>
      <c r="CC70" s="668">
        <v>0.0</v>
      </c>
      <c r="CD70" s="668">
        <v>0.0</v>
      </c>
      <c r="CE70" s="668">
        <v>0.0</v>
      </c>
      <c r="CF70" s="668">
        <v>0.0</v>
      </c>
      <c r="CG70" s="668">
        <v>0.0</v>
      </c>
      <c r="CH70" s="670">
        <v>0.0</v>
      </c>
      <c r="CI70" s="665">
        <f t="shared" si="3"/>
        <v>0</v>
      </c>
      <c r="CJ70" s="671">
        <f t="shared" si="4"/>
        <v>18</v>
      </c>
      <c r="CK70" s="674"/>
      <c r="CL70" s="798">
        <v>1154.0</v>
      </c>
      <c r="CM70" s="668">
        <f t="shared" ref="CM70:CV70" si="210">BC70*$CL70</f>
        <v>9232</v>
      </c>
      <c r="CN70" s="668">
        <f t="shared" si="210"/>
        <v>0</v>
      </c>
      <c r="CO70" s="668">
        <f t="shared" si="210"/>
        <v>4616</v>
      </c>
      <c r="CP70" s="668">
        <f t="shared" si="210"/>
        <v>0</v>
      </c>
      <c r="CQ70" s="668">
        <f t="shared" si="210"/>
        <v>0</v>
      </c>
      <c r="CR70" s="668">
        <f t="shared" si="210"/>
        <v>0</v>
      </c>
      <c r="CS70" s="668">
        <f t="shared" si="210"/>
        <v>0</v>
      </c>
      <c r="CT70" s="668">
        <f t="shared" si="210"/>
        <v>0</v>
      </c>
      <c r="CU70" s="668">
        <f t="shared" si="210"/>
        <v>0</v>
      </c>
      <c r="CV70" s="668">
        <f t="shared" si="210"/>
        <v>0</v>
      </c>
      <c r="CW70" s="668">
        <f t="shared" si="21"/>
        <v>13848</v>
      </c>
      <c r="CX70" s="668">
        <f t="shared" ref="CX70:DG70" si="211">BN70*$CL70</f>
        <v>0</v>
      </c>
      <c r="CY70" s="668">
        <f t="shared" si="211"/>
        <v>6924</v>
      </c>
      <c r="CZ70" s="668">
        <f t="shared" si="211"/>
        <v>0</v>
      </c>
      <c r="DA70" s="668">
        <f t="shared" si="211"/>
        <v>0</v>
      </c>
      <c r="DB70" s="668">
        <f t="shared" si="211"/>
        <v>0</v>
      </c>
      <c r="DC70" s="668">
        <f t="shared" si="211"/>
        <v>0</v>
      </c>
      <c r="DD70" s="668">
        <f t="shared" si="211"/>
        <v>0</v>
      </c>
      <c r="DE70" s="668">
        <f t="shared" si="211"/>
        <v>0</v>
      </c>
      <c r="DF70" s="668">
        <f t="shared" si="211"/>
        <v>0</v>
      </c>
      <c r="DG70" s="668">
        <f t="shared" si="211"/>
        <v>0</v>
      </c>
      <c r="DH70" s="668">
        <f t="shared" si="23"/>
        <v>6924</v>
      </c>
      <c r="DI70" s="668">
        <f t="shared" ref="DI70:DR70" si="212">BY70*$CL70</f>
        <v>0</v>
      </c>
      <c r="DJ70" s="668">
        <f t="shared" si="212"/>
        <v>0</v>
      </c>
      <c r="DK70" s="668">
        <f t="shared" si="212"/>
        <v>0</v>
      </c>
      <c r="DL70" s="668">
        <f t="shared" si="212"/>
        <v>0</v>
      </c>
      <c r="DM70" s="668">
        <f t="shared" si="212"/>
        <v>0</v>
      </c>
      <c r="DN70" s="668">
        <f t="shared" si="212"/>
        <v>0</v>
      </c>
      <c r="DO70" s="668">
        <f t="shared" si="212"/>
        <v>0</v>
      </c>
      <c r="DP70" s="668">
        <f t="shared" si="212"/>
        <v>0</v>
      </c>
      <c r="DQ70" s="668">
        <f t="shared" si="212"/>
        <v>0</v>
      </c>
      <c r="DR70" s="668">
        <f t="shared" si="212"/>
        <v>0</v>
      </c>
      <c r="DS70" s="668">
        <f t="shared" si="25"/>
        <v>0</v>
      </c>
      <c r="DT70" s="668">
        <f t="shared" si="175"/>
        <v>20772</v>
      </c>
      <c r="DU70" s="792"/>
      <c r="DV70" s="675" t="s">
        <v>3125</v>
      </c>
      <c r="DW70" s="676"/>
      <c r="DX70" s="676"/>
      <c r="DY70" s="676"/>
      <c r="DZ70" s="676"/>
      <c r="EA70" s="676"/>
      <c r="EB70" s="676"/>
      <c r="EC70" s="676"/>
      <c r="ED70" s="676"/>
      <c r="EE70" s="676"/>
      <c r="EF70" s="676"/>
      <c r="EG70" s="676"/>
      <c r="EH70" s="677">
        <f t="shared" si="209"/>
        <v>0</v>
      </c>
      <c r="EI70" s="678">
        <v>1.0</v>
      </c>
      <c r="EJ70" s="699"/>
      <c r="EK70" s="699"/>
    </row>
    <row r="71" ht="12.0" customHeight="1">
      <c r="A71" s="700" t="s">
        <v>3026</v>
      </c>
      <c r="B71" s="562"/>
      <c r="C71" s="562" t="s">
        <v>3122</v>
      </c>
      <c r="D71" s="571" t="s">
        <v>1810</v>
      </c>
      <c r="E71" s="571" t="s">
        <v>2722</v>
      </c>
      <c r="F71" s="701" t="s">
        <v>1774</v>
      </c>
      <c r="G71" s="799" t="s">
        <v>2723</v>
      </c>
      <c r="H71" s="795" t="s">
        <v>3126</v>
      </c>
      <c r="I71" s="562"/>
      <c r="J71" s="800" t="s">
        <v>3127</v>
      </c>
      <c r="K71" s="562" t="s">
        <v>25</v>
      </c>
      <c r="L71" s="562">
        <v>2024.0</v>
      </c>
      <c r="M71" s="562"/>
      <c r="N71" s="562">
        <v>2024.0</v>
      </c>
      <c r="O71" s="562"/>
      <c r="P71" s="562"/>
      <c r="Q71" s="562"/>
      <c r="R71" s="562"/>
      <c r="S71" s="562"/>
      <c r="T71" s="562"/>
      <c r="U71" s="562"/>
      <c r="V71" s="562"/>
      <c r="W71" s="562">
        <v>6.0</v>
      </c>
      <c r="X71" s="562"/>
      <c r="Y71" s="562">
        <v>6.0</v>
      </c>
      <c r="Z71" s="562"/>
      <c r="AA71" s="562"/>
      <c r="AB71" s="562"/>
      <c r="AC71" s="562"/>
      <c r="AD71" s="562"/>
      <c r="AE71" s="562"/>
      <c r="AF71" s="562"/>
      <c r="AG71" s="562"/>
      <c r="AH71" s="562"/>
      <c r="AI71" s="562"/>
      <c r="AJ71" s="562"/>
      <c r="AK71" s="562"/>
      <c r="AL71" s="562"/>
      <c r="AM71" s="562"/>
      <c r="AN71" s="562"/>
      <c r="AO71" s="562"/>
      <c r="AP71" s="562"/>
      <c r="AQ71" s="562"/>
      <c r="AR71" s="562">
        <v>-2024.0</v>
      </c>
      <c r="AS71" s="562">
        <v>0.0</v>
      </c>
      <c r="AT71" s="562">
        <v>-2024.0</v>
      </c>
      <c r="AU71" s="562">
        <v>0.0</v>
      </c>
      <c r="AV71" s="562">
        <v>0.0</v>
      </c>
      <c r="AW71" s="562">
        <v>0.0</v>
      </c>
      <c r="AX71" s="562">
        <v>0.0</v>
      </c>
      <c r="AY71" s="562">
        <v>0.0</v>
      </c>
      <c r="AZ71" s="562">
        <v>0.0</v>
      </c>
      <c r="BA71" s="562">
        <v>0.0</v>
      </c>
      <c r="BB71" s="562"/>
      <c r="BC71" s="562">
        <v>1.0</v>
      </c>
      <c r="BD71" s="562"/>
      <c r="BE71" s="796"/>
      <c r="BF71" s="562"/>
      <c r="BG71" s="562"/>
      <c r="BH71" s="562"/>
      <c r="BI71" s="562"/>
      <c r="BJ71" s="701"/>
      <c r="BK71" s="562"/>
      <c r="BL71" s="681"/>
      <c r="BM71" s="665">
        <f t="shared" si="1"/>
        <v>1</v>
      </c>
      <c r="BN71" s="682"/>
      <c r="BO71" s="683"/>
      <c r="BP71" s="797">
        <v>1.0</v>
      </c>
      <c r="BQ71" s="683"/>
      <c r="BR71" s="683"/>
      <c r="BS71" s="683"/>
      <c r="BT71" s="683"/>
      <c r="BU71" s="683"/>
      <c r="BV71" s="683"/>
      <c r="BW71" s="686"/>
      <c r="BX71" s="665">
        <f t="shared" si="2"/>
        <v>1</v>
      </c>
      <c r="BY71" s="682">
        <v>0.0</v>
      </c>
      <c r="BZ71" s="683">
        <v>0.0</v>
      </c>
      <c r="CA71" s="683">
        <v>0.0</v>
      </c>
      <c r="CB71" s="683">
        <v>0.0</v>
      </c>
      <c r="CC71" s="683">
        <v>0.0</v>
      </c>
      <c r="CD71" s="683">
        <v>0.0</v>
      </c>
      <c r="CE71" s="683">
        <v>0.0</v>
      </c>
      <c r="CF71" s="683">
        <v>0.0</v>
      </c>
      <c r="CG71" s="683">
        <v>0.0</v>
      </c>
      <c r="CH71" s="686">
        <v>0.0</v>
      </c>
      <c r="CI71" s="665">
        <f t="shared" si="3"/>
        <v>0</v>
      </c>
      <c r="CJ71" s="682">
        <f t="shared" si="4"/>
        <v>2</v>
      </c>
      <c r="CK71" s="687"/>
      <c r="CL71" s="687">
        <v>2514.3</v>
      </c>
      <c r="CM71" s="683">
        <f t="shared" ref="CM71:CV71" si="213">BC71*$CL71</f>
        <v>2514.3</v>
      </c>
      <c r="CN71" s="683">
        <f t="shared" si="213"/>
        <v>0</v>
      </c>
      <c r="CO71" s="683">
        <f t="shared" si="213"/>
        <v>0</v>
      </c>
      <c r="CP71" s="683">
        <f t="shared" si="213"/>
        <v>0</v>
      </c>
      <c r="CQ71" s="683">
        <f t="shared" si="213"/>
        <v>0</v>
      </c>
      <c r="CR71" s="683">
        <f t="shared" si="213"/>
        <v>0</v>
      </c>
      <c r="CS71" s="683">
        <f t="shared" si="213"/>
        <v>0</v>
      </c>
      <c r="CT71" s="683">
        <f t="shared" si="213"/>
        <v>0</v>
      </c>
      <c r="CU71" s="683">
        <f t="shared" si="213"/>
        <v>0</v>
      </c>
      <c r="CV71" s="683">
        <f t="shared" si="213"/>
        <v>0</v>
      </c>
      <c r="CW71" s="683">
        <f t="shared" si="21"/>
        <v>2514.3</v>
      </c>
      <c r="CX71" s="683">
        <f t="shared" ref="CX71:DG71" si="214">BN71*$CL71</f>
        <v>0</v>
      </c>
      <c r="CY71" s="683">
        <f t="shared" si="214"/>
        <v>0</v>
      </c>
      <c r="CZ71" s="683">
        <f t="shared" si="214"/>
        <v>2514.3</v>
      </c>
      <c r="DA71" s="683">
        <f t="shared" si="214"/>
        <v>0</v>
      </c>
      <c r="DB71" s="683">
        <f t="shared" si="214"/>
        <v>0</v>
      </c>
      <c r="DC71" s="683">
        <f t="shared" si="214"/>
        <v>0</v>
      </c>
      <c r="DD71" s="683">
        <f t="shared" si="214"/>
        <v>0</v>
      </c>
      <c r="DE71" s="683">
        <f t="shared" si="214"/>
        <v>0</v>
      </c>
      <c r="DF71" s="683">
        <f t="shared" si="214"/>
        <v>0</v>
      </c>
      <c r="DG71" s="683">
        <f t="shared" si="214"/>
        <v>0</v>
      </c>
      <c r="DH71" s="683">
        <f t="shared" si="23"/>
        <v>2514.3</v>
      </c>
      <c r="DI71" s="683">
        <f t="shared" ref="DI71:DR71" si="215">BY71*$CL71</f>
        <v>0</v>
      </c>
      <c r="DJ71" s="683">
        <f t="shared" si="215"/>
        <v>0</v>
      </c>
      <c r="DK71" s="683">
        <f t="shared" si="215"/>
        <v>0</v>
      </c>
      <c r="DL71" s="683">
        <f t="shared" si="215"/>
        <v>0</v>
      </c>
      <c r="DM71" s="683">
        <f t="shared" si="215"/>
        <v>0</v>
      </c>
      <c r="DN71" s="683">
        <f t="shared" si="215"/>
        <v>0</v>
      </c>
      <c r="DO71" s="683">
        <f t="shared" si="215"/>
        <v>0</v>
      </c>
      <c r="DP71" s="683">
        <f t="shared" si="215"/>
        <v>0</v>
      </c>
      <c r="DQ71" s="683">
        <f t="shared" si="215"/>
        <v>0</v>
      </c>
      <c r="DR71" s="683">
        <f t="shared" si="215"/>
        <v>0</v>
      </c>
      <c r="DS71" s="683">
        <f t="shared" si="25"/>
        <v>0</v>
      </c>
      <c r="DT71" s="683">
        <f t="shared" si="175"/>
        <v>5028.6</v>
      </c>
      <c r="DU71" s="801"/>
      <c r="DV71" s="802" t="s">
        <v>3128</v>
      </c>
      <c r="DW71" s="803"/>
      <c r="DX71" s="803"/>
      <c r="DY71" s="803"/>
      <c r="DZ71" s="803"/>
      <c r="EA71" s="803"/>
      <c r="EB71" s="803"/>
      <c r="EC71" s="803"/>
      <c r="ED71" s="803"/>
      <c r="EE71" s="803"/>
      <c r="EF71" s="803"/>
      <c r="EG71" s="803"/>
      <c r="EH71" s="689">
        <f t="shared" si="209"/>
        <v>0</v>
      </c>
      <c r="EI71" s="690">
        <v>1.0</v>
      </c>
      <c r="EJ71" s="691"/>
      <c r="EK71" s="691"/>
    </row>
    <row r="72" ht="12.0" customHeight="1">
      <c r="A72" s="709" t="s">
        <v>3026</v>
      </c>
      <c r="B72" s="567"/>
      <c r="C72" s="567" t="s">
        <v>3122</v>
      </c>
      <c r="D72" s="568" t="s">
        <v>1810</v>
      </c>
      <c r="E72" s="568" t="s">
        <v>2722</v>
      </c>
      <c r="F72" s="661" t="s">
        <v>1774</v>
      </c>
      <c r="G72" s="657" t="s">
        <v>2723</v>
      </c>
      <c r="H72" s="658"/>
      <c r="I72" s="567"/>
      <c r="J72" s="800" t="s">
        <v>3129</v>
      </c>
      <c r="K72" s="567" t="s">
        <v>25</v>
      </c>
      <c r="L72" s="567">
        <v>2024.0</v>
      </c>
      <c r="M72" s="567">
        <v>2024.0</v>
      </c>
      <c r="N72" s="567">
        <v>2024.0</v>
      </c>
      <c r="O72" s="567"/>
      <c r="P72" s="567"/>
      <c r="Q72" s="567"/>
      <c r="R72" s="567"/>
      <c r="S72" s="567"/>
      <c r="T72" s="567"/>
      <c r="U72" s="567"/>
      <c r="V72" s="567"/>
      <c r="W72" s="567">
        <v>6.0</v>
      </c>
      <c r="X72" s="567">
        <v>6.0</v>
      </c>
      <c r="Y72" s="567">
        <v>6.0</v>
      </c>
      <c r="Z72" s="567"/>
      <c r="AA72" s="567"/>
      <c r="AB72" s="567"/>
      <c r="AC72" s="567"/>
      <c r="AD72" s="567"/>
      <c r="AE72" s="567"/>
      <c r="AF72" s="567"/>
      <c r="AG72" s="567"/>
      <c r="AH72" s="567"/>
      <c r="AI72" s="567"/>
      <c r="AJ72" s="567"/>
      <c r="AK72" s="567"/>
      <c r="AL72" s="567"/>
      <c r="AM72" s="567"/>
      <c r="AN72" s="567"/>
      <c r="AO72" s="567"/>
      <c r="AP72" s="567"/>
      <c r="AQ72" s="567"/>
      <c r="AR72" s="567">
        <v>-2024.0</v>
      </c>
      <c r="AS72" s="567">
        <v>-2024.0</v>
      </c>
      <c r="AT72" s="567">
        <v>-2024.0</v>
      </c>
      <c r="AU72" s="567">
        <v>0.0</v>
      </c>
      <c r="AV72" s="567">
        <v>0.0</v>
      </c>
      <c r="AW72" s="567">
        <v>0.0</v>
      </c>
      <c r="AX72" s="567">
        <v>0.0</v>
      </c>
      <c r="AY72" s="567">
        <v>0.0</v>
      </c>
      <c r="AZ72" s="567">
        <v>0.0</v>
      </c>
      <c r="BA72" s="567">
        <v>0.0</v>
      </c>
      <c r="BB72" s="567"/>
      <c r="BC72" s="804"/>
      <c r="BD72" s="804"/>
      <c r="BE72" s="804"/>
      <c r="BF72" s="567"/>
      <c r="BG72" s="567"/>
      <c r="BH72" s="567"/>
      <c r="BI72" s="567"/>
      <c r="BJ72" s="804"/>
      <c r="BK72" s="567"/>
      <c r="BL72" s="725"/>
      <c r="BM72" s="665">
        <f t="shared" si="1"/>
        <v>0</v>
      </c>
      <c r="BN72" s="805">
        <v>1.0</v>
      </c>
      <c r="BO72" s="806">
        <v>1.0</v>
      </c>
      <c r="BP72" s="806">
        <v>1.0</v>
      </c>
      <c r="BQ72" s="668"/>
      <c r="BR72" s="668"/>
      <c r="BS72" s="668"/>
      <c r="BT72" s="668"/>
      <c r="BU72" s="807">
        <v>2.0</v>
      </c>
      <c r="BV72" s="668"/>
      <c r="BW72" s="670"/>
      <c r="BX72" s="665">
        <f t="shared" si="2"/>
        <v>5</v>
      </c>
      <c r="BY72" s="671">
        <v>0.0</v>
      </c>
      <c r="BZ72" s="668">
        <v>0.0</v>
      </c>
      <c r="CA72" s="668">
        <v>0.0</v>
      </c>
      <c r="CB72" s="668">
        <v>0.0</v>
      </c>
      <c r="CC72" s="668">
        <v>0.0</v>
      </c>
      <c r="CD72" s="668">
        <v>0.0</v>
      </c>
      <c r="CE72" s="668">
        <v>0.0</v>
      </c>
      <c r="CF72" s="668">
        <v>0.0</v>
      </c>
      <c r="CG72" s="668">
        <v>0.0</v>
      </c>
      <c r="CH72" s="670">
        <v>0.0</v>
      </c>
      <c r="CI72" s="665">
        <f t="shared" si="3"/>
        <v>0</v>
      </c>
      <c r="CJ72" s="671">
        <f t="shared" si="4"/>
        <v>5</v>
      </c>
      <c r="CK72" s="674"/>
      <c r="CL72" s="674">
        <v>2514.3</v>
      </c>
      <c r="CM72" s="668">
        <f t="shared" ref="CM72:CV72" si="216">BC72*$CL72</f>
        <v>0</v>
      </c>
      <c r="CN72" s="668">
        <f t="shared" si="216"/>
        <v>0</v>
      </c>
      <c r="CO72" s="668">
        <f t="shared" si="216"/>
        <v>0</v>
      </c>
      <c r="CP72" s="668">
        <f t="shared" si="216"/>
        <v>0</v>
      </c>
      <c r="CQ72" s="668">
        <f t="shared" si="216"/>
        <v>0</v>
      </c>
      <c r="CR72" s="668">
        <f t="shared" si="216"/>
        <v>0</v>
      </c>
      <c r="CS72" s="668">
        <f t="shared" si="216"/>
        <v>0</v>
      </c>
      <c r="CT72" s="668">
        <f t="shared" si="216"/>
        <v>0</v>
      </c>
      <c r="CU72" s="668">
        <f t="shared" si="216"/>
        <v>0</v>
      </c>
      <c r="CV72" s="668">
        <f t="shared" si="216"/>
        <v>0</v>
      </c>
      <c r="CW72" s="668">
        <f t="shared" si="21"/>
        <v>0</v>
      </c>
      <c r="CX72" s="668">
        <f t="shared" ref="CX72:DG72" si="217">BN72*$CL72</f>
        <v>2514.3</v>
      </c>
      <c r="CY72" s="668">
        <f t="shared" si="217"/>
        <v>2514.3</v>
      </c>
      <c r="CZ72" s="668">
        <f t="shared" si="217"/>
        <v>2514.3</v>
      </c>
      <c r="DA72" s="668">
        <f t="shared" si="217"/>
        <v>0</v>
      </c>
      <c r="DB72" s="668">
        <f t="shared" si="217"/>
        <v>0</v>
      </c>
      <c r="DC72" s="668">
        <f t="shared" si="217"/>
        <v>0</v>
      </c>
      <c r="DD72" s="668">
        <f t="shared" si="217"/>
        <v>0</v>
      </c>
      <c r="DE72" s="668">
        <f t="shared" si="217"/>
        <v>5028.6</v>
      </c>
      <c r="DF72" s="668">
        <f t="shared" si="217"/>
        <v>0</v>
      </c>
      <c r="DG72" s="668">
        <f t="shared" si="217"/>
        <v>0</v>
      </c>
      <c r="DH72" s="668">
        <f t="shared" si="23"/>
        <v>12571.5</v>
      </c>
      <c r="DI72" s="668">
        <f t="shared" ref="DI72:DR72" si="218">BY72*$CL72</f>
        <v>0</v>
      </c>
      <c r="DJ72" s="668">
        <f t="shared" si="218"/>
        <v>0</v>
      </c>
      <c r="DK72" s="668">
        <f t="shared" si="218"/>
        <v>0</v>
      </c>
      <c r="DL72" s="668">
        <f t="shared" si="218"/>
        <v>0</v>
      </c>
      <c r="DM72" s="668">
        <f t="shared" si="218"/>
        <v>0</v>
      </c>
      <c r="DN72" s="668">
        <f t="shared" si="218"/>
        <v>0</v>
      </c>
      <c r="DO72" s="668">
        <f t="shared" si="218"/>
        <v>0</v>
      </c>
      <c r="DP72" s="668">
        <f t="shared" si="218"/>
        <v>0</v>
      </c>
      <c r="DQ72" s="668">
        <f t="shared" si="218"/>
        <v>0</v>
      </c>
      <c r="DR72" s="668">
        <f t="shared" si="218"/>
        <v>0</v>
      </c>
      <c r="DS72" s="668">
        <f t="shared" si="25"/>
        <v>0</v>
      </c>
      <c r="DT72" s="668">
        <f t="shared" si="175"/>
        <v>12571.5</v>
      </c>
      <c r="DU72" s="792"/>
      <c r="DV72" s="675" t="s">
        <v>3128</v>
      </c>
      <c r="DW72" s="676"/>
      <c r="DX72" s="676"/>
      <c r="DY72" s="676"/>
      <c r="DZ72" s="676"/>
      <c r="EA72" s="676"/>
      <c r="EB72" s="676"/>
      <c r="EC72" s="676"/>
      <c r="ED72" s="676"/>
      <c r="EE72" s="676"/>
      <c r="EF72" s="676"/>
      <c r="EG72" s="676"/>
      <c r="EH72" s="677">
        <f t="shared" si="209"/>
        <v>0</v>
      </c>
      <c r="EI72" s="678">
        <v>1.0</v>
      </c>
      <c r="EJ72" s="699"/>
      <c r="EK72" s="699"/>
    </row>
    <row r="73" ht="12.0" customHeight="1">
      <c r="A73" s="700" t="s">
        <v>3026</v>
      </c>
      <c r="B73" s="701">
        <v>2.0</v>
      </c>
      <c r="C73" s="562" t="s">
        <v>3027</v>
      </c>
      <c r="D73" s="571" t="s">
        <v>227</v>
      </c>
      <c r="E73" s="571" t="s">
        <v>2708</v>
      </c>
      <c r="F73" s="562" t="s">
        <v>1763</v>
      </c>
      <c r="G73" s="569" t="s">
        <v>2709</v>
      </c>
      <c r="H73" s="737"/>
      <c r="I73" s="717" t="s">
        <v>2243</v>
      </c>
      <c r="J73" s="704" t="s">
        <v>530</v>
      </c>
      <c r="K73" s="562" t="s">
        <v>25</v>
      </c>
      <c r="L73" s="562"/>
      <c r="M73" s="562"/>
      <c r="N73" s="562"/>
      <c r="O73" s="562">
        <v>2024.0</v>
      </c>
      <c r="P73" s="562"/>
      <c r="Q73" s="562"/>
      <c r="R73" s="562"/>
      <c r="S73" s="562"/>
      <c r="T73" s="562"/>
      <c r="U73" s="562"/>
      <c r="V73" s="562"/>
      <c r="W73" s="562">
        <v>3.0</v>
      </c>
      <c r="X73" s="562"/>
      <c r="Y73" s="562"/>
      <c r="Z73" s="562">
        <v>10.0</v>
      </c>
      <c r="AA73" s="562"/>
      <c r="AB73" s="562"/>
      <c r="AC73" s="562"/>
      <c r="AD73" s="562"/>
      <c r="AE73" s="562"/>
      <c r="AF73" s="562"/>
      <c r="AG73" s="562"/>
      <c r="AH73" s="562"/>
      <c r="AI73" s="562"/>
      <c r="AJ73" s="562"/>
      <c r="AK73" s="562"/>
      <c r="AL73" s="562"/>
      <c r="AM73" s="562"/>
      <c r="AN73" s="562"/>
      <c r="AO73" s="562"/>
      <c r="AP73" s="562"/>
      <c r="AQ73" s="562"/>
      <c r="AR73" s="562">
        <v>0.0</v>
      </c>
      <c r="AS73" s="562">
        <v>0.0</v>
      </c>
      <c r="AT73" s="562">
        <v>0.0</v>
      </c>
      <c r="AU73" s="562">
        <v>-2024.0</v>
      </c>
      <c r="AV73" s="562">
        <v>0.0</v>
      </c>
      <c r="AW73" s="562">
        <v>0.0</v>
      </c>
      <c r="AX73" s="562">
        <v>0.0</v>
      </c>
      <c r="AY73" s="562">
        <v>0.0</v>
      </c>
      <c r="AZ73" s="562">
        <v>0.0</v>
      </c>
      <c r="BA73" s="562">
        <v>0.0</v>
      </c>
      <c r="BB73" s="562"/>
      <c r="BC73" s="562"/>
      <c r="BD73" s="562"/>
      <c r="BE73" s="562"/>
      <c r="BF73" s="718"/>
      <c r="BG73" s="562"/>
      <c r="BH73" s="562"/>
      <c r="BI73" s="562"/>
      <c r="BJ73" s="562"/>
      <c r="BK73" s="562"/>
      <c r="BL73" s="681"/>
      <c r="BM73" s="665">
        <f t="shared" si="1"/>
        <v>0</v>
      </c>
      <c r="BN73" s="683"/>
      <c r="BO73" s="683"/>
      <c r="BP73" s="683"/>
      <c r="BQ73" s="684">
        <v>1.0</v>
      </c>
      <c r="BR73" s="683"/>
      <c r="BS73" s="683"/>
      <c r="BT73" s="683"/>
      <c r="BU73" s="683"/>
      <c r="BV73" s="683"/>
      <c r="BW73" s="686"/>
      <c r="BX73" s="665">
        <f t="shared" si="2"/>
        <v>1</v>
      </c>
      <c r="BY73" s="682">
        <v>0.0</v>
      </c>
      <c r="BZ73" s="683">
        <v>0.0</v>
      </c>
      <c r="CA73" s="683">
        <v>0.0</v>
      </c>
      <c r="CB73" s="683">
        <v>0.0</v>
      </c>
      <c r="CC73" s="683">
        <v>0.0</v>
      </c>
      <c r="CD73" s="683">
        <v>0.0</v>
      </c>
      <c r="CE73" s="683">
        <v>0.0</v>
      </c>
      <c r="CF73" s="683">
        <v>0.0</v>
      </c>
      <c r="CG73" s="683">
        <v>0.0</v>
      </c>
      <c r="CH73" s="686">
        <v>0.0</v>
      </c>
      <c r="CI73" s="665">
        <f t="shared" si="3"/>
        <v>0</v>
      </c>
      <c r="CJ73" s="682">
        <f t="shared" si="4"/>
        <v>1</v>
      </c>
      <c r="CK73" s="706">
        <v>8341.04</v>
      </c>
      <c r="CL73" s="683">
        <f t="shared" ref="CL73:CL80" si="222">CK73*$CL$1</f>
        <v>58053.6384</v>
      </c>
      <c r="CM73" s="683">
        <f t="shared" ref="CM73:CV73" si="219">BC73*$CL73</f>
        <v>0</v>
      </c>
      <c r="CN73" s="683">
        <f t="shared" si="219"/>
        <v>0</v>
      </c>
      <c r="CO73" s="683">
        <f t="shared" si="219"/>
        <v>0</v>
      </c>
      <c r="CP73" s="683">
        <f t="shared" si="219"/>
        <v>0</v>
      </c>
      <c r="CQ73" s="683">
        <f t="shared" si="219"/>
        <v>0</v>
      </c>
      <c r="CR73" s="683">
        <f t="shared" si="219"/>
        <v>0</v>
      </c>
      <c r="CS73" s="683">
        <f t="shared" si="219"/>
        <v>0</v>
      </c>
      <c r="CT73" s="683">
        <f t="shared" si="219"/>
        <v>0</v>
      </c>
      <c r="CU73" s="683">
        <f t="shared" si="219"/>
        <v>0</v>
      </c>
      <c r="CV73" s="683">
        <f t="shared" si="219"/>
        <v>0</v>
      </c>
      <c r="CW73" s="683">
        <f t="shared" si="21"/>
        <v>0</v>
      </c>
      <c r="CX73" s="683">
        <f t="shared" ref="CX73:DG73" si="220">BN73*$CL73</f>
        <v>0</v>
      </c>
      <c r="CY73" s="683">
        <f t="shared" si="220"/>
        <v>0</v>
      </c>
      <c r="CZ73" s="683">
        <f t="shared" si="220"/>
        <v>0</v>
      </c>
      <c r="DA73" s="683">
        <f t="shared" si="220"/>
        <v>58053.6384</v>
      </c>
      <c r="DB73" s="683">
        <f t="shared" si="220"/>
        <v>0</v>
      </c>
      <c r="DC73" s="683">
        <f t="shared" si="220"/>
        <v>0</v>
      </c>
      <c r="DD73" s="683">
        <f t="shared" si="220"/>
        <v>0</v>
      </c>
      <c r="DE73" s="683">
        <f t="shared" si="220"/>
        <v>0</v>
      </c>
      <c r="DF73" s="683">
        <f t="shared" si="220"/>
        <v>0</v>
      </c>
      <c r="DG73" s="683">
        <f t="shared" si="220"/>
        <v>0</v>
      </c>
      <c r="DH73" s="683">
        <f t="shared" si="23"/>
        <v>58053.6384</v>
      </c>
      <c r="DI73" s="683">
        <f t="shared" ref="DI73:DR73" si="221">BY73*$CL73</f>
        <v>0</v>
      </c>
      <c r="DJ73" s="683">
        <f t="shared" si="221"/>
        <v>0</v>
      </c>
      <c r="DK73" s="683">
        <f t="shared" si="221"/>
        <v>0</v>
      </c>
      <c r="DL73" s="683">
        <f t="shared" si="221"/>
        <v>0</v>
      </c>
      <c r="DM73" s="683">
        <f t="shared" si="221"/>
        <v>0</v>
      </c>
      <c r="DN73" s="683">
        <f t="shared" si="221"/>
        <v>0</v>
      </c>
      <c r="DO73" s="683">
        <f t="shared" si="221"/>
        <v>0</v>
      </c>
      <c r="DP73" s="683">
        <f t="shared" si="221"/>
        <v>0</v>
      </c>
      <c r="DQ73" s="683">
        <f t="shared" si="221"/>
        <v>0</v>
      </c>
      <c r="DR73" s="683">
        <f t="shared" si="221"/>
        <v>0</v>
      </c>
      <c r="DS73" s="683">
        <f t="shared" si="25"/>
        <v>0</v>
      </c>
      <c r="DT73" s="683">
        <f t="shared" si="175"/>
        <v>58053.6384</v>
      </c>
      <c r="DU73" s="504"/>
      <c r="DV73" s="486"/>
      <c r="DW73" s="688"/>
      <c r="DX73" s="688"/>
      <c r="DY73" s="688"/>
      <c r="DZ73" s="688"/>
      <c r="EA73" s="688"/>
      <c r="EB73" s="688"/>
      <c r="EC73" s="688"/>
      <c r="ED73" s="688"/>
      <c r="EE73" s="688"/>
      <c r="EF73" s="688"/>
      <c r="EG73" s="688"/>
      <c r="EH73" s="707" t="s">
        <v>3130</v>
      </c>
      <c r="EI73" s="708">
        <f>VLOOKUP(I73,CotizacionTDB,4,FALSE())</f>
        <v>8341.04</v>
      </c>
      <c r="EJ73" s="708">
        <f>VLOOKUP(I73,CotizacionTDB,5,FALSE())</f>
        <v>7089.88</v>
      </c>
      <c r="EK73" s="691"/>
    </row>
    <row r="74" ht="12.0" customHeight="1">
      <c r="A74" s="709" t="s">
        <v>3026</v>
      </c>
      <c r="B74" s="661">
        <v>2.0</v>
      </c>
      <c r="C74" s="567" t="s">
        <v>3027</v>
      </c>
      <c r="D74" s="568" t="s">
        <v>227</v>
      </c>
      <c r="E74" s="568" t="s">
        <v>2708</v>
      </c>
      <c r="F74" s="567" t="s">
        <v>1763</v>
      </c>
      <c r="G74" s="569" t="s">
        <v>2709</v>
      </c>
      <c r="H74" s="658"/>
      <c r="I74" s="710" t="s">
        <v>2244</v>
      </c>
      <c r="J74" s="711" t="s">
        <v>533</v>
      </c>
      <c r="K74" s="567" t="s">
        <v>25</v>
      </c>
      <c r="L74" s="567"/>
      <c r="M74" s="567"/>
      <c r="N74" s="567"/>
      <c r="O74" s="567">
        <v>2024.0</v>
      </c>
      <c r="P74" s="567"/>
      <c r="Q74" s="567"/>
      <c r="R74" s="567"/>
      <c r="S74" s="567"/>
      <c r="T74" s="567"/>
      <c r="U74" s="567"/>
      <c r="V74" s="567"/>
      <c r="W74" s="567">
        <v>3.0</v>
      </c>
      <c r="X74" s="567"/>
      <c r="Y74" s="567"/>
      <c r="Z74" s="567">
        <v>10.0</v>
      </c>
      <c r="AA74" s="567"/>
      <c r="AB74" s="567"/>
      <c r="AC74" s="567"/>
      <c r="AD74" s="567"/>
      <c r="AE74" s="567"/>
      <c r="AF74" s="567"/>
      <c r="AG74" s="567"/>
      <c r="AH74" s="567"/>
      <c r="AI74" s="567"/>
      <c r="AJ74" s="567"/>
      <c r="AK74" s="567"/>
      <c r="AL74" s="567"/>
      <c r="AM74" s="567"/>
      <c r="AN74" s="567"/>
      <c r="AO74" s="567"/>
      <c r="AP74" s="567"/>
      <c r="AQ74" s="567"/>
      <c r="AR74" s="567">
        <v>0.0</v>
      </c>
      <c r="AS74" s="567">
        <v>0.0</v>
      </c>
      <c r="AT74" s="567">
        <v>0.0</v>
      </c>
      <c r="AU74" s="567">
        <v>-2024.0</v>
      </c>
      <c r="AV74" s="567">
        <v>0.0</v>
      </c>
      <c r="AW74" s="567">
        <v>0.0</v>
      </c>
      <c r="AX74" s="567">
        <v>0.0</v>
      </c>
      <c r="AY74" s="567">
        <v>0.0</v>
      </c>
      <c r="AZ74" s="567">
        <v>0.0</v>
      </c>
      <c r="BA74" s="567">
        <v>0.0</v>
      </c>
      <c r="BB74" s="567"/>
      <c r="BC74" s="567"/>
      <c r="BD74" s="567"/>
      <c r="BE74" s="567"/>
      <c r="BF74" s="718"/>
      <c r="BG74" s="567"/>
      <c r="BH74" s="567"/>
      <c r="BI74" s="567"/>
      <c r="BJ74" s="567"/>
      <c r="BK74" s="567"/>
      <c r="BL74" s="725"/>
      <c r="BM74" s="665">
        <f t="shared" si="1"/>
        <v>0</v>
      </c>
      <c r="BN74" s="671"/>
      <c r="BO74" s="668"/>
      <c r="BP74" s="668"/>
      <c r="BQ74" s="684">
        <v>1.0</v>
      </c>
      <c r="BR74" s="668"/>
      <c r="BS74" s="668"/>
      <c r="BT74" s="668"/>
      <c r="BU74" s="668"/>
      <c r="BV74" s="668"/>
      <c r="BW74" s="670"/>
      <c r="BX74" s="665">
        <f t="shared" si="2"/>
        <v>1</v>
      </c>
      <c r="BY74" s="671">
        <v>0.0</v>
      </c>
      <c r="BZ74" s="668">
        <v>0.0</v>
      </c>
      <c r="CA74" s="668">
        <v>0.0</v>
      </c>
      <c r="CB74" s="668">
        <v>0.0</v>
      </c>
      <c r="CC74" s="668">
        <v>0.0</v>
      </c>
      <c r="CD74" s="668">
        <v>0.0</v>
      </c>
      <c r="CE74" s="668">
        <v>0.0</v>
      </c>
      <c r="CF74" s="668">
        <v>0.0</v>
      </c>
      <c r="CG74" s="668">
        <v>0.0</v>
      </c>
      <c r="CH74" s="670">
        <v>0.0</v>
      </c>
      <c r="CI74" s="665">
        <f t="shared" si="3"/>
        <v>0</v>
      </c>
      <c r="CJ74" s="671">
        <f t="shared" si="4"/>
        <v>1</v>
      </c>
      <c r="CK74" s="715">
        <v>8199.26</v>
      </c>
      <c r="CL74" s="668">
        <f t="shared" si="222"/>
        <v>57066.8496</v>
      </c>
      <c r="CM74" s="668">
        <f t="shared" ref="CM74:CV74" si="223">BC74*$CL74</f>
        <v>0</v>
      </c>
      <c r="CN74" s="668">
        <f t="shared" si="223"/>
        <v>0</v>
      </c>
      <c r="CO74" s="668">
        <f t="shared" si="223"/>
        <v>0</v>
      </c>
      <c r="CP74" s="668">
        <f t="shared" si="223"/>
        <v>0</v>
      </c>
      <c r="CQ74" s="668">
        <f t="shared" si="223"/>
        <v>0</v>
      </c>
      <c r="CR74" s="668">
        <f t="shared" si="223"/>
        <v>0</v>
      </c>
      <c r="CS74" s="668">
        <f t="shared" si="223"/>
        <v>0</v>
      </c>
      <c r="CT74" s="668">
        <f t="shared" si="223"/>
        <v>0</v>
      </c>
      <c r="CU74" s="668">
        <f t="shared" si="223"/>
        <v>0</v>
      </c>
      <c r="CV74" s="668">
        <f t="shared" si="223"/>
        <v>0</v>
      </c>
      <c r="CW74" s="668">
        <f t="shared" si="21"/>
        <v>0</v>
      </c>
      <c r="CX74" s="668">
        <f t="shared" ref="CX74:DG74" si="224">BN74*$CL74</f>
        <v>0</v>
      </c>
      <c r="CY74" s="668">
        <f t="shared" si="224"/>
        <v>0</v>
      </c>
      <c r="CZ74" s="668">
        <f t="shared" si="224"/>
        <v>0</v>
      </c>
      <c r="DA74" s="668">
        <f t="shared" si="224"/>
        <v>57066.8496</v>
      </c>
      <c r="DB74" s="668">
        <f t="shared" si="224"/>
        <v>0</v>
      </c>
      <c r="DC74" s="668">
        <f t="shared" si="224"/>
        <v>0</v>
      </c>
      <c r="DD74" s="668">
        <f t="shared" si="224"/>
        <v>0</v>
      </c>
      <c r="DE74" s="668">
        <f t="shared" si="224"/>
        <v>0</v>
      </c>
      <c r="DF74" s="668">
        <f t="shared" si="224"/>
        <v>0</v>
      </c>
      <c r="DG74" s="668">
        <f t="shared" si="224"/>
        <v>0</v>
      </c>
      <c r="DH74" s="668">
        <f t="shared" si="23"/>
        <v>57066.8496</v>
      </c>
      <c r="DI74" s="668">
        <f t="shared" ref="DI74:DR74" si="225">BY74*$CL74</f>
        <v>0</v>
      </c>
      <c r="DJ74" s="668">
        <f t="shared" si="225"/>
        <v>0</v>
      </c>
      <c r="DK74" s="668">
        <f t="shared" si="225"/>
        <v>0</v>
      </c>
      <c r="DL74" s="668">
        <f t="shared" si="225"/>
        <v>0</v>
      </c>
      <c r="DM74" s="668">
        <f t="shared" si="225"/>
        <v>0</v>
      </c>
      <c r="DN74" s="668">
        <f t="shared" si="225"/>
        <v>0</v>
      </c>
      <c r="DO74" s="668">
        <f t="shared" si="225"/>
        <v>0</v>
      </c>
      <c r="DP74" s="668">
        <f t="shared" si="225"/>
        <v>0</v>
      </c>
      <c r="DQ74" s="668">
        <f t="shared" si="225"/>
        <v>0</v>
      </c>
      <c r="DR74" s="668">
        <f t="shared" si="225"/>
        <v>0</v>
      </c>
      <c r="DS74" s="668">
        <f t="shared" si="25"/>
        <v>0</v>
      </c>
      <c r="DT74" s="668">
        <f t="shared" si="175"/>
        <v>57066.8496</v>
      </c>
      <c r="DU74" s="538"/>
      <c r="DV74" s="468"/>
      <c r="DW74" s="698"/>
      <c r="DX74" s="698"/>
      <c r="DY74" s="698"/>
      <c r="DZ74" s="698"/>
      <c r="EA74" s="698"/>
      <c r="EB74" s="698"/>
      <c r="EC74" s="698"/>
      <c r="ED74" s="698"/>
      <c r="EE74" s="698"/>
      <c r="EF74" s="698"/>
      <c r="EG74" s="698"/>
      <c r="EH74" s="576" t="s">
        <v>3131</v>
      </c>
      <c r="EI74" s="716">
        <f>VLOOKUP(I74,CotizacionTDB,4,FALSE())</f>
        <v>8199.26</v>
      </c>
      <c r="EJ74" s="716">
        <f>VLOOKUP(I74,CotizacionTDB,5,FALSE())</f>
        <v>6969.37</v>
      </c>
      <c r="EK74" s="699"/>
    </row>
    <row r="75" ht="12.0" customHeight="1">
      <c r="A75" s="700" t="s">
        <v>3026</v>
      </c>
      <c r="B75" s="701">
        <v>2.0</v>
      </c>
      <c r="C75" s="562" t="s">
        <v>3027</v>
      </c>
      <c r="D75" s="571" t="s">
        <v>227</v>
      </c>
      <c r="E75" s="571" t="s">
        <v>2708</v>
      </c>
      <c r="F75" s="562" t="s">
        <v>1763</v>
      </c>
      <c r="G75" s="569" t="s">
        <v>2709</v>
      </c>
      <c r="H75" s="569" t="s">
        <v>3132</v>
      </c>
      <c r="I75" s="703" t="s">
        <v>2002</v>
      </c>
      <c r="J75" s="704" t="s">
        <v>398</v>
      </c>
      <c r="K75" s="562" t="s">
        <v>25</v>
      </c>
      <c r="L75" s="562">
        <v>2024.0</v>
      </c>
      <c r="M75" s="562">
        <v>2024.0</v>
      </c>
      <c r="N75" s="562">
        <v>2024.0</v>
      </c>
      <c r="O75" s="562">
        <v>2024.0</v>
      </c>
      <c r="P75" s="562">
        <v>2024.0</v>
      </c>
      <c r="Q75" s="562">
        <v>2024.0</v>
      </c>
      <c r="R75" s="562">
        <v>2024.0</v>
      </c>
      <c r="S75" s="562">
        <v>2024.0</v>
      </c>
      <c r="T75" s="562">
        <v>2024.0</v>
      </c>
      <c r="U75" s="562"/>
      <c r="V75" s="562"/>
      <c r="W75" s="562">
        <v>3.0</v>
      </c>
      <c r="X75" s="562">
        <v>3.0</v>
      </c>
      <c r="Y75" s="562">
        <v>3.0</v>
      </c>
      <c r="Z75" s="562">
        <v>3.0</v>
      </c>
      <c r="AA75" s="562">
        <v>3.0</v>
      </c>
      <c r="AB75" s="562">
        <v>3.0</v>
      </c>
      <c r="AC75" s="562">
        <v>3.0</v>
      </c>
      <c r="AD75" s="562">
        <v>3.0</v>
      </c>
      <c r="AE75" s="562">
        <v>3.0</v>
      </c>
      <c r="AF75" s="562"/>
      <c r="AG75" s="562"/>
      <c r="AH75" s="562"/>
      <c r="AI75" s="562"/>
      <c r="AJ75" s="562"/>
      <c r="AK75" s="562"/>
      <c r="AL75" s="562"/>
      <c r="AM75" s="562"/>
      <c r="AN75" s="562"/>
      <c r="AO75" s="562"/>
      <c r="AP75" s="562"/>
      <c r="AQ75" s="562"/>
      <c r="AR75" s="562">
        <v>-2024.0</v>
      </c>
      <c r="AS75" s="562">
        <v>-2024.0</v>
      </c>
      <c r="AT75" s="562">
        <v>-2024.0</v>
      </c>
      <c r="AU75" s="562">
        <v>-2024.0</v>
      </c>
      <c r="AV75" s="562">
        <v>-2024.0</v>
      </c>
      <c r="AW75" s="562">
        <v>-2024.0</v>
      </c>
      <c r="AX75" s="562">
        <v>-2024.0</v>
      </c>
      <c r="AY75" s="562">
        <v>-2024.0</v>
      </c>
      <c r="AZ75" s="562">
        <v>-2024.0</v>
      </c>
      <c r="BA75" s="562">
        <v>0.0</v>
      </c>
      <c r="BB75" s="562"/>
      <c r="BC75" s="562">
        <v>2.0</v>
      </c>
      <c r="BD75" s="562">
        <v>2.0</v>
      </c>
      <c r="BE75" s="562">
        <v>2.0</v>
      </c>
      <c r="BF75" s="562">
        <v>2.0</v>
      </c>
      <c r="BG75" s="562">
        <v>2.0</v>
      </c>
      <c r="BH75" s="562">
        <v>2.0</v>
      </c>
      <c r="BI75" s="808">
        <v>2.0</v>
      </c>
      <c r="BJ75" s="808">
        <v>2.0</v>
      </c>
      <c r="BK75" s="808">
        <v>1.0</v>
      </c>
      <c r="BL75" s="809">
        <v>1.0</v>
      </c>
      <c r="BM75" s="665">
        <f t="shared" si="1"/>
        <v>18</v>
      </c>
      <c r="BN75" s="683"/>
      <c r="BO75" s="683"/>
      <c r="BP75" s="683"/>
      <c r="BQ75" s="683"/>
      <c r="BR75" s="683"/>
      <c r="BS75" s="683"/>
      <c r="BT75" s="683"/>
      <c r="BU75" s="683"/>
      <c r="BV75" s="683"/>
      <c r="BW75" s="720"/>
      <c r="BX75" s="665">
        <f t="shared" si="2"/>
        <v>0</v>
      </c>
      <c r="BY75" s="682">
        <v>0.0</v>
      </c>
      <c r="BZ75" s="683">
        <v>0.0</v>
      </c>
      <c r="CA75" s="683">
        <v>0.0</v>
      </c>
      <c r="CB75" s="683">
        <v>0.0</v>
      </c>
      <c r="CC75" s="683">
        <v>0.0</v>
      </c>
      <c r="CD75" s="683">
        <v>0.0</v>
      </c>
      <c r="CE75" s="683">
        <v>0.0</v>
      </c>
      <c r="CF75" s="683">
        <v>0.0</v>
      </c>
      <c r="CG75" s="683">
        <v>0.0</v>
      </c>
      <c r="CH75" s="720">
        <v>1.0</v>
      </c>
      <c r="CI75" s="665">
        <f t="shared" si="3"/>
        <v>1</v>
      </c>
      <c r="CJ75" s="682">
        <f t="shared" si="4"/>
        <v>19</v>
      </c>
      <c r="CK75" s="706">
        <v>123.37</v>
      </c>
      <c r="CL75" s="683">
        <f t="shared" si="222"/>
        <v>858.6552</v>
      </c>
      <c r="CM75" s="683">
        <f t="shared" ref="CM75:CV75" si="226">BC75*$CL75</f>
        <v>1717.3104</v>
      </c>
      <c r="CN75" s="683">
        <f t="shared" si="226"/>
        <v>1717.3104</v>
      </c>
      <c r="CO75" s="683">
        <f t="shared" si="226"/>
        <v>1717.3104</v>
      </c>
      <c r="CP75" s="683">
        <f t="shared" si="226"/>
        <v>1717.3104</v>
      </c>
      <c r="CQ75" s="683">
        <f t="shared" si="226"/>
        <v>1717.3104</v>
      </c>
      <c r="CR75" s="683">
        <f t="shared" si="226"/>
        <v>1717.3104</v>
      </c>
      <c r="CS75" s="683">
        <f t="shared" si="226"/>
        <v>1717.3104</v>
      </c>
      <c r="CT75" s="683">
        <f t="shared" si="226"/>
        <v>1717.3104</v>
      </c>
      <c r="CU75" s="683">
        <f t="shared" si="226"/>
        <v>858.6552</v>
      </c>
      <c r="CV75" s="683">
        <f t="shared" si="226"/>
        <v>858.6552</v>
      </c>
      <c r="CW75" s="683">
        <f t="shared" si="21"/>
        <v>15455.7936</v>
      </c>
      <c r="CX75" s="683">
        <f t="shared" ref="CX75:DG75" si="227">BN75*$CL75</f>
        <v>0</v>
      </c>
      <c r="CY75" s="683">
        <f t="shared" si="227"/>
        <v>0</v>
      </c>
      <c r="CZ75" s="683">
        <f t="shared" si="227"/>
        <v>0</v>
      </c>
      <c r="DA75" s="683">
        <f t="shared" si="227"/>
        <v>0</v>
      </c>
      <c r="DB75" s="683">
        <f t="shared" si="227"/>
        <v>0</v>
      </c>
      <c r="DC75" s="683">
        <f t="shared" si="227"/>
        <v>0</v>
      </c>
      <c r="DD75" s="683">
        <f t="shared" si="227"/>
        <v>0</v>
      </c>
      <c r="DE75" s="683">
        <f t="shared" si="227"/>
        <v>0</v>
      </c>
      <c r="DF75" s="683">
        <f t="shared" si="227"/>
        <v>0</v>
      </c>
      <c r="DG75" s="683">
        <f t="shared" si="227"/>
        <v>0</v>
      </c>
      <c r="DH75" s="683">
        <f t="shared" si="23"/>
        <v>0</v>
      </c>
      <c r="DI75" s="683">
        <f t="shared" ref="DI75:DR75" si="228">BY75*$CL75</f>
        <v>0</v>
      </c>
      <c r="DJ75" s="683">
        <f t="shared" si="228"/>
        <v>0</v>
      </c>
      <c r="DK75" s="683">
        <f t="shared" si="228"/>
        <v>0</v>
      </c>
      <c r="DL75" s="683">
        <f t="shared" si="228"/>
        <v>0</v>
      </c>
      <c r="DM75" s="683">
        <f t="shared" si="228"/>
        <v>0</v>
      </c>
      <c r="DN75" s="683">
        <f t="shared" si="228"/>
        <v>0</v>
      </c>
      <c r="DO75" s="683">
        <f t="shared" si="228"/>
        <v>0</v>
      </c>
      <c r="DP75" s="683">
        <f t="shared" si="228"/>
        <v>0</v>
      </c>
      <c r="DQ75" s="683">
        <f t="shared" si="228"/>
        <v>0</v>
      </c>
      <c r="DR75" s="683">
        <f t="shared" si="228"/>
        <v>858.6552</v>
      </c>
      <c r="DS75" s="683">
        <f t="shared" si="25"/>
        <v>858.6552</v>
      </c>
      <c r="DT75" s="683">
        <f t="shared" si="175"/>
        <v>16314.4488</v>
      </c>
      <c r="DU75" s="504"/>
      <c r="DV75" s="486"/>
      <c r="DW75" s="688"/>
      <c r="DX75" s="688"/>
      <c r="DY75" s="688"/>
      <c r="DZ75" s="688"/>
      <c r="EA75" s="688"/>
      <c r="EB75" s="688"/>
      <c r="EC75" s="688"/>
      <c r="ED75" s="688"/>
      <c r="EE75" s="688"/>
      <c r="EF75" s="688"/>
      <c r="EG75" s="688"/>
      <c r="EH75" s="707" t="s">
        <v>398</v>
      </c>
      <c r="EI75" s="708">
        <f>VLOOKUP(I75,CotizacionTDB,4,FALSE())</f>
        <v>123.37</v>
      </c>
      <c r="EJ75" s="708">
        <f>VLOOKUP(I75,CotizacionTDB,5,FALSE())</f>
        <v>104.86</v>
      </c>
      <c r="EK75" s="691"/>
    </row>
    <row r="76" ht="12.0" customHeight="1">
      <c r="A76" s="709" t="s">
        <v>3026</v>
      </c>
      <c r="B76" s="661">
        <v>2.0</v>
      </c>
      <c r="C76" s="567" t="s">
        <v>3027</v>
      </c>
      <c r="D76" s="568" t="s">
        <v>227</v>
      </c>
      <c r="E76" s="568" t="s">
        <v>2708</v>
      </c>
      <c r="F76" s="567" t="s">
        <v>1763</v>
      </c>
      <c r="G76" s="569" t="s">
        <v>2709</v>
      </c>
      <c r="H76" s="569" t="s">
        <v>3133</v>
      </c>
      <c r="I76" s="710" t="s">
        <v>1901</v>
      </c>
      <c r="J76" s="810" t="s">
        <v>980</v>
      </c>
      <c r="K76" s="567" t="s">
        <v>25</v>
      </c>
      <c r="L76" s="567">
        <v>2024.0</v>
      </c>
      <c r="M76" s="567">
        <v>2024.0</v>
      </c>
      <c r="N76" s="567">
        <v>2024.0</v>
      </c>
      <c r="O76" s="567">
        <v>2024.0</v>
      </c>
      <c r="P76" s="567">
        <v>2024.0</v>
      </c>
      <c r="Q76" s="567">
        <v>2024.0</v>
      </c>
      <c r="R76" s="567">
        <v>2024.0</v>
      </c>
      <c r="S76" s="567">
        <v>2024.0</v>
      </c>
      <c r="T76" s="567"/>
      <c r="U76" s="567">
        <v>2024.0</v>
      </c>
      <c r="V76" s="567"/>
      <c r="W76" s="567">
        <v>3.0</v>
      </c>
      <c r="X76" s="567">
        <v>3.0</v>
      </c>
      <c r="Y76" s="567">
        <v>3.0</v>
      </c>
      <c r="Z76" s="567">
        <v>3.0</v>
      </c>
      <c r="AA76" s="567">
        <v>3.0</v>
      </c>
      <c r="AB76" s="567">
        <v>3.0</v>
      </c>
      <c r="AC76" s="567">
        <v>3.0</v>
      </c>
      <c r="AD76" s="567">
        <v>3.0</v>
      </c>
      <c r="AE76" s="567"/>
      <c r="AF76" s="567">
        <v>2.0</v>
      </c>
      <c r="AG76" s="567"/>
      <c r="AH76" s="567"/>
      <c r="AI76" s="567"/>
      <c r="AJ76" s="567"/>
      <c r="AK76" s="567"/>
      <c r="AL76" s="567"/>
      <c r="AM76" s="567"/>
      <c r="AN76" s="567"/>
      <c r="AO76" s="567"/>
      <c r="AP76" s="567"/>
      <c r="AQ76" s="567"/>
      <c r="AR76" s="567">
        <v>-2024.0</v>
      </c>
      <c r="AS76" s="567">
        <v>-2024.0</v>
      </c>
      <c r="AT76" s="567">
        <v>-2024.0</v>
      </c>
      <c r="AU76" s="567">
        <v>-2024.0</v>
      </c>
      <c r="AV76" s="567">
        <v>-2024.0</v>
      </c>
      <c r="AW76" s="567">
        <v>-2024.0</v>
      </c>
      <c r="AX76" s="567">
        <v>-2024.0</v>
      </c>
      <c r="AY76" s="567">
        <v>-2024.0</v>
      </c>
      <c r="AZ76" s="567">
        <v>0.0</v>
      </c>
      <c r="BA76" s="567">
        <v>-2024.0</v>
      </c>
      <c r="BB76" s="567"/>
      <c r="BC76" s="680"/>
      <c r="BD76" s="567"/>
      <c r="BE76" s="680"/>
      <c r="BF76" s="680"/>
      <c r="BG76" s="718"/>
      <c r="BH76" s="718"/>
      <c r="BI76" s="718"/>
      <c r="BJ76" s="718"/>
      <c r="BK76" s="567"/>
      <c r="BL76" s="725"/>
      <c r="BM76" s="665">
        <f t="shared" si="1"/>
        <v>0</v>
      </c>
      <c r="BN76" s="684">
        <v>4.0</v>
      </c>
      <c r="BO76" s="674">
        <v>2.0</v>
      </c>
      <c r="BP76" s="684">
        <v>4.0</v>
      </c>
      <c r="BQ76" s="684">
        <v>6.0</v>
      </c>
      <c r="BR76" s="667">
        <v>2.0</v>
      </c>
      <c r="BS76" s="667">
        <v>2.0</v>
      </c>
      <c r="BT76" s="667">
        <v>2.0</v>
      </c>
      <c r="BU76" s="667">
        <v>2.0</v>
      </c>
      <c r="BV76" s="668"/>
      <c r="BW76" s="705"/>
      <c r="BX76" s="665">
        <f t="shared" si="2"/>
        <v>24</v>
      </c>
      <c r="BY76" s="736">
        <v>2.0</v>
      </c>
      <c r="BZ76" s="668">
        <v>0.0</v>
      </c>
      <c r="CA76" s="668">
        <v>0.0</v>
      </c>
      <c r="CB76" s="668">
        <v>0.0</v>
      </c>
      <c r="CC76" s="668">
        <v>0.0</v>
      </c>
      <c r="CD76" s="668">
        <v>0.0</v>
      </c>
      <c r="CE76" s="668">
        <v>0.0</v>
      </c>
      <c r="CF76" s="668">
        <v>0.0</v>
      </c>
      <c r="CG76" s="668">
        <v>0.0</v>
      </c>
      <c r="CH76" s="811">
        <v>4.0</v>
      </c>
      <c r="CI76" s="665">
        <f t="shared" si="3"/>
        <v>6</v>
      </c>
      <c r="CJ76" s="671">
        <f t="shared" si="4"/>
        <v>30</v>
      </c>
      <c r="CK76" s="715">
        <v>17.11</v>
      </c>
      <c r="CL76" s="668">
        <f t="shared" si="222"/>
        <v>119.0856</v>
      </c>
      <c r="CM76" s="668">
        <f t="shared" ref="CM76:CV76" si="229">BC76*$CL76</f>
        <v>0</v>
      </c>
      <c r="CN76" s="668">
        <f t="shared" si="229"/>
        <v>0</v>
      </c>
      <c r="CO76" s="668">
        <f t="shared" si="229"/>
        <v>0</v>
      </c>
      <c r="CP76" s="668">
        <f t="shared" si="229"/>
        <v>0</v>
      </c>
      <c r="CQ76" s="668">
        <f t="shared" si="229"/>
        <v>0</v>
      </c>
      <c r="CR76" s="668">
        <f t="shared" si="229"/>
        <v>0</v>
      </c>
      <c r="CS76" s="668">
        <f t="shared" si="229"/>
        <v>0</v>
      </c>
      <c r="CT76" s="668">
        <f t="shared" si="229"/>
        <v>0</v>
      </c>
      <c r="CU76" s="668">
        <f t="shared" si="229"/>
        <v>0</v>
      </c>
      <c r="CV76" s="668">
        <f t="shared" si="229"/>
        <v>0</v>
      </c>
      <c r="CW76" s="668">
        <f t="shared" si="21"/>
        <v>0</v>
      </c>
      <c r="CX76" s="668">
        <f t="shared" ref="CX76:DG76" si="230">BN76*$CL76</f>
        <v>476.3424</v>
      </c>
      <c r="CY76" s="668">
        <f t="shared" si="230"/>
        <v>238.1712</v>
      </c>
      <c r="CZ76" s="668">
        <f t="shared" si="230"/>
        <v>476.3424</v>
      </c>
      <c r="DA76" s="668">
        <f t="shared" si="230"/>
        <v>714.5136</v>
      </c>
      <c r="DB76" s="668">
        <f t="shared" si="230"/>
        <v>238.1712</v>
      </c>
      <c r="DC76" s="668">
        <f t="shared" si="230"/>
        <v>238.1712</v>
      </c>
      <c r="DD76" s="668">
        <f t="shared" si="230"/>
        <v>238.1712</v>
      </c>
      <c r="DE76" s="668">
        <f t="shared" si="230"/>
        <v>238.1712</v>
      </c>
      <c r="DF76" s="668">
        <f t="shared" si="230"/>
        <v>0</v>
      </c>
      <c r="DG76" s="668">
        <f t="shared" si="230"/>
        <v>0</v>
      </c>
      <c r="DH76" s="668">
        <f t="shared" si="23"/>
        <v>2858.0544</v>
      </c>
      <c r="DI76" s="668">
        <f t="shared" ref="DI76:DR76" si="231">BY76*$CL76</f>
        <v>238.1712</v>
      </c>
      <c r="DJ76" s="668">
        <f t="shared" si="231"/>
        <v>0</v>
      </c>
      <c r="DK76" s="668">
        <f t="shared" si="231"/>
        <v>0</v>
      </c>
      <c r="DL76" s="668">
        <f t="shared" si="231"/>
        <v>0</v>
      </c>
      <c r="DM76" s="668">
        <f t="shared" si="231"/>
        <v>0</v>
      </c>
      <c r="DN76" s="668">
        <f t="shared" si="231"/>
        <v>0</v>
      </c>
      <c r="DO76" s="668">
        <f t="shared" si="231"/>
        <v>0</v>
      </c>
      <c r="DP76" s="668">
        <f t="shared" si="231"/>
        <v>0</v>
      </c>
      <c r="DQ76" s="668">
        <f t="shared" si="231"/>
        <v>0</v>
      </c>
      <c r="DR76" s="668">
        <f t="shared" si="231"/>
        <v>476.3424</v>
      </c>
      <c r="DS76" s="668">
        <f t="shared" si="25"/>
        <v>714.5136</v>
      </c>
      <c r="DT76" s="668">
        <f t="shared" si="175"/>
        <v>3572.568</v>
      </c>
      <c r="DU76" s="538"/>
      <c r="DV76" s="468"/>
      <c r="DW76" s="698"/>
      <c r="DX76" s="698"/>
      <c r="DY76" s="698"/>
      <c r="DZ76" s="698"/>
      <c r="EA76" s="698"/>
      <c r="EB76" s="698"/>
      <c r="EC76" s="698"/>
      <c r="ED76" s="698"/>
      <c r="EE76" s="698"/>
      <c r="EF76" s="698"/>
      <c r="EG76" s="698"/>
      <c r="EH76" s="576" t="s">
        <v>980</v>
      </c>
      <c r="EI76" s="716">
        <f>VLOOKUP(I76,CotizacionTDB,4,FALSE())</f>
        <v>17.11</v>
      </c>
      <c r="EJ76" s="716">
        <f>VLOOKUP(I76,CotizacionTDB,5,FALSE())</f>
        <v>14.54</v>
      </c>
      <c r="EK76" s="699"/>
    </row>
    <row r="77" ht="12.0" customHeight="1">
      <c r="A77" s="700" t="s">
        <v>3026</v>
      </c>
      <c r="B77" s="701">
        <v>2.0</v>
      </c>
      <c r="C77" s="562" t="s">
        <v>3027</v>
      </c>
      <c r="D77" s="571" t="s">
        <v>227</v>
      </c>
      <c r="E77" s="571" t="s">
        <v>2708</v>
      </c>
      <c r="F77" s="562" t="s">
        <v>1763</v>
      </c>
      <c r="G77" s="569" t="s">
        <v>2709</v>
      </c>
      <c r="H77" s="737"/>
      <c r="I77" s="717" t="s">
        <v>2361</v>
      </c>
      <c r="J77" s="704" t="s">
        <v>1678</v>
      </c>
      <c r="K77" s="562" t="s">
        <v>25</v>
      </c>
      <c r="L77" s="562"/>
      <c r="M77" s="562"/>
      <c r="N77" s="562"/>
      <c r="O77" s="562">
        <v>2024.0</v>
      </c>
      <c r="P77" s="562">
        <v>2024.0</v>
      </c>
      <c r="Q77" s="562"/>
      <c r="R77" s="562"/>
      <c r="S77" s="562"/>
      <c r="T77" s="562"/>
      <c r="U77" s="562"/>
      <c r="V77" s="562"/>
      <c r="W77" s="562">
        <v>3.0</v>
      </c>
      <c r="X77" s="562"/>
      <c r="Y77" s="562"/>
      <c r="Z77" s="562">
        <v>3.0</v>
      </c>
      <c r="AA77" s="562">
        <v>3.0</v>
      </c>
      <c r="AB77" s="562"/>
      <c r="AC77" s="562"/>
      <c r="AD77" s="562"/>
      <c r="AE77" s="562"/>
      <c r="AF77" s="562"/>
      <c r="AG77" s="562"/>
      <c r="AH77" s="562"/>
      <c r="AI77" s="562"/>
      <c r="AJ77" s="562"/>
      <c r="AK77" s="562"/>
      <c r="AL77" s="562"/>
      <c r="AM77" s="562"/>
      <c r="AN77" s="562"/>
      <c r="AO77" s="562"/>
      <c r="AP77" s="562"/>
      <c r="AQ77" s="562"/>
      <c r="AR77" s="562">
        <v>0.0</v>
      </c>
      <c r="AS77" s="562">
        <v>0.0</v>
      </c>
      <c r="AT77" s="562">
        <v>0.0</v>
      </c>
      <c r="AU77" s="562">
        <v>-2024.0</v>
      </c>
      <c r="AV77" s="562">
        <v>-2024.0</v>
      </c>
      <c r="AW77" s="562">
        <v>0.0</v>
      </c>
      <c r="AX77" s="562">
        <v>0.0</v>
      </c>
      <c r="AY77" s="562">
        <v>0.0</v>
      </c>
      <c r="AZ77" s="562">
        <v>0.0</v>
      </c>
      <c r="BA77" s="562">
        <v>0.0</v>
      </c>
      <c r="BB77" s="562"/>
      <c r="BC77" s="680"/>
      <c r="BD77" s="562"/>
      <c r="BE77" s="680"/>
      <c r="BF77" s="718"/>
      <c r="BG77" s="718"/>
      <c r="BH77" s="562"/>
      <c r="BI77" s="562"/>
      <c r="BJ77" s="562"/>
      <c r="BK77" s="562"/>
      <c r="BL77" s="681"/>
      <c r="BM77" s="665">
        <f t="shared" si="1"/>
        <v>0</v>
      </c>
      <c r="BN77" s="734">
        <v>2.0</v>
      </c>
      <c r="BO77" s="683"/>
      <c r="BP77" s="684">
        <v>2.0</v>
      </c>
      <c r="BQ77" s="667">
        <v>2.0</v>
      </c>
      <c r="BR77" s="667">
        <v>4.0</v>
      </c>
      <c r="BS77" s="683"/>
      <c r="BT77" s="683"/>
      <c r="BU77" s="683"/>
      <c r="BV77" s="683"/>
      <c r="BW77" s="686"/>
      <c r="BX77" s="665">
        <f t="shared" si="2"/>
        <v>10</v>
      </c>
      <c r="BY77" s="682">
        <v>0.0</v>
      </c>
      <c r="BZ77" s="683">
        <v>0.0</v>
      </c>
      <c r="CA77" s="683">
        <v>0.0</v>
      </c>
      <c r="CB77" s="683">
        <v>0.0</v>
      </c>
      <c r="CC77" s="683">
        <v>0.0</v>
      </c>
      <c r="CD77" s="683">
        <v>0.0</v>
      </c>
      <c r="CE77" s="683">
        <v>0.0</v>
      </c>
      <c r="CF77" s="683">
        <v>0.0</v>
      </c>
      <c r="CG77" s="683">
        <v>0.0</v>
      </c>
      <c r="CH77" s="686">
        <v>0.0</v>
      </c>
      <c r="CI77" s="665">
        <f t="shared" si="3"/>
        <v>0</v>
      </c>
      <c r="CJ77" s="682">
        <f t="shared" si="4"/>
        <v>10</v>
      </c>
      <c r="CK77" s="706">
        <v>3.77</v>
      </c>
      <c r="CL77" s="683">
        <f t="shared" si="222"/>
        <v>26.2392</v>
      </c>
      <c r="CM77" s="683">
        <f t="shared" ref="CM77:CV77" si="232">BC77*$CL77</f>
        <v>0</v>
      </c>
      <c r="CN77" s="683">
        <f t="shared" si="232"/>
        <v>0</v>
      </c>
      <c r="CO77" s="683">
        <f t="shared" si="232"/>
        <v>0</v>
      </c>
      <c r="CP77" s="683">
        <f t="shared" si="232"/>
        <v>0</v>
      </c>
      <c r="CQ77" s="683">
        <f t="shared" si="232"/>
        <v>0</v>
      </c>
      <c r="CR77" s="683">
        <f t="shared" si="232"/>
        <v>0</v>
      </c>
      <c r="CS77" s="683">
        <f t="shared" si="232"/>
        <v>0</v>
      </c>
      <c r="CT77" s="683">
        <f t="shared" si="232"/>
        <v>0</v>
      </c>
      <c r="CU77" s="683">
        <f t="shared" si="232"/>
        <v>0</v>
      </c>
      <c r="CV77" s="683">
        <f t="shared" si="232"/>
        <v>0</v>
      </c>
      <c r="CW77" s="683">
        <f t="shared" si="21"/>
        <v>0</v>
      </c>
      <c r="CX77" s="683">
        <f t="shared" ref="CX77:DG77" si="233">BN77*$CL77</f>
        <v>52.4784</v>
      </c>
      <c r="CY77" s="683">
        <f t="shared" si="233"/>
        <v>0</v>
      </c>
      <c r="CZ77" s="683">
        <f t="shared" si="233"/>
        <v>52.4784</v>
      </c>
      <c r="DA77" s="683">
        <f t="shared" si="233"/>
        <v>52.4784</v>
      </c>
      <c r="DB77" s="683">
        <f t="shared" si="233"/>
        <v>104.9568</v>
      </c>
      <c r="DC77" s="683">
        <f t="shared" si="233"/>
        <v>0</v>
      </c>
      <c r="DD77" s="683">
        <f t="shared" si="233"/>
        <v>0</v>
      </c>
      <c r="DE77" s="683">
        <f t="shared" si="233"/>
        <v>0</v>
      </c>
      <c r="DF77" s="683">
        <f t="shared" si="233"/>
        <v>0</v>
      </c>
      <c r="DG77" s="683">
        <f t="shared" si="233"/>
        <v>0</v>
      </c>
      <c r="DH77" s="683">
        <f t="shared" si="23"/>
        <v>262.392</v>
      </c>
      <c r="DI77" s="683">
        <f t="shared" ref="DI77:DR77" si="234">BY77*$CL77</f>
        <v>0</v>
      </c>
      <c r="DJ77" s="683">
        <f t="shared" si="234"/>
        <v>0</v>
      </c>
      <c r="DK77" s="683">
        <f t="shared" si="234"/>
        <v>0</v>
      </c>
      <c r="DL77" s="683">
        <f t="shared" si="234"/>
        <v>0</v>
      </c>
      <c r="DM77" s="683">
        <f t="shared" si="234"/>
        <v>0</v>
      </c>
      <c r="DN77" s="683">
        <f t="shared" si="234"/>
        <v>0</v>
      </c>
      <c r="DO77" s="683">
        <f t="shared" si="234"/>
        <v>0</v>
      </c>
      <c r="DP77" s="683">
        <f t="shared" si="234"/>
        <v>0</v>
      </c>
      <c r="DQ77" s="683">
        <f t="shared" si="234"/>
        <v>0</v>
      </c>
      <c r="DR77" s="683">
        <f t="shared" si="234"/>
        <v>0</v>
      </c>
      <c r="DS77" s="683">
        <f t="shared" si="25"/>
        <v>0</v>
      </c>
      <c r="DT77" s="683">
        <f t="shared" si="175"/>
        <v>262.392</v>
      </c>
      <c r="DU77" s="504"/>
      <c r="DV77" s="486"/>
      <c r="DW77" s="688"/>
      <c r="DX77" s="688"/>
      <c r="DY77" s="688"/>
      <c r="DZ77" s="688"/>
      <c r="EA77" s="688"/>
      <c r="EB77" s="688"/>
      <c r="EC77" s="688"/>
      <c r="ED77" s="688"/>
      <c r="EE77" s="688"/>
      <c r="EF77" s="688"/>
      <c r="EG77" s="688"/>
      <c r="EH77" s="812" t="s">
        <v>1678</v>
      </c>
      <c r="EI77" s="708">
        <f>VLOOKUP(I77,CotizacionTDB,4,FALSE())</f>
        <v>3.77</v>
      </c>
      <c r="EJ77" s="708">
        <f>VLOOKUP(I77,CotizacionTDB,5,FALSE())</f>
        <v>3.2</v>
      </c>
      <c r="EK77" s="691"/>
    </row>
    <row r="78" ht="12.0" customHeight="1">
      <c r="A78" s="709" t="s">
        <v>3026</v>
      </c>
      <c r="B78" s="661">
        <v>2.0</v>
      </c>
      <c r="C78" s="567" t="s">
        <v>3027</v>
      </c>
      <c r="D78" s="568" t="s">
        <v>227</v>
      </c>
      <c r="E78" s="568" t="s">
        <v>2708</v>
      </c>
      <c r="F78" s="567" t="s">
        <v>1763</v>
      </c>
      <c r="G78" s="569" t="s">
        <v>2709</v>
      </c>
      <c r="H78" s="658"/>
      <c r="I78" s="710" t="s">
        <v>2033</v>
      </c>
      <c r="J78" s="711" t="s">
        <v>1630</v>
      </c>
      <c r="K78" s="567" t="s">
        <v>25</v>
      </c>
      <c r="L78" s="567">
        <v>2024.0</v>
      </c>
      <c r="M78" s="567">
        <v>2024.0</v>
      </c>
      <c r="N78" s="567">
        <v>2024.0</v>
      </c>
      <c r="O78" s="567">
        <v>2024.0</v>
      </c>
      <c r="P78" s="567">
        <v>2024.0</v>
      </c>
      <c r="Q78" s="567">
        <v>2024.0</v>
      </c>
      <c r="R78" s="567"/>
      <c r="S78" s="567"/>
      <c r="T78" s="567"/>
      <c r="U78" s="567"/>
      <c r="V78" s="567"/>
      <c r="W78" s="567">
        <v>3.0</v>
      </c>
      <c r="X78" s="567">
        <v>3.0</v>
      </c>
      <c r="Y78" s="567">
        <v>3.0</v>
      </c>
      <c r="Z78" s="567">
        <v>3.0</v>
      </c>
      <c r="AA78" s="567">
        <v>3.0</v>
      </c>
      <c r="AB78" s="567">
        <v>3.0</v>
      </c>
      <c r="AC78" s="567"/>
      <c r="AD78" s="567"/>
      <c r="AE78" s="567"/>
      <c r="AF78" s="567"/>
      <c r="AG78" s="567"/>
      <c r="AH78" s="567"/>
      <c r="AI78" s="567"/>
      <c r="AJ78" s="567"/>
      <c r="AK78" s="567"/>
      <c r="AL78" s="567"/>
      <c r="AM78" s="567"/>
      <c r="AN78" s="567"/>
      <c r="AO78" s="567"/>
      <c r="AP78" s="567"/>
      <c r="AQ78" s="567"/>
      <c r="AR78" s="567">
        <v>-2024.0</v>
      </c>
      <c r="AS78" s="567">
        <v>-2024.0</v>
      </c>
      <c r="AT78" s="567">
        <v>-2024.0</v>
      </c>
      <c r="AU78" s="567">
        <v>-2024.0</v>
      </c>
      <c r="AV78" s="567">
        <v>-2024.0</v>
      </c>
      <c r="AW78" s="567">
        <v>-2024.0</v>
      </c>
      <c r="AX78" s="567">
        <v>0.0</v>
      </c>
      <c r="AY78" s="567">
        <v>0.0</v>
      </c>
      <c r="AZ78" s="567">
        <v>0.0</v>
      </c>
      <c r="BA78" s="567">
        <v>0.0</v>
      </c>
      <c r="BB78" s="567"/>
      <c r="BC78" s="718"/>
      <c r="BD78" s="567"/>
      <c r="BE78" s="718"/>
      <c r="BF78" s="718"/>
      <c r="BG78" s="718"/>
      <c r="BH78" s="718"/>
      <c r="BI78" s="567"/>
      <c r="BJ78" s="567"/>
      <c r="BK78" s="567"/>
      <c r="BL78" s="725"/>
      <c r="BM78" s="665">
        <f t="shared" si="1"/>
        <v>0</v>
      </c>
      <c r="BN78" s="666">
        <v>8.0</v>
      </c>
      <c r="BO78" s="674">
        <v>4.0</v>
      </c>
      <c r="BP78" s="667">
        <v>4.0</v>
      </c>
      <c r="BQ78" s="667">
        <v>8.0</v>
      </c>
      <c r="BR78" s="667">
        <v>6.0</v>
      </c>
      <c r="BS78" s="667">
        <v>5.0</v>
      </c>
      <c r="BT78" s="668"/>
      <c r="BU78" s="668"/>
      <c r="BV78" s="668"/>
      <c r="BW78" s="670"/>
      <c r="BX78" s="665">
        <f t="shared" si="2"/>
        <v>35</v>
      </c>
      <c r="BY78" s="671">
        <v>0.0</v>
      </c>
      <c r="BZ78" s="668">
        <v>0.0</v>
      </c>
      <c r="CA78" s="668">
        <v>0.0</v>
      </c>
      <c r="CB78" s="668">
        <v>0.0</v>
      </c>
      <c r="CC78" s="668">
        <v>0.0</v>
      </c>
      <c r="CD78" s="668">
        <v>0.0</v>
      </c>
      <c r="CE78" s="668">
        <v>0.0</v>
      </c>
      <c r="CF78" s="668">
        <v>0.0</v>
      </c>
      <c r="CG78" s="668">
        <v>0.0</v>
      </c>
      <c r="CH78" s="670">
        <v>0.0</v>
      </c>
      <c r="CI78" s="665">
        <f t="shared" si="3"/>
        <v>0</v>
      </c>
      <c r="CJ78" s="671">
        <f t="shared" si="4"/>
        <v>35</v>
      </c>
      <c r="CK78" s="715">
        <v>1.19</v>
      </c>
      <c r="CL78" s="668">
        <f t="shared" si="222"/>
        <v>8.2824</v>
      </c>
      <c r="CM78" s="668">
        <f t="shared" ref="CM78:CV78" si="235">BC78*$CL78</f>
        <v>0</v>
      </c>
      <c r="CN78" s="668">
        <f t="shared" si="235"/>
        <v>0</v>
      </c>
      <c r="CO78" s="668">
        <f t="shared" si="235"/>
        <v>0</v>
      </c>
      <c r="CP78" s="668">
        <f t="shared" si="235"/>
        <v>0</v>
      </c>
      <c r="CQ78" s="668">
        <f t="shared" si="235"/>
        <v>0</v>
      </c>
      <c r="CR78" s="668">
        <f t="shared" si="235"/>
        <v>0</v>
      </c>
      <c r="CS78" s="668">
        <f t="shared" si="235"/>
        <v>0</v>
      </c>
      <c r="CT78" s="668">
        <f t="shared" si="235"/>
        <v>0</v>
      </c>
      <c r="CU78" s="668">
        <f t="shared" si="235"/>
        <v>0</v>
      </c>
      <c r="CV78" s="668">
        <f t="shared" si="235"/>
        <v>0</v>
      </c>
      <c r="CW78" s="668">
        <f t="shared" si="21"/>
        <v>0</v>
      </c>
      <c r="CX78" s="668">
        <f t="shared" ref="CX78:DG78" si="236">BN78*$CL78</f>
        <v>66.2592</v>
      </c>
      <c r="CY78" s="668">
        <f t="shared" si="236"/>
        <v>33.1296</v>
      </c>
      <c r="CZ78" s="668">
        <f t="shared" si="236"/>
        <v>33.1296</v>
      </c>
      <c r="DA78" s="668">
        <f t="shared" si="236"/>
        <v>66.2592</v>
      </c>
      <c r="DB78" s="668">
        <f t="shared" si="236"/>
        <v>49.6944</v>
      </c>
      <c r="DC78" s="668">
        <f t="shared" si="236"/>
        <v>41.412</v>
      </c>
      <c r="DD78" s="668">
        <f t="shared" si="236"/>
        <v>0</v>
      </c>
      <c r="DE78" s="668">
        <f t="shared" si="236"/>
        <v>0</v>
      </c>
      <c r="DF78" s="668">
        <f t="shared" si="236"/>
        <v>0</v>
      </c>
      <c r="DG78" s="668">
        <f t="shared" si="236"/>
        <v>0</v>
      </c>
      <c r="DH78" s="668">
        <f t="shared" si="23"/>
        <v>289.884</v>
      </c>
      <c r="DI78" s="668">
        <f t="shared" ref="DI78:DR78" si="237">BY78*$CL78</f>
        <v>0</v>
      </c>
      <c r="DJ78" s="668">
        <f t="shared" si="237"/>
        <v>0</v>
      </c>
      <c r="DK78" s="668">
        <f t="shared" si="237"/>
        <v>0</v>
      </c>
      <c r="DL78" s="668">
        <f t="shared" si="237"/>
        <v>0</v>
      </c>
      <c r="DM78" s="668">
        <f t="shared" si="237"/>
        <v>0</v>
      </c>
      <c r="DN78" s="668">
        <f t="shared" si="237"/>
        <v>0</v>
      </c>
      <c r="DO78" s="668">
        <f t="shared" si="237"/>
        <v>0</v>
      </c>
      <c r="DP78" s="668">
        <f t="shared" si="237"/>
        <v>0</v>
      </c>
      <c r="DQ78" s="668">
        <f t="shared" si="237"/>
        <v>0</v>
      </c>
      <c r="DR78" s="668">
        <f t="shared" si="237"/>
        <v>0</v>
      </c>
      <c r="DS78" s="668">
        <f t="shared" si="25"/>
        <v>0</v>
      </c>
      <c r="DT78" s="668">
        <f t="shared" si="175"/>
        <v>289.884</v>
      </c>
      <c r="DU78" s="538"/>
      <c r="DV78" s="468"/>
      <c r="DW78" s="698"/>
      <c r="DX78" s="698"/>
      <c r="DY78" s="698"/>
      <c r="DZ78" s="698"/>
      <c r="EA78" s="698"/>
      <c r="EB78" s="698"/>
      <c r="EC78" s="698"/>
      <c r="ED78" s="698"/>
      <c r="EE78" s="698"/>
      <c r="EF78" s="698"/>
      <c r="EG78" s="698"/>
      <c r="EH78" s="576" t="s">
        <v>3134</v>
      </c>
      <c r="EI78" s="716">
        <f>VLOOKUP(I78,CotizacionTDB,4,FALSE())</f>
        <v>1.19</v>
      </c>
      <c r="EJ78" s="716">
        <f>VLOOKUP(I78,CotizacionTDB,5,FALSE())</f>
        <v>1.01</v>
      </c>
      <c r="EK78" s="699"/>
    </row>
    <row r="79" ht="12.0" customHeight="1">
      <c r="A79" s="700" t="s">
        <v>3026</v>
      </c>
      <c r="B79" s="701">
        <v>2.0</v>
      </c>
      <c r="C79" s="562" t="s">
        <v>3027</v>
      </c>
      <c r="D79" s="571" t="s">
        <v>129</v>
      </c>
      <c r="E79" s="571" t="s">
        <v>2722</v>
      </c>
      <c r="F79" s="562" t="s">
        <v>1763</v>
      </c>
      <c r="G79" s="702" t="s">
        <v>2723</v>
      </c>
      <c r="H79" s="569" t="s">
        <v>3135</v>
      </c>
      <c r="I79" s="703" t="s">
        <v>2242</v>
      </c>
      <c r="J79" s="704" t="s">
        <v>429</v>
      </c>
      <c r="K79" s="562" t="s">
        <v>25</v>
      </c>
      <c r="L79" s="562"/>
      <c r="M79" s="562"/>
      <c r="N79" s="562"/>
      <c r="O79" s="562">
        <v>2024.0</v>
      </c>
      <c r="P79" s="562"/>
      <c r="Q79" s="562"/>
      <c r="R79" s="562"/>
      <c r="S79" s="562"/>
      <c r="T79" s="562"/>
      <c r="U79" s="562"/>
      <c r="V79" s="562"/>
      <c r="W79" s="562"/>
      <c r="X79" s="562"/>
      <c r="Y79" s="562"/>
      <c r="Z79" s="562">
        <v>8.0</v>
      </c>
      <c r="AA79" s="562"/>
      <c r="AB79" s="562"/>
      <c r="AC79" s="562"/>
      <c r="AD79" s="562"/>
      <c r="AE79" s="562"/>
      <c r="AF79" s="562"/>
      <c r="AG79" s="562"/>
      <c r="AH79" s="562"/>
      <c r="AI79" s="562"/>
      <c r="AJ79" s="562"/>
      <c r="AK79" s="562"/>
      <c r="AL79" s="562"/>
      <c r="AM79" s="562"/>
      <c r="AN79" s="562"/>
      <c r="AO79" s="562"/>
      <c r="AP79" s="562"/>
      <c r="AQ79" s="562"/>
      <c r="AR79" s="562">
        <v>0.0</v>
      </c>
      <c r="AS79" s="562">
        <v>0.0</v>
      </c>
      <c r="AT79" s="562">
        <v>0.0</v>
      </c>
      <c r="AU79" s="562">
        <v>-2024.0</v>
      </c>
      <c r="AV79" s="562">
        <v>0.0</v>
      </c>
      <c r="AW79" s="562">
        <v>0.0</v>
      </c>
      <c r="AX79" s="562">
        <v>0.0</v>
      </c>
      <c r="AY79" s="562">
        <v>0.0</v>
      </c>
      <c r="AZ79" s="562">
        <v>0.0</v>
      </c>
      <c r="BA79" s="562">
        <v>0.0</v>
      </c>
      <c r="BB79" s="562"/>
      <c r="BC79" s="562"/>
      <c r="BD79" s="562"/>
      <c r="BE79" s="562"/>
      <c r="BF79" s="718"/>
      <c r="BG79" s="562"/>
      <c r="BH79" s="562"/>
      <c r="BI79" s="562"/>
      <c r="BJ79" s="562"/>
      <c r="BK79" s="562"/>
      <c r="BL79" s="681"/>
      <c r="BM79" s="665">
        <f t="shared" si="1"/>
        <v>0</v>
      </c>
      <c r="BN79" s="682"/>
      <c r="BO79" s="683"/>
      <c r="BP79" s="683"/>
      <c r="BQ79" s="508"/>
      <c r="BR79" s="683"/>
      <c r="BS79" s="667">
        <v>1.0</v>
      </c>
      <c r="BT79" s="683"/>
      <c r="BU79" s="683"/>
      <c r="BV79" s="683"/>
      <c r="BW79" s="686"/>
      <c r="BX79" s="665">
        <f t="shared" si="2"/>
        <v>1</v>
      </c>
      <c r="BY79" s="682">
        <v>0.0</v>
      </c>
      <c r="BZ79" s="683">
        <v>0.0</v>
      </c>
      <c r="CA79" s="813"/>
      <c r="CB79" s="683">
        <v>0.0</v>
      </c>
      <c r="CC79" s="683">
        <v>0.0</v>
      </c>
      <c r="CD79" s="683">
        <v>0.0</v>
      </c>
      <c r="CE79" s="683">
        <v>0.0</v>
      </c>
      <c r="CF79" s="683">
        <v>0.0</v>
      </c>
      <c r="CG79" s="683">
        <v>0.0</v>
      </c>
      <c r="CH79" s="686">
        <v>0.0</v>
      </c>
      <c r="CI79" s="665">
        <f t="shared" si="3"/>
        <v>0</v>
      </c>
      <c r="CJ79" s="682">
        <f t="shared" si="4"/>
        <v>1</v>
      </c>
      <c r="CK79" s="706">
        <v>12845.69</v>
      </c>
      <c r="CL79" s="683">
        <f t="shared" si="222"/>
        <v>89406.0024</v>
      </c>
      <c r="CM79" s="683">
        <f t="shared" ref="CM79:CV79" si="238">BC79*$CL79</f>
        <v>0</v>
      </c>
      <c r="CN79" s="683">
        <f t="shared" si="238"/>
        <v>0</v>
      </c>
      <c r="CO79" s="683">
        <f t="shared" si="238"/>
        <v>0</v>
      </c>
      <c r="CP79" s="683">
        <f t="shared" si="238"/>
        <v>0</v>
      </c>
      <c r="CQ79" s="683">
        <f t="shared" si="238"/>
        <v>0</v>
      </c>
      <c r="CR79" s="683">
        <f t="shared" si="238"/>
        <v>0</v>
      </c>
      <c r="CS79" s="683">
        <f t="shared" si="238"/>
        <v>0</v>
      </c>
      <c r="CT79" s="683">
        <f t="shared" si="238"/>
        <v>0</v>
      </c>
      <c r="CU79" s="683">
        <f t="shared" si="238"/>
        <v>0</v>
      </c>
      <c r="CV79" s="683">
        <f t="shared" si="238"/>
        <v>0</v>
      </c>
      <c r="CW79" s="683">
        <f t="shared" si="21"/>
        <v>0</v>
      </c>
      <c r="CX79" s="683">
        <f t="shared" ref="CX79:CZ79" si="239">BN79*$CL79</f>
        <v>0</v>
      </c>
      <c r="CY79" s="683">
        <f t="shared" si="239"/>
        <v>0</v>
      </c>
      <c r="CZ79" s="683">
        <f t="shared" si="239"/>
        <v>0</v>
      </c>
      <c r="DA79" s="683">
        <f>BS79*$CL79</f>
        <v>89406.0024</v>
      </c>
      <c r="DB79" s="683">
        <f t="shared" ref="DB79:DG79" si="240">BR79*$CL79</f>
        <v>0</v>
      </c>
      <c r="DC79" s="683">
        <f t="shared" si="240"/>
        <v>89406.0024</v>
      </c>
      <c r="DD79" s="683">
        <f t="shared" si="240"/>
        <v>0</v>
      </c>
      <c r="DE79" s="683">
        <f t="shared" si="240"/>
        <v>0</v>
      </c>
      <c r="DF79" s="683">
        <f t="shared" si="240"/>
        <v>0</v>
      </c>
      <c r="DG79" s="683">
        <f t="shared" si="240"/>
        <v>0</v>
      </c>
      <c r="DH79" s="683">
        <f t="shared" si="23"/>
        <v>89406.0024</v>
      </c>
      <c r="DI79" s="683">
        <f t="shared" ref="DI79:DR79" si="241">BY79*$CL79</f>
        <v>0</v>
      </c>
      <c r="DJ79" s="683">
        <f t="shared" si="241"/>
        <v>0</v>
      </c>
      <c r="DK79" s="683">
        <f t="shared" si="241"/>
        <v>0</v>
      </c>
      <c r="DL79" s="683">
        <f t="shared" si="241"/>
        <v>0</v>
      </c>
      <c r="DM79" s="683">
        <f t="shared" si="241"/>
        <v>0</v>
      </c>
      <c r="DN79" s="683">
        <f t="shared" si="241"/>
        <v>0</v>
      </c>
      <c r="DO79" s="683">
        <f t="shared" si="241"/>
        <v>0</v>
      </c>
      <c r="DP79" s="683">
        <f t="shared" si="241"/>
        <v>0</v>
      </c>
      <c r="DQ79" s="683">
        <f t="shared" si="241"/>
        <v>0</v>
      </c>
      <c r="DR79" s="683">
        <f t="shared" si="241"/>
        <v>0</v>
      </c>
      <c r="DS79" s="683">
        <f t="shared" si="25"/>
        <v>0</v>
      </c>
      <c r="DT79" s="683">
        <f t="shared" si="175"/>
        <v>89406.0024</v>
      </c>
      <c r="DU79" s="504"/>
      <c r="DV79" s="486"/>
      <c r="DW79" s="688"/>
      <c r="DX79" s="688"/>
      <c r="DY79" s="688"/>
      <c r="DZ79" s="688"/>
      <c r="EA79" s="688"/>
      <c r="EB79" s="688"/>
      <c r="EC79" s="688"/>
      <c r="ED79" s="688"/>
      <c r="EE79" s="688"/>
      <c r="EF79" s="688"/>
      <c r="EG79" s="688"/>
      <c r="EH79" s="707" t="s">
        <v>429</v>
      </c>
      <c r="EI79" s="708">
        <f>VLOOKUP(I79,CotizacionTDB,4,FALSE())</f>
        <v>12845.69</v>
      </c>
      <c r="EJ79" s="708">
        <f>VLOOKUP(I79,CotizacionTDB,5,FALSE())</f>
        <v>10918.84</v>
      </c>
      <c r="EK79" s="691"/>
    </row>
    <row r="80" ht="12.0" customHeight="1">
      <c r="A80" s="709" t="s">
        <v>3026</v>
      </c>
      <c r="B80" s="661">
        <v>2.0</v>
      </c>
      <c r="C80" s="567" t="s">
        <v>3027</v>
      </c>
      <c r="D80" s="568" t="s">
        <v>129</v>
      </c>
      <c r="E80" s="568" t="s">
        <v>2722</v>
      </c>
      <c r="F80" s="567" t="s">
        <v>1763</v>
      </c>
      <c r="G80" s="657" t="s">
        <v>2723</v>
      </c>
      <c r="H80" s="569" t="s">
        <v>3136</v>
      </c>
      <c r="I80" s="721" t="s">
        <v>2448</v>
      </c>
      <c r="J80" s="711" t="s">
        <v>404</v>
      </c>
      <c r="K80" s="567" t="s">
        <v>25</v>
      </c>
      <c r="L80" s="567"/>
      <c r="M80" s="567"/>
      <c r="N80" s="567"/>
      <c r="O80" s="567"/>
      <c r="P80" s="567"/>
      <c r="Q80" s="567"/>
      <c r="R80" s="567">
        <v>2024.0</v>
      </c>
      <c r="S80" s="567">
        <v>2024.0</v>
      </c>
      <c r="T80" s="567"/>
      <c r="U80" s="662">
        <v>2024.0</v>
      </c>
      <c r="V80" s="662"/>
      <c r="W80" s="567"/>
      <c r="X80" s="567"/>
      <c r="Y80" s="567"/>
      <c r="Z80" s="567"/>
      <c r="AA80" s="567"/>
      <c r="AB80" s="567"/>
      <c r="AC80" s="567">
        <v>3.0</v>
      </c>
      <c r="AD80" s="567">
        <v>3.0</v>
      </c>
      <c r="AE80" s="567"/>
      <c r="AF80" s="567">
        <v>3.0</v>
      </c>
      <c r="AG80" s="662"/>
      <c r="AH80" s="567"/>
      <c r="AI80" s="567"/>
      <c r="AJ80" s="567"/>
      <c r="AK80" s="567"/>
      <c r="AL80" s="567"/>
      <c r="AM80" s="567"/>
      <c r="AN80" s="567"/>
      <c r="AO80" s="567"/>
      <c r="AP80" s="567"/>
      <c r="AQ80" s="567"/>
      <c r="AR80" s="567">
        <v>0.0</v>
      </c>
      <c r="AS80" s="567">
        <v>0.0</v>
      </c>
      <c r="AT80" s="567">
        <v>0.0</v>
      </c>
      <c r="AU80" s="567">
        <v>0.0</v>
      </c>
      <c r="AV80" s="567">
        <v>0.0</v>
      </c>
      <c r="AW80" s="567">
        <v>0.0</v>
      </c>
      <c r="AX80" s="567">
        <v>-2024.0</v>
      </c>
      <c r="AY80" s="567">
        <v>-2024.0</v>
      </c>
      <c r="AZ80" s="567">
        <v>0.0</v>
      </c>
      <c r="BA80" s="567">
        <v>-2024.0</v>
      </c>
      <c r="BB80" s="567"/>
      <c r="BC80" s="567"/>
      <c r="BD80" s="567"/>
      <c r="BE80" s="567"/>
      <c r="BF80" s="680"/>
      <c r="BG80" s="782"/>
      <c r="BH80" s="680"/>
      <c r="BI80" s="567">
        <v>1.0</v>
      </c>
      <c r="BJ80" s="567">
        <v>1.0</v>
      </c>
      <c r="BK80" s="567"/>
      <c r="BL80" s="814"/>
      <c r="BM80" s="665">
        <f t="shared" si="1"/>
        <v>2</v>
      </c>
      <c r="BN80" s="671"/>
      <c r="BO80" s="668"/>
      <c r="BP80" s="668"/>
      <c r="BQ80" s="684">
        <v>1.0</v>
      </c>
      <c r="BR80" s="668"/>
      <c r="BS80" s="684">
        <v>1.0</v>
      </c>
      <c r="BT80" s="668"/>
      <c r="BU80" s="668"/>
      <c r="BV80" s="668"/>
      <c r="BW80" s="670"/>
      <c r="BX80" s="665">
        <f t="shared" si="2"/>
        <v>2</v>
      </c>
      <c r="BY80" s="671">
        <v>0.0</v>
      </c>
      <c r="BZ80" s="668">
        <v>0.0</v>
      </c>
      <c r="CA80" s="668">
        <v>0.0</v>
      </c>
      <c r="CB80" s="668">
        <v>0.0</v>
      </c>
      <c r="CC80" s="668">
        <v>0.0</v>
      </c>
      <c r="CD80" s="668">
        <v>0.0</v>
      </c>
      <c r="CE80" s="668">
        <v>0.0</v>
      </c>
      <c r="CF80" s="668">
        <v>0.0</v>
      </c>
      <c r="CG80" s="668">
        <v>0.0</v>
      </c>
      <c r="CH80" s="670">
        <v>0.0</v>
      </c>
      <c r="CI80" s="665">
        <f t="shared" si="3"/>
        <v>0</v>
      </c>
      <c r="CJ80" s="671">
        <f t="shared" si="4"/>
        <v>4</v>
      </c>
      <c r="CK80" s="715">
        <v>2389.29</v>
      </c>
      <c r="CL80" s="668">
        <f t="shared" si="222"/>
        <v>16629.4584</v>
      </c>
      <c r="CM80" s="668">
        <f t="shared" ref="CM80:CV80" si="242">BC80*$CL80</f>
        <v>0</v>
      </c>
      <c r="CN80" s="668">
        <f t="shared" si="242"/>
        <v>0</v>
      </c>
      <c r="CO80" s="668">
        <f t="shared" si="242"/>
        <v>0</v>
      </c>
      <c r="CP80" s="668">
        <f t="shared" si="242"/>
        <v>0</v>
      </c>
      <c r="CQ80" s="668">
        <f t="shared" si="242"/>
        <v>0</v>
      </c>
      <c r="CR80" s="668">
        <f t="shared" si="242"/>
        <v>0</v>
      </c>
      <c r="CS80" s="668">
        <f t="shared" si="242"/>
        <v>16629.4584</v>
      </c>
      <c r="CT80" s="668">
        <f t="shared" si="242"/>
        <v>16629.4584</v>
      </c>
      <c r="CU80" s="668">
        <f t="shared" si="242"/>
        <v>0</v>
      </c>
      <c r="CV80" s="668">
        <f t="shared" si="242"/>
        <v>0</v>
      </c>
      <c r="CW80" s="668">
        <f t="shared" si="21"/>
        <v>33258.9168</v>
      </c>
      <c r="CX80" s="668">
        <f t="shared" ref="CX80:DG80" si="243">BN80*$CL80</f>
        <v>0</v>
      </c>
      <c r="CY80" s="668">
        <f t="shared" si="243"/>
        <v>0</v>
      </c>
      <c r="CZ80" s="668">
        <f t="shared" si="243"/>
        <v>0</v>
      </c>
      <c r="DA80" s="668">
        <f t="shared" si="243"/>
        <v>16629.4584</v>
      </c>
      <c r="DB80" s="668">
        <f t="shared" si="243"/>
        <v>0</v>
      </c>
      <c r="DC80" s="668">
        <f t="shared" si="243"/>
        <v>16629.4584</v>
      </c>
      <c r="DD80" s="668">
        <f t="shared" si="243"/>
        <v>0</v>
      </c>
      <c r="DE80" s="668">
        <f t="shared" si="243"/>
        <v>0</v>
      </c>
      <c r="DF80" s="668">
        <f t="shared" si="243"/>
        <v>0</v>
      </c>
      <c r="DG80" s="668">
        <f t="shared" si="243"/>
        <v>0</v>
      </c>
      <c r="DH80" s="668">
        <f t="shared" si="23"/>
        <v>33258.9168</v>
      </c>
      <c r="DI80" s="668">
        <f t="shared" ref="DI80:DR80" si="244">BY80*$CL80</f>
        <v>0</v>
      </c>
      <c r="DJ80" s="668">
        <f t="shared" si="244"/>
        <v>0</v>
      </c>
      <c r="DK80" s="668">
        <f t="shared" si="244"/>
        <v>0</v>
      </c>
      <c r="DL80" s="668">
        <f t="shared" si="244"/>
        <v>0</v>
      </c>
      <c r="DM80" s="668">
        <f t="shared" si="244"/>
        <v>0</v>
      </c>
      <c r="DN80" s="668">
        <f t="shared" si="244"/>
        <v>0</v>
      </c>
      <c r="DO80" s="668">
        <f t="shared" si="244"/>
        <v>0</v>
      </c>
      <c r="DP80" s="668">
        <f t="shared" si="244"/>
        <v>0</v>
      </c>
      <c r="DQ80" s="668">
        <f t="shared" si="244"/>
        <v>0</v>
      </c>
      <c r="DR80" s="668">
        <f t="shared" si="244"/>
        <v>0</v>
      </c>
      <c r="DS80" s="668">
        <f t="shared" si="25"/>
        <v>0</v>
      </c>
      <c r="DT80" s="668">
        <f t="shared" si="175"/>
        <v>66517.8336</v>
      </c>
      <c r="DU80" s="538"/>
      <c r="DV80" s="468"/>
      <c r="DW80" s="698"/>
      <c r="DX80" s="698"/>
      <c r="DY80" s="698"/>
      <c r="DZ80" s="698"/>
      <c r="EA80" s="698"/>
      <c r="EB80" s="698"/>
      <c r="EC80" s="698"/>
      <c r="ED80" s="698"/>
      <c r="EE80" s="698"/>
      <c r="EF80" s="698"/>
      <c r="EG80" s="698"/>
      <c r="EH80" s="576" t="s">
        <v>3137</v>
      </c>
      <c r="EI80" s="716">
        <f>VLOOKUP(I80,CotizacionTDB,4,FALSE())</f>
        <v>2389.29</v>
      </c>
      <c r="EJ80" s="716">
        <f>VLOOKUP(I80,CotizacionTDB,5,FALSE())</f>
        <v>2030.9</v>
      </c>
      <c r="EK80" s="699"/>
    </row>
    <row r="81" ht="12.0" customHeight="1">
      <c r="A81" s="700" t="s">
        <v>3026</v>
      </c>
      <c r="B81" s="701">
        <v>39.0</v>
      </c>
      <c r="C81" s="562" t="s">
        <v>3027</v>
      </c>
      <c r="D81" s="562" t="s">
        <v>129</v>
      </c>
      <c r="E81" s="562" t="s">
        <v>2722</v>
      </c>
      <c r="F81" s="562" t="s">
        <v>1774</v>
      </c>
      <c r="G81" s="815" t="s">
        <v>2723</v>
      </c>
      <c r="H81" s="717" t="s">
        <v>3138</v>
      </c>
      <c r="I81" s="562"/>
      <c r="J81" s="571" t="s">
        <v>3139</v>
      </c>
      <c r="K81" s="562" t="s">
        <v>25</v>
      </c>
      <c r="L81" s="562"/>
      <c r="M81" s="562">
        <v>2025.0</v>
      </c>
      <c r="N81" s="562"/>
      <c r="O81" s="562">
        <v>2024.0</v>
      </c>
      <c r="P81" s="562">
        <v>2024.0</v>
      </c>
      <c r="Q81" s="562">
        <v>2024.0</v>
      </c>
      <c r="R81" s="562"/>
      <c r="S81" s="562"/>
      <c r="T81" s="562"/>
      <c r="U81" s="562"/>
      <c r="V81" s="562"/>
      <c r="W81" s="562"/>
      <c r="X81" s="562">
        <v>3.0</v>
      </c>
      <c r="Y81" s="562"/>
      <c r="Z81" s="562">
        <v>4.0</v>
      </c>
      <c r="AA81" s="562">
        <v>4.0</v>
      </c>
      <c r="AB81" s="562">
        <v>4.0</v>
      </c>
      <c r="AC81" s="562"/>
      <c r="AD81" s="562"/>
      <c r="AE81" s="562"/>
      <c r="AF81" s="562"/>
      <c r="AG81" s="562"/>
      <c r="AH81" s="562"/>
      <c r="AI81" s="562"/>
      <c r="AJ81" s="562"/>
      <c r="AK81" s="562"/>
      <c r="AL81" s="562"/>
      <c r="AM81" s="562"/>
      <c r="AN81" s="562"/>
      <c r="AO81" s="562"/>
      <c r="AP81" s="562"/>
      <c r="AQ81" s="562"/>
      <c r="AR81" s="562">
        <v>0.0</v>
      </c>
      <c r="AS81" s="562">
        <v>-2025.0</v>
      </c>
      <c r="AT81" s="562">
        <v>0.0</v>
      </c>
      <c r="AU81" s="562">
        <v>-2024.0</v>
      </c>
      <c r="AV81" s="562">
        <v>-2024.0</v>
      </c>
      <c r="AW81" s="562">
        <v>-2024.0</v>
      </c>
      <c r="AX81" s="562">
        <v>0.0</v>
      </c>
      <c r="AY81" s="562">
        <v>0.0</v>
      </c>
      <c r="AZ81" s="562">
        <v>0.0</v>
      </c>
      <c r="BA81" s="562">
        <v>0.0</v>
      </c>
      <c r="BB81" s="562"/>
      <c r="BC81" s="701">
        <v>8.0</v>
      </c>
      <c r="BD81" s="562">
        <v>6.0</v>
      </c>
      <c r="BE81" s="562"/>
      <c r="BF81" s="562">
        <v>8.0</v>
      </c>
      <c r="BG81" s="562">
        <v>6.0</v>
      </c>
      <c r="BH81" s="562">
        <v>8.0</v>
      </c>
      <c r="BI81" s="562"/>
      <c r="BJ81" s="680">
        <v>4.0</v>
      </c>
      <c r="BK81" s="562"/>
      <c r="BL81" s="681"/>
      <c r="BM81" s="665">
        <f t="shared" si="1"/>
        <v>40</v>
      </c>
      <c r="BN81" s="682"/>
      <c r="BO81" s="683">
        <v>6.0</v>
      </c>
      <c r="BP81" s="683"/>
      <c r="BQ81" s="683"/>
      <c r="BR81" s="683"/>
      <c r="BS81" s="683"/>
      <c r="BT81" s="683"/>
      <c r="BU81" s="683"/>
      <c r="BV81" s="683"/>
      <c r="BW81" s="686"/>
      <c r="BX81" s="665">
        <f t="shared" si="2"/>
        <v>6</v>
      </c>
      <c r="BY81" s="682">
        <v>0.0</v>
      </c>
      <c r="BZ81" s="683">
        <v>0.0</v>
      </c>
      <c r="CA81" s="683">
        <v>0.0</v>
      </c>
      <c r="CB81" s="683">
        <v>0.0</v>
      </c>
      <c r="CC81" s="683">
        <v>0.0</v>
      </c>
      <c r="CD81" s="683">
        <v>0.0</v>
      </c>
      <c r="CE81" s="683">
        <v>0.0</v>
      </c>
      <c r="CF81" s="683">
        <v>0.0</v>
      </c>
      <c r="CG81" s="683">
        <v>0.0</v>
      </c>
      <c r="CH81" s="686">
        <v>0.0</v>
      </c>
      <c r="CI81" s="665">
        <f t="shared" si="3"/>
        <v>0</v>
      </c>
      <c r="CJ81" s="682">
        <f t="shared" si="4"/>
        <v>46</v>
      </c>
      <c r="CK81" s="687"/>
      <c r="CL81" s="816">
        <v>1850.0</v>
      </c>
      <c r="CM81" s="683">
        <f t="shared" ref="CM81:CV81" si="245">BC81*$CL81</f>
        <v>14800</v>
      </c>
      <c r="CN81" s="683">
        <f t="shared" si="245"/>
        <v>11100</v>
      </c>
      <c r="CO81" s="683">
        <f t="shared" si="245"/>
        <v>0</v>
      </c>
      <c r="CP81" s="683">
        <f t="shared" si="245"/>
        <v>14800</v>
      </c>
      <c r="CQ81" s="683">
        <f t="shared" si="245"/>
        <v>11100</v>
      </c>
      <c r="CR81" s="683">
        <f t="shared" si="245"/>
        <v>14800</v>
      </c>
      <c r="CS81" s="683">
        <f t="shared" si="245"/>
        <v>0</v>
      </c>
      <c r="CT81" s="683">
        <f t="shared" si="245"/>
        <v>7400</v>
      </c>
      <c r="CU81" s="683">
        <f t="shared" si="245"/>
        <v>0</v>
      </c>
      <c r="CV81" s="683">
        <f t="shared" si="245"/>
        <v>0</v>
      </c>
      <c r="CW81" s="683">
        <f t="shared" si="21"/>
        <v>74000</v>
      </c>
      <c r="CX81" s="683">
        <f t="shared" ref="CX81:DG81" si="246">BN81*$CL81</f>
        <v>0</v>
      </c>
      <c r="CY81" s="683">
        <f t="shared" si="246"/>
        <v>11100</v>
      </c>
      <c r="CZ81" s="683">
        <f t="shared" si="246"/>
        <v>0</v>
      </c>
      <c r="DA81" s="683">
        <f t="shared" si="246"/>
        <v>0</v>
      </c>
      <c r="DB81" s="683">
        <f t="shared" si="246"/>
        <v>0</v>
      </c>
      <c r="DC81" s="683">
        <f t="shared" si="246"/>
        <v>0</v>
      </c>
      <c r="DD81" s="683">
        <f t="shared" si="246"/>
        <v>0</v>
      </c>
      <c r="DE81" s="683">
        <f t="shared" si="246"/>
        <v>0</v>
      </c>
      <c r="DF81" s="683">
        <f t="shared" si="246"/>
        <v>0</v>
      </c>
      <c r="DG81" s="683">
        <f t="shared" si="246"/>
        <v>0</v>
      </c>
      <c r="DH81" s="683">
        <f t="shared" si="23"/>
        <v>11100</v>
      </c>
      <c r="DI81" s="683">
        <f t="shared" ref="DI81:DR81" si="247">BY81*$CL81</f>
        <v>0</v>
      </c>
      <c r="DJ81" s="683">
        <f t="shared" si="247"/>
        <v>0</v>
      </c>
      <c r="DK81" s="683">
        <f t="shared" si="247"/>
        <v>0</v>
      </c>
      <c r="DL81" s="683">
        <f t="shared" si="247"/>
        <v>0</v>
      </c>
      <c r="DM81" s="683">
        <f t="shared" si="247"/>
        <v>0</v>
      </c>
      <c r="DN81" s="683">
        <f t="shared" si="247"/>
        <v>0</v>
      </c>
      <c r="DO81" s="683">
        <f t="shared" si="247"/>
        <v>0</v>
      </c>
      <c r="DP81" s="683">
        <f t="shared" si="247"/>
        <v>0</v>
      </c>
      <c r="DQ81" s="683">
        <f t="shared" si="247"/>
        <v>0</v>
      </c>
      <c r="DR81" s="683">
        <f t="shared" si="247"/>
        <v>0</v>
      </c>
      <c r="DS81" s="683">
        <f t="shared" si="25"/>
        <v>0</v>
      </c>
      <c r="DT81" s="683">
        <f t="shared" si="175"/>
        <v>85100</v>
      </c>
      <c r="DU81" s="817"/>
      <c r="DV81" s="818" t="s">
        <v>3140</v>
      </c>
      <c r="DW81" s="819"/>
      <c r="DX81" s="819"/>
      <c r="DY81" s="819"/>
      <c r="DZ81" s="819"/>
      <c r="EA81" s="819"/>
      <c r="EB81" s="819"/>
      <c r="EC81" s="819"/>
      <c r="ED81" s="819"/>
      <c r="EE81" s="819"/>
      <c r="EF81" s="819"/>
      <c r="EG81" s="819"/>
      <c r="EH81" s="689">
        <f>CK81*6.97</f>
        <v>0</v>
      </c>
      <c r="EI81" s="690">
        <v>1.0</v>
      </c>
      <c r="EJ81" s="691"/>
      <c r="EK81" s="691"/>
    </row>
    <row r="82" ht="12.0" customHeight="1">
      <c r="A82" s="709" t="s">
        <v>3026</v>
      </c>
      <c r="B82" s="661">
        <v>2.0</v>
      </c>
      <c r="C82" s="567" t="s">
        <v>3027</v>
      </c>
      <c r="D82" s="568" t="s">
        <v>129</v>
      </c>
      <c r="E82" s="568" t="s">
        <v>2722</v>
      </c>
      <c r="F82" s="567" t="s">
        <v>1763</v>
      </c>
      <c r="G82" s="657" t="s">
        <v>2723</v>
      </c>
      <c r="H82" s="569" t="s">
        <v>3141</v>
      </c>
      <c r="I82" s="721" t="s">
        <v>2424</v>
      </c>
      <c r="J82" s="820" t="s">
        <v>655</v>
      </c>
      <c r="K82" s="567" t="s">
        <v>25</v>
      </c>
      <c r="L82" s="567"/>
      <c r="M82" s="567"/>
      <c r="N82" s="567"/>
      <c r="O82" s="567"/>
      <c r="P82" s="567"/>
      <c r="Q82" s="567"/>
      <c r="R82" s="567"/>
      <c r="S82" s="567">
        <v>2024.0</v>
      </c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>
        <v>1.0</v>
      </c>
      <c r="AE82" s="567"/>
      <c r="AF82" s="567"/>
      <c r="AG82" s="567"/>
      <c r="AH82" s="567"/>
      <c r="AI82" s="567"/>
      <c r="AJ82" s="567"/>
      <c r="AK82" s="567"/>
      <c r="AL82" s="567"/>
      <c r="AM82" s="567"/>
      <c r="AN82" s="567"/>
      <c r="AO82" s="567"/>
      <c r="AP82" s="567"/>
      <c r="AQ82" s="567"/>
      <c r="AR82" s="567">
        <v>0.0</v>
      </c>
      <c r="AS82" s="567">
        <v>0.0</v>
      </c>
      <c r="AT82" s="567">
        <v>0.0</v>
      </c>
      <c r="AU82" s="567">
        <v>0.0</v>
      </c>
      <c r="AV82" s="567">
        <v>0.0</v>
      </c>
      <c r="AW82" s="567">
        <v>0.0</v>
      </c>
      <c r="AX82" s="567">
        <v>0.0</v>
      </c>
      <c r="AY82" s="567">
        <v>-2024.0</v>
      </c>
      <c r="AZ82" s="567">
        <v>0.0</v>
      </c>
      <c r="BA82" s="567">
        <v>0.0</v>
      </c>
      <c r="BB82" s="567"/>
      <c r="BC82" s="567"/>
      <c r="BD82" s="567"/>
      <c r="BE82" s="567"/>
      <c r="BF82" s="567"/>
      <c r="BG82" s="718"/>
      <c r="BH82" s="661">
        <v>0.0</v>
      </c>
      <c r="BI82" s="567"/>
      <c r="BJ82" s="718"/>
      <c r="BK82" s="567"/>
      <c r="BL82" s="725"/>
      <c r="BM82" s="665">
        <f t="shared" si="1"/>
        <v>0</v>
      </c>
      <c r="BN82" s="671"/>
      <c r="BO82" s="668"/>
      <c r="BP82" s="668"/>
      <c r="BQ82" s="668"/>
      <c r="BR82" s="667">
        <v>1.0</v>
      </c>
      <c r="BS82" s="674">
        <v>1.0</v>
      </c>
      <c r="BT82" s="668"/>
      <c r="BU82" s="684">
        <v>2.0</v>
      </c>
      <c r="BV82" s="668"/>
      <c r="BW82" s="670"/>
      <c r="BX82" s="665">
        <f t="shared" si="2"/>
        <v>4</v>
      </c>
      <c r="BY82" s="671">
        <v>0.0</v>
      </c>
      <c r="BZ82" s="668">
        <v>0.0</v>
      </c>
      <c r="CA82" s="668">
        <v>0.0</v>
      </c>
      <c r="CB82" s="668">
        <v>0.0</v>
      </c>
      <c r="CC82" s="668">
        <v>0.0</v>
      </c>
      <c r="CD82" s="668">
        <v>0.0</v>
      </c>
      <c r="CE82" s="668">
        <v>0.0</v>
      </c>
      <c r="CF82" s="668">
        <v>0.0</v>
      </c>
      <c r="CG82" s="668">
        <v>0.0</v>
      </c>
      <c r="CH82" s="670">
        <v>0.0</v>
      </c>
      <c r="CI82" s="665">
        <f t="shared" si="3"/>
        <v>0</v>
      </c>
      <c r="CJ82" s="671">
        <f t="shared" si="4"/>
        <v>4</v>
      </c>
      <c r="CK82" s="715">
        <v>2625.33</v>
      </c>
      <c r="CL82" s="668">
        <f t="shared" ref="CL82:CL113" si="251">CK82*$CL$1</f>
        <v>18272.2968</v>
      </c>
      <c r="CM82" s="668">
        <f t="shared" ref="CM82:CV82" si="248">BC82*$CL82</f>
        <v>0</v>
      </c>
      <c r="CN82" s="668">
        <f t="shared" si="248"/>
        <v>0</v>
      </c>
      <c r="CO82" s="668">
        <f t="shared" si="248"/>
        <v>0</v>
      </c>
      <c r="CP82" s="668">
        <f t="shared" si="248"/>
        <v>0</v>
      </c>
      <c r="CQ82" s="668">
        <f t="shared" si="248"/>
        <v>0</v>
      </c>
      <c r="CR82" s="668">
        <f t="shared" si="248"/>
        <v>0</v>
      </c>
      <c r="CS82" s="668">
        <f t="shared" si="248"/>
        <v>0</v>
      </c>
      <c r="CT82" s="668">
        <f t="shared" si="248"/>
        <v>0</v>
      </c>
      <c r="CU82" s="668">
        <f t="shared" si="248"/>
        <v>0</v>
      </c>
      <c r="CV82" s="668">
        <f t="shared" si="248"/>
        <v>0</v>
      </c>
      <c r="CW82" s="668">
        <f t="shared" si="21"/>
        <v>0</v>
      </c>
      <c r="CX82" s="668">
        <f t="shared" ref="CX82:DG82" si="249">BN82*$CL82</f>
        <v>0</v>
      </c>
      <c r="CY82" s="668">
        <f t="shared" si="249"/>
        <v>0</v>
      </c>
      <c r="CZ82" s="668">
        <f t="shared" si="249"/>
        <v>0</v>
      </c>
      <c r="DA82" s="668">
        <f t="shared" si="249"/>
        <v>0</v>
      </c>
      <c r="DB82" s="668">
        <f t="shared" si="249"/>
        <v>18272.2968</v>
      </c>
      <c r="DC82" s="668">
        <f t="shared" si="249"/>
        <v>18272.2968</v>
      </c>
      <c r="DD82" s="668">
        <f t="shared" si="249"/>
        <v>0</v>
      </c>
      <c r="DE82" s="668">
        <f t="shared" si="249"/>
        <v>36544.5936</v>
      </c>
      <c r="DF82" s="668">
        <f t="shared" si="249"/>
        <v>0</v>
      </c>
      <c r="DG82" s="668">
        <f t="shared" si="249"/>
        <v>0</v>
      </c>
      <c r="DH82" s="668">
        <f t="shared" si="23"/>
        <v>73089.1872</v>
      </c>
      <c r="DI82" s="668">
        <f t="shared" ref="DI82:DR82" si="250">BY82*$CL82</f>
        <v>0</v>
      </c>
      <c r="DJ82" s="668">
        <f t="shared" si="250"/>
        <v>0</v>
      </c>
      <c r="DK82" s="668">
        <f t="shared" si="250"/>
        <v>0</v>
      </c>
      <c r="DL82" s="668">
        <f t="shared" si="250"/>
        <v>0</v>
      </c>
      <c r="DM82" s="668">
        <f t="shared" si="250"/>
        <v>0</v>
      </c>
      <c r="DN82" s="668">
        <f t="shared" si="250"/>
        <v>0</v>
      </c>
      <c r="DO82" s="668">
        <f t="shared" si="250"/>
        <v>0</v>
      </c>
      <c r="DP82" s="668">
        <f t="shared" si="250"/>
        <v>0</v>
      </c>
      <c r="DQ82" s="668">
        <f t="shared" si="250"/>
        <v>0</v>
      </c>
      <c r="DR82" s="668">
        <f t="shared" si="250"/>
        <v>0</v>
      </c>
      <c r="DS82" s="668">
        <f t="shared" si="25"/>
        <v>0</v>
      </c>
      <c r="DT82" s="668">
        <f t="shared" si="175"/>
        <v>73089.1872</v>
      </c>
      <c r="DU82" s="767"/>
      <c r="DV82" s="468" t="s">
        <v>3142</v>
      </c>
      <c r="DW82" s="698"/>
      <c r="DX82" s="698"/>
      <c r="DY82" s="698"/>
      <c r="DZ82" s="698"/>
      <c r="EA82" s="698"/>
      <c r="EB82" s="698"/>
      <c r="EC82" s="698"/>
      <c r="ED82" s="698"/>
      <c r="EE82" s="698"/>
      <c r="EF82" s="698"/>
      <c r="EG82" s="698"/>
      <c r="EH82" s="576" t="s">
        <v>3143</v>
      </c>
      <c r="EI82" s="716">
        <f>VLOOKUP(I82,CotizacionTDB,4,FALSE())</f>
        <v>2625.33</v>
      </c>
      <c r="EJ82" s="716">
        <f>VLOOKUP(I82,CotizacionTDB,5,FALSE())</f>
        <v>2231.53</v>
      </c>
      <c r="EK82" s="699"/>
    </row>
    <row r="83" ht="12.0" customHeight="1">
      <c r="A83" s="700" t="s">
        <v>3026</v>
      </c>
      <c r="B83" s="701">
        <v>2.0</v>
      </c>
      <c r="C83" s="562" t="s">
        <v>3027</v>
      </c>
      <c r="D83" s="571" t="s">
        <v>129</v>
      </c>
      <c r="E83" s="571" t="s">
        <v>2722</v>
      </c>
      <c r="F83" s="562" t="s">
        <v>1763</v>
      </c>
      <c r="G83" s="702" t="s">
        <v>2723</v>
      </c>
      <c r="H83" s="569" t="s">
        <v>3144</v>
      </c>
      <c r="I83" s="703" t="s">
        <v>2389</v>
      </c>
      <c r="J83" s="704" t="s">
        <v>372</v>
      </c>
      <c r="K83" s="562" t="s">
        <v>25</v>
      </c>
      <c r="L83" s="562">
        <v>2024.0</v>
      </c>
      <c r="M83" s="562">
        <v>2024.0</v>
      </c>
      <c r="N83" s="821">
        <v>2025.0</v>
      </c>
      <c r="O83" s="562">
        <v>2024.0</v>
      </c>
      <c r="P83" s="562">
        <v>2024.0</v>
      </c>
      <c r="Q83" s="562">
        <v>2024.0</v>
      </c>
      <c r="R83" s="562"/>
      <c r="S83" s="562"/>
      <c r="T83" s="562"/>
      <c r="U83" s="562"/>
      <c r="V83" s="562"/>
      <c r="W83" s="562">
        <v>3.0</v>
      </c>
      <c r="X83" s="562">
        <v>3.0</v>
      </c>
      <c r="Y83" s="562">
        <v>3.0</v>
      </c>
      <c r="Z83" s="562">
        <v>2.0</v>
      </c>
      <c r="AA83" s="562">
        <v>2.0</v>
      </c>
      <c r="AB83" s="562">
        <v>2.0</v>
      </c>
      <c r="AC83" s="562"/>
      <c r="AD83" s="562"/>
      <c r="AE83" s="562"/>
      <c r="AF83" s="562"/>
      <c r="AG83" s="562"/>
      <c r="AH83" s="562"/>
      <c r="AI83" s="562"/>
      <c r="AJ83" s="562"/>
      <c r="AK83" s="562"/>
      <c r="AL83" s="562"/>
      <c r="AM83" s="562"/>
      <c r="AN83" s="562"/>
      <c r="AO83" s="562"/>
      <c r="AP83" s="562"/>
      <c r="AQ83" s="562"/>
      <c r="AR83" s="562">
        <v>-2024.0</v>
      </c>
      <c r="AS83" s="562">
        <v>-2024.0</v>
      </c>
      <c r="AT83" s="562">
        <v>-2025.0</v>
      </c>
      <c r="AU83" s="562">
        <v>-2024.0</v>
      </c>
      <c r="AV83" s="562">
        <v>-2024.0</v>
      </c>
      <c r="AW83" s="562">
        <v>-2024.0</v>
      </c>
      <c r="AX83" s="562">
        <v>0.0</v>
      </c>
      <c r="AY83" s="562">
        <v>0.0</v>
      </c>
      <c r="AZ83" s="562">
        <v>0.0</v>
      </c>
      <c r="BA83" s="562">
        <v>0.0</v>
      </c>
      <c r="BB83" s="562"/>
      <c r="BC83" s="562">
        <v>8.0</v>
      </c>
      <c r="BD83" s="562">
        <v>4.0</v>
      </c>
      <c r="BE83" s="562">
        <v>4.0</v>
      </c>
      <c r="BF83" s="701"/>
      <c r="BG83" s="701"/>
      <c r="BH83" s="701"/>
      <c r="BI83" s="701">
        <v>2.0</v>
      </c>
      <c r="BJ83" s="562">
        <v>1.0</v>
      </c>
      <c r="BK83" s="562"/>
      <c r="BL83" s="719"/>
      <c r="BM83" s="665">
        <f t="shared" si="1"/>
        <v>19</v>
      </c>
      <c r="BN83" s="682"/>
      <c r="BO83" s="683"/>
      <c r="BP83" s="683">
        <v>4.0</v>
      </c>
      <c r="BQ83" s="687">
        <v>2.0</v>
      </c>
      <c r="BR83" s="687">
        <v>5.0</v>
      </c>
      <c r="BS83" s="687">
        <v>5.0</v>
      </c>
      <c r="BT83" s="744">
        <v>2.0</v>
      </c>
      <c r="BU83" s="683"/>
      <c r="BV83" s="683"/>
      <c r="BW83" s="720">
        <v>2.0</v>
      </c>
      <c r="BX83" s="665">
        <f t="shared" si="2"/>
        <v>20</v>
      </c>
      <c r="BY83" s="682">
        <v>0.0</v>
      </c>
      <c r="BZ83" s="683">
        <v>0.0</v>
      </c>
      <c r="CA83" s="683">
        <v>0.0</v>
      </c>
      <c r="CB83" s="687">
        <v>2.0</v>
      </c>
      <c r="CC83" s="687">
        <v>5.0</v>
      </c>
      <c r="CD83" s="687">
        <v>5.0</v>
      </c>
      <c r="CE83" s="730">
        <v>0.0</v>
      </c>
      <c r="CF83" s="683">
        <v>2.0</v>
      </c>
      <c r="CG83" s="683">
        <v>0.0</v>
      </c>
      <c r="CH83" s="686">
        <v>2.0</v>
      </c>
      <c r="CI83" s="665">
        <f t="shared" si="3"/>
        <v>16</v>
      </c>
      <c r="CJ83" s="682">
        <f t="shared" si="4"/>
        <v>55</v>
      </c>
      <c r="CK83" s="706">
        <v>257.23</v>
      </c>
      <c r="CL83" s="683">
        <f t="shared" si="251"/>
        <v>1790.3208</v>
      </c>
      <c r="CM83" s="683">
        <f t="shared" ref="CM83:CV83" si="252">BC83*$CL83</f>
        <v>14322.5664</v>
      </c>
      <c r="CN83" s="683">
        <f t="shared" si="252"/>
        <v>7161.2832</v>
      </c>
      <c r="CO83" s="683">
        <f t="shared" si="252"/>
        <v>7161.2832</v>
      </c>
      <c r="CP83" s="683">
        <f t="shared" si="252"/>
        <v>0</v>
      </c>
      <c r="CQ83" s="683">
        <f t="shared" si="252"/>
        <v>0</v>
      </c>
      <c r="CR83" s="683">
        <f t="shared" si="252"/>
        <v>0</v>
      </c>
      <c r="CS83" s="683">
        <f t="shared" si="252"/>
        <v>3580.6416</v>
      </c>
      <c r="CT83" s="683">
        <f t="shared" si="252"/>
        <v>1790.3208</v>
      </c>
      <c r="CU83" s="683">
        <f t="shared" si="252"/>
        <v>0</v>
      </c>
      <c r="CV83" s="683">
        <f t="shared" si="252"/>
        <v>0</v>
      </c>
      <c r="CW83" s="683">
        <f t="shared" si="21"/>
        <v>34016.0952</v>
      </c>
      <c r="CX83" s="683">
        <f t="shared" ref="CX83:DG83" si="253">BN83*$CL83</f>
        <v>0</v>
      </c>
      <c r="CY83" s="683">
        <f t="shared" si="253"/>
        <v>0</v>
      </c>
      <c r="CZ83" s="683">
        <f t="shared" si="253"/>
        <v>7161.2832</v>
      </c>
      <c r="DA83" s="683">
        <f t="shared" si="253"/>
        <v>3580.6416</v>
      </c>
      <c r="DB83" s="683">
        <f t="shared" si="253"/>
        <v>8951.604</v>
      </c>
      <c r="DC83" s="683">
        <f t="shared" si="253"/>
        <v>8951.604</v>
      </c>
      <c r="DD83" s="683">
        <f t="shared" si="253"/>
        <v>3580.6416</v>
      </c>
      <c r="DE83" s="683">
        <f t="shared" si="253"/>
        <v>0</v>
      </c>
      <c r="DF83" s="683">
        <f t="shared" si="253"/>
        <v>0</v>
      </c>
      <c r="DG83" s="683">
        <f t="shared" si="253"/>
        <v>3580.6416</v>
      </c>
      <c r="DH83" s="683">
        <f t="shared" si="23"/>
        <v>35806.416</v>
      </c>
      <c r="DI83" s="683">
        <f t="shared" ref="DI83:DR83" si="254">BY83*$CL83</f>
        <v>0</v>
      </c>
      <c r="DJ83" s="683">
        <f t="shared" si="254"/>
        <v>0</v>
      </c>
      <c r="DK83" s="683">
        <f t="shared" si="254"/>
        <v>0</v>
      </c>
      <c r="DL83" s="683">
        <f t="shared" si="254"/>
        <v>3580.6416</v>
      </c>
      <c r="DM83" s="683">
        <f t="shared" si="254"/>
        <v>8951.604</v>
      </c>
      <c r="DN83" s="683">
        <f t="shared" si="254"/>
        <v>8951.604</v>
      </c>
      <c r="DO83" s="683">
        <f t="shared" si="254"/>
        <v>0</v>
      </c>
      <c r="DP83" s="683">
        <f t="shared" si="254"/>
        <v>3580.6416</v>
      </c>
      <c r="DQ83" s="683">
        <f t="shared" si="254"/>
        <v>0</v>
      </c>
      <c r="DR83" s="683">
        <f t="shared" si="254"/>
        <v>3580.6416</v>
      </c>
      <c r="DS83" s="683">
        <f t="shared" si="25"/>
        <v>28645.1328</v>
      </c>
      <c r="DT83" s="683">
        <f t="shared" si="175"/>
        <v>98467.644</v>
      </c>
      <c r="DU83" s="504"/>
      <c r="DV83" s="486"/>
      <c r="DW83" s="688"/>
      <c r="DX83" s="688"/>
      <c r="DY83" s="688"/>
      <c r="DZ83" s="688"/>
      <c r="EA83" s="688"/>
      <c r="EB83" s="688"/>
      <c r="EC83" s="688"/>
      <c r="ED83" s="688"/>
      <c r="EE83" s="688"/>
      <c r="EF83" s="688"/>
      <c r="EG83" s="688"/>
      <c r="EH83" s="707" t="s">
        <v>3145</v>
      </c>
      <c r="EI83" s="708">
        <f>VLOOKUP(I83,CotizacionTDB,4,FALSE())</f>
        <v>257.23</v>
      </c>
      <c r="EJ83" s="708">
        <f>VLOOKUP(I83,CotizacionTDB,5,FALSE())</f>
        <v>218.65</v>
      </c>
      <c r="EK83" s="691"/>
    </row>
    <row r="84" ht="12.0" customHeight="1">
      <c r="A84" s="709" t="s">
        <v>3026</v>
      </c>
      <c r="B84" s="661">
        <v>2.0</v>
      </c>
      <c r="C84" s="567" t="s">
        <v>3027</v>
      </c>
      <c r="D84" s="568" t="s">
        <v>129</v>
      </c>
      <c r="E84" s="568" t="s">
        <v>2722</v>
      </c>
      <c r="F84" s="567" t="s">
        <v>1763</v>
      </c>
      <c r="G84" s="657" t="s">
        <v>2723</v>
      </c>
      <c r="H84" s="569" t="s">
        <v>3146</v>
      </c>
      <c r="I84" s="822" t="s">
        <v>2065</v>
      </c>
      <c r="J84" s="711" t="s">
        <v>679</v>
      </c>
      <c r="K84" s="567" t="s">
        <v>25</v>
      </c>
      <c r="L84" s="567"/>
      <c r="M84" s="567"/>
      <c r="N84" s="567">
        <v>2024.0</v>
      </c>
      <c r="O84" s="567"/>
      <c r="P84" s="567"/>
      <c r="Q84" s="567"/>
      <c r="R84" s="567">
        <v>2024.0</v>
      </c>
      <c r="S84" s="567">
        <v>2024.0</v>
      </c>
      <c r="T84" s="567">
        <v>2024.0</v>
      </c>
      <c r="U84" s="567"/>
      <c r="V84" s="567"/>
      <c r="W84" s="567"/>
      <c r="X84" s="567"/>
      <c r="Y84" s="567">
        <v>1.0</v>
      </c>
      <c r="Z84" s="567"/>
      <c r="AA84" s="567"/>
      <c r="AB84" s="567"/>
      <c r="AC84" s="567">
        <v>1.0</v>
      </c>
      <c r="AD84" s="567">
        <v>1.0</v>
      </c>
      <c r="AE84" s="567">
        <v>1.0</v>
      </c>
      <c r="AF84" s="567"/>
      <c r="AG84" s="567"/>
      <c r="AH84" s="567"/>
      <c r="AI84" s="567"/>
      <c r="AJ84" s="567"/>
      <c r="AK84" s="567"/>
      <c r="AL84" s="567"/>
      <c r="AM84" s="567"/>
      <c r="AN84" s="567"/>
      <c r="AO84" s="567"/>
      <c r="AP84" s="567"/>
      <c r="AQ84" s="567"/>
      <c r="AR84" s="567">
        <v>0.0</v>
      </c>
      <c r="AS84" s="567">
        <v>0.0</v>
      </c>
      <c r="AT84" s="567">
        <v>-2024.0</v>
      </c>
      <c r="AU84" s="567">
        <v>0.0</v>
      </c>
      <c r="AV84" s="567">
        <v>0.0</v>
      </c>
      <c r="AW84" s="567">
        <v>0.0</v>
      </c>
      <c r="AX84" s="567">
        <v>-2024.0</v>
      </c>
      <c r="AY84" s="567">
        <v>-2024.0</v>
      </c>
      <c r="AZ84" s="567">
        <v>-2024.0</v>
      </c>
      <c r="BA84" s="567">
        <v>0.0</v>
      </c>
      <c r="BB84" s="567"/>
      <c r="BC84" s="567"/>
      <c r="BD84" s="567"/>
      <c r="BE84" s="567">
        <v>1.0</v>
      </c>
      <c r="BF84" s="567"/>
      <c r="BG84" s="567"/>
      <c r="BH84" s="567"/>
      <c r="BI84" s="567">
        <v>1.0</v>
      </c>
      <c r="BJ84" s="567">
        <v>1.0</v>
      </c>
      <c r="BK84" s="823">
        <v>0.0</v>
      </c>
      <c r="BL84" s="567"/>
      <c r="BM84" s="665">
        <f t="shared" si="1"/>
        <v>3</v>
      </c>
      <c r="BN84" s="671"/>
      <c r="BO84" s="668"/>
      <c r="BP84" s="668"/>
      <c r="BQ84" s="668"/>
      <c r="BR84" s="668"/>
      <c r="BS84" s="668"/>
      <c r="BT84" s="668"/>
      <c r="BU84" s="668"/>
      <c r="BV84" s="824">
        <v>1.0</v>
      </c>
      <c r="BW84" s="713">
        <v>1.0</v>
      </c>
      <c r="BX84" s="665">
        <f t="shared" si="2"/>
        <v>2</v>
      </c>
      <c r="BY84" s="671">
        <v>0.0</v>
      </c>
      <c r="BZ84" s="668">
        <v>0.0</v>
      </c>
      <c r="CA84" s="668">
        <v>0.0</v>
      </c>
      <c r="CB84" s="668">
        <v>0.0</v>
      </c>
      <c r="CC84" s="668">
        <v>0.0</v>
      </c>
      <c r="CD84" s="668">
        <v>0.0</v>
      </c>
      <c r="CE84" s="668">
        <v>0.0</v>
      </c>
      <c r="CF84" s="668">
        <v>0.0</v>
      </c>
      <c r="CG84" s="668">
        <v>0.0</v>
      </c>
      <c r="CH84" s="670">
        <v>0.0</v>
      </c>
      <c r="CI84" s="665">
        <f t="shared" si="3"/>
        <v>0</v>
      </c>
      <c r="CJ84" s="671">
        <f t="shared" si="4"/>
        <v>5</v>
      </c>
      <c r="CK84" s="715">
        <v>1224.6</v>
      </c>
      <c r="CL84" s="668">
        <f t="shared" si="251"/>
        <v>8523.216</v>
      </c>
      <c r="CM84" s="668">
        <f t="shared" ref="CM84:CV84" si="255">BC84*$CL84</f>
        <v>0</v>
      </c>
      <c r="CN84" s="668">
        <f t="shared" si="255"/>
        <v>0</v>
      </c>
      <c r="CO84" s="668">
        <f t="shared" si="255"/>
        <v>8523.216</v>
      </c>
      <c r="CP84" s="668">
        <f t="shared" si="255"/>
        <v>0</v>
      </c>
      <c r="CQ84" s="668">
        <f t="shared" si="255"/>
        <v>0</v>
      </c>
      <c r="CR84" s="668">
        <f t="shared" si="255"/>
        <v>0</v>
      </c>
      <c r="CS84" s="668">
        <f t="shared" si="255"/>
        <v>8523.216</v>
      </c>
      <c r="CT84" s="668">
        <f t="shared" si="255"/>
        <v>8523.216</v>
      </c>
      <c r="CU84" s="668">
        <f t="shared" si="255"/>
        <v>0</v>
      </c>
      <c r="CV84" s="668">
        <f t="shared" si="255"/>
        <v>0</v>
      </c>
      <c r="CW84" s="668">
        <f t="shared" si="21"/>
        <v>25569.648</v>
      </c>
      <c r="CX84" s="668">
        <f t="shared" ref="CX84:DG84" si="256">BN84*$CL84</f>
        <v>0</v>
      </c>
      <c r="CY84" s="668">
        <f t="shared" si="256"/>
        <v>0</v>
      </c>
      <c r="CZ84" s="668">
        <f t="shared" si="256"/>
        <v>0</v>
      </c>
      <c r="DA84" s="668">
        <f t="shared" si="256"/>
        <v>0</v>
      </c>
      <c r="DB84" s="668">
        <f t="shared" si="256"/>
        <v>0</v>
      </c>
      <c r="DC84" s="668">
        <f t="shared" si="256"/>
        <v>0</v>
      </c>
      <c r="DD84" s="668">
        <f t="shared" si="256"/>
        <v>0</v>
      </c>
      <c r="DE84" s="668">
        <f t="shared" si="256"/>
        <v>0</v>
      </c>
      <c r="DF84" s="668">
        <f t="shared" si="256"/>
        <v>8523.216</v>
      </c>
      <c r="DG84" s="668">
        <f t="shared" si="256"/>
        <v>8523.216</v>
      </c>
      <c r="DH84" s="668">
        <f t="shared" si="23"/>
        <v>17046.432</v>
      </c>
      <c r="DI84" s="668">
        <f t="shared" ref="DI84:DR84" si="257">BY84*$CL84</f>
        <v>0</v>
      </c>
      <c r="DJ84" s="668">
        <f t="shared" si="257"/>
        <v>0</v>
      </c>
      <c r="DK84" s="668">
        <f t="shared" si="257"/>
        <v>0</v>
      </c>
      <c r="DL84" s="668">
        <f t="shared" si="257"/>
        <v>0</v>
      </c>
      <c r="DM84" s="668">
        <f t="shared" si="257"/>
        <v>0</v>
      </c>
      <c r="DN84" s="668">
        <f t="shared" si="257"/>
        <v>0</v>
      </c>
      <c r="DO84" s="668">
        <f t="shared" si="257"/>
        <v>0</v>
      </c>
      <c r="DP84" s="668">
        <f t="shared" si="257"/>
        <v>0</v>
      </c>
      <c r="DQ84" s="668">
        <f t="shared" si="257"/>
        <v>0</v>
      </c>
      <c r="DR84" s="668">
        <f t="shared" si="257"/>
        <v>0</v>
      </c>
      <c r="DS84" s="668">
        <f t="shared" si="25"/>
        <v>0</v>
      </c>
      <c r="DT84" s="668">
        <f t="shared" si="175"/>
        <v>42616.08</v>
      </c>
      <c r="DU84" s="538"/>
      <c r="DV84" s="468"/>
      <c r="DW84" s="698"/>
      <c r="DX84" s="698"/>
      <c r="DY84" s="698"/>
      <c r="DZ84" s="698"/>
      <c r="EA84" s="698"/>
      <c r="EB84" s="698"/>
      <c r="EC84" s="698"/>
      <c r="ED84" s="468"/>
      <c r="EE84" s="698"/>
      <c r="EF84" s="698"/>
      <c r="EG84" s="698"/>
      <c r="EH84" s="576" t="s">
        <v>3147</v>
      </c>
      <c r="EI84" s="716">
        <f>VLOOKUP(I84,CotizacionTDB,4,FALSE())</f>
        <v>1224.6</v>
      </c>
      <c r="EJ84" s="716">
        <f>VLOOKUP(I84,CotizacionTDB,5,FALSE())</f>
        <v>1040.91</v>
      </c>
      <c r="EK84" s="699"/>
    </row>
    <row r="85" ht="12.0" customHeight="1">
      <c r="A85" s="700" t="s">
        <v>3026</v>
      </c>
      <c r="B85" s="701">
        <v>2.0</v>
      </c>
      <c r="C85" s="562" t="s">
        <v>3027</v>
      </c>
      <c r="D85" s="571" t="s">
        <v>129</v>
      </c>
      <c r="E85" s="571" t="s">
        <v>2722</v>
      </c>
      <c r="F85" s="562" t="s">
        <v>1763</v>
      </c>
      <c r="G85" s="702" t="s">
        <v>2723</v>
      </c>
      <c r="H85" s="569" t="s">
        <v>3148</v>
      </c>
      <c r="I85" s="703" t="s">
        <v>2241</v>
      </c>
      <c r="J85" s="704" t="s">
        <v>3149</v>
      </c>
      <c r="K85" s="562" t="s">
        <v>25</v>
      </c>
      <c r="L85" s="562"/>
      <c r="M85" s="562"/>
      <c r="N85" s="562"/>
      <c r="O85" s="562">
        <v>2024.0</v>
      </c>
      <c r="P85" s="562">
        <v>2024.0</v>
      </c>
      <c r="Q85" s="562"/>
      <c r="R85" s="562"/>
      <c r="S85" s="562"/>
      <c r="T85" s="562"/>
      <c r="U85" s="562"/>
      <c r="V85" s="562"/>
      <c r="W85" s="562">
        <v>3.0</v>
      </c>
      <c r="X85" s="562"/>
      <c r="Y85" s="562"/>
      <c r="Z85" s="562">
        <v>2.0</v>
      </c>
      <c r="AA85" s="562">
        <v>2.0</v>
      </c>
      <c r="AB85" s="562"/>
      <c r="AC85" s="562"/>
      <c r="AD85" s="562"/>
      <c r="AE85" s="562"/>
      <c r="AF85" s="562"/>
      <c r="AG85" s="562"/>
      <c r="AH85" s="562"/>
      <c r="AI85" s="562"/>
      <c r="AJ85" s="562"/>
      <c r="AK85" s="562"/>
      <c r="AL85" s="562"/>
      <c r="AM85" s="562"/>
      <c r="AN85" s="562"/>
      <c r="AO85" s="562"/>
      <c r="AP85" s="562"/>
      <c r="AQ85" s="562"/>
      <c r="AR85" s="562">
        <v>0.0</v>
      </c>
      <c r="AS85" s="562">
        <v>0.0</v>
      </c>
      <c r="AT85" s="562">
        <v>0.0</v>
      </c>
      <c r="AU85" s="562">
        <v>-2024.0</v>
      </c>
      <c r="AV85" s="562">
        <v>-2024.0</v>
      </c>
      <c r="AW85" s="562">
        <v>0.0</v>
      </c>
      <c r="AX85" s="562">
        <v>0.0</v>
      </c>
      <c r="AY85" s="562">
        <v>0.0</v>
      </c>
      <c r="AZ85" s="562">
        <v>0.0</v>
      </c>
      <c r="BA85" s="562">
        <v>0.0</v>
      </c>
      <c r="BB85" s="562"/>
      <c r="BC85" s="562"/>
      <c r="BD85" s="562"/>
      <c r="BE85" s="562"/>
      <c r="BF85" s="718"/>
      <c r="BG85" s="562">
        <v>1.0</v>
      </c>
      <c r="BH85" s="562"/>
      <c r="BI85" s="562"/>
      <c r="BJ85" s="562"/>
      <c r="BK85" s="562"/>
      <c r="BL85" s="681"/>
      <c r="BM85" s="665">
        <f t="shared" si="1"/>
        <v>1</v>
      </c>
      <c r="BN85" s="682"/>
      <c r="BO85" s="683"/>
      <c r="BP85" s="683"/>
      <c r="BQ85" s="683"/>
      <c r="BR85" s="683"/>
      <c r="BS85" s="683"/>
      <c r="BT85" s="683"/>
      <c r="BU85" s="683"/>
      <c r="BV85" s="683"/>
      <c r="BW85" s="724">
        <v>1.0</v>
      </c>
      <c r="BX85" s="665">
        <f t="shared" si="2"/>
        <v>1</v>
      </c>
      <c r="BY85" s="682">
        <v>0.0</v>
      </c>
      <c r="BZ85" s="683">
        <v>0.0</v>
      </c>
      <c r="CA85" s="683">
        <v>0.0</v>
      </c>
      <c r="CB85" s="683">
        <v>1.0</v>
      </c>
      <c r="CC85" s="683">
        <v>1.0</v>
      </c>
      <c r="CD85" s="683">
        <v>0.0</v>
      </c>
      <c r="CE85" s="683">
        <v>0.0</v>
      </c>
      <c r="CF85" s="683">
        <v>0.0</v>
      </c>
      <c r="CG85" s="683">
        <v>0.0</v>
      </c>
      <c r="CH85" s="686">
        <v>0.0</v>
      </c>
      <c r="CI85" s="665">
        <f t="shared" si="3"/>
        <v>2</v>
      </c>
      <c r="CJ85" s="682">
        <f t="shared" si="4"/>
        <v>4</v>
      </c>
      <c r="CK85" s="706">
        <v>1185.38</v>
      </c>
      <c r="CL85" s="683">
        <f t="shared" si="251"/>
        <v>8250.2448</v>
      </c>
      <c r="CM85" s="683">
        <f t="shared" ref="CM85:CV85" si="258">BC85*$CL85</f>
        <v>0</v>
      </c>
      <c r="CN85" s="683">
        <f t="shared" si="258"/>
        <v>0</v>
      </c>
      <c r="CO85" s="683">
        <f t="shared" si="258"/>
        <v>0</v>
      </c>
      <c r="CP85" s="683">
        <f t="shared" si="258"/>
        <v>0</v>
      </c>
      <c r="CQ85" s="683">
        <f t="shared" si="258"/>
        <v>8250.2448</v>
      </c>
      <c r="CR85" s="683">
        <f t="shared" si="258"/>
        <v>0</v>
      </c>
      <c r="CS85" s="683">
        <f t="shared" si="258"/>
        <v>0</v>
      </c>
      <c r="CT85" s="683">
        <f t="shared" si="258"/>
        <v>0</v>
      </c>
      <c r="CU85" s="683">
        <f t="shared" si="258"/>
        <v>0</v>
      </c>
      <c r="CV85" s="683">
        <f t="shared" si="258"/>
        <v>0</v>
      </c>
      <c r="CW85" s="683">
        <f t="shared" si="21"/>
        <v>8250.2448</v>
      </c>
      <c r="CX85" s="683">
        <f t="shared" ref="CX85:DG85" si="259">BN85*$CL85</f>
        <v>0</v>
      </c>
      <c r="CY85" s="683">
        <f t="shared" si="259"/>
        <v>0</v>
      </c>
      <c r="CZ85" s="683">
        <f t="shared" si="259"/>
        <v>0</v>
      </c>
      <c r="DA85" s="683">
        <f t="shared" si="259"/>
        <v>0</v>
      </c>
      <c r="DB85" s="683">
        <f t="shared" si="259"/>
        <v>0</v>
      </c>
      <c r="DC85" s="683">
        <f t="shared" si="259"/>
        <v>0</v>
      </c>
      <c r="DD85" s="683">
        <f t="shared" si="259"/>
        <v>0</v>
      </c>
      <c r="DE85" s="683">
        <f t="shared" si="259"/>
        <v>0</v>
      </c>
      <c r="DF85" s="683">
        <f t="shared" si="259"/>
        <v>0</v>
      </c>
      <c r="DG85" s="683">
        <f t="shared" si="259"/>
        <v>8250.2448</v>
      </c>
      <c r="DH85" s="683">
        <f t="shared" si="23"/>
        <v>8250.2448</v>
      </c>
      <c r="DI85" s="683">
        <f t="shared" ref="DI85:DR85" si="260">BY85*$CL85</f>
        <v>0</v>
      </c>
      <c r="DJ85" s="683">
        <f t="shared" si="260"/>
        <v>0</v>
      </c>
      <c r="DK85" s="683">
        <f t="shared" si="260"/>
        <v>0</v>
      </c>
      <c r="DL85" s="683">
        <f t="shared" si="260"/>
        <v>8250.2448</v>
      </c>
      <c r="DM85" s="683">
        <f t="shared" si="260"/>
        <v>8250.2448</v>
      </c>
      <c r="DN85" s="683">
        <f t="shared" si="260"/>
        <v>0</v>
      </c>
      <c r="DO85" s="683">
        <f t="shared" si="260"/>
        <v>0</v>
      </c>
      <c r="DP85" s="683">
        <f t="shared" si="260"/>
        <v>0</v>
      </c>
      <c r="DQ85" s="683">
        <f t="shared" si="260"/>
        <v>0</v>
      </c>
      <c r="DR85" s="683">
        <f t="shared" si="260"/>
        <v>0</v>
      </c>
      <c r="DS85" s="683">
        <f t="shared" si="25"/>
        <v>16500.4896</v>
      </c>
      <c r="DT85" s="683">
        <f t="shared" si="175"/>
        <v>33000.9792</v>
      </c>
      <c r="DU85" s="504"/>
      <c r="DV85" s="486"/>
      <c r="DW85" s="688"/>
      <c r="DX85" s="688"/>
      <c r="DY85" s="688"/>
      <c r="DZ85" s="688"/>
      <c r="EA85" s="688"/>
      <c r="EB85" s="688"/>
      <c r="EC85" s="688"/>
      <c r="ED85" s="688"/>
      <c r="EE85" s="688"/>
      <c r="EF85" s="688"/>
      <c r="EG85" s="688"/>
      <c r="EH85" s="707" t="s">
        <v>3150</v>
      </c>
      <c r="EI85" s="708">
        <f>VLOOKUP(I85,CotizacionTDB,4,FALSE())</f>
        <v>1185.38</v>
      </c>
      <c r="EJ85" s="708">
        <f>VLOOKUP(I85,CotizacionTDB,5,FALSE())</f>
        <v>1007.57</v>
      </c>
      <c r="EK85" s="691"/>
    </row>
    <row r="86" ht="12.0" customHeight="1">
      <c r="A86" s="709" t="s">
        <v>3026</v>
      </c>
      <c r="B86" s="661">
        <v>2.0</v>
      </c>
      <c r="C86" s="567" t="s">
        <v>3027</v>
      </c>
      <c r="D86" s="568" t="s">
        <v>129</v>
      </c>
      <c r="E86" s="568" t="s">
        <v>2722</v>
      </c>
      <c r="F86" s="567" t="s">
        <v>1763</v>
      </c>
      <c r="G86" s="657" t="s">
        <v>2723</v>
      </c>
      <c r="H86" s="569" t="s">
        <v>3151</v>
      </c>
      <c r="I86" s="721" t="s">
        <v>2324</v>
      </c>
      <c r="J86" s="711" t="s">
        <v>3152</v>
      </c>
      <c r="K86" s="567" t="s">
        <v>25</v>
      </c>
      <c r="L86" s="567">
        <v>2024.0</v>
      </c>
      <c r="M86" s="567"/>
      <c r="N86" s="567">
        <v>2024.0</v>
      </c>
      <c r="O86" s="567"/>
      <c r="P86" s="567">
        <v>2024.0</v>
      </c>
      <c r="Q86" s="567">
        <v>2024.0</v>
      </c>
      <c r="R86" s="567"/>
      <c r="S86" s="567"/>
      <c r="T86" s="567"/>
      <c r="U86" s="567"/>
      <c r="V86" s="567"/>
      <c r="W86" s="567">
        <v>3.0</v>
      </c>
      <c r="X86" s="567"/>
      <c r="Y86" s="567">
        <v>3.0</v>
      </c>
      <c r="Z86" s="567"/>
      <c r="AA86" s="567">
        <v>2.0</v>
      </c>
      <c r="AB86" s="567">
        <v>2.0</v>
      </c>
      <c r="AC86" s="567"/>
      <c r="AD86" s="567"/>
      <c r="AE86" s="567"/>
      <c r="AF86" s="567"/>
      <c r="AG86" s="567"/>
      <c r="AH86" s="567"/>
      <c r="AI86" s="567"/>
      <c r="AJ86" s="567"/>
      <c r="AK86" s="567"/>
      <c r="AL86" s="567"/>
      <c r="AM86" s="567"/>
      <c r="AN86" s="567"/>
      <c r="AO86" s="567"/>
      <c r="AP86" s="567"/>
      <c r="AQ86" s="567"/>
      <c r="AR86" s="567">
        <v>-2024.0</v>
      </c>
      <c r="AS86" s="567">
        <v>0.0</v>
      </c>
      <c r="AT86" s="567">
        <v>-2024.0</v>
      </c>
      <c r="AU86" s="567">
        <v>0.0</v>
      </c>
      <c r="AV86" s="567">
        <v>-2024.0</v>
      </c>
      <c r="AW86" s="567">
        <v>-2024.0</v>
      </c>
      <c r="AX86" s="567">
        <v>0.0</v>
      </c>
      <c r="AY86" s="567">
        <v>0.0</v>
      </c>
      <c r="AZ86" s="567">
        <v>0.0</v>
      </c>
      <c r="BA86" s="567">
        <v>0.0</v>
      </c>
      <c r="BB86" s="567"/>
      <c r="BC86" s="567">
        <v>1.0</v>
      </c>
      <c r="BD86" s="567"/>
      <c r="BE86" s="567">
        <v>1.0</v>
      </c>
      <c r="BF86" s="567"/>
      <c r="BG86" s="567">
        <v>3.0</v>
      </c>
      <c r="BH86" s="567">
        <v>1.0</v>
      </c>
      <c r="BI86" s="567"/>
      <c r="BJ86" s="567"/>
      <c r="BK86" s="567"/>
      <c r="BL86" s="725"/>
      <c r="BM86" s="665">
        <f t="shared" si="1"/>
        <v>6</v>
      </c>
      <c r="BN86" s="671"/>
      <c r="BO86" s="668"/>
      <c r="BP86" s="668"/>
      <c r="BQ86" s="668"/>
      <c r="BR86" s="668"/>
      <c r="BS86" s="668"/>
      <c r="BT86" s="668"/>
      <c r="BU86" s="668"/>
      <c r="BV86" s="668"/>
      <c r="BW86" s="713">
        <v>1.0</v>
      </c>
      <c r="BX86" s="665">
        <f t="shared" si="2"/>
        <v>1</v>
      </c>
      <c r="BY86" s="671">
        <v>0.0</v>
      </c>
      <c r="BZ86" s="668">
        <v>0.0</v>
      </c>
      <c r="CA86" s="668">
        <v>0.0</v>
      </c>
      <c r="CB86" s="668">
        <v>0.0</v>
      </c>
      <c r="CC86" s="668">
        <v>3.0</v>
      </c>
      <c r="CD86" s="668">
        <v>1.0</v>
      </c>
      <c r="CE86" s="668">
        <v>0.0</v>
      </c>
      <c r="CF86" s="668">
        <v>0.0</v>
      </c>
      <c r="CG86" s="668">
        <v>0.0</v>
      </c>
      <c r="CH86" s="670">
        <v>0.0</v>
      </c>
      <c r="CI86" s="665">
        <f t="shared" si="3"/>
        <v>4</v>
      </c>
      <c r="CJ86" s="671">
        <f t="shared" si="4"/>
        <v>11</v>
      </c>
      <c r="CK86" s="715">
        <v>394.79</v>
      </c>
      <c r="CL86" s="668">
        <f t="shared" si="251"/>
        <v>2747.7384</v>
      </c>
      <c r="CM86" s="668">
        <f t="shared" ref="CM86:CV86" si="261">BC86*$CL86</f>
        <v>2747.7384</v>
      </c>
      <c r="CN86" s="668">
        <f t="shared" si="261"/>
        <v>0</v>
      </c>
      <c r="CO86" s="668">
        <f t="shared" si="261"/>
        <v>2747.7384</v>
      </c>
      <c r="CP86" s="668">
        <f t="shared" si="261"/>
        <v>0</v>
      </c>
      <c r="CQ86" s="668">
        <f t="shared" si="261"/>
        <v>8243.2152</v>
      </c>
      <c r="CR86" s="668">
        <f t="shared" si="261"/>
        <v>2747.7384</v>
      </c>
      <c r="CS86" s="668">
        <f t="shared" si="261"/>
        <v>0</v>
      </c>
      <c r="CT86" s="668">
        <f t="shared" si="261"/>
        <v>0</v>
      </c>
      <c r="CU86" s="668">
        <f t="shared" si="261"/>
        <v>0</v>
      </c>
      <c r="CV86" s="668">
        <f t="shared" si="261"/>
        <v>0</v>
      </c>
      <c r="CW86" s="668">
        <f t="shared" si="21"/>
        <v>16486.4304</v>
      </c>
      <c r="CX86" s="668">
        <f t="shared" ref="CX86:DG86" si="262">BN86*$CL86</f>
        <v>0</v>
      </c>
      <c r="CY86" s="668">
        <f t="shared" si="262"/>
        <v>0</v>
      </c>
      <c r="CZ86" s="668">
        <f t="shared" si="262"/>
        <v>0</v>
      </c>
      <c r="DA86" s="668">
        <f t="shared" si="262"/>
        <v>0</v>
      </c>
      <c r="DB86" s="668">
        <f t="shared" si="262"/>
        <v>0</v>
      </c>
      <c r="DC86" s="668">
        <f t="shared" si="262"/>
        <v>0</v>
      </c>
      <c r="DD86" s="668">
        <f t="shared" si="262"/>
        <v>0</v>
      </c>
      <c r="DE86" s="668">
        <f t="shared" si="262"/>
        <v>0</v>
      </c>
      <c r="DF86" s="668">
        <f t="shared" si="262"/>
        <v>0</v>
      </c>
      <c r="DG86" s="668">
        <f t="shared" si="262"/>
        <v>2747.7384</v>
      </c>
      <c r="DH86" s="668">
        <f t="shared" si="23"/>
        <v>2747.7384</v>
      </c>
      <c r="DI86" s="668">
        <f t="shared" ref="DI86:DR86" si="263">BY86*$CL86</f>
        <v>0</v>
      </c>
      <c r="DJ86" s="668">
        <f t="shared" si="263"/>
        <v>0</v>
      </c>
      <c r="DK86" s="668">
        <f t="shared" si="263"/>
        <v>0</v>
      </c>
      <c r="DL86" s="668">
        <f t="shared" si="263"/>
        <v>0</v>
      </c>
      <c r="DM86" s="668">
        <f t="shared" si="263"/>
        <v>8243.2152</v>
      </c>
      <c r="DN86" s="668">
        <f t="shared" si="263"/>
        <v>2747.7384</v>
      </c>
      <c r="DO86" s="668">
        <f t="shared" si="263"/>
        <v>0</v>
      </c>
      <c r="DP86" s="668">
        <f t="shared" si="263"/>
        <v>0</v>
      </c>
      <c r="DQ86" s="668">
        <f t="shared" si="263"/>
        <v>0</v>
      </c>
      <c r="DR86" s="668">
        <f t="shared" si="263"/>
        <v>0</v>
      </c>
      <c r="DS86" s="668">
        <f t="shared" si="25"/>
        <v>10990.9536</v>
      </c>
      <c r="DT86" s="668">
        <f t="shared" si="175"/>
        <v>30225.1224</v>
      </c>
      <c r="DU86" s="538"/>
      <c r="DV86" s="468"/>
      <c r="DW86" s="698"/>
      <c r="DX86" s="698"/>
      <c r="DY86" s="698"/>
      <c r="DZ86" s="698"/>
      <c r="EA86" s="698"/>
      <c r="EB86" s="698"/>
      <c r="EC86" s="698"/>
      <c r="ED86" s="698"/>
      <c r="EE86" s="698"/>
      <c r="EF86" s="698"/>
      <c r="EG86" s="698"/>
      <c r="EH86" s="576" t="s">
        <v>3153</v>
      </c>
      <c r="EI86" s="716">
        <f>VLOOKUP(I86,CotizacionTDB,4,FALSE())</f>
        <v>394.79</v>
      </c>
      <c r="EJ86" s="716">
        <f>VLOOKUP(I86,CotizacionTDB,5,FALSE())</f>
        <v>335.57</v>
      </c>
      <c r="EK86" s="699"/>
    </row>
    <row r="87" ht="12.0" customHeight="1">
      <c r="A87" s="700" t="s">
        <v>3026</v>
      </c>
      <c r="B87" s="701">
        <v>2.0</v>
      </c>
      <c r="C87" s="562" t="s">
        <v>3027</v>
      </c>
      <c r="D87" s="571" t="s">
        <v>129</v>
      </c>
      <c r="E87" s="571" t="s">
        <v>2722</v>
      </c>
      <c r="F87" s="562" t="s">
        <v>1763</v>
      </c>
      <c r="G87" s="702" t="s">
        <v>2723</v>
      </c>
      <c r="H87" s="737"/>
      <c r="I87" s="703" t="s">
        <v>2477</v>
      </c>
      <c r="J87" s="820" t="s">
        <v>688</v>
      </c>
      <c r="K87" s="562" t="s">
        <v>25</v>
      </c>
      <c r="L87" s="821">
        <v>2025.0</v>
      </c>
      <c r="M87" s="821">
        <v>2025.0</v>
      </c>
      <c r="N87" s="562">
        <v>2024.0</v>
      </c>
      <c r="O87" s="562">
        <v>2024.0</v>
      </c>
      <c r="P87" s="562">
        <v>2024.0</v>
      </c>
      <c r="Q87" s="562">
        <v>2024.0</v>
      </c>
      <c r="R87" s="562">
        <v>2024.0</v>
      </c>
      <c r="S87" s="821">
        <v>2025.0</v>
      </c>
      <c r="T87" s="821"/>
      <c r="U87" s="821">
        <v>2025.0</v>
      </c>
      <c r="V87" s="821"/>
      <c r="W87" s="562">
        <v>5.0</v>
      </c>
      <c r="X87" s="562">
        <v>5.0</v>
      </c>
      <c r="Y87" s="562">
        <v>5.0</v>
      </c>
      <c r="Z87" s="562">
        <v>5.0</v>
      </c>
      <c r="AA87" s="562">
        <v>5.0</v>
      </c>
      <c r="AB87" s="562">
        <v>5.0</v>
      </c>
      <c r="AC87" s="562">
        <v>5.0</v>
      </c>
      <c r="AD87" s="562">
        <v>5.0</v>
      </c>
      <c r="AE87" s="562"/>
      <c r="AF87" s="562">
        <v>5.0</v>
      </c>
      <c r="AG87" s="821"/>
      <c r="AH87" s="562"/>
      <c r="AI87" s="562"/>
      <c r="AJ87" s="562"/>
      <c r="AK87" s="562"/>
      <c r="AL87" s="562"/>
      <c r="AM87" s="562"/>
      <c r="AN87" s="562"/>
      <c r="AO87" s="562"/>
      <c r="AP87" s="562"/>
      <c r="AQ87" s="562"/>
      <c r="AR87" s="562">
        <v>-2025.0</v>
      </c>
      <c r="AS87" s="562">
        <v>-2025.0</v>
      </c>
      <c r="AT87" s="562">
        <v>-2024.0</v>
      </c>
      <c r="AU87" s="562">
        <v>-2024.0</v>
      </c>
      <c r="AV87" s="562">
        <v>-2024.0</v>
      </c>
      <c r="AW87" s="562">
        <v>-2024.0</v>
      </c>
      <c r="AX87" s="562">
        <v>-2024.0</v>
      </c>
      <c r="AY87" s="562">
        <v>-2025.0</v>
      </c>
      <c r="AZ87" s="562">
        <v>0.0</v>
      </c>
      <c r="BA87" s="562">
        <v>-2025.0</v>
      </c>
      <c r="BB87" s="562"/>
      <c r="BC87" s="562"/>
      <c r="BD87" s="772"/>
      <c r="BE87" s="562">
        <v>1.0</v>
      </c>
      <c r="BF87" s="772"/>
      <c r="BG87" s="562">
        <v>1.0</v>
      </c>
      <c r="BH87" s="562">
        <v>1.0</v>
      </c>
      <c r="BI87" s="562">
        <v>1.0</v>
      </c>
      <c r="BJ87" s="825">
        <v>0.0</v>
      </c>
      <c r="BK87" s="562"/>
      <c r="BL87" s="719">
        <v>0.0</v>
      </c>
      <c r="BM87" s="665">
        <f t="shared" si="1"/>
        <v>4</v>
      </c>
      <c r="BN87" s="682">
        <v>1.0</v>
      </c>
      <c r="BO87" s="683">
        <v>1.0</v>
      </c>
      <c r="BP87" s="683"/>
      <c r="BQ87" s="773">
        <v>1.0</v>
      </c>
      <c r="BR87" s="683"/>
      <c r="BS87" s="683"/>
      <c r="BT87" s="683"/>
      <c r="BU87" s="745">
        <v>1.0</v>
      </c>
      <c r="BV87" s="683"/>
      <c r="BW87" s="826">
        <v>1.0</v>
      </c>
      <c r="BX87" s="665">
        <f t="shared" si="2"/>
        <v>5</v>
      </c>
      <c r="BY87" s="682">
        <v>0.0</v>
      </c>
      <c r="BZ87" s="683">
        <v>0.0</v>
      </c>
      <c r="CA87" s="683">
        <v>0.0</v>
      </c>
      <c r="CB87" s="683">
        <v>0.0</v>
      </c>
      <c r="CC87" s="683">
        <v>0.0</v>
      </c>
      <c r="CD87" s="683">
        <v>0.0</v>
      </c>
      <c r="CE87" s="683">
        <v>0.0</v>
      </c>
      <c r="CF87" s="683">
        <v>0.0</v>
      </c>
      <c r="CG87" s="683">
        <v>0.0</v>
      </c>
      <c r="CH87" s="686">
        <v>0.0</v>
      </c>
      <c r="CI87" s="665">
        <f t="shared" si="3"/>
        <v>0</v>
      </c>
      <c r="CJ87" s="682">
        <f t="shared" si="4"/>
        <v>9</v>
      </c>
      <c r="CK87" s="706">
        <v>529.85</v>
      </c>
      <c r="CL87" s="683">
        <f t="shared" si="251"/>
        <v>3687.756</v>
      </c>
      <c r="CM87" s="683">
        <f t="shared" ref="CM87:CV87" si="264">BC87*$CL87</f>
        <v>0</v>
      </c>
      <c r="CN87" s="683">
        <f t="shared" si="264"/>
        <v>0</v>
      </c>
      <c r="CO87" s="683">
        <f t="shared" si="264"/>
        <v>3687.756</v>
      </c>
      <c r="CP87" s="683">
        <f t="shared" si="264"/>
        <v>0</v>
      </c>
      <c r="CQ87" s="683">
        <f t="shared" si="264"/>
        <v>3687.756</v>
      </c>
      <c r="CR87" s="683">
        <f t="shared" si="264"/>
        <v>3687.756</v>
      </c>
      <c r="CS87" s="683">
        <f t="shared" si="264"/>
        <v>3687.756</v>
      </c>
      <c r="CT87" s="683">
        <f t="shared" si="264"/>
        <v>0</v>
      </c>
      <c r="CU87" s="683">
        <f t="shared" si="264"/>
        <v>0</v>
      </c>
      <c r="CV87" s="683">
        <f t="shared" si="264"/>
        <v>0</v>
      </c>
      <c r="CW87" s="683">
        <f t="shared" si="21"/>
        <v>14751.024</v>
      </c>
      <c r="CX87" s="683">
        <f t="shared" ref="CX87:DG87" si="265">BN87*$CL87</f>
        <v>3687.756</v>
      </c>
      <c r="CY87" s="683">
        <f t="shared" si="265"/>
        <v>3687.756</v>
      </c>
      <c r="CZ87" s="683">
        <f t="shared" si="265"/>
        <v>0</v>
      </c>
      <c r="DA87" s="683">
        <f t="shared" si="265"/>
        <v>3687.756</v>
      </c>
      <c r="DB87" s="683">
        <f t="shared" si="265"/>
        <v>0</v>
      </c>
      <c r="DC87" s="683">
        <f t="shared" si="265"/>
        <v>0</v>
      </c>
      <c r="DD87" s="683">
        <f t="shared" si="265"/>
        <v>0</v>
      </c>
      <c r="DE87" s="683">
        <f t="shared" si="265"/>
        <v>3687.756</v>
      </c>
      <c r="DF87" s="683">
        <f t="shared" si="265"/>
        <v>0</v>
      </c>
      <c r="DG87" s="683">
        <f t="shared" si="265"/>
        <v>3687.756</v>
      </c>
      <c r="DH87" s="683">
        <f t="shared" si="23"/>
        <v>18438.78</v>
      </c>
      <c r="DI87" s="683">
        <f t="shared" ref="DI87:DR87" si="266">BY87*$CL87</f>
        <v>0</v>
      </c>
      <c r="DJ87" s="683">
        <f t="shared" si="266"/>
        <v>0</v>
      </c>
      <c r="DK87" s="683">
        <f t="shared" si="266"/>
        <v>0</v>
      </c>
      <c r="DL87" s="683">
        <f t="shared" si="266"/>
        <v>0</v>
      </c>
      <c r="DM87" s="683">
        <f t="shared" si="266"/>
        <v>0</v>
      </c>
      <c r="DN87" s="683">
        <f t="shared" si="266"/>
        <v>0</v>
      </c>
      <c r="DO87" s="683">
        <f t="shared" si="266"/>
        <v>0</v>
      </c>
      <c r="DP87" s="683">
        <f t="shared" si="266"/>
        <v>0</v>
      </c>
      <c r="DQ87" s="683">
        <f t="shared" si="266"/>
        <v>0</v>
      </c>
      <c r="DR87" s="683">
        <f t="shared" si="266"/>
        <v>0</v>
      </c>
      <c r="DS87" s="683">
        <f t="shared" si="25"/>
        <v>0</v>
      </c>
      <c r="DT87" s="683">
        <f t="shared" si="175"/>
        <v>33189.804</v>
      </c>
      <c r="DU87" s="504"/>
      <c r="DV87" s="486"/>
      <c r="DW87" s="688"/>
      <c r="DX87" s="688"/>
      <c r="DY87" s="688"/>
      <c r="DZ87" s="688"/>
      <c r="EA87" s="688"/>
      <c r="EB87" s="688"/>
      <c r="EC87" s="688"/>
      <c r="ED87" s="688"/>
      <c r="EE87" s="688"/>
      <c r="EF87" s="688"/>
      <c r="EG87" s="688"/>
      <c r="EH87" s="707" t="s">
        <v>3154</v>
      </c>
      <c r="EI87" s="708">
        <f>VLOOKUP(I87,CotizacionTDB,4,FALSE())</f>
        <v>529.85</v>
      </c>
      <c r="EJ87" s="708">
        <f>VLOOKUP(I87,CotizacionTDB,5,FALSE())</f>
        <v>450.37</v>
      </c>
      <c r="EK87" s="691"/>
    </row>
    <row r="88" ht="12.0" customHeight="1">
      <c r="A88" s="709" t="s">
        <v>3026</v>
      </c>
      <c r="B88" s="661">
        <v>2.0</v>
      </c>
      <c r="C88" s="567" t="s">
        <v>3027</v>
      </c>
      <c r="D88" s="568" t="s">
        <v>129</v>
      </c>
      <c r="E88" s="568" t="s">
        <v>2722</v>
      </c>
      <c r="F88" s="567" t="s">
        <v>1763</v>
      </c>
      <c r="G88" s="657" t="s">
        <v>2723</v>
      </c>
      <c r="H88" s="569" t="s">
        <v>2941</v>
      </c>
      <c r="I88" s="827" t="s">
        <v>2460</v>
      </c>
      <c r="J88" s="820" t="s">
        <v>809</v>
      </c>
      <c r="K88" s="567" t="s">
        <v>25</v>
      </c>
      <c r="L88" s="567">
        <v>2024.0</v>
      </c>
      <c r="M88" s="567">
        <v>2024.0</v>
      </c>
      <c r="N88" s="567">
        <v>2024.0</v>
      </c>
      <c r="O88" s="567"/>
      <c r="P88" s="567">
        <v>2024.0</v>
      </c>
      <c r="Q88" s="567"/>
      <c r="R88" s="567"/>
      <c r="S88" s="567"/>
      <c r="T88" s="567"/>
      <c r="U88" s="567"/>
      <c r="V88" s="567"/>
      <c r="W88" s="567">
        <v>5.0</v>
      </c>
      <c r="X88" s="567">
        <v>5.0</v>
      </c>
      <c r="Y88" s="567">
        <v>5.0</v>
      </c>
      <c r="Z88" s="567"/>
      <c r="AA88" s="567">
        <v>2.0</v>
      </c>
      <c r="AB88" s="567"/>
      <c r="AC88" s="567"/>
      <c r="AD88" s="567"/>
      <c r="AE88" s="567"/>
      <c r="AF88" s="567"/>
      <c r="AG88" s="567"/>
      <c r="AH88" s="567"/>
      <c r="AI88" s="567"/>
      <c r="AJ88" s="567"/>
      <c r="AK88" s="567"/>
      <c r="AL88" s="567"/>
      <c r="AM88" s="567"/>
      <c r="AN88" s="567"/>
      <c r="AO88" s="567"/>
      <c r="AP88" s="567"/>
      <c r="AQ88" s="567"/>
      <c r="AR88" s="567">
        <v>-2024.0</v>
      </c>
      <c r="AS88" s="567">
        <v>-2024.0</v>
      </c>
      <c r="AT88" s="567">
        <v>-2024.0</v>
      </c>
      <c r="AU88" s="567">
        <v>0.0</v>
      </c>
      <c r="AV88" s="567">
        <v>-2024.0</v>
      </c>
      <c r="AW88" s="567">
        <v>0.0</v>
      </c>
      <c r="AX88" s="567">
        <v>0.0</v>
      </c>
      <c r="AY88" s="567">
        <v>0.0</v>
      </c>
      <c r="AZ88" s="567">
        <v>0.0</v>
      </c>
      <c r="BA88" s="567">
        <v>0.0</v>
      </c>
      <c r="BB88" s="567"/>
      <c r="BC88" s="661">
        <v>1.0</v>
      </c>
      <c r="BD88" s="567">
        <v>2.0</v>
      </c>
      <c r="BE88" s="828">
        <v>0.0</v>
      </c>
      <c r="BF88" s="567"/>
      <c r="BG88" s="567">
        <v>1.0</v>
      </c>
      <c r="BH88" s="567"/>
      <c r="BI88" s="782">
        <v>1.0</v>
      </c>
      <c r="BJ88" s="782">
        <v>1.0</v>
      </c>
      <c r="BK88" s="567"/>
      <c r="BL88" s="829">
        <v>0.0</v>
      </c>
      <c r="BM88" s="665">
        <f t="shared" si="1"/>
        <v>6</v>
      </c>
      <c r="BN88" s="830">
        <v>1.0</v>
      </c>
      <c r="BO88" s="773">
        <v>2.0</v>
      </c>
      <c r="BP88" s="807">
        <v>0.0</v>
      </c>
      <c r="BQ88" s="668"/>
      <c r="BR88" s="668">
        <v>1.0</v>
      </c>
      <c r="BS88" s="668"/>
      <c r="BT88" s="774">
        <v>1.0</v>
      </c>
      <c r="BU88" s="774">
        <v>1.0</v>
      </c>
      <c r="BV88" s="668"/>
      <c r="BW88" s="831">
        <v>0.0</v>
      </c>
      <c r="BX88" s="665">
        <f t="shared" si="2"/>
        <v>6</v>
      </c>
      <c r="BY88" s="671">
        <v>0.0</v>
      </c>
      <c r="BZ88" s="668">
        <v>0.0</v>
      </c>
      <c r="CA88" s="668">
        <v>0.0</v>
      </c>
      <c r="CB88" s="668">
        <v>0.0</v>
      </c>
      <c r="CC88" s="783">
        <v>0.0</v>
      </c>
      <c r="CD88" s="668">
        <v>0.0</v>
      </c>
      <c r="CE88" s="668">
        <v>0.0</v>
      </c>
      <c r="CF88" s="668">
        <v>0.0</v>
      </c>
      <c r="CG88" s="668">
        <v>0.0</v>
      </c>
      <c r="CH88" s="670">
        <v>0.0</v>
      </c>
      <c r="CI88" s="665">
        <f t="shared" si="3"/>
        <v>0</v>
      </c>
      <c r="CJ88" s="671">
        <f t="shared" si="4"/>
        <v>12</v>
      </c>
      <c r="CK88" s="715">
        <v>282.77</v>
      </c>
      <c r="CL88" s="668">
        <f t="shared" si="251"/>
        <v>1968.0792</v>
      </c>
      <c r="CM88" s="668">
        <f t="shared" ref="CM88:CV88" si="267">BC88*$CL88</f>
        <v>1968.0792</v>
      </c>
      <c r="CN88" s="668">
        <f t="shared" si="267"/>
        <v>3936.1584</v>
      </c>
      <c r="CO88" s="668">
        <f t="shared" si="267"/>
        <v>0</v>
      </c>
      <c r="CP88" s="668">
        <f t="shared" si="267"/>
        <v>0</v>
      </c>
      <c r="CQ88" s="668">
        <f t="shared" si="267"/>
        <v>1968.0792</v>
      </c>
      <c r="CR88" s="668">
        <f t="shared" si="267"/>
        <v>0</v>
      </c>
      <c r="CS88" s="668">
        <f t="shared" si="267"/>
        <v>1968.0792</v>
      </c>
      <c r="CT88" s="668">
        <f t="shared" si="267"/>
        <v>1968.0792</v>
      </c>
      <c r="CU88" s="668">
        <f t="shared" si="267"/>
        <v>0</v>
      </c>
      <c r="CV88" s="668">
        <f t="shared" si="267"/>
        <v>0</v>
      </c>
      <c r="CW88" s="668">
        <f t="shared" si="21"/>
        <v>11808.4752</v>
      </c>
      <c r="CX88" s="668">
        <f t="shared" ref="CX88:DG88" si="268">BN88*$CL88</f>
        <v>1968.0792</v>
      </c>
      <c r="CY88" s="668">
        <f t="shared" si="268"/>
        <v>3936.1584</v>
      </c>
      <c r="CZ88" s="668">
        <f t="shared" si="268"/>
        <v>0</v>
      </c>
      <c r="DA88" s="668">
        <f t="shared" si="268"/>
        <v>0</v>
      </c>
      <c r="DB88" s="668">
        <f t="shared" si="268"/>
        <v>1968.0792</v>
      </c>
      <c r="DC88" s="668">
        <f t="shared" si="268"/>
        <v>0</v>
      </c>
      <c r="DD88" s="668">
        <f t="shared" si="268"/>
        <v>1968.0792</v>
      </c>
      <c r="DE88" s="668">
        <f t="shared" si="268"/>
        <v>1968.0792</v>
      </c>
      <c r="DF88" s="668">
        <f t="shared" si="268"/>
        <v>0</v>
      </c>
      <c r="DG88" s="668">
        <f t="shared" si="268"/>
        <v>0</v>
      </c>
      <c r="DH88" s="668">
        <f t="shared" si="23"/>
        <v>11808.4752</v>
      </c>
      <c r="DI88" s="668">
        <f t="shared" ref="DI88:DR88" si="269">BY88*$CL88</f>
        <v>0</v>
      </c>
      <c r="DJ88" s="668">
        <f t="shared" si="269"/>
        <v>0</v>
      </c>
      <c r="DK88" s="668">
        <f t="shared" si="269"/>
        <v>0</v>
      </c>
      <c r="DL88" s="668">
        <f t="shared" si="269"/>
        <v>0</v>
      </c>
      <c r="DM88" s="668">
        <f t="shared" si="269"/>
        <v>0</v>
      </c>
      <c r="DN88" s="668">
        <f t="shared" si="269"/>
        <v>0</v>
      </c>
      <c r="DO88" s="668">
        <f t="shared" si="269"/>
        <v>0</v>
      </c>
      <c r="DP88" s="668">
        <f t="shared" si="269"/>
        <v>0</v>
      </c>
      <c r="DQ88" s="668">
        <f t="shared" si="269"/>
        <v>0</v>
      </c>
      <c r="DR88" s="668">
        <f t="shared" si="269"/>
        <v>0</v>
      </c>
      <c r="DS88" s="668">
        <f t="shared" si="25"/>
        <v>0</v>
      </c>
      <c r="DT88" s="668">
        <f t="shared" si="175"/>
        <v>23616.9504</v>
      </c>
      <c r="DU88" s="538"/>
      <c r="DV88" s="468" t="s">
        <v>3155</v>
      </c>
      <c r="DW88" s="698"/>
      <c r="DX88" s="698"/>
      <c r="DY88" s="698"/>
      <c r="DZ88" s="698"/>
      <c r="EA88" s="698"/>
      <c r="EB88" s="698"/>
      <c r="EC88" s="698"/>
      <c r="ED88" s="698"/>
      <c r="EE88" s="698"/>
      <c r="EF88" s="698"/>
      <c r="EG88" s="698"/>
      <c r="EH88" s="576" t="s">
        <v>3156</v>
      </c>
      <c r="EI88" s="716">
        <f>VLOOKUP(I88,CotizacionTDB,4,FALSE())</f>
        <v>282.77</v>
      </c>
      <c r="EJ88" s="716">
        <f>VLOOKUP(I88,CotizacionTDB,5,FALSE())</f>
        <v>240.35</v>
      </c>
      <c r="EK88" s="699"/>
    </row>
    <row r="89" ht="12.0" customHeight="1">
      <c r="A89" s="700" t="s">
        <v>3026</v>
      </c>
      <c r="B89" s="701">
        <v>2.0</v>
      </c>
      <c r="C89" s="562" t="s">
        <v>3027</v>
      </c>
      <c r="D89" s="571" t="s">
        <v>129</v>
      </c>
      <c r="E89" s="571" t="s">
        <v>2722</v>
      </c>
      <c r="F89" s="562" t="s">
        <v>1763</v>
      </c>
      <c r="G89" s="702" t="s">
        <v>2723</v>
      </c>
      <c r="H89" s="569" t="s">
        <v>3157</v>
      </c>
      <c r="I89" s="703" t="s">
        <v>2074</v>
      </c>
      <c r="J89" s="704" t="s">
        <v>944</v>
      </c>
      <c r="K89" s="562" t="s">
        <v>25</v>
      </c>
      <c r="L89" s="562">
        <v>2024.0</v>
      </c>
      <c r="M89" s="821">
        <v>2025.0</v>
      </c>
      <c r="N89" s="562">
        <v>2024.0</v>
      </c>
      <c r="O89" s="562">
        <v>2024.0</v>
      </c>
      <c r="P89" s="562"/>
      <c r="Q89" s="562"/>
      <c r="R89" s="562"/>
      <c r="S89" s="562"/>
      <c r="T89" s="562"/>
      <c r="U89" s="562"/>
      <c r="V89" s="562"/>
      <c r="W89" s="562">
        <v>3.0</v>
      </c>
      <c r="X89" s="562">
        <v>3.0</v>
      </c>
      <c r="Y89" s="562">
        <v>3.0</v>
      </c>
      <c r="Z89" s="562">
        <v>2.0</v>
      </c>
      <c r="AA89" s="562"/>
      <c r="AB89" s="562"/>
      <c r="AC89" s="562"/>
      <c r="AD89" s="562"/>
      <c r="AE89" s="562"/>
      <c r="AF89" s="562"/>
      <c r="AG89" s="562"/>
      <c r="AH89" s="562"/>
      <c r="AI89" s="562"/>
      <c r="AJ89" s="562"/>
      <c r="AK89" s="562"/>
      <c r="AL89" s="562"/>
      <c r="AM89" s="562"/>
      <c r="AN89" s="562"/>
      <c r="AO89" s="562"/>
      <c r="AP89" s="562"/>
      <c r="AQ89" s="562"/>
      <c r="AR89" s="562">
        <v>-2024.0</v>
      </c>
      <c r="AS89" s="562">
        <v>-2025.0</v>
      </c>
      <c r="AT89" s="562">
        <v>-2024.0</v>
      </c>
      <c r="AU89" s="562">
        <v>-2024.0</v>
      </c>
      <c r="AV89" s="562">
        <v>0.0</v>
      </c>
      <c r="AW89" s="562">
        <v>0.0</v>
      </c>
      <c r="AX89" s="562">
        <v>0.0</v>
      </c>
      <c r="AY89" s="562">
        <v>0.0</v>
      </c>
      <c r="AZ89" s="562">
        <v>0.0</v>
      </c>
      <c r="BA89" s="562">
        <v>0.0</v>
      </c>
      <c r="BB89" s="562"/>
      <c r="BC89" s="562">
        <v>1.0</v>
      </c>
      <c r="BD89" s="562">
        <v>1.0</v>
      </c>
      <c r="BE89" s="562">
        <v>2.0</v>
      </c>
      <c r="BF89" s="562">
        <v>1.0</v>
      </c>
      <c r="BG89" s="562"/>
      <c r="BH89" s="562"/>
      <c r="BI89" s="562"/>
      <c r="BJ89" s="562"/>
      <c r="BK89" s="562"/>
      <c r="BL89" s="681"/>
      <c r="BM89" s="665">
        <f t="shared" si="1"/>
        <v>5</v>
      </c>
      <c r="BN89" s="682"/>
      <c r="BO89" s="683">
        <v>1.0</v>
      </c>
      <c r="BP89" s="683"/>
      <c r="BQ89" s="683"/>
      <c r="BR89" s="683"/>
      <c r="BS89" s="683"/>
      <c r="BT89" s="683"/>
      <c r="BU89" s="683"/>
      <c r="BV89" s="683"/>
      <c r="BW89" s="724">
        <v>1.0</v>
      </c>
      <c r="BX89" s="665">
        <f t="shared" si="2"/>
        <v>2</v>
      </c>
      <c r="BY89" s="682">
        <v>0.0</v>
      </c>
      <c r="BZ89" s="683">
        <v>0.0</v>
      </c>
      <c r="CA89" s="683">
        <v>0.0</v>
      </c>
      <c r="CB89" s="683">
        <v>1.0</v>
      </c>
      <c r="CC89" s="683">
        <v>0.0</v>
      </c>
      <c r="CD89" s="683">
        <v>0.0</v>
      </c>
      <c r="CE89" s="683">
        <v>0.0</v>
      </c>
      <c r="CF89" s="683">
        <v>0.0</v>
      </c>
      <c r="CG89" s="683">
        <v>0.0</v>
      </c>
      <c r="CH89" s="686">
        <v>0.0</v>
      </c>
      <c r="CI89" s="665">
        <f t="shared" si="3"/>
        <v>1</v>
      </c>
      <c r="CJ89" s="682">
        <f t="shared" si="4"/>
        <v>8</v>
      </c>
      <c r="CK89" s="706">
        <v>313.88</v>
      </c>
      <c r="CL89" s="683">
        <f t="shared" si="251"/>
        <v>2184.6048</v>
      </c>
      <c r="CM89" s="683">
        <f t="shared" ref="CM89:CV89" si="270">BC89*$CL89</f>
        <v>2184.6048</v>
      </c>
      <c r="CN89" s="683">
        <f t="shared" si="270"/>
        <v>2184.6048</v>
      </c>
      <c r="CO89" s="683">
        <f t="shared" si="270"/>
        <v>4369.2096</v>
      </c>
      <c r="CP89" s="683">
        <f t="shared" si="270"/>
        <v>2184.6048</v>
      </c>
      <c r="CQ89" s="683">
        <f t="shared" si="270"/>
        <v>0</v>
      </c>
      <c r="CR89" s="683">
        <f t="shared" si="270"/>
        <v>0</v>
      </c>
      <c r="CS89" s="683">
        <f t="shared" si="270"/>
        <v>0</v>
      </c>
      <c r="CT89" s="683">
        <f t="shared" si="270"/>
        <v>0</v>
      </c>
      <c r="CU89" s="683">
        <f t="shared" si="270"/>
        <v>0</v>
      </c>
      <c r="CV89" s="683">
        <f t="shared" si="270"/>
        <v>0</v>
      </c>
      <c r="CW89" s="683">
        <f t="shared" si="21"/>
        <v>10923.024</v>
      </c>
      <c r="CX89" s="683">
        <f t="shared" ref="CX89:DG89" si="271">BN89*$CL89</f>
        <v>0</v>
      </c>
      <c r="CY89" s="683">
        <f t="shared" si="271"/>
        <v>2184.6048</v>
      </c>
      <c r="CZ89" s="683">
        <f t="shared" si="271"/>
        <v>0</v>
      </c>
      <c r="DA89" s="683">
        <f t="shared" si="271"/>
        <v>0</v>
      </c>
      <c r="DB89" s="683">
        <f t="shared" si="271"/>
        <v>0</v>
      </c>
      <c r="DC89" s="683">
        <f t="shared" si="271"/>
        <v>0</v>
      </c>
      <c r="DD89" s="683">
        <f t="shared" si="271"/>
        <v>0</v>
      </c>
      <c r="DE89" s="683">
        <f t="shared" si="271"/>
        <v>0</v>
      </c>
      <c r="DF89" s="683">
        <f t="shared" si="271"/>
        <v>0</v>
      </c>
      <c r="DG89" s="683">
        <f t="shared" si="271"/>
        <v>2184.6048</v>
      </c>
      <c r="DH89" s="683">
        <f t="shared" si="23"/>
        <v>4369.2096</v>
      </c>
      <c r="DI89" s="683">
        <f t="shared" ref="DI89:DR89" si="272">BY89*$CL89</f>
        <v>0</v>
      </c>
      <c r="DJ89" s="683">
        <f t="shared" si="272"/>
        <v>0</v>
      </c>
      <c r="DK89" s="683">
        <f t="shared" si="272"/>
        <v>0</v>
      </c>
      <c r="DL89" s="683">
        <f t="shared" si="272"/>
        <v>2184.6048</v>
      </c>
      <c r="DM89" s="683">
        <f t="shared" si="272"/>
        <v>0</v>
      </c>
      <c r="DN89" s="683">
        <f t="shared" si="272"/>
        <v>0</v>
      </c>
      <c r="DO89" s="683">
        <f t="shared" si="272"/>
        <v>0</v>
      </c>
      <c r="DP89" s="683">
        <f t="shared" si="272"/>
        <v>0</v>
      </c>
      <c r="DQ89" s="683">
        <f t="shared" si="272"/>
        <v>0</v>
      </c>
      <c r="DR89" s="683">
        <f t="shared" si="272"/>
        <v>0</v>
      </c>
      <c r="DS89" s="683">
        <f t="shared" si="25"/>
        <v>2184.6048</v>
      </c>
      <c r="DT89" s="683">
        <f t="shared" si="175"/>
        <v>17476.8384</v>
      </c>
      <c r="DU89" s="504"/>
      <c r="DV89" s="486"/>
      <c r="DW89" s="688"/>
      <c r="DX89" s="688"/>
      <c r="DY89" s="688"/>
      <c r="DZ89" s="688"/>
      <c r="EA89" s="688"/>
      <c r="EB89" s="688"/>
      <c r="EC89" s="688"/>
      <c r="ED89" s="688"/>
      <c r="EE89" s="688"/>
      <c r="EF89" s="688"/>
      <c r="EG89" s="688"/>
      <c r="EH89" s="707" t="s">
        <v>3158</v>
      </c>
      <c r="EI89" s="708">
        <f>VLOOKUP(I89,CotizacionTDB,4,FALSE())</f>
        <v>313.88</v>
      </c>
      <c r="EJ89" s="708">
        <f>VLOOKUP(I89,CotizacionTDB,5,FALSE())</f>
        <v>266.8</v>
      </c>
      <c r="EK89" s="691"/>
    </row>
    <row r="90" ht="12.0" customHeight="1">
      <c r="A90" s="709" t="s">
        <v>3026</v>
      </c>
      <c r="B90" s="661">
        <v>2.0</v>
      </c>
      <c r="C90" s="567" t="s">
        <v>3027</v>
      </c>
      <c r="D90" s="568" t="s">
        <v>129</v>
      </c>
      <c r="E90" s="568" t="s">
        <v>2722</v>
      </c>
      <c r="F90" s="567" t="s">
        <v>1763</v>
      </c>
      <c r="G90" s="657" t="s">
        <v>2723</v>
      </c>
      <c r="H90" s="569" t="s">
        <v>2885</v>
      </c>
      <c r="I90" s="721" t="s">
        <v>2044</v>
      </c>
      <c r="J90" s="711" t="s">
        <v>2886</v>
      </c>
      <c r="K90" s="567" t="s">
        <v>25</v>
      </c>
      <c r="L90" s="567">
        <v>2024.0</v>
      </c>
      <c r="M90" s="567"/>
      <c r="N90" s="567">
        <v>2024.0</v>
      </c>
      <c r="O90" s="567"/>
      <c r="P90" s="567"/>
      <c r="Q90" s="567"/>
      <c r="R90" s="567"/>
      <c r="S90" s="567">
        <v>2024.0</v>
      </c>
      <c r="T90" s="567"/>
      <c r="U90" s="567"/>
      <c r="V90" s="567"/>
      <c r="W90" s="567">
        <v>8.0</v>
      </c>
      <c r="X90" s="567"/>
      <c r="Y90" s="567">
        <v>8.0</v>
      </c>
      <c r="Z90" s="567"/>
      <c r="AA90" s="567"/>
      <c r="AB90" s="567"/>
      <c r="AC90" s="567"/>
      <c r="AD90" s="567">
        <v>2.0</v>
      </c>
      <c r="AE90" s="567"/>
      <c r="AF90" s="567"/>
      <c r="AG90" s="567"/>
      <c r="AH90" s="567"/>
      <c r="AI90" s="567"/>
      <c r="AJ90" s="567"/>
      <c r="AK90" s="567"/>
      <c r="AL90" s="567"/>
      <c r="AM90" s="567"/>
      <c r="AN90" s="567"/>
      <c r="AO90" s="567"/>
      <c r="AP90" s="567"/>
      <c r="AQ90" s="567"/>
      <c r="AR90" s="567">
        <v>-2024.0</v>
      </c>
      <c r="AS90" s="567">
        <v>0.0</v>
      </c>
      <c r="AT90" s="567">
        <v>-2024.0</v>
      </c>
      <c r="AU90" s="567">
        <v>0.0</v>
      </c>
      <c r="AV90" s="567">
        <v>0.0</v>
      </c>
      <c r="AW90" s="567">
        <v>0.0</v>
      </c>
      <c r="AX90" s="567">
        <v>0.0</v>
      </c>
      <c r="AY90" s="567">
        <v>-2024.0</v>
      </c>
      <c r="AZ90" s="567">
        <v>0.0</v>
      </c>
      <c r="BA90" s="567">
        <v>0.0</v>
      </c>
      <c r="BB90" s="567"/>
      <c r="BC90" s="567"/>
      <c r="BD90" s="567"/>
      <c r="BE90" s="567">
        <v>1.0</v>
      </c>
      <c r="BF90" s="567"/>
      <c r="BG90" s="567"/>
      <c r="BH90" s="567"/>
      <c r="BI90" s="567"/>
      <c r="BJ90" s="567">
        <v>1.0</v>
      </c>
      <c r="BK90" s="567"/>
      <c r="BL90" s="725"/>
      <c r="BM90" s="665">
        <f t="shared" si="1"/>
        <v>2</v>
      </c>
      <c r="BN90" s="671"/>
      <c r="BO90" s="668"/>
      <c r="BP90" s="668"/>
      <c r="BQ90" s="668"/>
      <c r="BR90" s="668"/>
      <c r="BS90" s="668"/>
      <c r="BT90" s="668"/>
      <c r="BU90" s="668"/>
      <c r="BV90" s="668"/>
      <c r="BW90" s="713">
        <v>1.0</v>
      </c>
      <c r="BX90" s="665">
        <f t="shared" si="2"/>
        <v>1</v>
      </c>
      <c r="BY90" s="728">
        <v>1.0</v>
      </c>
      <c r="BZ90" s="668">
        <v>0.0</v>
      </c>
      <c r="CA90" s="668">
        <v>0.0</v>
      </c>
      <c r="CB90" s="668">
        <v>0.0</v>
      </c>
      <c r="CC90" s="668">
        <v>0.0</v>
      </c>
      <c r="CD90" s="668">
        <v>0.0</v>
      </c>
      <c r="CE90" s="668">
        <v>0.0</v>
      </c>
      <c r="CF90" s="668">
        <v>1.0</v>
      </c>
      <c r="CG90" s="668">
        <v>0.0</v>
      </c>
      <c r="CH90" s="670">
        <v>0.0</v>
      </c>
      <c r="CI90" s="665">
        <f t="shared" si="3"/>
        <v>2</v>
      </c>
      <c r="CJ90" s="671">
        <f t="shared" si="4"/>
        <v>5</v>
      </c>
      <c r="CK90" s="715">
        <v>1078.24</v>
      </c>
      <c r="CL90" s="668">
        <f t="shared" si="251"/>
        <v>7504.5504</v>
      </c>
      <c r="CM90" s="668">
        <f t="shared" ref="CM90:CV90" si="273">BC90*$CL90</f>
        <v>0</v>
      </c>
      <c r="CN90" s="668">
        <f t="shared" si="273"/>
        <v>0</v>
      </c>
      <c r="CO90" s="668">
        <f t="shared" si="273"/>
        <v>7504.5504</v>
      </c>
      <c r="CP90" s="668">
        <f t="shared" si="273"/>
        <v>0</v>
      </c>
      <c r="CQ90" s="668">
        <f t="shared" si="273"/>
        <v>0</v>
      </c>
      <c r="CR90" s="668">
        <f t="shared" si="273"/>
        <v>0</v>
      </c>
      <c r="CS90" s="668">
        <f t="shared" si="273"/>
        <v>0</v>
      </c>
      <c r="CT90" s="668">
        <f t="shared" si="273"/>
        <v>7504.5504</v>
      </c>
      <c r="CU90" s="668">
        <f t="shared" si="273"/>
        <v>0</v>
      </c>
      <c r="CV90" s="668">
        <f t="shared" si="273"/>
        <v>0</v>
      </c>
      <c r="CW90" s="668">
        <f t="shared" si="21"/>
        <v>15009.1008</v>
      </c>
      <c r="CX90" s="668">
        <f t="shared" ref="CX90:DG90" si="274">BN90*$CL90</f>
        <v>0</v>
      </c>
      <c r="CY90" s="668">
        <f t="shared" si="274"/>
        <v>0</v>
      </c>
      <c r="CZ90" s="668">
        <f t="shared" si="274"/>
        <v>0</v>
      </c>
      <c r="DA90" s="668">
        <f t="shared" si="274"/>
        <v>0</v>
      </c>
      <c r="DB90" s="668">
        <f t="shared" si="274"/>
        <v>0</v>
      </c>
      <c r="DC90" s="668">
        <f t="shared" si="274"/>
        <v>0</v>
      </c>
      <c r="DD90" s="668">
        <f t="shared" si="274"/>
        <v>0</v>
      </c>
      <c r="DE90" s="668">
        <f t="shared" si="274"/>
        <v>0</v>
      </c>
      <c r="DF90" s="668">
        <f t="shared" si="274"/>
        <v>0</v>
      </c>
      <c r="DG90" s="668">
        <f t="shared" si="274"/>
        <v>7504.5504</v>
      </c>
      <c r="DH90" s="668">
        <f t="shared" si="23"/>
        <v>7504.5504</v>
      </c>
      <c r="DI90" s="668">
        <f t="shared" ref="DI90:DR90" si="275">BY90*$CL90</f>
        <v>7504.5504</v>
      </c>
      <c r="DJ90" s="668">
        <f t="shared" si="275"/>
        <v>0</v>
      </c>
      <c r="DK90" s="668">
        <f t="shared" si="275"/>
        <v>0</v>
      </c>
      <c r="DL90" s="668">
        <f t="shared" si="275"/>
        <v>0</v>
      </c>
      <c r="DM90" s="668">
        <f t="shared" si="275"/>
        <v>0</v>
      </c>
      <c r="DN90" s="668">
        <f t="shared" si="275"/>
        <v>0</v>
      </c>
      <c r="DO90" s="668">
        <f t="shared" si="275"/>
        <v>0</v>
      </c>
      <c r="DP90" s="668">
        <f t="shared" si="275"/>
        <v>7504.5504</v>
      </c>
      <c r="DQ90" s="668">
        <f t="shared" si="275"/>
        <v>0</v>
      </c>
      <c r="DR90" s="668">
        <f t="shared" si="275"/>
        <v>0</v>
      </c>
      <c r="DS90" s="668">
        <f t="shared" si="25"/>
        <v>15009.1008</v>
      </c>
      <c r="DT90" s="668">
        <f t="shared" si="175"/>
        <v>37522.752</v>
      </c>
      <c r="DU90" s="538"/>
      <c r="DV90" s="468" t="s">
        <v>3159</v>
      </c>
      <c r="DW90" s="698"/>
      <c r="DX90" s="698"/>
      <c r="DY90" s="698"/>
      <c r="DZ90" s="698"/>
      <c r="EA90" s="698"/>
      <c r="EB90" s="698"/>
      <c r="EC90" s="698"/>
      <c r="ED90" s="698"/>
      <c r="EE90" s="698"/>
      <c r="EF90" s="698"/>
      <c r="EG90" s="698"/>
      <c r="EH90" s="576" t="s">
        <v>3160</v>
      </c>
      <c r="EI90" s="716">
        <f>VLOOKUP(I90,CotizacionTDB,4,FALSE())</f>
        <v>1078.24</v>
      </c>
      <c r="EJ90" s="716">
        <f>VLOOKUP(I90,CotizacionTDB,5,FALSE())</f>
        <v>916.5</v>
      </c>
      <c r="EK90" s="699"/>
    </row>
    <row r="91" ht="12.0" customHeight="1">
      <c r="A91" s="700" t="s">
        <v>3026</v>
      </c>
      <c r="B91" s="701">
        <v>2.0</v>
      </c>
      <c r="C91" s="562" t="s">
        <v>3027</v>
      </c>
      <c r="D91" s="571" t="s">
        <v>129</v>
      </c>
      <c r="E91" s="571" t="s">
        <v>2722</v>
      </c>
      <c r="F91" s="562" t="s">
        <v>1763</v>
      </c>
      <c r="G91" s="702" t="s">
        <v>2723</v>
      </c>
      <c r="H91" s="737"/>
      <c r="I91" s="717" t="s">
        <v>1938</v>
      </c>
      <c r="J91" s="704" t="s">
        <v>936</v>
      </c>
      <c r="K91" s="562" t="s">
        <v>25</v>
      </c>
      <c r="L91" s="562"/>
      <c r="M91" s="562"/>
      <c r="N91" s="562"/>
      <c r="O91" s="562">
        <v>2024.0</v>
      </c>
      <c r="P91" s="562">
        <v>2024.0</v>
      </c>
      <c r="Q91" s="562">
        <v>2024.0</v>
      </c>
      <c r="R91" s="562"/>
      <c r="S91" s="562"/>
      <c r="T91" s="562"/>
      <c r="U91" s="562"/>
      <c r="V91" s="562"/>
      <c r="W91" s="562">
        <v>3.0</v>
      </c>
      <c r="X91" s="562"/>
      <c r="Y91" s="562"/>
      <c r="Z91" s="562">
        <v>7.0</v>
      </c>
      <c r="AA91" s="562">
        <v>7.0</v>
      </c>
      <c r="AB91" s="562">
        <v>7.0</v>
      </c>
      <c r="AC91" s="562"/>
      <c r="AD91" s="562"/>
      <c r="AE91" s="562"/>
      <c r="AF91" s="562"/>
      <c r="AG91" s="562"/>
      <c r="AH91" s="562"/>
      <c r="AI91" s="562"/>
      <c r="AJ91" s="562"/>
      <c r="AK91" s="562"/>
      <c r="AL91" s="562"/>
      <c r="AM91" s="562"/>
      <c r="AN91" s="562"/>
      <c r="AO91" s="562"/>
      <c r="AP91" s="562"/>
      <c r="AQ91" s="562"/>
      <c r="AR91" s="562">
        <v>0.0</v>
      </c>
      <c r="AS91" s="562">
        <v>0.0</v>
      </c>
      <c r="AT91" s="562">
        <v>0.0</v>
      </c>
      <c r="AU91" s="562">
        <v>-2024.0</v>
      </c>
      <c r="AV91" s="562">
        <v>-2024.0</v>
      </c>
      <c r="AW91" s="562">
        <v>-2024.0</v>
      </c>
      <c r="AX91" s="562">
        <v>0.0</v>
      </c>
      <c r="AY91" s="562">
        <v>0.0</v>
      </c>
      <c r="AZ91" s="562">
        <v>0.0</v>
      </c>
      <c r="BA91" s="562">
        <v>0.0</v>
      </c>
      <c r="BB91" s="562"/>
      <c r="BC91" s="562"/>
      <c r="BD91" s="562"/>
      <c r="BE91" s="701">
        <v>1.0</v>
      </c>
      <c r="BF91" s="701">
        <v>1.0</v>
      </c>
      <c r="BG91" s="562"/>
      <c r="BH91" s="562"/>
      <c r="BI91" s="562"/>
      <c r="BJ91" s="562"/>
      <c r="BK91" s="562"/>
      <c r="BL91" s="681"/>
      <c r="BM91" s="665">
        <f t="shared" si="1"/>
        <v>2</v>
      </c>
      <c r="BN91" s="682"/>
      <c r="BO91" s="683"/>
      <c r="BP91" s="683"/>
      <c r="BQ91" s="683"/>
      <c r="BR91" s="683">
        <v>1.0</v>
      </c>
      <c r="BS91" s="683">
        <v>1.0</v>
      </c>
      <c r="BT91" s="683"/>
      <c r="BU91" s="683"/>
      <c r="BV91" s="683"/>
      <c r="BW91" s="686"/>
      <c r="BX91" s="665">
        <f t="shared" si="2"/>
        <v>2</v>
      </c>
      <c r="BY91" s="682">
        <v>0.0</v>
      </c>
      <c r="BZ91" s="683">
        <v>0.0</v>
      </c>
      <c r="CA91" s="683">
        <v>0.0</v>
      </c>
      <c r="CB91" s="683">
        <v>0.0</v>
      </c>
      <c r="CC91" s="683">
        <v>0.0</v>
      </c>
      <c r="CD91" s="683">
        <v>0.0</v>
      </c>
      <c r="CE91" s="683">
        <v>0.0</v>
      </c>
      <c r="CF91" s="683">
        <v>0.0</v>
      </c>
      <c r="CG91" s="683">
        <v>0.0</v>
      </c>
      <c r="CH91" s="686">
        <v>0.0</v>
      </c>
      <c r="CI91" s="665">
        <f t="shared" si="3"/>
        <v>0</v>
      </c>
      <c r="CJ91" s="682">
        <f t="shared" si="4"/>
        <v>4</v>
      </c>
      <c r="CK91" s="706">
        <v>484.16</v>
      </c>
      <c r="CL91" s="683">
        <f t="shared" si="251"/>
        <v>3369.7536</v>
      </c>
      <c r="CM91" s="683">
        <f t="shared" ref="CM91:CV91" si="276">BC91*$CL91</f>
        <v>0</v>
      </c>
      <c r="CN91" s="683">
        <f t="shared" si="276"/>
        <v>0</v>
      </c>
      <c r="CO91" s="683">
        <f t="shared" si="276"/>
        <v>3369.7536</v>
      </c>
      <c r="CP91" s="683">
        <f t="shared" si="276"/>
        <v>3369.7536</v>
      </c>
      <c r="CQ91" s="683">
        <f t="shared" si="276"/>
        <v>0</v>
      </c>
      <c r="CR91" s="683">
        <f t="shared" si="276"/>
        <v>0</v>
      </c>
      <c r="CS91" s="683">
        <f t="shared" si="276"/>
        <v>0</v>
      </c>
      <c r="CT91" s="683">
        <f t="shared" si="276"/>
        <v>0</v>
      </c>
      <c r="CU91" s="683">
        <f t="shared" si="276"/>
        <v>0</v>
      </c>
      <c r="CV91" s="683">
        <f t="shared" si="276"/>
        <v>0</v>
      </c>
      <c r="CW91" s="683">
        <f t="shared" si="21"/>
        <v>6739.5072</v>
      </c>
      <c r="CX91" s="683">
        <f t="shared" ref="CX91:DG91" si="277">BN91*$CL91</f>
        <v>0</v>
      </c>
      <c r="CY91" s="683">
        <f t="shared" si="277"/>
        <v>0</v>
      </c>
      <c r="CZ91" s="683">
        <f t="shared" si="277"/>
        <v>0</v>
      </c>
      <c r="DA91" s="683">
        <f t="shared" si="277"/>
        <v>0</v>
      </c>
      <c r="DB91" s="683">
        <f t="shared" si="277"/>
        <v>3369.7536</v>
      </c>
      <c r="DC91" s="683">
        <f t="shared" si="277"/>
        <v>3369.7536</v>
      </c>
      <c r="DD91" s="683">
        <f t="shared" si="277"/>
        <v>0</v>
      </c>
      <c r="DE91" s="683">
        <f t="shared" si="277"/>
        <v>0</v>
      </c>
      <c r="DF91" s="683">
        <f t="shared" si="277"/>
        <v>0</v>
      </c>
      <c r="DG91" s="683">
        <f t="shared" si="277"/>
        <v>0</v>
      </c>
      <c r="DH91" s="683">
        <f t="shared" si="23"/>
        <v>6739.5072</v>
      </c>
      <c r="DI91" s="683">
        <f t="shared" ref="DI91:DR91" si="278">BY91*$CL91</f>
        <v>0</v>
      </c>
      <c r="DJ91" s="683">
        <f t="shared" si="278"/>
        <v>0</v>
      </c>
      <c r="DK91" s="683">
        <f t="shared" si="278"/>
        <v>0</v>
      </c>
      <c r="DL91" s="683">
        <f t="shared" si="278"/>
        <v>0</v>
      </c>
      <c r="DM91" s="683">
        <f t="shared" si="278"/>
        <v>0</v>
      </c>
      <c r="DN91" s="683">
        <f t="shared" si="278"/>
        <v>0</v>
      </c>
      <c r="DO91" s="683">
        <f t="shared" si="278"/>
        <v>0</v>
      </c>
      <c r="DP91" s="683">
        <f t="shared" si="278"/>
        <v>0</v>
      </c>
      <c r="DQ91" s="683">
        <f t="shared" si="278"/>
        <v>0</v>
      </c>
      <c r="DR91" s="683">
        <f t="shared" si="278"/>
        <v>0</v>
      </c>
      <c r="DS91" s="683">
        <f t="shared" si="25"/>
        <v>0</v>
      </c>
      <c r="DT91" s="683">
        <f t="shared" si="175"/>
        <v>13479.0144</v>
      </c>
      <c r="DU91" s="504"/>
      <c r="DV91" s="486"/>
      <c r="DW91" s="688"/>
      <c r="DX91" s="688"/>
      <c r="DY91" s="688"/>
      <c r="DZ91" s="688"/>
      <c r="EA91" s="688"/>
      <c r="EB91" s="688"/>
      <c r="EC91" s="688"/>
      <c r="ED91" s="688"/>
      <c r="EE91" s="688"/>
      <c r="EF91" s="688"/>
      <c r="EG91" s="688"/>
      <c r="EH91" s="707" t="s">
        <v>3161</v>
      </c>
      <c r="EI91" s="708">
        <f>VLOOKUP(I91,CotizacionTDB,4,FALSE())</f>
        <v>484.16</v>
      </c>
      <c r="EJ91" s="708">
        <f>VLOOKUP(I91,CotizacionTDB,5,FALSE())</f>
        <v>411.54</v>
      </c>
      <c r="EK91" s="691"/>
    </row>
    <row r="92" ht="12.0" customHeight="1">
      <c r="A92" s="709" t="s">
        <v>3026</v>
      </c>
      <c r="B92" s="661">
        <v>2.0</v>
      </c>
      <c r="C92" s="567" t="s">
        <v>3027</v>
      </c>
      <c r="D92" s="568" t="s">
        <v>129</v>
      </c>
      <c r="E92" s="568" t="s">
        <v>2722</v>
      </c>
      <c r="F92" s="567" t="s">
        <v>1763</v>
      </c>
      <c r="G92" s="657" t="s">
        <v>2723</v>
      </c>
      <c r="H92" s="569" t="s">
        <v>2907</v>
      </c>
      <c r="I92" s="710" t="s">
        <v>2313</v>
      </c>
      <c r="J92" s="711" t="s">
        <v>2908</v>
      </c>
      <c r="K92" s="567" t="s">
        <v>25</v>
      </c>
      <c r="L92" s="567">
        <v>2024.0</v>
      </c>
      <c r="M92" s="567">
        <v>2024.0</v>
      </c>
      <c r="N92" s="567">
        <v>2024.0</v>
      </c>
      <c r="O92" s="567"/>
      <c r="P92" s="567"/>
      <c r="Q92" s="567"/>
      <c r="R92" s="567"/>
      <c r="S92" s="567"/>
      <c r="T92" s="567"/>
      <c r="U92" s="567"/>
      <c r="V92" s="567"/>
      <c r="W92" s="567">
        <v>8.0</v>
      </c>
      <c r="X92" s="567">
        <v>8.0</v>
      </c>
      <c r="Y92" s="567">
        <v>8.0</v>
      </c>
      <c r="Z92" s="567"/>
      <c r="AA92" s="567"/>
      <c r="AB92" s="567"/>
      <c r="AC92" s="567"/>
      <c r="AD92" s="567"/>
      <c r="AE92" s="567"/>
      <c r="AF92" s="567"/>
      <c r="AG92" s="567"/>
      <c r="AH92" s="567"/>
      <c r="AI92" s="567"/>
      <c r="AJ92" s="567"/>
      <c r="AK92" s="567"/>
      <c r="AL92" s="567"/>
      <c r="AM92" s="567"/>
      <c r="AN92" s="567"/>
      <c r="AO92" s="567"/>
      <c r="AP92" s="567"/>
      <c r="AQ92" s="567"/>
      <c r="AR92" s="567">
        <v>-2024.0</v>
      </c>
      <c r="AS92" s="567">
        <v>-2024.0</v>
      </c>
      <c r="AT92" s="567">
        <v>-2024.0</v>
      </c>
      <c r="AU92" s="567">
        <v>0.0</v>
      </c>
      <c r="AV92" s="567">
        <v>0.0</v>
      </c>
      <c r="AW92" s="567">
        <v>0.0</v>
      </c>
      <c r="AX92" s="567">
        <v>0.0</v>
      </c>
      <c r="AY92" s="567">
        <v>0.0</v>
      </c>
      <c r="AZ92" s="567">
        <v>0.0</v>
      </c>
      <c r="BA92" s="567">
        <v>0.0</v>
      </c>
      <c r="BB92" s="567"/>
      <c r="BC92" s="661">
        <v>2.0</v>
      </c>
      <c r="BD92" s="567">
        <v>1.0</v>
      </c>
      <c r="BE92" s="661">
        <v>2.0</v>
      </c>
      <c r="BF92" s="567"/>
      <c r="BG92" s="567"/>
      <c r="BH92" s="567"/>
      <c r="BI92" s="567"/>
      <c r="BJ92" s="567"/>
      <c r="BK92" s="567"/>
      <c r="BL92" s="725"/>
      <c r="BM92" s="665">
        <f t="shared" si="1"/>
        <v>5</v>
      </c>
      <c r="BN92" s="736">
        <v>2.0</v>
      </c>
      <c r="BO92" s="668"/>
      <c r="BP92" s="674">
        <v>2.0</v>
      </c>
      <c r="BQ92" s="668"/>
      <c r="BR92" s="668"/>
      <c r="BS92" s="668"/>
      <c r="BT92" s="668"/>
      <c r="BU92" s="668"/>
      <c r="BV92" s="668"/>
      <c r="BW92" s="670"/>
      <c r="BX92" s="665">
        <f t="shared" si="2"/>
        <v>4</v>
      </c>
      <c r="BY92" s="671">
        <v>0.0</v>
      </c>
      <c r="BZ92" s="668">
        <v>0.0</v>
      </c>
      <c r="CA92" s="668">
        <v>0.0</v>
      </c>
      <c r="CB92" s="668">
        <v>0.0</v>
      </c>
      <c r="CC92" s="668">
        <v>0.0</v>
      </c>
      <c r="CD92" s="668">
        <v>0.0</v>
      </c>
      <c r="CE92" s="668">
        <v>0.0</v>
      </c>
      <c r="CF92" s="668">
        <v>0.0</v>
      </c>
      <c r="CG92" s="668">
        <v>0.0</v>
      </c>
      <c r="CH92" s="670">
        <v>0.0</v>
      </c>
      <c r="CI92" s="665">
        <f t="shared" si="3"/>
        <v>0</v>
      </c>
      <c r="CJ92" s="671">
        <f t="shared" si="4"/>
        <v>9</v>
      </c>
      <c r="CK92" s="715">
        <v>172.21</v>
      </c>
      <c r="CL92" s="668">
        <f t="shared" si="251"/>
        <v>1198.5816</v>
      </c>
      <c r="CM92" s="668">
        <f t="shared" ref="CM92:CV92" si="279">BC92*$CL92</f>
        <v>2397.1632</v>
      </c>
      <c r="CN92" s="668">
        <f t="shared" si="279"/>
        <v>1198.5816</v>
      </c>
      <c r="CO92" s="668">
        <f t="shared" si="279"/>
        <v>2397.1632</v>
      </c>
      <c r="CP92" s="668">
        <f t="shared" si="279"/>
        <v>0</v>
      </c>
      <c r="CQ92" s="668">
        <f t="shared" si="279"/>
        <v>0</v>
      </c>
      <c r="CR92" s="668">
        <f t="shared" si="279"/>
        <v>0</v>
      </c>
      <c r="CS92" s="668">
        <f t="shared" si="279"/>
        <v>0</v>
      </c>
      <c r="CT92" s="668">
        <f t="shared" si="279"/>
        <v>0</v>
      </c>
      <c r="CU92" s="668">
        <f t="shared" si="279"/>
        <v>0</v>
      </c>
      <c r="CV92" s="668">
        <f t="shared" si="279"/>
        <v>0</v>
      </c>
      <c r="CW92" s="668">
        <f t="shared" si="21"/>
        <v>5992.908</v>
      </c>
      <c r="CX92" s="668">
        <f t="shared" ref="CX92:DG92" si="280">BN92*$CL92</f>
        <v>2397.1632</v>
      </c>
      <c r="CY92" s="668">
        <f t="shared" si="280"/>
        <v>0</v>
      </c>
      <c r="CZ92" s="668">
        <f t="shared" si="280"/>
        <v>2397.1632</v>
      </c>
      <c r="DA92" s="668">
        <f t="shared" si="280"/>
        <v>0</v>
      </c>
      <c r="DB92" s="668">
        <f t="shared" si="280"/>
        <v>0</v>
      </c>
      <c r="DC92" s="668">
        <f t="shared" si="280"/>
        <v>0</v>
      </c>
      <c r="DD92" s="668">
        <f t="shared" si="280"/>
        <v>0</v>
      </c>
      <c r="DE92" s="668">
        <f t="shared" si="280"/>
        <v>0</v>
      </c>
      <c r="DF92" s="668">
        <f t="shared" si="280"/>
        <v>0</v>
      </c>
      <c r="DG92" s="668">
        <f t="shared" si="280"/>
        <v>0</v>
      </c>
      <c r="DH92" s="668">
        <f t="shared" si="23"/>
        <v>4794.3264</v>
      </c>
      <c r="DI92" s="668">
        <f t="shared" ref="DI92:DR92" si="281">BY92*$CL92</f>
        <v>0</v>
      </c>
      <c r="DJ92" s="668">
        <f t="shared" si="281"/>
        <v>0</v>
      </c>
      <c r="DK92" s="668">
        <f t="shared" si="281"/>
        <v>0</v>
      </c>
      <c r="DL92" s="668">
        <f t="shared" si="281"/>
        <v>0</v>
      </c>
      <c r="DM92" s="668">
        <f t="shared" si="281"/>
        <v>0</v>
      </c>
      <c r="DN92" s="668">
        <f t="shared" si="281"/>
        <v>0</v>
      </c>
      <c r="DO92" s="668">
        <f t="shared" si="281"/>
        <v>0</v>
      </c>
      <c r="DP92" s="668">
        <f t="shared" si="281"/>
        <v>0</v>
      </c>
      <c r="DQ92" s="668">
        <f t="shared" si="281"/>
        <v>0</v>
      </c>
      <c r="DR92" s="668">
        <f t="shared" si="281"/>
        <v>0</v>
      </c>
      <c r="DS92" s="668">
        <f t="shared" si="25"/>
        <v>0</v>
      </c>
      <c r="DT92" s="668">
        <f t="shared" si="175"/>
        <v>10787.2344</v>
      </c>
      <c r="DU92" s="767"/>
      <c r="DV92" s="468" t="s">
        <v>3162</v>
      </c>
      <c r="DW92" s="698"/>
      <c r="DX92" s="698"/>
      <c r="DY92" s="698"/>
      <c r="DZ92" s="698"/>
      <c r="EA92" s="698"/>
      <c r="EB92" s="698"/>
      <c r="EC92" s="698"/>
      <c r="ED92" s="698"/>
      <c r="EE92" s="698"/>
      <c r="EF92" s="698"/>
      <c r="EG92" s="698"/>
      <c r="EH92" s="576" t="s">
        <v>798</v>
      </c>
      <c r="EI92" s="716">
        <f>VLOOKUP(I92,CotizacionTDB,4,FALSE())</f>
        <v>172.21</v>
      </c>
      <c r="EJ92" s="716">
        <f>VLOOKUP(I92,CotizacionTDB,5,FALSE())</f>
        <v>146.38</v>
      </c>
      <c r="EK92" s="699"/>
    </row>
    <row r="93" ht="12.0" customHeight="1">
      <c r="A93" s="700" t="s">
        <v>3026</v>
      </c>
      <c r="B93" s="701">
        <v>2.0</v>
      </c>
      <c r="C93" s="562" t="s">
        <v>3027</v>
      </c>
      <c r="D93" s="571" t="s">
        <v>129</v>
      </c>
      <c r="E93" s="571" t="s">
        <v>2722</v>
      </c>
      <c r="F93" s="562" t="s">
        <v>1763</v>
      </c>
      <c r="G93" s="702" t="s">
        <v>2723</v>
      </c>
      <c r="H93" s="569" t="s">
        <v>3163</v>
      </c>
      <c r="I93" s="703" t="s">
        <v>2069</v>
      </c>
      <c r="J93" s="704" t="s">
        <v>909</v>
      </c>
      <c r="K93" s="562" t="s">
        <v>25</v>
      </c>
      <c r="L93" s="821">
        <v>2025.0</v>
      </c>
      <c r="M93" s="562">
        <v>2025.0</v>
      </c>
      <c r="N93" s="562">
        <v>2024.0</v>
      </c>
      <c r="O93" s="562"/>
      <c r="P93" s="562"/>
      <c r="Q93" s="562"/>
      <c r="R93" s="562"/>
      <c r="S93" s="562"/>
      <c r="T93" s="562"/>
      <c r="U93" s="562"/>
      <c r="V93" s="562"/>
      <c r="W93" s="562">
        <v>4.0</v>
      </c>
      <c r="X93" s="562">
        <v>4.0</v>
      </c>
      <c r="Y93" s="562">
        <v>4.0</v>
      </c>
      <c r="Z93" s="562"/>
      <c r="AA93" s="562"/>
      <c r="AB93" s="562"/>
      <c r="AC93" s="562"/>
      <c r="AD93" s="562"/>
      <c r="AE93" s="562"/>
      <c r="AF93" s="562"/>
      <c r="AG93" s="562"/>
      <c r="AH93" s="562"/>
      <c r="AI93" s="562"/>
      <c r="AJ93" s="562"/>
      <c r="AK93" s="562"/>
      <c r="AL93" s="562"/>
      <c r="AM93" s="562"/>
      <c r="AN93" s="562"/>
      <c r="AO93" s="562"/>
      <c r="AP93" s="562"/>
      <c r="AQ93" s="562"/>
      <c r="AR93" s="562">
        <v>-2025.0</v>
      </c>
      <c r="AS93" s="562">
        <v>-2025.0</v>
      </c>
      <c r="AT93" s="562">
        <v>-2024.0</v>
      </c>
      <c r="AU93" s="562">
        <v>0.0</v>
      </c>
      <c r="AV93" s="562">
        <v>0.0</v>
      </c>
      <c r="AW93" s="562">
        <v>0.0</v>
      </c>
      <c r="AX93" s="562">
        <v>0.0</v>
      </c>
      <c r="AY93" s="562">
        <v>0.0</v>
      </c>
      <c r="AZ93" s="562">
        <v>0.0</v>
      </c>
      <c r="BA93" s="562">
        <v>0.0</v>
      </c>
      <c r="BB93" s="562"/>
      <c r="BC93" s="562"/>
      <c r="BD93" s="562"/>
      <c r="BE93" s="562">
        <v>1.0</v>
      </c>
      <c r="BF93" s="562"/>
      <c r="BG93" s="562"/>
      <c r="BH93" s="562"/>
      <c r="BI93" s="701">
        <v>1.0</v>
      </c>
      <c r="BJ93" s="562"/>
      <c r="BK93" s="562"/>
      <c r="BL93" s="681"/>
      <c r="BM93" s="665">
        <f t="shared" si="1"/>
        <v>2</v>
      </c>
      <c r="BN93" s="733">
        <v>1.0</v>
      </c>
      <c r="BO93" s="687">
        <v>1.0</v>
      </c>
      <c r="BP93" s="683"/>
      <c r="BQ93" s="683"/>
      <c r="BR93" s="683"/>
      <c r="BS93" s="683"/>
      <c r="BT93" s="683"/>
      <c r="BU93" s="683"/>
      <c r="BV93" s="683"/>
      <c r="BW93" s="686"/>
      <c r="BX93" s="665">
        <f t="shared" si="2"/>
        <v>2</v>
      </c>
      <c r="BY93" s="682">
        <v>0.0</v>
      </c>
      <c r="BZ93" s="683">
        <v>0.0</v>
      </c>
      <c r="CA93" s="683">
        <v>0.0</v>
      </c>
      <c r="CB93" s="683">
        <v>0.0</v>
      </c>
      <c r="CC93" s="683">
        <v>0.0</v>
      </c>
      <c r="CD93" s="683">
        <v>0.0</v>
      </c>
      <c r="CE93" s="683">
        <v>0.0</v>
      </c>
      <c r="CF93" s="683">
        <v>0.0</v>
      </c>
      <c r="CG93" s="683">
        <v>0.0</v>
      </c>
      <c r="CH93" s="686">
        <v>0.0</v>
      </c>
      <c r="CI93" s="665">
        <f t="shared" si="3"/>
        <v>0</v>
      </c>
      <c r="CJ93" s="682">
        <f t="shared" si="4"/>
        <v>4</v>
      </c>
      <c r="CK93" s="706">
        <v>414.9</v>
      </c>
      <c r="CL93" s="683">
        <f t="shared" si="251"/>
        <v>2887.704</v>
      </c>
      <c r="CM93" s="683">
        <f t="shared" ref="CM93:CV93" si="282">BC93*$CL93</f>
        <v>0</v>
      </c>
      <c r="CN93" s="683">
        <f t="shared" si="282"/>
        <v>0</v>
      </c>
      <c r="CO93" s="683">
        <f t="shared" si="282"/>
        <v>2887.704</v>
      </c>
      <c r="CP93" s="683">
        <f t="shared" si="282"/>
        <v>0</v>
      </c>
      <c r="CQ93" s="683">
        <f t="shared" si="282"/>
        <v>0</v>
      </c>
      <c r="CR93" s="683">
        <f t="shared" si="282"/>
        <v>0</v>
      </c>
      <c r="CS93" s="683">
        <f t="shared" si="282"/>
        <v>2887.704</v>
      </c>
      <c r="CT93" s="683">
        <f t="shared" si="282"/>
        <v>0</v>
      </c>
      <c r="CU93" s="683">
        <f t="shared" si="282"/>
        <v>0</v>
      </c>
      <c r="CV93" s="683">
        <f t="shared" si="282"/>
        <v>0</v>
      </c>
      <c r="CW93" s="683">
        <f t="shared" si="21"/>
        <v>5775.408</v>
      </c>
      <c r="CX93" s="683">
        <f t="shared" ref="CX93:DG93" si="283">BN93*$CL93</f>
        <v>2887.704</v>
      </c>
      <c r="CY93" s="683">
        <f t="shared" si="283"/>
        <v>2887.704</v>
      </c>
      <c r="CZ93" s="683">
        <f t="shared" si="283"/>
        <v>0</v>
      </c>
      <c r="DA93" s="683">
        <f t="shared" si="283"/>
        <v>0</v>
      </c>
      <c r="DB93" s="683">
        <f t="shared" si="283"/>
        <v>0</v>
      </c>
      <c r="DC93" s="683">
        <f t="shared" si="283"/>
        <v>0</v>
      </c>
      <c r="DD93" s="683">
        <f t="shared" si="283"/>
        <v>0</v>
      </c>
      <c r="DE93" s="683">
        <f t="shared" si="283"/>
        <v>0</v>
      </c>
      <c r="DF93" s="683">
        <f t="shared" si="283"/>
        <v>0</v>
      </c>
      <c r="DG93" s="683">
        <f t="shared" si="283"/>
        <v>0</v>
      </c>
      <c r="DH93" s="683">
        <f t="shared" si="23"/>
        <v>5775.408</v>
      </c>
      <c r="DI93" s="683">
        <f t="shared" ref="DI93:DR93" si="284">BY93*$CL93</f>
        <v>0</v>
      </c>
      <c r="DJ93" s="683">
        <f t="shared" si="284"/>
        <v>0</v>
      </c>
      <c r="DK93" s="683">
        <f t="shared" si="284"/>
        <v>0</v>
      </c>
      <c r="DL93" s="683">
        <f t="shared" si="284"/>
        <v>0</v>
      </c>
      <c r="DM93" s="683">
        <f t="shared" si="284"/>
        <v>0</v>
      </c>
      <c r="DN93" s="683">
        <f t="shared" si="284"/>
        <v>0</v>
      </c>
      <c r="DO93" s="683">
        <f t="shared" si="284"/>
        <v>0</v>
      </c>
      <c r="DP93" s="683">
        <f t="shared" si="284"/>
        <v>0</v>
      </c>
      <c r="DQ93" s="683">
        <f t="shared" si="284"/>
        <v>0</v>
      </c>
      <c r="DR93" s="683">
        <f t="shared" si="284"/>
        <v>0</v>
      </c>
      <c r="DS93" s="683">
        <f t="shared" si="25"/>
        <v>0</v>
      </c>
      <c r="DT93" s="683">
        <f t="shared" si="175"/>
        <v>11550.816</v>
      </c>
      <c r="DU93" s="504"/>
      <c r="DV93" s="486"/>
      <c r="DW93" s="688"/>
      <c r="DX93" s="688"/>
      <c r="DY93" s="688"/>
      <c r="DZ93" s="688"/>
      <c r="EA93" s="688"/>
      <c r="EB93" s="688"/>
      <c r="EC93" s="688"/>
      <c r="ED93" s="688"/>
      <c r="EE93" s="688"/>
      <c r="EF93" s="688"/>
      <c r="EG93" s="688"/>
      <c r="EH93" s="707" t="s">
        <v>3164</v>
      </c>
      <c r="EI93" s="708">
        <f>VLOOKUP(I93,CotizacionTDB,4,FALSE())</f>
        <v>414.9</v>
      </c>
      <c r="EJ93" s="708">
        <f>VLOOKUP(I93,CotizacionTDB,5,FALSE())</f>
        <v>352.67</v>
      </c>
      <c r="EK93" s="691"/>
    </row>
    <row r="94" ht="12.0" customHeight="1">
      <c r="A94" s="709" t="s">
        <v>3026</v>
      </c>
      <c r="B94" s="661">
        <v>2.0</v>
      </c>
      <c r="C94" s="567" t="s">
        <v>3027</v>
      </c>
      <c r="D94" s="568" t="s">
        <v>129</v>
      </c>
      <c r="E94" s="568" t="s">
        <v>2722</v>
      </c>
      <c r="F94" s="567" t="s">
        <v>1763</v>
      </c>
      <c r="G94" s="657" t="s">
        <v>2723</v>
      </c>
      <c r="H94" s="569" t="s">
        <v>3165</v>
      </c>
      <c r="I94" s="710" t="s">
        <v>1946</v>
      </c>
      <c r="J94" s="711" t="s">
        <v>958</v>
      </c>
      <c r="K94" s="567" t="s">
        <v>25</v>
      </c>
      <c r="L94" s="567"/>
      <c r="M94" s="567"/>
      <c r="N94" s="567"/>
      <c r="O94" s="567">
        <v>2024.0</v>
      </c>
      <c r="P94" s="567">
        <v>2024.0</v>
      </c>
      <c r="Q94" s="567">
        <v>2024.0</v>
      </c>
      <c r="R94" s="567"/>
      <c r="S94" s="567"/>
      <c r="T94" s="567"/>
      <c r="U94" s="567"/>
      <c r="V94" s="567"/>
      <c r="W94" s="567">
        <v>3.0</v>
      </c>
      <c r="X94" s="567"/>
      <c r="Y94" s="567"/>
      <c r="Z94" s="567">
        <v>3.0</v>
      </c>
      <c r="AA94" s="567">
        <v>3.0</v>
      </c>
      <c r="AB94" s="567">
        <v>3.0</v>
      </c>
      <c r="AC94" s="567"/>
      <c r="AD94" s="567"/>
      <c r="AE94" s="567"/>
      <c r="AF94" s="567"/>
      <c r="AG94" s="567"/>
      <c r="AH94" s="567"/>
      <c r="AI94" s="567"/>
      <c r="AJ94" s="567"/>
      <c r="AK94" s="567"/>
      <c r="AL94" s="567"/>
      <c r="AM94" s="567"/>
      <c r="AN94" s="567"/>
      <c r="AO94" s="567"/>
      <c r="AP94" s="567"/>
      <c r="AQ94" s="567"/>
      <c r="AR94" s="567">
        <v>0.0</v>
      </c>
      <c r="AS94" s="567">
        <v>0.0</v>
      </c>
      <c r="AT94" s="567">
        <v>0.0</v>
      </c>
      <c r="AU94" s="567">
        <v>-2024.0</v>
      </c>
      <c r="AV94" s="567">
        <v>-2024.0</v>
      </c>
      <c r="AW94" s="567">
        <v>-2024.0</v>
      </c>
      <c r="AX94" s="567">
        <v>0.0</v>
      </c>
      <c r="AY94" s="567">
        <v>0.0</v>
      </c>
      <c r="AZ94" s="567">
        <v>0.0</v>
      </c>
      <c r="BA94" s="567">
        <v>0.0</v>
      </c>
      <c r="BB94" s="567"/>
      <c r="BC94" s="567"/>
      <c r="BD94" s="567"/>
      <c r="BE94" s="661">
        <v>1.0</v>
      </c>
      <c r="BF94" s="661">
        <v>1.0</v>
      </c>
      <c r="BG94" s="567"/>
      <c r="BH94" s="567"/>
      <c r="BI94" s="567"/>
      <c r="BJ94" s="567"/>
      <c r="BK94" s="567"/>
      <c r="BL94" s="725"/>
      <c r="BM94" s="665">
        <f t="shared" si="1"/>
        <v>2</v>
      </c>
      <c r="BN94" s="668"/>
      <c r="BO94" s="668"/>
      <c r="BP94" s="668"/>
      <c r="BQ94" s="674">
        <v>1.0</v>
      </c>
      <c r="BR94" s="668">
        <v>2.0</v>
      </c>
      <c r="BS94" s="668">
        <v>2.0</v>
      </c>
      <c r="BT94" s="668"/>
      <c r="BU94" s="668"/>
      <c r="BV94" s="668"/>
      <c r="BW94" s="670"/>
      <c r="BX94" s="665">
        <f t="shared" si="2"/>
        <v>5</v>
      </c>
      <c r="BY94" s="671">
        <v>0.0</v>
      </c>
      <c r="BZ94" s="668">
        <v>0.0</v>
      </c>
      <c r="CA94" s="729">
        <v>0.0</v>
      </c>
      <c r="CB94" s="668">
        <v>0.0</v>
      </c>
      <c r="CC94" s="668">
        <v>0.0</v>
      </c>
      <c r="CD94" s="668">
        <v>0.0</v>
      </c>
      <c r="CE94" s="668">
        <v>0.0</v>
      </c>
      <c r="CF94" s="668">
        <v>0.0</v>
      </c>
      <c r="CG94" s="668">
        <v>0.0</v>
      </c>
      <c r="CH94" s="670">
        <v>0.0</v>
      </c>
      <c r="CI94" s="665">
        <f t="shared" si="3"/>
        <v>0</v>
      </c>
      <c r="CJ94" s="671">
        <f t="shared" si="4"/>
        <v>7</v>
      </c>
      <c r="CK94" s="715">
        <v>289.31</v>
      </c>
      <c r="CL94" s="668">
        <f t="shared" si="251"/>
        <v>2013.5976</v>
      </c>
      <c r="CM94" s="668">
        <f t="shared" ref="CM94:CV94" si="285">BC94*$CL94</f>
        <v>0</v>
      </c>
      <c r="CN94" s="668">
        <f t="shared" si="285"/>
        <v>0</v>
      </c>
      <c r="CO94" s="668">
        <f t="shared" si="285"/>
        <v>2013.5976</v>
      </c>
      <c r="CP94" s="668">
        <f t="shared" si="285"/>
        <v>2013.5976</v>
      </c>
      <c r="CQ94" s="668">
        <f t="shared" si="285"/>
        <v>0</v>
      </c>
      <c r="CR94" s="668">
        <f t="shared" si="285"/>
        <v>0</v>
      </c>
      <c r="CS94" s="668">
        <f t="shared" si="285"/>
        <v>0</v>
      </c>
      <c r="CT94" s="668">
        <f t="shared" si="285"/>
        <v>0</v>
      </c>
      <c r="CU94" s="668">
        <f t="shared" si="285"/>
        <v>0</v>
      </c>
      <c r="CV94" s="668">
        <f t="shared" si="285"/>
        <v>0</v>
      </c>
      <c r="CW94" s="668">
        <f t="shared" si="21"/>
        <v>4027.1952</v>
      </c>
      <c r="CX94" s="668">
        <f t="shared" ref="CX94:DG94" si="286">BN94*$CL94</f>
        <v>0</v>
      </c>
      <c r="CY94" s="668">
        <f t="shared" si="286"/>
        <v>0</v>
      </c>
      <c r="CZ94" s="668">
        <f t="shared" si="286"/>
        <v>0</v>
      </c>
      <c r="DA94" s="668">
        <f t="shared" si="286"/>
        <v>2013.5976</v>
      </c>
      <c r="DB94" s="668">
        <f t="shared" si="286"/>
        <v>4027.1952</v>
      </c>
      <c r="DC94" s="668">
        <f t="shared" si="286"/>
        <v>4027.1952</v>
      </c>
      <c r="DD94" s="668">
        <f t="shared" si="286"/>
        <v>0</v>
      </c>
      <c r="DE94" s="668">
        <f t="shared" si="286"/>
        <v>0</v>
      </c>
      <c r="DF94" s="668">
        <f t="shared" si="286"/>
        <v>0</v>
      </c>
      <c r="DG94" s="668">
        <f t="shared" si="286"/>
        <v>0</v>
      </c>
      <c r="DH94" s="668">
        <f t="shared" si="23"/>
        <v>10067.988</v>
      </c>
      <c r="DI94" s="668">
        <f t="shared" ref="DI94:DR94" si="287">BY94*$CL94</f>
        <v>0</v>
      </c>
      <c r="DJ94" s="668">
        <f t="shared" si="287"/>
        <v>0</v>
      </c>
      <c r="DK94" s="668">
        <f t="shared" si="287"/>
        <v>0</v>
      </c>
      <c r="DL94" s="668">
        <f t="shared" si="287"/>
        <v>0</v>
      </c>
      <c r="DM94" s="668">
        <f t="shared" si="287"/>
        <v>0</v>
      </c>
      <c r="DN94" s="668">
        <f t="shared" si="287"/>
        <v>0</v>
      </c>
      <c r="DO94" s="668">
        <f t="shared" si="287"/>
        <v>0</v>
      </c>
      <c r="DP94" s="668">
        <f t="shared" si="287"/>
        <v>0</v>
      </c>
      <c r="DQ94" s="668">
        <f t="shared" si="287"/>
        <v>0</v>
      </c>
      <c r="DR94" s="668">
        <f t="shared" si="287"/>
        <v>0</v>
      </c>
      <c r="DS94" s="668">
        <f t="shared" si="25"/>
        <v>0</v>
      </c>
      <c r="DT94" s="668">
        <f t="shared" si="175"/>
        <v>14095.1832</v>
      </c>
      <c r="DU94" s="538"/>
      <c r="DV94" s="468"/>
      <c r="DW94" s="698"/>
      <c r="DX94" s="698"/>
      <c r="DY94" s="698"/>
      <c r="DZ94" s="698"/>
      <c r="EA94" s="698"/>
      <c r="EB94" s="698"/>
      <c r="EC94" s="698"/>
      <c r="ED94" s="698"/>
      <c r="EE94" s="698"/>
      <c r="EF94" s="698"/>
      <c r="EG94" s="698"/>
      <c r="EH94" s="576" t="s">
        <v>3166</v>
      </c>
      <c r="EI94" s="716">
        <f>VLOOKUP(I94,CotizacionTDB,4,FALSE())</f>
        <v>289.31</v>
      </c>
      <c r="EJ94" s="716">
        <f>VLOOKUP(I94,CotizacionTDB,5,FALSE())</f>
        <v>245.91</v>
      </c>
      <c r="EK94" s="699"/>
    </row>
    <row r="95" ht="12.0" customHeight="1">
      <c r="A95" s="700" t="s">
        <v>3026</v>
      </c>
      <c r="B95" s="701">
        <v>2.0</v>
      </c>
      <c r="C95" s="562" t="s">
        <v>3027</v>
      </c>
      <c r="D95" s="571" t="s">
        <v>129</v>
      </c>
      <c r="E95" s="571" t="s">
        <v>2722</v>
      </c>
      <c r="F95" s="562" t="s">
        <v>1763</v>
      </c>
      <c r="G95" s="702" t="s">
        <v>2723</v>
      </c>
      <c r="H95" s="737"/>
      <c r="I95" s="703" t="s">
        <v>2100</v>
      </c>
      <c r="J95" s="704" t="s">
        <v>1280</v>
      </c>
      <c r="K95" s="562" t="s">
        <v>25</v>
      </c>
      <c r="L95" s="562">
        <v>2024.0</v>
      </c>
      <c r="M95" s="562">
        <v>2024.0</v>
      </c>
      <c r="N95" s="562">
        <v>2024.0</v>
      </c>
      <c r="O95" s="562">
        <v>2024.0</v>
      </c>
      <c r="P95" s="562">
        <v>2024.0</v>
      </c>
      <c r="Q95" s="562">
        <v>2024.0</v>
      </c>
      <c r="R95" s="562">
        <v>2024.0</v>
      </c>
      <c r="S95" s="562">
        <v>2024.0</v>
      </c>
      <c r="T95" s="562">
        <v>2024.0</v>
      </c>
      <c r="U95" s="562">
        <v>2024.0</v>
      </c>
      <c r="V95" s="562"/>
      <c r="W95" s="562">
        <v>3.0</v>
      </c>
      <c r="X95" s="562">
        <v>3.0</v>
      </c>
      <c r="Y95" s="562">
        <v>3.0</v>
      </c>
      <c r="Z95" s="562">
        <v>3.0</v>
      </c>
      <c r="AA95" s="562">
        <v>3.0</v>
      </c>
      <c r="AB95" s="562">
        <v>3.0</v>
      </c>
      <c r="AC95" s="562">
        <v>5.0</v>
      </c>
      <c r="AD95" s="562">
        <v>5.0</v>
      </c>
      <c r="AE95" s="562">
        <v>5.0</v>
      </c>
      <c r="AF95" s="562">
        <v>5.0</v>
      </c>
      <c r="AG95" s="562"/>
      <c r="AH95" s="562"/>
      <c r="AI95" s="562"/>
      <c r="AJ95" s="562"/>
      <c r="AK95" s="562"/>
      <c r="AL95" s="562"/>
      <c r="AM95" s="562"/>
      <c r="AN95" s="562"/>
      <c r="AO95" s="562"/>
      <c r="AP95" s="562"/>
      <c r="AQ95" s="562"/>
      <c r="AR95" s="562">
        <v>-2024.0</v>
      </c>
      <c r="AS95" s="562">
        <v>-2024.0</v>
      </c>
      <c r="AT95" s="562">
        <v>-2024.0</v>
      </c>
      <c r="AU95" s="562">
        <v>-2024.0</v>
      </c>
      <c r="AV95" s="562">
        <v>-2024.0</v>
      </c>
      <c r="AW95" s="562">
        <v>-2024.0</v>
      </c>
      <c r="AX95" s="562">
        <v>-2024.0</v>
      </c>
      <c r="AY95" s="562">
        <v>-2024.0</v>
      </c>
      <c r="AZ95" s="562">
        <v>-2024.0</v>
      </c>
      <c r="BA95" s="562">
        <v>-2024.0</v>
      </c>
      <c r="BB95" s="562"/>
      <c r="BC95" s="562">
        <v>8.0</v>
      </c>
      <c r="BD95" s="562">
        <v>6.0</v>
      </c>
      <c r="BE95" s="562">
        <v>8.0</v>
      </c>
      <c r="BF95" s="562">
        <v>6.0</v>
      </c>
      <c r="BG95" s="562">
        <v>8.0</v>
      </c>
      <c r="BH95" s="562">
        <v>8.0</v>
      </c>
      <c r="BI95" s="701">
        <v>6.0</v>
      </c>
      <c r="BJ95" s="562">
        <v>1.0</v>
      </c>
      <c r="BK95" s="701">
        <v>4.0</v>
      </c>
      <c r="BL95" s="681">
        <v>1.0</v>
      </c>
      <c r="BM95" s="665">
        <f t="shared" si="1"/>
        <v>56</v>
      </c>
      <c r="BN95" s="682"/>
      <c r="BO95" s="683"/>
      <c r="BP95" s="683"/>
      <c r="BQ95" s="683"/>
      <c r="BR95" s="683"/>
      <c r="BS95" s="683"/>
      <c r="BT95" s="683"/>
      <c r="BU95" s="683"/>
      <c r="BV95" s="683"/>
      <c r="BW95" s="686"/>
      <c r="BX95" s="665">
        <f t="shared" si="2"/>
        <v>0</v>
      </c>
      <c r="BY95" s="682">
        <v>0.0</v>
      </c>
      <c r="BZ95" s="683">
        <v>0.0</v>
      </c>
      <c r="CA95" s="683">
        <v>0.0</v>
      </c>
      <c r="CB95" s="683">
        <v>0.0</v>
      </c>
      <c r="CC95" s="683">
        <v>0.0</v>
      </c>
      <c r="CD95" s="683">
        <v>0.0</v>
      </c>
      <c r="CE95" s="683">
        <v>0.0</v>
      </c>
      <c r="CF95" s="683">
        <v>0.0</v>
      </c>
      <c r="CG95" s="683">
        <v>0.0</v>
      </c>
      <c r="CH95" s="686">
        <v>0.0</v>
      </c>
      <c r="CI95" s="665">
        <f t="shared" si="3"/>
        <v>0</v>
      </c>
      <c r="CJ95" s="682">
        <f t="shared" si="4"/>
        <v>56</v>
      </c>
      <c r="CK95" s="706">
        <v>9.92</v>
      </c>
      <c r="CL95" s="683">
        <f t="shared" si="251"/>
        <v>69.0432</v>
      </c>
      <c r="CM95" s="683">
        <f t="shared" ref="CM95:CV95" si="288">BC95*$CL95</f>
        <v>552.3456</v>
      </c>
      <c r="CN95" s="683">
        <f t="shared" si="288"/>
        <v>414.2592</v>
      </c>
      <c r="CO95" s="683">
        <f t="shared" si="288"/>
        <v>552.3456</v>
      </c>
      <c r="CP95" s="683">
        <f t="shared" si="288"/>
        <v>414.2592</v>
      </c>
      <c r="CQ95" s="683">
        <f t="shared" si="288"/>
        <v>552.3456</v>
      </c>
      <c r="CR95" s="683">
        <f t="shared" si="288"/>
        <v>552.3456</v>
      </c>
      <c r="CS95" s="683">
        <f t="shared" si="288"/>
        <v>414.2592</v>
      </c>
      <c r="CT95" s="683">
        <f t="shared" si="288"/>
        <v>69.0432</v>
      </c>
      <c r="CU95" s="683">
        <f t="shared" si="288"/>
        <v>276.1728</v>
      </c>
      <c r="CV95" s="683">
        <f t="shared" si="288"/>
        <v>69.0432</v>
      </c>
      <c r="CW95" s="683">
        <f t="shared" si="21"/>
        <v>3866.4192</v>
      </c>
      <c r="CX95" s="683">
        <f t="shared" ref="CX95:DG95" si="289">BN95*$CL95</f>
        <v>0</v>
      </c>
      <c r="CY95" s="683">
        <f t="shared" si="289"/>
        <v>0</v>
      </c>
      <c r="CZ95" s="683">
        <f t="shared" si="289"/>
        <v>0</v>
      </c>
      <c r="DA95" s="683">
        <f t="shared" si="289"/>
        <v>0</v>
      </c>
      <c r="DB95" s="683">
        <f t="shared" si="289"/>
        <v>0</v>
      </c>
      <c r="DC95" s="683">
        <f t="shared" si="289"/>
        <v>0</v>
      </c>
      <c r="DD95" s="683">
        <f t="shared" si="289"/>
        <v>0</v>
      </c>
      <c r="DE95" s="683">
        <f t="shared" si="289"/>
        <v>0</v>
      </c>
      <c r="DF95" s="683">
        <f t="shared" si="289"/>
        <v>0</v>
      </c>
      <c r="DG95" s="683">
        <f t="shared" si="289"/>
        <v>0</v>
      </c>
      <c r="DH95" s="683">
        <f t="shared" si="23"/>
        <v>0</v>
      </c>
      <c r="DI95" s="683">
        <f t="shared" ref="DI95:DR95" si="290">BY95*$CL95</f>
        <v>0</v>
      </c>
      <c r="DJ95" s="683">
        <f t="shared" si="290"/>
        <v>0</v>
      </c>
      <c r="DK95" s="683">
        <f t="shared" si="290"/>
        <v>0</v>
      </c>
      <c r="DL95" s="683">
        <f t="shared" si="290"/>
        <v>0</v>
      </c>
      <c r="DM95" s="683">
        <f t="shared" si="290"/>
        <v>0</v>
      </c>
      <c r="DN95" s="683">
        <f t="shared" si="290"/>
        <v>0</v>
      </c>
      <c r="DO95" s="683">
        <f t="shared" si="290"/>
        <v>0</v>
      </c>
      <c r="DP95" s="683">
        <f t="shared" si="290"/>
        <v>0</v>
      </c>
      <c r="DQ95" s="683">
        <f t="shared" si="290"/>
        <v>0</v>
      </c>
      <c r="DR95" s="683">
        <f t="shared" si="290"/>
        <v>0</v>
      </c>
      <c r="DS95" s="683">
        <f t="shared" si="25"/>
        <v>0</v>
      </c>
      <c r="DT95" s="683">
        <f t="shared" si="175"/>
        <v>3866.4192</v>
      </c>
      <c r="DU95" s="504"/>
      <c r="DV95" s="486"/>
      <c r="DW95" s="688"/>
      <c r="DX95" s="688"/>
      <c r="DY95" s="688"/>
      <c r="DZ95" s="688"/>
      <c r="EA95" s="688"/>
      <c r="EB95" s="688"/>
      <c r="EC95" s="688"/>
      <c r="ED95" s="688"/>
      <c r="EE95" s="688"/>
      <c r="EF95" s="688"/>
      <c r="EG95" s="688"/>
      <c r="EH95" s="707" t="s">
        <v>3167</v>
      </c>
      <c r="EI95" s="708">
        <f>VLOOKUP(I95,CotizacionTDB,4,FALSE())</f>
        <v>9.92</v>
      </c>
      <c r="EJ95" s="708">
        <f>VLOOKUP(I95,CotizacionTDB,5,FALSE())</f>
        <v>8.43</v>
      </c>
      <c r="EK95" s="691"/>
    </row>
    <row r="96" ht="12.0" customHeight="1">
      <c r="A96" s="709" t="s">
        <v>3026</v>
      </c>
      <c r="B96" s="661">
        <v>2.0</v>
      </c>
      <c r="C96" s="567" t="s">
        <v>3027</v>
      </c>
      <c r="D96" s="568" t="s">
        <v>129</v>
      </c>
      <c r="E96" s="568" t="s">
        <v>2722</v>
      </c>
      <c r="F96" s="567" t="s">
        <v>1763</v>
      </c>
      <c r="G96" s="657" t="s">
        <v>2723</v>
      </c>
      <c r="H96" s="658"/>
      <c r="I96" s="721" t="s">
        <v>2232</v>
      </c>
      <c r="J96" s="711" t="s">
        <v>3168</v>
      </c>
      <c r="K96" s="567" t="s">
        <v>25</v>
      </c>
      <c r="L96" s="567"/>
      <c r="M96" s="567"/>
      <c r="N96" s="567"/>
      <c r="O96" s="567">
        <v>2024.0</v>
      </c>
      <c r="P96" s="567">
        <v>2024.0</v>
      </c>
      <c r="Q96" s="567">
        <v>2024.0</v>
      </c>
      <c r="R96" s="567"/>
      <c r="S96" s="567"/>
      <c r="T96" s="567"/>
      <c r="U96" s="567"/>
      <c r="V96" s="567"/>
      <c r="W96" s="567">
        <v>3.0</v>
      </c>
      <c r="X96" s="567"/>
      <c r="Y96" s="567"/>
      <c r="Z96" s="567">
        <v>2.0</v>
      </c>
      <c r="AA96" s="567">
        <v>2.0</v>
      </c>
      <c r="AB96" s="567">
        <v>2.0</v>
      </c>
      <c r="AC96" s="567"/>
      <c r="AD96" s="567"/>
      <c r="AE96" s="567"/>
      <c r="AF96" s="567"/>
      <c r="AG96" s="567"/>
      <c r="AH96" s="567"/>
      <c r="AI96" s="567"/>
      <c r="AJ96" s="567"/>
      <c r="AK96" s="567"/>
      <c r="AL96" s="567"/>
      <c r="AM96" s="567"/>
      <c r="AN96" s="567"/>
      <c r="AO96" s="567"/>
      <c r="AP96" s="567"/>
      <c r="AQ96" s="567"/>
      <c r="AR96" s="567">
        <v>0.0</v>
      </c>
      <c r="AS96" s="567">
        <v>0.0</v>
      </c>
      <c r="AT96" s="567">
        <v>0.0</v>
      </c>
      <c r="AU96" s="567">
        <v>-2024.0</v>
      </c>
      <c r="AV96" s="567">
        <v>-2024.0</v>
      </c>
      <c r="AW96" s="567">
        <v>-2024.0</v>
      </c>
      <c r="AX96" s="567">
        <v>0.0</v>
      </c>
      <c r="AY96" s="567">
        <v>0.0</v>
      </c>
      <c r="AZ96" s="567">
        <v>0.0</v>
      </c>
      <c r="BA96" s="567">
        <v>0.0</v>
      </c>
      <c r="BB96" s="567"/>
      <c r="BC96" s="567"/>
      <c r="BD96" s="567"/>
      <c r="BE96" s="567"/>
      <c r="BF96" s="567">
        <v>1.0</v>
      </c>
      <c r="BG96" s="567">
        <v>1.0</v>
      </c>
      <c r="BH96" s="567">
        <v>1.0</v>
      </c>
      <c r="BI96" s="567"/>
      <c r="BJ96" s="567"/>
      <c r="BK96" s="567"/>
      <c r="BL96" s="725"/>
      <c r="BM96" s="665">
        <f t="shared" si="1"/>
        <v>3</v>
      </c>
      <c r="BN96" s="668"/>
      <c r="BO96" s="668"/>
      <c r="BP96" s="668"/>
      <c r="BQ96" s="668"/>
      <c r="BR96" s="668"/>
      <c r="BS96" s="668"/>
      <c r="BT96" s="668"/>
      <c r="BU96" s="668"/>
      <c r="BV96" s="668"/>
      <c r="BW96" s="670"/>
      <c r="BX96" s="665">
        <f t="shared" si="2"/>
        <v>0</v>
      </c>
      <c r="BY96" s="671">
        <v>0.0</v>
      </c>
      <c r="BZ96" s="668">
        <v>0.0</v>
      </c>
      <c r="CA96" s="668">
        <v>0.0</v>
      </c>
      <c r="CB96" s="668">
        <v>1.0</v>
      </c>
      <c r="CC96" s="668">
        <v>1.0</v>
      </c>
      <c r="CD96" s="668">
        <v>1.0</v>
      </c>
      <c r="CE96" s="668">
        <v>0.0</v>
      </c>
      <c r="CF96" s="668">
        <v>0.0</v>
      </c>
      <c r="CG96" s="668">
        <v>0.0</v>
      </c>
      <c r="CH96" s="670">
        <v>0.0</v>
      </c>
      <c r="CI96" s="665">
        <f t="shared" si="3"/>
        <v>3</v>
      </c>
      <c r="CJ96" s="671">
        <f t="shared" si="4"/>
        <v>6</v>
      </c>
      <c r="CK96" s="715">
        <v>140.17</v>
      </c>
      <c r="CL96" s="668">
        <f t="shared" si="251"/>
        <v>975.5832</v>
      </c>
      <c r="CM96" s="668">
        <f t="shared" ref="CM96:CV96" si="291">BC96*$CL96</f>
        <v>0</v>
      </c>
      <c r="CN96" s="668">
        <f t="shared" si="291"/>
        <v>0</v>
      </c>
      <c r="CO96" s="668">
        <f t="shared" si="291"/>
        <v>0</v>
      </c>
      <c r="CP96" s="668">
        <f t="shared" si="291"/>
        <v>975.5832</v>
      </c>
      <c r="CQ96" s="668">
        <f t="shared" si="291"/>
        <v>975.5832</v>
      </c>
      <c r="CR96" s="668">
        <f t="shared" si="291"/>
        <v>975.5832</v>
      </c>
      <c r="CS96" s="668">
        <f t="shared" si="291"/>
        <v>0</v>
      </c>
      <c r="CT96" s="668">
        <f t="shared" si="291"/>
        <v>0</v>
      </c>
      <c r="CU96" s="668">
        <f t="shared" si="291"/>
        <v>0</v>
      </c>
      <c r="CV96" s="668">
        <f t="shared" si="291"/>
        <v>0</v>
      </c>
      <c r="CW96" s="668">
        <f t="shared" si="21"/>
        <v>2926.7496</v>
      </c>
      <c r="CX96" s="668">
        <f t="shared" ref="CX96:DG96" si="292">BN96*$CL96</f>
        <v>0</v>
      </c>
      <c r="CY96" s="668">
        <f t="shared" si="292"/>
        <v>0</v>
      </c>
      <c r="CZ96" s="668">
        <f t="shared" si="292"/>
        <v>0</v>
      </c>
      <c r="DA96" s="668">
        <f t="shared" si="292"/>
        <v>0</v>
      </c>
      <c r="DB96" s="668">
        <f t="shared" si="292"/>
        <v>0</v>
      </c>
      <c r="DC96" s="668">
        <f t="shared" si="292"/>
        <v>0</v>
      </c>
      <c r="DD96" s="668">
        <f t="shared" si="292"/>
        <v>0</v>
      </c>
      <c r="DE96" s="668">
        <f t="shared" si="292"/>
        <v>0</v>
      </c>
      <c r="DF96" s="668">
        <f t="shared" si="292"/>
        <v>0</v>
      </c>
      <c r="DG96" s="668">
        <f t="shared" si="292"/>
        <v>0</v>
      </c>
      <c r="DH96" s="668">
        <f t="shared" si="23"/>
        <v>0</v>
      </c>
      <c r="DI96" s="668">
        <f t="shared" ref="DI96:DR96" si="293">BY96*$CL96</f>
        <v>0</v>
      </c>
      <c r="DJ96" s="668">
        <f t="shared" si="293"/>
        <v>0</v>
      </c>
      <c r="DK96" s="668">
        <f t="shared" si="293"/>
        <v>0</v>
      </c>
      <c r="DL96" s="668">
        <f t="shared" si="293"/>
        <v>975.5832</v>
      </c>
      <c r="DM96" s="668">
        <f t="shared" si="293"/>
        <v>975.5832</v>
      </c>
      <c r="DN96" s="668">
        <f t="shared" si="293"/>
        <v>975.5832</v>
      </c>
      <c r="DO96" s="668">
        <f t="shared" si="293"/>
        <v>0</v>
      </c>
      <c r="DP96" s="668">
        <f t="shared" si="293"/>
        <v>0</v>
      </c>
      <c r="DQ96" s="668">
        <f t="shared" si="293"/>
        <v>0</v>
      </c>
      <c r="DR96" s="668">
        <f t="shared" si="293"/>
        <v>0</v>
      </c>
      <c r="DS96" s="668">
        <f t="shared" si="25"/>
        <v>2926.7496</v>
      </c>
      <c r="DT96" s="668">
        <f t="shared" si="175"/>
        <v>5853.4992</v>
      </c>
      <c r="DU96" s="538"/>
      <c r="DV96" s="468"/>
      <c r="DW96" s="698"/>
      <c r="DX96" s="698"/>
      <c r="DY96" s="698"/>
      <c r="DZ96" s="698"/>
      <c r="EA96" s="698"/>
      <c r="EB96" s="698"/>
      <c r="EC96" s="698"/>
      <c r="ED96" s="698"/>
      <c r="EE96" s="698"/>
      <c r="EF96" s="698"/>
      <c r="EG96" s="698"/>
      <c r="EH96" s="576" t="s">
        <v>3169</v>
      </c>
      <c r="EI96" s="716">
        <f>VLOOKUP(I96,CotizacionTDB,4,FALSE())</f>
        <v>140.17</v>
      </c>
      <c r="EJ96" s="716">
        <f>VLOOKUP(I96,CotizacionTDB,5,FALSE())</f>
        <v>119.14</v>
      </c>
      <c r="EK96" s="699"/>
    </row>
    <row r="97" ht="12.0" customHeight="1">
      <c r="A97" s="700" t="s">
        <v>3026</v>
      </c>
      <c r="B97" s="701">
        <v>2.0</v>
      </c>
      <c r="C97" s="562" t="s">
        <v>3027</v>
      </c>
      <c r="D97" s="571" t="s">
        <v>129</v>
      </c>
      <c r="E97" s="571" t="s">
        <v>2722</v>
      </c>
      <c r="F97" s="562" t="s">
        <v>1763</v>
      </c>
      <c r="G97" s="702" t="s">
        <v>2723</v>
      </c>
      <c r="H97" s="569" t="s">
        <v>3170</v>
      </c>
      <c r="I97" s="717" t="s">
        <v>1998</v>
      </c>
      <c r="J97" s="704" t="s">
        <v>1085</v>
      </c>
      <c r="K97" s="562" t="s">
        <v>25</v>
      </c>
      <c r="L97" s="562">
        <v>2024.0</v>
      </c>
      <c r="M97" s="562">
        <v>2024.0</v>
      </c>
      <c r="N97" s="562">
        <v>2024.0</v>
      </c>
      <c r="O97" s="562">
        <v>2024.0</v>
      </c>
      <c r="P97" s="562">
        <v>2024.0</v>
      </c>
      <c r="Q97" s="562">
        <v>2024.0</v>
      </c>
      <c r="R97" s="562">
        <v>2024.0</v>
      </c>
      <c r="S97" s="562">
        <v>2024.0</v>
      </c>
      <c r="T97" s="562">
        <v>2024.0</v>
      </c>
      <c r="U97" s="562">
        <v>2024.0</v>
      </c>
      <c r="V97" s="562"/>
      <c r="W97" s="562">
        <v>3.0</v>
      </c>
      <c r="X97" s="562">
        <v>3.0</v>
      </c>
      <c r="Y97" s="562">
        <v>3.0</v>
      </c>
      <c r="Z97" s="562">
        <v>3.0</v>
      </c>
      <c r="AA97" s="562">
        <v>3.0</v>
      </c>
      <c r="AB97" s="562">
        <v>3.0</v>
      </c>
      <c r="AC97" s="562">
        <v>2.0</v>
      </c>
      <c r="AD97" s="562">
        <v>2.0</v>
      </c>
      <c r="AE97" s="562">
        <v>2.0</v>
      </c>
      <c r="AF97" s="562">
        <v>2.0</v>
      </c>
      <c r="AG97" s="562"/>
      <c r="AH97" s="562"/>
      <c r="AI97" s="562"/>
      <c r="AJ97" s="562"/>
      <c r="AK97" s="562"/>
      <c r="AL97" s="562"/>
      <c r="AM97" s="562"/>
      <c r="AN97" s="562"/>
      <c r="AO97" s="562"/>
      <c r="AP97" s="562"/>
      <c r="AQ97" s="562"/>
      <c r="AR97" s="562">
        <v>-2024.0</v>
      </c>
      <c r="AS97" s="562">
        <v>-2024.0</v>
      </c>
      <c r="AT97" s="562">
        <v>-2024.0</v>
      </c>
      <c r="AU97" s="562">
        <v>-2024.0</v>
      </c>
      <c r="AV97" s="562">
        <v>-2024.0</v>
      </c>
      <c r="AW97" s="562">
        <v>-2024.0</v>
      </c>
      <c r="AX97" s="562">
        <v>-2024.0</v>
      </c>
      <c r="AY97" s="562">
        <v>-2024.0</v>
      </c>
      <c r="AZ97" s="562">
        <v>-2024.0</v>
      </c>
      <c r="BA97" s="562">
        <v>-2024.0</v>
      </c>
      <c r="BB97" s="562"/>
      <c r="BC97" s="562"/>
      <c r="BD97" s="562">
        <v>3.0</v>
      </c>
      <c r="BE97" s="562">
        <v>5.0</v>
      </c>
      <c r="BF97" s="562"/>
      <c r="BG97" s="562"/>
      <c r="BH97" s="562"/>
      <c r="BI97" s="562">
        <v>2.0</v>
      </c>
      <c r="BJ97" s="562">
        <v>2.0</v>
      </c>
      <c r="BK97" s="562">
        <v>1.0</v>
      </c>
      <c r="BL97" s="681">
        <v>2.0</v>
      </c>
      <c r="BM97" s="665">
        <f t="shared" si="1"/>
        <v>15</v>
      </c>
      <c r="BN97" s="733"/>
      <c r="BO97" s="683"/>
      <c r="BP97" s="683"/>
      <c r="BQ97" s="683">
        <v>4.0</v>
      </c>
      <c r="BR97" s="683">
        <v>5.0</v>
      </c>
      <c r="BS97" s="683">
        <v>6.0</v>
      </c>
      <c r="BT97" s="744">
        <v>2.0</v>
      </c>
      <c r="BU97" s="683"/>
      <c r="BV97" s="744">
        <v>1.0</v>
      </c>
      <c r="BW97" s="686"/>
      <c r="BX97" s="665">
        <f t="shared" si="2"/>
        <v>18</v>
      </c>
      <c r="BY97" s="733">
        <v>4.0</v>
      </c>
      <c r="BZ97" s="683">
        <v>0.0</v>
      </c>
      <c r="CA97" s="683">
        <v>0.0</v>
      </c>
      <c r="CB97" s="683">
        <v>0.0</v>
      </c>
      <c r="CC97" s="683">
        <v>0.0</v>
      </c>
      <c r="CD97" s="683">
        <v>0.0</v>
      </c>
      <c r="CE97" s="730">
        <v>0.0</v>
      </c>
      <c r="CF97" s="683">
        <v>2.0</v>
      </c>
      <c r="CG97" s="730">
        <v>0.0</v>
      </c>
      <c r="CH97" s="686">
        <v>2.0</v>
      </c>
      <c r="CI97" s="665">
        <f t="shared" si="3"/>
        <v>8</v>
      </c>
      <c r="CJ97" s="682">
        <f t="shared" si="4"/>
        <v>41</v>
      </c>
      <c r="CK97" s="706">
        <v>26.92</v>
      </c>
      <c r="CL97" s="683">
        <f t="shared" si="251"/>
        <v>187.3632</v>
      </c>
      <c r="CM97" s="683">
        <f t="shared" ref="CM97:CV97" si="294">BC97*$CL97</f>
        <v>0</v>
      </c>
      <c r="CN97" s="683">
        <f t="shared" si="294"/>
        <v>562.0896</v>
      </c>
      <c r="CO97" s="683">
        <f t="shared" si="294"/>
        <v>936.816</v>
      </c>
      <c r="CP97" s="683">
        <f t="shared" si="294"/>
        <v>0</v>
      </c>
      <c r="CQ97" s="683">
        <f t="shared" si="294"/>
        <v>0</v>
      </c>
      <c r="CR97" s="683">
        <f t="shared" si="294"/>
        <v>0</v>
      </c>
      <c r="CS97" s="683">
        <f t="shared" si="294"/>
        <v>374.7264</v>
      </c>
      <c r="CT97" s="683">
        <f t="shared" si="294"/>
        <v>374.7264</v>
      </c>
      <c r="CU97" s="683">
        <f t="shared" si="294"/>
        <v>187.3632</v>
      </c>
      <c r="CV97" s="683">
        <f t="shared" si="294"/>
        <v>374.7264</v>
      </c>
      <c r="CW97" s="683">
        <f t="shared" si="21"/>
        <v>2810.448</v>
      </c>
      <c r="CX97" s="683">
        <f t="shared" ref="CX97:DG97" si="295">BN97*$CL97</f>
        <v>0</v>
      </c>
      <c r="CY97" s="683">
        <f t="shared" si="295"/>
        <v>0</v>
      </c>
      <c r="CZ97" s="683">
        <f t="shared" si="295"/>
        <v>0</v>
      </c>
      <c r="DA97" s="683">
        <f t="shared" si="295"/>
        <v>749.4528</v>
      </c>
      <c r="DB97" s="683">
        <f t="shared" si="295"/>
        <v>936.816</v>
      </c>
      <c r="DC97" s="683">
        <f t="shared" si="295"/>
        <v>1124.1792</v>
      </c>
      <c r="DD97" s="683">
        <f t="shared" si="295"/>
        <v>374.7264</v>
      </c>
      <c r="DE97" s="683">
        <f t="shared" si="295"/>
        <v>0</v>
      </c>
      <c r="DF97" s="683">
        <f t="shared" si="295"/>
        <v>187.3632</v>
      </c>
      <c r="DG97" s="683">
        <f t="shared" si="295"/>
        <v>0</v>
      </c>
      <c r="DH97" s="683">
        <f t="shared" si="23"/>
        <v>3372.5376</v>
      </c>
      <c r="DI97" s="683">
        <f t="shared" ref="DI97:DR97" si="296">BY97*$CL97</f>
        <v>749.4528</v>
      </c>
      <c r="DJ97" s="683">
        <f t="shared" si="296"/>
        <v>0</v>
      </c>
      <c r="DK97" s="683">
        <f t="shared" si="296"/>
        <v>0</v>
      </c>
      <c r="DL97" s="683">
        <f t="shared" si="296"/>
        <v>0</v>
      </c>
      <c r="DM97" s="683">
        <f t="shared" si="296"/>
        <v>0</v>
      </c>
      <c r="DN97" s="683">
        <f t="shared" si="296"/>
        <v>0</v>
      </c>
      <c r="DO97" s="683">
        <f t="shared" si="296"/>
        <v>0</v>
      </c>
      <c r="DP97" s="683">
        <f t="shared" si="296"/>
        <v>374.7264</v>
      </c>
      <c r="DQ97" s="683">
        <f t="shared" si="296"/>
        <v>0</v>
      </c>
      <c r="DR97" s="683">
        <f t="shared" si="296"/>
        <v>374.7264</v>
      </c>
      <c r="DS97" s="683">
        <f t="shared" si="25"/>
        <v>1498.9056</v>
      </c>
      <c r="DT97" s="683">
        <f t="shared" si="175"/>
        <v>7681.8912</v>
      </c>
      <c r="DU97" s="504"/>
      <c r="DV97" s="486"/>
      <c r="DW97" s="688"/>
      <c r="DX97" s="688"/>
      <c r="DY97" s="688"/>
      <c r="DZ97" s="688"/>
      <c r="EA97" s="688"/>
      <c r="EB97" s="688"/>
      <c r="EC97" s="688"/>
      <c r="ED97" s="688"/>
      <c r="EE97" s="688"/>
      <c r="EF97" s="688"/>
      <c r="EG97" s="688"/>
      <c r="EH97" s="707" t="s">
        <v>3171</v>
      </c>
      <c r="EI97" s="708">
        <f>VLOOKUP(I97,CotizacionTDB,4,FALSE())</f>
        <v>26.92</v>
      </c>
      <c r="EJ97" s="708">
        <f>VLOOKUP(I97,CotizacionTDB,5,FALSE())</f>
        <v>22.88</v>
      </c>
      <c r="EK97" s="691"/>
    </row>
    <row r="98" ht="12.0" customHeight="1">
      <c r="A98" s="709" t="s">
        <v>3026</v>
      </c>
      <c r="B98" s="661">
        <v>2.0</v>
      </c>
      <c r="C98" s="567" t="s">
        <v>3027</v>
      </c>
      <c r="D98" s="568" t="s">
        <v>129</v>
      </c>
      <c r="E98" s="568" t="s">
        <v>2722</v>
      </c>
      <c r="F98" s="567" t="s">
        <v>1763</v>
      </c>
      <c r="G98" s="657" t="s">
        <v>2723</v>
      </c>
      <c r="H98" s="569" t="s">
        <v>3172</v>
      </c>
      <c r="I98" s="710" t="s">
        <v>2273</v>
      </c>
      <c r="J98" s="711" t="s">
        <v>1189</v>
      </c>
      <c r="K98" s="567" t="s">
        <v>25</v>
      </c>
      <c r="L98" s="567">
        <v>2024.0</v>
      </c>
      <c r="M98" s="567">
        <v>2024.0</v>
      </c>
      <c r="N98" s="567">
        <v>2024.0</v>
      </c>
      <c r="O98" s="567">
        <v>2024.0</v>
      </c>
      <c r="P98" s="567">
        <v>2024.0</v>
      </c>
      <c r="Q98" s="567">
        <v>2024.0</v>
      </c>
      <c r="R98" s="567">
        <v>2024.0</v>
      </c>
      <c r="S98" s="567">
        <v>2024.0</v>
      </c>
      <c r="T98" s="567">
        <v>2024.0</v>
      </c>
      <c r="U98" s="567">
        <v>2024.0</v>
      </c>
      <c r="V98" s="567"/>
      <c r="W98" s="567">
        <v>3.0</v>
      </c>
      <c r="X98" s="567">
        <v>3.0</v>
      </c>
      <c r="Y98" s="567">
        <v>3.0</v>
      </c>
      <c r="Z98" s="567">
        <v>3.0</v>
      </c>
      <c r="AA98" s="567">
        <v>3.0</v>
      </c>
      <c r="AB98" s="567">
        <v>3.0</v>
      </c>
      <c r="AC98" s="567">
        <v>2.0</v>
      </c>
      <c r="AD98" s="567">
        <v>2.0</v>
      </c>
      <c r="AE98" s="567">
        <v>2.0</v>
      </c>
      <c r="AF98" s="567">
        <v>2.0</v>
      </c>
      <c r="AG98" s="567"/>
      <c r="AH98" s="567"/>
      <c r="AI98" s="567"/>
      <c r="AJ98" s="567"/>
      <c r="AK98" s="567"/>
      <c r="AL98" s="567"/>
      <c r="AM98" s="567"/>
      <c r="AN98" s="567"/>
      <c r="AO98" s="567"/>
      <c r="AP98" s="567"/>
      <c r="AQ98" s="567"/>
      <c r="AR98" s="567">
        <v>-2024.0</v>
      </c>
      <c r="AS98" s="567">
        <v>-2024.0</v>
      </c>
      <c r="AT98" s="567">
        <v>-2024.0</v>
      </c>
      <c r="AU98" s="567">
        <v>-2024.0</v>
      </c>
      <c r="AV98" s="567">
        <v>-2024.0</v>
      </c>
      <c r="AW98" s="567">
        <v>-2024.0</v>
      </c>
      <c r="AX98" s="567">
        <v>-2024.0</v>
      </c>
      <c r="AY98" s="567">
        <v>-2024.0</v>
      </c>
      <c r="AZ98" s="567">
        <v>-2024.0</v>
      </c>
      <c r="BA98" s="567">
        <v>-2024.0</v>
      </c>
      <c r="BB98" s="567"/>
      <c r="BC98" s="567"/>
      <c r="BD98" s="661">
        <v>1.0</v>
      </c>
      <c r="BE98" s="567">
        <v>2.0</v>
      </c>
      <c r="BF98" s="567"/>
      <c r="BG98" s="567"/>
      <c r="BH98" s="567"/>
      <c r="BI98" s="567">
        <v>2.0</v>
      </c>
      <c r="BJ98" s="567">
        <v>2.0</v>
      </c>
      <c r="BK98" s="567">
        <v>1.0</v>
      </c>
      <c r="BL98" s="725">
        <v>2.0</v>
      </c>
      <c r="BM98" s="665">
        <f t="shared" si="1"/>
        <v>10</v>
      </c>
      <c r="BN98" s="736">
        <v>2.0</v>
      </c>
      <c r="BO98" s="674"/>
      <c r="BP98" s="674"/>
      <c r="BQ98" s="668">
        <v>2.0</v>
      </c>
      <c r="BR98" s="668">
        <v>4.0</v>
      </c>
      <c r="BS98" s="668">
        <v>3.0</v>
      </c>
      <c r="BT98" s="744">
        <v>2.0</v>
      </c>
      <c r="BU98" s="668"/>
      <c r="BV98" s="744">
        <v>1.0</v>
      </c>
      <c r="BW98" s="670"/>
      <c r="BX98" s="665">
        <f t="shared" si="2"/>
        <v>14</v>
      </c>
      <c r="BY98" s="671">
        <v>0.0</v>
      </c>
      <c r="BZ98" s="668">
        <v>0.0</v>
      </c>
      <c r="CA98" s="668">
        <v>0.0</v>
      </c>
      <c r="CB98" s="668">
        <v>0.0</v>
      </c>
      <c r="CC98" s="668">
        <v>0.0</v>
      </c>
      <c r="CD98" s="668">
        <v>0.0</v>
      </c>
      <c r="CE98" s="730">
        <v>0.0</v>
      </c>
      <c r="CF98" s="668">
        <v>2.0</v>
      </c>
      <c r="CG98" s="730">
        <v>0.0</v>
      </c>
      <c r="CH98" s="670">
        <v>2.0</v>
      </c>
      <c r="CI98" s="665">
        <f t="shared" si="3"/>
        <v>4</v>
      </c>
      <c r="CJ98" s="671">
        <f t="shared" si="4"/>
        <v>28</v>
      </c>
      <c r="CK98" s="715">
        <v>25.3</v>
      </c>
      <c r="CL98" s="668">
        <f t="shared" si="251"/>
        <v>176.088</v>
      </c>
      <c r="CM98" s="668">
        <f t="shared" ref="CM98:CV98" si="297">BC98*$CL98</f>
        <v>0</v>
      </c>
      <c r="CN98" s="668">
        <f t="shared" si="297"/>
        <v>176.088</v>
      </c>
      <c r="CO98" s="668">
        <f t="shared" si="297"/>
        <v>352.176</v>
      </c>
      <c r="CP98" s="668">
        <f t="shared" si="297"/>
        <v>0</v>
      </c>
      <c r="CQ98" s="668">
        <f t="shared" si="297"/>
        <v>0</v>
      </c>
      <c r="CR98" s="668">
        <f t="shared" si="297"/>
        <v>0</v>
      </c>
      <c r="CS98" s="668">
        <f t="shared" si="297"/>
        <v>352.176</v>
      </c>
      <c r="CT98" s="668">
        <f t="shared" si="297"/>
        <v>352.176</v>
      </c>
      <c r="CU98" s="668">
        <f t="shared" si="297"/>
        <v>176.088</v>
      </c>
      <c r="CV98" s="668">
        <f t="shared" si="297"/>
        <v>352.176</v>
      </c>
      <c r="CW98" s="668">
        <f t="shared" si="21"/>
        <v>1760.88</v>
      </c>
      <c r="CX98" s="668">
        <f t="shared" ref="CX98:DG98" si="298">BN98*$CL98</f>
        <v>352.176</v>
      </c>
      <c r="CY98" s="668">
        <f t="shared" si="298"/>
        <v>0</v>
      </c>
      <c r="CZ98" s="668">
        <f t="shared" si="298"/>
        <v>0</v>
      </c>
      <c r="DA98" s="668">
        <f t="shared" si="298"/>
        <v>352.176</v>
      </c>
      <c r="DB98" s="668">
        <f t="shared" si="298"/>
        <v>704.352</v>
      </c>
      <c r="DC98" s="668">
        <f t="shared" si="298"/>
        <v>528.264</v>
      </c>
      <c r="DD98" s="668">
        <f t="shared" si="298"/>
        <v>352.176</v>
      </c>
      <c r="DE98" s="668">
        <f t="shared" si="298"/>
        <v>0</v>
      </c>
      <c r="DF98" s="668">
        <f t="shared" si="298"/>
        <v>176.088</v>
      </c>
      <c r="DG98" s="668">
        <f t="shared" si="298"/>
        <v>0</v>
      </c>
      <c r="DH98" s="668">
        <f t="shared" si="23"/>
        <v>2465.232</v>
      </c>
      <c r="DI98" s="668">
        <f t="shared" ref="DI98:DR98" si="299">BY98*$CL98</f>
        <v>0</v>
      </c>
      <c r="DJ98" s="668">
        <f t="shared" si="299"/>
        <v>0</v>
      </c>
      <c r="DK98" s="668">
        <f t="shared" si="299"/>
        <v>0</v>
      </c>
      <c r="DL98" s="668">
        <f t="shared" si="299"/>
        <v>0</v>
      </c>
      <c r="DM98" s="668">
        <f t="shared" si="299"/>
        <v>0</v>
      </c>
      <c r="DN98" s="668">
        <f t="shared" si="299"/>
        <v>0</v>
      </c>
      <c r="DO98" s="668">
        <f t="shared" si="299"/>
        <v>0</v>
      </c>
      <c r="DP98" s="668">
        <f t="shared" si="299"/>
        <v>352.176</v>
      </c>
      <c r="DQ98" s="668">
        <f t="shared" si="299"/>
        <v>0</v>
      </c>
      <c r="DR98" s="668">
        <f t="shared" si="299"/>
        <v>352.176</v>
      </c>
      <c r="DS98" s="668">
        <f t="shared" si="25"/>
        <v>704.352</v>
      </c>
      <c r="DT98" s="668">
        <f t="shared" si="175"/>
        <v>4930.464</v>
      </c>
      <c r="DU98" s="538"/>
      <c r="DV98" s="468"/>
      <c r="DW98" s="698"/>
      <c r="DX98" s="698"/>
      <c r="DY98" s="698"/>
      <c r="DZ98" s="698"/>
      <c r="EA98" s="698"/>
      <c r="EB98" s="698"/>
      <c r="EC98" s="698"/>
      <c r="ED98" s="698"/>
      <c r="EE98" s="698"/>
      <c r="EF98" s="698"/>
      <c r="EG98" s="698"/>
      <c r="EH98" s="576" t="s">
        <v>1189</v>
      </c>
      <c r="EI98" s="716">
        <f>VLOOKUP(I98,CotizacionTDB,4,FALSE())</f>
        <v>25.3</v>
      </c>
      <c r="EJ98" s="716">
        <f>VLOOKUP(I98,CotizacionTDB,5,FALSE())</f>
        <v>21.51</v>
      </c>
      <c r="EK98" s="699"/>
    </row>
    <row r="99" ht="12.0" customHeight="1">
      <c r="A99" s="700" t="s">
        <v>3026</v>
      </c>
      <c r="B99" s="701">
        <v>2.0</v>
      </c>
      <c r="C99" s="562" t="s">
        <v>3027</v>
      </c>
      <c r="D99" s="571" t="s">
        <v>129</v>
      </c>
      <c r="E99" s="571" t="s">
        <v>2722</v>
      </c>
      <c r="F99" s="562" t="s">
        <v>1763</v>
      </c>
      <c r="G99" s="702" t="s">
        <v>2723</v>
      </c>
      <c r="H99" s="569" t="s">
        <v>3173</v>
      </c>
      <c r="I99" s="717" t="s">
        <v>2112</v>
      </c>
      <c r="J99" s="704" t="s">
        <v>1311</v>
      </c>
      <c r="K99" s="562" t="s">
        <v>25</v>
      </c>
      <c r="L99" s="562">
        <v>2024.0</v>
      </c>
      <c r="M99" s="562"/>
      <c r="N99" s="562">
        <v>2024.0</v>
      </c>
      <c r="O99" s="562">
        <v>2024.0</v>
      </c>
      <c r="P99" s="562">
        <v>2024.0</v>
      </c>
      <c r="Q99" s="562">
        <v>2024.0</v>
      </c>
      <c r="R99" s="562"/>
      <c r="S99" s="562"/>
      <c r="T99" s="562"/>
      <c r="U99" s="562"/>
      <c r="V99" s="562"/>
      <c r="W99" s="562">
        <v>3.0</v>
      </c>
      <c r="X99" s="562"/>
      <c r="Y99" s="562">
        <v>3.0</v>
      </c>
      <c r="Z99" s="562">
        <v>2.0</v>
      </c>
      <c r="AA99" s="562">
        <v>2.0</v>
      </c>
      <c r="AB99" s="562">
        <v>2.0</v>
      </c>
      <c r="AC99" s="562"/>
      <c r="AD99" s="562"/>
      <c r="AE99" s="562"/>
      <c r="AF99" s="562"/>
      <c r="AG99" s="562"/>
      <c r="AH99" s="562"/>
      <c r="AI99" s="562"/>
      <c r="AJ99" s="562"/>
      <c r="AK99" s="562"/>
      <c r="AL99" s="562"/>
      <c r="AM99" s="562"/>
      <c r="AN99" s="562"/>
      <c r="AO99" s="562"/>
      <c r="AP99" s="562"/>
      <c r="AQ99" s="562"/>
      <c r="AR99" s="562">
        <v>-2024.0</v>
      </c>
      <c r="AS99" s="562">
        <v>0.0</v>
      </c>
      <c r="AT99" s="562">
        <v>-2024.0</v>
      </c>
      <c r="AU99" s="562">
        <v>-2024.0</v>
      </c>
      <c r="AV99" s="562">
        <v>-2024.0</v>
      </c>
      <c r="AW99" s="562">
        <v>-2024.0</v>
      </c>
      <c r="AX99" s="562">
        <v>0.0</v>
      </c>
      <c r="AY99" s="562">
        <v>0.0</v>
      </c>
      <c r="AZ99" s="562">
        <v>0.0</v>
      </c>
      <c r="BA99" s="562">
        <v>0.0</v>
      </c>
      <c r="BB99" s="562"/>
      <c r="BC99" s="562">
        <v>2.0</v>
      </c>
      <c r="BD99" s="562"/>
      <c r="BE99" s="562">
        <v>2.0</v>
      </c>
      <c r="BF99" s="562"/>
      <c r="BG99" s="562"/>
      <c r="BH99" s="562"/>
      <c r="BI99" s="562"/>
      <c r="BJ99" s="562"/>
      <c r="BK99" s="562"/>
      <c r="BL99" s="681"/>
      <c r="BM99" s="665">
        <f t="shared" si="1"/>
        <v>4</v>
      </c>
      <c r="BN99" s="682"/>
      <c r="BO99" s="683"/>
      <c r="BP99" s="683"/>
      <c r="BQ99" s="683">
        <v>1.0</v>
      </c>
      <c r="BR99" s="683">
        <v>1.0</v>
      </c>
      <c r="BS99" s="683">
        <v>1.0</v>
      </c>
      <c r="BT99" s="683"/>
      <c r="BU99" s="683"/>
      <c r="BV99" s="683"/>
      <c r="BW99" s="724">
        <v>1.0</v>
      </c>
      <c r="BX99" s="665">
        <f t="shared" si="2"/>
        <v>4</v>
      </c>
      <c r="BY99" s="682">
        <v>0.0</v>
      </c>
      <c r="BZ99" s="683">
        <v>0.0</v>
      </c>
      <c r="CA99" s="683">
        <v>0.0</v>
      </c>
      <c r="CB99" s="683">
        <v>1.0</v>
      </c>
      <c r="CC99" s="683">
        <v>1.0</v>
      </c>
      <c r="CD99" s="683">
        <v>1.0</v>
      </c>
      <c r="CE99" s="683">
        <v>0.0</v>
      </c>
      <c r="CF99" s="683">
        <v>0.0</v>
      </c>
      <c r="CG99" s="683">
        <v>0.0</v>
      </c>
      <c r="CH99" s="686">
        <v>0.0</v>
      </c>
      <c r="CI99" s="665">
        <f t="shared" si="3"/>
        <v>3</v>
      </c>
      <c r="CJ99" s="682">
        <f t="shared" si="4"/>
        <v>11</v>
      </c>
      <c r="CK99" s="706">
        <v>41.96</v>
      </c>
      <c r="CL99" s="683">
        <f t="shared" si="251"/>
        <v>292.0416</v>
      </c>
      <c r="CM99" s="683">
        <f t="shared" ref="CM99:CV99" si="300">BC99*$CL99</f>
        <v>584.0832</v>
      </c>
      <c r="CN99" s="683">
        <f t="shared" si="300"/>
        <v>0</v>
      </c>
      <c r="CO99" s="683">
        <f t="shared" si="300"/>
        <v>584.0832</v>
      </c>
      <c r="CP99" s="683">
        <f t="shared" si="300"/>
        <v>0</v>
      </c>
      <c r="CQ99" s="683">
        <f t="shared" si="300"/>
        <v>0</v>
      </c>
      <c r="CR99" s="683">
        <f t="shared" si="300"/>
        <v>0</v>
      </c>
      <c r="CS99" s="683">
        <f t="shared" si="300"/>
        <v>0</v>
      </c>
      <c r="CT99" s="683">
        <f t="shared" si="300"/>
        <v>0</v>
      </c>
      <c r="CU99" s="683">
        <f t="shared" si="300"/>
        <v>0</v>
      </c>
      <c r="CV99" s="683">
        <f t="shared" si="300"/>
        <v>0</v>
      </c>
      <c r="CW99" s="683">
        <f t="shared" si="21"/>
        <v>1168.1664</v>
      </c>
      <c r="CX99" s="683">
        <f t="shared" ref="CX99:DG99" si="301">BN99*$CL99</f>
        <v>0</v>
      </c>
      <c r="CY99" s="683">
        <f t="shared" si="301"/>
        <v>0</v>
      </c>
      <c r="CZ99" s="683">
        <f t="shared" si="301"/>
        <v>0</v>
      </c>
      <c r="DA99" s="683">
        <f t="shared" si="301"/>
        <v>292.0416</v>
      </c>
      <c r="DB99" s="683">
        <f t="shared" si="301"/>
        <v>292.0416</v>
      </c>
      <c r="DC99" s="683">
        <f t="shared" si="301"/>
        <v>292.0416</v>
      </c>
      <c r="DD99" s="683">
        <f t="shared" si="301"/>
        <v>0</v>
      </c>
      <c r="DE99" s="683">
        <f t="shared" si="301"/>
        <v>0</v>
      </c>
      <c r="DF99" s="683">
        <f t="shared" si="301"/>
        <v>0</v>
      </c>
      <c r="DG99" s="683">
        <f t="shared" si="301"/>
        <v>292.0416</v>
      </c>
      <c r="DH99" s="683">
        <f t="shared" si="23"/>
        <v>1168.1664</v>
      </c>
      <c r="DI99" s="683">
        <f t="shared" ref="DI99:DR99" si="302">BY99*$CL99</f>
        <v>0</v>
      </c>
      <c r="DJ99" s="683">
        <f t="shared" si="302"/>
        <v>0</v>
      </c>
      <c r="DK99" s="683">
        <f t="shared" si="302"/>
        <v>0</v>
      </c>
      <c r="DL99" s="683">
        <f t="shared" si="302"/>
        <v>292.0416</v>
      </c>
      <c r="DM99" s="683">
        <f t="shared" si="302"/>
        <v>292.0416</v>
      </c>
      <c r="DN99" s="683">
        <f t="shared" si="302"/>
        <v>292.0416</v>
      </c>
      <c r="DO99" s="683">
        <f t="shared" si="302"/>
        <v>0</v>
      </c>
      <c r="DP99" s="683">
        <f t="shared" si="302"/>
        <v>0</v>
      </c>
      <c r="DQ99" s="683">
        <f t="shared" si="302"/>
        <v>0</v>
      </c>
      <c r="DR99" s="683">
        <f t="shared" si="302"/>
        <v>0</v>
      </c>
      <c r="DS99" s="683">
        <f t="shared" si="25"/>
        <v>876.1248</v>
      </c>
      <c r="DT99" s="683">
        <f t="shared" si="175"/>
        <v>3212.4576</v>
      </c>
      <c r="DU99" s="504"/>
      <c r="DV99" s="486"/>
      <c r="DW99" s="688"/>
      <c r="DX99" s="688"/>
      <c r="DY99" s="688"/>
      <c r="DZ99" s="688"/>
      <c r="EA99" s="688"/>
      <c r="EB99" s="688"/>
      <c r="EC99" s="688"/>
      <c r="ED99" s="688"/>
      <c r="EE99" s="688"/>
      <c r="EF99" s="688"/>
      <c r="EG99" s="688"/>
      <c r="EH99" s="707" t="s">
        <v>1311</v>
      </c>
      <c r="EI99" s="708">
        <f>VLOOKUP(I99,CotizacionTDB,4,FALSE())</f>
        <v>41.96</v>
      </c>
      <c r="EJ99" s="708">
        <f>VLOOKUP(I99,CotizacionTDB,5,FALSE())</f>
        <v>35.67</v>
      </c>
      <c r="EK99" s="691"/>
    </row>
    <row r="100" ht="12.0" customHeight="1">
      <c r="A100" s="709" t="s">
        <v>3026</v>
      </c>
      <c r="B100" s="661">
        <v>2.0</v>
      </c>
      <c r="C100" s="567" t="s">
        <v>3027</v>
      </c>
      <c r="D100" s="568" t="s">
        <v>129</v>
      </c>
      <c r="E100" s="568" t="s">
        <v>2722</v>
      </c>
      <c r="F100" s="567" t="s">
        <v>1763</v>
      </c>
      <c r="G100" s="657" t="s">
        <v>2723</v>
      </c>
      <c r="H100" s="569" t="s">
        <v>3174</v>
      </c>
      <c r="I100" s="710" t="s">
        <v>1944</v>
      </c>
      <c r="J100" s="820" t="s">
        <v>1596</v>
      </c>
      <c r="K100" s="567" t="s">
        <v>25</v>
      </c>
      <c r="L100" s="567"/>
      <c r="M100" s="567"/>
      <c r="N100" s="567"/>
      <c r="O100" s="567"/>
      <c r="P100" s="567"/>
      <c r="Q100" s="567"/>
      <c r="R100" s="567"/>
      <c r="S100" s="567">
        <v>2024.0</v>
      </c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>
        <v>1.0</v>
      </c>
      <c r="AE100" s="567"/>
      <c r="AF100" s="567"/>
      <c r="AG100" s="567"/>
      <c r="AH100" s="567"/>
      <c r="AI100" s="567"/>
      <c r="AJ100" s="567"/>
      <c r="AK100" s="567"/>
      <c r="AL100" s="567"/>
      <c r="AM100" s="567"/>
      <c r="AN100" s="567"/>
      <c r="AO100" s="567"/>
      <c r="AP100" s="567"/>
      <c r="AQ100" s="567"/>
      <c r="AR100" s="567">
        <v>0.0</v>
      </c>
      <c r="AS100" s="567">
        <v>0.0</v>
      </c>
      <c r="AT100" s="567">
        <v>0.0</v>
      </c>
      <c r="AU100" s="567">
        <v>0.0</v>
      </c>
      <c r="AV100" s="567">
        <v>0.0</v>
      </c>
      <c r="AW100" s="567">
        <v>0.0</v>
      </c>
      <c r="AX100" s="567">
        <v>0.0</v>
      </c>
      <c r="AY100" s="567">
        <v>-2024.0</v>
      </c>
      <c r="AZ100" s="567">
        <v>0.0</v>
      </c>
      <c r="BA100" s="567">
        <v>0.0</v>
      </c>
      <c r="BB100" s="567"/>
      <c r="BC100" s="661">
        <v>1.0</v>
      </c>
      <c r="BD100" s="567"/>
      <c r="BE100" s="661">
        <v>1.0</v>
      </c>
      <c r="BF100" s="567"/>
      <c r="BG100" s="567"/>
      <c r="BH100" s="567"/>
      <c r="BI100" s="567"/>
      <c r="BJ100" s="567">
        <v>1.0</v>
      </c>
      <c r="BK100" s="567"/>
      <c r="BL100" s="725"/>
      <c r="BM100" s="665">
        <f t="shared" si="1"/>
        <v>3</v>
      </c>
      <c r="BN100" s="671"/>
      <c r="BO100" s="674">
        <v>1.0</v>
      </c>
      <c r="BP100" s="668"/>
      <c r="BQ100" s="668"/>
      <c r="BR100" s="668"/>
      <c r="BS100" s="668"/>
      <c r="BT100" s="668"/>
      <c r="BU100" s="668"/>
      <c r="BV100" s="668"/>
      <c r="BW100" s="670"/>
      <c r="BX100" s="665">
        <f t="shared" si="2"/>
        <v>1</v>
      </c>
      <c r="BY100" s="671">
        <v>0.0</v>
      </c>
      <c r="BZ100" s="668">
        <v>0.0</v>
      </c>
      <c r="CA100" s="668">
        <v>0.0</v>
      </c>
      <c r="CB100" s="668">
        <v>0.0</v>
      </c>
      <c r="CC100" s="668">
        <v>0.0</v>
      </c>
      <c r="CD100" s="668">
        <v>0.0</v>
      </c>
      <c r="CE100" s="668">
        <v>0.0</v>
      </c>
      <c r="CF100" s="668">
        <v>0.0</v>
      </c>
      <c r="CG100" s="668">
        <v>0.0</v>
      </c>
      <c r="CH100" s="670">
        <v>0.0</v>
      </c>
      <c r="CI100" s="665">
        <f t="shared" si="3"/>
        <v>0</v>
      </c>
      <c r="CJ100" s="671">
        <f t="shared" si="4"/>
        <v>4</v>
      </c>
      <c r="CK100" s="715">
        <v>55.42</v>
      </c>
      <c r="CL100" s="668">
        <f t="shared" si="251"/>
        <v>385.7232</v>
      </c>
      <c r="CM100" s="668">
        <f t="shared" ref="CM100:CV100" si="303">BC100*$CL100</f>
        <v>385.7232</v>
      </c>
      <c r="CN100" s="668">
        <f t="shared" si="303"/>
        <v>0</v>
      </c>
      <c r="CO100" s="668">
        <f t="shared" si="303"/>
        <v>385.7232</v>
      </c>
      <c r="CP100" s="668">
        <f t="shared" si="303"/>
        <v>0</v>
      </c>
      <c r="CQ100" s="668">
        <f t="shared" si="303"/>
        <v>0</v>
      </c>
      <c r="CR100" s="668">
        <f t="shared" si="303"/>
        <v>0</v>
      </c>
      <c r="CS100" s="668">
        <f t="shared" si="303"/>
        <v>0</v>
      </c>
      <c r="CT100" s="668">
        <f t="shared" si="303"/>
        <v>385.7232</v>
      </c>
      <c r="CU100" s="668">
        <f t="shared" si="303"/>
        <v>0</v>
      </c>
      <c r="CV100" s="668">
        <f t="shared" si="303"/>
        <v>0</v>
      </c>
      <c r="CW100" s="668">
        <f t="shared" si="21"/>
        <v>1157.1696</v>
      </c>
      <c r="CX100" s="668">
        <f t="shared" ref="CX100:DG100" si="304">BN100*$CL100</f>
        <v>0</v>
      </c>
      <c r="CY100" s="668">
        <f t="shared" si="304"/>
        <v>385.7232</v>
      </c>
      <c r="CZ100" s="668">
        <f t="shared" si="304"/>
        <v>0</v>
      </c>
      <c r="DA100" s="668">
        <f t="shared" si="304"/>
        <v>0</v>
      </c>
      <c r="DB100" s="668">
        <f t="shared" si="304"/>
        <v>0</v>
      </c>
      <c r="DC100" s="668">
        <f t="shared" si="304"/>
        <v>0</v>
      </c>
      <c r="DD100" s="668">
        <f t="shared" si="304"/>
        <v>0</v>
      </c>
      <c r="DE100" s="668">
        <f t="shared" si="304"/>
        <v>0</v>
      </c>
      <c r="DF100" s="668">
        <f t="shared" si="304"/>
        <v>0</v>
      </c>
      <c r="DG100" s="668">
        <f t="shared" si="304"/>
        <v>0</v>
      </c>
      <c r="DH100" s="668">
        <f t="shared" si="23"/>
        <v>385.7232</v>
      </c>
      <c r="DI100" s="668">
        <f t="shared" ref="DI100:DR100" si="305">BY100*$CL100</f>
        <v>0</v>
      </c>
      <c r="DJ100" s="668">
        <f t="shared" si="305"/>
        <v>0</v>
      </c>
      <c r="DK100" s="668">
        <f t="shared" si="305"/>
        <v>0</v>
      </c>
      <c r="DL100" s="668">
        <f t="shared" si="305"/>
        <v>0</v>
      </c>
      <c r="DM100" s="668">
        <f t="shared" si="305"/>
        <v>0</v>
      </c>
      <c r="DN100" s="668">
        <f t="shared" si="305"/>
        <v>0</v>
      </c>
      <c r="DO100" s="668">
        <f t="shared" si="305"/>
        <v>0</v>
      </c>
      <c r="DP100" s="668">
        <f t="shared" si="305"/>
        <v>0</v>
      </c>
      <c r="DQ100" s="668">
        <f t="shared" si="305"/>
        <v>0</v>
      </c>
      <c r="DR100" s="668">
        <f t="shared" si="305"/>
        <v>0</v>
      </c>
      <c r="DS100" s="668">
        <f t="shared" si="25"/>
        <v>0</v>
      </c>
      <c r="DT100" s="668">
        <f t="shared" si="175"/>
        <v>1542.8928</v>
      </c>
      <c r="DU100" s="538"/>
      <c r="DV100" s="468"/>
      <c r="DW100" s="698"/>
      <c r="DX100" s="698"/>
      <c r="DY100" s="698"/>
      <c r="DZ100" s="698"/>
      <c r="EA100" s="698"/>
      <c r="EB100" s="698"/>
      <c r="EC100" s="698"/>
      <c r="ED100" s="698"/>
      <c r="EE100" s="698"/>
      <c r="EF100" s="698"/>
      <c r="EG100" s="698"/>
      <c r="EH100" s="576" t="s">
        <v>3175</v>
      </c>
      <c r="EI100" s="716">
        <f>VLOOKUP(I100,CotizacionTDB,4,FALSE())</f>
        <v>55.42</v>
      </c>
      <c r="EJ100" s="716">
        <f>VLOOKUP(I100,CotizacionTDB,5,FALSE())</f>
        <v>47.11</v>
      </c>
      <c r="EK100" s="699"/>
    </row>
    <row r="101" ht="12.0" customHeight="1">
      <c r="A101" s="700" t="s">
        <v>3026</v>
      </c>
      <c r="B101" s="701">
        <v>2.0</v>
      </c>
      <c r="C101" s="562" t="s">
        <v>3027</v>
      </c>
      <c r="D101" s="571" t="s">
        <v>129</v>
      </c>
      <c r="E101" s="571" t="s">
        <v>2722</v>
      </c>
      <c r="F101" s="562" t="s">
        <v>1763</v>
      </c>
      <c r="G101" s="702" t="s">
        <v>2723</v>
      </c>
      <c r="H101" s="737"/>
      <c r="I101" s="717" t="s">
        <v>2465</v>
      </c>
      <c r="J101" s="704" t="s">
        <v>1277</v>
      </c>
      <c r="K101" s="562" t="s">
        <v>25</v>
      </c>
      <c r="L101" s="562">
        <v>2024.0</v>
      </c>
      <c r="M101" s="562"/>
      <c r="N101" s="562">
        <v>2024.0</v>
      </c>
      <c r="O101" s="562"/>
      <c r="P101" s="562"/>
      <c r="Q101" s="562"/>
      <c r="R101" s="562"/>
      <c r="S101" s="562">
        <v>2024.0</v>
      </c>
      <c r="T101" s="562"/>
      <c r="U101" s="562"/>
      <c r="V101" s="562"/>
      <c r="W101" s="562">
        <v>1.0</v>
      </c>
      <c r="X101" s="562"/>
      <c r="Y101" s="562">
        <v>1.0</v>
      </c>
      <c r="Z101" s="562"/>
      <c r="AA101" s="562"/>
      <c r="AB101" s="562"/>
      <c r="AC101" s="562"/>
      <c r="AD101" s="562">
        <v>1.0</v>
      </c>
      <c r="AE101" s="562"/>
      <c r="AF101" s="562"/>
      <c r="AG101" s="562"/>
      <c r="AH101" s="562"/>
      <c r="AI101" s="562"/>
      <c r="AJ101" s="562"/>
      <c r="AK101" s="562"/>
      <c r="AL101" s="562"/>
      <c r="AM101" s="562"/>
      <c r="AN101" s="562"/>
      <c r="AO101" s="562"/>
      <c r="AP101" s="562"/>
      <c r="AQ101" s="562"/>
      <c r="AR101" s="562">
        <v>-2024.0</v>
      </c>
      <c r="AS101" s="562">
        <v>0.0</v>
      </c>
      <c r="AT101" s="562">
        <v>-2024.0</v>
      </c>
      <c r="AU101" s="562">
        <v>0.0</v>
      </c>
      <c r="AV101" s="562">
        <v>0.0</v>
      </c>
      <c r="AW101" s="562">
        <v>0.0</v>
      </c>
      <c r="AX101" s="562">
        <v>0.0</v>
      </c>
      <c r="AY101" s="562">
        <v>-2024.0</v>
      </c>
      <c r="AZ101" s="562">
        <v>0.0</v>
      </c>
      <c r="BA101" s="562">
        <v>0.0</v>
      </c>
      <c r="BB101" s="562"/>
      <c r="BC101" s="562"/>
      <c r="BD101" s="562"/>
      <c r="BE101" s="562"/>
      <c r="BF101" s="701"/>
      <c r="BG101" s="701"/>
      <c r="BH101" s="562"/>
      <c r="BI101" s="562"/>
      <c r="BJ101" s="562">
        <v>1.0</v>
      </c>
      <c r="BK101" s="562"/>
      <c r="BL101" s="681"/>
      <c r="BM101" s="665">
        <f t="shared" si="1"/>
        <v>1</v>
      </c>
      <c r="BN101" s="682"/>
      <c r="BO101" s="683"/>
      <c r="BP101" s="687">
        <v>1.0</v>
      </c>
      <c r="BQ101" s="683"/>
      <c r="BR101" s="683"/>
      <c r="BS101" s="683"/>
      <c r="BT101" s="683"/>
      <c r="BU101" s="683"/>
      <c r="BV101" s="683"/>
      <c r="BW101" s="686"/>
      <c r="BX101" s="665">
        <f t="shared" si="2"/>
        <v>1</v>
      </c>
      <c r="BY101" s="733">
        <v>1.0</v>
      </c>
      <c r="BZ101" s="683">
        <v>0.0</v>
      </c>
      <c r="CA101" s="683">
        <v>0.0</v>
      </c>
      <c r="CB101" s="683">
        <v>0.0</v>
      </c>
      <c r="CC101" s="683">
        <v>0.0</v>
      </c>
      <c r="CD101" s="683">
        <v>0.0</v>
      </c>
      <c r="CE101" s="683">
        <v>0.0</v>
      </c>
      <c r="CF101" s="683">
        <v>0.0</v>
      </c>
      <c r="CG101" s="683">
        <v>0.0</v>
      </c>
      <c r="CH101" s="686">
        <v>0.0</v>
      </c>
      <c r="CI101" s="665">
        <f t="shared" si="3"/>
        <v>1</v>
      </c>
      <c r="CJ101" s="682">
        <f t="shared" si="4"/>
        <v>3</v>
      </c>
      <c r="CK101" s="706">
        <v>159.94</v>
      </c>
      <c r="CL101" s="683">
        <f t="shared" si="251"/>
        <v>1113.1824</v>
      </c>
      <c r="CM101" s="683">
        <f t="shared" ref="CM101:CV101" si="306">BC101*$CL101</f>
        <v>0</v>
      </c>
      <c r="CN101" s="683">
        <f t="shared" si="306"/>
        <v>0</v>
      </c>
      <c r="CO101" s="683">
        <f t="shared" si="306"/>
        <v>0</v>
      </c>
      <c r="CP101" s="683">
        <f t="shared" si="306"/>
        <v>0</v>
      </c>
      <c r="CQ101" s="683">
        <f t="shared" si="306"/>
        <v>0</v>
      </c>
      <c r="CR101" s="683">
        <f t="shared" si="306"/>
        <v>0</v>
      </c>
      <c r="CS101" s="683">
        <f t="shared" si="306"/>
        <v>0</v>
      </c>
      <c r="CT101" s="683">
        <f t="shared" si="306"/>
        <v>1113.1824</v>
      </c>
      <c r="CU101" s="683">
        <f t="shared" si="306"/>
        <v>0</v>
      </c>
      <c r="CV101" s="683">
        <f t="shared" si="306"/>
        <v>0</v>
      </c>
      <c r="CW101" s="683">
        <f t="shared" si="21"/>
        <v>1113.1824</v>
      </c>
      <c r="CX101" s="683">
        <f t="shared" ref="CX101:DG101" si="307">BN101*$CL101</f>
        <v>0</v>
      </c>
      <c r="CY101" s="683">
        <f t="shared" si="307"/>
        <v>0</v>
      </c>
      <c r="CZ101" s="683">
        <f t="shared" si="307"/>
        <v>1113.1824</v>
      </c>
      <c r="DA101" s="683">
        <f t="shared" si="307"/>
        <v>0</v>
      </c>
      <c r="DB101" s="683">
        <f t="shared" si="307"/>
        <v>0</v>
      </c>
      <c r="DC101" s="683">
        <f t="shared" si="307"/>
        <v>0</v>
      </c>
      <c r="DD101" s="683">
        <f t="shared" si="307"/>
        <v>0</v>
      </c>
      <c r="DE101" s="683">
        <f t="shared" si="307"/>
        <v>0</v>
      </c>
      <c r="DF101" s="683">
        <f t="shared" si="307"/>
        <v>0</v>
      </c>
      <c r="DG101" s="683">
        <f t="shared" si="307"/>
        <v>0</v>
      </c>
      <c r="DH101" s="683">
        <f t="shared" si="23"/>
        <v>1113.1824</v>
      </c>
      <c r="DI101" s="683">
        <f t="shared" ref="DI101:DR101" si="308">BY101*$CL101</f>
        <v>1113.1824</v>
      </c>
      <c r="DJ101" s="683">
        <f t="shared" si="308"/>
        <v>0</v>
      </c>
      <c r="DK101" s="683">
        <f t="shared" si="308"/>
        <v>0</v>
      </c>
      <c r="DL101" s="683">
        <f t="shared" si="308"/>
        <v>0</v>
      </c>
      <c r="DM101" s="683">
        <f t="shared" si="308"/>
        <v>0</v>
      </c>
      <c r="DN101" s="683">
        <f t="shared" si="308"/>
        <v>0</v>
      </c>
      <c r="DO101" s="683">
        <f t="shared" si="308"/>
        <v>0</v>
      </c>
      <c r="DP101" s="683">
        <f t="shared" si="308"/>
        <v>0</v>
      </c>
      <c r="DQ101" s="683">
        <f t="shared" si="308"/>
        <v>0</v>
      </c>
      <c r="DR101" s="683">
        <f t="shared" si="308"/>
        <v>0</v>
      </c>
      <c r="DS101" s="683">
        <f t="shared" si="25"/>
        <v>1113.1824</v>
      </c>
      <c r="DT101" s="683">
        <f t="shared" si="175"/>
        <v>3339.5472</v>
      </c>
      <c r="DU101" s="504"/>
      <c r="DV101" s="486"/>
      <c r="DW101" s="688"/>
      <c r="DX101" s="688"/>
      <c r="DY101" s="688"/>
      <c r="DZ101" s="688"/>
      <c r="EA101" s="688"/>
      <c r="EB101" s="688"/>
      <c r="EC101" s="688"/>
      <c r="ED101" s="688"/>
      <c r="EE101" s="688"/>
      <c r="EF101" s="688"/>
      <c r="EG101" s="688"/>
      <c r="EH101" s="707" t="s">
        <v>3176</v>
      </c>
      <c r="EI101" s="708">
        <f>VLOOKUP(I101,CotizacionTDB,4,FALSE())</f>
        <v>159.94</v>
      </c>
      <c r="EJ101" s="708">
        <f>VLOOKUP(I101,CotizacionTDB,5,FALSE())</f>
        <v>135.95</v>
      </c>
      <c r="EK101" s="691"/>
    </row>
    <row r="102" ht="12.0" customHeight="1">
      <c r="A102" s="709" t="s">
        <v>3026</v>
      </c>
      <c r="B102" s="661">
        <v>2.0</v>
      </c>
      <c r="C102" s="567" t="s">
        <v>3027</v>
      </c>
      <c r="D102" s="568" t="s">
        <v>129</v>
      </c>
      <c r="E102" s="568" t="s">
        <v>2722</v>
      </c>
      <c r="F102" s="567" t="s">
        <v>1763</v>
      </c>
      <c r="G102" s="657" t="s">
        <v>2723</v>
      </c>
      <c r="H102" s="569" t="s">
        <v>3177</v>
      </c>
      <c r="I102" s="710" t="s">
        <v>2239</v>
      </c>
      <c r="J102" s="832" t="s">
        <v>3178</v>
      </c>
      <c r="K102" s="567" t="s">
        <v>25</v>
      </c>
      <c r="L102" s="567"/>
      <c r="M102" s="567"/>
      <c r="N102" s="567"/>
      <c r="O102" s="567">
        <v>2024.0</v>
      </c>
      <c r="P102" s="567">
        <v>2024.0</v>
      </c>
      <c r="Q102" s="567"/>
      <c r="R102" s="567"/>
      <c r="S102" s="567"/>
      <c r="T102" s="567"/>
      <c r="U102" s="567"/>
      <c r="V102" s="567"/>
      <c r="W102" s="567">
        <v>3.0</v>
      </c>
      <c r="X102" s="567"/>
      <c r="Y102" s="567"/>
      <c r="Z102" s="567">
        <v>2.0</v>
      </c>
      <c r="AA102" s="567">
        <v>2.0</v>
      </c>
      <c r="AB102" s="567"/>
      <c r="AC102" s="567"/>
      <c r="AD102" s="567"/>
      <c r="AE102" s="567"/>
      <c r="AF102" s="567"/>
      <c r="AG102" s="567"/>
      <c r="AH102" s="567"/>
      <c r="AI102" s="567"/>
      <c r="AJ102" s="567"/>
      <c r="AK102" s="567"/>
      <c r="AL102" s="567"/>
      <c r="AM102" s="567"/>
      <c r="AN102" s="567"/>
      <c r="AO102" s="567"/>
      <c r="AP102" s="567"/>
      <c r="AQ102" s="567"/>
      <c r="AR102" s="567">
        <v>0.0</v>
      </c>
      <c r="AS102" s="567">
        <v>0.0</v>
      </c>
      <c r="AT102" s="567">
        <v>0.0</v>
      </c>
      <c r="AU102" s="567">
        <v>-2024.0</v>
      </c>
      <c r="AV102" s="567">
        <v>-2024.0</v>
      </c>
      <c r="AW102" s="567">
        <v>0.0</v>
      </c>
      <c r="AX102" s="567">
        <v>0.0</v>
      </c>
      <c r="AY102" s="567">
        <v>0.0</v>
      </c>
      <c r="AZ102" s="567">
        <v>0.0</v>
      </c>
      <c r="BA102" s="567">
        <v>0.0</v>
      </c>
      <c r="BB102" s="567"/>
      <c r="BC102" s="567"/>
      <c r="BD102" s="567"/>
      <c r="BE102" s="567"/>
      <c r="BF102" s="567"/>
      <c r="BG102" s="567"/>
      <c r="BH102" s="567"/>
      <c r="BI102" s="661">
        <v>1.0</v>
      </c>
      <c r="BJ102" s="567"/>
      <c r="BK102" s="567"/>
      <c r="BL102" s="725"/>
      <c r="BM102" s="665">
        <f t="shared" si="1"/>
        <v>1</v>
      </c>
      <c r="BN102" s="671"/>
      <c r="BO102" s="668"/>
      <c r="BP102" s="668"/>
      <c r="BQ102" s="668">
        <v>1.0</v>
      </c>
      <c r="BR102" s="668">
        <v>1.0</v>
      </c>
      <c r="BS102" s="668"/>
      <c r="BT102" s="668"/>
      <c r="BU102" s="668"/>
      <c r="BV102" s="668"/>
      <c r="BW102" s="670"/>
      <c r="BX102" s="665">
        <f t="shared" si="2"/>
        <v>2</v>
      </c>
      <c r="BY102" s="736">
        <v>1.0</v>
      </c>
      <c r="BZ102" s="668">
        <v>0.0</v>
      </c>
      <c r="CA102" s="674">
        <v>1.0</v>
      </c>
      <c r="CB102" s="668">
        <v>1.0</v>
      </c>
      <c r="CC102" s="668">
        <v>1.0</v>
      </c>
      <c r="CD102" s="668">
        <v>0.0</v>
      </c>
      <c r="CE102" s="668">
        <v>0.0</v>
      </c>
      <c r="CF102" s="668">
        <v>0.0</v>
      </c>
      <c r="CG102" s="668">
        <v>0.0</v>
      </c>
      <c r="CH102" s="670">
        <v>0.0</v>
      </c>
      <c r="CI102" s="665">
        <f t="shared" si="3"/>
        <v>4</v>
      </c>
      <c r="CJ102" s="671">
        <f t="shared" si="4"/>
        <v>7</v>
      </c>
      <c r="CK102" s="715">
        <v>144.09</v>
      </c>
      <c r="CL102" s="668">
        <f t="shared" si="251"/>
        <v>1002.8664</v>
      </c>
      <c r="CM102" s="668">
        <f t="shared" ref="CM102:CV102" si="309">BC102*$CL102</f>
        <v>0</v>
      </c>
      <c r="CN102" s="668">
        <f t="shared" si="309"/>
        <v>0</v>
      </c>
      <c r="CO102" s="668">
        <f t="shared" si="309"/>
        <v>0</v>
      </c>
      <c r="CP102" s="668">
        <f t="shared" si="309"/>
        <v>0</v>
      </c>
      <c r="CQ102" s="668">
        <f t="shared" si="309"/>
        <v>0</v>
      </c>
      <c r="CR102" s="668">
        <f t="shared" si="309"/>
        <v>0</v>
      </c>
      <c r="CS102" s="668">
        <f t="shared" si="309"/>
        <v>1002.8664</v>
      </c>
      <c r="CT102" s="668">
        <f t="shared" si="309"/>
        <v>0</v>
      </c>
      <c r="CU102" s="668">
        <f t="shared" si="309"/>
        <v>0</v>
      </c>
      <c r="CV102" s="668">
        <f t="shared" si="309"/>
        <v>0</v>
      </c>
      <c r="CW102" s="668">
        <f t="shared" si="21"/>
        <v>1002.8664</v>
      </c>
      <c r="CX102" s="668">
        <f t="shared" ref="CX102:DG102" si="310">BN102*$CL102</f>
        <v>0</v>
      </c>
      <c r="CY102" s="668">
        <f t="shared" si="310"/>
        <v>0</v>
      </c>
      <c r="CZ102" s="668">
        <f t="shared" si="310"/>
        <v>0</v>
      </c>
      <c r="DA102" s="668">
        <f t="shared" si="310"/>
        <v>1002.8664</v>
      </c>
      <c r="DB102" s="668">
        <f t="shared" si="310"/>
        <v>1002.8664</v>
      </c>
      <c r="DC102" s="668">
        <f t="shared" si="310"/>
        <v>0</v>
      </c>
      <c r="DD102" s="668">
        <f t="shared" si="310"/>
        <v>0</v>
      </c>
      <c r="DE102" s="668">
        <f t="shared" si="310"/>
        <v>0</v>
      </c>
      <c r="DF102" s="668">
        <f t="shared" si="310"/>
        <v>0</v>
      </c>
      <c r="DG102" s="668">
        <f t="shared" si="310"/>
        <v>0</v>
      </c>
      <c r="DH102" s="668">
        <f t="shared" si="23"/>
        <v>2005.7328</v>
      </c>
      <c r="DI102" s="668">
        <f t="shared" ref="DI102:DR102" si="311">BY102*$CL102</f>
        <v>1002.8664</v>
      </c>
      <c r="DJ102" s="668">
        <f t="shared" si="311"/>
        <v>0</v>
      </c>
      <c r="DK102" s="668">
        <f t="shared" si="311"/>
        <v>1002.8664</v>
      </c>
      <c r="DL102" s="668">
        <f t="shared" si="311"/>
        <v>1002.8664</v>
      </c>
      <c r="DM102" s="668">
        <f t="shared" si="311"/>
        <v>1002.8664</v>
      </c>
      <c r="DN102" s="668">
        <f t="shared" si="311"/>
        <v>0</v>
      </c>
      <c r="DO102" s="668">
        <f t="shared" si="311"/>
        <v>0</v>
      </c>
      <c r="DP102" s="668">
        <f t="shared" si="311"/>
        <v>0</v>
      </c>
      <c r="DQ102" s="668">
        <f t="shared" si="311"/>
        <v>0</v>
      </c>
      <c r="DR102" s="668">
        <f t="shared" si="311"/>
        <v>0</v>
      </c>
      <c r="DS102" s="668">
        <f t="shared" si="25"/>
        <v>4011.4656</v>
      </c>
      <c r="DT102" s="668">
        <f t="shared" si="175"/>
        <v>7020.0648</v>
      </c>
      <c r="DU102" s="538"/>
      <c r="DV102" s="468"/>
      <c r="DW102" s="698"/>
      <c r="DX102" s="698"/>
      <c r="DY102" s="698"/>
      <c r="DZ102" s="698"/>
      <c r="EA102" s="698"/>
      <c r="EB102" s="698"/>
      <c r="EC102" s="698"/>
      <c r="ED102" s="698"/>
      <c r="EE102" s="698"/>
      <c r="EF102" s="698"/>
      <c r="EG102" s="698"/>
      <c r="EH102" s="576" t="s">
        <v>3179</v>
      </c>
      <c r="EI102" s="716">
        <f>VLOOKUP(I102,CotizacionTDB,4,FALSE())</f>
        <v>144.09</v>
      </c>
      <c r="EJ102" s="716">
        <f>VLOOKUP(I102,CotizacionTDB,5,FALSE())</f>
        <v>122.48</v>
      </c>
      <c r="EK102" s="699"/>
    </row>
    <row r="103" ht="12.0" customHeight="1">
      <c r="A103" s="700" t="s">
        <v>3026</v>
      </c>
      <c r="B103" s="701">
        <v>2.0</v>
      </c>
      <c r="C103" s="562" t="s">
        <v>3027</v>
      </c>
      <c r="D103" s="571" t="s">
        <v>129</v>
      </c>
      <c r="E103" s="571" t="s">
        <v>2722</v>
      </c>
      <c r="F103" s="562" t="s">
        <v>1763</v>
      </c>
      <c r="G103" s="702" t="s">
        <v>2723</v>
      </c>
      <c r="H103" s="569" t="s">
        <v>3180</v>
      </c>
      <c r="I103" s="717" t="s">
        <v>2334</v>
      </c>
      <c r="J103" s="704" t="s">
        <v>3181</v>
      </c>
      <c r="K103" s="562" t="s">
        <v>25</v>
      </c>
      <c r="L103" s="562"/>
      <c r="M103" s="562"/>
      <c r="N103" s="562"/>
      <c r="O103" s="562">
        <v>2024.0</v>
      </c>
      <c r="P103" s="562">
        <v>2024.0</v>
      </c>
      <c r="Q103" s="562"/>
      <c r="R103" s="562"/>
      <c r="S103" s="562"/>
      <c r="T103" s="562"/>
      <c r="U103" s="562"/>
      <c r="V103" s="562"/>
      <c r="W103" s="562">
        <v>3.0</v>
      </c>
      <c r="X103" s="562"/>
      <c r="Y103" s="562"/>
      <c r="Z103" s="562">
        <v>2.0</v>
      </c>
      <c r="AA103" s="562">
        <v>2.0</v>
      </c>
      <c r="AB103" s="562"/>
      <c r="AC103" s="562"/>
      <c r="AD103" s="562"/>
      <c r="AE103" s="562"/>
      <c r="AF103" s="562"/>
      <c r="AG103" s="562"/>
      <c r="AH103" s="562"/>
      <c r="AI103" s="562"/>
      <c r="AJ103" s="562"/>
      <c r="AK103" s="562"/>
      <c r="AL103" s="562"/>
      <c r="AM103" s="562"/>
      <c r="AN103" s="562"/>
      <c r="AO103" s="562"/>
      <c r="AP103" s="562"/>
      <c r="AQ103" s="562"/>
      <c r="AR103" s="562">
        <v>0.0</v>
      </c>
      <c r="AS103" s="562">
        <v>0.0</v>
      </c>
      <c r="AT103" s="562">
        <v>0.0</v>
      </c>
      <c r="AU103" s="562">
        <v>-2024.0</v>
      </c>
      <c r="AV103" s="562">
        <v>-2024.0</v>
      </c>
      <c r="AW103" s="562">
        <v>0.0</v>
      </c>
      <c r="AX103" s="562">
        <v>0.0</v>
      </c>
      <c r="AY103" s="562">
        <v>0.0</v>
      </c>
      <c r="AZ103" s="562">
        <v>0.0</v>
      </c>
      <c r="BA103" s="562">
        <v>0.0</v>
      </c>
      <c r="BB103" s="562"/>
      <c r="BC103" s="562"/>
      <c r="BD103" s="562"/>
      <c r="BE103" s="562"/>
      <c r="BF103" s="562"/>
      <c r="BG103" s="562"/>
      <c r="BH103" s="562"/>
      <c r="BI103" s="701">
        <v>1.0</v>
      </c>
      <c r="BJ103" s="562"/>
      <c r="BK103" s="562"/>
      <c r="BL103" s="681"/>
      <c r="BM103" s="665">
        <f t="shared" si="1"/>
        <v>1</v>
      </c>
      <c r="BN103" s="682"/>
      <c r="BO103" s="683"/>
      <c r="BP103" s="683"/>
      <c r="BQ103" s="683">
        <v>1.0</v>
      </c>
      <c r="BR103" s="683">
        <v>1.0</v>
      </c>
      <c r="BS103" s="683"/>
      <c r="BT103" s="683"/>
      <c r="BU103" s="683"/>
      <c r="BV103" s="683"/>
      <c r="BW103" s="686"/>
      <c r="BX103" s="665">
        <f t="shared" si="2"/>
        <v>2</v>
      </c>
      <c r="BY103" s="733">
        <v>1.0</v>
      </c>
      <c r="BZ103" s="683">
        <v>0.0</v>
      </c>
      <c r="CA103" s="687">
        <v>1.0</v>
      </c>
      <c r="CB103" s="683">
        <v>1.0</v>
      </c>
      <c r="CC103" s="683">
        <v>1.0</v>
      </c>
      <c r="CD103" s="683">
        <v>0.0</v>
      </c>
      <c r="CE103" s="683">
        <v>0.0</v>
      </c>
      <c r="CF103" s="683">
        <v>0.0</v>
      </c>
      <c r="CG103" s="683">
        <v>0.0</v>
      </c>
      <c r="CH103" s="686">
        <v>0.0</v>
      </c>
      <c r="CI103" s="665">
        <f t="shared" si="3"/>
        <v>4</v>
      </c>
      <c r="CJ103" s="682">
        <f t="shared" si="4"/>
        <v>7</v>
      </c>
      <c r="CK103" s="706">
        <v>133.91</v>
      </c>
      <c r="CL103" s="683">
        <f t="shared" si="251"/>
        <v>932.0136</v>
      </c>
      <c r="CM103" s="683">
        <f t="shared" ref="CM103:CV103" si="312">BC103*$CL103</f>
        <v>0</v>
      </c>
      <c r="CN103" s="683">
        <f t="shared" si="312"/>
        <v>0</v>
      </c>
      <c r="CO103" s="683">
        <f t="shared" si="312"/>
        <v>0</v>
      </c>
      <c r="CP103" s="683">
        <f t="shared" si="312"/>
        <v>0</v>
      </c>
      <c r="CQ103" s="683">
        <f t="shared" si="312"/>
        <v>0</v>
      </c>
      <c r="CR103" s="683">
        <f t="shared" si="312"/>
        <v>0</v>
      </c>
      <c r="CS103" s="683">
        <f t="shared" si="312"/>
        <v>932.0136</v>
      </c>
      <c r="CT103" s="683">
        <f t="shared" si="312"/>
        <v>0</v>
      </c>
      <c r="CU103" s="683">
        <f t="shared" si="312"/>
        <v>0</v>
      </c>
      <c r="CV103" s="683">
        <f t="shared" si="312"/>
        <v>0</v>
      </c>
      <c r="CW103" s="683">
        <f t="shared" si="21"/>
        <v>932.0136</v>
      </c>
      <c r="CX103" s="683">
        <f t="shared" ref="CX103:DG103" si="313">BN103*$CL103</f>
        <v>0</v>
      </c>
      <c r="CY103" s="683">
        <f t="shared" si="313"/>
        <v>0</v>
      </c>
      <c r="CZ103" s="683">
        <f t="shared" si="313"/>
        <v>0</v>
      </c>
      <c r="DA103" s="683">
        <f t="shared" si="313"/>
        <v>932.0136</v>
      </c>
      <c r="DB103" s="683">
        <f t="shared" si="313"/>
        <v>932.0136</v>
      </c>
      <c r="DC103" s="683">
        <f t="shared" si="313"/>
        <v>0</v>
      </c>
      <c r="DD103" s="683">
        <f t="shared" si="313"/>
        <v>0</v>
      </c>
      <c r="DE103" s="683">
        <f t="shared" si="313"/>
        <v>0</v>
      </c>
      <c r="DF103" s="683">
        <f t="shared" si="313"/>
        <v>0</v>
      </c>
      <c r="DG103" s="683">
        <f t="shared" si="313"/>
        <v>0</v>
      </c>
      <c r="DH103" s="683">
        <f t="shared" si="23"/>
        <v>1864.0272</v>
      </c>
      <c r="DI103" s="683">
        <f t="shared" ref="DI103:DR103" si="314">BY103*$CL103</f>
        <v>932.0136</v>
      </c>
      <c r="DJ103" s="683">
        <f t="shared" si="314"/>
        <v>0</v>
      </c>
      <c r="DK103" s="683">
        <f t="shared" si="314"/>
        <v>932.0136</v>
      </c>
      <c r="DL103" s="683">
        <f t="shared" si="314"/>
        <v>932.0136</v>
      </c>
      <c r="DM103" s="683">
        <f t="shared" si="314"/>
        <v>932.0136</v>
      </c>
      <c r="DN103" s="683">
        <f t="shared" si="314"/>
        <v>0</v>
      </c>
      <c r="DO103" s="683">
        <f t="shared" si="314"/>
        <v>0</v>
      </c>
      <c r="DP103" s="683">
        <f t="shared" si="314"/>
        <v>0</v>
      </c>
      <c r="DQ103" s="683">
        <f t="shared" si="314"/>
        <v>0</v>
      </c>
      <c r="DR103" s="683">
        <f t="shared" si="314"/>
        <v>0</v>
      </c>
      <c r="DS103" s="683">
        <f t="shared" si="25"/>
        <v>3728.0544</v>
      </c>
      <c r="DT103" s="683">
        <f t="shared" si="175"/>
        <v>6524.0952</v>
      </c>
      <c r="DU103" s="504"/>
      <c r="DV103" s="486"/>
      <c r="DW103" s="688"/>
      <c r="DX103" s="688"/>
      <c r="DY103" s="688"/>
      <c r="DZ103" s="688"/>
      <c r="EA103" s="688"/>
      <c r="EB103" s="688"/>
      <c r="EC103" s="486"/>
      <c r="ED103" s="486"/>
      <c r="EE103" s="486"/>
      <c r="EF103" s="833"/>
      <c r="EG103" s="688"/>
      <c r="EH103" s="707" t="s">
        <v>3182</v>
      </c>
      <c r="EI103" s="708">
        <f>VLOOKUP(I103,CotizacionTDB,4,FALSE())</f>
        <v>133.91</v>
      </c>
      <c r="EJ103" s="708">
        <f>VLOOKUP(I103,CotizacionTDB,5,FALSE())</f>
        <v>113.82</v>
      </c>
      <c r="EK103" s="691"/>
    </row>
    <row r="104" ht="12.0" customHeight="1">
      <c r="A104" s="709" t="s">
        <v>3026</v>
      </c>
      <c r="B104" s="661">
        <v>2.0</v>
      </c>
      <c r="C104" s="567" t="s">
        <v>3027</v>
      </c>
      <c r="D104" s="568" t="s">
        <v>129</v>
      </c>
      <c r="E104" s="568" t="s">
        <v>2722</v>
      </c>
      <c r="F104" s="567" t="s">
        <v>1763</v>
      </c>
      <c r="G104" s="657" t="s">
        <v>2723</v>
      </c>
      <c r="H104" s="569" t="s">
        <v>3183</v>
      </c>
      <c r="I104" s="710" t="s">
        <v>2336</v>
      </c>
      <c r="J104" s="711" t="s">
        <v>3184</v>
      </c>
      <c r="K104" s="567" t="s">
        <v>25</v>
      </c>
      <c r="L104" s="567"/>
      <c r="M104" s="567"/>
      <c r="N104" s="567"/>
      <c r="O104" s="567">
        <v>2024.0</v>
      </c>
      <c r="P104" s="567">
        <v>2024.0</v>
      </c>
      <c r="Q104" s="567"/>
      <c r="R104" s="567"/>
      <c r="S104" s="567"/>
      <c r="T104" s="567"/>
      <c r="U104" s="567"/>
      <c r="V104" s="567"/>
      <c r="W104" s="567">
        <v>3.0</v>
      </c>
      <c r="X104" s="567"/>
      <c r="Y104" s="567"/>
      <c r="Z104" s="567">
        <v>2.0</v>
      </c>
      <c r="AA104" s="567">
        <v>2.0</v>
      </c>
      <c r="AB104" s="567"/>
      <c r="AC104" s="567"/>
      <c r="AD104" s="567"/>
      <c r="AE104" s="567"/>
      <c r="AF104" s="567"/>
      <c r="AG104" s="567"/>
      <c r="AH104" s="567"/>
      <c r="AI104" s="567"/>
      <c r="AJ104" s="567"/>
      <c r="AK104" s="567"/>
      <c r="AL104" s="567"/>
      <c r="AM104" s="567"/>
      <c r="AN104" s="567"/>
      <c r="AO104" s="567"/>
      <c r="AP104" s="567"/>
      <c r="AQ104" s="567"/>
      <c r="AR104" s="567">
        <v>0.0</v>
      </c>
      <c r="AS104" s="567">
        <v>0.0</v>
      </c>
      <c r="AT104" s="567">
        <v>0.0</v>
      </c>
      <c r="AU104" s="567">
        <v>-2024.0</v>
      </c>
      <c r="AV104" s="567">
        <v>-2024.0</v>
      </c>
      <c r="AW104" s="567">
        <v>0.0</v>
      </c>
      <c r="AX104" s="567">
        <v>0.0</v>
      </c>
      <c r="AY104" s="567">
        <v>0.0</v>
      </c>
      <c r="AZ104" s="567">
        <v>0.0</v>
      </c>
      <c r="BA104" s="567">
        <v>0.0</v>
      </c>
      <c r="BB104" s="567"/>
      <c r="BC104" s="567"/>
      <c r="BD104" s="567"/>
      <c r="BE104" s="567"/>
      <c r="BF104" s="567"/>
      <c r="BG104" s="567"/>
      <c r="BH104" s="567"/>
      <c r="BI104" s="661">
        <v>1.0</v>
      </c>
      <c r="BJ104" s="567"/>
      <c r="BK104" s="567"/>
      <c r="BL104" s="725"/>
      <c r="BM104" s="665">
        <f t="shared" si="1"/>
        <v>1</v>
      </c>
      <c r="BN104" s="668"/>
      <c r="BO104" s="668"/>
      <c r="BP104" s="668"/>
      <c r="BQ104" s="668">
        <v>1.0</v>
      </c>
      <c r="BR104" s="668">
        <v>1.0</v>
      </c>
      <c r="BS104" s="668"/>
      <c r="BT104" s="668"/>
      <c r="BU104" s="668"/>
      <c r="BV104" s="668"/>
      <c r="BW104" s="670"/>
      <c r="BX104" s="665">
        <f t="shared" si="2"/>
        <v>2</v>
      </c>
      <c r="BY104" s="736">
        <v>1.0</v>
      </c>
      <c r="BZ104" s="668">
        <v>0.0</v>
      </c>
      <c r="CA104" s="674">
        <v>1.0</v>
      </c>
      <c r="CB104" s="668">
        <v>1.0</v>
      </c>
      <c r="CC104" s="668">
        <v>1.0</v>
      </c>
      <c r="CD104" s="668">
        <v>0.0</v>
      </c>
      <c r="CE104" s="668">
        <v>0.0</v>
      </c>
      <c r="CF104" s="668">
        <v>0.0</v>
      </c>
      <c r="CG104" s="668">
        <v>0.0</v>
      </c>
      <c r="CH104" s="670">
        <v>0.0</v>
      </c>
      <c r="CI104" s="665">
        <f t="shared" si="3"/>
        <v>4</v>
      </c>
      <c r="CJ104" s="671">
        <f t="shared" si="4"/>
        <v>7</v>
      </c>
      <c r="CK104" s="715">
        <v>133.91</v>
      </c>
      <c r="CL104" s="668">
        <f t="shared" si="251"/>
        <v>932.0136</v>
      </c>
      <c r="CM104" s="668">
        <f t="shared" ref="CM104:CV104" si="315">BC104*$CL104</f>
        <v>0</v>
      </c>
      <c r="CN104" s="668">
        <f t="shared" si="315"/>
        <v>0</v>
      </c>
      <c r="CO104" s="668">
        <f t="shared" si="315"/>
        <v>0</v>
      </c>
      <c r="CP104" s="668">
        <f t="shared" si="315"/>
        <v>0</v>
      </c>
      <c r="CQ104" s="668">
        <f t="shared" si="315"/>
        <v>0</v>
      </c>
      <c r="CR104" s="668">
        <f t="shared" si="315"/>
        <v>0</v>
      </c>
      <c r="CS104" s="668">
        <f t="shared" si="315"/>
        <v>932.0136</v>
      </c>
      <c r="CT104" s="668">
        <f t="shared" si="315"/>
        <v>0</v>
      </c>
      <c r="CU104" s="668">
        <f t="shared" si="315"/>
        <v>0</v>
      </c>
      <c r="CV104" s="668">
        <f t="shared" si="315"/>
        <v>0</v>
      </c>
      <c r="CW104" s="668">
        <f t="shared" si="21"/>
        <v>932.0136</v>
      </c>
      <c r="CX104" s="668">
        <f t="shared" ref="CX104:DG104" si="316">BN104*$CL104</f>
        <v>0</v>
      </c>
      <c r="CY104" s="668">
        <f t="shared" si="316"/>
        <v>0</v>
      </c>
      <c r="CZ104" s="668">
        <f t="shared" si="316"/>
        <v>0</v>
      </c>
      <c r="DA104" s="668">
        <f t="shared" si="316"/>
        <v>932.0136</v>
      </c>
      <c r="DB104" s="668">
        <f t="shared" si="316"/>
        <v>932.0136</v>
      </c>
      <c r="DC104" s="668">
        <f t="shared" si="316"/>
        <v>0</v>
      </c>
      <c r="DD104" s="668">
        <f t="shared" si="316"/>
        <v>0</v>
      </c>
      <c r="DE104" s="668">
        <f t="shared" si="316"/>
        <v>0</v>
      </c>
      <c r="DF104" s="668">
        <f t="shared" si="316"/>
        <v>0</v>
      </c>
      <c r="DG104" s="668">
        <f t="shared" si="316"/>
        <v>0</v>
      </c>
      <c r="DH104" s="668">
        <f t="shared" si="23"/>
        <v>1864.0272</v>
      </c>
      <c r="DI104" s="668">
        <f t="shared" ref="DI104:DR104" si="317">BY104*$CL104</f>
        <v>932.0136</v>
      </c>
      <c r="DJ104" s="668">
        <f t="shared" si="317"/>
        <v>0</v>
      </c>
      <c r="DK104" s="668">
        <f t="shared" si="317"/>
        <v>932.0136</v>
      </c>
      <c r="DL104" s="668">
        <f t="shared" si="317"/>
        <v>932.0136</v>
      </c>
      <c r="DM104" s="668">
        <f t="shared" si="317"/>
        <v>932.0136</v>
      </c>
      <c r="DN104" s="668">
        <f t="shared" si="317"/>
        <v>0</v>
      </c>
      <c r="DO104" s="668">
        <f t="shared" si="317"/>
        <v>0</v>
      </c>
      <c r="DP104" s="668">
        <f t="shared" si="317"/>
        <v>0</v>
      </c>
      <c r="DQ104" s="668">
        <f t="shared" si="317"/>
        <v>0</v>
      </c>
      <c r="DR104" s="668">
        <f t="shared" si="317"/>
        <v>0</v>
      </c>
      <c r="DS104" s="668">
        <f t="shared" si="25"/>
        <v>3728.0544</v>
      </c>
      <c r="DT104" s="668">
        <f t="shared" si="175"/>
        <v>6524.0952</v>
      </c>
      <c r="DU104" s="538"/>
      <c r="DV104" s="468"/>
      <c r="DW104" s="698"/>
      <c r="DX104" s="698"/>
      <c r="DY104" s="698"/>
      <c r="DZ104" s="698"/>
      <c r="EA104" s="698"/>
      <c r="EB104" s="698"/>
      <c r="EC104" s="698"/>
      <c r="ED104" s="698"/>
      <c r="EE104" s="698"/>
      <c r="EF104" s="698"/>
      <c r="EG104" s="698"/>
      <c r="EH104" s="576" t="s">
        <v>3185</v>
      </c>
      <c r="EI104" s="716">
        <f>VLOOKUP(I104,CotizacionTDB,4,FALSE())</f>
        <v>133.91</v>
      </c>
      <c r="EJ104" s="716">
        <f>VLOOKUP(I104,CotizacionTDB,5,FALSE())</f>
        <v>113.82</v>
      </c>
      <c r="EK104" s="699"/>
    </row>
    <row r="105" ht="12.0" customHeight="1">
      <c r="A105" s="700" t="s">
        <v>3026</v>
      </c>
      <c r="B105" s="701">
        <v>2.0</v>
      </c>
      <c r="C105" s="562" t="s">
        <v>3027</v>
      </c>
      <c r="D105" s="571" t="s">
        <v>129</v>
      </c>
      <c r="E105" s="571" t="s">
        <v>2722</v>
      </c>
      <c r="F105" s="562" t="s">
        <v>1763</v>
      </c>
      <c r="G105" s="702" t="s">
        <v>2723</v>
      </c>
      <c r="H105" s="569" t="s">
        <v>3186</v>
      </c>
      <c r="I105" s="703" t="s">
        <v>2233</v>
      </c>
      <c r="J105" s="704" t="s">
        <v>3187</v>
      </c>
      <c r="K105" s="562" t="s">
        <v>25</v>
      </c>
      <c r="L105" s="562"/>
      <c r="M105" s="562"/>
      <c r="N105" s="562"/>
      <c r="O105" s="562">
        <v>2024.0</v>
      </c>
      <c r="P105" s="562">
        <v>2024.0</v>
      </c>
      <c r="Q105" s="562">
        <v>2024.0</v>
      </c>
      <c r="R105" s="562"/>
      <c r="S105" s="562"/>
      <c r="T105" s="562"/>
      <c r="U105" s="562"/>
      <c r="V105" s="562"/>
      <c r="W105" s="562">
        <v>3.0</v>
      </c>
      <c r="X105" s="562"/>
      <c r="Y105" s="562"/>
      <c r="Z105" s="562">
        <v>2.0</v>
      </c>
      <c r="AA105" s="562">
        <v>2.0</v>
      </c>
      <c r="AB105" s="562">
        <v>2.0</v>
      </c>
      <c r="AC105" s="562"/>
      <c r="AD105" s="562"/>
      <c r="AE105" s="562"/>
      <c r="AF105" s="562"/>
      <c r="AG105" s="562"/>
      <c r="AH105" s="562"/>
      <c r="AI105" s="562"/>
      <c r="AJ105" s="562"/>
      <c r="AK105" s="562"/>
      <c r="AL105" s="562"/>
      <c r="AM105" s="562"/>
      <c r="AN105" s="562"/>
      <c r="AO105" s="562"/>
      <c r="AP105" s="562"/>
      <c r="AQ105" s="562"/>
      <c r="AR105" s="562">
        <v>0.0</v>
      </c>
      <c r="AS105" s="562">
        <v>0.0</v>
      </c>
      <c r="AT105" s="562">
        <v>0.0</v>
      </c>
      <c r="AU105" s="562">
        <v>-2024.0</v>
      </c>
      <c r="AV105" s="562">
        <v>-2024.0</v>
      </c>
      <c r="AW105" s="562">
        <v>-2024.0</v>
      </c>
      <c r="AX105" s="562">
        <v>0.0</v>
      </c>
      <c r="AY105" s="562">
        <v>0.0</v>
      </c>
      <c r="AZ105" s="562">
        <v>0.0</v>
      </c>
      <c r="BA105" s="562">
        <v>0.0</v>
      </c>
      <c r="BB105" s="562"/>
      <c r="BC105" s="562"/>
      <c r="BD105" s="562"/>
      <c r="BE105" s="562"/>
      <c r="BF105" s="562">
        <v>1.0</v>
      </c>
      <c r="BG105" s="562">
        <v>1.0</v>
      </c>
      <c r="BH105" s="562">
        <v>1.0</v>
      </c>
      <c r="BI105" s="562"/>
      <c r="BJ105" s="562"/>
      <c r="BK105" s="562"/>
      <c r="BL105" s="681"/>
      <c r="BM105" s="665">
        <f t="shared" si="1"/>
        <v>3</v>
      </c>
      <c r="BN105" s="682"/>
      <c r="BO105" s="683"/>
      <c r="BP105" s="683"/>
      <c r="BQ105" s="683"/>
      <c r="BR105" s="683"/>
      <c r="BS105" s="683"/>
      <c r="BT105" s="683"/>
      <c r="BU105" s="683"/>
      <c r="BV105" s="683"/>
      <c r="BW105" s="686"/>
      <c r="BX105" s="665">
        <f t="shared" si="2"/>
        <v>0</v>
      </c>
      <c r="BY105" s="682">
        <v>0.0</v>
      </c>
      <c r="BZ105" s="683">
        <v>0.0</v>
      </c>
      <c r="CA105" s="683">
        <v>0.0</v>
      </c>
      <c r="CB105" s="683">
        <v>1.0</v>
      </c>
      <c r="CC105" s="683">
        <v>1.0</v>
      </c>
      <c r="CD105" s="683">
        <v>1.0</v>
      </c>
      <c r="CE105" s="683">
        <v>0.0</v>
      </c>
      <c r="CF105" s="683">
        <v>0.0</v>
      </c>
      <c r="CG105" s="683">
        <v>0.0</v>
      </c>
      <c r="CH105" s="686">
        <v>0.0</v>
      </c>
      <c r="CI105" s="665">
        <f t="shared" si="3"/>
        <v>3</v>
      </c>
      <c r="CJ105" s="682">
        <f t="shared" si="4"/>
        <v>6</v>
      </c>
      <c r="CK105" s="706">
        <v>33.65</v>
      </c>
      <c r="CL105" s="683">
        <f t="shared" si="251"/>
        <v>234.204</v>
      </c>
      <c r="CM105" s="683">
        <f t="shared" ref="CM105:CV105" si="318">BC105*$CL105</f>
        <v>0</v>
      </c>
      <c r="CN105" s="683">
        <f t="shared" si="318"/>
        <v>0</v>
      </c>
      <c r="CO105" s="683">
        <f t="shared" si="318"/>
        <v>0</v>
      </c>
      <c r="CP105" s="683">
        <f t="shared" si="318"/>
        <v>234.204</v>
      </c>
      <c r="CQ105" s="683">
        <f t="shared" si="318"/>
        <v>234.204</v>
      </c>
      <c r="CR105" s="683">
        <f t="shared" si="318"/>
        <v>234.204</v>
      </c>
      <c r="CS105" s="683">
        <f t="shared" si="318"/>
        <v>0</v>
      </c>
      <c r="CT105" s="683">
        <f t="shared" si="318"/>
        <v>0</v>
      </c>
      <c r="CU105" s="683">
        <f t="shared" si="318"/>
        <v>0</v>
      </c>
      <c r="CV105" s="683">
        <f t="shared" si="318"/>
        <v>0</v>
      </c>
      <c r="CW105" s="683">
        <f t="shared" si="21"/>
        <v>702.612</v>
      </c>
      <c r="CX105" s="683">
        <f t="shared" ref="CX105:DG105" si="319">BN105*$CL105</f>
        <v>0</v>
      </c>
      <c r="CY105" s="683">
        <f t="shared" si="319"/>
        <v>0</v>
      </c>
      <c r="CZ105" s="683">
        <f t="shared" si="319"/>
        <v>0</v>
      </c>
      <c r="DA105" s="683">
        <f t="shared" si="319"/>
        <v>0</v>
      </c>
      <c r="DB105" s="683">
        <f t="shared" si="319"/>
        <v>0</v>
      </c>
      <c r="DC105" s="683">
        <f t="shared" si="319"/>
        <v>0</v>
      </c>
      <c r="DD105" s="683">
        <f t="shared" si="319"/>
        <v>0</v>
      </c>
      <c r="DE105" s="683">
        <f t="shared" si="319"/>
        <v>0</v>
      </c>
      <c r="DF105" s="683">
        <f t="shared" si="319"/>
        <v>0</v>
      </c>
      <c r="DG105" s="683">
        <f t="shared" si="319"/>
        <v>0</v>
      </c>
      <c r="DH105" s="683">
        <f t="shared" si="23"/>
        <v>0</v>
      </c>
      <c r="DI105" s="683">
        <f t="shared" ref="DI105:DR105" si="320">BY105*$CL105</f>
        <v>0</v>
      </c>
      <c r="DJ105" s="683">
        <f t="shared" si="320"/>
        <v>0</v>
      </c>
      <c r="DK105" s="683">
        <f t="shared" si="320"/>
        <v>0</v>
      </c>
      <c r="DL105" s="683">
        <f t="shared" si="320"/>
        <v>234.204</v>
      </c>
      <c r="DM105" s="683">
        <f t="shared" si="320"/>
        <v>234.204</v>
      </c>
      <c r="DN105" s="683">
        <f t="shared" si="320"/>
        <v>234.204</v>
      </c>
      <c r="DO105" s="683">
        <f t="shared" si="320"/>
        <v>0</v>
      </c>
      <c r="DP105" s="683">
        <f t="shared" si="320"/>
        <v>0</v>
      </c>
      <c r="DQ105" s="683">
        <f t="shared" si="320"/>
        <v>0</v>
      </c>
      <c r="DR105" s="683">
        <f t="shared" si="320"/>
        <v>0</v>
      </c>
      <c r="DS105" s="683">
        <f t="shared" si="25"/>
        <v>702.612</v>
      </c>
      <c r="DT105" s="683">
        <f t="shared" si="175"/>
        <v>1405.224</v>
      </c>
      <c r="DU105" s="504"/>
      <c r="DV105" s="486"/>
      <c r="DW105" s="688"/>
      <c r="DX105" s="688"/>
      <c r="DY105" s="688"/>
      <c r="DZ105" s="688"/>
      <c r="EA105" s="688"/>
      <c r="EB105" s="688"/>
      <c r="EC105" s="688"/>
      <c r="ED105" s="688"/>
      <c r="EE105" s="688"/>
      <c r="EF105" s="688"/>
      <c r="EG105" s="688"/>
      <c r="EH105" s="707" t="s">
        <v>3188</v>
      </c>
      <c r="EI105" s="708">
        <f>VLOOKUP(I105,CotizacionTDB,4,FALSE())</f>
        <v>33.65</v>
      </c>
      <c r="EJ105" s="708">
        <f>VLOOKUP(I105,CotizacionTDB,5,FALSE())</f>
        <v>28.6</v>
      </c>
      <c r="EK105" s="691"/>
    </row>
    <row r="106" ht="12.0" customHeight="1">
      <c r="A106" s="709" t="s">
        <v>3026</v>
      </c>
      <c r="B106" s="661">
        <v>2.0</v>
      </c>
      <c r="C106" s="567" t="s">
        <v>3027</v>
      </c>
      <c r="D106" s="568" t="s">
        <v>129</v>
      </c>
      <c r="E106" s="568" t="s">
        <v>2722</v>
      </c>
      <c r="F106" s="567" t="s">
        <v>1763</v>
      </c>
      <c r="G106" s="657" t="s">
        <v>2723</v>
      </c>
      <c r="H106" s="658"/>
      <c r="I106" s="721" t="s">
        <v>2228</v>
      </c>
      <c r="J106" s="711" t="s">
        <v>3189</v>
      </c>
      <c r="K106" s="567" t="s">
        <v>25</v>
      </c>
      <c r="L106" s="567"/>
      <c r="M106" s="567"/>
      <c r="N106" s="567"/>
      <c r="O106" s="567">
        <v>2024.0</v>
      </c>
      <c r="P106" s="567">
        <v>2024.0</v>
      </c>
      <c r="Q106" s="567">
        <v>2024.0</v>
      </c>
      <c r="R106" s="567"/>
      <c r="S106" s="567"/>
      <c r="T106" s="567"/>
      <c r="U106" s="567"/>
      <c r="V106" s="567"/>
      <c r="W106" s="567">
        <v>3.0</v>
      </c>
      <c r="X106" s="567"/>
      <c r="Y106" s="567"/>
      <c r="Z106" s="567">
        <v>2.0</v>
      </c>
      <c r="AA106" s="567">
        <v>2.0</v>
      </c>
      <c r="AB106" s="567">
        <v>2.0</v>
      </c>
      <c r="AC106" s="567"/>
      <c r="AD106" s="567"/>
      <c r="AE106" s="567"/>
      <c r="AF106" s="567"/>
      <c r="AG106" s="567"/>
      <c r="AH106" s="567"/>
      <c r="AI106" s="567"/>
      <c r="AJ106" s="567"/>
      <c r="AK106" s="567"/>
      <c r="AL106" s="567"/>
      <c r="AM106" s="567"/>
      <c r="AN106" s="567"/>
      <c r="AO106" s="567"/>
      <c r="AP106" s="567"/>
      <c r="AQ106" s="567"/>
      <c r="AR106" s="567">
        <v>0.0</v>
      </c>
      <c r="AS106" s="567">
        <v>0.0</v>
      </c>
      <c r="AT106" s="567">
        <v>0.0</v>
      </c>
      <c r="AU106" s="567">
        <v>-2024.0</v>
      </c>
      <c r="AV106" s="567">
        <v>-2024.0</v>
      </c>
      <c r="AW106" s="567">
        <v>-2024.0</v>
      </c>
      <c r="AX106" s="567">
        <v>0.0</v>
      </c>
      <c r="AY106" s="567">
        <v>0.0</v>
      </c>
      <c r="AZ106" s="567">
        <v>0.0</v>
      </c>
      <c r="BA106" s="567">
        <v>0.0</v>
      </c>
      <c r="BB106" s="567"/>
      <c r="BC106" s="567"/>
      <c r="BD106" s="567"/>
      <c r="BE106" s="567"/>
      <c r="BF106" s="567">
        <v>1.0</v>
      </c>
      <c r="BG106" s="567">
        <v>1.0</v>
      </c>
      <c r="BH106" s="567">
        <v>1.0</v>
      </c>
      <c r="BI106" s="567"/>
      <c r="BJ106" s="567"/>
      <c r="BK106" s="567"/>
      <c r="BL106" s="725"/>
      <c r="BM106" s="665">
        <f t="shared" si="1"/>
        <v>3</v>
      </c>
      <c r="BN106" s="671"/>
      <c r="BO106" s="668"/>
      <c r="BP106" s="668"/>
      <c r="BQ106" s="668"/>
      <c r="BR106" s="668"/>
      <c r="BS106" s="668"/>
      <c r="BT106" s="668"/>
      <c r="BU106" s="668"/>
      <c r="BV106" s="668"/>
      <c r="BW106" s="670"/>
      <c r="BX106" s="665">
        <f t="shared" si="2"/>
        <v>0</v>
      </c>
      <c r="BY106" s="671">
        <v>0.0</v>
      </c>
      <c r="BZ106" s="668">
        <v>0.0</v>
      </c>
      <c r="CA106" s="668">
        <v>0.0</v>
      </c>
      <c r="CB106" s="668">
        <v>1.0</v>
      </c>
      <c r="CC106" s="668">
        <v>1.0</v>
      </c>
      <c r="CD106" s="668">
        <v>1.0</v>
      </c>
      <c r="CE106" s="668">
        <v>0.0</v>
      </c>
      <c r="CF106" s="668">
        <v>0.0</v>
      </c>
      <c r="CG106" s="668">
        <v>0.0</v>
      </c>
      <c r="CH106" s="670">
        <v>0.0</v>
      </c>
      <c r="CI106" s="665">
        <f t="shared" si="3"/>
        <v>3</v>
      </c>
      <c r="CJ106" s="671">
        <f t="shared" si="4"/>
        <v>6</v>
      </c>
      <c r="CK106" s="715">
        <v>19.19</v>
      </c>
      <c r="CL106" s="668">
        <f t="shared" si="251"/>
        <v>133.5624</v>
      </c>
      <c r="CM106" s="668">
        <f t="shared" ref="CM106:CV106" si="321">BC106*$CL106</f>
        <v>0</v>
      </c>
      <c r="CN106" s="668">
        <f t="shared" si="321"/>
        <v>0</v>
      </c>
      <c r="CO106" s="668">
        <f t="shared" si="321"/>
        <v>0</v>
      </c>
      <c r="CP106" s="668">
        <f t="shared" si="321"/>
        <v>133.5624</v>
      </c>
      <c r="CQ106" s="668">
        <f t="shared" si="321"/>
        <v>133.5624</v>
      </c>
      <c r="CR106" s="668">
        <f t="shared" si="321"/>
        <v>133.5624</v>
      </c>
      <c r="CS106" s="668">
        <f t="shared" si="321"/>
        <v>0</v>
      </c>
      <c r="CT106" s="668">
        <f t="shared" si="321"/>
        <v>0</v>
      </c>
      <c r="CU106" s="668">
        <f t="shared" si="321"/>
        <v>0</v>
      </c>
      <c r="CV106" s="668">
        <f t="shared" si="321"/>
        <v>0</v>
      </c>
      <c r="CW106" s="668">
        <f t="shared" si="21"/>
        <v>400.6872</v>
      </c>
      <c r="CX106" s="668">
        <f t="shared" ref="CX106:DG106" si="322">BN106*$CL106</f>
        <v>0</v>
      </c>
      <c r="CY106" s="668">
        <f t="shared" si="322"/>
        <v>0</v>
      </c>
      <c r="CZ106" s="668">
        <f t="shared" si="322"/>
        <v>0</v>
      </c>
      <c r="DA106" s="668">
        <f t="shared" si="322"/>
        <v>0</v>
      </c>
      <c r="DB106" s="668">
        <f t="shared" si="322"/>
        <v>0</v>
      </c>
      <c r="DC106" s="668">
        <f t="shared" si="322"/>
        <v>0</v>
      </c>
      <c r="DD106" s="668">
        <f t="shared" si="322"/>
        <v>0</v>
      </c>
      <c r="DE106" s="668">
        <f t="shared" si="322"/>
        <v>0</v>
      </c>
      <c r="DF106" s="668">
        <f t="shared" si="322"/>
        <v>0</v>
      </c>
      <c r="DG106" s="668">
        <f t="shared" si="322"/>
        <v>0</v>
      </c>
      <c r="DH106" s="668">
        <f t="shared" si="23"/>
        <v>0</v>
      </c>
      <c r="DI106" s="668">
        <f t="shared" ref="DI106:DR106" si="323">BY106*$CL106</f>
        <v>0</v>
      </c>
      <c r="DJ106" s="668">
        <f t="shared" si="323"/>
        <v>0</v>
      </c>
      <c r="DK106" s="668">
        <f t="shared" si="323"/>
        <v>0</v>
      </c>
      <c r="DL106" s="668">
        <f t="shared" si="323"/>
        <v>133.5624</v>
      </c>
      <c r="DM106" s="668">
        <f t="shared" si="323"/>
        <v>133.5624</v>
      </c>
      <c r="DN106" s="668">
        <f t="shared" si="323"/>
        <v>133.5624</v>
      </c>
      <c r="DO106" s="668">
        <f t="shared" si="323"/>
        <v>0</v>
      </c>
      <c r="DP106" s="668">
        <f t="shared" si="323"/>
        <v>0</v>
      </c>
      <c r="DQ106" s="668">
        <f t="shared" si="323"/>
        <v>0</v>
      </c>
      <c r="DR106" s="668">
        <f t="shared" si="323"/>
        <v>0</v>
      </c>
      <c r="DS106" s="668">
        <f t="shared" si="25"/>
        <v>400.6872</v>
      </c>
      <c r="DT106" s="668">
        <f t="shared" si="175"/>
        <v>801.3744</v>
      </c>
      <c r="DU106" s="538"/>
      <c r="DV106" s="468"/>
      <c r="DW106" s="698"/>
      <c r="DX106" s="698"/>
      <c r="DY106" s="698"/>
      <c r="DZ106" s="698"/>
      <c r="EA106" s="698"/>
      <c r="EB106" s="698"/>
      <c r="EC106" s="698"/>
      <c r="ED106" s="698"/>
      <c r="EE106" s="698"/>
      <c r="EF106" s="698"/>
      <c r="EG106" s="698"/>
      <c r="EH106" s="576" t="s">
        <v>1522</v>
      </c>
      <c r="EI106" s="716">
        <f>VLOOKUP(I106,CotizacionTDB,4,FALSE())</f>
        <v>19.19</v>
      </c>
      <c r="EJ106" s="716">
        <f>VLOOKUP(I106,CotizacionTDB,5,FALSE())</f>
        <v>16.31</v>
      </c>
      <c r="EK106" s="699"/>
    </row>
    <row r="107" ht="12.0" customHeight="1">
      <c r="A107" s="700" t="s">
        <v>3026</v>
      </c>
      <c r="B107" s="701">
        <v>2.0</v>
      </c>
      <c r="C107" s="562" t="s">
        <v>3027</v>
      </c>
      <c r="D107" s="571" t="s">
        <v>129</v>
      </c>
      <c r="E107" s="571" t="s">
        <v>2722</v>
      </c>
      <c r="F107" s="562" t="s">
        <v>1763</v>
      </c>
      <c r="G107" s="702" t="s">
        <v>2723</v>
      </c>
      <c r="H107" s="569" t="s">
        <v>3190</v>
      </c>
      <c r="I107" s="717" t="s">
        <v>1987</v>
      </c>
      <c r="J107" s="704" t="s">
        <v>1528</v>
      </c>
      <c r="K107" s="562" t="s">
        <v>25</v>
      </c>
      <c r="L107" s="562">
        <v>2024.0</v>
      </c>
      <c r="M107" s="562">
        <v>2025.0</v>
      </c>
      <c r="N107" s="562">
        <v>2024.0</v>
      </c>
      <c r="O107" s="562"/>
      <c r="P107" s="562"/>
      <c r="Q107" s="562"/>
      <c r="R107" s="562">
        <v>2024.0</v>
      </c>
      <c r="S107" s="562">
        <v>2024.0</v>
      </c>
      <c r="T107" s="562"/>
      <c r="U107" s="562">
        <v>2024.0</v>
      </c>
      <c r="V107" s="562"/>
      <c r="W107" s="562">
        <v>4.0</v>
      </c>
      <c r="X107" s="562">
        <v>4.0</v>
      </c>
      <c r="Y107" s="562">
        <v>4.0</v>
      </c>
      <c r="Z107" s="562"/>
      <c r="AA107" s="562"/>
      <c r="AB107" s="562"/>
      <c r="AC107" s="562">
        <v>2.0</v>
      </c>
      <c r="AD107" s="562">
        <v>2.0</v>
      </c>
      <c r="AE107" s="562"/>
      <c r="AF107" s="562">
        <v>2.0</v>
      </c>
      <c r="AG107" s="562"/>
      <c r="AH107" s="562"/>
      <c r="AI107" s="562"/>
      <c r="AJ107" s="562"/>
      <c r="AK107" s="562"/>
      <c r="AL107" s="562"/>
      <c r="AM107" s="562"/>
      <c r="AN107" s="562"/>
      <c r="AO107" s="562"/>
      <c r="AP107" s="562"/>
      <c r="AQ107" s="562"/>
      <c r="AR107" s="562">
        <v>-2024.0</v>
      </c>
      <c r="AS107" s="562">
        <v>-2025.0</v>
      </c>
      <c r="AT107" s="562">
        <v>-2024.0</v>
      </c>
      <c r="AU107" s="562">
        <v>0.0</v>
      </c>
      <c r="AV107" s="562">
        <v>0.0</v>
      </c>
      <c r="AW107" s="562">
        <v>0.0</v>
      </c>
      <c r="AX107" s="562">
        <v>-2024.0</v>
      </c>
      <c r="AY107" s="562">
        <v>-2024.0</v>
      </c>
      <c r="AZ107" s="562">
        <v>0.0</v>
      </c>
      <c r="BA107" s="562">
        <v>-2024.0</v>
      </c>
      <c r="BB107" s="562"/>
      <c r="BC107" s="701"/>
      <c r="BD107" s="701"/>
      <c r="BE107" s="701"/>
      <c r="BF107" s="562"/>
      <c r="BG107" s="562"/>
      <c r="BH107" s="562"/>
      <c r="BI107" s="562">
        <v>2.0</v>
      </c>
      <c r="BJ107" s="562">
        <v>2.0</v>
      </c>
      <c r="BK107" s="562"/>
      <c r="BL107" s="834">
        <v>2.0</v>
      </c>
      <c r="BM107" s="665">
        <f t="shared" si="1"/>
        <v>6</v>
      </c>
      <c r="BN107" s="835">
        <v>1.0</v>
      </c>
      <c r="BO107" s="488"/>
      <c r="BP107" s="836">
        <v>1.0</v>
      </c>
      <c r="BQ107" s="488"/>
      <c r="BR107" s="488"/>
      <c r="BS107" s="488"/>
      <c r="BT107" s="488"/>
      <c r="BU107" s="488"/>
      <c r="BV107" s="488"/>
      <c r="BW107" s="837"/>
      <c r="BX107" s="665">
        <f t="shared" si="2"/>
        <v>2</v>
      </c>
      <c r="BY107" s="682">
        <v>0.0</v>
      </c>
      <c r="BZ107" s="687">
        <v>1.0</v>
      </c>
      <c r="CA107" s="687">
        <v>2.0</v>
      </c>
      <c r="CB107" s="683">
        <v>0.0</v>
      </c>
      <c r="CC107" s="683">
        <v>0.0</v>
      </c>
      <c r="CD107" s="683">
        <v>0.0</v>
      </c>
      <c r="CE107" s="683">
        <v>2.0</v>
      </c>
      <c r="CF107" s="683">
        <v>2.0</v>
      </c>
      <c r="CG107" s="683">
        <v>0.0</v>
      </c>
      <c r="CH107" s="686">
        <v>2.0</v>
      </c>
      <c r="CI107" s="665">
        <f t="shared" si="3"/>
        <v>9</v>
      </c>
      <c r="CJ107" s="682">
        <f t="shared" si="4"/>
        <v>17</v>
      </c>
      <c r="CK107" s="706">
        <v>7.19</v>
      </c>
      <c r="CL107" s="683">
        <f t="shared" si="251"/>
        <v>50.0424</v>
      </c>
      <c r="CM107" s="683">
        <f t="shared" ref="CM107:CV107" si="324">BC107*$CL107</f>
        <v>0</v>
      </c>
      <c r="CN107" s="683">
        <f t="shared" si="324"/>
        <v>0</v>
      </c>
      <c r="CO107" s="683">
        <f t="shared" si="324"/>
        <v>0</v>
      </c>
      <c r="CP107" s="683">
        <f t="shared" si="324"/>
        <v>0</v>
      </c>
      <c r="CQ107" s="683">
        <f t="shared" si="324"/>
        <v>0</v>
      </c>
      <c r="CR107" s="683">
        <f t="shared" si="324"/>
        <v>0</v>
      </c>
      <c r="CS107" s="683">
        <f t="shared" si="324"/>
        <v>100.0848</v>
      </c>
      <c r="CT107" s="683">
        <f t="shared" si="324"/>
        <v>100.0848</v>
      </c>
      <c r="CU107" s="683">
        <f t="shared" si="324"/>
        <v>0</v>
      </c>
      <c r="CV107" s="683">
        <f t="shared" si="324"/>
        <v>100.0848</v>
      </c>
      <c r="CW107" s="683">
        <f t="shared" si="21"/>
        <v>300.2544</v>
      </c>
      <c r="CX107" s="683">
        <f t="shared" ref="CX107:DG107" si="325">BN107*$CL107</f>
        <v>50.0424</v>
      </c>
      <c r="CY107" s="683">
        <f t="shared" si="325"/>
        <v>0</v>
      </c>
      <c r="CZ107" s="683">
        <f t="shared" si="325"/>
        <v>50.0424</v>
      </c>
      <c r="DA107" s="683">
        <f t="shared" si="325"/>
        <v>0</v>
      </c>
      <c r="DB107" s="683">
        <f t="shared" si="325"/>
        <v>0</v>
      </c>
      <c r="DC107" s="683">
        <f t="shared" si="325"/>
        <v>0</v>
      </c>
      <c r="DD107" s="683">
        <f t="shared" si="325"/>
        <v>0</v>
      </c>
      <c r="DE107" s="683">
        <f t="shared" si="325"/>
        <v>0</v>
      </c>
      <c r="DF107" s="683">
        <f t="shared" si="325"/>
        <v>0</v>
      </c>
      <c r="DG107" s="683">
        <f t="shared" si="325"/>
        <v>0</v>
      </c>
      <c r="DH107" s="683">
        <f t="shared" si="23"/>
        <v>100.0848</v>
      </c>
      <c r="DI107" s="683">
        <f t="shared" ref="DI107:DR107" si="326">BY107*$CL107</f>
        <v>0</v>
      </c>
      <c r="DJ107" s="683">
        <f t="shared" si="326"/>
        <v>50.0424</v>
      </c>
      <c r="DK107" s="683">
        <f t="shared" si="326"/>
        <v>100.0848</v>
      </c>
      <c r="DL107" s="683">
        <f t="shared" si="326"/>
        <v>0</v>
      </c>
      <c r="DM107" s="683">
        <f t="shared" si="326"/>
        <v>0</v>
      </c>
      <c r="DN107" s="683">
        <f t="shared" si="326"/>
        <v>0</v>
      </c>
      <c r="DO107" s="683">
        <f t="shared" si="326"/>
        <v>100.0848</v>
      </c>
      <c r="DP107" s="683">
        <f t="shared" si="326"/>
        <v>100.0848</v>
      </c>
      <c r="DQ107" s="683">
        <f t="shared" si="326"/>
        <v>0</v>
      </c>
      <c r="DR107" s="683">
        <f t="shared" si="326"/>
        <v>100.0848</v>
      </c>
      <c r="DS107" s="683">
        <f t="shared" si="25"/>
        <v>450.3816</v>
      </c>
      <c r="DT107" s="683">
        <f t="shared" si="175"/>
        <v>850.7208</v>
      </c>
      <c r="DU107" s="504"/>
      <c r="DV107" s="486"/>
      <c r="DW107" s="688"/>
      <c r="DX107" s="688"/>
      <c r="DY107" s="688"/>
      <c r="DZ107" s="688"/>
      <c r="EA107" s="688"/>
      <c r="EB107" s="688"/>
      <c r="EC107" s="688"/>
      <c r="ED107" s="688"/>
      <c r="EE107" s="688"/>
      <c r="EF107" s="688"/>
      <c r="EG107" s="688"/>
      <c r="EH107" s="707" t="s">
        <v>1528</v>
      </c>
      <c r="EI107" s="708">
        <f>VLOOKUP(I107,CotizacionTDB,4,FALSE())</f>
        <v>7.19</v>
      </c>
      <c r="EJ107" s="708">
        <f>VLOOKUP(I107,CotizacionTDB,5,FALSE())</f>
        <v>6.11</v>
      </c>
      <c r="EK107" s="691"/>
    </row>
    <row r="108" ht="12.0" customHeight="1">
      <c r="A108" s="709" t="s">
        <v>3026</v>
      </c>
      <c r="B108" s="661">
        <v>2.0</v>
      </c>
      <c r="C108" s="567" t="s">
        <v>3027</v>
      </c>
      <c r="D108" s="568" t="s">
        <v>129</v>
      </c>
      <c r="E108" s="568" t="s">
        <v>2722</v>
      </c>
      <c r="F108" s="567" t="s">
        <v>1763</v>
      </c>
      <c r="G108" s="657" t="s">
        <v>2723</v>
      </c>
      <c r="H108" s="569" t="s">
        <v>3191</v>
      </c>
      <c r="I108" s="710" t="s">
        <v>2016</v>
      </c>
      <c r="J108" s="711" t="s">
        <v>1633</v>
      </c>
      <c r="K108" s="460" t="s">
        <v>25</v>
      </c>
      <c r="L108" s="460"/>
      <c r="M108" s="460"/>
      <c r="N108" s="460"/>
      <c r="O108" s="460"/>
      <c r="P108" s="460"/>
      <c r="Q108" s="460"/>
      <c r="R108" s="460"/>
      <c r="S108" s="460">
        <v>2024.0</v>
      </c>
      <c r="T108" s="460"/>
      <c r="U108" s="460"/>
      <c r="V108" s="460"/>
      <c r="W108" s="460"/>
      <c r="X108" s="460"/>
      <c r="Y108" s="460"/>
      <c r="Z108" s="460"/>
      <c r="AA108" s="460"/>
      <c r="AB108" s="460"/>
      <c r="AC108" s="460"/>
      <c r="AD108" s="460">
        <v>1.0</v>
      </c>
      <c r="AE108" s="460"/>
      <c r="AF108" s="460"/>
      <c r="AG108" s="460"/>
      <c r="AH108" s="460"/>
      <c r="AI108" s="460"/>
      <c r="AJ108" s="460"/>
      <c r="AK108" s="460"/>
      <c r="AL108" s="460"/>
      <c r="AM108" s="460"/>
      <c r="AN108" s="460"/>
      <c r="AO108" s="460"/>
      <c r="AP108" s="460"/>
      <c r="AQ108" s="460"/>
      <c r="AR108" s="460">
        <v>0.0</v>
      </c>
      <c r="AS108" s="460">
        <v>0.0</v>
      </c>
      <c r="AT108" s="460">
        <v>0.0</v>
      </c>
      <c r="AU108" s="460">
        <v>0.0</v>
      </c>
      <c r="AV108" s="460">
        <v>0.0</v>
      </c>
      <c r="AW108" s="460">
        <v>0.0</v>
      </c>
      <c r="AX108" s="460">
        <v>0.0</v>
      </c>
      <c r="AY108" s="460">
        <v>-2024.0</v>
      </c>
      <c r="AZ108" s="460">
        <v>0.0</v>
      </c>
      <c r="BA108" s="460">
        <v>0.0</v>
      </c>
      <c r="BB108" s="460"/>
      <c r="BC108" s="460"/>
      <c r="BD108" s="460"/>
      <c r="BE108" s="460"/>
      <c r="BF108" s="460"/>
      <c r="BG108" s="460"/>
      <c r="BH108" s="460"/>
      <c r="BI108" s="460"/>
      <c r="BJ108" s="460">
        <v>1.0</v>
      </c>
      <c r="BK108" s="460"/>
      <c r="BL108" s="838"/>
      <c r="BM108" s="665">
        <f t="shared" si="1"/>
        <v>1</v>
      </c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839"/>
      <c r="BX108" s="665">
        <f t="shared" si="2"/>
        <v>0</v>
      </c>
      <c r="BY108" s="671">
        <v>0.0</v>
      </c>
      <c r="BZ108" s="671">
        <v>0.0</v>
      </c>
      <c r="CA108" s="671">
        <v>0.0</v>
      </c>
      <c r="CB108" s="671">
        <v>0.0</v>
      </c>
      <c r="CC108" s="671">
        <v>0.0</v>
      </c>
      <c r="CD108" s="671">
        <v>0.0</v>
      </c>
      <c r="CE108" s="671">
        <v>0.0</v>
      </c>
      <c r="CF108" s="671">
        <v>0.0</v>
      </c>
      <c r="CG108" s="671">
        <v>0.0</v>
      </c>
      <c r="CH108" s="839">
        <v>0.0</v>
      </c>
      <c r="CI108" s="665">
        <f t="shared" si="3"/>
        <v>0</v>
      </c>
      <c r="CJ108" s="671">
        <f t="shared" si="4"/>
        <v>1</v>
      </c>
      <c r="CK108" s="840">
        <v>40.73</v>
      </c>
      <c r="CL108" s="668">
        <f t="shared" si="251"/>
        <v>283.4808</v>
      </c>
      <c r="CM108" s="668">
        <f t="shared" ref="CM108:CV108" si="327">BC108*$CL108</f>
        <v>0</v>
      </c>
      <c r="CN108" s="668">
        <f t="shared" si="327"/>
        <v>0</v>
      </c>
      <c r="CO108" s="668">
        <f t="shared" si="327"/>
        <v>0</v>
      </c>
      <c r="CP108" s="668">
        <f t="shared" si="327"/>
        <v>0</v>
      </c>
      <c r="CQ108" s="668">
        <f t="shared" si="327"/>
        <v>0</v>
      </c>
      <c r="CR108" s="668">
        <f t="shared" si="327"/>
        <v>0</v>
      </c>
      <c r="CS108" s="668">
        <f t="shared" si="327"/>
        <v>0</v>
      </c>
      <c r="CT108" s="668">
        <f t="shared" si="327"/>
        <v>283.4808</v>
      </c>
      <c r="CU108" s="668">
        <f t="shared" si="327"/>
        <v>0</v>
      </c>
      <c r="CV108" s="668">
        <f t="shared" si="327"/>
        <v>0</v>
      </c>
      <c r="CW108" s="671">
        <f t="shared" si="21"/>
        <v>283.4808</v>
      </c>
      <c r="CX108" s="668">
        <f t="shared" ref="CX108:DG108" si="328">BN108*$CL108</f>
        <v>0</v>
      </c>
      <c r="CY108" s="668">
        <f t="shared" si="328"/>
        <v>0</v>
      </c>
      <c r="CZ108" s="668">
        <f t="shared" si="328"/>
        <v>0</v>
      </c>
      <c r="DA108" s="668">
        <f t="shared" si="328"/>
        <v>0</v>
      </c>
      <c r="DB108" s="668">
        <f t="shared" si="328"/>
        <v>0</v>
      </c>
      <c r="DC108" s="668">
        <f t="shared" si="328"/>
        <v>0</v>
      </c>
      <c r="DD108" s="668">
        <f t="shared" si="328"/>
        <v>0</v>
      </c>
      <c r="DE108" s="668">
        <f t="shared" si="328"/>
        <v>0</v>
      </c>
      <c r="DF108" s="668">
        <f t="shared" si="328"/>
        <v>0</v>
      </c>
      <c r="DG108" s="668">
        <f t="shared" si="328"/>
        <v>0</v>
      </c>
      <c r="DH108" s="671">
        <f t="shared" si="23"/>
        <v>0</v>
      </c>
      <c r="DI108" s="668">
        <f t="shared" ref="DI108:DR108" si="329">BY108*$CL108</f>
        <v>0</v>
      </c>
      <c r="DJ108" s="668">
        <f t="shared" si="329"/>
        <v>0</v>
      </c>
      <c r="DK108" s="668">
        <f t="shared" si="329"/>
        <v>0</v>
      </c>
      <c r="DL108" s="668">
        <f t="shared" si="329"/>
        <v>0</v>
      </c>
      <c r="DM108" s="668">
        <f t="shared" si="329"/>
        <v>0</v>
      </c>
      <c r="DN108" s="668">
        <f t="shared" si="329"/>
        <v>0</v>
      </c>
      <c r="DO108" s="668">
        <f t="shared" si="329"/>
        <v>0</v>
      </c>
      <c r="DP108" s="668">
        <f t="shared" si="329"/>
        <v>0</v>
      </c>
      <c r="DQ108" s="668">
        <f t="shared" si="329"/>
        <v>0</v>
      </c>
      <c r="DR108" s="668">
        <f t="shared" si="329"/>
        <v>0</v>
      </c>
      <c r="DS108" s="671">
        <f t="shared" si="25"/>
        <v>0</v>
      </c>
      <c r="DT108" s="668">
        <f t="shared" si="175"/>
        <v>283.4808</v>
      </c>
      <c r="DU108" s="841"/>
      <c r="DV108" s="842"/>
      <c r="DW108" s="698"/>
      <c r="DX108" s="698"/>
      <c r="DY108" s="698"/>
      <c r="DZ108" s="698"/>
      <c r="EA108" s="698"/>
      <c r="EB108" s="698"/>
      <c r="EC108" s="698"/>
      <c r="ED108" s="698"/>
      <c r="EE108" s="698"/>
      <c r="EF108" s="698"/>
      <c r="EG108" s="698"/>
      <c r="EH108" s="576" t="s">
        <v>3192</v>
      </c>
      <c r="EI108" s="716">
        <f>VLOOKUP(I108,CotizacionTDB,4,FALSE())</f>
        <v>40.73</v>
      </c>
      <c r="EJ108" s="716">
        <f>VLOOKUP(I108,CotizacionTDB,5,FALSE())</f>
        <v>34.62</v>
      </c>
      <c r="EK108" s="699"/>
    </row>
    <row r="109" ht="12.0" customHeight="1">
      <c r="A109" s="700" t="s">
        <v>3026</v>
      </c>
      <c r="B109" s="701">
        <v>2.0</v>
      </c>
      <c r="C109" s="562" t="s">
        <v>3027</v>
      </c>
      <c r="D109" s="571" t="s">
        <v>129</v>
      </c>
      <c r="E109" s="571" t="s">
        <v>2722</v>
      </c>
      <c r="F109" s="562" t="s">
        <v>1763</v>
      </c>
      <c r="G109" s="702" t="s">
        <v>2723</v>
      </c>
      <c r="H109" s="737"/>
      <c r="I109" s="843" t="s">
        <v>2010</v>
      </c>
      <c r="J109" s="844" t="s">
        <v>3193</v>
      </c>
      <c r="K109" s="562" t="s">
        <v>25</v>
      </c>
      <c r="L109" s="562"/>
      <c r="M109" s="562"/>
      <c r="N109" s="562"/>
      <c r="O109" s="562">
        <v>2024.0</v>
      </c>
      <c r="P109" s="562">
        <v>2024.0</v>
      </c>
      <c r="Q109" s="562"/>
      <c r="R109" s="562"/>
      <c r="S109" s="562"/>
      <c r="T109" s="562"/>
      <c r="U109" s="562"/>
      <c r="V109" s="562"/>
      <c r="W109" s="562">
        <v>3.0</v>
      </c>
      <c r="X109" s="562"/>
      <c r="Y109" s="562"/>
      <c r="Z109" s="562">
        <v>3.0</v>
      </c>
      <c r="AA109" s="562">
        <v>3.0</v>
      </c>
      <c r="AB109" s="562"/>
      <c r="AC109" s="562"/>
      <c r="AD109" s="562"/>
      <c r="AE109" s="562"/>
      <c r="AF109" s="562"/>
      <c r="AG109" s="562"/>
      <c r="AH109" s="562"/>
      <c r="AI109" s="562"/>
      <c r="AJ109" s="562"/>
      <c r="AK109" s="562"/>
      <c r="AL109" s="562"/>
      <c r="AM109" s="562"/>
      <c r="AN109" s="562"/>
      <c r="AO109" s="562"/>
      <c r="AP109" s="562"/>
      <c r="AQ109" s="562"/>
      <c r="AR109" s="562">
        <v>0.0</v>
      </c>
      <c r="AS109" s="562">
        <v>0.0</v>
      </c>
      <c r="AT109" s="562">
        <v>0.0</v>
      </c>
      <c r="AU109" s="562">
        <v>-2024.0</v>
      </c>
      <c r="AV109" s="562">
        <v>-2024.0</v>
      </c>
      <c r="AW109" s="562">
        <v>0.0</v>
      </c>
      <c r="AX109" s="562">
        <v>0.0</v>
      </c>
      <c r="AY109" s="562">
        <v>0.0</v>
      </c>
      <c r="AZ109" s="562">
        <v>0.0</v>
      </c>
      <c r="BA109" s="562">
        <v>0.0</v>
      </c>
      <c r="BB109" s="562"/>
      <c r="BC109" s="480"/>
      <c r="BD109" s="480"/>
      <c r="BE109" s="562"/>
      <c r="BF109" s="480">
        <v>1.0</v>
      </c>
      <c r="BG109" s="480">
        <v>1.0</v>
      </c>
      <c r="BH109" s="480"/>
      <c r="BI109" s="562"/>
      <c r="BJ109" s="562"/>
      <c r="BK109" s="480"/>
      <c r="BL109" s="480"/>
      <c r="BM109" s="665">
        <f t="shared" si="1"/>
        <v>2</v>
      </c>
      <c r="BN109" s="682"/>
      <c r="BO109" s="683"/>
      <c r="BP109" s="683"/>
      <c r="BQ109" s="682"/>
      <c r="BR109" s="682"/>
      <c r="BS109" s="682"/>
      <c r="BT109" s="683"/>
      <c r="BU109" s="683"/>
      <c r="BV109" s="682"/>
      <c r="BW109" s="682"/>
      <c r="BX109" s="665">
        <f t="shared" si="2"/>
        <v>0</v>
      </c>
      <c r="BY109" s="682">
        <v>0.0</v>
      </c>
      <c r="BZ109" s="683">
        <v>0.0</v>
      </c>
      <c r="CA109" s="683">
        <v>0.0</v>
      </c>
      <c r="CB109" s="683">
        <v>0.0</v>
      </c>
      <c r="CC109" s="683">
        <v>0.0</v>
      </c>
      <c r="CD109" s="683">
        <v>0.0</v>
      </c>
      <c r="CE109" s="683">
        <v>0.0</v>
      </c>
      <c r="CF109" s="683">
        <v>0.0</v>
      </c>
      <c r="CG109" s="683">
        <v>0.0</v>
      </c>
      <c r="CH109" s="686">
        <v>0.0</v>
      </c>
      <c r="CI109" s="665">
        <f t="shared" si="3"/>
        <v>0</v>
      </c>
      <c r="CJ109" s="682">
        <f t="shared" si="4"/>
        <v>2</v>
      </c>
      <c r="CK109" s="706">
        <v>7.31</v>
      </c>
      <c r="CL109" s="683">
        <f t="shared" si="251"/>
        <v>50.8776</v>
      </c>
      <c r="CM109" s="683">
        <f t="shared" ref="CM109:CV109" si="330">BC109*$CL109</f>
        <v>0</v>
      </c>
      <c r="CN109" s="683">
        <f t="shared" si="330"/>
        <v>0</v>
      </c>
      <c r="CO109" s="683">
        <f t="shared" si="330"/>
        <v>0</v>
      </c>
      <c r="CP109" s="683">
        <f t="shared" si="330"/>
        <v>50.8776</v>
      </c>
      <c r="CQ109" s="683">
        <f t="shared" si="330"/>
        <v>50.8776</v>
      </c>
      <c r="CR109" s="683">
        <f t="shared" si="330"/>
        <v>0</v>
      </c>
      <c r="CS109" s="683">
        <f t="shared" si="330"/>
        <v>0</v>
      </c>
      <c r="CT109" s="683">
        <f t="shared" si="330"/>
        <v>0</v>
      </c>
      <c r="CU109" s="683">
        <f t="shared" si="330"/>
        <v>0</v>
      </c>
      <c r="CV109" s="683">
        <f t="shared" si="330"/>
        <v>0</v>
      </c>
      <c r="CW109" s="683">
        <f t="shared" si="21"/>
        <v>101.7552</v>
      </c>
      <c r="CX109" s="683">
        <f t="shared" ref="CX109:DG109" si="331">BN109*$CL109</f>
        <v>0</v>
      </c>
      <c r="CY109" s="683">
        <f t="shared" si="331"/>
        <v>0</v>
      </c>
      <c r="CZ109" s="683">
        <f t="shared" si="331"/>
        <v>0</v>
      </c>
      <c r="DA109" s="683">
        <f t="shared" si="331"/>
        <v>0</v>
      </c>
      <c r="DB109" s="683">
        <f t="shared" si="331"/>
        <v>0</v>
      </c>
      <c r="DC109" s="683">
        <f t="shared" si="331"/>
        <v>0</v>
      </c>
      <c r="DD109" s="683">
        <f t="shared" si="331"/>
        <v>0</v>
      </c>
      <c r="DE109" s="683">
        <f t="shared" si="331"/>
        <v>0</v>
      </c>
      <c r="DF109" s="683">
        <f t="shared" si="331"/>
        <v>0</v>
      </c>
      <c r="DG109" s="683">
        <f t="shared" si="331"/>
        <v>0</v>
      </c>
      <c r="DH109" s="683">
        <f t="shared" si="23"/>
        <v>0</v>
      </c>
      <c r="DI109" s="683">
        <f t="shared" ref="DI109:DR109" si="332">BY109*$CL109</f>
        <v>0</v>
      </c>
      <c r="DJ109" s="683">
        <f t="shared" si="332"/>
        <v>0</v>
      </c>
      <c r="DK109" s="683">
        <f t="shared" si="332"/>
        <v>0</v>
      </c>
      <c r="DL109" s="683">
        <f t="shared" si="332"/>
        <v>0</v>
      </c>
      <c r="DM109" s="683">
        <f t="shared" si="332"/>
        <v>0</v>
      </c>
      <c r="DN109" s="683">
        <f t="shared" si="332"/>
        <v>0</v>
      </c>
      <c r="DO109" s="683">
        <f t="shared" si="332"/>
        <v>0</v>
      </c>
      <c r="DP109" s="683">
        <f t="shared" si="332"/>
        <v>0</v>
      </c>
      <c r="DQ109" s="683">
        <f t="shared" si="332"/>
        <v>0</v>
      </c>
      <c r="DR109" s="683">
        <f t="shared" si="332"/>
        <v>0</v>
      </c>
      <c r="DS109" s="683">
        <f t="shared" si="25"/>
        <v>0</v>
      </c>
      <c r="DT109" s="683">
        <f t="shared" si="175"/>
        <v>101.7552</v>
      </c>
      <c r="DU109" s="801"/>
      <c r="DV109" s="801" t="s">
        <v>3194</v>
      </c>
      <c r="DW109" s="803"/>
      <c r="DX109" s="803"/>
      <c r="DY109" s="803"/>
      <c r="DZ109" s="803"/>
      <c r="EA109" s="803"/>
      <c r="EB109" s="803"/>
      <c r="EC109" s="802"/>
      <c r="ED109" s="802"/>
      <c r="EE109" s="802"/>
      <c r="EF109" s="845"/>
      <c r="EG109" s="803"/>
      <c r="EH109" s="776" t="s">
        <v>3195</v>
      </c>
      <c r="EI109" s="708">
        <f>VLOOKUP(I109,CotizacionTDB,4,FALSE())</f>
        <v>7.31</v>
      </c>
      <c r="EJ109" s="708">
        <f>VLOOKUP(I109,CotizacionTDB,5,FALSE())</f>
        <v>6.21</v>
      </c>
      <c r="EK109" s="691"/>
    </row>
    <row r="110" ht="12.0" customHeight="1">
      <c r="A110" s="709" t="s">
        <v>3026</v>
      </c>
      <c r="B110" s="661">
        <v>2.0</v>
      </c>
      <c r="C110" s="567" t="s">
        <v>3027</v>
      </c>
      <c r="D110" s="568" t="s">
        <v>129</v>
      </c>
      <c r="E110" s="568" t="s">
        <v>2722</v>
      </c>
      <c r="F110" s="567" t="s">
        <v>1763</v>
      </c>
      <c r="G110" s="657" t="s">
        <v>2723</v>
      </c>
      <c r="H110" s="569" t="s">
        <v>3196</v>
      </c>
      <c r="I110" s="710" t="s">
        <v>1988</v>
      </c>
      <c r="J110" s="711" t="s">
        <v>1708</v>
      </c>
      <c r="K110" s="567" t="s">
        <v>25</v>
      </c>
      <c r="L110" s="567"/>
      <c r="M110" s="567"/>
      <c r="N110" s="567"/>
      <c r="O110" s="567"/>
      <c r="P110" s="567"/>
      <c r="Q110" s="567"/>
      <c r="R110" s="567">
        <v>2024.0</v>
      </c>
      <c r="S110" s="567">
        <v>2024.0</v>
      </c>
      <c r="T110" s="567">
        <v>2024.0</v>
      </c>
      <c r="U110" s="567">
        <v>2024.0</v>
      </c>
      <c r="V110" s="567"/>
      <c r="W110" s="567"/>
      <c r="X110" s="567"/>
      <c r="Y110" s="567"/>
      <c r="Z110" s="567"/>
      <c r="AA110" s="567"/>
      <c r="AB110" s="567"/>
      <c r="AC110" s="567">
        <v>2.0</v>
      </c>
      <c r="AD110" s="567">
        <v>2.0</v>
      </c>
      <c r="AE110" s="567">
        <v>2.0</v>
      </c>
      <c r="AF110" s="567">
        <v>2.0</v>
      </c>
      <c r="AG110" s="567"/>
      <c r="AH110" s="567"/>
      <c r="AI110" s="567"/>
      <c r="AJ110" s="567"/>
      <c r="AK110" s="567"/>
      <c r="AL110" s="567"/>
      <c r="AM110" s="567"/>
      <c r="AN110" s="567"/>
      <c r="AO110" s="567"/>
      <c r="AP110" s="567"/>
      <c r="AQ110" s="567"/>
      <c r="AR110" s="567">
        <v>0.0</v>
      </c>
      <c r="AS110" s="567">
        <v>0.0</v>
      </c>
      <c r="AT110" s="567">
        <v>0.0</v>
      </c>
      <c r="AU110" s="567">
        <v>0.0</v>
      </c>
      <c r="AV110" s="567">
        <v>0.0</v>
      </c>
      <c r="AW110" s="567">
        <v>0.0</v>
      </c>
      <c r="AX110" s="567">
        <v>-2024.0</v>
      </c>
      <c r="AY110" s="567">
        <v>-2024.0</v>
      </c>
      <c r="AZ110" s="567">
        <v>-2024.0</v>
      </c>
      <c r="BA110" s="567">
        <v>-2024.0</v>
      </c>
      <c r="BB110" s="567"/>
      <c r="BC110" s="661">
        <v>4.0</v>
      </c>
      <c r="BD110" s="661">
        <v>3.0</v>
      </c>
      <c r="BE110" s="661">
        <v>4.0</v>
      </c>
      <c r="BF110" s="661"/>
      <c r="BG110" s="661"/>
      <c r="BH110" s="661"/>
      <c r="BI110" s="567">
        <v>2.0</v>
      </c>
      <c r="BJ110" s="722">
        <v>0.0</v>
      </c>
      <c r="BK110" s="567">
        <v>1.0</v>
      </c>
      <c r="BL110" s="695">
        <v>2.0</v>
      </c>
      <c r="BM110" s="665">
        <f t="shared" si="1"/>
        <v>16</v>
      </c>
      <c r="BN110" s="696"/>
      <c r="BO110" s="470"/>
      <c r="BP110" s="470"/>
      <c r="BQ110" s="674">
        <v>4.0</v>
      </c>
      <c r="BR110" s="674">
        <v>4.0</v>
      </c>
      <c r="BS110" s="674">
        <v>4.0</v>
      </c>
      <c r="BT110" s="470"/>
      <c r="BU110" s="747">
        <v>2.0</v>
      </c>
      <c r="BV110" s="470"/>
      <c r="BW110" s="697"/>
      <c r="BX110" s="665">
        <f t="shared" si="2"/>
        <v>14</v>
      </c>
      <c r="BY110" s="671">
        <v>0.0</v>
      </c>
      <c r="BZ110" s="668">
        <v>0.0</v>
      </c>
      <c r="CA110" s="668">
        <v>0.0</v>
      </c>
      <c r="CB110" s="668">
        <v>0.0</v>
      </c>
      <c r="CC110" s="668">
        <v>0.0</v>
      </c>
      <c r="CD110" s="668">
        <v>0.0</v>
      </c>
      <c r="CE110" s="668">
        <v>2.0</v>
      </c>
      <c r="CF110" s="747">
        <v>0.0</v>
      </c>
      <c r="CG110" s="668">
        <v>1.0</v>
      </c>
      <c r="CH110" s="670">
        <v>2.0</v>
      </c>
      <c r="CI110" s="665">
        <f t="shared" si="3"/>
        <v>5</v>
      </c>
      <c r="CJ110" s="671">
        <f t="shared" si="4"/>
        <v>35</v>
      </c>
      <c r="CK110" s="715">
        <v>0.89</v>
      </c>
      <c r="CL110" s="668">
        <f t="shared" si="251"/>
        <v>6.1944</v>
      </c>
      <c r="CM110" s="668">
        <f t="shared" ref="CM110:CV110" si="333">BC110*$CL110</f>
        <v>24.7776</v>
      </c>
      <c r="CN110" s="668">
        <f t="shared" si="333"/>
        <v>18.5832</v>
      </c>
      <c r="CO110" s="668">
        <f t="shared" si="333"/>
        <v>24.7776</v>
      </c>
      <c r="CP110" s="668">
        <f t="shared" si="333"/>
        <v>0</v>
      </c>
      <c r="CQ110" s="668">
        <f t="shared" si="333"/>
        <v>0</v>
      </c>
      <c r="CR110" s="668">
        <f t="shared" si="333"/>
        <v>0</v>
      </c>
      <c r="CS110" s="668">
        <f t="shared" si="333"/>
        <v>12.3888</v>
      </c>
      <c r="CT110" s="668">
        <f t="shared" si="333"/>
        <v>0</v>
      </c>
      <c r="CU110" s="668">
        <f t="shared" si="333"/>
        <v>6.1944</v>
      </c>
      <c r="CV110" s="668">
        <f t="shared" si="333"/>
        <v>12.3888</v>
      </c>
      <c r="CW110" s="668">
        <f t="shared" si="21"/>
        <v>99.1104</v>
      </c>
      <c r="CX110" s="668">
        <f t="shared" ref="CX110:DG110" si="334">BN110*$CL110</f>
        <v>0</v>
      </c>
      <c r="CY110" s="668">
        <f t="shared" si="334"/>
        <v>0</v>
      </c>
      <c r="CZ110" s="668">
        <f t="shared" si="334"/>
        <v>0</v>
      </c>
      <c r="DA110" s="668">
        <f t="shared" si="334"/>
        <v>24.7776</v>
      </c>
      <c r="DB110" s="668">
        <f t="shared" si="334"/>
        <v>24.7776</v>
      </c>
      <c r="DC110" s="668">
        <f t="shared" si="334"/>
        <v>24.7776</v>
      </c>
      <c r="DD110" s="668">
        <f t="shared" si="334"/>
        <v>0</v>
      </c>
      <c r="DE110" s="668">
        <f t="shared" si="334"/>
        <v>12.3888</v>
      </c>
      <c r="DF110" s="668">
        <f t="shared" si="334"/>
        <v>0</v>
      </c>
      <c r="DG110" s="668">
        <f t="shared" si="334"/>
        <v>0</v>
      </c>
      <c r="DH110" s="668">
        <f t="shared" si="23"/>
        <v>86.7216</v>
      </c>
      <c r="DI110" s="668">
        <f t="shared" ref="DI110:DR110" si="335">BY110*$CL110</f>
        <v>0</v>
      </c>
      <c r="DJ110" s="668">
        <f t="shared" si="335"/>
        <v>0</v>
      </c>
      <c r="DK110" s="668">
        <f t="shared" si="335"/>
        <v>0</v>
      </c>
      <c r="DL110" s="668">
        <f t="shared" si="335"/>
        <v>0</v>
      </c>
      <c r="DM110" s="668">
        <f t="shared" si="335"/>
        <v>0</v>
      </c>
      <c r="DN110" s="668">
        <f t="shared" si="335"/>
        <v>0</v>
      </c>
      <c r="DO110" s="668">
        <f t="shared" si="335"/>
        <v>12.3888</v>
      </c>
      <c r="DP110" s="668">
        <f t="shared" si="335"/>
        <v>0</v>
      </c>
      <c r="DQ110" s="668">
        <f t="shared" si="335"/>
        <v>6.1944</v>
      </c>
      <c r="DR110" s="668">
        <f t="shared" si="335"/>
        <v>12.3888</v>
      </c>
      <c r="DS110" s="668">
        <f t="shared" si="25"/>
        <v>30.972</v>
      </c>
      <c r="DT110" s="668">
        <f t="shared" si="175"/>
        <v>216.804</v>
      </c>
      <c r="DU110" s="538"/>
      <c r="DV110" s="468"/>
      <c r="DW110" s="698"/>
      <c r="DX110" s="698"/>
      <c r="DY110" s="698"/>
      <c r="DZ110" s="698"/>
      <c r="EA110" s="698"/>
      <c r="EB110" s="698"/>
      <c r="EC110" s="698"/>
      <c r="ED110" s="698"/>
      <c r="EE110" s="698"/>
      <c r="EF110" s="698"/>
      <c r="EG110" s="698"/>
      <c r="EH110" s="576" t="s">
        <v>1708</v>
      </c>
      <c r="EI110" s="716">
        <f>VLOOKUP(I110,CotizacionTDB,4,FALSE())</f>
        <v>0.89</v>
      </c>
      <c r="EJ110" s="716">
        <f>VLOOKUP(I110,CotizacionTDB,5,FALSE())</f>
        <v>0.76</v>
      </c>
      <c r="EK110" s="699"/>
    </row>
    <row r="111" ht="12.0" customHeight="1">
      <c r="A111" s="700" t="s">
        <v>3026</v>
      </c>
      <c r="B111" s="701">
        <v>2.0</v>
      </c>
      <c r="C111" s="562" t="s">
        <v>3027</v>
      </c>
      <c r="D111" s="571" t="s">
        <v>129</v>
      </c>
      <c r="E111" s="571" t="s">
        <v>2722</v>
      </c>
      <c r="F111" s="562" t="s">
        <v>1763</v>
      </c>
      <c r="G111" s="702" t="s">
        <v>2723</v>
      </c>
      <c r="H111" s="737"/>
      <c r="I111" s="703" t="s">
        <v>2323</v>
      </c>
      <c r="J111" s="846" t="s">
        <v>3197</v>
      </c>
      <c r="K111" s="562" t="s">
        <v>25</v>
      </c>
      <c r="L111" s="562"/>
      <c r="M111" s="562"/>
      <c r="N111" s="562"/>
      <c r="O111" s="562">
        <v>2024.0</v>
      </c>
      <c r="P111" s="562"/>
      <c r="Q111" s="562"/>
      <c r="R111" s="562"/>
      <c r="S111" s="562"/>
      <c r="T111" s="562"/>
      <c r="U111" s="562"/>
      <c r="V111" s="562"/>
      <c r="W111" s="562">
        <v>3.0</v>
      </c>
      <c r="X111" s="562"/>
      <c r="Y111" s="562"/>
      <c r="Z111" s="562">
        <v>7.0</v>
      </c>
      <c r="AA111" s="562"/>
      <c r="AB111" s="562"/>
      <c r="AC111" s="562"/>
      <c r="AD111" s="562"/>
      <c r="AE111" s="562"/>
      <c r="AF111" s="562"/>
      <c r="AG111" s="562"/>
      <c r="AH111" s="562"/>
      <c r="AI111" s="562"/>
      <c r="AJ111" s="562"/>
      <c r="AK111" s="562"/>
      <c r="AL111" s="562"/>
      <c r="AM111" s="562"/>
      <c r="AN111" s="562"/>
      <c r="AO111" s="562"/>
      <c r="AP111" s="562"/>
      <c r="AQ111" s="562"/>
      <c r="AR111" s="562">
        <v>0.0</v>
      </c>
      <c r="AS111" s="562">
        <v>0.0</v>
      </c>
      <c r="AT111" s="562">
        <v>0.0</v>
      </c>
      <c r="AU111" s="562">
        <v>-2024.0</v>
      </c>
      <c r="AV111" s="562">
        <v>0.0</v>
      </c>
      <c r="AW111" s="562">
        <v>0.0</v>
      </c>
      <c r="AX111" s="562">
        <v>0.0</v>
      </c>
      <c r="AY111" s="562">
        <v>0.0</v>
      </c>
      <c r="AZ111" s="562">
        <v>0.0</v>
      </c>
      <c r="BA111" s="562">
        <v>0.0</v>
      </c>
      <c r="BB111" s="562"/>
      <c r="BC111" s="562"/>
      <c r="BD111" s="562"/>
      <c r="BE111" s="562"/>
      <c r="BF111" s="562"/>
      <c r="BG111" s="562"/>
      <c r="BH111" s="562"/>
      <c r="BI111" s="562"/>
      <c r="BJ111" s="562"/>
      <c r="BK111" s="562"/>
      <c r="BL111" s="681"/>
      <c r="BM111" s="665">
        <f t="shared" si="1"/>
        <v>0</v>
      </c>
      <c r="BN111" s="682"/>
      <c r="BO111" s="683"/>
      <c r="BP111" s="683"/>
      <c r="BQ111" s="687">
        <v>1.0</v>
      </c>
      <c r="BR111" s="683"/>
      <c r="BS111" s="683"/>
      <c r="BT111" s="683"/>
      <c r="BU111" s="683"/>
      <c r="BV111" s="683"/>
      <c r="BW111" s="686"/>
      <c r="BX111" s="665">
        <f t="shared" si="2"/>
        <v>1</v>
      </c>
      <c r="BY111" s="682">
        <v>0.0</v>
      </c>
      <c r="BZ111" s="683">
        <v>0.0</v>
      </c>
      <c r="CA111" s="683">
        <v>0.0</v>
      </c>
      <c r="CB111" s="683">
        <v>0.0</v>
      </c>
      <c r="CC111" s="683">
        <v>0.0</v>
      </c>
      <c r="CD111" s="683">
        <v>0.0</v>
      </c>
      <c r="CE111" s="683">
        <v>0.0</v>
      </c>
      <c r="CF111" s="683">
        <v>0.0</v>
      </c>
      <c r="CG111" s="683">
        <v>0.0</v>
      </c>
      <c r="CH111" s="686">
        <v>0.0</v>
      </c>
      <c r="CI111" s="665">
        <f t="shared" si="3"/>
        <v>0</v>
      </c>
      <c r="CJ111" s="682">
        <f t="shared" si="4"/>
        <v>1</v>
      </c>
      <c r="CK111" s="706">
        <v>4564.72</v>
      </c>
      <c r="CL111" s="683">
        <f t="shared" si="251"/>
        <v>31770.4512</v>
      </c>
      <c r="CM111" s="683">
        <f t="shared" ref="CM111:CV111" si="336">BC111*$CL111</f>
        <v>0</v>
      </c>
      <c r="CN111" s="683">
        <f t="shared" si="336"/>
        <v>0</v>
      </c>
      <c r="CO111" s="683">
        <f t="shared" si="336"/>
        <v>0</v>
      </c>
      <c r="CP111" s="683">
        <f t="shared" si="336"/>
        <v>0</v>
      </c>
      <c r="CQ111" s="683">
        <f t="shared" si="336"/>
        <v>0</v>
      </c>
      <c r="CR111" s="683">
        <f t="shared" si="336"/>
        <v>0</v>
      </c>
      <c r="CS111" s="683">
        <f t="shared" si="336"/>
        <v>0</v>
      </c>
      <c r="CT111" s="683">
        <f t="shared" si="336"/>
        <v>0</v>
      </c>
      <c r="CU111" s="683">
        <f t="shared" si="336"/>
        <v>0</v>
      </c>
      <c r="CV111" s="683">
        <f t="shared" si="336"/>
        <v>0</v>
      </c>
      <c r="CW111" s="683">
        <f t="shared" si="21"/>
        <v>0</v>
      </c>
      <c r="CX111" s="683">
        <f t="shared" ref="CX111:DG111" si="337">BN111*$CL111</f>
        <v>0</v>
      </c>
      <c r="CY111" s="683">
        <f t="shared" si="337"/>
        <v>0</v>
      </c>
      <c r="CZ111" s="683">
        <f t="shared" si="337"/>
        <v>0</v>
      </c>
      <c r="DA111" s="683">
        <f t="shared" si="337"/>
        <v>31770.4512</v>
      </c>
      <c r="DB111" s="683">
        <f t="shared" si="337"/>
        <v>0</v>
      </c>
      <c r="DC111" s="683">
        <f t="shared" si="337"/>
        <v>0</v>
      </c>
      <c r="DD111" s="683">
        <f t="shared" si="337"/>
        <v>0</v>
      </c>
      <c r="DE111" s="683">
        <f t="shared" si="337"/>
        <v>0</v>
      </c>
      <c r="DF111" s="683">
        <f t="shared" si="337"/>
        <v>0</v>
      </c>
      <c r="DG111" s="683">
        <f t="shared" si="337"/>
        <v>0</v>
      </c>
      <c r="DH111" s="683">
        <f t="shared" si="23"/>
        <v>31770.4512</v>
      </c>
      <c r="DI111" s="683">
        <f t="shared" ref="DI111:DR111" si="338">BY111*$CL111</f>
        <v>0</v>
      </c>
      <c r="DJ111" s="683">
        <f t="shared" si="338"/>
        <v>0</v>
      </c>
      <c r="DK111" s="683">
        <f t="shared" si="338"/>
        <v>0</v>
      </c>
      <c r="DL111" s="683">
        <f t="shared" si="338"/>
        <v>0</v>
      </c>
      <c r="DM111" s="683">
        <f t="shared" si="338"/>
        <v>0</v>
      </c>
      <c r="DN111" s="683">
        <f t="shared" si="338"/>
        <v>0</v>
      </c>
      <c r="DO111" s="683">
        <f t="shared" si="338"/>
        <v>0</v>
      </c>
      <c r="DP111" s="683">
        <f t="shared" si="338"/>
        <v>0</v>
      </c>
      <c r="DQ111" s="683">
        <f t="shared" si="338"/>
        <v>0</v>
      </c>
      <c r="DR111" s="683">
        <f t="shared" si="338"/>
        <v>0</v>
      </c>
      <c r="DS111" s="683">
        <f t="shared" si="25"/>
        <v>0</v>
      </c>
      <c r="DT111" s="683">
        <f t="shared" si="175"/>
        <v>31770.4512</v>
      </c>
      <c r="DU111" s="504"/>
      <c r="DV111" s="486"/>
      <c r="DW111" s="688"/>
      <c r="DX111" s="688"/>
      <c r="DY111" s="688"/>
      <c r="DZ111" s="688"/>
      <c r="EA111" s="688"/>
      <c r="EB111" s="688"/>
      <c r="EC111" s="688"/>
      <c r="ED111" s="688"/>
      <c r="EE111" s="688"/>
      <c r="EF111" s="688"/>
      <c r="EG111" s="688"/>
      <c r="EH111" s="776" t="s">
        <v>705</v>
      </c>
      <c r="EI111" s="708">
        <f>VLOOKUP(I111,CotizacionTDB,4,FALSE())</f>
        <v>4564.72</v>
      </c>
      <c r="EJ111" s="708">
        <f>VLOOKUP(I111,CotizacionTDB,5,FALSE())</f>
        <v>3880.01</v>
      </c>
      <c r="EK111" s="691"/>
    </row>
    <row r="112" ht="12.0" customHeight="1">
      <c r="A112" s="709" t="s">
        <v>3026</v>
      </c>
      <c r="B112" s="661">
        <v>2.0</v>
      </c>
      <c r="C112" s="567" t="s">
        <v>3027</v>
      </c>
      <c r="D112" s="568" t="s">
        <v>129</v>
      </c>
      <c r="E112" s="568" t="s">
        <v>2722</v>
      </c>
      <c r="F112" s="567" t="s">
        <v>1763</v>
      </c>
      <c r="G112" s="657" t="s">
        <v>2723</v>
      </c>
      <c r="H112" s="569" t="s">
        <v>3198</v>
      </c>
      <c r="I112" s="721" t="s">
        <v>2423</v>
      </c>
      <c r="J112" s="711" t="s">
        <v>848</v>
      </c>
      <c r="K112" s="567" t="s">
        <v>25</v>
      </c>
      <c r="L112" s="567"/>
      <c r="M112" s="567"/>
      <c r="N112" s="567"/>
      <c r="O112" s="567"/>
      <c r="P112" s="567"/>
      <c r="Q112" s="567">
        <v>2024.0</v>
      </c>
      <c r="R112" s="567"/>
      <c r="S112" s="567"/>
      <c r="T112" s="567"/>
      <c r="U112" s="567"/>
      <c r="V112" s="567"/>
      <c r="W112" s="567">
        <v>3.0</v>
      </c>
      <c r="X112" s="567"/>
      <c r="Y112" s="567"/>
      <c r="Z112" s="567"/>
      <c r="AA112" s="567"/>
      <c r="AB112" s="567">
        <v>3.0</v>
      </c>
      <c r="AC112" s="567"/>
      <c r="AD112" s="567"/>
      <c r="AE112" s="567"/>
      <c r="AF112" s="567"/>
      <c r="AG112" s="567"/>
      <c r="AH112" s="567"/>
      <c r="AI112" s="567"/>
      <c r="AJ112" s="567"/>
      <c r="AK112" s="567"/>
      <c r="AL112" s="567"/>
      <c r="AM112" s="567"/>
      <c r="AN112" s="567"/>
      <c r="AO112" s="567"/>
      <c r="AP112" s="567"/>
      <c r="AQ112" s="567"/>
      <c r="AR112" s="567">
        <v>0.0</v>
      </c>
      <c r="AS112" s="567">
        <v>0.0</v>
      </c>
      <c r="AT112" s="567">
        <v>0.0</v>
      </c>
      <c r="AU112" s="567">
        <v>0.0</v>
      </c>
      <c r="AV112" s="567">
        <v>0.0</v>
      </c>
      <c r="AW112" s="567">
        <v>-2024.0</v>
      </c>
      <c r="AX112" s="567">
        <v>0.0</v>
      </c>
      <c r="AY112" s="567">
        <v>0.0</v>
      </c>
      <c r="AZ112" s="567">
        <v>0.0</v>
      </c>
      <c r="BA112" s="567">
        <v>0.0</v>
      </c>
      <c r="BB112" s="567"/>
      <c r="BC112" s="567"/>
      <c r="BD112" s="567"/>
      <c r="BE112" s="567"/>
      <c r="BF112" s="567"/>
      <c r="BG112" s="567"/>
      <c r="BH112" s="661">
        <v>0.0</v>
      </c>
      <c r="BI112" s="567"/>
      <c r="BJ112" s="567"/>
      <c r="BK112" s="567"/>
      <c r="BL112" s="725"/>
      <c r="BM112" s="665">
        <f t="shared" si="1"/>
        <v>0</v>
      </c>
      <c r="BN112" s="671"/>
      <c r="BO112" s="668"/>
      <c r="BP112" s="668"/>
      <c r="BQ112" s="668"/>
      <c r="BR112" s="668"/>
      <c r="BS112" s="674">
        <v>1.0</v>
      </c>
      <c r="BT112" s="668"/>
      <c r="BU112" s="668"/>
      <c r="BV112" s="668"/>
      <c r="BW112" s="670"/>
      <c r="BX112" s="665">
        <f t="shared" si="2"/>
        <v>1</v>
      </c>
      <c r="BY112" s="671">
        <v>0.0</v>
      </c>
      <c r="BZ112" s="668">
        <v>0.0</v>
      </c>
      <c r="CA112" s="668">
        <v>0.0</v>
      </c>
      <c r="CB112" s="668">
        <v>0.0</v>
      </c>
      <c r="CC112" s="668">
        <v>0.0</v>
      </c>
      <c r="CD112" s="668">
        <v>0.0</v>
      </c>
      <c r="CE112" s="668">
        <v>0.0</v>
      </c>
      <c r="CF112" s="668">
        <v>0.0</v>
      </c>
      <c r="CG112" s="668">
        <v>0.0</v>
      </c>
      <c r="CH112" s="670">
        <v>0.0</v>
      </c>
      <c r="CI112" s="665">
        <f t="shared" si="3"/>
        <v>0</v>
      </c>
      <c r="CJ112" s="671">
        <f t="shared" si="4"/>
        <v>1</v>
      </c>
      <c r="CK112" s="715">
        <v>2681.4</v>
      </c>
      <c r="CL112" s="668">
        <f t="shared" si="251"/>
        <v>18662.544</v>
      </c>
      <c r="CM112" s="668">
        <f t="shared" ref="CM112:CV112" si="339">BC112*$CL112</f>
        <v>0</v>
      </c>
      <c r="CN112" s="668">
        <f t="shared" si="339"/>
        <v>0</v>
      </c>
      <c r="CO112" s="668">
        <f t="shared" si="339"/>
        <v>0</v>
      </c>
      <c r="CP112" s="668">
        <f t="shared" si="339"/>
        <v>0</v>
      </c>
      <c r="CQ112" s="668">
        <f t="shared" si="339"/>
        <v>0</v>
      </c>
      <c r="CR112" s="668">
        <f t="shared" si="339"/>
        <v>0</v>
      </c>
      <c r="CS112" s="668">
        <f t="shared" si="339"/>
        <v>0</v>
      </c>
      <c r="CT112" s="668">
        <f t="shared" si="339"/>
        <v>0</v>
      </c>
      <c r="CU112" s="668">
        <f t="shared" si="339"/>
        <v>0</v>
      </c>
      <c r="CV112" s="668">
        <f t="shared" si="339"/>
        <v>0</v>
      </c>
      <c r="CW112" s="668">
        <f t="shared" si="21"/>
        <v>0</v>
      </c>
      <c r="CX112" s="668">
        <f t="shared" ref="CX112:DG112" si="340">BN112*$CL112</f>
        <v>0</v>
      </c>
      <c r="CY112" s="668">
        <f t="shared" si="340"/>
        <v>0</v>
      </c>
      <c r="CZ112" s="668">
        <f t="shared" si="340"/>
        <v>0</v>
      </c>
      <c r="DA112" s="668">
        <f t="shared" si="340"/>
        <v>0</v>
      </c>
      <c r="DB112" s="668">
        <f t="shared" si="340"/>
        <v>0</v>
      </c>
      <c r="DC112" s="668">
        <f t="shared" si="340"/>
        <v>18662.544</v>
      </c>
      <c r="DD112" s="668">
        <f t="shared" si="340"/>
        <v>0</v>
      </c>
      <c r="DE112" s="668">
        <f t="shared" si="340"/>
        <v>0</v>
      </c>
      <c r="DF112" s="668">
        <f t="shared" si="340"/>
        <v>0</v>
      </c>
      <c r="DG112" s="668">
        <f t="shared" si="340"/>
        <v>0</v>
      </c>
      <c r="DH112" s="668">
        <f t="shared" si="23"/>
        <v>18662.544</v>
      </c>
      <c r="DI112" s="668">
        <f t="shared" ref="DI112:DR112" si="341">BY112*$CL112</f>
        <v>0</v>
      </c>
      <c r="DJ112" s="668">
        <f t="shared" si="341"/>
        <v>0</v>
      </c>
      <c r="DK112" s="668">
        <f t="shared" si="341"/>
        <v>0</v>
      </c>
      <c r="DL112" s="668">
        <f t="shared" si="341"/>
        <v>0</v>
      </c>
      <c r="DM112" s="668">
        <f t="shared" si="341"/>
        <v>0</v>
      </c>
      <c r="DN112" s="668">
        <f t="shared" si="341"/>
        <v>0</v>
      </c>
      <c r="DO112" s="668">
        <f t="shared" si="341"/>
        <v>0</v>
      </c>
      <c r="DP112" s="668">
        <f t="shared" si="341"/>
        <v>0</v>
      </c>
      <c r="DQ112" s="668">
        <f t="shared" si="341"/>
        <v>0</v>
      </c>
      <c r="DR112" s="668">
        <f t="shared" si="341"/>
        <v>0</v>
      </c>
      <c r="DS112" s="668">
        <f t="shared" si="25"/>
        <v>0</v>
      </c>
      <c r="DT112" s="668">
        <f t="shared" si="175"/>
        <v>18662.544</v>
      </c>
      <c r="DU112" s="792" t="s">
        <v>3199</v>
      </c>
      <c r="DV112" s="792" t="s">
        <v>3200</v>
      </c>
      <c r="DW112" s="698"/>
      <c r="DX112" s="698"/>
      <c r="DY112" s="698"/>
      <c r="DZ112" s="698"/>
      <c r="EA112" s="698"/>
      <c r="EB112" s="698"/>
      <c r="EC112" s="698"/>
      <c r="ED112" s="698"/>
      <c r="EE112" s="698"/>
      <c r="EF112" s="698"/>
      <c r="EG112" s="698"/>
      <c r="EH112" s="576" t="s">
        <v>848</v>
      </c>
      <c r="EI112" s="716">
        <f>VLOOKUP(I112,CotizacionTDB,4,FALSE())</f>
        <v>2681.4</v>
      </c>
      <c r="EJ112" s="716">
        <f>VLOOKUP(I112,CotizacionTDB,5,FALSE())</f>
        <v>2279.19</v>
      </c>
      <c r="EK112" s="699"/>
    </row>
    <row r="113" ht="12.0" customHeight="1">
      <c r="A113" s="700" t="s">
        <v>3026</v>
      </c>
      <c r="B113" s="701">
        <v>2.0</v>
      </c>
      <c r="C113" s="562" t="s">
        <v>3027</v>
      </c>
      <c r="D113" s="571" t="s">
        <v>129</v>
      </c>
      <c r="E113" s="571" t="s">
        <v>2722</v>
      </c>
      <c r="F113" s="562" t="s">
        <v>1763</v>
      </c>
      <c r="G113" s="702" t="s">
        <v>2723</v>
      </c>
      <c r="H113" s="737"/>
      <c r="I113" s="703" t="s">
        <v>2425</v>
      </c>
      <c r="J113" s="704" t="s">
        <v>112</v>
      </c>
      <c r="K113" s="562" t="s">
        <v>25</v>
      </c>
      <c r="L113" s="562"/>
      <c r="M113" s="562"/>
      <c r="N113" s="562"/>
      <c r="O113" s="562">
        <v>2024.0</v>
      </c>
      <c r="P113" s="562">
        <v>2024.0</v>
      </c>
      <c r="Q113" s="562">
        <v>2024.0</v>
      </c>
      <c r="R113" s="562"/>
      <c r="S113" s="562"/>
      <c r="T113" s="562"/>
      <c r="U113" s="562"/>
      <c r="V113" s="562"/>
      <c r="W113" s="562">
        <v>3.0</v>
      </c>
      <c r="X113" s="562"/>
      <c r="Y113" s="562"/>
      <c r="Z113" s="562">
        <v>3.0</v>
      </c>
      <c r="AA113" s="562">
        <v>3.0</v>
      </c>
      <c r="AB113" s="562">
        <v>3.0</v>
      </c>
      <c r="AC113" s="562"/>
      <c r="AD113" s="562"/>
      <c r="AE113" s="562"/>
      <c r="AF113" s="562"/>
      <c r="AG113" s="562"/>
      <c r="AH113" s="562"/>
      <c r="AI113" s="562"/>
      <c r="AJ113" s="562"/>
      <c r="AK113" s="562"/>
      <c r="AL113" s="562"/>
      <c r="AM113" s="562"/>
      <c r="AN113" s="562"/>
      <c r="AO113" s="562"/>
      <c r="AP113" s="562"/>
      <c r="AQ113" s="562"/>
      <c r="AR113" s="562">
        <v>0.0</v>
      </c>
      <c r="AS113" s="562">
        <v>0.0</v>
      </c>
      <c r="AT113" s="562">
        <v>0.0</v>
      </c>
      <c r="AU113" s="562">
        <v>-2024.0</v>
      </c>
      <c r="AV113" s="562">
        <v>-2024.0</v>
      </c>
      <c r="AW113" s="562">
        <v>-2024.0</v>
      </c>
      <c r="AX113" s="562">
        <v>0.0</v>
      </c>
      <c r="AY113" s="562">
        <v>0.0</v>
      </c>
      <c r="AZ113" s="562">
        <v>0.0</v>
      </c>
      <c r="BA113" s="562">
        <v>0.0</v>
      </c>
      <c r="BB113" s="562"/>
      <c r="BC113" s="562"/>
      <c r="BD113" s="562"/>
      <c r="BE113" s="562"/>
      <c r="BF113" s="562"/>
      <c r="BG113" s="562"/>
      <c r="BH113" s="562"/>
      <c r="BI113" s="562"/>
      <c r="BJ113" s="570"/>
      <c r="BK113" s="562"/>
      <c r="BL113" s="681"/>
      <c r="BM113" s="665">
        <f t="shared" si="1"/>
        <v>0</v>
      </c>
      <c r="BN113" s="683"/>
      <c r="BO113" s="683"/>
      <c r="BP113" s="683"/>
      <c r="BQ113" s="687">
        <v>1.0</v>
      </c>
      <c r="BR113" s="687">
        <v>1.0</v>
      </c>
      <c r="BS113" s="687">
        <v>1.0</v>
      </c>
      <c r="BT113" s="683"/>
      <c r="BU113" s="683"/>
      <c r="BV113" s="683"/>
      <c r="BW113" s="724">
        <v>1.0</v>
      </c>
      <c r="BX113" s="665">
        <f t="shared" si="2"/>
        <v>4</v>
      </c>
      <c r="BY113" s="682">
        <v>0.0</v>
      </c>
      <c r="BZ113" s="683">
        <v>0.0</v>
      </c>
      <c r="CA113" s="683">
        <v>0.0</v>
      </c>
      <c r="CB113" s="683">
        <v>0.0</v>
      </c>
      <c r="CC113" s="683">
        <v>0.0</v>
      </c>
      <c r="CD113" s="683">
        <v>0.0</v>
      </c>
      <c r="CE113" s="683">
        <v>0.0</v>
      </c>
      <c r="CF113" s="683">
        <v>0.0</v>
      </c>
      <c r="CG113" s="683">
        <v>0.0</v>
      </c>
      <c r="CH113" s="686">
        <v>0.0</v>
      </c>
      <c r="CI113" s="665">
        <f t="shared" si="3"/>
        <v>0</v>
      </c>
      <c r="CJ113" s="682">
        <f t="shared" si="4"/>
        <v>4</v>
      </c>
      <c r="CK113" s="706">
        <v>998.02</v>
      </c>
      <c r="CL113" s="683">
        <f t="shared" si="251"/>
        <v>6946.2192</v>
      </c>
      <c r="CM113" s="683">
        <f t="shared" ref="CM113:CV113" si="342">BC113*$CL113</f>
        <v>0</v>
      </c>
      <c r="CN113" s="683">
        <f t="shared" si="342"/>
        <v>0</v>
      </c>
      <c r="CO113" s="683">
        <f t="shared" si="342"/>
        <v>0</v>
      </c>
      <c r="CP113" s="683">
        <f t="shared" si="342"/>
        <v>0</v>
      </c>
      <c r="CQ113" s="683">
        <f t="shared" si="342"/>
        <v>0</v>
      </c>
      <c r="CR113" s="683">
        <f t="shared" si="342"/>
        <v>0</v>
      </c>
      <c r="CS113" s="683">
        <f t="shared" si="342"/>
        <v>0</v>
      </c>
      <c r="CT113" s="683">
        <f t="shared" si="342"/>
        <v>0</v>
      </c>
      <c r="CU113" s="683">
        <f t="shared" si="342"/>
        <v>0</v>
      </c>
      <c r="CV113" s="683">
        <f t="shared" si="342"/>
        <v>0</v>
      </c>
      <c r="CW113" s="683">
        <f t="shared" si="21"/>
        <v>0</v>
      </c>
      <c r="CX113" s="683">
        <f t="shared" ref="CX113:DG113" si="343">BN113*$CL113</f>
        <v>0</v>
      </c>
      <c r="CY113" s="683">
        <f t="shared" si="343"/>
        <v>0</v>
      </c>
      <c r="CZ113" s="683">
        <f t="shared" si="343"/>
        <v>0</v>
      </c>
      <c r="DA113" s="683">
        <f t="shared" si="343"/>
        <v>6946.2192</v>
      </c>
      <c r="DB113" s="683">
        <f t="shared" si="343"/>
        <v>6946.2192</v>
      </c>
      <c r="DC113" s="683">
        <f t="shared" si="343"/>
        <v>6946.2192</v>
      </c>
      <c r="DD113" s="683">
        <f t="shared" si="343"/>
        <v>0</v>
      </c>
      <c r="DE113" s="683">
        <f t="shared" si="343"/>
        <v>0</v>
      </c>
      <c r="DF113" s="683">
        <f t="shared" si="343"/>
        <v>0</v>
      </c>
      <c r="DG113" s="683">
        <f t="shared" si="343"/>
        <v>6946.2192</v>
      </c>
      <c r="DH113" s="683">
        <f t="shared" si="23"/>
        <v>27784.8768</v>
      </c>
      <c r="DI113" s="683">
        <f t="shared" ref="DI113:DR113" si="344">BY113*$CL113</f>
        <v>0</v>
      </c>
      <c r="DJ113" s="683">
        <f t="shared" si="344"/>
        <v>0</v>
      </c>
      <c r="DK113" s="683">
        <f t="shared" si="344"/>
        <v>0</v>
      </c>
      <c r="DL113" s="683">
        <f t="shared" si="344"/>
        <v>0</v>
      </c>
      <c r="DM113" s="683">
        <f t="shared" si="344"/>
        <v>0</v>
      </c>
      <c r="DN113" s="683">
        <f t="shared" si="344"/>
        <v>0</v>
      </c>
      <c r="DO113" s="683">
        <f t="shared" si="344"/>
        <v>0</v>
      </c>
      <c r="DP113" s="683">
        <f t="shared" si="344"/>
        <v>0</v>
      </c>
      <c r="DQ113" s="683">
        <f t="shared" si="344"/>
        <v>0</v>
      </c>
      <c r="DR113" s="683">
        <f t="shared" si="344"/>
        <v>0</v>
      </c>
      <c r="DS113" s="683">
        <f t="shared" si="25"/>
        <v>0</v>
      </c>
      <c r="DT113" s="683">
        <f t="shared" si="175"/>
        <v>27784.8768</v>
      </c>
      <c r="DU113" s="504"/>
      <c r="DV113" s="486"/>
      <c r="DW113" s="688"/>
      <c r="DX113" s="688"/>
      <c r="DY113" s="688"/>
      <c r="DZ113" s="688"/>
      <c r="EA113" s="688"/>
      <c r="EB113" s="688"/>
      <c r="EC113" s="688"/>
      <c r="ED113" s="688"/>
      <c r="EE113" s="688"/>
      <c r="EF113" s="688"/>
      <c r="EG113" s="688"/>
      <c r="EH113" s="707" t="s">
        <v>3201</v>
      </c>
      <c r="EI113" s="708">
        <f>VLOOKUP(I113,CotizacionTDB,4,FALSE())</f>
        <v>998.02</v>
      </c>
      <c r="EJ113" s="708">
        <f>VLOOKUP(I113,CotizacionTDB,5,FALSE())</f>
        <v>848.32</v>
      </c>
      <c r="EK113" s="691"/>
    </row>
    <row r="114" ht="12.0" customHeight="1">
      <c r="A114" s="709" t="s">
        <v>3026</v>
      </c>
      <c r="B114" s="661"/>
      <c r="C114" s="567" t="s">
        <v>3027</v>
      </c>
      <c r="D114" s="568" t="s">
        <v>129</v>
      </c>
      <c r="E114" s="568" t="s">
        <v>2722</v>
      </c>
      <c r="F114" s="567" t="s">
        <v>1763</v>
      </c>
      <c r="G114" s="657" t="s">
        <v>2723</v>
      </c>
      <c r="H114" s="658"/>
      <c r="I114" s="659">
        <v>1.2046649E7</v>
      </c>
      <c r="J114" s="847" t="s">
        <v>3202</v>
      </c>
      <c r="K114" s="567" t="s">
        <v>25</v>
      </c>
      <c r="L114" s="567"/>
      <c r="M114" s="567"/>
      <c r="N114" s="567"/>
      <c r="O114" s="567">
        <v>2024.0</v>
      </c>
      <c r="P114" s="567"/>
      <c r="Q114" s="567"/>
      <c r="R114" s="567"/>
      <c r="S114" s="567"/>
      <c r="T114" s="567"/>
      <c r="U114" s="567"/>
      <c r="V114" s="567"/>
      <c r="W114" s="567">
        <v>3.0</v>
      </c>
      <c r="X114" s="567"/>
      <c r="Y114" s="567"/>
      <c r="Z114" s="567">
        <v>3.0</v>
      </c>
      <c r="AA114" s="567"/>
      <c r="AB114" s="567"/>
      <c r="AC114" s="567"/>
      <c r="AD114" s="567"/>
      <c r="AE114" s="567"/>
      <c r="AF114" s="567"/>
      <c r="AG114" s="567"/>
      <c r="AH114" s="567"/>
      <c r="AI114" s="567"/>
      <c r="AJ114" s="567"/>
      <c r="AK114" s="567"/>
      <c r="AL114" s="567"/>
      <c r="AM114" s="567"/>
      <c r="AN114" s="567"/>
      <c r="AO114" s="567"/>
      <c r="AP114" s="567"/>
      <c r="AQ114" s="567"/>
      <c r="AR114" s="567">
        <v>0.0</v>
      </c>
      <c r="AS114" s="567">
        <v>0.0</v>
      </c>
      <c r="AT114" s="567">
        <v>0.0</v>
      </c>
      <c r="AU114" s="567">
        <v>-2024.0</v>
      </c>
      <c r="AV114" s="567">
        <v>0.0</v>
      </c>
      <c r="AW114" s="567">
        <v>0.0</v>
      </c>
      <c r="AX114" s="567">
        <v>0.0</v>
      </c>
      <c r="AY114" s="567">
        <v>0.0</v>
      </c>
      <c r="AZ114" s="567">
        <v>0.0</v>
      </c>
      <c r="BA114" s="567">
        <v>0.0</v>
      </c>
      <c r="BB114" s="567"/>
      <c r="BC114" s="567"/>
      <c r="BD114" s="567"/>
      <c r="BE114" s="567"/>
      <c r="BF114" s="661">
        <v>0.0</v>
      </c>
      <c r="BG114" s="567"/>
      <c r="BH114" s="567"/>
      <c r="BI114" s="567"/>
      <c r="BJ114" s="567"/>
      <c r="BK114" s="567"/>
      <c r="BL114" s="725"/>
      <c r="BM114" s="665">
        <f t="shared" si="1"/>
        <v>0</v>
      </c>
      <c r="BN114" s="671"/>
      <c r="BO114" s="668"/>
      <c r="BP114" s="668"/>
      <c r="BQ114" s="668"/>
      <c r="BR114" s="668"/>
      <c r="BS114" s="668"/>
      <c r="BT114" s="668"/>
      <c r="BU114" s="668"/>
      <c r="BV114" s="668"/>
      <c r="BW114" s="670"/>
      <c r="BX114" s="665">
        <f t="shared" si="2"/>
        <v>0</v>
      </c>
      <c r="BY114" s="671">
        <v>0.0</v>
      </c>
      <c r="BZ114" s="668">
        <v>0.0</v>
      </c>
      <c r="CA114" s="668">
        <v>0.0</v>
      </c>
      <c r="CB114" s="668">
        <v>0.0</v>
      </c>
      <c r="CC114" s="668">
        <v>0.0</v>
      </c>
      <c r="CD114" s="668">
        <v>0.0</v>
      </c>
      <c r="CE114" s="668">
        <v>0.0</v>
      </c>
      <c r="CF114" s="668">
        <v>0.0</v>
      </c>
      <c r="CG114" s="668">
        <v>0.0</v>
      </c>
      <c r="CH114" s="670">
        <v>0.0</v>
      </c>
      <c r="CI114" s="665">
        <f t="shared" si="3"/>
        <v>0</v>
      </c>
      <c r="CJ114" s="671">
        <f t="shared" si="4"/>
        <v>0</v>
      </c>
      <c r="CK114" s="668"/>
      <c r="CL114" s="668">
        <v>26783.8978</v>
      </c>
      <c r="CM114" s="668">
        <f t="shared" ref="CM114:CV114" si="345">BC114*$CL114</f>
        <v>0</v>
      </c>
      <c r="CN114" s="668">
        <f t="shared" si="345"/>
        <v>0</v>
      </c>
      <c r="CO114" s="668">
        <f t="shared" si="345"/>
        <v>0</v>
      </c>
      <c r="CP114" s="668">
        <f t="shared" si="345"/>
        <v>0</v>
      </c>
      <c r="CQ114" s="668">
        <f t="shared" si="345"/>
        <v>0</v>
      </c>
      <c r="CR114" s="668">
        <f t="shared" si="345"/>
        <v>0</v>
      </c>
      <c r="CS114" s="668">
        <f t="shared" si="345"/>
        <v>0</v>
      </c>
      <c r="CT114" s="668">
        <f t="shared" si="345"/>
        <v>0</v>
      </c>
      <c r="CU114" s="668">
        <f t="shared" si="345"/>
        <v>0</v>
      </c>
      <c r="CV114" s="668">
        <f t="shared" si="345"/>
        <v>0</v>
      </c>
      <c r="CW114" s="668">
        <f t="shared" si="21"/>
        <v>0</v>
      </c>
      <c r="CX114" s="668">
        <f t="shared" ref="CX114:DG114" si="346">BN114*$CL114</f>
        <v>0</v>
      </c>
      <c r="CY114" s="668">
        <f t="shared" si="346"/>
        <v>0</v>
      </c>
      <c r="CZ114" s="668">
        <f t="shared" si="346"/>
        <v>0</v>
      </c>
      <c r="DA114" s="668">
        <f t="shared" si="346"/>
        <v>0</v>
      </c>
      <c r="DB114" s="668">
        <f t="shared" si="346"/>
        <v>0</v>
      </c>
      <c r="DC114" s="668">
        <f t="shared" si="346"/>
        <v>0</v>
      </c>
      <c r="DD114" s="668">
        <f t="shared" si="346"/>
        <v>0</v>
      </c>
      <c r="DE114" s="668">
        <f t="shared" si="346"/>
        <v>0</v>
      </c>
      <c r="DF114" s="668">
        <f t="shared" si="346"/>
        <v>0</v>
      </c>
      <c r="DG114" s="668">
        <f t="shared" si="346"/>
        <v>0</v>
      </c>
      <c r="DH114" s="668">
        <f t="shared" si="23"/>
        <v>0</v>
      </c>
      <c r="DI114" s="668">
        <f t="shared" ref="DI114:DR114" si="347">BY114*$CL114</f>
        <v>0</v>
      </c>
      <c r="DJ114" s="668">
        <f t="shared" si="347"/>
        <v>0</v>
      </c>
      <c r="DK114" s="668">
        <f t="shared" si="347"/>
        <v>0</v>
      </c>
      <c r="DL114" s="668">
        <f t="shared" si="347"/>
        <v>0</v>
      </c>
      <c r="DM114" s="668">
        <f t="shared" si="347"/>
        <v>0</v>
      </c>
      <c r="DN114" s="668">
        <f t="shared" si="347"/>
        <v>0</v>
      </c>
      <c r="DO114" s="668">
        <f t="shared" si="347"/>
        <v>0</v>
      </c>
      <c r="DP114" s="668">
        <f t="shared" si="347"/>
        <v>0</v>
      </c>
      <c r="DQ114" s="668">
        <f t="shared" si="347"/>
        <v>0</v>
      </c>
      <c r="DR114" s="668">
        <f t="shared" si="347"/>
        <v>0</v>
      </c>
      <c r="DS114" s="668">
        <f t="shared" si="25"/>
        <v>0</v>
      </c>
      <c r="DT114" s="668">
        <f t="shared" si="175"/>
        <v>0</v>
      </c>
      <c r="DU114" s="538"/>
      <c r="DV114" s="468"/>
      <c r="DW114" s="698"/>
      <c r="DX114" s="698"/>
      <c r="DY114" s="698"/>
      <c r="DZ114" s="698"/>
      <c r="EA114" s="698"/>
      <c r="EB114" s="698"/>
      <c r="EC114" s="698"/>
      <c r="ED114" s="698"/>
      <c r="EE114" s="698"/>
      <c r="EF114" s="698"/>
      <c r="EG114" s="698"/>
      <c r="EH114" s="677">
        <f>CK114*6.97</f>
        <v>0</v>
      </c>
      <c r="EI114" s="678">
        <v>1.0</v>
      </c>
      <c r="EJ114" s="699"/>
      <c r="EK114" s="699"/>
    </row>
    <row r="115" ht="12.0" customHeight="1">
      <c r="A115" s="700" t="s">
        <v>3026</v>
      </c>
      <c r="B115" s="701">
        <v>2.0</v>
      </c>
      <c r="C115" s="562" t="s">
        <v>3027</v>
      </c>
      <c r="D115" s="562" t="s">
        <v>129</v>
      </c>
      <c r="E115" s="562" t="s">
        <v>2722</v>
      </c>
      <c r="F115" s="701" t="s">
        <v>1763</v>
      </c>
      <c r="G115" s="702" t="s">
        <v>2723</v>
      </c>
      <c r="H115" s="717"/>
      <c r="I115" s="848" t="s">
        <v>2180</v>
      </c>
      <c r="J115" s="704" t="s">
        <v>3203</v>
      </c>
      <c r="K115" s="562" t="s">
        <v>25</v>
      </c>
      <c r="L115" s="562"/>
      <c r="M115" s="562"/>
      <c r="N115" s="562"/>
      <c r="O115" s="562"/>
      <c r="P115" s="562"/>
      <c r="Q115" s="562"/>
      <c r="R115" s="562"/>
      <c r="S115" s="562">
        <v>2024.0</v>
      </c>
      <c r="T115" s="562"/>
      <c r="U115" s="562"/>
      <c r="V115" s="562"/>
      <c r="W115" s="562"/>
      <c r="X115" s="562"/>
      <c r="Y115" s="562"/>
      <c r="Z115" s="562"/>
      <c r="AA115" s="562"/>
      <c r="AB115" s="562"/>
      <c r="AC115" s="562"/>
      <c r="AD115" s="562">
        <v>1.0</v>
      </c>
      <c r="AE115" s="562"/>
      <c r="AF115" s="562"/>
      <c r="AG115" s="562"/>
      <c r="AH115" s="562"/>
      <c r="AI115" s="562"/>
      <c r="AJ115" s="562"/>
      <c r="AK115" s="562"/>
      <c r="AL115" s="562"/>
      <c r="AM115" s="562"/>
      <c r="AN115" s="562"/>
      <c r="AO115" s="562"/>
      <c r="AP115" s="562"/>
      <c r="AQ115" s="562"/>
      <c r="AR115" s="562">
        <v>0.0</v>
      </c>
      <c r="AS115" s="562">
        <v>0.0</v>
      </c>
      <c r="AT115" s="562">
        <v>0.0</v>
      </c>
      <c r="AU115" s="562">
        <v>0.0</v>
      </c>
      <c r="AV115" s="562">
        <v>0.0</v>
      </c>
      <c r="AW115" s="562">
        <v>0.0</v>
      </c>
      <c r="AX115" s="562">
        <v>0.0</v>
      </c>
      <c r="AY115" s="562">
        <v>-2024.0</v>
      </c>
      <c r="AZ115" s="562">
        <v>0.0</v>
      </c>
      <c r="BA115" s="562">
        <v>0.0</v>
      </c>
      <c r="BB115" s="562"/>
      <c r="BC115" s="562"/>
      <c r="BD115" s="562"/>
      <c r="BE115" s="562"/>
      <c r="BF115" s="562"/>
      <c r="BG115" s="562"/>
      <c r="BH115" s="562"/>
      <c r="BI115" s="562"/>
      <c r="BJ115" s="804"/>
      <c r="BK115" s="562"/>
      <c r="BL115" s="681"/>
      <c r="BM115" s="665">
        <f t="shared" si="1"/>
        <v>0</v>
      </c>
      <c r="BN115" s="683"/>
      <c r="BO115" s="683"/>
      <c r="BP115" s="683"/>
      <c r="BQ115" s="683"/>
      <c r="BR115" s="683"/>
      <c r="BS115" s="683"/>
      <c r="BT115" s="683"/>
      <c r="BU115" s="806">
        <v>1.0</v>
      </c>
      <c r="BV115" s="683"/>
      <c r="BW115" s="686"/>
      <c r="BX115" s="665">
        <f t="shared" si="2"/>
        <v>1</v>
      </c>
      <c r="BY115" s="682">
        <v>0.0</v>
      </c>
      <c r="BZ115" s="683">
        <v>0.0</v>
      </c>
      <c r="CA115" s="683">
        <v>0.0</v>
      </c>
      <c r="CB115" s="683">
        <v>0.0</v>
      </c>
      <c r="CC115" s="683">
        <v>0.0</v>
      </c>
      <c r="CD115" s="683">
        <v>0.0</v>
      </c>
      <c r="CE115" s="683">
        <v>0.0</v>
      </c>
      <c r="CF115" s="683">
        <v>0.0</v>
      </c>
      <c r="CG115" s="683">
        <v>0.0</v>
      </c>
      <c r="CH115" s="686">
        <v>0.0</v>
      </c>
      <c r="CI115" s="665">
        <f t="shared" si="3"/>
        <v>0</v>
      </c>
      <c r="CJ115" s="682">
        <f t="shared" si="4"/>
        <v>1</v>
      </c>
      <c r="CK115" s="706">
        <v>2796.23</v>
      </c>
      <c r="CL115" s="683">
        <f t="shared" ref="CL115:CL131" si="351">CK115*$CL$1</f>
        <v>19461.7608</v>
      </c>
      <c r="CM115" s="683">
        <f t="shared" ref="CM115:CV115" si="348">BC115*$CL115</f>
        <v>0</v>
      </c>
      <c r="CN115" s="683">
        <f t="shared" si="348"/>
        <v>0</v>
      </c>
      <c r="CO115" s="683">
        <f t="shared" si="348"/>
        <v>0</v>
      </c>
      <c r="CP115" s="683">
        <f t="shared" si="348"/>
        <v>0</v>
      </c>
      <c r="CQ115" s="683">
        <f t="shared" si="348"/>
        <v>0</v>
      </c>
      <c r="CR115" s="683">
        <f t="shared" si="348"/>
        <v>0</v>
      </c>
      <c r="CS115" s="683">
        <f t="shared" si="348"/>
        <v>0</v>
      </c>
      <c r="CT115" s="683">
        <f t="shared" si="348"/>
        <v>0</v>
      </c>
      <c r="CU115" s="683">
        <f t="shared" si="348"/>
        <v>0</v>
      </c>
      <c r="CV115" s="683">
        <f t="shared" si="348"/>
        <v>0</v>
      </c>
      <c r="CW115" s="683">
        <f t="shared" si="21"/>
        <v>0</v>
      </c>
      <c r="CX115" s="683">
        <f t="shared" ref="CX115:DG115" si="349">BN115*$CL115</f>
        <v>0</v>
      </c>
      <c r="CY115" s="683">
        <f t="shared" si="349"/>
        <v>0</v>
      </c>
      <c r="CZ115" s="683">
        <f t="shared" si="349"/>
        <v>0</v>
      </c>
      <c r="DA115" s="683">
        <f t="shared" si="349"/>
        <v>0</v>
      </c>
      <c r="DB115" s="683">
        <f t="shared" si="349"/>
        <v>0</v>
      </c>
      <c r="DC115" s="683">
        <f t="shared" si="349"/>
        <v>0</v>
      </c>
      <c r="DD115" s="683">
        <f t="shared" si="349"/>
        <v>0</v>
      </c>
      <c r="DE115" s="683">
        <f t="shared" si="349"/>
        <v>19461.7608</v>
      </c>
      <c r="DF115" s="683">
        <f t="shared" si="349"/>
        <v>0</v>
      </c>
      <c r="DG115" s="683">
        <f t="shared" si="349"/>
        <v>0</v>
      </c>
      <c r="DH115" s="683">
        <f t="shared" si="23"/>
        <v>19461.7608</v>
      </c>
      <c r="DI115" s="683">
        <f t="shared" ref="DI115:DR115" si="350">BY115*$CL115</f>
        <v>0</v>
      </c>
      <c r="DJ115" s="683">
        <f t="shared" si="350"/>
        <v>0</v>
      </c>
      <c r="DK115" s="683">
        <f t="shared" si="350"/>
        <v>0</v>
      </c>
      <c r="DL115" s="683">
        <f t="shared" si="350"/>
        <v>0</v>
      </c>
      <c r="DM115" s="683">
        <f t="shared" si="350"/>
        <v>0</v>
      </c>
      <c r="DN115" s="683">
        <f t="shared" si="350"/>
        <v>0</v>
      </c>
      <c r="DO115" s="683">
        <f t="shared" si="350"/>
        <v>0</v>
      </c>
      <c r="DP115" s="683">
        <f t="shared" si="350"/>
        <v>0</v>
      </c>
      <c r="DQ115" s="683">
        <f t="shared" si="350"/>
        <v>0</v>
      </c>
      <c r="DR115" s="683">
        <f t="shared" si="350"/>
        <v>0</v>
      </c>
      <c r="DS115" s="683">
        <f t="shared" si="25"/>
        <v>0</v>
      </c>
      <c r="DT115" s="683">
        <f t="shared" si="175"/>
        <v>19461.7608</v>
      </c>
      <c r="DU115" s="801"/>
      <c r="DV115" s="801" t="s">
        <v>3204</v>
      </c>
      <c r="DW115" s="784"/>
      <c r="DX115" s="784"/>
      <c r="DY115" s="784"/>
      <c r="DZ115" s="784"/>
      <c r="EA115" s="784"/>
      <c r="EB115" s="784"/>
      <c r="EC115" s="784"/>
      <c r="ED115" s="784"/>
      <c r="EE115" s="784"/>
      <c r="EF115" s="784"/>
      <c r="EG115" s="784"/>
      <c r="EH115" s="707" t="s">
        <v>2181</v>
      </c>
      <c r="EI115" s="708">
        <f>VLOOKUP(I115,CotizacionTDB,4,FALSE())</f>
        <v>2796.23</v>
      </c>
      <c r="EJ115" s="708">
        <f>VLOOKUP(I115,CotizacionTDB,5,FALSE())</f>
        <v>2376.8</v>
      </c>
      <c r="EK115" s="691"/>
    </row>
    <row r="116" ht="12.0" customHeight="1">
      <c r="A116" s="709" t="s">
        <v>3026</v>
      </c>
      <c r="B116" s="661">
        <v>2.0</v>
      </c>
      <c r="C116" s="567" t="s">
        <v>3027</v>
      </c>
      <c r="D116" s="568" t="s">
        <v>129</v>
      </c>
      <c r="E116" s="568" t="s">
        <v>2722</v>
      </c>
      <c r="F116" s="567" t="s">
        <v>1763</v>
      </c>
      <c r="G116" s="657" t="s">
        <v>2723</v>
      </c>
      <c r="H116" s="569" t="s">
        <v>3205</v>
      </c>
      <c r="I116" s="710" t="s">
        <v>2237</v>
      </c>
      <c r="J116" s="711" t="s">
        <v>3206</v>
      </c>
      <c r="K116" s="567" t="s">
        <v>25</v>
      </c>
      <c r="L116" s="567"/>
      <c r="M116" s="567"/>
      <c r="N116" s="567"/>
      <c r="O116" s="567">
        <v>2024.0</v>
      </c>
      <c r="P116" s="567">
        <v>2024.0</v>
      </c>
      <c r="Q116" s="567">
        <v>2024.0</v>
      </c>
      <c r="R116" s="567"/>
      <c r="S116" s="567"/>
      <c r="T116" s="567"/>
      <c r="U116" s="567"/>
      <c r="V116" s="567"/>
      <c r="W116" s="567">
        <v>3.0</v>
      </c>
      <c r="X116" s="567"/>
      <c r="Y116" s="567"/>
      <c r="Z116" s="567">
        <v>2.0</v>
      </c>
      <c r="AA116" s="567">
        <v>2.0</v>
      </c>
      <c r="AB116" s="567">
        <v>2.0</v>
      </c>
      <c r="AC116" s="567"/>
      <c r="AD116" s="567"/>
      <c r="AE116" s="567"/>
      <c r="AF116" s="567"/>
      <c r="AG116" s="567"/>
      <c r="AH116" s="567"/>
      <c r="AI116" s="567"/>
      <c r="AJ116" s="567"/>
      <c r="AK116" s="567"/>
      <c r="AL116" s="567"/>
      <c r="AM116" s="567"/>
      <c r="AN116" s="567"/>
      <c r="AO116" s="567"/>
      <c r="AP116" s="567"/>
      <c r="AQ116" s="567"/>
      <c r="AR116" s="567">
        <v>0.0</v>
      </c>
      <c r="AS116" s="567">
        <v>0.0</v>
      </c>
      <c r="AT116" s="567">
        <v>0.0</v>
      </c>
      <c r="AU116" s="567">
        <v>-2024.0</v>
      </c>
      <c r="AV116" s="567">
        <v>-2024.0</v>
      </c>
      <c r="AW116" s="567">
        <v>-2024.0</v>
      </c>
      <c r="AX116" s="567">
        <v>0.0</v>
      </c>
      <c r="AY116" s="567">
        <v>0.0</v>
      </c>
      <c r="AZ116" s="567">
        <v>0.0</v>
      </c>
      <c r="BA116" s="567">
        <v>0.0</v>
      </c>
      <c r="BB116" s="567"/>
      <c r="BC116" s="567"/>
      <c r="BD116" s="567"/>
      <c r="BE116" s="567"/>
      <c r="BF116" s="567"/>
      <c r="BG116" s="567"/>
      <c r="BH116" s="567"/>
      <c r="BI116" s="567"/>
      <c r="BJ116" s="567"/>
      <c r="BK116" s="567"/>
      <c r="BL116" s="725"/>
      <c r="BM116" s="665">
        <f t="shared" si="1"/>
        <v>0</v>
      </c>
      <c r="BN116" s="674"/>
      <c r="BO116" s="668"/>
      <c r="BP116" s="674">
        <v>1.0</v>
      </c>
      <c r="BQ116" s="668">
        <v>2.0</v>
      </c>
      <c r="BR116" s="668">
        <v>1.0</v>
      </c>
      <c r="BS116" s="668">
        <v>1.0</v>
      </c>
      <c r="BT116" s="668"/>
      <c r="BU116" s="668"/>
      <c r="BV116" s="668"/>
      <c r="BW116" s="670"/>
      <c r="BX116" s="665">
        <f t="shared" si="2"/>
        <v>5</v>
      </c>
      <c r="BY116" s="736">
        <v>1.0</v>
      </c>
      <c r="BZ116" s="668">
        <v>0.0</v>
      </c>
      <c r="CA116" s="668">
        <v>0.0</v>
      </c>
      <c r="CB116" s="668">
        <v>2.0</v>
      </c>
      <c r="CC116" s="668">
        <v>1.0</v>
      </c>
      <c r="CD116" s="668">
        <v>1.0</v>
      </c>
      <c r="CE116" s="668">
        <v>0.0</v>
      </c>
      <c r="CF116" s="668">
        <v>0.0</v>
      </c>
      <c r="CG116" s="668">
        <v>0.0</v>
      </c>
      <c r="CH116" s="670">
        <v>0.0</v>
      </c>
      <c r="CI116" s="665">
        <f t="shared" si="3"/>
        <v>5</v>
      </c>
      <c r="CJ116" s="671">
        <f t="shared" si="4"/>
        <v>10</v>
      </c>
      <c r="CK116" s="715">
        <v>244.2</v>
      </c>
      <c r="CL116" s="668">
        <f t="shared" si="351"/>
        <v>1699.632</v>
      </c>
      <c r="CM116" s="668">
        <f t="shared" ref="CM116:CV116" si="352">BC116*$CL116</f>
        <v>0</v>
      </c>
      <c r="CN116" s="668">
        <f t="shared" si="352"/>
        <v>0</v>
      </c>
      <c r="CO116" s="668">
        <f t="shared" si="352"/>
        <v>0</v>
      </c>
      <c r="CP116" s="668">
        <f t="shared" si="352"/>
        <v>0</v>
      </c>
      <c r="CQ116" s="668">
        <f t="shared" si="352"/>
        <v>0</v>
      </c>
      <c r="CR116" s="668">
        <f t="shared" si="352"/>
        <v>0</v>
      </c>
      <c r="CS116" s="668">
        <f t="shared" si="352"/>
        <v>0</v>
      </c>
      <c r="CT116" s="668">
        <f t="shared" si="352"/>
        <v>0</v>
      </c>
      <c r="CU116" s="668">
        <f t="shared" si="352"/>
        <v>0</v>
      </c>
      <c r="CV116" s="668">
        <f t="shared" si="352"/>
        <v>0</v>
      </c>
      <c r="CW116" s="668">
        <f t="shared" si="21"/>
        <v>0</v>
      </c>
      <c r="CX116" s="668">
        <f t="shared" ref="CX116:DG116" si="353">BN116*$CL116</f>
        <v>0</v>
      </c>
      <c r="CY116" s="668">
        <f t="shared" si="353"/>
        <v>0</v>
      </c>
      <c r="CZ116" s="668">
        <f t="shared" si="353"/>
        <v>1699.632</v>
      </c>
      <c r="DA116" s="668">
        <f t="shared" si="353"/>
        <v>3399.264</v>
      </c>
      <c r="DB116" s="668">
        <f t="shared" si="353"/>
        <v>1699.632</v>
      </c>
      <c r="DC116" s="668">
        <f t="shared" si="353"/>
        <v>1699.632</v>
      </c>
      <c r="DD116" s="668">
        <f t="shared" si="353"/>
        <v>0</v>
      </c>
      <c r="DE116" s="668">
        <f t="shared" si="353"/>
        <v>0</v>
      </c>
      <c r="DF116" s="668">
        <f t="shared" si="353"/>
        <v>0</v>
      </c>
      <c r="DG116" s="668">
        <f t="shared" si="353"/>
        <v>0</v>
      </c>
      <c r="DH116" s="668">
        <f t="shared" si="23"/>
        <v>8498.16</v>
      </c>
      <c r="DI116" s="668">
        <f t="shared" ref="DI116:DR116" si="354">BY116*$CL116</f>
        <v>1699.632</v>
      </c>
      <c r="DJ116" s="668">
        <f t="shared" si="354"/>
        <v>0</v>
      </c>
      <c r="DK116" s="668">
        <f t="shared" si="354"/>
        <v>0</v>
      </c>
      <c r="DL116" s="668">
        <f t="shared" si="354"/>
        <v>3399.264</v>
      </c>
      <c r="DM116" s="668">
        <f t="shared" si="354"/>
        <v>1699.632</v>
      </c>
      <c r="DN116" s="668">
        <f t="shared" si="354"/>
        <v>1699.632</v>
      </c>
      <c r="DO116" s="668">
        <f t="shared" si="354"/>
        <v>0</v>
      </c>
      <c r="DP116" s="668">
        <f t="shared" si="354"/>
        <v>0</v>
      </c>
      <c r="DQ116" s="668">
        <f t="shared" si="354"/>
        <v>0</v>
      </c>
      <c r="DR116" s="668">
        <f t="shared" si="354"/>
        <v>0</v>
      </c>
      <c r="DS116" s="668">
        <f t="shared" si="25"/>
        <v>8498.16</v>
      </c>
      <c r="DT116" s="668">
        <f t="shared" si="175"/>
        <v>16996.32</v>
      </c>
      <c r="DU116" s="538"/>
      <c r="DV116" s="468"/>
      <c r="DW116" s="698"/>
      <c r="DX116" s="698"/>
      <c r="DY116" s="698"/>
      <c r="DZ116" s="698"/>
      <c r="EA116" s="698"/>
      <c r="EB116" s="698"/>
      <c r="EC116" s="698"/>
      <c r="ED116" s="698"/>
      <c r="EE116" s="698"/>
      <c r="EF116" s="698"/>
      <c r="EG116" s="698"/>
      <c r="EH116" s="576" t="s">
        <v>2238</v>
      </c>
      <c r="EI116" s="716">
        <f>VLOOKUP(I116,CotizacionTDB,4,FALSE())</f>
        <v>244.2</v>
      </c>
      <c r="EJ116" s="716">
        <f>VLOOKUP(I116,CotizacionTDB,5,FALSE())</f>
        <v>207.57</v>
      </c>
      <c r="EK116" s="699"/>
    </row>
    <row r="117" ht="12.0" customHeight="1">
      <c r="A117" s="700" t="s">
        <v>3026</v>
      </c>
      <c r="B117" s="701">
        <v>2.0</v>
      </c>
      <c r="C117" s="562" t="s">
        <v>3027</v>
      </c>
      <c r="D117" s="571" t="s">
        <v>129</v>
      </c>
      <c r="E117" s="571" t="s">
        <v>2722</v>
      </c>
      <c r="F117" s="562" t="s">
        <v>1763</v>
      </c>
      <c r="G117" s="702" t="s">
        <v>2723</v>
      </c>
      <c r="H117" s="737"/>
      <c r="I117" s="717" t="s">
        <v>2463</v>
      </c>
      <c r="J117" s="704" t="s">
        <v>939</v>
      </c>
      <c r="K117" s="562" t="s">
        <v>25</v>
      </c>
      <c r="L117" s="562"/>
      <c r="M117" s="562"/>
      <c r="N117" s="562"/>
      <c r="O117" s="562">
        <v>2024.0</v>
      </c>
      <c r="P117" s="562">
        <v>2024.0</v>
      </c>
      <c r="Q117" s="562"/>
      <c r="R117" s="562"/>
      <c r="S117" s="562"/>
      <c r="T117" s="562"/>
      <c r="U117" s="562"/>
      <c r="V117" s="562"/>
      <c r="W117" s="562">
        <v>3.0</v>
      </c>
      <c r="X117" s="562"/>
      <c r="Y117" s="562"/>
      <c r="Z117" s="562">
        <v>2.0</v>
      </c>
      <c r="AA117" s="562">
        <v>2.0</v>
      </c>
      <c r="AB117" s="562"/>
      <c r="AC117" s="562"/>
      <c r="AD117" s="562"/>
      <c r="AE117" s="562"/>
      <c r="AF117" s="562"/>
      <c r="AG117" s="562"/>
      <c r="AH117" s="562"/>
      <c r="AI117" s="562"/>
      <c r="AJ117" s="562"/>
      <c r="AK117" s="562"/>
      <c r="AL117" s="562"/>
      <c r="AM117" s="562"/>
      <c r="AN117" s="562"/>
      <c r="AO117" s="562"/>
      <c r="AP117" s="562"/>
      <c r="AQ117" s="562"/>
      <c r="AR117" s="562">
        <v>0.0</v>
      </c>
      <c r="AS117" s="562">
        <v>0.0</v>
      </c>
      <c r="AT117" s="562">
        <v>0.0</v>
      </c>
      <c r="AU117" s="562">
        <v>-2024.0</v>
      </c>
      <c r="AV117" s="562">
        <v>-2024.0</v>
      </c>
      <c r="AW117" s="562">
        <v>0.0</v>
      </c>
      <c r="AX117" s="562">
        <v>0.0</v>
      </c>
      <c r="AY117" s="562">
        <v>0.0</v>
      </c>
      <c r="AZ117" s="562">
        <v>0.0</v>
      </c>
      <c r="BA117" s="562">
        <v>0.0</v>
      </c>
      <c r="BB117" s="562"/>
      <c r="BC117" s="562"/>
      <c r="BD117" s="562"/>
      <c r="BE117" s="562"/>
      <c r="BF117" s="562"/>
      <c r="BG117" s="562"/>
      <c r="BH117" s="562"/>
      <c r="BI117" s="562"/>
      <c r="BJ117" s="562"/>
      <c r="BK117" s="562"/>
      <c r="BL117" s="562"/>
      <c r="BM117" s="665">
        <f t="shared" si="1"/>
        <v>0</v>
      </c>
      <c r="BN117" s="682"/>
      <c r="BO117" s="683"/>
      <c r="BP117" s="683"/>
      <c r="BQ117" s="683">
        <v>1.0</v>
      </c>
      <c r="BR117" s="683">
        <v>1.0</v>
      </c>
      <c r="BS117" s="683"/>
      <c r="BT117" s="683"/>
      <c r="BU117" s="683"/>
      <c r="BV117" s="683"/>
      <c r="BW117" s="686"/>
      <c r="BX117" s="665">
        <f t="shared" si="2"/>
        <v>2</v>
      </c>
      <c r="BY117" s="682">
        <v>0.0</v>
      </c>
      <c r="BZ117" s="683">
        <v>0.0</v>
      </c>
      <c r="CA117" s="683">
        <v>0.0</v>
      </c>
      <c r="CB117" s="683">
        <v>1.0</v>
      </c>
      <c r="CC117" s="683">
        <v>1.0</v>
      </c>
      <c r="CD117" s="683">
        <v>0.0</v>
      </c>
      <c r="CE117" s="683">
        <v>0.0</v>
      </c>
      <c r="CF117" s="683">
        <v>0.0</v>
      </c>
      <c r="CG117" s="683">
        <v>0.0</v>
      </c>
      <c r="CH117" s="686">
        <v>0.0</v>
      </c>
      <c r="CI117" s="665">
        <f t="shared" si="3"/>
        <v>2</v>
      </c>
      <c r="CJ117" s="682">
        <f t="shared" si="4"/>
        <v>4</v>
      </c>
      <c r="CK117" s="706">
        <v>473.94</v>
      </c>
      <c r="CL117" s="683">
        <f t="shared" si="351"/>
        <v>3298.6224</v>
      </c>
      <c r="CM117" s="683">
        <f t="shared" ref="CM117:CV117" si="355">BC117*$CL117</f>
        <v>0</v>
      </c>
      <c r="CN117" s="683">
        <f t="shared" si="355"/>
        <v>0</v>
      </c>
      <c r="CO117" s="683">
        <f t="shared" si="355"/>
        <v>0</v>
      </c>
      <c r="CP117" s="683">
        <f t="shared" si="355"/>
        <v>0</v>
      </c>
      <c r="CQ117" s="683">
        <f t="shared" si="355"/>
        <v>0</v>
      </c>
      <c r="CR117" s="683">
        <f t="shared" si="355"/>
        <v>0</v>
      </c>
      <c r="CS117" s="683">
        <f t="shared" si="355"/>
        <v>0</v>
      </c>
      <c r="CT117" s="683">
        <f t="shared" si="355"/>
        <v>0</v>
      </c>
      <c r="CU117" s="683">
        <f t="shared" si="355"/>
        <v>0</v>
      </c>
      <c r="CV117" s="683">
        <f t="shared" si="355"/>
        <v>0</v>
      </c>
      <c r="CW117" s="683">
        <f t="shared" si="21"/>
        <v>0</v>
      </c>
      <c r="CX117" s="683">
        <f t="shared" ref="CX117:DG117" si="356">BN117*$CL117</f>
        <v>0</v>
      </c>
      <c r="CY117" s="683">
        <f t="shared" si="356"/>
        <v>0</v>
      </c>
      <c r="CZ117" s="683">
        <f t="shared" si="356"/>
        <v>0</v>
      </c>
      <c r="DA117" s="683">
        <f t="shared" si="356"/>
        <v>3298.6224</v>
      </c>
      <c r="DB117" s="683">
        <f t="shared" si="356"/>
        <v>3298.6224</v>
      </c>
      <c r="DC117" s="683">
        <f t="shared" si="356"/>
        <v>0</v>
      </c>
      <c r="DD117" s="683">
        <f t="shared" si="356"/>
        <v>0</v>
      </c>
      <c r="DE117" s="683">
        <f t="shared" si="356"/>
        <v>0</v>
      </c>
      <c r="DF117" s="683">
        <f t="shared" si="356"/>
        <v>0</v>
      </c>
      <c r="DG117" s="683">
        <f t="shared" si="356"/>
        <v>0</v>
      </c>
      <c r="DH117" s="683">
        <f t="shared" si="23"/>
        <v>6597.2448</v>
      </c>
      <c r="DI117" s="683">
        <f t="shared" ref="DI117:DR117" si="357">BY117*$CL117</f>
        <v>0</v>
      </c>
      <c r="DJ117" s="683">
        <f t="shared" si="357"/>
        <v>0</v>
      </c>
      <c r="DK117" s="683">
        <f t="shared" si="357"/>
        <v>0</v>
      </c>
      <c r="DL117" s="683">
        <f t="shared" si="357"/>
        <v>3298.6224</v>
      </c>
      <c r="DM117" s="683">
        <f t="shared" si="357"/>
        <v>3298.6224</v>
      </c>
      <c r="DN117" s="683">
        <f t="shared" si="357"/>
        <v>0</v>
      </c>
      <c r="DO117" s="683">
        <f t="shared" si="357"/>
        <v>0</v>
      </c>
      <c r="DP117" s="683">
        <f t="shared" si="357"/>
        <v>0</v>
      </c>
      <c r="DQ117" s="683">
        <f t="shared" si="357"/>
        <v>0</v>
      </c>
      <c r="DR117" s="683">
        <f t="shared" si="357"/>
        <v>0</v>
      </c>
      <c r="DS117" s="683">
        <f t="shared" si="25"/>
        <v>6597.2448</v>
      </c>
      <c r="DT117" s="683">
        <f t="shared" si="175"/>
        <v>13194.4896</v>
      </c>
      <c r="DU117" s="504"/>
      <c r="DV117" s="486"/>
      <c r="DW117" s="688"/>
      <c r="DX117" s="688"/>
      <c r="DY117" s="688"/>
      <c r="DZ117" s="486"/>
      <c r="EA117" s="486"/>
      <c r="EB117" s="486"/>
      <c r="EC117" s="486"/>
      <c r="ED117" s="486"/>
      <c r="EE117" s="486"/>
      <c r="EF117" s="833"/>
      <c r="EG117" s="688"/>
      <c r="EH117" s="707" t="s">
        <v>3207</v>
      </c>
      <c r="EI117" s="708">
        <f>VLOOKUP(I117,CotizacionTDB,4,FALSE())</f>
        <v>473.94</v>
      </c>
      <c r="EJ117" s="708">
        <f>VLOOKUP(I117,CotizacionTDB,5,FALSE())</f>
        <v>402.85</v>
      </c>
      <c r="EK117" s="691"/>
    </row>
    <row r="118" ht="12.0" customHeight="1">
      <c r="A118" s="709" t="s">
        <v>3026</v>
      </c>
      <c r="B118" s="661">
        <v>2.0</v>
      </c>
      <c r="C118" s="567" t="s">
        <v>3027</v>
      </c>
      <c r="D118" s="568" t="s">
        <v>129</v>
      </c>
      <c r="E118" s="568" t="s">
        <v>2722</v>
      </c>
      <c r="F118" s="567" t="s">
        <v>1763</v>
      </c>
      <c r="G118" s="657" t="s">
        <v>2723</v>
      </c>
      <c r="H118" s="658"/>
      <c r="I118" s="710" t="s">
        <v>2429</v>
      </c>
      <c r="J118" s="832" t="s">
        <v>949</v>
      </c>
      <c r="K118" s="567" t="s">
        <v>25</v>
      </c>
      <c r="L118" s="567"/>
      <c r="M118" s="567"/>
      <c r="N118" s="567"/>
      <c r="O118" s="567">
        <v>2024.0</v>
      </c>
      <c r="P118" s="567">
        <v>2024.0</v>
      </c>
      <c r="Q118" s="567"/>
      <c r="R118" s="567"/>
      <c r="S118" s="567"/>
      <c r="T118" s="567"/>
      <c r="U118" s="567"/>
      <c r="V118" s="567"/>
      <c r="W118" s="567">
        <v>3.0</v>
      </c>
      <c r="X118" s="567"/>
      <c r="Y118" s="567"/>
      <c r="Z118" s="567">
        <v>2.0</v>
      </c>
      <c r="AA118" s="567">
        <v>2.0</v>
      </c>
      <c r="AB118" s="567"/>
      <c r="AC118" s="567"/>
      <c r="AD118" s="567"/>
      <c r="AE118" s="567"/>
      <c r="AF118" s="567"/>
      <c r="AG118" s="567"/>
      <c r="AH118" s="567"/>
      <c r="AI118" s="567"/>
      <c r="AJ118" s="567"/>
      <c r="AK118" s="567"/>
      <c r="AL118" s="567"/>
      <c r="AM118" s="567"/>
      <c r="AN118" s="567"/>
      <c r="AO118" s="567"/>
      <c r="AP118" s="567"/>
      <c r="AQ118" s="567"/>
      <c r="AR118" s="567">
        <v>0.0</v>
      </c>
      <c r="AS118" s="567">
        <v>0.0</v>
      </c>
      <c r="AT118" s="567">
        <v>0.0</v>
      </c>
      <c r="AU118" s="567">
        <v>-2024.0</v>
      </c>
      <c r="AV118" s="567">
        <v>-2024.0</v>
      </c>
      <c r="AW118" s="567">
        <v>0.0</v>
      </c>
      <c r="AX118" s="567">
        <v>0.0</v>
      </c>
      <c r="AY118" s="567">
        <v>0.0</v>
      </c>
      <c r="AZ118" s="567">
        <v>0.0</v>
      </c>
      <c r="BA118" s="567">
        <v>0.0</v>
      </c>
      <c r="BB118" s="567"/>
      <c r="BC118" s="567"/>
      <c r="BD118" s="567"/>
      <c r="BE118" s="567"/>
      <c r="BF118" s="567"/>
      <c r="BG118" s="567"/>
      <c r="BH118" s="567"/>
      <c r="BI118" s="567"/>
      <c r="BJ118" s="567"/>
      <c r="BK118" s="567"/>
      <c r="BL118" s="725"/>
      <c r="BM118" s="665">
        <f t="shared" si="1"/>
        <v>0</v>
      </c>
      <c r="BN118" s="671"/>
      <c r="BO118" s="668"/>
      <c r="BP118" s="668"/>
      <c r="BQ118" s="668">
        <v>1.0</v>
      </c>
      <c r="BR118" s="668">
        <v>1.0</v>
      </c>
      <c r="BS118" s="668"/>
      <c r="BT118" s="668"/>
      <c r="BU118" s="668"/>
      <c r="BV118" s="668"/>
      <c r="BW118" s="670"/>
      <c r="BX118" s="665">
        <f t="shared" si="2"/>
        <v>2</v>
      </c>
      <c r="BY118" s="671">
        <v>0.0</v>
      </c>
      <c r="BZ118" s="668">
        <v>0.0</v>
      </c>
      <c r="CA118" s="668">
        <v>0.0</v>
      </c>
      <c r="CB118" s="668">
        <v>1.0</v>
      </c>
      <c r="CC118" s="668">
        <v>1.0</v>
      </c>
      <c r="CD118" s="668">
        <v>0.0</v>
      </c>
      <c r="CE118" s="668">
        <v>0.0</v>
      </c>
      <c r="CF118" s="668">
        <v>0.0</v>
      </c>
      <c r="CG118" s="668">
        <v>0.0</v>
      </c>
      <c r="CH118" s="670">
        <v>0.0</v>
      </c>
      <c r="CI118" s="665">
        <f t="shared" si="3"/>
        <v>2</v>
      </c>
      <c r="CJ118" s="671">
        <f t="shared" si="4"/>
        <v>4</v>
      </c>
      <c r="CK118" s="715">
        <v>447.44</v>
      </c>
      <c r="CL118" s="668">
        <f t="shared" si="351"/>
        <v>3114.1824</v>
      </c>
      <c r="CM118" s="668">
        <f t="shared" ref="CM118:CV118" si="358">BC118*$CL118</f>
        <v>0</v>
      </c>
      <c r="CN118" s="668">
        <f t="shared" si="358"/>
        <v>0</v>
      </c>
      <c r="CO118" s="668">
        <f t="shared" si="358"/>
        <v>0</v>
      </c>
      <c r="CP118" s="668">
        <f t="shared" si="358"/>
        <v>0</v>
      </c>
      <c r="CQ118" s="668">
        <f t="shared" si="358"/>
        <v>0</v>
      </c>
      <c r="CR118" s="668">
        <f t="shared" si="358"/>
        <v>0</v>
      </c>
      <c r="CS118" s="668">
        <f t="shared" si="358"/>
        <v>0</v>
      </c>
      <c r="CT118" s="668">
        <f t="shared" si="358"/>
        <v>0</v>
      </c>
      <c r="CU118" s="668">
        <f t="shared" si="358"/>
        <v>0</v>
      </c>
      <c r="CV118" s="668">
        <f t="shared" si="358"/>
        <v>0</v>
      </c>
      <c r="CW118" s="668">
        <f t="shared" si="21"/>
        <v>0</v>
      </c>
      <c r="CX118" s="668">
        <f t="shared" ref="CX118:DG118" si="359">BN118*$CL118</f>
        <v>0</v>
      </c>
      <c r="CY118" s="668">
        <f t="shared" si="359"/>
        <v>0</v>
      </c>
      <c r="CZ118" s="668">
        <f t="shared" si="359"/>
        <v>0</v>
      </c>
      <c r="DA118" s="668">
        <f t="shared" si="359"/>
        <v>3114.1824</v>
      </c>
      <c r="DB118" s="668">
        <f t="shared" si="359"/>
        <v>3114.1824</v>
      </c>
      <c r="DC118" s="668">
        <f t="shared" si="359"/>
        <v>0</v>
      </c>
      <c r="DD118" s="668">
        <f t="shared" si="359"/>
        <v>0</v>
      </c>
      <c r="DE118" s="668">
        <f t="shared" si="359"/>
        <v>0</v>
      </c>
      <c r="DF118" s="668">
        <f t="shared" si="359"/>
        <v>0</v>
      </c>
      <c r="DG118" s="668">
        <f t="shared" si="359"/>
        <v>0</v>
      </c>
      <c r="DH118" s="668">
        <f t="shared" si="23"/>
        <v>6228.3648</v>
      </c>
      <c r="DI118" s="668">
        <f t="shared" ref="DI118:DR118" si="360">BY118*$CL118</f>
        <v>0</v>
      </c>
      <c r="DJ118" s="668">
        <f t="shared" si="360"/>
        <v>0</v>
      </c>
      <c r="DK118" s="668">
        <f t="shared" si="360"/>
        <v>0</v>
      </c>
      <c r="DL118" s="668">
        <f t="shared" si="360"/>
        <v>3114.1824</v>
      </c>
      <c r="DM118" s="668">
        <f t="shared" si="360"/>
        <v>3114.1824</v>
      </c>
      <c r="DN118" s="668">
        <f t="shared" si="360"/>
        <v>0</v>
      </c>
      <c r="DO118" s="668">
        <f t="shared" si="360"/>
        <v>0</v>
      </c>
      <c r="DP118" s="668">
        <f t="shared" si="360"/>
        <v>0</v>
      </c>
      <c r="DQ118" s="668">
        <f t="shared" si="360"/>
        <v>0</v>
      </c>
      <c r="DR118" s="668">
        <f t="shared" si="360"/>
        <v>0</v>
      </c>
      <c r="DS118" s="668">
        <f t="shared" si="25"/>
        <v>6228.3648</v>
      </c>
      <c r="DT118" s="668">
        <f t="shared" si="175"/>
        <v>12456.7296</v>
      </c>
      <c r="DU118" s="538"/>
      <c r="DV118" s="468"/>
      <c r="DW118" s="698"/>
      <c r="DX118" s="698"/>
      <c r="DY118" s="698"/>
      <c r="DZ118" s="698"/>
      <c r="EA118" s="698"/>
      <c r="EB118" s="698"/>
      <c r="EC118" s="698"/>
      <c r="ED118" s="698"/>
      <c r="EE118" s="698"/>
      <c r="EF118" s="698"/>
      <c r="EG118" s="698"/>
      <c r="EH118" s="576" t="s">
        <v>3208</v>
      </c>
      <c r="EI118" s="716">
        <f>VLOOKUP(I118,CotizacionTDB,4,FALSE())</f>
        <v>447.44</v>
      </c>
      <c r="EJ118" s="716">
        <f>VLOOKUP(I118,CotizacionTDB,5,FALSE())</f>
        <v>380.32</v>
      </c>
      <c r="EK118" s="699"/>
    </row>
    <row r="119" ht="12.0" customHeight="1">
      <c r="A119" s="700" t="s">
        <v>3026</v>
      </c>
      <c r="B119" s="701">
        <v>2.0</v>
      </c>
      <c r="C119" s="562" t="s">
        <v>3027</v>
      </c>
      <c r="D119" s="571" t="s">
        <v>129</v>
      </c>
      <c r="E119" s="571" t="s">
        <v>2722</v>
      </c>
      <c r="F119" s="562" t="s">
        <v>1763</v>
      </c>
      <c r="G119" s="702" t="s">
        <v>2723</v>
      </c>
      <c r="H119" s="569" t="s">
        <v>3209</v>
      </c>
      <c r="I119" s="717" t="s">
        <v>2304</v>
      </c>
      <c r="J119" s="704" t="s">
        <v>3210</v>
      </c>
      <c r="K119" s="562" t="s">
        <v>25</v>
      </c>
      <c r="L119" s="562"/>
      <c r="M119" s="562"/>
      <c r="N119" s="562"/>
      <c r="O119" s="562">
        <v>2024.0</v>
      </c>
      <c r="P119" s="562">
        <v>2024.0</v>
      </c>
      <c r="Q119" s="562">
        <v>2024.0</v>
      </c>
      <c r="R119" s="562"/>
      <c r="S119" s="562"/>
      <c r="T119" s="562"/>
      <c r="U119" s="562"/>
      <c r="V119" s="562"/>
      <c r="W119" s="562">
        <v>3.0</v>
      </c>
      <c r="X119" s="562"/>
      <c r="Y119" s="562"/>
      <c r="Z119" s="562">
        <v>2.0</v>
      </c>
      <c r="AA119" s="562">
        <v>2.0</v>
      </c>
      <c r="AB119" s="562">
        <v>2.0</v>
      </c>
      <c r="AC119" s="562"/>
      <c r="AD119" s="562"/>
      <c r="AE119" s="562"/>
      <c r="AF119" s="562"/>
      <c r="AG119" s="562"/>
      <c r="AH119" s="562"/>
      <c r="AI119" s="562"/>
      <c r="AJ119" s="562"/>
      <c r="AK119" s="562"/>
      <c r="AL119" s="562"/>
      <c r="AM119" s="562"/>
      <c r="AN119" s="562"/>
      <c r="AO119" s="562"/>
      <c r="AP119" s="562"/>
      <c r="AQ119" s="562"/>
      <c r="AR119" s="562">
        <v>0.0</v>
      </c>
      <c r="AS119" s="562">
        <v>0.0</v>
      </c>
      <c r="AT119" s="562">
        <v>0.0</v>
      </c>
      <c r="AU119" s="562">
        <v>-2024.0</v>
      </c>
      <c r="AV119" s="562">
        <v>-2024.0</v>
      </c>
      <c r="AW119" s="562">
        <v>-2024.0</v>
      </c>
      <c r="AX119" s="562">
        <v>0.0</v>
      </c>
      <c r="AY119" s="562">
        <v>0.0</v>
      </c>
      <c r="AZ119" s="562">
        <v>0.0</v>
      </c>
      <c r="BA119" s="562">
        <v>0.0</v>
      </c>
      <c r="BB119" s="562"/>
      <c r="BC119" s="562"/>
      <c r="BD119" s="562"/>
      <c r="BE119" s="562"/>
      <c r="BF119" s="562"/>
      <c r="BG119" s="562"/>
      <c r="BH119" s="562"/>
      <c r="BI119" s="562"/>
      <c r="BJ119" s="562"/>
      <c r="BK119" s="562"/>
      <c r="BL119" s="681"/>
      <c r="BM119" s="665">
        <f t="shared" si="1"/>
        <v>0</v>
      </c>
      <c r="BN119" s="683"/>
      <c r="BO119" s="683"/>
      <c r="BP119" s="683"/>
      <c r="BQ119" s="683">
        <v>1.0</v>
      </c>
      <c r="BR119" s="683">
        <v>1.0</v>
      </c>
      <c r="BS119" s="683">
        <v>1.0</v>
      </c>
      <c r="BT119" s="683"/>
      <c r="BU119" s="683"/>
      <c r="BV119" s="683"/>
      <c r="BW119" s="724">
        <v>1.0</v>
      </c>
      <c r="BX119" s="665">
        <f t="shared" si="2"/>
        <v>4</v>
      </c>
      <c r="BY119" s="682">
        <v>0.0</v>
      </c>
      <c r="BZ119" s="683">
        <v>0.0</v>
      </c>
      <c r="CA119" s="683">
        <v>0.0</v>
      </c>
      <c r="CB119" s="683">
        <v>1.0</v>
      </c>
      <c r="CC119" s="683">
        <v>1.0</v>
      </c>
      <c r="CD119" s="683">
        <v>1.0</v>
      </c>
      <c r="CE119" s="683">
        <v>0.0</v>
      </c>
      <c r="CF119" s="683">
        <v>0.0</v>
      </c>
      <c r="CG119" s="683">
        <v>0.0</v>
      </c>
      <c r="CH119" s="686">
        <v>0.0</v>
      </c>
      <c r="CI119" s="665">
        <f t="shared" si="3"/>
        <v>3</v>
      </c>
      <c r="CJ119" s="682">
        <f t="shared" si="4"/>
        <v>7</v>
      </c>
      <c r="CK119" s="706">
        <v>268.12</v>
      </c>
      <c r="CL119" s="683">
        <f t="shared" si="351"/>
        <v>1866.1152</v>
      </c>
      <c r="CM119" s="683">
        <f t="shared" ref="CM119:CV119" si="361">BC119*$CL119</f>
        <v>0</v>
      </c>
      <c r="CN119" s="683">
        <f t="shared" si="361"/>
        <v>0</v>
      </c>
      <c r="CO119" s="683">
        <f t="shared" si="361"/>
        <v>0</v>
      </c>
      <c r="CP119" s="683">
        <f t="shared" si="361"/>
        <v>0</v>
      </c>
      <c r="CQ119" s="683">
        <f t="shared" si="361"/>
        <v>0</v>
      </c>
      <c r="CR119" s="683">
        <f t="shared" si="361"/>
        <v>0</v>
      </c>
      <c r="CS119" s="683">
        <f t="shared" si="361"/>
        <v>0</v>
      </c>
      <c r="CT119" s="683">
        <f t="shared" si="361"/>
        <v>0</v>
      </c>
      <c r="CU119" s="683">
        <f t="shared" si="361"/>
        <v>0</v>
      </c>
      <c r="CV119" s="683">
        <f t="shared" si="361"/>
        <v>0</v>
      </c>
      <c r="CW119" s="683">
        <f t="shared" si="21"/>
        <v>0</v>
      </c>
      <c r="CX119" s="683">
        <f t="shared" ref="CX119:DG119" si="362">BN119*$CL119</f>
        <v>0</v>
      </c>
      <c r="CY119" s="683">
        <f t="shared" si="362"/>
        <v>0</v>
      </c>
      <c r="CZ119" s="683">
        <f t="shared" si="362"/>
        <v>0</v>
      </c>
      <c r="DA119" s="683">
        <f t="shared" si="362"/>
        <v>1866.1152</v>
      </c>
      <c r="DB119" s="683">
        <f t="shared" si="362"/>
        <v>1866.1152</v>
      </c>
      <c r="DC119" s="683">
        <f t="shared" si="362"/>
        <v>1866.1152</v>
      </c>
      <c r="DD119" s="683">
        <f t="shared" si="362"/>
        <v>0</v>
      </c>
      <c r="DE119" s="683">
        <f t="shared" si="362"/>
        <v>0</v>
      </c>
      <c r="DF119" s="683">
        <f t="shared" si="362"/>
        <v>0</v>
      </c>
      <c r="DG119" s="683">
        <f t="shared" si="362"/>
        <v>1866.1152</v>
      </c>
      <c r="DH119" s="683">
        <f t="shared" si="23"/>
        <v>7464.4608</v>
      </c>
      <c r="DI119" s="683">
        <f t="shared" ref="DI119:DR119" si="363">BY119*$CL119</f>
        <v>0</v>
      </c>
      <c r="DJ119" s="683">
        <f t="shared" si="363"/>
        <v>0</v>
      </c>
      <c r="DK119" s="683">
        <f t="shared" si="363"/>
        <v>0</v>
      </c>
      <c r="DL119" s="683">
        <f t="shared" si="363"/>
        <v>1866.1152</v>
      </c>
      <c r="DM119" s="683">
        <f t="shared" si="363"/>
        <v>1866.1152</v>
      </c>
      <c r="DN119" s="683">
        <f t="shared" si="363"/>
        <v>1866.1152</v>
      </c>
      <c r="DO119" s="683">
        <f t="shared" si="363"/>
        <v>0</v>
      </c>
      <c r="DP119" s="683">
        <f t="shared" si="363"/>
        <v>0</v>
      </c>
      <c r="DQ119" s="683">
        <f t="shared" si="363"/>
        <v>0</v>
      </c>
      <c r="DR119" s="683">
        <f t="shared" si="363"/>
        <v>0</v>
      </c>
      <c r="DS119" s="683">
        <f t="shared" si="25"/>
        <v>5598.3456</v>
      </c>
      <c r="DT119" s="683">
        <f t="shared" si="175"/>
        <v>13062.8064</v>
      </c>
      <c r="DU119" s="504"/>
      <c r="DV119" s="486"/>
      <c r="DW119" s="688"/>
      <c r="DX119" s="688"/>
      <c r="DY119" s="688"/>
      <c r="DZ119" s="688"/>
      <c r="EA119" s="688"/>
      <c r="EB119" s="688"/>
      <c r="EC119" s="688"/>
      <c r="ED119" s="688"/>
      <c r="EE119" s="688"/>
      <c r="EF119" s="688"/>
      <c r="EG119" s="688"/>
      <c r="EH119" s="707" t="s">
        <v>3211</v>
      </c>
      <c r="EI119" s="708">
        <f>VLOOKUP(I119,CotizacionTDB,4,FALSE())</f>
        <v>268.12</v>
      </c>
      <c r="EJ119" s="708">
        <f>VLOOKUP(I119,CotizacionTDB,5,FALSE())</f>
        <v>227.9</v>
      </c>
      <c r="EK119" s="691"/>
    </row>
    <row r="120" ht="12.0" customHeight="1">
      <c r="A120" s="709" t="s">
        <v>3026</v>
      </c>
      <c r="B120" s="661">
        <v>2.0</v>
      </c>
      <c r="C120" s="567" t="s">
        <v>3027</v>
      </c>
      <c r="D120" s="568" t="s">
        <v>129</v>
      </c>
      <c r="E120" s="568" t="s">
        <v>2722</v>
      </c>
      <c r="F120" s="567" t="s">
        <v>1763</v>
      </c>
      <c r="G120" s="657" t="s">
        <v>2723</v>
      </c>
      <c r="H120" s="569" t="s">
        <v>3212</v>
      </c>
      <c r="I120" s="710" t="s">
        <v>2251</v>
      </c>
      <c r="J120" s="711" t="s">
        <v>1128</v>
      </c>
      <c r="K120" s="567" t="s">
        <v>25</v>
      </c>
      <c r="L120" s="567"/>
      <c r="M120" s="567"/>
      <c r="N120" s="567"/>
      <c r="O120" s="567">
        <v>2024.0</v>
      </c>
      <c r="P120" s="567">
        <v>2024.0</v>
      </c>
      <c r="Q120" s="567"/>
      <c r="R120" s="567"/>
      <c r="S120" s="567"/>
      <c r="T120" s="567"/>
      <c r="U120" s="567"/>
      <c r="V120" s="567"/>
      <c r="W120" s="567">
        <v>3.0</v>
      </c>
      <c r="X120" s="567"/>
      <c r="Y120" s="567"/>
      <c r="Z120" s="567">
        <v>3.0</v>
      </c>
      <c r="AA120" s="567">
        <v>3.0</v>
      </c>
      <c r="AB120" s="567"/>
      <c r="AC120" s="567"/>
      <c r="AD120" s="567"/>
      <c r="AE120" s="567"/>
      <c r="AF120" s="567"/>
      <c r="AG120" s="567"/>
      <c r="AH120" s="567"/>
      <c r="AI120" s="567"/>
      <c r="AJ120" s="567"/>
      <c r="AK120" s="567"/>
      <c r="AL120" s="567"/>
      <c r="AM120" s="567"/>
      <c r="AN120" s="567"/>
      <c r="AO120" s="567"/>
      <c r="AP120" s="567"/>
      <c r="AQ120" s="567"/>
      <c r="AR120" s="567">
        <v>0.0</v>
      </c>
      <c r="AS120" s="567">
        <v>0.0</v>
      </c>
      <c r="AT120" s="567">
        <v>0.0</v>
      </c>
      <c r="AU120" s="567">
        <v>-2024.0</v>
      </c>
      <c r="AV120" s="567">
        <v>-2024.0</v>
      </c>
      <c r="AW120" s="567">
        <v>0.0</v>
      </c>
      <c r="AX120" s="567">
        <v>0.0</v>
      </c>
      <c r="AY120" s="567">
        <v>0.0</v>
      </c>
      <c r="AZ120" s="567">
        <v>0.0</v>
      </c>
      <c r="BA120" s="567">
        <v>0.0</v>
      </c>
      <c r="BB120" s="567"/>
      <c r="BC120" s="567"/>
      <c r="BD120" s="567"/>
      <c r="BE120" s="567"/>
      <c r="BF120" s="567"/>
      <c r="BG120" s="567"/>
      <c r="BH120" s="567"/>
      <c r="BI120" s="567"/>
      <c r="BJ120" s="567"/>
      <c r="BK120" s="567"/>
      <c r="BL120" s="725"/>
      <c r="BM120" s="665">
        <f t="shared" si="1"/>
        <v>0</v>
      </c>
      <c r="BN120" s="671"/>
      <c r="BO120" s="668"/>
      <c r="BP120" s="668"/>
      <c r="BQ120" s="668">
        <v>1.0</v>
      </c>
      <c r="BR120" s="668">
        <v>1.0</v>
      </c>
      <c r="BS120" s="668"/>
      <c r="BT120" s="668"/>
      <c r="BU120" s="668"/>
      <c r="BV120" s="668"/>
      <c r="BW120" s="670"/>
      <c r="BX120" s="665">
        <f t="shared" si="2"/>
        <v>2</v>
      </c>
      <c r="BY120" s="671">
        <v>0.0</v>
      </c>
      <c r="BZ120" s="668">
        <v>0.0</v>
      </c>
      <c r="CA120" s="668">
        <v>0.0</v>
      </c>
      <c r="CB120" s="668">
        <v>0.0</v>
      </c>
      <c r="CC120" s="668">
        <v>0.0</v>
      </c>
      <c r="CD120" s="668">
        <v>0.0</v>
      </c>
      <c r="CE120" s="668">
        <v>0.0</v>
      </c>
      <c r="CF120" s="668">
        <v>0.0</v>
      </c>
      <c r="CG120" s="668">
        <v>0.0</v>
      </c>
      <c r="CH120" s="670">
        <v>0.0</v>
      </c>
      <c r="CI120" s="665">
        <f t="shared" si="3"/>
        <v>0</v>
      </c>
      <c r="CJ120" s="671">
        <f t="shared" si="4"/>
        <v>2</v>
      </c>
      <c r="CK120" s="715">
        <v>448.71</v>
      </c>
      <c r="CL120" s="668">
        <f t="shared" si="351"/>
        <v>3123.0216</v>
      </c>
      <c r="CM120" s="668">
        <f t="shared" ref="CM120:CV120" si="364">BC120*$CL120</f>
        <v>0</v>
      </c>
      <c r="CN120" s="668">
        <f t="shared" si="364"/>
        <v>0</v>
      </c>
      <c r="CO120" s="668">
        <f t="shared" si="364"/>
        <v>0</v>
      </c>
      <c r="CP120" s="668">
        <f t="shared" si="364"/>
        <v>0</v>
      </c>
      <c r="CQ120" s="668">
        <f t="shared" si="364"/>
        <v>0</v>
      </c>
      <c r="CR120" s="668">
        <f t="shared" si="364"/>
        <v>0</v>
      </c>
      <c r="CS120" s="668">
        <f t="shared" si="364"/>
        <v>0</v>
      </c>
      <c r="CT120" s="668">
        <f t="shared" si="364"/>
        <v>0</v>
      </c>
      <c r="CU120" s="668">
        <f t="shared" si="364"/>
        <v>0</v>
      </c>
      <c r="CV120" s="668">
        <f t="shared" si="364"/>
        <v>0</v>
      </c>
      <c r="CW120" s="668">
        <f t="shared" si="21"/>
        <v>0</v>
      </c>
      <c r="CX120" s="668">
        <f t="shared" ref="CX120:DG120" si="365">BN120*$CL120</f>
        <v>0</v>
      </c>
      <c r="CY120" s="668">
        <f t="shared" si="365"/>
        <v>0</v>
      </c>
      <c r="CZ120" s="668">
        <f t="shared" si="365"/>
        <v>0</v>
      </c>
      <c r="DA120" s="668">
        <f t="shared" si="365"/>
        <v>3123.0216</v>
      </c>
      <c r="DB120" s="668">
        <f t="shared" si="365"/>
        <v>3123.0216</v>
      </c>
      <c r="DC120" s="668">
        <f t="shared" si="365"/>
        <v>0</v>
      </c>
      <c r="DD120" s="668">
        <f t="shared" si="365"/>
        <v>0</v>
      </c>
      <c r="DE120" s="668">
        <f t="shared" si="365"/>
        <v>0</v>
      </c>
      <c r="DF120" s="668">
        <f t="shared" si="365"/>
        <v>0</v>
      </c>
      <c r="DG120" s="668">
        <f t="shared" si="365"/>
        <v>0</v>
      </c>
      <c r="DH120" s="668">
        <f t="shared" si="23"/>
        <v>6246.0432</v>
      </c>
      <c r="DI120" s="668">
        <f t="shared" ref="DI120:DR120" si="366">BY120*$CL120</f>
        <v>0</v>
      </c>
      <c r="DJ120" s="668">
        <f t="shared" si="366"/>
        <v>0</v>
      </c>
      <c r="DK120" s="668">
        <f t="shared" si="366"/>
        <v>0</v>
      </c>
      <c r="DL120" s="668">
        <f t="shared" si="366"/>
        <v>0</v>
      </c>
      <c r="DM120" s="668">
        <f t="shared" si="366"/>
        <v>0</v>
      </c>
      <c r="DN120" s="668">
        <f t="shared" si="366"/>
        <v>0</v>
      </c>
      <c r="DO120" s="668">
        <f t="shared" si="366"/>
        <v>0</v>
      </c>
      <c r="DP120" s="668">
        <f t="shared" si="366"/>
        <v>0</v>
      </c>
      <c r="DQ120" s="668">
        <f t="shared" si="366"/>
        <v>0</v>
      </c>
      <c r="DR120" s="668">
        <f t="shared" si="366"/>
        <v>0</v>
      </c>
      <c r="DS120" s="668">
        <f t="shared" si="25"/>
        <v>0</v>
      </c>
      <c r="DT120" s="668">
        <f t="shared" si="175"/>
        <v>6246.0432</v>
      </c>
      <c r="DU120" s="538"/>
      <c r="DV120" s="468"/>
      <c r="DW120" s="698"/>
      <c r="DX120" s="698"/>
      <c r="DY120" s="698"/>
      <c r="DZ120" s="698"/>
      <c r="EA120" s="698"/>
      <c r="EB120" s="698"/>
      <c r="EC120" s="698"/>
      <c r="ED120" s="698"/>
      <c r="EE120" s="698"/>
      <c r="EF120" s="698"/>
      <c r="EG120" s="698"/>
      <c r="EH120" s="576" t="s">
        <v>3213</v>
      </c>
      <c r="EI120" s="716">
        <f>VLOOKUP(I120,CotizacionTDB,4,FALSE())</f>
        <v>448.71</v>
      </c>
      <c r="EJ120" s="716">
        <f>VLOOKUP(I120,CotizacionTDB,5,FALSE())</f>
        <v>381.4</v>
      </c>
      <c r="EK120" s="699"/>
    </row>
    <row r="121" ht="12.0" customHeight="1">
      <c r="A121" s="700" t="s">
        <v>3026</v>
      </c>
      <c r="B121" s="701">
        <v>2.0</v>
      </c>
      <c r="C121" s="562" t="s">
        <v>3027</v>
      </c>
      <c r="D121" s="571" t="s">
        <v>129</v>
      </c>
      <c r="E121" s="571" t="s">
        <v>2722</v>
      </c>
      <c r="F121" s="562" t="s">
        <v>1763</v>
      </c>
      <c r="G121" s="702" t="s">
        <v>2723</v>
      </c>
      <c r="H121" s="569" t="s">
        <v>3214</v>
      </c>
      <c r="I121" s="717" t="s">
        <v>2230</v>
      </c>
      <c r="J121" s="704" t="s">
        <v>3215</v>
      </c>
      <c r="K121" s="562" t="s">
        <v>25</v>
      </c>
      <c r="L121" s="562"/>
      <c r="M121" s="562"/>
      <c r="N121" s="562"/>
      <c r="O121" s="562">
        <v>2024.0</v>
      </c>
      <c r="P121" s="562">
        <v>2024.0</v>
      </c>
      <c r="Q121" s="562">
        <v>2024.0</v>
      </c>
      <c r="R121" s="562"/>
      <c r="S121" s="562"/>
      <c r="T121" s="562"/>
      <c r="U121" s="562"/>
      <c r="V121" s="562"/>
      <c r="W121" s="562">
        <v>3.0</v>
      </c>
      <c r="X121" s="562"/>
      <c r="Y121" s="562"/>
      <c r="Z121" s="562">
        <v>2.0</v>
      </c>
      <c r="AA121" s="562">
        <v>2.0</v>
      </c>
      <c r="AB121" s="562">
        <v>2.0</v>
      </c>
      <c r="AC121" s="562"/>
      <c r="AD121" s="562"/>
      <c r="AE121" s="562"/>
      <c r="AF121" s="562"/>
      <c r="AG121" s="562"/>
      <c r="AH121" s="562"/>
      <c r="AI121" s="562"/>
      <c r="AJ121" s="562"/>
      <c r="AK121" s="562"/>
      <c r="AL121" s="562"/>
      <c r="AM121" s="562"/>
      <c r="AN121" s="562"/>
      <c r="AO121" s="562"/>
      <c r="AP121" s="562"/>
      <c r="AQ121" s="562"/>
      <c r="AR121" s="562">
        <v>0.0</v>
      </c>
      <c r="AS121" s="562">
        <v>0.0</v>
      </c>
      <c r="AT121" s="562">
        <v>0.0</v>
      </c>
      <c r="AU121" s="562">
        <v>-2024.0</v>
      </c>
      <c r="AV121" s="562">
        <v>-2024.0</v>
      </c>
      <c r="AW121" s="562">
        <v>-2024.0</v>
      </c>
      <c r="AX121" s="562">
        <v>0.0</v>
      </c>
      <c r="AY121" s="562">
        <v>0.0</v>
      </c>
      <c r="AZ121" s="562">
        <v>0.0</v>
      </c>
      <c r="BA121" s="562">
        <v>0.0</v>
      </c>
      <c r="BB121" s="562"/>
      <c r="BC121" s="562"/>
      <c r="BD121" s="562"/>
      <c r="BE121" s="562"/>
      <c r="BF121" s="562"/>
      <c r="BG121" s="562"/>
      <c r="BH121" s="562"/>
      <c r="BI121" s="562"/>
      <c r="BJ121" s="562"/>
      <c r="BK121" s="562"/>
      <c r="BL121" s="681"/>
      <c r="BM121" s="665">
        <f t="shared" si="1"/>
        <v>0</v>
      </c>
      <c r="BN121" s="687">
        <v>2.0</v>
      </c>
      <c r="BO121" s="683"/>
      <c r="BP121" s="687">
        <v>1.0</v>
      </c>
      <c r="BQ121" s="683">
        <v>1.0</v>
      </c>
      <c r="BR121" s="683">
        <v>1.0</v>
      </c>
      <c r="BS121" s="683">
        <v>1.0</v>
      </c>
      <c r="BT121" s="683"/>
      <c r="BU121" s="683"/>
      <c r="BV121" s="683"/>
      <c r="BW121" s="686"/>
      <c r="BX121" s="665">
        <f t="shared" si="2"/>
        <v>6</v>
      </c>
      <c r="BY121" s="682">
        <v>0.0</v>
      </c>
      <c r="BZ121" s="683">
        <v>0.0</v>
      </c>
      <c r="CA121" s="683">
        <v>0.0</v>
      </c>
      <c r="CB121" s="683">
        <v>1.0</v>
      </c>
      <c r="CC121" s="683">
        <v>1.0</v>
      </c>
      <c r="CD121" s="683">
        <v>1.0</v>
      </c>
      <c r="CE121" s="683">
        <v>0.0</v>
      </c>
      <c r="CF121" s="683">
        <v>0.0</v>
      </c>
      <c r="CG121" s="683">
        <v>0.0</v>
      </c>
      <c r="CH121" s="686">
        <v>0.0</v>
      </c>
      <c r="CI121" s="665">
        <f t="shared" si="3"/>
        <v>3</v>
      </c>
      <c r="CJ121" s="682">
        <f t="shared" si="4"/>
        <v>9</v>
      </c>
      <c r="CK121" s="706">
        <v>125.37</v>
      </c>
      <c r="CL121" s="683">
        <f t="shared" si="351"/>
        <v>872.5752</v>
      </c>
      <c r="CM121" s="683">
        <f t="shared" ref="CM121:CV121" si="367">BC121*$CL121</f>
        <v>0</v>
      </c>
      <c r="CN121" s="683">
        <f t="shared" si="367"/>
        <v>0</v>
      </c>
      <c r="CO121" s="683">
        <f t="shared" si="367"/>
        <v>0</v>
      </c>
      <c r="CP121" s="683">
        <f t="shared" si="367"/>
        <v>0</v>
      </c>
      <c r="CQ121" s="683">
        <f t="shared" si="367"/>
        <v>0</v>
      </c>
      <c r="CR121" s="683">
        <f t="shared" si="367"/>
        <v>0</v>
      </c>
      <c r="CS121" s="683">
        <f t="shared" si="367"/>
        <v>0</v>
      </c>
      <c r="CT121" s="683">
        <f t="shared" si="367"/>
        <v>0</v>
      </c>
      <c r="CU121" s="683">
        <f t="shared" si="367"/>
        <v>0</v>
      </c>
      <c r="CV121" s="683">
        <f t="shared" si="367"/>
        <v>0</v>
      </c>
      <c r="CW121" s="683">
        <f t="shared" si="21"/>
        <v>0</v>
      </c>
      <c r="CX121" s="683">
        <f t="shared" ref="CX121:DG121" si="368">BN121*$CL121</f>
        <v>1745.1504</v>
      </c>
      <c r="CY121" s="683">
        <f t="shared" si="368"/>
        <v>0</v>
      </c>
      <c r="CZ121" s="683">
        <f t="shared" si="368"/>
        <v>872.5752</v>
      </c>
      <c r="DA121" s="683">
        <f t="shared" si="368"/>
        <v>872.5752</v>
      </c>
      <c r="DB121" s="683">
        <f t="shared" si="368"/>
        <v>872.5752</v>
      </c>
      <c r="DC121" s="683">
        <f t="shared" si="368"/>
        <v>872.5752</v>
      </c>
      <c r="DD121" s="683">
        <f t="shared" si="368"/>
        <v>0</v>
      </c>
      <c r="DE121" s="683">
        <f t="shared" si="368"/>
        <v>0</v>
      </c>
      <c r="DF121" s="683">
        <f t="shared" si="368"/>
        <v>0</v>
      </c>
      <c r="DG121" s="683">
        <f t="shared" si="368"/>
        <v>0</v>
      </c>
      <c r="DH121" s="683">
        <f t="shared" si="23"/>
        <v>5235.4512</v>
      </c>
      <c r="DI121" s="683">
        <f t="shared" ref="DI121:DR121" si="369">BY121*$CL121</f>
        <v>0</v>
      </c>
      <c r="DJ121" s="683">
        <f t="shared" si="369"/>
        <v>0</v>
      </c>
      <c r="DK121" s="683">
        <f t="shared" si="369"/>
        <v>0</v>
      </c>
      <c r="DL121" s="683">
        <f t="shared" si="369"/>
        <v>872.5752</v>
      </c>
      <c r="DM121" s="683">
        <f t="shared" si="369"/>
        <v>872.5752</v>
      </c>
      <c r="DN121" s="683">
        <f t="shared" si="369"/>
        <v>872.5752</v>
      </c>
      <c r="DO121" s="683">
        <f t="shared" si="369"/>
        <v>0</v>
      </c>
      <c r="DP121" s="683">
        <f t="shared" si="369"/>
        <v>0</v>
      </c>
      <c r="DQ121" s="683">
        <f t="shared" si="369"/>
        <v>0</v>
      </c>
      <c r="DR121" s="683">
        <f t="shared" si="369"/>
        <v>0</v>
      </c>
      <c r="DS121" s="683">
        <f t="shared" si="25"/>
        <v>2617.7256</v>
      </c>
      <c r="DT121" s="683">
        <f t="shared" si="175"/>
        <v>7853.1768</v>
      </c>
      <c r="DU121" s="504"/>
      <c r="DV121" s="486"/>
      <c r="DW121" s="688"/>
      <c r="DX121" s="688"/>
      <c r="DY121" s="688"/>
      <c r="DZ121" s="688"/>
      <c r="EA121" s="688"/>
      <c r="EB121" s="688"/>
      <c r="EC121" s="688"/>
      <c r="ED121" s="688"/>
      <c r="EE121" s="688"/>
      <c r="EF121" s="688"/>
      <c r="EG121" s="688"/>
      <c r="EH121" s="707" t="s">
        <v>3216</v>
      </c>
      <c r="EI121" s="708">
        <f>VLOOKUP(I121,CotizacionTDB,4,FALSE())</f>
        <v>125.37</v>
      </c>
      <c r="EJ121" s="708">
        <f>VLOOKUP(I121,CotizacionTDB,5,FALSE())</f>
        <v>106.56</v>
      </c>
      <c r="EK121" s="691"/>
    </row>
    <row r="122" ht="12.0" customHeight="1">
      <c r="A122" s="709" t="s">
        <v>3026</v>
      </c>
      <c r="B122" s="661">
        <v>2.0</v>
      </c>
      <c r="C122" s="567" t="s">
        <v>3027</v>
      </c>
      <c r="D122" s="568" t="s">
        <v>129</v>
      </c>
      <c r="E122" s="568" t="s">
        <v>2722</v>
      </c>
      <c r="F122" s="567" t="s">
        <v>1763</v>
      </c>
      <c r="G122" s="657" t="s">
        <v>2723</v>
      </c>
      <c r="H122" s="658"/>
      <c r="I122" s="710" t="s">
        <v>2428</v>
      </c>
      <c r="J122" s="711" t="s">
        <v>1030</v>
      </c>
      <c r="K122" s="567" t="s">
        <v>25</v>
      </c>
      <c r="L122" s="567"/>
      <c r="M122" s="567"/>
      <c r="N122" s="567"/>
      <c r="O122" s="567">
        <v>2024.0</v>
      </c>
      <c r="P122" s="567">
        <v>2024.0</v>
      </c>
      <c r="Q122" s="567"/>
      <c r="R122" s="567"/>
      <c r="S122" s="567"/>
      <c r="T122" s="567"/>
      <c r="U122" s="567"/>
      <c r="V122" s="567"/>
      <c r="W122" s="567">
        <v>3.0</v>
      </c>
      <c r="X122" s="567"/>
      <c r="Y122" s="567"/>
      <c r="Z122" s="567">
        <v>2.0</v>
      </c>
      <c r="AA122" s="567">
        <v>2.0</v>
      </c>
      <c r="AB122" s="567"/>
      <c r="AC122" s="567"/>
      <c r="AD122" s="567"/>
      <c r="AE122" s="567"/>
      <c r="AF122" s="567"/>
      <c r="AG122" s="567"/>
      <c r="AH122" s="567"/>
      <c r="AI122" s="567"/>
      <c r="AJ122" s="567"/>
      <c r="AK122" s="567"/>
      <c r="AL122" s="567"/>
      <c r="AM122" s="567"/>
      <c r="AN122" s="567"/>
      <c r="AO122" s="567"/>
      <c r="AP122" s="567"/>
      <c r="AQ122" s="567"/>
      <c r="AR122" s="567">
        <v>0.0</v>
      </c>
      <c r="AS122" s="567">
        <v>0.0</v>
      </c>
      <c r="AT122" s="567">
        <v>0.0</v>
      </c>
      <c r="AU122" s="567">
        <v>-2024.0</v>
      </c>
      <c r="AV122" s="567">
        <v>-2024.0</v>
      </c>
      <c r="AW122" s="567">
        <v>0.0</v>
      </c>
      <c r="AX122" s="567">
        <v>0.0</v>
      </c>
      <c r="AY122" s="567">
        <v>0.0</v>
      </c>
      <c r="AZ122" s="567">
        <v>0.0</v>
      </c>
      <c r="BA122" s="567">
        <v>0.0</v>
      </c>
      <c r="BB122" s="567"/>
      <c r="BC122" s="567"/>
      <c r="BD122" s="567"/>
      <c r="BE122" s="567"/>
      <c r="BF122" s="567"/>
      <c r="BG122" s="567"/>
      <c r="BH122" s="567"/>
      <c r="BI122" s="567"/>
      <c r="BJ122" s="567"/>
      <c r="BK122" s="567"/>
      <c r="BL122" s="725"/>
      <c r="BM122" s="665">
        <f t="shared" si="1"/>
        <v>0</v>
      </c>
      <c r="BN122" s="736">
        <v>1.0</v>
      </c>
      <c r="BO122" s="668"/>
      <c r="BP122" s="668"/>
      <c r="BQ122" s="668">
        <v>1.0</v>
      </c>
      <c r="BR122" s="668">
        <v>1.0</v>
      </c>
      <c r="BS122" s="668"/>
      <c r="BT122" s="668"/>
      <c r="BU122" s="668"/>
      <c r="BV122" s="668"/>
      <c r="BW122" s="670"/>
      <c r="BX122" s="665">
        <f t="shared" si="2"/>
        <v>3</v>
      </c>
      <c r="BY122" s="671">
        <v>0.0</v>
      </c>
      <c r="BZ122" s="668">
        <v>0.0</v>
      </c>
      <c r="CA122" s="668">
        <v>0.0</v>
      </c>
      <c r="CB122" s="668">
        <v>1.0</v>
      </c>
      <c r="CC122" s="668">
        <v>1.0</v>
      </c>
      <c r="CD122" s="668">
        <v>0.0</v>
      </c>
      <c r="CE122" s="668">
        <v>0.0</v>
      </c>
      <c r="CF122" s="668">
        <v>0.0</v>
      </c>
      <c r="CG122" s="668">
        <v>0.0</v>
      </c>
      <c r="CH122" s="670">
        <v>0.0</v>
      </c>
      <c r="CI122" s="665">
        <f t="shared" si="3"/>
        <v>2</v>
      </c>
      <c r="CJ122" s="671">
        <f t="shared" si="4"/>
        <v>5</v>
      </c>
      <c r="CK122" s="715">
        <v>354.76</v>
      </c>
      <c r="CL122" s="668">
        <f t="shared" si="351"/>
        <v>2469.1296</v>
      </c>
      <c r="CM122" s="668">
        <f t="shared" ref="CM122:CV122" si="370">BC122*$CL122</f>
        <v>0</v>
      </c>
      <c r="CN122" s="668">
        <f t="shared" si="370"/>
        <v>0</v>
      </c>
      <c r="CO122" s="668">
        <f t="shared" si="370"/>
        <v>0</v>
      </c>
      <c r="CP122" s="668">
        <f t="shared" si="370"/>
        <v>0</v>
      </c>
      <c r="CQ122" s="668">
        <f t="shared" si="370"/>
        <v>0</v>
      </c>
      <c r="CR122" s="668">
        <f t="shared" si="370"/>
        <v>0</v>
      </c>
      <c r="CS122" s="668">
        <f t="shared" si="370"/>
        <v>0</v>
      </c>
      <c r="CT122" s="668">
        <f t="shared" si="370"/>
        <v>0</v>
      </c>
      <c r="CU122" s="668">
        <f t="shared" si="370"/>
        <v>0</v>
      </c>
      <c r="CV122" s="668">
        <f t="shared" si="370"/>
        <v>0</v>
      </c>
      <c r="CW122" s="668">
        <f t="shared" si="21"/>
        <v>0</v>
      </c>
      <c r="CX122" s="668">
        <f t="shared" ref="CX122:DG122" si="371">BN122*$CL122</f>
        <v>2469.1296</v>
      </c>
      <c r="CY122" s="668">
        <f t="shared" si="371"/>
        <v>0</v>
      </c>
      <c r="CZ122" s="668">
        <f t="shared" si="371"/>
        <v>0</v>
      </c>
      <c r="DA122" s="668">
        <f t="shared" si="371"/>
        <v>2469.1296</v>
      </c>
      <c r="DB122" s="668">
        <f t="shared" si="371"/>
        <v>2469.1296</v>
      </c>
      <c r="DC122" s="668">
        <f t="shared" si="371"/>
        <v>0</v>
      </c>
      <c r="DD122" s="668">
        <f t="shared" si="371"/>
        <v>0</v>
      </c>
      <c r="DE122" s="668">
        <f t="shared" si="371"/>
        <v>0</v>
      </c>
      <c r="DF122" s="668">
        <f t="shared" si="371"/>
        <v>0</v>
      </c>
      <c r="DG122" s="668">
        <f t="shared" si="371"/>
        <v>0</v>
      </c>
      <c r="DH122" s="668">
        <f t="shared" si="23"/>
        <v>7407.3888</v>
      </c>
      <c r="DI122" s="668">
        <f t="shared" ref="DI122:DR122" si="372">BY122*$CL122</f>
        <v>0</v>
      </c>
      <c r="DJ122" s="668">
        <f t="shared" si="372"/>
        <v>0</v>
      </c>
      <c r="DK122" s="668">
        <f t="shared" si="372"/>
        <v>0</v>
      </c>
      <c r="DL122" s="668">
        <f t="shared" si="372"/>
        <v>2469.1296</v>
      </c>
      <c r="DM122" s="668">
        <f t="shared" si="372"/>
        <v>2469.1296</v>
      </c>
      <c r="DN122" s="668">
        <f t="shared" si="372"/>
        <v>0</v>
      </c>
      <c r="DO122" s="668">
        <f t="shared" si="372"/>
        <v>0</v>
      </c>
      <c r="DP122" s="668">
        <f t="shared" si="372"/>
        <v>0</v>
      </c>
      <c r="DQ122" s="668">
        <f t="shared" si="372"/>
        <v>0</v>
      </c>
      <c r="DR122" s="668">
        <f t="shared" si="372"/>
        <v>0</v>
      </c>
      <c r="DS122" s="668">
        <f t="shared" si="25"/>
        <v>4938.2592</v>
      </c>
      <c r="DT122" s="668">
        <f t="shared" si="175"/>
        <v>12345.648</v>
      </c>
      <c r="DU122" s="538"/>
      <c r="DV122" s="468"/>
      <c r="DW122" s="698"/>
      <c r="DX122" s="698"/>
      <c r="DY122" s="698"/>
      <c r="DZ122" s="698"/>
      <c r="EA122" s="698"/>
      <c r="EB122" s="698"/>
      <c r="EC122" s="698"/>
      <c r="ED122" s="698"/>
      <c r="EE122" s="698"/>
      <c r="EF122" s="698"/>
      <c r="EG122" s="698"/>
      <c r="EH122" s="576" t="s">
        <v>3217</v>
      </c>
      <c r="EI122" s="716">
        <f>VLOOKUP(I122,CotizacionTDB,4,FALSE())</f>
        <v>354.76</v>
      </c>
      <c r="EJ122" s="716">
        <f>VLOOKUP(I122,CotizacionTDB,5,FALSE())</f>
        <v>301.55</v>
      </c>
      <c r="EK122" s="699"/>
    </row>
    <row r="123" ht="12.0" customHeight="1">
      <c r="A123" s="700" t="s">
        <v>3026</v>
      </c>
      <c r="B123" s="701">
        <v>2.0</v>
      </c>
      <c r="C123" s="562" t="s">
        <v>3027</v>
      </c>
      <c r="D123" s="571" t="s">
        <v>129</v>
      </c>
      <c r="E123" s="571" t="s">
        <v>2722</v>
      </c>
      <c r="F123" s="562" t="s">
        <v>1763</v>
      </c>
      <c r="G123" s="702" t="s">
        <v>2723</v>
      </c>
      <c r="H123" s="569" t="s">
        <v>3218</v>
      </c>
      <c r="I123" s="717" t="s">
        <v>2235</v>
      </c>
      <c r="J123" s="832" t="s">
        <v>3219</v>
      </c>
      <c r="K123" s="562" t="s">
        <v>25</v>
      </c>
      <c r="L123" s="562"/>
      <c r="M123" s="562"/>
      <c r="N123" s="562"/>
      <c r="O123" s="562">
        <v>2024.0</v>
      </c>
      <c r="P123" s="562">
        <v>2024.0</v>
      </c>
      <c r="Q123" s="562">
        <v>2024.0</v>
      </c>
      <c r="R123" s="562"/>
      <c r="S123" s="562"/>
      <c r="T123" s="562"/>
      <c r="U123" s="562"/>
      <c r="V123" s="562"/>
      <c r="W123" s="562">
        <v>3.0</v>
      </c>
      <c r="X123" s="562"/>
      <c r="Y123" s="562"/>
      <c r="Z123" s="562">
        <v>2.0</v>
      </c>
      <c r="AA123" s="562">
        <v>2.0</v>
      </c>
      <c r="AB123" s="562">
        <v>2.0</v>
      </c>
      <c r="AC123" s="562"/>
      <c r="AD123" s="562"/>
      <c r="AE123" s="562"/>
      <c r="AF123" s="562"/>
      <c r="AG123" s="562"/>
      <c r="AH123" s="562"/>
      <c r="AI123" s="562"/>
      <c r="AJ123" s="562"/>
      <c r="AK123" s="562"/>
      <c r="AL123" s="562"/>
      <c r="AM123" s="562"/>
      <c r="AN123" s="562"/>
      <c r="AO123" s="562"/>
      <c r="AP123" s="562"/>
      <c r="AQ123" s="562"/>
      <c r="AR123" s="562">
        <v>0.0</v>
      </c>
      <c r="AS123" s="562">
        <v>0.0</v>
      </c>
      <c r="AT123" s="562">
        <v>0.0</v>
      </c>
      <c r="AU123" s="562">
        <v>-2024.0</v>
      </c>
      <c r="AV123" s="562">
        <v>-2024.0</v>
      </c>
      <c r="AW123" s="562">
        <v>-2024.0</v>
      </c>
      <c r="AX123" s="562">
        <v>0.0</v>
      </c>
      <c r="AY123" s="562">
        <v>0.0</v>
      </c>
      <c r="AZ123" s="562">
        <v>0.0</v>
      </c>
      <c r="BA123" s="562">
        <v>0.0</v>
      </c>
      <c r="BB123" s="562"/>
      <c r="BC123" s="562"/>
      <c r="BD123" s="562"/>
      <c r="BE123" s="562"/>
      <c r="BF123" s="562"/>
      <c r="BG123" s="562"/>
      <c r="BH123" s="562"/>
      <c r="BI123" s="562"/>
      <c r="BJ123" s="562"/>
      <c r="BK123" s="562"/>
      <c r="BL123" s="681"/>
      <c r="BM123" s="665">
        <f t="shared" si="1"/>
        <v>0</v>
      </c>
      <c r="BN123" s="683"/>
      <c r="BO123" s="683"/>
      <c r="BP123" s="683"/>
      <c r="BQ123" s="683">
        <v>1.0</v>
      </c>
      <c r="BR123" s="683">
        <v>1.0</v>
      </c>
      <c r="BS123" s="683">
        <v>1.0</v>
      </c>
      <c r="BT123" s="683"/>
      <c r="BU123" s="683"/>
      <c r="BV123" s="683"/>
      <c r="BW123" s="686"/>
      <c r="BX123" s="665">
        <f t="shared" si="2"/>
        <v>3</v>
      </c>
      <c r="BY123" s="682">
        <v>0.0</v>
      </c>
      <c r="BZ123" s="683">
        <v>0.0</v>
      </c>
      <c r="CA123" s="683">
        <v>0.0</v>
      </c>
      <c r="CB123" s="683">
        <v>1.0</v>
      </c>
      <c r="CC123" s="683">
        <v>1.0</v>
      </c>
      <c r="CD123" s="683">
        <v>1.0</v>
      </c>
      <c r="CE123" s="683">
        <v>0.0</v>
      </c>
      <c r="CF123" s="683">
        <v>0.0</v>
      </c>
      <c r="CG123" s="683">
        <v>0.0</v>
      </c>
      <c r="CH123" s="686">
        <v>0.0</v>
      </c>
      <c r="CI123" s="665">
        <f t="shared" si="3"/>
        <v>3</v>
      </c>
      <c r="CJ123" s="682">
        <f t="shared" si="4"/>
        <v>6</v>
      </c>
      <c r="CK123" s="706">
        <v>109.72</v>
      </c>
      <c r="CL123" s="683">
        <f t="shared" si="351"/>
        <v>763.6512</v>
      </c>
      <c r="CM123" s="683">
        <f t="shared" ref="CM123:CV123" si="373">BC123*$CL123</f>
        <v>0</v>
      </c>
      <c r="CN123" s="683">
        <f t="shared" si="373"/>
        <v>0</v>
      </c>
      <c r="CO123" s="683">
        <f t="shared" si="373"/>
        <v>0</v>
      </c>
      <c r="CP123" s="683">
        <f t="shared" si="373"/>
        <v>0</v>
      </c>
      <c r="CQ123" s="683">
        <f t="shared" si="373"/>
        <v>0</v>
      </c>
      <c r="CR123" s="683">
        <f t="shared" si="373"/>
        <v>0</v>
      </c>
      <c r="CS123" s="683">
        <f t="shared" si="373"/>
        <v>0</v>
      </c>
      <c r="CT123" s="683">
        <f t="shared" si="373"/>
        <v>0</v>
      </c>
      <c r="CU123" s="683">
        <f t="shared" si="373"/>
        <v>0</v>
      </c>
      <c r="CV123" s="683">
        <f t="shared" si="373"/>
        <v>0</v>
      </c>
      <c r="CW123" s="683">
        <f t="shared" si="21"/>
        <v>0</v>
      </c>
      <c r="CX123" s="683">
        <f t="shared" ref="CX123:DG123" si="374">BN123*$CL123</f>
        <v>0</v>
      </c>
      <c r="CY123" s="683">
        <f t="shared" si="374"/>
        <v>0</v>
      </c>
      <c r="CZ123" s="683">
        <f t="shared" si="374"/>
        <v>0</v>
      </c>
      <c r="DA123" s="683">
        <f t="shared" si="374"/>
        <v>763.6512</v>
      </c>
      <c r="DB123" s="683">
        <f t="shared" si="374"/>
        <v>763.6512</v>
      </c>
      <c r="DC123" s="683">
        <f t="shared" si="374"/>
        <v>763.6512</v>
      </c>
      <c r="DD123" s="683">
        <f t="shared" si="374"/>
        <v>0</v>
      </c>
      <c r="DE123" s="683">
        <f t="shared" si="374"/>
        <v>0</v>
      </c>
      <c r="DF123" s="683">
        <f t="shared" si="374"/>
        <v>0</v>
      </c>
      <c r="DG123" s="683">
        <f t="shared" si="374"/>
        <v>0</v>
      </c>
      <c r="DH123" s="683">
        <f t="shared" si="23"/>
        <v>2290.9536</v>
      </c>
      <c r="DI123" s="683">
        <f t="shared" ref="DI123:DR123" si="375">BY123*$CL123</f>
        <v>0</v>
      </c>
      <c r="DJ123" s="683">
        <f t="shared" si="375"/>
        <v>0</v>
      </c>
      <c r="DK123" s="683">
        <f t="shared" si="375"/>
        <v>0</v>
      </c>
      <c r="DL123" s="683">
        <f t="shared" si="375"/>
        <v>763.6512</v>
      </c>
      <c r="DM123" s="683">
        <f t="shared" si="375"/>
        <v>763.6512</v>
      </c>
      <c r="DN123" s="683">
        <f t="shared" si="375"/>
        <v>763.6512</v>
      </c>
      <c r="DO123" s="683">
        <f t="shared" si="375"/>
        <v>0</v>
      </c>
      <c r="DP123" s="683">
        <f t="shared" si="375"/>
        <v>0</v>
      </c>
      <c r="DQ123" s="683">
        <f t="shared" si="375"/>
        <v>0</v>
      </c>
      <c r="DR123" s="683">
        <f t="shared" si="375"/>
        <v>0</v>
      </c>
      <c r="DS123" s="683">
        <f t="shared" si="25"/>
        <v>2290.9536</v>
      </c>
      <c r="DT123" s="683">
        <f t="shared" si="175"/>
        <v>4581.9072</v>
      </c>
      <c r="DU123" s="504"/>
      <c r="DV123" s="486"/>
      <c r="DW123" s="688"/>
      <c r="DX123" s="688"/>
      <c r="DY123" s="688"/>
      <c r="DZ123" s="688"/>
      <c r="EA123" s="688"/>
      <c r="EB123" s="688"/>
      <c r="EC123" s="688"/>
      <c r="ED123" s="688"/>
      <c r="EE123" s="688"/>
      <c r="EF123" s="688"/>
      <c r="EG123" s="688"/>
      <c r="EH123" s="776" t="s">
        <v>1216</v>
      </c>
      <c r="EI123" s="708">
        <f>VLOOKUP(I123,CotizacionTDB,4,FALSE())</f>
        <v>109.72</v>
      </c>
      <c r="EJ123" s="708">
        <f>VLOOKUP(I123,CotizacionTDB,5,FALSE())</f>
        <v>93.26</v>
      </c>
      <c r="EK123" s="691"/>
    </row>
    <row r="124" ht="12.0" customHeight="1">
      <c r="A124" s="709" t="s">
        <v>3026</v>
      </c>
      <c r="B124" s="661">
        <v>2.0</v>
      </c>
      <c r="C124" s="567" t="s">
        <v>3027</v>
      </c>
      <c r="D124" s="568" t="s">
        <v>129</v>
      </c>
      <c r="E124" s="568" t="s">
        <v>129</v>
      </c>
      <c r="F124" s="567" t="s">
        <v>1763</v>
      </c>
      <c r="G124" s="657" t="s">
        <v>2723</v>
      </c>
      <c r="H124" s="658"/>
      <c r="I124" s="710" t="s">
        <v>2314</v>
      </c>
      <c r="J124" s="711" t="s">
        <v>1240</v>
      </c>
      <c r="K124" s="567" t="s">
        <v>25</v>
      </c>
      <c r="L124" s="567"/>
      <c r="M124" s="567"/>
      <c r="N124" s="567"/>
      <c r="O124" s="567"/>
      <c r="P124" s="567"/>
      <c r="Q124" s="567">
        <v>2024.0</v>
      </c>
      <c r="R124" s="567"/>
      <c r="S124" s="567"/>
      <c r="T124" s="567"/>
      <c r="U124" s="567"/>
      <c r="V124" s="567"/>
      <c r="W124" s="567">
        <v>3.0</v>
      </c>
      <c r="X124" s="567"/>
      <c r="Y124" s="567"/>
      <c r="Z124" s="567"/>
      <c r="AA124" s="567"/>
      <c r="AB124" s="567">
        <v>2.0</v>
      </c>
      <c r="AC124" s="567"/>
      <c r="AD124" s="567"/>
      <c r="AE124" s="567"/>
      <c r="AF124" s="567"/>
      <c r="AG124" s="567"/>
      <c r="AH124" s="567"/>
      <c r="AI124" s="567"/>
      <c r="AJ124" s="567"/>
      <c r="AK124" s="567"/>
      <c r="AL124" s="567"/>
      <c r="AM124" s="567"/>
      <c r="AN124" s="567"/>
      <c r="AO124" s="567"/>
      <c r="AP124" s="567"/>
      <c r="AQ124" s="567"/>
      <c r="AR124" s="567">
        <v>0.0</v>
      </c>
      <c r="AS124" s="567">
        <v>0.0</v>
      </c>
      <c r="AT124" s="567">
        <v>0.0</v>
      </c>
      <c r="AU124" s="567">
        <v>0.0</v>
      </c>
      <c r="AV124" s="567">
        <v>0.0</v>
      </c>
      <c r="AW124" s="567">
        <v>-2024.0</v>
      </c>
      <c r="AX124" s="567">
        <v>0.0</v>
      </c>
      <c r="AY124" s="567">
        <v>0.0</v>
      </c>
      <c r="AZ124" s="567">
        <v>0.0</v>
      </c>
      <c r="BA124" s="567">
        <v>0.0</v>
      </c>
      <c r="BB124" s="567"/>
      <c r="BC124" s="567"/>
      <c r="BD124" s="567"/>
      <c r="BE124" s="567"/>
      <c r="BF124" s="567"/>
      <c r="BG124" s="567"/>
      <c r="BH124" s="567"/>
      <c r="BI124" s="567"/>
      <c r="BJ124" s="567"/>
      <c r="BK124" s="567"/>
      <c r="BL124" s="725"/>
      <c r="BM124" s="665">
        <f t="shared" si="1"/>
        <v>0</v>
      </c>
      <c r="BN124" s="671"/>
      <c r="BO124" s="668"/>
      <c r="BP124" s="668"/>
      <c r="BQ124" s="668"/>
      <c r="BR124" s="668"/>
      <c r="BS124" s="668">
        <v>1.0</v>
      </c>
      <c r="BT124" s="668"/>
      <c r="BU124" s="668"/>
      <c r="BV124" s="668"/>
      <c r="BW124" s="670"/>
      <c r="BX124" s="665">
        <f t="shared" si="2"/>
        <v>1</v>
      </c>
      <c r="BY124" s="671">
        <v>0.0</v>
      </c>
      <c r="BZ124" s="668">
        <v>0.0</v>
      </c>
      <c r="CA124" s="668">
        <v>0.0</v>
      </c>
      <c r="CB124" s="668">
        <v>0.0</v>
      </c>
      <c r="CC124" s="668">
        <v>0.0</v>
      </c>
      <c r="CD124" s="668">
        <v>1.0</v>
      </c>
      <c r="CE124" s="668">
        <v>0.0</v>
      </c>
      <c r="CF124" s="668">
        <v>0.0</v>
      </c>
      <c r="CG124" s="668">
        <v>0.0</v>
      </c>
      <c r="CH124" s="670">
        <v>0.0</v>
      </c>
      <c r="CI124" s="665">
        <f t="shared" si="3"/>
        <v>1</v>
      </c>
      <c r="CJ124" s="671">
        <f t="shared" si="4"/>
        <v>2</v>
      </c>
      <c r="CK124" s="715">
        <v>288.42</v>
      </c>
      <c r="CL124" s="668">
        <f t="shared" si="351"/>
        <v>2007.4032</v>
      </c>
      <c r="CM124" s="668">
        <f t="shared" ref="CM124:CV124" si="376">BC124*$CL124</f>
        <v>0</v>
      </c>
      <c r="CN124" s="668">
        <f t="shared" si="376"/>
        <v>0</v>
      </c>
      <c r="CO124" s="668">
        <f t="shared" si="376"/>
        <v>0</v>
      </c>
      <c r="CP124" s="668">
        <f t="shared" si="376"/>
        <v>0</v>
      </c>
      <c r="CQ124" s="668">
        <f t="shared" si="376"/>
        <v>0</v>
      </c>
      <c r="CR124" s="668">
        <f t="shared" si="376"/>
        <v>0</v>
      </c>
      <c r="CS124" s="668">
        <f t="shared" si="376"/>
        <v>0</v>
      </c>
      <c r="CT124" s="668">
        <f t="shared" si="376"/>
        <v>0</v>
      </c>
      <c r="CU124" s="668">
        <f t="shared" si="376"/>
        <v>0</v>
      </c>
      <c r="CV124" s="668">
        <f t="shared" si="376"/>
        <v>0</v>
      </c>
      <c r="CW124" s="668">
        <f t="shared" si="21"/>
        <v>0</v>
      </c>
      <c r="CX124" s="668">
        <f t="shared" ref="CX124:DG124" si="377">BN124*$CL124</f>
        <v>0</v>
      </c>
      <c r="CY124" s="668">
        <f t="shared" si="377"/>
        <v>0</v>
      </c>
      <c r="CZ124" s="668">
        <f t="shared" si="377"/>
        <v>0</v>
      </c>
      <c r="DA124" s="668">
        <f t="shared" si="377"/>
        <v>0</v>
      </c>
      <c r="DB124" s="668">
        <f t="shared" si="377"/>
        <v>0</v>
      </c>
      <c r="DC124" s="668">
        <f t="shared" si="377"/>
        <v>2007.4032</v>
      </c>
      <c r="DD124" s="668">
        <f t="shared" si="377"/>
        <v>0</v>
      </c>
      <c r="DE124" s="668">
        <f t="shared" si="377"/>
        <v>0</v>
      </c>
      <c r="DF124" s="668">
        <f t="shared" si="377"/>
        <v>0</v>
      </c>
      <c r="DG124" s="668">
        <f t="shared" si="377"/>
        <v>0</v>
      </c>
      <c r="DH124" s="668">
        <f t="shared" si="23"/>
        <v>2007.4032</v>
      </c>
      <c r="DI124" s="668">
        <f t="shared" ref="DI124:DR124" si="378">BY124*$CL124</f>
        <v>0</v>
      </c>
      <c r="DJ124" s="668">
        <f t="shared" si="378"/>
        <v>0</v>
      </c>
      <c r="DK124" s="668">
        <f t="shared" si="378"/>
        <v>0</v>
      </c>
      <c r="DL124" s="668">
        <f t="shared" si="378"/>
        <v>0</v>
      </c>
      <c r="DM124" s="668">
        <f t="shared" si="378"/>
        <v>0</v>
      </c>
      <c r="DN124" s="668">
        <f t="shared" si="378"/>
        <v>2007.4032</v>
      </c>
      <c r="DO124" s="668">
        <f t="shared" si="378"/>
        <v>0</v>
      </c>
      <c r="DP124" s="668">
        <f t="shared" si="378"/>
        <v>0</v>
      </c>
      <c r="DQ124" s="668">
        <f t="shared" si="378"/>
        <v>0</v>
      </c>
      <c r="DR124" s="668">
        <f t="shared" si="378"/>
        <v>0</v>
      </c>
      <c r="DS124" s="668">
        <f t="shared" si="25"/>
        <v>2007.4032</v>
      </c>
      <c r="DT124" s="668">
        <f t="shared" si="175"/>
        <v>4014.8064</v>
      </c>
      <c r="DU124" s="538"/>
      <c r="DV124" s="468" t="s">
        <v>3220</v>
      </c>
      <c r="DW124" s="698"/>
      <c r="DX124" s="698"/>
      <c r="DY124" s="698"/>
      <c r="DZ124" s="698"/>
      <c r="EA124" s="698"/>
      <c r="EB124" s="698"/>
      <c r="EC124" s="698"/>
      <c r="ED124" s="698"/>
      <c r="EE124" s="698"/>
      <c r="EF124" s="698"/>
      <c r="EG124" s="698"/>
      <c r="EH124" s="576" t="s">
        <v>1240</v>
      </c>
      <c r="EI124" s="716">
        <f>VLOOKUP(I124,CotizacionTDB,4,FALSE())</f>
        <v>288.42</v>
      </c>
      <c r="EJ124" s="716">
        <f>VLOOKUP(I124,CotizacionTDB,5,FALSE())</f>
        <v>245.16</v>
      </c>
      <c r="EK124" s="699"/>
    </row>
    <row r="125" ht="12.0" customHeight="1">
      <c r="A125" s="700" t="s">
        <v>3026</v>
      </c>
      <c r="B125" s="701">
        <v>2.0</v>
      </c>
      <c r="C125" s="562" t="s">
        <v>3027</v>
      </c>
      <c r="D125" s="571" t="s">
        <v>129</v>
      </c>
      <c r="E125" s="571" t="s">
        <v>2722</v>
      </c>
      <c r="F125" s="562" t="s">
        <v>1763</v>
      </c>
      <c r="G125" s="702" t="s">
        <v>2723</v>
      </c>
      <c r="H125" s="737"/>
      <c r="I125" s="717" t="s">
        <v>2410</v>
      </c>
      <c r="J125" s="704" t="s">
        <v>1293</v>
      </c>
      <c r="K125" s="562" t="s">
        <v>25</v>
      </c>
      <c r="L125" s="562"/>
      <c r="M125" s="562"/>
      <c r="N125" s="562"/>
      <c r="O125" s="562">
        <v>2024.0</v>
      </c>
      <c r="P125" s="562"/>
      <c r="Q125" s="562"/>
      <c r="R125" s="562"/>
      <c r="S125" s="562"/>
      <c r="T125" s="562"/>
      <c r="U125" s="562"/>
      <c r="V125" s="562"/>
      <c r="W125" s="562">
        <v>3.0</v>
      </c>
      <c r="X125" s="562"/>
      <c r="Y125" s="562"/>
      <c r="Z125" s="562">
        <v>2.0</v>
      </c>
      <c r="AA125" s="562"/>
      <c r="AB125" s="562"/>
      <c r="AC125" s="562"/>
      <c r="AD125" s="562"/>
      <c r="AE125" s="562"/>
      <c r="AF125" s="562"/>
      <c r="AG125" s="562"/>
      <c r="AH125" s="562"/>
      <c r="AI125" s="562"/>
      <c r="AJ125" s="562"/>
      <c r="AK125" s="562"/>
      <c r="AL125" s="562"/>
      <c r="AM125" s="562"/>
      <c r="AN125" s="562"/>
      <c r="AO125" s="562"/>
      <c r="AP125" s="562"/>
      <c r="AQ125" s="562"/>
      <c r="AR125" s="562">
        <v>0.0</v>
      </c>
      <c r="AS125" s="562">
        <v>0.0</v>
      </c>
      <c r="AT125" s="562">
        <v>0.0</v>
      </c>
      <c r="AU125" s="562">
        <v>-2024.0</v>
      </c>
      <c r="AV125" s="562">
        <v>0.0</v>
      </c>
      <c r="AW125" s="562">
        <v>0.0</v>
      </c>
      <c r="AX125" s="562">
        <v>0.0</v>
      </c>
      <c r="AY125" s="562">
        <v>0.0</v>
      </c>
      <c r="AZ125" s="562">
        <v>0.0</v>
      </c>
      <c r="BA125" s="562">
        <v>0.0</v>
      </c>
      <c r="BB125" s="562"/>
      <c r="BC125" s="562"/>
      <c r="BD125" s="562"/>
      <c r="BE125" s="562"/>
      <c r="BF125" s="562"/>
      <c r="BG125" s="562"/>
      <c r="BH125" s="562"/>
      <c r="BI125" s="562"/>
      <c r="BJ125" s="562"/>
      <c r="BK125" s="562"/>
      <c r="BL125" s="681"/>
      <c r="BM125" s="665">
        <f t="shared" si="1"/>
        <v>0</v>
      </c>
      <c r="BN125" s="683"/>
      <c r="BO125" s="683"/>
      <c r="BP125" s="683"/>
      <c r="BQ125" s="683">
        <v>1.0</v>
      </c>
      <c r="BR125" s="683"/>
      <c r="BS125" s="683"/>
      <c r="BT125" s="683"/>
      <c r="BU125" s="683"/>
      <c r="BV125" s="683"/>
      <c r="BW125" s="686"/>
      <c r="BX125" s="665">
        <f t="shared" si="2"/>
        <v>1</v>
      </c>
      <c r="BY125" s="682">
        <v>0.0</v>
      </c>
      <c r="BZ125" s="683">
        <v>0.0</v>
      </c>
      <c r="CA125" s="683">
        <v>0.0</v>
      </c>
      <c r="CB125" s="683">
        <v>1.0</v>
      </c>
      <c r="CC125" s="683">
        <v>0.0</v>
      </c>
      <c r="CD125" s="683">
        <v>0.0</v>
      </c>
      <c r="CE125" s="683">
        <v>0.0</v>
      </c>
      <c r="CF125" s="683">
        <v>0.0</v>
      </c>
      <c r="CG125" s="683">
        <v>0.0</v>
      </c>
      <c r="CH125" s="686">
        <v>0.0</v>
      </c>
      <c r="CI125" s="665">
        <f t="shared" si="3"/>
        <v>1</v>
      </c>
      <c r="CJ125" s="682">
        <f t="shared" si="4"/>
        <v>2</v>
      </c>
      <c r="CK125" s="706">
        <v>226.93</v>
      </c>
      <c r="CL125" s="683">
        <f t="shared" si="351"/>
        <v>1579.4328</v>
      </c>
      <c r="CM125" s="683">
        <f t="shared" ref="CM125:CV125" si="379">BC125*$CL125</f>
        <v>0</v>
      </c>
      <c r="CN125" s="683">
        <f t="shared" si="379"/>
        <v>0</v>
      </c>
      <c r="CO125" s="683">
        <f t="shared" si="379"/>
        <v>0</v>
      </c>
      <c r="CP125" s="683">
        <f t="shared" si="379"/>
        <v>0</v>
      </c>
      <c r="CQ125" s="683">
        <f t="shared" si="379"/>
        <v>0</v>
      </c>
      <c r="CR125" s="683">
        <f t="shared" si="379"/>
        <v>0</v>
      </c>
      <c r="CS125" s="683">
        <f t="shared" si="379"/>
        <v>0</v>
      </c>
      <c r="CT125" s="683">
        <f t="shared" si="379"/>
        <v>0</v>
      </c>
      <c r="CU125" s="683">
        <f t="shared" si="379"/>
        <v>0</v>
      </c>
      <c r="CV125" s="683">
        <f t="shared" si="379"/>
        <v>0</v>
      </c>
      <c r="CW125" s="683">
        <f t="shared" si="21"/>
        <v>0</v>
      </c>
      <c r="CX125" s="683">
        <f t="shared" ref="CX125:DG125" si="380">BN125*$CL125</f>
        <v>0</v>
      </c>
      <c r="CY125" s="683">
        <f t="shared" si="380"/>
        <v>0</v>
      </c>
      <c r="CZ125" s="683">
        <f t="shared" si="380"/>
        <v>0</v>
      </c>
      <c r="DA125" s="683">
        <f t="shared" si="380"/>
        <v>1579.4328</v>
      </c>
      <c r="DB125" s="683">
        <f t="shared" si="380"/>
        <v>0</v>
      </c>
      <c r="DC125" s="683">
        <f t="shared" si="380"/>
        <v>0</v>
      </c>
      <c r="DD125" s="683">
        <f t="shared" si="380"/>
        <v>0</v>
      </c>
      <c r="DE125" s="683">
        <f t="shared" si="380"/>
        <v>0</v>
      </c>
      <c r="DF125" s="683">
        <f t="shared" si="380"/>
        <v>0</v>
      </c>
      <c r="DG125" s="683">
        <f t="shared" si="380"/>
        <v>0</v>
      </c>
      <c r="DH125" s="683">
        <f t="shared" si="23"/>
        <v>1579.4328</v>
      </c>
      <c r="DI125" s="683">
        <f t="shared" ref="DI125:DR125" si="381">BY125*$CL125</f>
        <v>0</v>
      </c>
      <c r="DJ125" s="683">
        <f t="shared" si="381"/>
        <v>0</v>
      </c>
      <c r="DK125" s="683">
        <f t="shared" si="381"/>
        <v>0</v>
      </c>
      <c r="DL125" s="683">
        <f t="shared" si="381"/>
        <v>1579.4328</v>
      </c>
      <c r="DM125" s="683">
        <f t="shared" si="381"/>
        <v>0</v>
      </c>
      <c r="DN125" s="683">
        <f t="shared" si="381"/>
        <v>0</v>
      </c>
      <c r="DO125" s="683">
        <f t="shared" si="381"/>
        <v>0</v>
      </c>
      <c r="DP125" s="683">
        <f t="shared" si="381"/>
        <v>0</v>
      </c>
      <c r="DQ125" s="683">
        <f t="shared" si="381"/>
        <v>0</v>
      </c>
      <c r="DR125" s="683">
        <f t="shared" si="381"/>
        <v>0</v>
      </c>
      <c r="DS125" s="683">
        <f t="shared" si="25"/>
        <v>1579.4328</v>
      </c>
      <c r="DT125" s="683">
        <f t="shared" si="175"/>
        <v>3158.8656</v>
      </c>
      <c r="DU125" s="504"/>
      <c r="DV125" s="486"/>
      <c r="DW125" s="688"/>
      <c r="DX125" s="688"/>
      <c r="DY125" s="688"/>
      <c r="DZ125" s="688"/>
      <c r="EA125" s="688"/>
      <c r="EB125" s="688"/>
      <c r="EC125" s="688"/>
      <c r="ED125" s="688"/>
      <c r="EE125" s="688"/>
      <c r="EF125" s="688"/>
      <c r="EG125" s="688"/>
      <c r="EH125" s="707" t="s">
        <v>3221</v>
      </c>
      <c r="EI125" s="708">
        <f>VLOOKUP(I125,CotizacionTDB,4,FALSE())</f>
        <v>226.93</v>
      </c>
      <c r="EJ125" s="708">
        <f>VLOOKUP(I125,CotizacionTDB,5,FALSE())</f>
        <v>192.89</v>
      </c>
      <c r="EK125" s="691"/>
    </row>
    <row r="126" ht="12.0" customHeight="1">
      <c r="A126" s="709" t="s">
        <v>3026</v>
      </c>
      <c r="B126" s="661">
        <v>2.0</v>
      </c>
      <c r="C126" s="567" t="s">
        <v>3027</v>
      </c>
      <c r="D126" s="568" t="s">
        <v>129</v>
      </c>
      <c r="E126" s="568" t="s">
        <v>2722</v>
      </c>
      <c r="F126" s="567" t="s">
        <v>1763</v>
      </c>
      <c r="G126" s="657" t="s">
        <v>2723</v>
      </c>
      <c r="H126" s="569" t="s">
        <v>3222</v>
      </c>
      <c r="I126" s="710" t="s">
        <v>2231</v>
      </c>
      <c r="J126" s="711" t="s">
        <v>3223</v>
      </c>
      <c r="K126" s="567" t="s">
        <v>25</v>
      </c>
      <c r="L126" s="567"/>
      <c r="M126" s="567"/>
      <c r="N126" s="567"/>
      <c r="O126" s="567">
        <v>2024.0</v>
      </c>
      <c r="P126" s="567">
        <v>2024.0</v>
      </c>
      <c r="Q126" s="567">
        <v>2024.0</v>
      </c>
      <c r="R126" s="567"/>
      <c r="S126" s="567"/>
      <c r="T126" s="567"/>
      <c r="U126" s="567"/>
      <c r="V126" s="567"/>
      <c r="W126" s="567">
        <v>3.0</v>
      </c>
      <c r="X126" s="567"/>
      <c r="Y126" s="567"/>
      <c r="Z126" s="567">
        <v>2.0</v>
      </c>
      <c r="AA126" s="567">
        <v>2.0</v>
      </c>
      <c r="AB126" s="567">
        <v>2.0</v>
      </c>
      <c r="AC126" s="567"/>
      <c r="AD126" s="567"/>
      <c r="AE126" s="567"/>
      <c r="AF126" s="567"/>
      <c r="AG126" s="567"/>
      <c r="AH126" s="567"/>
      <c r="AI126" s="567"/>
      <c r="AJ126" s="567"/>
      <c r="AK126" s="567"/>
      <c r="AL126" s="567"/>
      <c r="AM126" s="567"/>
      <c r="AN126" s="567"/>
      <c r="AO126" s="567"/>
      <c r="AP126" s="567"/>
      <c r="AQ126" s="567"/>
      <c r="AR126" s="567">
        <v>0.0</v>
      </c>
      <c r="AS126" s="567">
        <v>0.0</v>
      </c>
      <c r="AT126" s="567">
        <v>0.0</v>
      </c>
      <c r="AU126" s="567">
        <v>-2024.0</v>
      </c>
      <c r="AV126" s="567">
        <v>-2024.0</v>
      </c>
      <c r="AW126" s="567">
        <v>-2024.0</v>
      </c>
      <c r="AX126" s="567">
        <v>0.0</v>
      </c>
      <c r="AY126" s="567">
        <v>0.0</v>
      </c>
      <c r="AZ126" s="567">
        <v>0.0</v>
      </c>
      <c r="BA126" s="567">
        <v>0.0</v>
      </c>
      <c r="BB126" s="567"/>
      <c r="BC126" s="567"/>
      <c r="BD126" s="567"/>
      <c r="BE126" s="567"/>
      <c r="BF126" s="567"/>
      <c r="BG126" s="567"/>
      <c r="BH126" s="567"/>
      <c r="BI126" s="567"/>
      <c r="BJ126" s="567"/>
      <c r="BK126" s="567"/>
      <c r="BL126" s="725"/>
      <c r="BM126" s="665">
        <f t="shared" si="1"/>
        <v>0</v>
      </c>
      <c r="BN126" s="671"/>
      <c r="BO126" s="668"/>
      <c r="BP126" s="668"/>
      <c r="BQ126" s="668">
        <v>1.0</v>
      </c>
      <c r="BR126" s="668">
        <v>1.0</v>
      </c>
      <c r="BS126" s="668">
        <v>1.0</v>
      </c>
      <c r="BT126" s="668"/>
      <c r="BU126" s="668"/>
      <c r="BV126" s="668"/>
      <c r="BW126" s="713">
        <v>1.0</v>
      </c>
      <c r="BX126" s="665">
        <f t="shared" si="2"/>
        <v>4</v>
      </c>
      <c r="BY126" s="671">
        <v>0.0</v>
      </c>
      <c r="BZ126" s="668">
        <v>0.0</v>
      </c>
      <c r="CA126" s="668">
        <v>0.0</v>
      </c>
      <c r="CB126" s="668">
        <v>1.0</v>
      </c>
      <c r="CC126" s="668">
        <v>1.0</v>
      </c>
      <c r="CD126" s="668">
        <v>1.0</v>
      </c>
      <c r="CE126" s="668">
        <v>0.0</v>
      </c>
      <c r="CF126" s="668">
        <v>0.0</v>
      </c>
      <c r="CG126" s="668">
        <v>0.0</v>
      </c>
      <c r="CH126" s="670">
        <v>0.0</v>
      </c>
      <c r="CI126" s="665">
        <f t="shared" si="3"/>
        <v>3</v>
      </c>
      <c r="CJ126" s="671">
        <f t="shared" si="4"/>
        <v>7</v>
      </c>
      <c r="CK126" s="715">
        <v>71.14</v>
      </c>
      <c r="CL126" s="668">
        <f t="shared" si="351"/>
        <v>495.1344</v>
      </c>
      <c r="CM126" s="668">
        <f t="shared" ref="CM126:CV126" si="382">BC126*$CL126</f>
        <v>0</v>
      </c>
      <c r="CN126" s="668">
        <f t="shared" si="382"/>
        <v>0</v>
      </c>
      <c r="CO126" s="668">
        <f t="shared" si="382"/>
        <v>0</v>
      </c>
      <c r="CP126" s="668">
        <f t="shared" si="382"/>
        <v>0</v>
      </c>
      <c r="CQ126" s="668">
        <f t="shared" si="382"/>
        <v>0</v>
      </c>
      <c r="CR126" s="668">
        <f t="shared" si="382"/>
        <v>0</v>
      </c>
      <c r="CS126" s="668">
        <f t="shared" si="382"/>
        <v>0</v>
      </c>
      <c r="CT126" s="668">
        <f t="shared" si="382"/>
        <v>0</v>
      </c>
      <c r="CU126" s="668">
        <f t="shared" si="382"/>
        <v>0</v>
      </c>
      <c r="CV126" s="668">
        <f t="shared" si="382"/>
        <v>0</v>
      </c>
      <c r="CW126" s="668">
        <f t="shared" si="21"/>
        <v>0</v>
      </c>
      <c r="CX126" s="668">
        <f t="shared" ref="CX126:DG126" si="383">BN126*$CL126</f>
        <v>0</v>
      </c>
      <c r="CY126" s="668">
        <f t="shared" si="383"/>
        <v>0</v>
      </c>
      <c r="CZ126" s="668">
        <f t="shared" si="383"/>
        <v>0</v>
      </c>
      <c r="DA126" s="668">
        <f t="shared" si="383"/>
        <v>495.1344</v>
      </c>
      <c r="DB126" s="668">
        <f t="shared" si="383"/>
        <v>495.1344</v>
      </c>
      <c r="DC126" s="668">
        <f t="shared" si="383"/>
        <v>495.1344</v>
      </c>
      <c r="DD126" s="668">
        <f t="shared" si="383"/>
        <v>0</v>
      </c>
      <c r="DE126" s="668">
        <f t="shared" si="383"/>
        <v>0</v>
      </c>
      <c r="DF126" s="668">
        <f t="shared" si="383"/>
        <v>0</v>
      </c>
      <c r="DG126" s="668">
        <f t="shared" si="383"/>
        <v>495.1344</v>
      </c>
      <c r="DH126" s="668">
        <f t="shared" si="23"/>
        <v>1980.5376</v>
      </c>
      <c r="DI126" s="668">
        <f t="shared" ref="DI126:DR126" si="384">BY126*$CL126</f>
        <v>0</v>
      </c>
      <c r="DJ126" s="668">
        <f t="shared" si="384"/>
        <v>0</v>
      </c>
      <c r="DK126" s="668">
        <f t="shared" si="384"/>
        <v>0</v>
      </c>
      <c r="DL126" s="668">
        <f t="shared" si="384"/>
        <v>495.1344</v>
      </c>
      <c r="DM126" s="668">
        <f t="shared" si="384"/>
        <v>495.1344</v>
      </c>
      <c r="DN126" s="668">
        <f t="shared" si="384"/>
        <v>495.1344</v>
      </c>
      <c r="DO126" s="668">
        <f t="shared" si="384"/>
        <v>0</v>
      </c>
      <c r="DP126" s="668">
        <f t="shared" si="384"/>
        <v>0</v>
      </c>
      <c r="DQ126" s="668">
        <f t="shared" si="384"/>
        <v>0</v>
      </c>
      <c r="DR126" s="668">
        <f t="shared" si="384"/>
        <v>0</v>
      </c>
      <c r="DS126" s="668">
        <f t="shared" si="25"/>
        <v>1485.4032</v>
      </c>
      <c r="DT126" s="668">
        <f t="shared" si="175"/>
        <v>3465.9408</v>
      </c>
      <c r="DU126" s="538"/>
      <c r="DV126" s="468"/>
      <c r="DW126" s="698"/>
      <c r="DX126" s="698"/>
      <c r="DY126" s="698"/>
      <c r="DZ126" s="698"/>
      <c r="EA126" s="698"/>
      <c r="EB126" s="698"/>
      <c r="EC126" s="698"/>
      <c r="ED126" s="698"/>
      <c r="EE126" s="698"/>
      <c r="EF126" s="698"/>
      <c r="EG126" s="698"/>
      <c r="EH126" s="576" t="s">
        <v>3224</v>
      </c>
      <c r="EI126" s="716">
        <f>VLOOKUP(I126,CotizacionTDB,4,FALSE())</f>
        <v>71.14</v>
      </c>
      <c r="EJ126" s="716">
        <f>VLOOKUP(I126,CotizacionTDB,5,FALSE())</f>
        <v>60.47</v>
      </c>
      <c r="EK126" s="699"/>
    </row>
    <row r="127" ht="12.0" customHeight="1">
      <c r="A127" s="700" t="s">
        <v>3026</v>
      </c>
      <c r="B127" s="701">
        <v>2.0</v>
      </c>
      <c r="C127" s="562" t="s">
        <v>3027</v>
      </c>
      <c r="D127" s="571" t="s">
        <v>129</v>
      </c>
      <c r="E127" s="571" t="s">
        <v>2722</v>
      </c>
      <c r="F127" s="562" t="s">
        <v>1763</v>
      </c>
      <c r="G127" s="702" t="s">
        <v>2723</v>
      </c>
      <c r="H127" s="737"/>
      <c r="I127" s="717" t="s">
        <v>2216</v>
      </c>
      <c r="J127" s="704" t="s">
        <v>1316</v>
      </c>
      <c r="K127" s="562" t="s">
        <v>25</v>
      </c>
      <c r="L127" s="562"/>
      <c r="M127" s="562"/>
      <c r="N127" s="562"/>
      <c r="O127" s="562"/>
      <c r="P127" s="562">
        <v>2024.0</v>
      </c>
      <c r="Q127" s="562"/>
      <c r="R127" s="562"/>
      <c r="S127" s="562"/>
      <c r="T127" s="562"/>
      <c r="U127" s="562"/>
      <c r="V127" s="562"/>
      <c r="W127" s="562">
        <v>3.0</v>
      </c>
      <c r="X127" s="562"/>
      <c r="Y127" s="562"/>
      <c r="Z127" s="562"/>
      <c r="AA127" s="562">
        <v>7.0</v>
      </c>
      <c r="AB127" s="562"/>
      <c r="AC127" s="562"/>
      <c r="AD127" s="562"/>
      <c r="AE127" s="562"/>
      <c r="AF127" s="562"/>
      <c r="AG127" s="562"/>
      <c r="AH127" s="562"/>
      <c r="AI127" s="562"/>
      <c r="AJ127" s="562"/>
      <c r="AK127" s="562"/>
      <c r="AL127" s="562"/>
      <c r="AM127" s="562"/>
      <c r="AN127" s="562"/>
      <c r="AO127" s="562"/>
      <c r="AP127" s="562"/>
      <c r="AQ127" s="562"/>
      <c r="AR127" s="562">
        <v>0.0</v>
      </c>
      <c r="AS127" s="562">
        <v>0.0</v>
      </c>
      <c r="AT127" s="562">
        <v>0.0</v>
      </c>
      <c r="AU127" s="562">
        <v>0.0</v>
      </c>
      <c r="AV127" s="562">
        <v>-2024.0</v>
      </c>
      <c r="AW127" s="562">
        <v>0.0</v>
      </c>
      <c r="AX127" s="562">
        <v>0.0</v>
      </c>
      <c r="AY127" s="562">
        <v>0.0</v>
      </c>
      <c r="AZ127" s="562">
        <v>0.0</v>
      </c>
      <c r="BA127" s="562">
        <v>0.0</v>
      </c>
      <c r="BB127" s="562"/>
      <c r="BC127" s="562"/>
      <c r="BD127" s="562"/>
      <c r="BE127" s="562"/>
      <c r="BF127" s="562"/>
      <c r="BG127" s="562"/>
      <c r="BH127" s="562"/>
      <c r="BI127" s="562"/>
      <c r="BJ127" s="562"/>
      <c r="BK127" s="562"/>
      <c r="BL127" s="681"/>
      <c r="BM127" s="665">
        <f t="shared" si="1"/>
        <v>0</v>
      </c>
      <c r="BN127" s="682"/>
      <c r="BO127" s="683"/>
      <c r="BP127" s="683"/>
      <c r="BQ127" s="683"/>
      <c r="BR127" s="683">
        <v>1.0</v>
      </c>
      <c r="BS127" s="683"/>
      <c r="BT127" s="683"/>
      <c r="BU127" s="683"/>
      <c r="BV127" s="683"/>
      <c r="BW127" s="686"/>
      <c r="BX127" s="665">
        <f t="shared" si="2"/>
        <v>1</v>
      </c>
      <c r="BY127" s="682">
        <v>0.0</v>
      </c>
      <c r="BZ127" s="683">
        <v>0.0</v>
      </c>
      <c r="CA127" s="683">
        <v>0.0</v>
      </c>
      <c r="CB127" s="683">
        <v>0.0</v>
      </c>
      <c r="CC127" s="683">
        <v>0.0</v>
      </c>
      <c r="CD127" s="683">
        <v>0.0</v>
      </c>
      <c r="CE127" s="683">
        <v>0.0</v>
      </c>
      <c r="CF127" s="683">
        <v>0.0</v>
      </c>
      <c r="CG127" s="683">
        <v>0.0</v>
      </c>
      <c r="CH127" s="686">
        <v>0.0</v>
      </c>
      <c r="CI127" s="665">
        <f t="shared" si="3"/>
        <v>0</v>
      </c>
      <c r="CJ127" s="682">
        <f t="shared" si="4"/>
        <v>1</v>
      </c>
      <c r="CK127" s="706">
        <v>406.68</v>
      </c>
      <c r="CL127" s="683">
        <f t="shared" si="351"/>
        <v>2830.4928</v>
      </c>
      <c r="CM127" s="683">
        <f t="shared" ref="CM127:CV127" si="385">BC127*$CL127</f>
        <v>0</v>
      </c>
      <c r="CN127" s="683">
        <f t="shared" si="385"/>
        <v>0</v>
      </c>
      <c r="CO127" s="683">
        <f t="shared" si="385"/>
        <v>0</v>
      </c>
      <c r="CP127" s="683">
        <f t="shared" si="385"/>
        <v>0</v>
      </c>
      <c r="CQ127" s="683">
        <f t="shared" si="385"/>
        <v>0</v>
      </c>
      <c r="CR127" s="683">
        <f t="shared" si="385"/>
        <v>0</v>
      </c>
      <c r="CS127" s="683">
        <f t="shared" si="385"/>
        <v>0</v>
      </c>
      <c r="CT127" s="683">
        <f t="shared" si="385"/>
        <v>0</v>
      </c>
      <c r="CU127" s="683">
        <f t="shared" si="385"/>
        <v>0</v>
      </c>
      <c r="CV127" s="683">
        <f t="shared" si="385"/>
        <v>0</v>
      </c>
      <c r="CW127" s="683">
        <f t="shared" si="21"/>
        <v>0</v>
      </c>
      <c r="CX127" s="683">
        <f t="shared" ref="CX127:DG127" si="386">BN127*$CL127</f>
        <v>0</v>
      </c>
      <c r="CY127" s="683">
        <f t="shared" si="386"/>
        <v>0</v>
      </c>
      <c r="CZ127" s="683">
        <f t="shared" si="386"/>
        <v>0</v>
      </c>
      <c r="DA127" s="683">
        <f t="shared" si="386"/>
        <v>0</v>
      </c>
      <c r="DB127" s="683">
        <f t="shared" si="386"/>
        <v>2830.4928</v>
      </c>
      <c r="DC127" s="683">
        <f t="shared" si="386"/>
        <v>0</v>
      </c>
      <c r="DD127" s="683">
        <f t="shared" si="386"/>
        <v>0</v>
      </c>
      <c r="DE127" s="683">
        <f t="shared" si="386"/>
        <v>0</v>
      </c>
      <c r="DF127" s="683">
        <f t="shared" si="386"/>
        <v>0</v>
      </c>
      <c r="DG127" s="683">
        <f t="shared" si="386"/>
        <v>0</v>
      </c>
      <c r="DH127" s="683">
        <f t="shared" si="23"/>
        <v>2830.4928</v>
      </c>
      <c r="DI127" s="683">
        <f t="shared" ref="DI127:DR127" si="387">BY127*$CL127</f>
        <v>0</v>
      </c>
      <c r="DJ127" s="683">
        <f t="shared" si="387"/>
        <v>0</v>
      </c>
      <c r="DK127" s="683">
        <f t="shared" si="387"/>
        <v>0</v>
      </c>
      <c r="DL127" s="683">
        <f t="shared" si="387"/>
        <v>0</v>
      </c>
      <c r="DM127" s="683">
        <f t="shared" si="387"/>
        <v>0</v>
      </c>
      <c r="DN127" s="683">
        <f t="shared" si="387"/>
        <v>0</v>
      </c>
      <c r="DO127" s="683">
        <f t="shared" si="387"/>
        <v>0</v>
      </c>
      <c r="DP127" s="683">
        <f t="shared" si="387"/>
        <v>0</v>
      </c>
      <c r="DQ127" s="683">
        <f t="shared" si="387"/>
        <v>0</v>
      </c>
      <c r="DR127" s="683">
        <f t="shared" si="387"/>
        <v>0</v>
      </c>
      <c r="DS127" s="683">
        <f t="shared" si="25"/>
        <v>0</v>
      </c>
      <c r="DT127" s="683">
        <f t="shared" si="175"/>
        <v>2830.4928</v>
      </c>
      <c r="DU127" s="504"/>
      <c r="DV127" s="486"/>
      <c r="DW127" s="688"/>
      <c r="DX127" s="688"/>
      <c r="DY127" s="688"/>
      <c r="DZ127" s="688"/>
      <c r="EA127" s="688"/>
      <c r="EB127" s="688"/>
      <c r="EC127" s="688"/>
      <c r="ED127" s="688"/>
      <c r="EE127" s="688"/>
      <c r="EF127" s="688"/>
      <c r="EG127" s="688"/>
      <c r="EH127" s="707" t="s">
        <v>3225</v>
      </c>
      <c r="EI127" s="708">
        <f>VLOOKUP(I127,CotizacionTDB,4,FALSE())</f>
        <v>406.68</v>
      </c>
      <c r="EJ127" s="708">
        <f>VLOOKUP(I127,CotizacionTDB,5,FALSE())</f>
        <v>345.68</v>
      </c>
      <c r="EK127" s="691"/>
    </row>
    <row r="128" ht="12.0" customHeight="1">
      <c r="A128" s="709" t="s">
        <v>3026</v>
      </c>
      <c r="B128" s="661">
        <v>2.0</v>
      </c>
      <c r="C128" s="567" t="s">
        <v>3027</v>
      </c>
      <c r="D128" s="568" t="s">
        <v>129</v>
      </c>
      <c r="E128" s="568" t="s">
        <v>2722</v>
      </c>
      <c r="F128" s="567" t="s">
        <v>1763</v>
      </c>
      <c r="G128" s="657" t="s">
        <v>2723</v>
      </c>
      <c r="H128" s="569" t="s">
        <v>3226</v>
      </c>
      <c r="I128" s="710" t="s">
        <v>2220</v>
      </c>
      <c r="J128" s="711" t="s">
        <v>3227</v>
      </c>
      <c r="K128" s="567" t="s">
        <v>25</v>
      </c>
      <c r="L128" s="567"/>
      <c r="M128" s="567"/>
      <c r="N128" s="567"/>
      <c r="O128" s="567">
        <v>2024.0</v>
      </c>
      <c r="P128" s="567">
        <v>2024.0</v>
      </c>
      <c r="Q128" s="567"/>
      <c r="R128" s="567"/>
      <c r="S128" s="567"/>
      <c r="T128" s="567"/>
      <c r="U128" s="567"/>
      <c r="V128" s="567"/>
      <c r="W128" s="567">
        <v>3.0</v>
      </c>
      <c r="X128" s="567"/>
      <c r="Y128" s="567"/>
      <c r="Z128" s="567">
        <v>2.0</v>
      </c>
      <c r="AA128" s="567">
        <v>2.0</v>
      </c>
      <c r="AB128" s="567"/>
      <c r="AC128" s="567"/>
      <c r="AD128" s="567"/>
      <c r="AE128" s="567"/>
      <c r="AF128" s="567"/>
      <c r="AG128" s="567"/>
      <c r="AH128" s="567"/>
      <c r="AI128" s="567"/>
      <c r="AJ128" s="567"/>
      <c r="AK128" s="567"/>
      <c r="AL128" s="567"/>
      <c r="AM128" s="567"/>
      <c r="AN128" s="567"/>
      <c r="AO128" s="567"/>
      <c r="AP128" s="567"/>
      <c r="AQ128" s="567"/>
      <c r="AR128" s="567">
        <v>0.0</v>
      </c>
      <c r="AS128" s="567">
        <v>0.0</v>
      </c>
      <c r="AT128" s="567">
        <v>0.0</v>
      </c>
      <c r="AU128" s="567">
        <v>-2024.0</v>
      </c>
      <c r="AV128" s="567">
        <v>-2024.0</v>
      </c>
      <c r="AW128" s="567">
        <v>0.0</v>
      </c>
      <c r="AX128" s="567">
        <v>0.0</v>
      </c>
      <c r="AY128" s="567">
        <v>0.0</v>
      </c>
      <c r="AZ128" s="567">
        <v>0.0</v>
      </c>
      <c r="BA128" s="567">
        <v>0.0</v>
      </c>
      <c r="BB128" s="567"/>
      <c r="BC128" s="567"/>
      <c r="BD128" s="567"/>
      <c r="BE128" s="567"/>
      <c r="BF128" s="567"/>
      <c r="BG128" s="567"/>
      <c r="BH128" s="567"/>
      <c r="BI128" s="567"/>
      <c r="BJ128" s="567"/>
      <c r="BK128" s="567"/>
      <c r="BL128" s="725"/>
      <c r="BM128" s="665">
        <f t="shared" si="1"/>
        <v>0</v>
      </c>
      <c r="BN128" s="671"/>
      <c r="BO128" s="668"/>
      <c r="BP128" s="668"/>
      <c r="BQ128" s="668">
        <v>1.0</v>
      </c>
      <c r="BR128" s="668">
        <v>1.0</v>
      </c>
      <c r="BS128" s="668"/>
      <c r="BT128" s="668"/>
      <c r="BU128" s="668"/>
      <c r="BV128" s="668"/>
      <c r="BW128" s="670"/>
      <c r="BX128" s="665">
        <f t="shared" si="2"/>
        <v>2</v>
      </c>
      <c r="BY128" s="671">
        <v>0.0</v>
      </c>
      <c r="BZ128" s="668">
        <v>0.0</v>
      </c>
      <c r="CA128" s="668">
        <v>0.0</v>
      </c>
      <c r="CB128" s="668">
        <v>1.0</v>
      </c>
      <c r="CC128" s="668">
        <v>1.0</v>
      </c>
      <c r="CD128" s="668">
        <v>0.0</v>
      </c>
      <c r="CE128" s="668">
        <v>0.0</v>
      </c>
      <c r="CF128" s="668">
        <v>0.0</v>
      </c>
      <c r="CG128" s="668">
        <v>0.0</v>
      </c>
      <c r="CH128" s="670">
        <v>0.0</v>
      </c>
      <c r="CI128" s="665">
        <f t="shared" si="3"/>
        <v>2</v>
      </c>
      <c r="CJ128" s="671">
        <f t="shared" si="4"/>
        <v>4</v>
      </c>
      <c r="CK128" s="715">
        <v>73.57</v>
      </c>
      <c r="CL128" s="668">
        <f t="shared" si="351"/>
        <v>512.0472</v>
      </c>
      <c r="CM128" s="668">
        <f t="shared" ref="CM128:CV128" si="388">BC128*$CL128</f>
        <v>0</v>
      </c>
      <c r="CN128" s="668">
        <f t="shared" si="388"/>
        <v>0</v>
      </c>
      <c r="CO128" s="668">
        <f t="shared" si="388"/>
        <v>0</v>
      </c>
      <c r="CP128" s="668">
        <f t="shared" si="388"/>
        <v>0</v>
      </c>
      <c r="CQ128" s="668">
        <f t="shared" si="388"/>
        <v>0</v>
      </c>
      <c r="CR128" s="668">
        <f t="shared" si="388"/>
        <v>0</v>
      </c>
      <c r="CS128" s="668">
        <f t="shared" si="388"/>
        <v>0</v>
      </c>
      <c r="CT128" s="668">
        <f t="shared" si="388"/>
        <v>0</v>
      </c>
      <c r="CU128" s="668">
        <f t="shared" si="388"/>
        <v>0</v>
      </c>
      <c r="CV128" s="668">
        <f t="shared" si="388"/>
        <v>0</v>
      </c>
      <c r="CW128" s="668">
        <f t="shared" si="21"/>
        <v>0</v>
      </c>
      <c r="CX128" s="668">
        <f t="shared" ref="CX128:DG128" si="389">BN128*$CL128</f>
        <v>0</v>
      </c>
      <c r="CY128" s="668">
        <f t="shared" si="389"/>
        <v>0</v>
      </c>
      <c r="CZ128" s="668">
        <f t="shared" si="389"/>
        <v>0</v>
      </c>
      <c r="DA128" s="668">
        <f t="shared" si="389"/>
        <v>512.0472</v>
      </c>
      <c r="DB128" s="668">
        <f t="shared" si="389"/>
        <v>512.0472</v>
      </c>
      <c r="DC128" s="668">
        <f t="shared" si="389"/>
        <v>0</v>
      </c>
      <c r="DD128" s="668">
        <f t="shared" si="389"/>
        <v>0</v>
      </c>
      <c r="DE128" s="668">
        <f t="shared" si="389"/>
        <v>0</v>
      </c>
      <c r="DF128" s="668">
        <f t="shared" si="389"/>
        <v>0</v>
      </c>
      <c r="DG128" s="668">
        <f t="shared" si="389"/>
        <v>0</v>
      </c>
      <c r="DH128" s="668">
        <f t="shared" si="23"/>
        <v>1024.0944</v>
      </c>
      <c r="DI128" s="668">
        <f t="shared" ref="DI128:DR128" si="390">BY128*$CL128</f>
        <v>0</v>
      </c>
      <c r="DJ128" s="668">
        <f t="shared" si="390"/>
        <v>0</v>
      </c>
      <c r="DK128" s="668">
        <f t="shared" si="390"/>
        <v>0</v>
      </c>
      <c r="DL128" s="668">
        <f t="shared" si="390"/>
        <v>512.0472</v>
      </c>
      <c r="DM128" s="668">
        <f t="shared" si="390"/>
        <v>512.0472</v>
      </c>
      <c r="DN128" s="668">
        <f t="shared" si="390"/>
        <v>0</v>
      </c>
      <c r="DO128" s="668">
        <f t="shared" si="390"/>
        <v>0</v>
      </c>
      <c r="DP128" s="668">
        <f t="shared" si="390"/>
        <v>0</v>
      </c>
      <c r="DQ128" s="668">
        <f t="shared" si="390"/>
        <v>0</v>
      </c>
      <c r="DR128" s="668">
        <f t="shared" si="390"/>
        <v>0</v>
      </c>
      <c r="DS128" s="668">
        <f t="shared" si="25"/>
        <v>1024.0944</v>
      </c>
      <c r="DT128" s="668">
        <f t="shared" si="175"/>
        <v>2048.1888</v>
      </c>
      <c r="DU128" s="538"/>
      <c r="DV128" s="468"/>
      <c r="DW128" s="698"/>
      <c r="DX128" s="698"/>
      <c r="DY128" s="698"/>
      <c r="DZ128" s="698"/>
      <c r="EA128" s="698"/>
      <c r="EB128" s="698"/>
      <c r="EC128" s="698"/>
      <c r="ED128" s="698"/>
      <c r="EE128" s="698"/>
      <c r="EF128" s="698"/>
      <c r="EG128" s="698"/>
      <c r="EH128" s="576" t="s">
        <v>3228</v>
      </c>
      <c r="EI128" s="716">
        <f>VLOOKUP(I128,CotizacionTDB,4,FALSE())</f>
        <v>73.57</v>
      </c>
      <c r="EJ128" s="716">
        <f>VLOOKUP(I128,CotizacionTDB,5,FALSE())</f>
        <v>62.53</v>
      </c>
      <c r="EK128" s="699"/>
    </row>
    <row r="129" ht="12.0" customHeight="1">
      <c r="A129" s="700" t="s">
        <v>3026</v>
      </c>
      <c r="B129" s="701">
        <v>2.0</v>
      </c>
      <c r="C129" s="562" t="s">
        <v>3027</v>
      </c>
      <c r="D129" s="571" t="s">
        <v>129</v>
      </c>
      <c r="E129" s="571" t="s">
        <v>2722</v>
      </c>
      <c r="F129" s="562" t="s">
        <v>1763</v>
      </c>
      <c r="G129" s="702" t="s">
        <v>2723</v>
      </c>
      <c r="H129" s="569" t="s">
        <v>3229</v>
      </c>
      <c r="I129" s="717" t="s">
        <v>1942</v>
      </c>
      <c r="J129" s="704" t="s">
        <v>1393</v>
      </c>
      <c r="K129" s="562" t="s">
        <v>25</v>
      </c>
      <c r="L129" s="562"/>
      <c r="M129" s="562"/>
      <c r="N129" s="562"/>
      <c r="O129" s="562">
        <v>2024.0</v>
      </c>
      <c r="P129" s="562"/>
      <c r="Q129" s="562"/>
      <c r="R129" s="562"/>
      <c r="S129" s="562"/>
      <c r="T129" s="562"/>
      <c r="U129" s="562"/>
      <c r="V129" s="562"/>
      <c r="W129" s="562"/>
      <c r="X129" s="562"/>
      <c r="Y129" s="562"/>
      <c r="Z129" s="562">
        <v>3.0</v>
      </c>
      <c r="AA129" s="562"/>
      <c r="AB129" s="562"/>
      <c r="AC129" s="562"/>
      <c r="AD129" s="562"/>
      <c r="AE129" s="562"/>
      <c r="AF129" s="562"/>
      <c r="AG129" s="562"/>
      <c r="AH129" s="562"/>
      <c r="AI129" s="562"/>
      <c r="AJ129" s="562"/>
      <c r="AK129" s="562"/>
      <c r="AL129" s="562"/>
      <c r="AM129" s="562"/>
      <c r="AN129" s="562"/>
      <c r="AO129" s="562"/>
      <c r="AP129" s="562"/>
      <c r="AQ129" s="562"/>
      <c r="AR129" s="562">
        <v>0.0</v>
      </c>
      <c r="AS129" s="562">
        <v>0.0</v>
      </c>
      <c r="AT129" s="562">
        <v>0.0</v>
      </c>
      <c r="AU129" s="562">
        <v>-2024.0</v>
      </c>
      <c r="AV129" s="562">
        <v>0.0</v>
      </c>
      <c r="AW129" s="562">
        <v>0.0</v>
      </c>
      <c r="AX129" s="562">
        <v>0.0</v>
      </c>
      <c r="AY129" s="562">
        <v>0.0</v>
      </c>
      <c r="AZ129" s="562">
        <v>0.0</v>
      </c>
      <c r="BA129" s="562">
        <v>0.0</v>
      </c>
      <c r="BB129" s="562"/>
      <c r="BC129" s="562"/>
      <c r="BD129" s="562"/>
      <c r="BE129" s="562"/>
      <c r="BF129" s="562"/>
      <c r="BG129" s="562"/>
      <c r="BH129" s="562"/>
      <c r="BI129" s="562"/>
      <c r="BJ129" s="562"/>
      <c r="BK129" s="562"/>
      <c r="BL129" s="681"/>
      <c r="BM129" s="665">
        <f t="shared" si="1"/>
        <v>0</v>
      </c>
      <c r="BN129" s="682"/>
      <c r="BO129" s="683"/>
      <c r="BP129" s="683"/>
      <c r="BQ129" s="683">
        <v>2.0</v>
      </c>
      <c r="BR129" s="683"/>
      <c r="BS129" s="683"/>
      <c r="BT129" s="683"/>
      <c r="BU129" s="683"/>
      <c r="BV129" s="683"/>
      <c r="BW129" s="686"/>
      <c r="BX129" s="665">
        <f t="shared" si="2"/>
        <v>2</v>
      </c>
      <c r="BY129" s="733">
        <v>2.0</v>
      </c>
      <c r="BZ129" s="687">
        <v>1.0</v>
      </c>
      <c r="CA129" s="687">
        <v>2.0</v>
      </c>
      <c r="CB129" s="683">
        <v>0.0</v>
      </c>
      <c r="CC129" s="683">
        <v>0.0</v>
      </c>
      <c r="CD129" s="683">
        <v>0.0</v>
      </c>
      <c r="CE129" s="683">
        <v>0.0</v>
      </c>
      <c r="CF129" s="683">
        <v>0.0</v>
      </c>
      <c r="CG129" s="683">
        <v>0.0</v>
      </c>
      <c r="CH129" s="686">
        <v>0.0</v>
      </c>
      <c r="CI129" s="665">
        <f t="shared" si="3"/>
        <v>5</v>
      </c>
      <c r="CJ129" s="682">
        <f t="shared" si="4"/>
        <v>7</v>
      </c>
      <c r="CK129" s="706">
        <v>131.21</v>
      </c>
      <c r="CL129" s="683">
        <f t="shared" si="351"/>
        <v>913.2216</v>
      </c>
      <c r="CM129" s="683">
        <f t="shared" ref="CM129:CV129" si="391">BC129*$CL129</f>
        <v>0</v>
      </c>
      <c r="CN129" s="683">
        <f t="shared" si="391"/>
        <v>0</v>
      </c>
      <c r="CO129" s="683">
        <f t="shared" si="391"/>
        <v>0</v>
      </c>
      <c r="CP129" s="683">
        <f t="shared" si="391"/>
        <v>0</v>
      </c>
      <c r="CQ129" s="683">
        <f t="shared" si="391"/>
        <v>0</v>
      </c>
      <c r="CR129" s="683">
        <f t="shared" si="391"/>
        <v>0</v>
      </c>
      <c r="CS129" s="683">
        <f t="shared" si="391"/>
        <v>0</v>
      </c>
      <c r="CT129" s="683">
        <f t="shared" si="391"/>
        <v>0</v>
      </c>
      <c r="CU129" s="683">
        <f t="shared" si="391"/>
        <v>0</v>
      </c>
      <c r="CV129" s="683">
        <f t="shared" si="391"/>
        <v>0</v>
      </c>
      <c r="CW129" s="683">
        <f t="shared" si="21"/>
        <v>0</v>
      </c>
      <c r="CX129" s="683">
        <f t="shared" ref="CX129:DG129" si="392">BN129*$CL129</f>
        <v>0</v>
      </c>
      <c r="CY129" s="683">
        <f t="shared" si="392"/>
        <v>0</v>
      </c>
      <c r="CZ129" s="683">
        <f t="shared" si="392"/>
        <v>0</v>
      </c>
      <c r="DA129" s="683">
        <f t="shared" si="392"/>
        <v>1826.4432</v>
      </c>
      <c r="DB129" s="683">
        <f t="shared" si="392"/>
        <v>0</v>
      </c>
      <c r="DC129" s="683">
        <f t="shared" si="392"/>
        <v>0</v>
      </c>
      <c r="DD129" s="683">
        <f t="shared" si="392"/>
        <v>0</v>
      </c>
      <c r="DE129" s="683">
        <f t="shared" si="392"/>
        <v>0</v>
      </c>
      <c r="DF129" s="683">
        <f t="shared" si="392"/>
        <v>0</v>
      </c>
      <c r="DG129" s="683">
        <f t="shared" si="392"/>
        <v>0</v>
      </c>
      <c r="DH129" s="683">
        <f t="shared" si="23"/>
        <v>1826.4432</v>
      </c>
      <c r="DI129" s="683">
        <f t="shared" ref="DI129:DR129" si="393">BY129*$CL129</f>
        <v>1826.4432</v>
      </c>
      <c r="DJ129" s="683">
        <f t="shared" si="393"/>
        <v>913.2216</v>
      </c>
      <c r="DK129" s="683">
        <f t="shared" si="393"/>
        <v>1826.4432</v>
      </c>
      <c r="DL129" s="683">
        <f t="shared" si="393"/>
        <v>0</v>
      </c>
      <c r="DM129" s="683">
        <f t="shared" si="393"/>
        <v>0</v>
      </c>
      <c r="DN129" s="683">
        <f t="shared" si="393"/>
        <v>0</v>
      </c>
      <c r="DO129" s="683">
        <f t="shared" si="393"/>
        <v>0</v>
      </c>
      <c r="DP129" s="683">
        <f t="shared" si="393"/>
        <v>0</v>
      </c>
      <c r="DQ129" s="683">
        <f t="shared" si="393"/>
        <v>0</v>
      </c>
      <c r="DR129" s="683">
        <f t="shared" si="393"/>
        <v>0</v>
      </c>
      <c r="DS129" s="683">
        <f t="shared" si="25"/>
        <v>4566.108</v>
      </c>
      <c r="DT129" s="683">
        <f t="shared" si="175"/>
        <v>6392.5512</v>
      </c>
      <c r="DU129" s="504"/>
      <c r="DV129" s="486"/>
      <c r="DW129" s="688"/>
      <c r="DX129" s="688"/>
      <c r="DY129" s="688"/>
      <c r="DZ129" s="688"/>
      <c r="EA129" s="688"/>
      <c r="EB129" s="688"/>
      <c r="EC129" s="688"/>
      <c r="ED129" s="688"/>
      <c r="EE129" s="688"/>
      <c r="EF129" s="688"/>
      <c r="EG129" s="688"/>
      <c r="EH129" s="707" t="s">
        <v>3230</v>
      </c>
      <c r="EI129" s="708">
        <f>VLOOKUP(I129,CotizacionTDB,4,FALSE())</f>
        <v>131.21</v>
      </c>
      <c r="EJ129" s="708">
        <f>VLOOKUP(I129,CotizacionTDB,5,FALSE())</f>
        <v>111.53</v>
      </c>
      <c r="EK129" s="691"/>
    </row>
    <row r="130" ht="12.0" customHeight="1">
      <c r="A130" s="709" t="s">
        <v>3026</v>
      </c>
      <c r="B130" s="661">
        <v>2.0</v>
      </c>
      <c r="C130" s="567" t="s">
        <v>3027</v>
      </c>
      <c r="D130" s="568" t="s">
        <v>129</v>
      </c>
      <c r="E130" s="568" t="s">
        <v>2722</v>
      </c>
      <c r="F130" s="567" t="s">
        <v>1763</v>
      </c>
      <c r="G130" s="657" t="s">
        <v>2723</v>
      </c>
      <c r="H130" s="569" t="s">
        <v>3231</v>
      </c>
      <c r="I130" s="710" t="s">
        <v>2222</v>
      </c>
      <c r="J130" s="711" t="s">
        <v>3232</v>
      </c>
      <c r="K130" s="567" t="s">
        <v>25</v>
      </c>
      <c r="L130" s="567"/>
      <c r="M130" s="567"/>
      <c r="N130" s="567"/>
      <c r="O130" s="567">
        <v>2024.0</v>
      </c>
      <c r="P130" s="567">
        <v>2024.0</v>
      </c>
      <c r="Q130" s="567"/>
      <c r="R130" s="567"/>
      <c r="S130" s="567"/>
      <c r="T130" s="567"/>
      <c r="U130" s="567"/>
      <c r="V130" s="567"/>
      <c r="W130" s="567">
        <v>3.0</v>
      </c>
      <c r="X130" s="567"/>
      <c r="Y130" s="567"/>
      <c r="Z130" s="567">
        <v>2.0</v>
      </c>
      <c r="AA130" s="567">
        <v>2.0</v>
      </c>
      <c r="AB130" s="567"/>
      <c r="AC130" s="567"/>
      <c r="AD130" s="567"/>
      <c r="AE130" s="567"/>
      <c r="AF130" s="567"/>
      <c r="AG130" s="567"/>
      <c r="AH130" s="567"/>
      <c r="AI130" s="567"/>
      <c r="AJ130" s="567"/>
      <c r="AK130" s="567"/>
      <c r="AL130" s="567"/>
      <c r="AM130" s="567"/>
      <c r="AN130" s="567"/>
      <c r="AO130" s="567"/>
      <c r="AP130" s="567"/>
      <c r="AQ130" s="567"/>
      <c r="AR130" s="567">
        <v>0.0</v>
      </c>
      <c r="AS130" s="567">
        <v>0.0</v>
      </c>
      <c r="AT130" s="567">
        <v>0.0</v>
      </c>
      <c r="AU130" s="567">
        <v>-2024.0</v>
      </c>
      <c r="AV130" s="567">
        <v>-2024.0</v>
      </c>
      <c r="AW130" s="567">
        <v>0.0</v>
      </c>
      <c r="AX130" s="567">
        <v>0.0</v>
      </c>
      <c r="AY130" s="567">
        <v>0.0</v>
      </c>
      <c r="AZ130" s="567">
        <v>0.0</v>
      </c>
      <c r="BA130" s="567">
        <v>0.0</v>
      </c>
      <c r="BB130" s="567"/>
      <c r="BC130" s="567"/>
      <c r="BD130" s="567"/>
      <c r="BE130" s="567"/>
      <c r="BF130" s="567"/>
      <c r="BG130" s="567"/>
      <c r="BH130" s="567"/>
      <c r="BI130" s="567"/>
      <c r="BJ130" s="567"/>
      <c r="BK130" s="567"/>
      <c r="BL130" s="725"/>
      <c r="BM130" s="665">
        <f t="shared" si="1"/>
        <v>0</v>
      </c>
      <c r="BN130" s="671"/>
      <c r="BO130" s="668"/>
      <c r="BP130" s="668"/>
      <c r="BQ130" s="668">
        <v>1.0</v>
      </c>
      <c r="BR130" s="668">
        <v>1.0</v>
      </c>
      <c r="BS130" s="668"/>
      <c r="BT130" s="668"/>
      <c r="BU130" s="668"/>
      <c r="BV130" s="668"/>
      <c r="BW130" s="670"/>
      <c r="BX130" s="665">
        <f t="shared" si="2"/>
        <v>2</v>
      </c>
      <c r="BY130" s="671">
        <v>0.0</v>
      </c>
      <c r="BZ130" s="668">
        <v>0.0</v>
      </c>
      <c r="CA130" s="668">
        <v>0.0</v>
      </c>
      <c r="CB130" s="668">
        <v>1.0</v>
      </c>
      <c r="CC130" s="668">
        <v>1.0</v>
      </c>
      <c r="CD130" s="668">
        <v>0.0</v>
      </c>
      <c r="CE130" s="668">
        <v>0.0</v>
      </c>
      <c r="CF130" s="668">
        <v>0.0</v>
      </c>
      <c r="CG130" s="668">
        <v>0.0</v>
      </c>
      <c r="CH130" s="670">
        <v>0.0</v>
      </c>
      <c r="CI130" s="665">
        <f t="shared" si="3"/>
        <v>2</v>
      </c>
      <c r="CJ130" s="671">
        <f t="shared" si="4"/>
        <v>4</v>
      </c>
      <c r="CK130" s="715">
        <v>56.07</v>
      </c>
      <c r="CL130" s="668">
        <f t="shared" si="351"/>
        <v>390.2472</v>
      </c>
      <c r="CM130" s="668">
        <f t="shared" ref="CM130:CV130" si="394">BC130*$CL130</f>
        <v>0</v>
      </c>
      <c r="CN130" s="668">
        <f t="shared" si="394"/>
        <v>0</v>
      </c>
      <c r="CO130" s="668">
        <f t="shared" si="394"/>
        <v>0</v>
      </c>
      <c r="CP130" s="668">
        <f t="shared" si="394"/>
        <v>0</v>
      </c>
      <c r="CQ130" s="668">
        <f t="shared" si="394"/>
        <v>0</v>
      </c>
      <c r="CR130" s="668">
        <f t="shared" si="394"/>
        <v>0</v>
      </c>
      <c r="CS130" s="668">
        <f t="shared" si="394"/>
        <v>0</v>
      </c>
      <c r="CT130" s="668">
        <f t="shared" si="394"/>
        <v>0</v>
      </c>
      <c r="CU130" s="668">
        <f t="shared" si="394"/>
        <v>0</v>
      </c>
      <c r="CV130" s="668">
        <f t="shared" si="394"/>
        <v>0</v>
      </c>
      <c r="CW130" s="668">
        <f t="shared" si="21"/>
        <v>0</v>
      </c>
      <c r="CX130" s="668">
        <f t="shared" ref="CX130:DG130" si="395">BN130*$CL130</f>
        <v>0</v>
      </c>
      <c r="CY130" s="668">
        <f t="shared" si="395"/>
        <v>0</v>
      </c>
      <c r="CZ130" s="668">
        <f t="shared" si="395"/>
        <v>0</v>
      </c>
      <c r="DA130" s="668">
        <f t="shared" si="395"/>
        <v>390.2472</v>
      </c>
      <c r="DB130" s="668">
        <f t="shared" si="395"/>
        <v>390.2472</v>
      </c>
      <c r="DC130" s="668">
        <f t="shared" si="395"/>
        <v>0</v>
      </c>
      <c r="DD130" s="668">
        <f t="shared" si="395"/>
        <v>0</v>
      </c>
      <c r="DE130" s="668">
        <f t="shared" si="395"/>
        <v>0</v>
      </c>
      <c r="DF130" s="668">
        <f t="shared" si="395"/>
        <v>0</v>
      </c>
      <c r="DG130" s="668">
        <f t="shared" si="395"/>
        <v>0</v>
      </c>
      <c r="DH130" s="668">
        <f t="shared" si="23"/>
        <v>780.4944</v>
      </c>
      <c r="DI130" s="668">
        <f t="shared" ref="DI130:DR130" si="396">BY130*$CL130</f>
        <v>0</v>
      </c>
      <c r="DJ130" s="668">
        <f t="shared" si="396"/>
        <v>0</v>
      </c>
      <c r="DK130" s="668">
        <f t="shared" si="396"/>
        <v>0</v>
      </c>
      <c r="DL130" s="668">
        <f t="shared" si="396"/>
        <v>390.2472</v>
      </c>
      <c r="DM130" s="668">
        <f t="shared" si="396"/>
        <v>390.2472</v>
      </c>
      <c r="DN130" s="668">
        <f t="shared" si="396"/>
        <v>0</v>
      </c>
      <c r="DO130" s="668">
        <f t="shared" si="396"/>
        <v>0</v>
      </c>
      <c r="DP130" s="668">
        <f t="shared" si="396"/>
        <v>0</v>
      </c>
      <c r="DQ130" s="668">
        <f t="shared" si="396"/>
        <v>0</v>
      </c>
      <c r="DR130" s="668">
        <f t="shared" si="396"/>
        <v>0</v>
      </c>
      <c r="DS130" s="668">
        <f t="shared" si="25"/>
        <v>780.4944</v>
      </c>
      <c r="DT130" s="668">
        <f t="shared" si="175"/>
        <v>1560.9888</v>
      </c>
      <c r="DU130" s="538"/>
      <c r="DV130" s="468"/>
      <c r="DW130" s="698"/>
      <c r="DX130" s="698"/>
      <c r="DY130" s="698"/>
      <c r="DZ130" s="698"/>
      <c r="EA130" s="698"/>
      <c r="EB130" s="698"/>
      <c r="EC130" s="698"/>
      <c r="ED130" s="698"/>
      <c r="EE130" s="698"/>
      <c r="EF130" s="698"/>
      <c r="EG130" s="698"/>
      <c r="EH130" s="576" t="s">
        <v>3233</v>
      </c>
      <c r="EI130" s="716">
        <f>VLOOKUP(I130,CotizacionTDB,4,FALSE())</f>
        <v>56.07</v>
      </c>
      <c r="EJ130" s="716">
        <f>VLOOKUP(I130,CotizacionTDB,5,FALSE())</f>
        <v>47.66</v>
      </c>
      <c r="EK130" s="699"/>
    </row>
    <row r="131" ht="12.0" customHeight="1">
      <c r="A131" s="700" t="s">
        <v>3026</v>
      </c>
      <c r="B131" s="701">
        <v>2.0</v>
      </c>
      <c r="C131" s="562" t="s">
        <v>3027</v>
      </c>
      <c r="D131" s="571" t="s">
        <v>129</v>
      </c>
      <c r="E131" s="571" t="s">
        <v>2722</v>
      </c>
      <c r="F131" s="562" t="s">
        <v>1763</v>
      </c>
      <c r="G131" s="702" t="s">
        <v>2723</v>
      </c>
      <c r="H131" s="569" t="s">
        <v>3234</v>
      </c>
      <c r="I131" s="717" t="s">
        <v>2218</v>
      </c>
      <c r="J131" s="704" t="s">
        <v>1436</v>
      </c>
      <c r="K131" s="562" t="s">
        <v>25</v>
      </c>
      <c r="L131" s="562"/>
      <c r="M131" s="562"/>
      <c r="N131" s="562"/>
      <c r="O131" s="562">
        <v>2024.0</v>
      </c>
      <c r="P131" s="562">
        <v>2024.0</v>
      </c>
      <c r="Q131" s="562">
        <v>2024.0</v>
      </c>
      <c r="R131" s="562"/>
      <c r="S131" s="562"/>
      <c r="T131" s="562"/>
      <c r="U131" s="562"/>
      <c r="V131" s="562"/>
      <c r="W131" s="562">
        <v>3.0</v>
      </c>
      <c r="X131" s="562"/>
      <c r="Y131" s="562"/>
      <c r="Z131" s="562">
        <v>2.0</v>
      </c>
      <c r="AA131" s="562">
        <v>2.0</v>
      </c>
      <c r="AB131" s="562">
        <v>2.0</v>
      </c>
      <c r="AC131" s="562"/>
      <c r="AD131" s="562"/>
      <c r="AE131" s="562"/>
      <c r="AF131" s="562"/>
      <c r="AG131" s="562"/>
      <c r="AH131" s="562"/>
      <c r="AI131" s="562"/>
      <c r="AJ131" s="562"/>
      <c r="AK131" s="562"/>
      <c r="AL131" s="562"/>
      <c r="AM131" s="562"/>
      <c r="AN131" s="562"/>
      <c r="AO131" s="562"/>
      <c r="AP131" s="562"/>
      <c r="AQ131" s="562"/>
      <c r="AR131" s="562">
        <v>0.0</v>
      </c>
      <c r="AS131" s="562">
        <v>0.0</v>
      </c>
      <c r="AT131" s="562">
        <v>0.0</v>
      </c>
      <c r="AU131" s="562">
        <v>-2024.0</v>
      </c>
      <c r="AV131" s="562">
        <v>-2024.0</v>
      </c>
      <c r="AW131" s="562">
        <v>-2024.0</v>
      </c>
      <c r="AX131" s="562">
        <v>0.0</v>
      </c>
      <c r="AY131" s="562">
        <v>0.0</v>
      </c>
      <c r="AZ131" s="562">
        <v>0.0</v>
      </c>
      <c r="BA131" s="562">
        <v>0.0</v>
      </c>
      <c r="BB131" s="562"/>
      <c r="BC131" s="562"/>
      <c r="BD131" s="562"/>
      <c r="BE131" s="562"/>
      <c r="BF131" s="562"/>
      <c r="BG131" s="562"/>
      <c r="BH131" s="562"/>
      <c r="BI131" s="562"/>
      <c r="BJ131" s="562"/>
      <c r="BK131" s="562"/>
      <c r="BL131" s="681"/>
      <c r="BM131" s="665">
        <f t="shared" si="1"/>
        <v>0</v>
      </c>
      <c r="BN131" s="683"/>
      <c r="BO131" s="683"/>
      <c r="BP131" s="683"/>
      <c r="BQ131" s="683">
        <v>1.0</v>
      </c>
      <c r="BR131" s="683">
        <v>1.0</v>
      </c>
      <c r="BS131" s="683">
        <v>1.0</v>
      </c>
      <c r="BT131" s="683"/>
      <c r="BU131" s="683"/>
      <c r="BV131" s="683"/>
      <c r="BW131" s="724">
        <v>1.0</v>
      </c>
      <c r="BX131" s="665">
        <f t="shared" si="2"/>
        <v>4</v>
      </c>
      <c r="BY131" s="682">
        <v>0.0</v>
      </c>
      <c r="BZ131" s="683">
        <v>0.0</v>
      </c>
      <c r="CA131" s="683">
        <v>0.0</v>
      </c>
      <c r="CB131" s="683">
        <v>1.0</v>
      </c>
      <c r="CC131" s="683">
        <v>1.0</v>
      </c>
      <c r="CD131" s="683">
        <v>1.0</v>
      </c>
      <c r="CE131" s="683">
        <v>0.0</v>
      </c>
      <c r="CF131" s="683">
        <v>0.0</v>
      </c>
      <c r="CG131" s="683">
        <v>0.0</v>
      </c>
      <c r="CH131" s="686">
        <v>0.0</v>
      </c>
      <c r="CI131" s="665">
        <f t="shared" si="3"/>
        <v>3</v>
      </c>
      <c r="CJ131" s="682">
        <f t="shared" si="4"/>
        <v>7</v>
      </c>
      <c r="CK131" s="706">
        <v>30.57</v>
      </c>
      <c r="CL131" s="683">
        <f t="shared" si="351"/>
        <v>212.7672</v>
      </c>
      <c r="CM131" s="683">
        <f t="shared" ref="CM131:CV131" si="397">BC131*$CL131</f>
        <v>0</v>
      </c>
      <c r="CN131" s="683">
        <f t="shared" si="397"/>
        <v>0</v>
      </c>
      <c r="CO131" s="683">
        <f t="shared" si="397"/>
        <v>0</v>
      </c>
      <c r="CP131" s="683">
        <f t="shared" si="397"/>
        <v>0</v>
      </c>
      <c r="CQ131" s="683">
        <f t="shared" si="397"/>
        <v>0</v>
      </c>
      <c r="CR131" s="683">
        <f t="shared" si="397"/>
        <v>0</v>
      </c>
      <c r="CS131" s="683">
        <f t="shared" si="397"/>
        <v>0</v>
      </c>
      <c r="CT131" s="683">
        <f t="shared" si="397"/>
        <v>0</v>
      </c>
      <c r="CU131" s="683">
        <f t="shared" si="397"/>
        <v>0</v>
      </c>
      <c r="CV131" s="683">
        <f t="shared" si="397"/>
        <v>0</v>
      </c>
      <c r="CW131" s="683">
        <f t="shared" si="21"/>
        <v>0</v>
      </c>
      <c r="CX131" s="683">
        <f t="shared" ref="CX131:DG131" si="398">BN131*$CL131</f>
        <v>0</v>
      </c>
      <c r="CY131" s="683">
        <f t="shared" si="398"/>
        <v>0</v>
      </c>
      <c r="CZ131" s="683">
        <f t="shared" si="398"/>
        <v>0</v>
      </c>
      <c r="DA131" s="683">
        <f t="shared" si="398"/>
        <v>212.7672</v>
      </c>
      <c r="DB131" s="683">
        <f t="shared" si="398"/>
        <v>212.7672</v>
      </c>
      <c r="DC131" s="683">
        <f t="shared" si="398"/>
        <v>212.7672</v>
      </c>
      <c r="DD131" s="683">
        <f t="shared" si="398"/>
        <v>0</v>
      </c>
      <c r="DE131" s="683">
        <f t="shared" si="398"/>
        <v>0</v>
      </c>
      <c r="DF131" s="683">
        <f t="shared" si="398"/>
        <v>0</v>
      </c>
      <c r="DG131" s="683">
        <f t="shared" si="398"/>
        <v>212.7672</v>
      </c>
      <c r="DH131" s="683">
        <f t="shared" si="23"/>
        <v>851.0688</v>
      </c>
      <c r="DI131" s="683">
        <f t="shared" ref="DI131:DR131" si="399">BY131*$CL131</f>
        <v>0</v>
      </c>
      <c r="DJ131" s="683">
        <f t="shared" si="399"/>
        <v>0</v>
      </c>
      <c r="DK131" s="683">
        <f t="shared" si="399"/>
        <v>0</v>
      </c>
      <c r="DL131" s="683">
        <f t="shared" si="399"/>
        <v>212.7672</v>
      </c>
      <c r="DM131" s="683">
        <f t="shared" si="399"/>
        <v>212.7672</v>
      </c>
      <c r="DN131" s="683">
        <f t="shared" si="399"/>
        <v>212.7672</v>
      </c>
      <c r="DO131" s="683">
        <f t="shared" si="399"/>
        <v>0</v>
      </c>
      <c r="DP131" s="683">
        <f t="shared" si="399"/>
        <v>0</v>
      </c>
      <c r="DQ131" s="683">
        <f t="shared" si="399"/>
        <v>0</v>
      </c>
      <c r="DR131" s="683">
        <f t="shared" si="399"/>
        <v>0</v>
      </c>
      <c r="DS131" s="683">
        <f t="shared" si="25"/>
        <v>638.3016</v>
      </c>
      <c r="DT131" s="683">
        <f t="shared" si="175"/>
        <v>1489.3704</v>
      </c>
      <c r="DU131" s="504"/>
      <c r="DV131" s="486"/>
      <c r="DW131" s="688"/>
      <c r="DX131" s="688"/>
      <c r="DY131" s="688"/>
      <c r="DZ131" s="688"/>
      <c r="EA131" s="688"/>
      <c r="EB131" s="688"/>
      <c r="EC131" s="688"/>
      <c r="ED131" s="688"/>
      <c r="EE131" s="688"/>
      <c r="EF131" s="688"/>
      <c r="EG131" s="688"/>
      <c r="EH131" s="707" t="s">
        <v>3235</v>
      </c>
      <c r="EI131" s="708">
        <f>VLOOKUP(I131,CotizacionTDB,4,FALSE())</f>
        <v>30.57</v>
      </c>
      <c r="EJ131" s="708">
        <f>VLOOKUP(I131,CotizacionTDB,5,FALSE())</f>
        <v>25.98</v>
      </c>
      <c r="EK131" s="691"/>
    </row>
    <row r="132" ht="12.0" customHeight="1">
      <c r="A132" s="709" t="s">
        <v>3026</v>
      </c>
      <c r="B132" s="661"/>
      <c r="C132" s="567" t="s">
        <v>3027</v>
      </c>
      <c r="D132" s="568" t="s">
        <v>129</v>
      </c>
      <c r="E132" s="568" t="s">
        <v>2722</v>
      </c>
      <c r="F132" s="567" t="s">
        <v>1763</v>
      </c>
      <c r="G132" s="657" t="s">
        <v>2723</v>
      </c>
      <c r="H132" s="658"/>
      <c r="I132" s="567">
        <v>1.1176987E7</v>
      </c>
      <c r="J132" s="568" t="s">
        <v>1504</v>
      </c>
      <c r="K132" s="567" t="s">
        <v>25</v>
      </c>
      <c r="L132" s="567"/>
      <c r="M132" s="567"/>
      <c r="N132" s="567"/>
      <c r="O132" s="567">
        <v>2024.0</v>
      </c>
      <c r="P132" s="567"/>
      <c r="Q132" s="567"/>
      <c r="R132" s="567"/>
      <c r="S132" s="567"/>
      <c r="T132" s="567"/>
      <c r="U132" s="567"/>
      <c r="V132" s="567"/>
      <c r="W132" s="567">
        <v>3.0</v>
      </c>
      <c r="X132" s="567"/>
      <c r="Y132" s="567"/>
      <c r="Z132" s="567">
        <v>3.0</v>
      </c>
      <c r="AA132" s="567"/>
      <c r="AB132" s="567"/>
      <c r="AC132" s="567"/>
      <c r="AD132" s="567"/>
      <c r="AE132" s="567"/>
      <c r="AF132" s="567"/>
      <c r="AG132" s="567"/>
      <c r="AH132" s="567"/>
      <c r="AI132" s="567"/>
      <c r="AJ132" s="567"/>
      <c r="AK132" s="567"/>
      <c r="AL132" s="567"/>
      <c r="AM132" s="567"/>
      <c r="AN132" s="567"/>
      <c r="AO132" s="567"/>
      <c r="AP132" s="567"/>
      <c r="AQ132" s="567"/>
      <c r="AR132" s="567">
        <v>0.0</v>
      </c>
      <c r="AS132" s="567">
        <v>0.0</v>
      </c>
      <c r="AT132" s="567">
        <v>0.0</v>
      </c>
      <c r="AU132" s="567">
        <v>-2024.0</v>
      </c>
      <c r="AV132" s="567">
        <v>0.0</v>
      </c>
      <c r="AW132" s="567">
        <v>0.0</v>
      </c>
      <c r="AX132" s="567">
        <v>0.0</v>
      </c>
      <c r="AY132" s="567">
        <v>0.0</v>
      </c>
      <c r="AZ132" s="567">
        <v>0.0</v>
      </c>
      <c r="BA132" s="567">
        <v>0.0</v>
      </c>
      <c r="BB132" s="567"/>
      <c r="BC132" s="567"/>
      <c r="BD132" s="567"/>
      <c r="BE132" s="567"/>
      <c r="BF132" s="791">
        <v>0.0</v>
      </c>
      <c r="BG132" s="567"/>
      <c r="BH132" s="567"/>
      <c r="BI132" s="567"/>
      <c r="BJ132" s="567"/>
      <c r="BK132" s="567"/>
      <c r="BL132" s="725"/>
      <c r="BM132" s="665">
        <f t="shared" si="1"/>
        <v>0</v>
      </c>
      <c r="BN132" s="671"/>
      <c r="BO132" s="668"/>
      <c r="BP132" s="668"/>
      <c r="BQ132" s="668"/>
      <c r="BR132" s="668"/>
      <c r="BS132" s="668"/>
      <c r="BT132" s="668"/>
      <c r="BU132" s="668"/>
      <c r="BV132" s="668"/>
      <c r="BW132" s="670"/>
      <c r="BX132" s="665">
        <f t="shared" si="2"/>
        <v>0</v>
      </c>
      <c r="BY132" s="671">
        <v>0.0</v>
      </c>
      <c r="BZ132" s="668">
        <v>0.0</v>
      </c>
      <c r="CA132" s="668">
        <v>0.0</v>
      </c>
      <c r="CB132" s="668">
        <v>0.0</v>
      </c>
      <c r="CC132" s="668">
        <v>0.0</v>
      </c>
      <c r="CD132" s="668">
        <v>0.0</v>
      </c>
      <c r="CE132" s="668">
        <v>0.0</v>
      </c>
      <c r="CF132" s="668">
        <v>0.0</v>
      </c>
      <c r="CG132" s="668">
        <v>0.0</v>
      </c>
      <c r="CH132" s="670">
        <v>0.0</v>
      </c>
      <c r="CI132" s="665">
        <f t="shared" si="3"/>
        <v>0</v>
      </c>
      <c r="CJ132" s="671">
        <f t="shared" si="4"/>
        <v>0</v>
      </c>
      <c r="CK132" s="668"/>
      <c r="CL132" s="668">
        <v>850.4793999999999</v>
      </c>
      <c r="CM132" s="668">
        <f t="shared" ref="CM132:CV132" si="400">BC132*$CL132</f>
        <v>0</v>
      </c>
      <c r="CN132" s="668">
        <f t="shared" si="400"/>
        <v>0</v>
      </c>
      <c r="CO132" s="668">
        <f t="shared" si="400"/>
        <v>0</v>
      </c>
      <c r="CP132" s="668">
        <f t="shared" si="400"/>
        <v>0</v>
      </c>
      <c r="CQ132" s="668">
        <f t="shared" si="400"/>
        <v>0</v>
      </c>
      <c r="CR132" s="668">
        <f t="shared" si="400"/>
        <v>0</v>
      </c>
      <c r="CS132" s="668">
        <f t="shared" si="400"/>
        <v>0</v>
      </c>
      <c r="CT132" s="668">
        <f t="shared" si="400"/>
        <v>0</v>
      </c>
      <c r="CU132" s="668">
        <f t="shared" si="400"/>
        <v>0</v>
      </c>
      <c r="CV132" s="668">
        <f t="shared" si="400"/>
        <v>0</v>
      </c>
      <c r="CW132" s="668">
        <f t="shared" si="21"/>
        <v>0</v>
      </c>
      <c r="CX132" s="668">
        <f t="shared" ref="CX132:DG132" si="401">BN132*$CL132</f>
        <v>0</v>
      </c>
      <c r="CY132" s="668">
        <f t="shared" si="401"/>
        <v>0</v>
      </c>
      <c r="CZ132" s="668">
        <f t="shared" si="401"/>
        <v>0</v>
      </c>
      <c r="DA132" s="668">
        <f t="shared" si="401"/>
        <v>0</v>
      </c>
      <c r="DB132" s="668">
        <f t="shared" si="401"/>
        <v>0</v>
      </c>
      <c r="DC132" s="668">
        <f t="shared" si="401"/>
        <v>0</v>
      </c>
      <c r="DD132" s="668">
        <f t="shared" si="401"/>
        <v>0</v>
      </c>
      <c r="DE132" s="668">
        <f t="shared" si="401"/>
        <v>0</v>
      </c>
      <c r="DF132" s="668">
        <f t="shared" si="401"/>
        <v>0</v>
      </c>
      <c r="DG132" s="668">
        <f t="shared" si="401"/>
        <v>0</v>
      </c>
      <c r="DH132" s="668">
        <f t="shared" si="23"/>
        <v>0</v>
      </c>
      <c r="DI132" s="668">
        <f t="shared" ref="DI132:DR132" si="402">BY132*$CL132</f>
        <v>0</v>
      </c>
      <c r="DJ132" s="668">
        <f t="shared" si="402"/>
        <v>0</v>
      </c>
      <c r="DK132" s="668">
        <f t="shared" si="402"/>
        <v>0</v>
      </c>
      <c r="DL132" s="668">
        <f t="shared" si="402"/>
        <v>0</v>
      </c>
      <c r="DM132" s="668">
        <f t="shared" si="402"/>
        <v>0</v>
      </c>
      <c r="DN132" s="668">
        <f t="shared" si="402"/>
        <v>0</v>
      </c>
      <c r="DO132" s="668">
        <f t="shared" si="402"/>
        <v>0</v>
      </c>
      <c r="DP132" s="668">
        <f t="shared" si="402"/>
        <v>0</v>
      </c>
      <c r="DQ132" s="668">
        <f t="shared" si="402"/>
        <v>0</v>
      </c>
      <c r="DR132" s="668">
        <f t="shared" si="402"/>
        <v>0</v>
      </c>
      <c r="DS132" s="668">
        <f t="shared" si="25"/>
        <v>0</v>
      </c>
      <c r="DT132" s="668">
        <f t="shared" si="175"/>
        <v>0</v>
      </c>
      <c r="DU132" s="538"/>
      <c r="DV132" s="468" t="s">
        <v>3236</v>
      </c>
      <c r="DW132" s="698"/>
      <c r="DX132" s="698"/>
      <c r="DY132" s="698"/>
      <c r="DZ132" s="698"/>
      <c r="EA132" s="698"/>
      <c r="EB132" s="698"/>
      <c r="EC132" s="698"/>
      <c r="ED132" s="698"/>
      <c r="EE132" s="698"/>
      <c r="EF132" s="698"/>
      <c r="EG132" s="698"/>
      <c r="EH132" s="677">
        <f>CK132*6.97</f>
        <v>0</v>
      </c>
      <c r="EI132" s="678">
        <v>1.0</v>
      </c>
      <c r="EJ132" s="699"/>
      <c r="EK132" s="699"/>
    </row>
    <row r="133" ht="12.0" customHeight="1">
      <c r="A133" s="700" t="s">
        <v>3026</v>
      </c>
      <c r="B133" s="701">
        <v>2.0</v>
      </c>
      <c r="C133" s="562" t="s">
        <v>3027</v>
      </c>
      <c r="D133" s="571" t="s">
        <v>129</v>
      </c>
      <c r="E133" s="571" t="s">
        <v>2722</v>
      </c>
      <c r="F133" s="562" t="s">
        <v>1763</v>
      </c>
      <c r="G133" s="702" t="s">
        <v>2723</v>
      </c>
      <c r="H133" s="569" t="s">
        <v>3237</v>
      </c>
      <c r="I133" s="717" t="s">
        <v>2247</v>
      </c>
      <c r="J133" s="704" t="s">
        <v>3238</v>
      </c>
      <c r="K133" s="562" t="s">
        <v>25</v>
      </c>
      <c r="L133" s="562"/>
      <c r="M133" s="562"/>
      <c r="N133" s="562"/>
      <c r="O133" s="562">
        <v>2024.0</v>
      </c>
      <c r="P133" s="562"/>
      <c r="Q133" s="562"/>
      <c r="R133" s="562"/>
      <c r="S133" s="562"/>
      <c r="T133" s="562"/>
      <c r="U133" s="562"/>
      <c r="V133" s="562"/>
      <c r="W133" s="562"/>
      <c r="X133" s="562"/>
      <c r="Y133" s="562"/>
      <c r="Z133" s="562">
        <v>3.0</v>
      </c>
      <c r="AA133" s="562"/>
      <c r="AB133" s="562"/>
      <c r="AC133" s="562"/>
      <c r="AD133" s="562"/>
      <c r="AE133" s="562"/>
      <c r="AF133" s="562"/>
      <c r="AG133" s="562"/>
      <c r="AH133" s="562"/>
      <c r="AI133" s="562"/>
      <c r="AJ133" s="562"/>
      <c r="AK133" s="562"/>
      <c r="AL133" s="562"/>
      <c r="AM133" s="562"/>
      <c r="AN133" s="562"/>
      <c r="AO133" s="562"/>
      <c r="AP133" s="562"/>
      <c r="AQ133" s="562"/>
      <c r="AR133" s="562">
        <v>0.0</v>
      </c>
      <c r="AS133" s="562">
        <v>0.0</v>
      </c>
      <c r="AT133" s="562">
        <v>0.0</v>
      </c>
      <c r="AU133" s="562">
        <v>-2024.0</v>
      </c>
      <c r="AV133" s="562">
        <v>0.0</v>
      </c>
      <c r="AW133" s="562">
        <v>0.0</v>
      </c>
      <c r="AX133" s="562">
        <v>0.0</v>
      </c>
      <c r="AY133" s="562">
        <v>0.0</v>
      </c>
      <c r="AZ133" s="562">
        <v>0.0</v>
      </c>
      <c r="BA133" s="562">
        <v>0.0</v>
      </c>
      <c r="BB133" s="562"/>
      <c r="BC133" s="562"/>
      <c r="BD133" s="562"/>
      <c r="BE133" s="562"/>
      <c r="BF133" s="562"/>
      <c r="BG133" s="562"/>
      <c r="BH133" s="562"/>
      <c r="BI133" s="562"/>
      <c r="BJ133" s="562"/>
      <c r="BK133" s="562"/>
      <c r="BL133" s="681"/>
      <c r="BM133" s="665">
        <f t="shared" si="1"/>
        <v>0</v>
      </c>
      <c r="BN133" s="682"/>
      <c r="BO133" s="683"/>
      <c r="BP133" s="683"/>
      <c r="BQ133" s="683">
        <v>1.0</v>
      </c>
      <c r="BR133" s="683"/>
      <c r="BS133" s="683"/>
      <c r="BT133" s="683"/>
      <c r="BU133" s="683"/>
      <c r="BV133" s="683"/>
      <c r="BW133" s="686"/>
      <c r="BX133" s="665">
        <f t="shared" si="2"/>
        <v>1</v>
      </c>
      <c r="BY133" s="733">
        <v>1.0</v>
      </c>
      <c r="BZ133" s="683">
        <v>0.0</v>
      </c>
      <c r="CA133" s="687">
        <v>1.0</v>
      </c>
      <c r="CB133" s="683">
        <v>0.0</v>
      </c>
      <c r="CC133" s="683">
        <v>0.0</v>
      </c>
      <c r="CD133" s="683">
        <v>0.0</v>
      </c>
      <c r="CE133" s="683">
        <v>0.0</v>
      </c>
      <c r="CF133" s="683">
        <v>0.0</v>
      </c>
      <c r="CG133" s="683">
        <v>0.0</v>
      </c>
      <c r="CH133" s="686">
        <v>0.0</v>
      </c>
      <c r="CI133" s="665">
        <f t="shared" si="3"/>
        <v>2</v>
      </c>
      <c r="CJ133" s="682">
        <f t="shared" si="4"/>
        <v>3</v>
      </c>
      <c r="CK133" s="706">
        <v>112.25</v>
      </c>
      <c r="CL133" s="683">
        <f t="shared" ref="CL133:CL138" si="406">CK133*$CL$1</f>
        <v>781.26</v>
      </c>
      <c r="CM133" s="683">
        <f t="shared" ref="CM133:CV133" si="403">BC133*$CL133</f>
        <v>0</v>
      </c>
      <c r="CN133" s="683">
        <f t="shared" si="403"/>
        <v>0</v>
      </c>
      <c r="CO133" s="683">
        <f t="shared" si="403"/>
        <v>0</v>
      </c>
      <c r="CP133" s="683">
        <f t="shared" si="403"/>
        <v>0</v>
      </c>
      <c r="CQ133" s="683">
        <f t="shared" si="403"/>
        <v>0</v>
      </c>
      <c r="CR133" s="683">
        <f t="shared" si="403"/>
        <v>0</v>
      </c>
      <c r="CS133" s="683">
        <f t="shared" si="403"/>
        <v>0</v>
      </c>
      <c r="CT133" s="683">
        <f t="shared" si="403"/>
        <v>0</v>
      </c>
      <c r="CU133" s="683">
        <f t="shared" si="403"/>
        <v>0</v>
      </c>
      <c r="CV133" s="683">
        <f t="shared" si="403"/>
        <v>0</v>
      </c>
      <c r="CW133" s="683">
        <f t="shared" si="21"/>
        <v>0</v>
      </c>
      <c r="CX133" s="683">
        <f t="shared" ref="CX133:DG133" si="404">BN133*$CL133</f>
        <v>0</v>
      </c>
      <c r="CY133" s="683">
        <f t="shared" si="404"/>
        <v>0</v>
      </c>
      <c r="CZ133" s="683">
        <f t="shared" si="404"/>
        <v>0</v>
      </c>
      <c r="DA133" s="683">
        <f t="shared" si="404"/>
        <v>781.26</v>
      </c>
      <c r="DB133" s="683">
        <f t="shared" si="404"/>
        <v>0</v>
      </c>
      <c r="DC133" s="683">
        <f t="shared" si="404"/>
        <v>0</v>
      </c>
      <c r="DD133" s="683">
        <f t="shared" si="404"/>
        <v>0</v>
      </c>
      <c r="DE133" s="683">
        <f t="shared" si="404"/>
        <v>0</v>
      </c>
      <c r="DF133" s="683">
        <f t="shared" si="404"/>
        <v>0</v>
      </c>
      <c r="DG133" s="683">
        <f t="shared" si="404"/>
        <v>0</v>
      </c>
      <c r="DH133" s="683">
        <f t="shared" si="23"/>
        <v>781.26</v>
      </c>
      <c r="DI133" s="683">
        <f t="shared" ref="DI133:DR133" si="405">BY133*$CL133</f>
        <v>781.26</v>
      </c>
      <c r="DJ133" s="683">
        <f t="shared" si="405"/>
        <v>0</v>
      </c>
      <c r="DK133" s="683">
        <f t="shared" si="405"/>
        <v>781.26</v>
      </c>
      <c r="DL133" s="683">
        <f t="shared" si="405"/>
        <v>0</v>
      </c>
      <c r="DM133" s="683">
        <f t="shared" si="405"/>
        <v>0</v>
      </c>
      <c r="DN133" s="683">
        <f t="shared" si="405"/>
        <v>0</v>
      </c>
      <c r="DO133" s="683">
        <f t="shared" si="405"/>
        <v>0</v>
      </c>
      <c r="DP133" s="683">
        <f t="shared" si="405"/>
        <v>0</v>
      </c>
      <c r="DQ133" s="683">
        <f t="shared" si="405"/>
        <v>0</v>
      </c>
      <c r="DR133" s="683">
        <f t="shared" si="405"/>
        <v>0</v>
      </c>
      <c r="DS133" s="683">
        <f t="shared" si="25"/>
        <v>1562.52</v>
      </c>
      <c r="DT133" s="683">
        <f t="shared" si="175"/>
        <v>2343.78</v>
      </c>
      <c r="DU133" s="504"/>
      <c r="DV133" s="486"/>
      <c r="DW133" s="688"/>
      <c r="DX133" s="688"/>
      <c r="DY133" s="688"/>
      <c r="DZ133" s="688"/>
      <c r="EA133" s="688"/>
      <c r="EB133" s="688"/>
      <c r="EC133" s="688"/>
      <c r="ED133" s="688"/>
      <c r="EE133" s="688"/>
      <c r="EF133" s="688"/>
      <c r="EG133" s="688"/>
      <c r="EH133" s="707" t="s">
        <v>1525</v>
      </c>
      <c r="EI133" s="708">
        <f>VLOOKUP(I133,CotizacionTDB,4,FALSE())</f>
        <v>112.25</v>
      </c>
      <c r="EJ133" s="708">
        <f>VLOOKUP(I133,CotizacionTDB,5,FALSE())</f>
        <v>95.41</v>
      </c>
      <c r="EK133" s="691"/>
    </row>
    <row r="134" ht="12.0" customHeight="1">
      <c r="A134" s="709" t="s">
        <v>3026</v>
      </c>
      <c r="B134" s="661">
        <v>2.0</v>
      </c>
      <c r="C134" s="567" t="s">
        <v>3027</v>
      </c>
      <c r="D134" s="568" t="s">
        <v>129</v>
      </c>
      <c r="E134" s="568" t="s">
        <v>2722</v>
      </c>
      <c r="F134" s="567" t="s">
        <v>1763</v>
      </c>
      <c r="G134" s="657" t="s">
        <v>2723</v>
      </c>
      <c r="H134" s="569" t="s">
        <v>3239</v>
      </c>
      <c r="I134" s="710" t="s">
        <v>2224</v>
      </c>
      <c r="J134" s="711" t="s">
        <v>3240</v>
      </c>
      <c r="K134" s="567" t="s">
        <v>25</v>
      </c>
      <c r="L134" s="567"/>
      <c r="M134" s="567"/>
      <c r="N134" s="567"/>
      <c r="O134" s="567">
        <v>2024.0</v>
      </c>
      <c r="P134" s="567">
        <v>2024.0</v>
      </c>
      <c r="Q134" s="567">
        <v>2024.0</v>
      </c>
      <c r="R134" s="567"/>
      <c r="S134" s="567"/>
      <c r="T134" s="567"/>
      <c r="U134" s="567"/>
      <c r="V134" s="567"/>
      <c r="W134" s="567">
        <v>3.0</v>
      </c>
      <c r="X134" s="567"/>
      <c r="Y134" s="567"/>
      <c r="Z134" s="567">
        <v>2.0</v>
      </c>
      <c r="AA134" s="567">
        <v>2.0</v>
      </c>
      <c r="AB134" s="567">
        <v>2.0</v>
      </c>
      <c r="AC134" s="567"/>
      <c r="AD134" s="567"/>
      <c r="AE134" s="567"/>
      <c r="AF134" s="567"/>
      <c r="AG134" s="567"/>
      <c r="AH134" s="567"/>
      <c r="AI134" s="567"/>
      <c r="AJ134" s="567"/>
      <c r="AK134" s="567"/>
      <c r="AL134" s="567"/>
      <c r="AM134" s="567"/>
      <c r="AN134" s="567"/>
      <c r="AO134" s="567"/>
      <c r="AP134" s="567"/>
      <c r="AQ134" s="567"/>
      <c r="AR134" s="567">
        <v>0.0</v>
      </c>
      <c r="AS134" s="567">
        <v>0.0</v>
      </c>
      <c r="AT134" s="567">
        <v>0.0</v>
      </c>
      <c r="AU134" s="567">
        <v>-2024.0</v>
      </c>
      <c r="AV134" s="567">
        <v>-2024.0</v>
      </c>
      <c r="AW134" s="567">
        <v>-2024.0</v>
      </c>
      <c r="AX134" s="567">
        <v>0.0</v>
      </c>
      <c r="AY134" s="567">
        <v>0.0</v>
      </c>
      <c r="AZ134" s="567">
        <v>0.0</v>
      </c>
      <c r="BA134" s="567">
        <v>0.0</v>
      </c>
      <c r="BB134" s="567"/>
      <c r="BC134" s="567"/>
      <c r="BD134" s="567"/>
      <c r="BE134" s="567"/>
      <c r="BF134" s="567"/>
      <c r="BG134" s="567"/>
      <c r="BH134" s="567"/>
      <c r="BI134" s="567"/>
      <c r="BJ134" s="567"/>
      <c r="BK134" s="567"/>
      <c r="BL134" s="725"/>
      <c r="BM134" s="665">
        <f t="shared" si="1"/>
        <v>0</v>
      </c>
      <c r="BN134" s="668"/>
      <c r="BO134" s="668"/>
      <c r="BP134" s="668"/>
      <c r="BQ134" s="668">
        <v>1.0</v>
      </c>
      <c r="BR134" s="668">
        <v>1.0</v>
      </c>
      <c r="BS134" s="668">
        <v>1.0</v>
      </c>
      <c r="BT134" s="668"/>
      <c r="BU134" s="668"/>
      <c r="BV134" s="668"/>
      <c r="BW134" s="670"/>
      <c r="BX134" s="665">
        <f t="shared" si="2"/>
        <v>3</v>
      </c>
      <c r="BY134" s="671">
        <v>0.0</v>
      </c>
      <c r="BZ134" s="668">
        <v>0.0</v>
      </c>
      <c r="CA134" s="668">
        <v>0.0</v>
      </c>
      <c r="CB134" s="668">
        <v>1.0</v>
      </c>
      <c r="CC134" s="668">
        <v>1.0</v>
      </c>
      <c r="CD134" s="668">
        <v>1.0</v>
      </c>
      <c r="CE134" s="668">
        <v>0.0</v>
      </c>
      <c r="CF134" s="668">
        <v>0.0</v>
      </c>
      <c r="CG134" s="668">
        <v>0.0</v>
      </c>
      <c r="CH134" s="670">
        <v>0.0</v>
      </c>
      <c r="CI134" s="665">
        <f t="shared" si="3"/>
        <v>3</v>
      </c>
      <c r="CJ134" s="671">
        <f t="shared" si="4"/>
        <v>6</v>
      </c>
      <c r="CK134" s="715">
        <v>17.34</v>
      </c>
      <c r="CL134" s="668">
        <f t="shared" si="406"/>
        <v>120.6864</v>
      </c>
      <c r="CM134" s="668">
        <f t="shared" ref="CM134:CV134" si="407">BC134*$CL134</f>
        <v>0</v>
      </c>
      <c r="CN134" s="668">
        <f t="shared" si="407"/>
        <v>0</v>
      </c>
      <c r="CO134" s="668">
        <f t="shared" si="407"/>
        <v>0</v>
      </c>
      <c r="CP134" s="668">
        <f t="shared" si="407"/>
        <v>0</v>
      </c>
      <c r="CQ134" s="668">
        <f t="shared" si="407"/>
        <v>0</v>
      </c>
      <c r="CR134" s="668">
        <f t="shared" si="407"/>
        <v>0</v>
      </c>
      <c r="CS134" s="668">
        <f t="shared" si="407"/>
        <v>0</v>
      </c>
      <c r="CT134" s="668">
        <f t="shared" si="407"/>
        <v>0</v>
      </c>
      <c r="CU134" s="668">
        <f t="shared" si="407"/>
        <v>0</v>
      </c>
      <c r="CV134" s="668">
        <f t="shared" si="407"/>
        <v>0</v>
      </c>
      <c r="CW134" s="668">
        <f t="shared" si="21"/>
        <v>0</v>
      </c>
      <c r="CX134" s="668">
        <f t="shared" ref="CX134:DG134" si="408">BN134*$CL134</f>
        <v>0</v>
      </c>
      <c r="CY134" s="668">
        <f t="shared" si="408"/>
        <v>0</v>
      </c>
      <c r="CZ134" s="668">
        <f t="shared" si="408"/>
        <v>0</v>
      </c>
      <c r="DA134" s="668">
        <f t="shared" si="408"/>
        <v>120.6864</v>
      </c>
      <c r="DB134" s="668">
        <f t="shared" si="408"/>
        <v>120.6864</v>
      </c>
      <c r="DC134" s="668">
        <f t="shared" si="408"/>
        <v>120.6864</v>
      </c>
      <c r="DD134" s="668">
        <f t="shared" si="408"/>
        <v>0</v>
      </c>
      <c r="DE134" s="668">
        <f t="shared" si="408"/>
        <v>0</v>
      </c>
      <c r="DF134" s="668">
        <f t="shared" si="408"/>
        <v>0</v>
      </c>
      <c r="DG134" s="668">
        <f t="shared" si="408"/>
        <v>0</v>
      </c>
      <c r="DH134" s="668">
        <f t="shared" si="23"/>
        <v>362.0592</v>
      </c>
      <c r="DI134" s="668">
        <f t="shared" ref="DI134:DR134" si="409">BY134*$CL134</f>
        <v>0</v>
      </c>
      <c r="DJ134" s="668">
        <f t="shared" si="409"/>
        <v>0</v>
      </c>
      <c r="DK134" s="668">
        <f t="shared" si="409"/>
        <v>0</v>
      </c>
      <c r="DL134" s="668">
        <f t="shared" si="409"/>
        <v>120.6864</v>
      </c>
      <c r="DM134" s="668">
        <f t="shared" si="409"/>
        <v>120.6864</v>
      </c>
      <c r="DN134" s="668">
        <f t="shared" si="409"/>
        <v>120.6864</v>
      </c>
      <c r="DO134" s="668">
        <f t="shared" si="409"/>
        <v>0</v>
      </c>
      <c r="DP134" s="668">
        <f t="shared" si="409"/>
        <v>0</v>
      </c>
      <c r="DQ134" s="668">
        <f t="shared" si="409"/>
        <v>0</v>
      </c>
      <c r="DR134" s="668">
        <f t="shared" si="409"/>
        <v>0</v>
      </c>
      <c r="DS134" s="668">
        <f t="shared" si="25"/>
        <v>362.0592</v>
      </c>
      <c r="DT134" s="668">
        <f t="shared" si="175"/>
        <v>724.1184</v>
      </c>
      <c r="DU134" s="538"/>
      <c r="DV134" s="468"/>
      <c r="DW134" s="698"/>
      <c r="DX134" s="698"/>
      <c r="DY134" s="698"/>
      <c r="DZ134" s="698"/>
      <c r="EA134" s="698"/>
      <c r="EB134" s="698"/>
      <c r="EC134" s="698"/>
      <c r="ED134" s="698"/>
      <c r="EE134" s="698"/>
      <c r="EF134" s="698"/>
      <c r="EG134" s="698"/>
      <c r="EH134" s="576" t="s">
        <v>3241</v>
      </c>
      <c r="EI134" s="716">
        <f>VLOOKUP(I134,CotizacionTDB,4,FALSE())</f>
        <v>17.34</v>
      </c>
      <c r="EJ134" s="716">
        <f>VLOOKUP(I134,CotizacionTDB,5,FALSE())</f>
        <v>14.74</v>
      </c>
      <c r="EK134" s="699"/>
    </row>
    <row r="135" ht="12.0" customHeight="1">
      <c r="A135" s="700" t="s">
        <v>3026</v>
      </c>
      <c r="B135" s="701">
        <v>2.0</v>
      </c>
      <c r="C135" s="562" t="s">
        <v>3027</v>
      </c>
      <c r="D135" s="571" t="s">
        <v>129</v>
      </c>
      <c r="E135" s="571" t="s">
        <v>2722</v>
      </c>
      <c r="F135" s="562" t="s">
        <v>1763</v>
      </c>
      <c r="G135" s="702" t="s">
        <v>2723</v>
      </c>
      <c r="H135" s="569" t="s">
        <v>3242</v>
      </c>
      <c r="I135" s="717" t="s">
        <v>2226</v>
      </c>
      <c r="J135" s="704" t="s">
        <v>3243</v>
      </c>
      <c r="K135" s="562" t="s">
        <v>25</v>
      </c>
      <c r="L135" s="562"/>
      <c r="M135" s="562"/>
      <c r="N135" s="562"/>
      <c r="O135" s="562">
        <v>2024.0</v>
      </c>
      <c r="P135" s="562">
        <v>2024.0</v>
      </c>
      <c r="Q135" s="562">
        <v>2024.0</v>
      </c>
      <c r="R135" s="562"/>
      <c r="S135" s="562"/>
      <c r="T135" s="562"/>
      <c r="U135" s="562"/>
      <c r="V135" s="562"/>
      <c r="W135" s="562">
        <v>3.0</v>
      </c>
      <c r="X135" s="562"/>
      <c r="Y135" s="562"/>
      <c r="Z135" s="562">
        <v>2.0</v>
      </c>
      <c r="AA135" s="562">
        <v>2.0</v>
      </c>
      <c r="AB135" s="562">
        <v>2.0</v>
      </c>
      <c r="AC135" s="562"/>
      <c r="AD135" s="562"/>
      <c r="AE135" s="562"/>
      <c r="AF135" s="562"/>
      <c r="AG135" s="562"/>
      <c r="AH135" s="562"/>
      <c r="AI135" s="562"/>
      <c r="AJ135" s="562"/>
      <c r="AK135" s="562"/>
      <c r="AL135" s="562"/>
      <c r="AM135" s="562"/>
      <c r="AN135" s="562"/>
      <c r="AO135" s="562"/>
      <c r="AP135" s="562"/>
      <c r="AQ135" s="562"/>
      <c r="AR135" s="562">
        <v>0.0</v>
      </c>
      <c r="AS135" s="562">
        <v>0.0</v>
      </c>
      <c r="AT135" s="562">
        <v>0.0</v>
      </c>
      <c r="AU135" s="562">
        <v>-2024.0</v>
      </c>
      <c r="AV135" s="562">
        <v>-2024.0</v>
      </c>
      <c r="AW135" s="562">
        <v>-2024.0</v>
      </c>
      <c r="AX135" s="562">
        <v>0.0</v>
      </c>
      <c r="AY135" s="562">
        <v>0.0</v>
      </c>
      <c r="AZ135" s="562">
        <v>0.0</v>
      </c>
      <c r="BA135" s="562">
        <v>0.0</v>
      </c>
      <c r="BB135" s="562"/>
      <c r="BC135" s="562"/>
      <c r="BD135" s="562"/>
      <c r="BE135" s="562"/>
      <c r="BF135" s="562"/>
      <c r="BG135" s="562"/>
      <c r="BH135" s="562"/>
      <c r="BI135" s="562"/>
      <c r="BJ135" s="562"/>
      <c r="BK135" s="562"/>
      <c r="BL135" s="681"/>
      <c r="BM135" s="665">
        <f t="shared" si="1"/>
        <v>0</v>
      </c>
      <c r="BN135" s="682"/>
      <c r="BO135" s="683"/>
      <c r="BP135" s="683"/>
      <c r="BQ135" s="683">
        <v>1.0</v>
      </c>
      <c r="BR135" s="683">
        <v>1.0</v>
      </c>
      <c r="BS135" s="683">
        <v>1.0</v>
      </c>
      <c r="BT135" s="683"/>
      <c r="BU135" s="683"/>
      <c r="BV135" s="683"/>
      <c r="BW135" s="686"/>
      <c r="BX135" s="665">
        <f t="shared" si="2"/>
        <v>3</v>
      </c>
      <c r="BY135" s="682">
        <v>0.0</v>
      </c>
      <c r="BZ135" s="683">
        <v>0.0</v>
      </c>
      <c r="CA135" s="683">
        <v>0.0</v>
      </c>
      <c r="CB135" s="683">
        <v>1.0</v>
      </c>
      <c r="CC135" s="683">
        <v>1.0</v>
      </c>
      <c r="CD135" s="683">
        <v>1.0</v>
      </c>
      <c r="CE135" s="683">
        <v>0.0</v>
      </c>
      <c r="CF135" s="683">
        <v>0.0</v>
      </c>
      <c r="CG135" s="683">
        <v>0.0</v>
      </c>
      <c r="CH135" s="686">
        <v>0.0</v>
      </c>
      <c r="CI135" s="665">
        <f t="shared" si="3"/>
        <v>3</v>
      </c>
      <c r="CJ135" s="682">
        <f t="shared" si="4"/>
        <v>6</v>
      </c>
      <c r="CK135" s="706">
        <v>16.19</v>
      </c>
      <c r="CL135" s="683">
        <f t="shared" si="406"/>
        <v>112.6824</v>
      </c>
      <c r="CM135" s="683">
        <f t="shared" ref="CM135:CV135" si="410">BC135*$CL135</f>
        <v>0</v>
      </c>
      <c r="CN135" s="683">
        <f t="shared" si="410"/>
        <v>0</v>
      </c>
      <c r="CO135" s="683">
        <f t="shared" si="410"/>
        <v>0</v>
      </c>
      <c r="CP135" s="683">
        <f t="shared" si="410"/>
        <v>0</v>
      </c>
      <c r="CQ135" s="683">
        <f t="shared" si="410"/>
        <v>0</v>
      </c>
      <c r="CR135" s="683">
        <f t="shared" si="410"/>
        <v>0</v>
      </c>
      <c r="CS135" s="683">
        <f t="shared" si="410"/>
        <v>0</v>
      </c>
      <c r="CT135" s="683">
        <f t="shared" si="410"/>
        <v>0</v>
      </c>
      <c r="CU135" s="683">
        <f t="shared" si="410"/>
        <v>0</v>
      </c>
      <c r="CV135" s="683">
        <f t="shared" si="410"/>
        <v>0</v>
      </c>
      <c r="CW135" s="683">
        <f t="shared" si="21"/>
        <v>0</v>
      </c>
      <c r="CX135" s="683">
        <f t="shared" ref="CX135:DG135" si="411">BN135*$CL135</f>
        <v>0</v>
      </c>
      <c r="CY135" s="683">
        <f t="shared" si="411"/>
        <v>0</v>
      </c>
      <c r="CZ135" s="683">
        <f t="shared" si="411"/>
        <v>0</v>
      </c>
      <c r="DA135" s="683">
        <f t="shared" si="411"/>
        <v>112.6824</v>
      </c>
      <c r="DB135" s="683">
        <f t="shared" si="411"/>
        <v>112.6824</v>
      </c>
      <c r="DC135" s="683">
        <f t="shared" si="411"/>
        <v>112.6824</v>
      </c>
      <c r="DD135" s="683">
        <f t="shared" si="411"/>
        <v>0</v>
      </c>
      <c r="DE135" s="683">
        <f t="shared" si="411"/>
        <v>0</v>
      </c>
      <c r="DF135" s="683">
        <f t="shared" si="411"/>
        <v>0</v>
      </c>
      <c r="DG135" s="683">
        <f t="shared" si="411"/>
        <v>0</v>
      </c>
      <c r="DH135" s="683">
        <f t="shared" si="23"/>
        <v>338.0472</v>
      </c>
      <c r="DI135" s="683">
        <f t="shared" ref="DI135:DR135" si="412">BY135*$CL135</f>
        <v>0</v>
      </c>
      <c r="DJ135" s="683">
        <f t="shared" si="412"/>
        <v>0</v>
      </c>
      <c r="DK135" s="683">
        <f t="shared" si="412"/>
        <v>0</v>
      </c>
      <c r="DL135" s="683">
        <f t="shared" si="412"/>
        <v>112.6824</v>
      </c>
      <c r="DM135" s="683">
        <f t="shared" si="412"/>
        <v>112.6824</v>
      </c>
      <c r="DN135" s="683">
        <f t="shared" si="412"/>
        <v>112.6824</v>
      </c>
      <c r="DO135" s="683">
        <f t="shared" si="412"/>
        <v>0</v>
      </c>
      <c r="DP135" s="683">
        <f t="shared" si="412"/>
        <v>0</v>
      </c>
      <c r="DQ135" s="683">
        <f t="shared" si="412"/>
        <v>0</v>
      </c>
      <c r="DR135" s="683">
        <f t="shared" si="412"/>
        <v>0</v>
      </c>
      <c r="DS135" s="683">
        <f t="shared" si="25"/>
        <v>338.0472</v>
      </c>
      <c r="DT135" s="683">
        <f t="shared" si="175"/>
        <v>676.0944</v>
      </c>
      <c r="DU135" s="504"/>
      <c r="DV135" s="486"/>
      <c r="DW135" s="688"/>
      <c r="DX135" s="688"/>
      <c r="DY135" s="688"/>
      <c r="DZ135" s="688"/>
      <c r="EA135" s="688"/>
      <c r="EB135" s="688"/>
      <c r="EC135" s="688"/>
      <c r="ED135" s="688"/>
      <c r="EE135" s="688"/>
      <c r="EF135" s="688"/>
      <c r="EG135" s="688"/>
      <c r="EH135" s="707" t="s">
        <v>3244</v>
      </c>
      <c r="EI135" s="708">
        <f>VLOOKUP(I135,CotizacionTDB,4,FALSE())</f>
        <v>16.19</v>
      </c>
      <c r="EJ135" s="708">
        <f>VLOOKUP(I135,CotizacionTDB,5,FALSE())</f>
        <v>13.76</v>
      </c>
      <c r="EK135" s="691"/>
    </row>
    <row r="136" ht="12.0" customHeight="1">
      <c r="A136" s="709" t="s">
        <v>3026</v>
      </c>
      <c r="B136" s="661">
        <v>2.0</v>
      </c>
      <c r="C136" s="567" t="s">
        <v>3027</v>
      </c>
      <c r="D136" s="568" t="s">
        <v>129</v>
      </c>
      <c r="E136" s="568" t="s">
        <v>2722</v>
      </c>
      <c r="F136" s="567" t="s">
        <v>1763</v>
      </c>
      <c r="G136" s="657" t="s">
        <v>2723</v>
      </c>
      <c r="H136" s="569" t="s">
        <v>3245</v>
      </c>
      <c r="I136" s="710" t="s">
        <v>1977</v>
      </c>
      <c r="J136" s="711" t="s">
        <v>3246</v>
      </c>
      <c r="K136" s="567" t="s">
        <v>25</v>
      </c>
      <c r="L136" s="567"/>
      <c r="M136" s="567"/>
      <c r="N136" s="567"/>
      <c r="O136" s="567">
        <v>2024.0</v>
      </c>
      <c r="P136" s="567">
        <v>2024.0</v>
      </c>
      <c r="Q136" s="567">
        <v>2024.0</v>
      </c>
      <c r="R136" s="567"/>
      <c r="S136" s="567"/>
      <c r="T136" s="567"/>
      <c r="U136" s="567"/>
      <c r="V136" s="567"/>
      <c r="W136" s="567">
        <v>3.0</v>
      </c>
      <c r="X136" s="567"/>
      <c r="Y136" s="567"/>
      <c r="Z136" s="567">
        <v>2.0</v>
      </c>
      <c r="AA136" s="567">
        <v>2.0</v>
      </c>
      <c r="AB136" s="567">
        <v>2.0</v>
      </c>
      <c r="AC136" s="567"/>
      <c r="AD136" s="567"/>
      <c r="AE136" s="567"/>
      <c r="AF136" s="567"/>
      <c r="AG136" s="567"/>
      <c r="AH136" s="567"/>
      <c r="AI136" s="567"/>
      <c r="AJ136" s="567"/>
      <c r="AK136" s="567"/>
      <c r="AL136" s="567"/>
      <c r="AM136" s="567"/>
      <c r="AN136" s="567"/>
      <c r="AO136" s="567"/>
      <c r="AP136" s="567"/>
      <c r="AQ136" s="567"/>
      <c r="AR136" s="567">
        <v>0.0</v>
      </c>
      <c r="AS136" s="567">
        <v>0.0</v>
      </c>
      <c r="AT136" s="567">
        <v>0.0</v>
      </c>
      <c r="AU136" s="567">
        <v>-2024.0</v>
      </c>
      <c r="AV136" s="567">
        <v>-2024.0</v>
      </c>
      <c r="AW136" s="567">
        <v>-2024.0</v>
      </c>
      <c r="AX136" s="567">
        <v>0.0</v>
      </c>
      <c r="AY136" s="567">
        <v>0.0</v>
      </c>
      <c r="AZ136" s="567">
        <v>0.0</v>
      </c>
      <c r="BA136" s="567">
        <v>0.0</v>
      </c>
      <c r="BB136" s="567"/>
      <c r="BC136" s="567"/>
      <c r="BD136" s="567"/>
      <c r="BE136" s="567"/>
      <c r="BF136" s="567"/>
      <c r="BG136" s="567"/>
      <c r="BH136" s="567"/>
      <c r="BI136" s="567"/>
      <c r="BJ136" s="567"/>
      <c r="BK136" s="567"/>
      <c r="BL136" s="725"/>
      <c r="BM136" s="665">
        <f t="shared" si="1"/>
        <v>0</v>
      </c>
      <c r="BN136" s="671"/>
      <c r="BO136" s="668"/>
      <c r="BP136" s="668"/>
      <c r="BQ136" s="668">
        <v>1.0</v>
      </c>
      <c r="BR136" s="668">
        <v>1.0</v>
      </c>
      <c r="BS136" s="668">
        <v>2.0</v>
      </c>
      <c r="BT136" s="668"/>
      <c r="BU136" s="668"/>
      <c r="BV136" s="668"/>
      <c r="BW136" s="670"/>
      <c r="BX136" s="665">
        <f t="shared" si="2"/>
        <v>4</v>
      </c>
      <c r="BY136" s="671">
        <v>0.0</v>
      </c>
      <c r="BZ136" s="668">
        <v>0.0</v>
      </c>
      <c r="CA136" s="668">
        <v>0.0</v>
      </c>
      <c r="CB136" s="668">
        <v>1.0</v>
      </c>
      <c r="CC136" s="668">
        <v>1.0</v>
      </c>
      <c r="CD136" s="668">
        <v>2.0</v>
      </c>
      <c r="CE136" s="668">
        <v>0.0</v>
      </c>
      <c r="CF136" s="668">
        <v>0.0</v>
      </c>
      <c r="CG136" s="668">
        <v>0.0</v>
      </c>
      <c r="CH136" s="670">
        <v>0.0</v>
      </c>
      <c r="CI136" s="665">
        <f t="shared" si="3"/>
        <v>4</v>
      </c>
      <c r="CJ136" s="671">
        <f t="shared" si="4"/>
        <v>8</v>
      </c>
      <c r="CK136" s="715">
        <v>8.08</v>
      </c>
      <c r="CL136" s="668">
        <f t="shared" si="406"/>
        <v>56.2368</v>
      </c>
      <c r="CM136" s="668">
        <f t="shared" ref="CM136:CV136" si="413">BC136*$CL136</f>
        <v>0</v>
      </c>
      <c r="CN136" s="668">
        <f t="shared" si="413"/>
        <v>0</v>
      </c>
      <c r="CO136" s="668">
        <f t="shared" si="413"/>
        <v>0</v>
      </c>
      <c r="CP136" s="668">
        <f t="shared" si="413"/>
        <v>0</v>
      </c>
      <c r="CQ136" s="668">
        <f t="shared" si="413"/>
        <v>0</v>
      </c>
      <c r="CR136" s="668">
        <f t="shared" si="413"/>
        <v>0</v>
      </c>
      <c r="CS136" s="668">
        <f t="shared" si="413"/>
        <v>0</v>
      </c>
      <c r="CT136" s="668">
        <f t="shared" si="413"/>
        <v>0</v>
      </c>
      <c r="CU136" s="668">
        <f t="shared" si="413"/>
        <v>0</v>
      </c>
      <c r="CV136" s="668">
        <f t="shared" si="413"/>
        <v>0</v>
      </c>
      <c r="CW136" s="668">
        <f t="shared" si="21"/>
        <v>0</v>
      </c>
      <c r="CX136" s="668">
        <f t="shared" ref="CX136:DG136" si="414">BN136*$CL136</f>
        <v>0</v>
      </c>
      <c r="CY136" s="668">
        <f t="shared" si="414"/>
        <v>0</v>
      </c>
      <c r="CZ136" s="668">
        <f t="shared" si="414"/>
        <v>0</v>
      </c>
      <c r="DA136" s="668">
        <f t="shared" si="414"/>
        <v>56.2368</v>
      </c>
      <c r="DB136" s="668">
        <f t="shared" si="414"/>
        <v>56.2368</v>
      </c>
      <c r="DC136" s="668">
        <f t="shared" si="414"/>
        <v>112.4736</v>
      </c>
      <c r="DD136" s="668">
        <f t="shared" si="414"/>
        <v>0</v>
      </c>
      <c r="DE136" s="668">
        <f t="shared" si="414"/>
        <v>0</v>
      </c>
      <c r="DF136" s="668">
        <f t="shared" si="414"/>
        <v>0</v>
      </c>
      <c r="DG136" s="668">
        <f t="shared" si="414"/>
        <v>0</v>
      </c>
      <c r="DH136" s="668">
        <f t="shared" si="23"/>
        <v>224.9472</v>
      </c>
      <c r="DI136" s="668">
        <f t="shared" ref="DI136:DR136" si="415">BY136*$CL136</f>
        <v>0</v>
      </c>
      <c r="DJ136" s="668">
        <f t="shared" si="415"/>
        <v>0</v>
      </c>
      <c r="DK136" s="668">
        <f t="shared" si="415"/>
        <v>0</v>
      </c>
      <c r="DL136" s="668">
        <f t="shared" si="415"/>
        <v>56.2368</v>
      </c>
      <c r="DM136" s="668">
        <f t="shared" si="415"/>
        <v>56.2368</v>
      </c>
      <c r="DN136" s="668">
        <f t="shared" si="415"/>
        <v>112.4736</v>
      </c>
      <c r="DO136" s="668">
        <f t="shared" si="415"/>
        <v>0</v>
      </c>
      <c r="DP136" s="668">
        <f t="shared" si="415"/>
        <v>0</v>
      </c>
      <c r="DQ136" s="668">
        <f t="shared" si="415"/>
        <v>0</v>
      </c>
      <c r="DR136" s="668">
        <f t="shared" si="415"/>
        <v>0</v>
      </c>
      <c r="DS136" s="668">
        <f t="shared" si="25"/>
        <v>224.9472</v>
      </c>
      <c r="DT136" s="668">
        <f t="shared" si="175"/>
        <v>449.8944</v>
      </c>
      <c r="DU136" s="538"/>
      <c r="DV136" s="468"/>
      <c r="DW136" s="698"/>
      <c r="DX136" s="698"/>
      <c r="DY136" s="698"/>
      <c r="DZ136" s="698"/>
      <c r="EA136" s="698"/>
      <c r="EB136" s="698"/>
      <c r="EC136" s="698"/>
      <c r="ED136" s="698"/>
      <c r="EE136" s="698"/>
      <c r="EF136" s="698"/>
      <c r="EG136" s="698"/>
      <c r="EH136" s="576" t="s">
        <v>3247</v>
      </c>
      <c r="EI136" s="716">
        <f>VLOOKUP(I136,CotizacionTDB,4,FALSE())</f>
        <v>8.08</v>
      </c>
      <c r="EJ136" s="716">
        <f>VLOOKUP(I136,CotizacionTDB,5,FALSE())</f>
        <v>6.87</v>
      </c>
      <c r="EK136" s="699"/>
    </row>
    <row r="137" ht="12.0" customHeight="1">
      <c r="A137" s="700" t="s">
        <v>3026</v>
      </c>
      <c r="B137" s="701">
        <v>2.0</v>
      </c>
      <c r="C137" s="562" t="s">
        <v>3027</v>
      </c>
      <c r="D137" s="571" t="s">
        <v>129</v>
      </c>
      <c r="E137" s="571" t="s">
        <v>2722</v>
      </c>
      <c r="F137" s="562" t="s">
        <v>1763</v>
      </c>
      <c r="G137" s="702" t="s">
        <v>2723</v>
      </c>
      <c r="H137" s="569" t="s">
        <v>3248</v>
      </c>
      <c r="I137" s="717" t="s">
        <v>2088</v>
      </c>
      <c r="J137" s="704" t="s">
        <v>1611</v>
      </c>
      <c r="K137" s="562" t="s">
        <v>25</v>
      </c>
      <c r="L137" s="562"/>
      <c r="M137" s="562"/>
      <c r="N137" s="562"/>
      <c r="O137" s="562">
        <v>2024.0</v>
      </c>
      <c r="P137" s="562">
        <v>2024.0</v>
      </c>
      <c r="Q137" s="562"/>
      <c r="R137" s="562"/>
      <c r="S137" s="562"/>
      <c r="T137" s="562"/>
      <c r="U137" s="562"/>
      <c r="V137" s="562"/>
      <c r="W137" s="562">
        <v>3.0</v>
      </c>
      <c r="X137" s="562"/>
      <c r="Y137" s="562"/>
      <c r="Z137" s="562">
        <v>2.0</v>
      </c>
      <c r="AA137" s="562">
        <v>2.0</v>
      </c>
      <c r="AB137" s="562"/>
      <c r="AC137" s="562"/>
      <c r="AD137" s="562"/>
      <c r="AE137" s="562"/>
      <c r="AF137" s="562"/>
      <c r="AG137" s="562"/>
      <c r="AH137" s="562"/>
      <c r="AI137" s="562"/>
      <c r="AJ137" s="562"/>
      <c r="AK137" s="562"/>
      <c r="AL137" s="562"/>
      <c r="AM137" s="562"/>
      <c r="AN137" s="562"/>
      <c r="AO137" s="562"/>
      <c r="AP137" s="562"/>
      <c r="AQ137" s="562"/>
      <c r="AR137" s="562">
        <v>0.0</v>
      </c>
      <c r="AS137" s="562">
        <v>0.0</v>
      </c>
      <c r="AT137" s="562">
        <v>0.0</v>
      </c>
      <c r="AU137" s="562">
        <v>-2024.0</v>
      </c>
      <c r="AV137" s="562">
        <v>-2024.0</v>
      </c>
      <c r="AW137" s="562">
        <v>0.0</v>
      </c>
      <c r="AX137" s="562">
        <v>0.0</v>
      </c>
      <c r="AY137" s="562">
        <v>0.0</v>
      </c>
      <c r="AZ137" s="562">
        <v>0.0</v>
      </c>
      <c r="BA137" s="562">
        <v>0.0</v>
      </c>
      <c r="BB137" s="562"/>
      <c r="BC137" s="562"/>
      <c r="BD137" s="562"/>
      <c r="BE137" s="562"/>
      <c r="BF137" s="562"/>
      <c r="BG137" s="562"/>
      <c r="BH137" s="562"/>
      <c r="BI137" s="562"/>
      <c r="BJ137" s="562"/>
      <c r="BK137" s="562"/>
      <c r="BL137" s="681"/>
      <c r="BM137" s="665">
        <f t="shared" si="1"/>
        <v>0</v>
      </c>
      <c r="BN137" s="682"/>
      <c r="BO137" s="683"/>
      <c r="BP137" s="683"/>
      <c r="BQ137" s="683">
        <v>2.0</v>
      </c>
      <c r="BR137" s="683">
        <v>1.0</v>
      </c>
      <c r="BS137" s="683"/>
      <c r="BT137" s="683"/>
      <c r="BU137" s="683"/>
      <c r="BV137" s="683"/>
      <c r="BW137" s="686"/>
      <c r="BX137" s="665">
        <f t="shared" si="2"/>
        <v>3</v>
      </c>
      <c r="BY137" s="682">
        <v>0.0</v>
      </c>
      <c r="BZ137" s="683">
        <v>0.0</v>
      </c>
      <c r="CA137" s="683">
        <v>0.0</v>
      </c>
      <c r="CB137" s="683">
        <v>2.0</v>
      </c>
      <c r="CC137" s="683">
        <v>1.0</v>
      </c>
      <c r="CD137" s="683">
        <v>0.0</v>
      </c>
      <c r="CE137" s="683">
        <v>0.0</v>
      </c>
      <c r="CF137" s="683">
        <v>0.0</v>
      </c>
      <c r="CG137" s="683">
        <v>0.0</v>
      </c>
      <c r="CH137" s="686">
        <v>0.0</v>
      </c>
      <c r="CI137" s="665">
        <f t="shared" si="3"/>
        <v>3</v>
      </c>
      <c r="CJ137" s="682">
        <f t="shared" si="4"/>
        <v>6</v>
      </c>
      <c r="CK137" s="706">
        <v>8.31</v>
      </c>
      <c r="CL137" s="683">
        <f t="shared" si="406"/>
        <v>57.8376</v>
      </c>
      <c r="CM137" s="683">
        <f t="shared" ref="CM137:CV137" si="416">BC137*$CL137</f>
        <v>0</v>
      </c>
      <c r="CN137" s="683">
        <f t="shared" si="416"/>
        <v>0</v>
      </c>
      <c r="CO137" s="683">
        <f t="shared" si="416"/>
        <v>0</v>
      </c>
      <c r="CP137" s="683">
        <f t="shared" si="416"/>
        <v>0</v>
      </c>
      <c r="CQ137" s="683">
        <f t="shared" si="416"/>
        <v>0</v>
      </c>
      <c r="CR137" s="683">
        <f t="shared" si="416"/>
        <v>0</v>
      </c>
      <c r="CS137" s="683">
        <f t="shared" si="416"/>
        <v>0</v>
      </c>
      <c r="CT137" s="683">
        <f t="shared" si="416"/>
        <v>0</v>
      </c>
      <c r="CU137" s="683">
        <f t="shared" si="416"/>
        <v>0</v>
      </c>
      <c r="CV137" s="683">
        <f t="shared" si="416"/>
        <v>0</v>
      </c>
      <c r="CW137" s="683">
        <f t="shared" si="21"/>
        <v>0</v>
      </c>
      <c r="CX137" s="683">
        <f t="shared" ref="CX137:DG137" si="417">BN137*$CL137</f>
        <v>0</v>
      </c>
      <c r="CY137" s="683">
        <f t="shared" si="417"/>
        <v>0</v>
      </c>
      <c r="CZ137" s="683">
        <f t="shared" si="417"/>
        <v>0</v>
      </c>
      <c r="DA137" s="683">
        <f t="shared" si="417"/>
        <v>115.6752</v>
      </c>
      <c r="DB137" s="683">
        <f t="shared" si="417"/>
        <v>57.8376</v>
      </c>
      <c r="DC137" s="683">
        <f t="shared" si="417"/>
        <v>0</v>
      </c>
      <c r="DD137" s="683">
        <f t="shared" si="417"/>
        <v>0</v>
      </c>
      <c r="DE137" s="683">
        <f t="shared" si="417"/>
        <v>0</v>
      </c>
      <c r="DF137" s="683">
        <f t="shared" si="417"/>
        <v>0</v>
      </c>
      <c r="DG137" s="683">
        <f t="shared" si="417"/>
        <v>0</v>
      </c>
      <c r="DH137" s="683">
        <f t="shared" si="23"/>
        <v>173.5128</v>
      </c>
      <c r="DI137" s="683">
        <f t="shared" ref="DI137:DR137" si="418">BY137*$CL137</f>
        <v>0</v>
      </c>
      <c r="DJ137" s="683">
        <f t="shared" si="418"/>
        <v>0</v>
      </c>
      <c r="DK137" s="683">
        <f t="shared" si="418"/>
        <v>0</v>
      </c>
      <c r="DL137" s="683">
        <f t="shared" si="418"/>
        <v>115.6752</v>
      </c>
      <c r="DM137" s="683">
        <f t="shared" si="418"/>
        <v>57.8376</v>
      </c>
      <c r="DN137" s="683">
        <f t="shared" si="418"/>
        <v>0</v>
      </c>
      <c r="DO137" s="683">
        <f t="shared" si="418"/>
        <v>0</v>
      </c>
      <c r="DP137" s="683">
        <f t="shared" si="418"/>
        <v>0</v>
      </c>
      <c r="DQ137" s="683">
        <f t="shared" si="418"/>
        <v>0</v>
      </c>
      <c r="DR137" s="683">
        <f t="shared" si="418"/>
        <v>0</v>
      </c>
      <c r="DS137" s="683">
        <f t="shared" si="25"/>
        <v>173.5128</v>
      </c>
      <c r="DT137" s="683">
        <f t="shared" si="175"/>
        <v>347.0256</v>
      </c>
      <c r="DU137" s="504"/>
      <c r="DV137" s="486"/>
      <c r="DW137" s="688"/>
      <c r="DX137" s="688"/>
      <c r="DY137" s="688"/>
      <c r="DZ137" s="688"/>
      <c r="EA137" s="688"/>
      <c r="EB137" s="688"/>
      <c r="EC137" s="688"/>
      <c r="ED137" s="688"/>
      <c r="EE137" s="688"/>
      <c r="EF137" s="688"/>
      <c r="EG137" s="688"/>
      <c r="EH137" s="707" t="s">
        <v>3249</v>
      </c>
      <c r="EI137" s="708">
        <f>VLOOKUP(I137,CotizacionTDB,4,FALSE())</f>
        <v>8.31</v>
      </c>
      <c r="EJ137" s="708">
        <f>VLOOKUP(I137,CotizacionTDB,5,FALSE())</f>
        <v>7.06</v>
      </c>
      <c r="EK137" s="691"/>
    </row>
    <row r="138" ht="12.0" customHeight="1">
      <c r="A138" s="709" t="s">
        <v>3026</v>
      </c>
      <c r="B138" s="661">
        <v>2.0</v>
      </c>
      <c r="C138" s="567" t="s">
        <v>3027</v>
      </c>
      <c r="D138" s="568" t="s">
        <v>129</v>
      </c>
      <c r="E138" s="568" t="s">
        <v>2722</v>
      </c>
      <c r="F138" s="567" t="s">
        <v>1763</v>
      </c>
      <c r="G138" s="657" t="s">
        <v>2723</v>
      </c>
      <c r="H138" s="658"/>
      <c r="I138" s="710" t="s">
        <v>2338</v>
      </c>
      <c r="J138" s="711" t="s">
        <v>1614</v>
      </c>
      <c r="K138" s="567" t="s">
        <v>25</v>
      </c>
      <c r="L138" s="567"/>
      <c r="M138" s="567"/>
      <c r="N138" s="567"/>
      <c r="O138" s="567">
        <v>2024.0</v>
      </c>
      <c r="P138" s="567"/>
      <c r="Q138" s="567"/>
      <c r="R138" s="567"/>
      <c r="S138" s="567"/>
      <c r="T138" s="567"/>
      <c r="U138" s="567"/>
      <c r="V138" s="567"/>
      <c r="W138" s="567">
        <v>3.0</v>
      </c>
      <c r="X138" s="567"/>
      <c r="Y138" s="567"/>
      <c r="Z138" s="567">
        <v>2.0</v>
      </c>
      <c r="AA138" s="567"/>
      <c r="AB138" s="567"/>
      <c r="AC138" s="567"/>
      <c r="AD138" s="567"/>
      <c r="AE138" s="567"/>
      <c r="AF138" s="567"/>
      <c r="AG138" s="567"/>
      <c r="AH138" s="567"/>
      <c r="AI138" s="567"/>
      <c r="AJ138" s="567"/>
      <c r="AK138" s="567"/>
      <c r="AL138" s="567"/>
      <c r="AM138" s="567"/>
      <c r="AN138" s="567"/>
      <c r="AO138" s="567"/>
      <c r="AP138" s="567"/>
      <c r="AQ138" s="567"/>
      <c r="AR138" s="567">
        <v>0.0</v>
      </c>
      <c r="AS138" s="567">
        <v>0.0</v>
      </c>
      <c r="AT138" s="567">
        <v>0.0</v>
      </c>
      <c r="AU138" s="567">
        <v>-2024.0</v>
      </c>
      <c r="AV138" s="567">
        <v>0.0</v>
      </c>
      <c r="AW138" s="567">
        <v>0.0</v>
      </c>
      <c r="AX138" s="567">
        <v>0.0</v>
      </c>
      <c r="AY138" s="567">
        <v>0.0</v>
      </c>
      <c r="AZ138" s="567">
        <v>0.0</v>
      </c>
      <c r="BA138" s="567">
        <v>0.0</v>
      </c>
      <c r="BB138" s="567"/>
      <c r="BC138" s="567"/>
      <c r="BD138" s="567"/>
      <c r="BE138" s="567"/>
      <c r="BF138" s="567"/>
      <c r="BG138" s="567"/>
      <c r="BH138" s="567"/>
      <c r="BI138" s="567"/>
      <c r="BJ138" s="567"/>
      <c r="BK138" s="567"/>
      <c r="BL138" s="725"/>
      <c r="BM138" s="665">
        <f t="shared" si="1"/>
        <v>0</v>
      </c>
      <c r="BN138" s="671"/>
      <c r="BO138" s="668"/>
      <c r="BP138" s="668"/>
      <c r="BQ138" s="668">
        <v>1.0</v>
      </c>
      <c r="BR138" s="668"/>
      <c r="BS138" s="668"/>
      <c r="BT138" s="668"/>
      <c r="BU138" s="668"/>
      <c r="BV138" s="668"/>
      <c r="BW138" s="670"/>
      <c r="BX138" s="665">
        <f t="shared" si="2"/>
        <v>1</v>
      </c>
      <c r="BY138" s="671">
        <v>0.0</v>
      </c>
      <c r="BZ138" s="668">
        <v>0.0</v>
      </c>
      <c r="CA138" s="668">
        <v>0.0</v>
      </c>
      <c r="CB138" s="668">
        <v>1.0</v>
      </c>
      <c r="CC138" s="668">
        <v>0.0</v>
      </c>
      <c r="CD138" s="668">
        <v>0.0</v>
      </c>
      <c r="CE138" s="668">
        <v>0.0</v>
      </c>
      <c r="CF138" s="668">
        <v>0.0</v>
      </c>
      <c r="CG138" s="668">
        <v>0.0</v>
      </c>
      <c r="CH138" s="670">
        <v>0.0</v>
      </c>
      <c r="CI138" s="665">
        <f t="shared" si="3"/>
        <v>1</v>
      </c>
      <c r="CJ138" s="671">
        <f t="shared" si="4"/>
        <v>2</v>
      </c>
      <c r="CK138" s="715">
        <v>23.5</v>
      </c>
      <c r="CL138" s="668">
        <f t="shared" si="406"/>
        <v>163.56</v>
      </c>
      <c r="CM138" s="668">
        <f t="shared" ref="CM138:CV138" si="419">BC138*$CL138</f>
        <v>0</v>
      </c>
      <c r="CN138" s="668">
        <f t="shared" si="419"/>
        <v>0</v>
      </c>
      <c r="CO138" s="668">
        <f t="shared" si="419"/>
        <v>0</v>
      </c>
      <c r="CP138" s="668">
        <f t="shared" si="419"/>
        <v>0</v>
      </c>
      <c r="CQ138" s="668">
        <f t="shared" si="419"/>
        <v>0</v>
      </c>
      <c r="CR138" s="668">
        <f t="shared" si="419"/>
        <v>0</v>
      </c>
      <c r="CS138" s="668">
        <f t="shared" si="419"/>
        <v>0</v>
      </c>
      <c r="CT138" s="668">
        <f t="shared" si="419"/>
        <v>0</v>
      </c>
      <c r="CU138" s="668">
        <f t="shared" si="419"/>
        <v>0</v>
      </c>
      <c r="CV138" s="668">
        <f t="shared" si="419"/>
        <v>0</v>
      </c>
      <c r="CW138" s="668">
        <f t="shared" si="21"/>
        <v>0</v>
      </c>
      <c r="CX138" s="668">
        <f t="shared" ref="CX138:DG138" si="420">BN138*$CL138</f>
        <v>0</v>
      </c>
      <c r="CY138" s="668">
        <f t="shared" si="420"/>
        <v>0</v>
      </c>
      <c r="CZ138" s="668">
        <f t="shared" si="420"/>
        <v>0</v>
      </c>
      <c r="DA138" s="668">
        <f t="shared" si="420"/>
        <v>163.56</v>
      </c>
      <c r="DB138" s="668">
        <f t="shared" si="420"/>
        <v>0</v>
      </c>
      <c r="DC138" s="668">
        <f t="shared" si="420"/>
        <v>0</v>
      </c>
      <c r="DD138" s="668">
        <f t="shared" si="420"/>
        <v>0</v>
      </c>
      <c r="DE138" s="668">
        <f t="shared" si="420"/>
        <v>0</v>
      </c>
      <c r="DF138" s="668">
        <f t="shared" si="420"/>
        <v>0</v>
      </c>
      <c r="DG138" s="668">
        <f t="shared" si="420"/>
        <v>0</v>
      </c>
      <c r="DH138" s="668">
        <f t="shared" si="23"/>
        <v>163.56</v>
      </c>
      <c r="DI138" s="668">
        <f t="shared" ref="DI138:DR138" si="421">BY138*$CL138</f>
        <v>0</v>
      </c>
      <c r="DJ138" s="668">
        <f t="shared" si="421"/>
        <v>0</v>
      </c>
      <c r="DK138" s="668">
        <f t="shared" si="421"/>
        <v>0</v>
      </c>
      <c r="DL138" s="668">
        <f t="shared" si="421"/>
        <v>163.56</v>
      </c>
      <c r="DM138" s="668">
        <f t="shared" si="421"/>
        <v>0</v>
      </c>
      <c r="DN138" s="668">
        <f t="shared" si="421"/>
        <v>0</v>
      </c>
      <c r="DO138" s="668">
        <f t="shared" si="421"/>
        <v>0</v>
      </c>
      <c r="DP138" s="668">
        <f t="shared" si="421"/>
        <v>0</v>
      </c>
      <c r="DQ138" s="668">
        <f t="shared" si="421"/>
        <v>0</v>
      </c>
      <c r="DR138" s="668">
        <f t="shared" si="421"/>
        <v>0</v>
      </c>
      <c r="DS138" s="668">
        <f t="shared" si="25"/>
        <v>163.56</v>
      </c>
      <c r="DT138" s="668">
        <f t="shared" si="175"/>
        <v>327.12</v>
      </c>
      <c r="DU138" s="538"/>
      <c r="DV138" s="468"/>
      <c r="DW138" s="698"/>
      <c r="DX138" s="698"/>
      <c r="DY138" s="698"/>
      <c r="DZ138" s="698"/>
      <c r="EA138" s="698"/>
      <c r="EB138" s="698"/>
      <c r="EC138" s="698"/>
      <c r="ED138" s="698"/>
      <c r="EE138" s="698"/>
      <c r="EF138" s="698"/>
      <c r="EG138" s="698"/>
      <c r="EH138" s="576" t="s">
        <v>3250</v>
      </c>
      <c r="EI138" s="716">
        <f>VLOOKUP(I138,CotizacionTDB,4,FALSE())</f>
        <v>23.5</v>
      </c>
      <c r="EJ138" s="716">
        <f>VLOOKUP(I138,CotizacionTDB,5,FALSE())</f>
        <v>19.98</v>
      </c>
      <c r="EK138" s="699"/>
    </row>
    <row r="139" ht="12.0" customHeight="1">
      <c r="A139" s="700" t="s">
        <v>3026</v>
      </c>
      <c r="B139" s="701"/>
      <c r="C139" s="562" t="s">
        <v>3027</v>
      </c>
      <c r="D139" s="571" t="s">
        <v>129</v>
      </c>
      <c r="E139" s="571" t="s">
        <v>2722</v>
      </c>
      <c r="F139" s="562" t="s">
        <v>1763</v>
      </c>
      <c r="G139" s="702" t="s">
        <v>2723</v>
      </c>
      <c r="H139" s="569" t="s">
        <v>3251</v>
      </c>
      <c r="I139" s="562">
        <v>1.0274814E7</v>
      </c>
      <c r="J139" s="571" t="s">
        <v>3252</v>
      </c>
      <c r="K139" s="562" t="s">
        <v>25</v>
      </c>
      <c r="L139" s="562"/>
      <c r="M139" s="562"/>
      <c r="N139" s="562"/>
      <c r="O139" s="562"/>
      <c r="P139" s="562"/>
      <c r="Q139" s="562"/>
      <c r="R139" s="562"/>
      <c r="S139" s="562">
        <v>2024.0</v>
      </c>
      <c r="T139" s="562"/>
      <c r="U139" s="562"/>
      <c r="V139" s="562"/>
      <c r="W139" s="562"/>
      <c r="X139" s="562"/>
      <c r="Y139" s="562"/>
      <c r="Z139" s="562"/>
      <c r="AA139" s="562"/>
      <c r="AB139" s="562"/>
      <c r="AC139" s="562"/>
      <c r="AD139" s="562">
        <v>1.0</v>
      </c>
      <c r="AE139" s="562"/>
      <c r="AF139" s="562"/>
      <c r="AG139" s="562"/>
      <c r="AH139" s="562"/>
      <c r="AI139" s="562"/>
      <c r="AJ139" s="562"/>
      <c r="AK139" s="562"/>
      <c r="AL139" s="562"/>
      <c r="AM139" s="562"/>
      <c r="AN139" s="562"/>
      <c r="AO139" s="562"/>
      <c r="AP139" s="562"/>
      <c r="AQ139" s="562"/>
      <c r="AR139" s="562">
        <v>0.0</v>
      </c>
      <c r="AS139" s="562">
        <v>0.0</v>
      </c>
      <c r="AT139" s="562">
        <v>0.0</v>
      </c>
      <c r="AU139" s="562">
        <v>0.0</v>
      </c>
      <c r="AV139" s="562">
        <v>0.0</v>
      </c>
      <c r="AW139" s="562">
        <v>0.0</v>
      </c>
      <c r="AX139" s="562">
        <v>0.0</v>
      </c>
      <c r="AY139" s="562">
        <v>-2024.0</v>
      </c>
      <c r="AZ139" s="562">
        <v>0.0</v>
      </c>
      <c r="BA139" s="562">
        <v>0.0</v>
      </c>
      <c r="BB139" s="562"/>
      <c r="BC139" s="562"/>
      <c r="BD139" s="562"/>
      <c r="BE139" s="562"/>
      <c r="BF139" s="562"/>
      <c r="BG139" s="562"/>
      <c r="BH139" s="562"/>
      <c r="BI139" s="562"/>
      <c r="BJ139" s="825">
        <v>0.0</v>
      </c>
      <c r="BK139" s="562"/>
      <c r="BL139" s="681"/>
      <c r="BM139" s="665">
        <f t="shared" si="1"/>
        <v>0</v>
      </c>
      <c r="BN139" s="682"/>
      <c r="BO139" s="683"/>
      <c r="BP139" s="683"/>
      <c r="BQ139" s="683"/>
      <c r="BR139" s="683"/>
      <c r="BS139" s="683"/>
      <c r="BT139" s="683"/>
      <c r="BU139" s="683"/>
      <c r="BV139" s="683"/>
      <c r="BW139" s="686"/>
      <c r="BX139" s="665">
        <f t="shared" si="2"/>
        <v>0</v>
      </c>
      <c r="BY139" s="682">
        <v>0.0</v>
      </c>
      <c r="BZ139" s="683">
        <v>0.0</v>
      </c>
      <c r="CA139" s="683">
        <v>0.0</v>
      </c>
      <c r="CB139" s="683">
        <v>0.0</v>
      </c>
      <c r="CC139" s="683">
        <v>0.0</v>
      </c>
      <c r="CD139" s="683">
        <v>0.0</v>
      </c>
      <c r="CE139" s="683">
        <v>0.0</v>
      </c>
      <c r="CF139" s="683">
        <v>0.0</v>
      </c>
      <c r="CG139" s="683">
        <v>0.0</v>
      </c>
      <c r="CH139" s="686">
        <v>0.0</v>
      </c>
      <c r="CI139" s="665">
        <f t="shared" si="3"/>
        <v>0</v>
      </c>
      <c r="CJ139" s="682">
        <f t="shared" si="4"/>
        <v>0</v>
      </c>
      <c r="CK139" s="683"/>
      <c r="CL139" s="683">
        <v>318.66839999999996</v>
      </c>
      <c r="CM139" s="683">
        <f t="shared" ref="CM139:CV139" si="422">BC139*$CL139</f>
        <v>0</v>
      </c>
      <c r="CN139" s="683">
        <f t="shared" si="422"/>
        <v>0</v>
      </c>
      <c r="CO139" s="683">
        <f t="shared" si="422"/>
        <v>0</v>
      </c>
      <c r="CP139" s="683">
        <f t="shared" si="422"/>
        <v>0</v>
      </c>
      <c r="CQ139" s="683">
        <f t="shared" si="422"/>
        <v>0</v>
      </c>
      <c r="CR139" s="683">
        <f t="shared" si="422"/>
        <v>0</v>
      </c>
      <c r="CS139" s="683">
        <f t="shared" si="422"/>
        <v>0</v>
      </c>
      <c r="CT139" s="683">
        <f t="shared" si="422"/>
        <v>0</v>
      </c>
      <c r="CU139" s="683">
        <f t="shared" si="422"/>
        <v>0</v>
      </c>
      <c r="CV139" s="683">
        <f t="shared" si="422"/>
        <v>0</v>
      </c>
      <c r="CW139" s="683">
        <f t="shared" si="21"/>
        <v>0</v>
      </c>
      <c r="CX139" s="683">
        <f t="shared" ref="CX139:DG139" si="423">BN139*$CL139</f>
        <v>0</v>
      </c>
      <c r="CY139" s="683">
        <f t="shared" si="423"/>
        <v>0</v>
      </c>
      <c r="CZ139" s="683">
        <f t="shared" si="423"/>
        <v>0</v>
      </c>
      <c r="DA139" s="683">
        <f t="shared" si="423"/>
        <v>0</v>
      </c>
      <c r="DB139" s="683">
        <f t="shared" si="423"/>
        <v>0</v>
      </c>
      <c r="DC139" s="683">
        <f t="shared" si="423"/>
        <v>0</v>
      </c>
      <c r="DD139" s="683">
        <f t="shared" si="423"/>
        <v>0</v>
      </c>
      <c r="DE139" s="683">
        <f t="shared" si="423"/>
        <v>0</v>
      </c>
      <c r="DF139" s="683">
        <f t="shared" si="423"/>
        <v>0</v>
      </c>
      <c r="DG139" s="683">
        <f t="shared" si="423"/>
        <v>0</v>
      </c>
      <c r="DH139" s="683">
        <f t="shared" si="23"/>
        <v>0</v>
      </c>
      <c r="DI139" s="683">
        <f t="shared" ref="DI139:DR139" si="424">BY139*$CL139</f>
        <v>0</v>
      </c>
      <c r="DJ139" s="683">
        <f t="shared" si="424"/>
        <v>0</v>
      </c>
      <c r="DK139" s="683">
        <f t="shared" si="424"/>
        <v>0</v>
      </c>
      <c r="DL139" s="683">
        <f t="shared" si="424"/>
        <v>0</v>
      </c>
      <c r="DM139" s="683">
        <f t="shared" si="424"/>
        <v>0</v>
      </c>
      <c r="DN139" s="683">
        <f t="shared" si="424"/>
        <v>0</v>
      </c>
      <c r="DO139" s="683">
        <f t="shared" si="424"/>
        <v>0</v>
      </c>
      <c r="DP139" s="683">
        <f t="shared" si="424"/>
        <v>0</v>
      </c>
      <c r="DQ139" s="683">
        <f t="shared" si="424"/>
        <v>0</v>
      </c>
      <c r="DR139" s="683">
        <f t="shared" si="424"/>
        <v>0</v>
      </c>
      <c r="DS139" s="683">
        <f t="shared" si="25"/>
        <v>0</v>
      </c>
      <c r="DT139" s="683">
        <f t="shared" si="175"/>
        <v>0</v>
      </c>
      <c r="DU139" s="504"/>
      <c r="DV139" s="486"/>
      <c r="DW139" s="688"/>
      <c r="DX139" s="688"/>
      <c r="DY139" s="688"/>
      <c r="DZ139" s="688"/>
      <c r="EA139" s="688"/>
      <c r="EB139" s="688"/>
      <c r="EC139" s="688"/>
      <c r="ED139" s="688"/>
      <c r="EE139" s="688"/>
      <c r="EF139" s="688"/>
      <c r="EG139" s="688"/>
      <c r="EH139" s="689">
        <f>CK139*6.97</f>
        <v>0</v>
      </c>
      <c r="EI139" s="690">
        <v>1.0</v>
      </c>
      <c r="EJ139" s="691"/>
      <c r="EK139" s="691"/>
    </row>
    <row r="140" ht="12.0" customHeight="1">
      <c r="A140" s="709" t="s">
        <v>3026</v>
      </c>
      <c r="B140" s="661">
        <v>2.0</v>
      </c>
      <c r="C140" s="567" t="s">
        <v>3027</v>
      </c>
      <c r="D140" s="568" t="s">
        <v>129</v>
      </c>
      <c r="E140" s="568" t="s">
        <v>2722</v>
      </c>
      <c r="F140" s="567" t="s">
        <v>1763</v>
      </c>
      <c r="G140" s="657" t="s">
        <v>2723</v>
      </c>
      <c r="H140" s="569" t="s">
        <v>3253</v>
      </c>
      <c r="I140" s="710" t="s">
        <v>1931</v>
      </c>
      <c r="J140" s="711" t="s">
        <v>3254</v>
      </c>
      <c r="K140" s="567" t="s">
        <v>25</v>
      </c>
      <c r="L140" s="567"/>
      <c r="M140" s="567"/>
      <c r="N140" s="567"/>
      <c r="O140" s="567">
        <v>2024.0</v>
      </c>
      <c r="P140" s="567"/>
      <c r="Q140" s="567">
        <v>2024.0</v>
      </c>
      <c r="R140" s="567"/>
      <c r="S140" s="567"/>
      <c r="T140" s="567"/>
      <c r="U140" s="567"/>
      <c r="V140" s="567"/>
      <c r="W140" s="567">
        <v>3.0</v>
      </c>
      <c r="X140" s="567"/>
      <c r="Y140" s="567"/>
      <c r="Z140" s="567">
        <v>2.0</v>
      </c>
      <c r="AA140" s="567"/>
      <c r="AB140" s="567">
        <v>2.0</v>
      </c>
      <c r="AC140" s="567"/>
      <c r="AD140" s="567"/>
      <c r="AE140" s="567"/>
      <c r="AF140" s="567"/>
      <c r="AG140" s="567"/>
      <c r="AH140" s="567"/>
      <c r="AI140" s="567"/>
      <c r="AJ140" s="567"/>
      <c r="AK140" s="567"/>
      <c r="AL140" s="567"/>
      <c r="AM140" s="567"/>
      <c r="AN140" s="567"/>
      <c r="AO140" s="567"/>
      <c r="AP140" s="567"/>
      <c r="AQ140" s="567"/>
      <c r="AR140" s="567">
        <v>0.0</v>
      </c>
      <c r="AS140" s="567">
        <v>0.0</v>
      </c>
      <c r="AT140" s="567">
        <v>0.0</v>
      </c>
      <c r="AU140" s="567">
        <v>-2024.0</v>
      </c>
      <c r="AV140" s="567">
        <v>0.0</v>
      </c>
      <c r="AW140" s="567">
        <v>-2024.0</v>
      </c>
      <c r="AX140" s="567">
        <v>0.0</v>
      </c>
      <c r="AY140" s="567">
        <v>0.0</v>
      </c>
      <c r="AZ140" s="567">
        <v>0.0</v>
      </c>
      <c r="BA140" s="567">
        <v>0.0</v>
      </c>
      <c r="BB140" s="567"/>
      <c r="BC140" s="567"/>
      <c r="BD140" s="567"/>
      <c r="BE140" s="567"/>
      <c r="BF140" s="567"/>
      <c r="BG140" s="791"/>
      <c r="BH140" s="567"/>
      <c r="BI140" s="567"/>
      <c r="BJ140" s="567"/>
      <c r="BK140" s="567"/>
      <c r="BL140" s="725"/>
      <c r="BM140" s="665">
        <f t="shared" si="1"/>
        <v>0</v>
      </c>
      <c r="BN140" s="736">
        <v>2.0</v>
      </c>
      <c r="BO140" s="668"/>
      <c r="BP140" s="674">
        <v>2.0</v>
      </c>
      <c r="BQ140" s="668">
        <v>1.0</v>
      </c>
      <c r="BR140" s="849">
        <v>1.0</v>
      </c>
      <c r="BS140" s="668">
        <v>2.0</v>
      </c>
      <c r="BT140" s="668"/>
      <c r="BU140" s="668"/>
      <c r="BV140" s="668"/>
      <c r="BW140" s="670"/>
      <c r="BX140" s="665">
        <f t="shared" si="2"/>
        <v>8</v>
      </c>
      <c r="BY140" s="671">
        <v>0.0</v>
      </c>
      <c r="BZ140" s="674">
        <v>2.0</v>
      </c>
      <c r="CA140" s="668">
        <v>0.0</v>
      </c>
      <c r="CB140" s="668">
        <v>1.0</v>
      </c>
      <c r="CC140" s="668">
        <v>0.0</v>
      </c>
      <c r="CD140" s="668">
        <v>2.0</v>
      </c>
      <c r="CE140" s="668">
        <v>0.0</v>
      </c>
      <c r="CF140" s="668">
        <v>0.0</v>
      </c>
      <c r="CG140" s="668">
        <v>0.0</v>
      </c>
      <c r="CH140" s="670">
        <v>0.0</v>
      </c>
      <c r="CI140" s="665">
        <f t="shared" si="3"/>
        <v>5</v>
      </c>
      <c r="CJ140" s="671">
        <f t="shared" si="4"/>
        <v>13</v>
      </c>
      <c r="CK140" s="715">
        <v>7.0</v>
      </c>
      <c r="CL140" s="668">
        <f t="shared" ref="CL140:CL149" si="428">CK140*$CL$1</f>
        <v>48.72</v>
      </c>
      <c r="CM140" s="668">
        <f t="shared" ref="CM140:CV140" si="425">BC140*$CL140</f>
        <v>0</v>
      </c>
      <c r="CN140" s="668">
        <f t="shared" si="425"/>
        <v>0</v>
      </c>
      <c r="CO140" s="668">
        <f t="shared" si="425"/>
        <v>0</v>
      </c>
      <c r="CP140" s="668">
        <f t="shared" si="425"/>
        <v>0</v>
      </c>
      <c r="CQ140" s="668">
        <f t="shared" si="425"/>
        <v>0</v>
      </c>
      <c r="CR140" s="668">
        <f t="shared" si="425"/>
        <v>0</v>
      </c>
      <c r="CS140" s="668">
        <f t="shared" si="425"/>
        <v>0</v>
      </c>
      <c r="CT140" s="668">
        <f t="shared" si="425"/>
        <v>0</v>
      </c>
      <c r="CU140" s="668">
        <f t="shared" si="425"/>
        <v>0</v>
      </c>
      <c r="CV140" s="668">
        <f t="shared" si="425"/>
        <v>0</v>
      </c>
      <c r="CW140" s="668">
        <f t="shared" si="21"/>
        <v>0</v>
      </c>
      <c r="CX140" s="668">
        <f t="shared" ref="CX140:DG140" si="426">BN140*$CL140</f>
        <v>97.44</v>
      </c>
      <c r="CY140" s="668">
        <f t="shared" si="426"/>
        <v>0</v>
      </c>
      <c r="CZ140" s="668">
        <f t="shared" si="426"/>
        <v>97.44</v>
      </c>
      <c r="DA140" s="668">
        <f t="shared" si="426"/>
        <v>48.72</v>
      </c>
      <c r="DB140" s="668">
        <f t="shared" si="426"/>
        <v>48.72</v>
      </c>
      <c r="DC140" s="668">
        <f t="shared" si="426"/>
        <v>97.44</v>
      </c>
      <c r="DD140" s="668">
        <f t="shared" si="426"/>
        <v>0</v>
      </c>
      <c r="DE140" s="668">
        <f t="shared" si="426"/>
        <v>0</v>
      </c>
      <c r="DF140" s="668">
        <f t="shared" si="426"/>
        <v>0</v>
      </c>
      <c r="DG140" s="668">
        <f t="shared" si="426"/>
        <v>0</v>
      </c>
      <c r="DH140" s="668">
        <f t="shared" si="23"/>
        <v>389.76</v>
      </c>
      <c r="DI140" s="668">
        <f t="shared" ref="DI140:DR140" si="427">BY140*$CL140</f>
        <v>0</v>
      </c>
      <c r="DJ140" s="668">
        <f t="shared" si="427"/>
        <v>97.44</v>
      </c>
      <c r="DK140" s="668">
        <f t="shared" si="427"/>
        <v>0</v>
      </c>
      <c r="DL140" s="668">
        <f t="shared" si="427"/>
        <v>48.72</v>
      </c>
      <c r="DM140" s="668">
        <f t="shared" si="427"/>
        <v>0</v>
      </c>
      <c r="DN140" s="668">
        <f t="shared" si="427"/>
        <v>97.44</v>
      </c>
      <c r="DO140" s="668">
        <f t="shared" si="427"/>
        <v>0</v>
      </c>
      <c r="DP140" s="668">
        <f t="shared" si="427"/>
        <v>0</v>
      </c>
      <c r="DQ140" s="668">
        <f t="shared" si="427"/>
        <v>0</v>
      </c>
      <c r="DR140" s="668">
        <f t="shared" si="427"/>
        <v>0</v>
      </c>
      <c r="DS140" s="668">
        <f t="shared" si="25"/>
        <v>243.6</v>
      </c>
      <c r="DT140" s="668">
        <f t="shared" si="175"/>
        <v>633.36</v>
      </c>
      <c r="DU140" s="538"/>
      <c r="DV140" s="468"/>
      <c r="DW140" s="698"/>
      <c r="DX140" s="698"/>
      <c r="DY140" s="698"/>
      <c r="DZ140" s="698"/>
      <c r="EA140" s="698"/>
      <c r="EB140" s="698"/>
      <c r="EC140" s="698"/>
      <c r="ED140" s="698"/>
      <c r="EE140" s="698"/>
      <c r="EF140" s="698"/>
      <c r="EG140" s="698"/>
      <c r="EH140" s="576" t="s">
        <v>3255</v>
      </c>
      <c r="EI140" s="716">
        <f>VLOOKUP(I140,CotizacionTDB,4,FALSE())</f>
        <v>7</v>
      </c>
      <c r="EJ140" s="716">
        <f>VLOOKUP(I140,CotizacionTDB,5,FALSE())</f>
        <v>5.95</v>
      </c>
      <c r="EK140" s="699"/>
    </row>
    <row r="141" ht="12.0" customHeight="1">
      <c r="A141" s="700" t="s">
        <v>3026</v>
      </c>
      <c r="B141" s="701">
        <v>2.0</v>
      </c>
      <c r="C141" s="562" t="s">
        <v>3027</v>
      </c>
      <c r="D141" s="571" t="s">
        <v>129</v>
      </c>
      <c r="E141" s="571" t="s">
        <v>2722</v>
      </c>
      <c r="F141" s="562" t="s">
        <v>1763</v>
      </c>
      <c r="G141" s="702" t="s">
        <v>2723</v>
      </c>
      <c r="H141" s="737"/>
      <c r="I141" s="717" t="s">
        <v>2375</v>
      </c>
      <c r="J141" s="704" t="s">
        <v>1672</v>
      </c>
      <c r="K141" s="562" t="s">
        <v>25</v>
      </c>
      <c r="L141" s="562"/>
      <c r="M141" s="562"/>
      <c r="N141" s="562"/>
      <c r="O141" s="562">
        <v>2024.0</v>
      </c>
      <c r="P141" s="562"/>
      <c r="Q141" s="562"/>
      <c r="R141" s="562"/>
      <c r="S141" s="562"/>
      <c r="T141" s="562"/>
      <c r="U141" s="562"/>
      <c r="V141" s="562"/>
      <c r="W141" s="562">
        <v>3.0</v>
      </c>
      <c r="X141" s="562"/>
      <c r="Y141" s="562"/>
      <c r="Z141" s="562">
        <v>3.0</v>
      </c>
      <c r="AA141" s="562"/>
      <c r="AB141" s="562"/>
      <c r="AC141" s="562"/>
      <c r="AD141" s="562"/>
      <c r="AE141" s="562"/>
      <c r="AF141" s="562"/>
      <c r="AG141" s="562"/>
      <c r="AH141" s="562"/>
      <c r="AI141" s="562"/>
      <c r="AJ141" s="562"/>
      <c r="AK141" s="562"/>
      <c r="AL141" s="562"/>
      <c r="AM141" s="562"/>
      <c r="AN141" s="562"/>
      <c r="AO141" s="562"/>
      <c r="AP141" s="562"/>
      <c r="AQ141" s="562"/>
      <c r="AR141" s="562">
        <v>0.0</v>
      </c>
      <c r="AS141" s="562">
        <v>0.0</v>
      </c>
      <c r="AT141" s="562">
        <v>0.0</v>
      </c>
      <c r="AU141" s="562">
        <v>-2024.0</v>
      </c>
      <c r="AV141" s="562">
        <v>0.0</v>
      </c>
      <c r="AW141" s="562">
        <v>0.0</v>
      </c>
      <c r="AX141" s="562">
        <v>0.0</v>
      </c>
      <c r="AY141" s="562">
        <v>0.0</v>
      </c>
      <c r="AZ141" s="562">
        <v>0.0</v>
      </c>
      <c r="BA141" s="562">
        <v>0.0</v>
      </c>
      <c r="BB141" s="562"/>
      <c r="BC141" s="562"/>
      <c r="BD141" s="562"/>
      <c r="BE141" s="562"/>
      <c r="BF141" s="562"/>
      <c r="BG141" s="562"/>
      <c r="BH141" s="562"/>
      <c r="BI141" s="562"/>
      <c r="BJ141" s="562"/>
      <c r="BK141" s="562"/>
      <c r="BL141" s="681"/>
      <c r="BM141" s="665">
        <f t="shared" si="1"/>
        <v>0</v>
      </c>
      <c r="BN141" s="682"/>
      <c r="BO141" s="683"/>
      <c r="BP141" s="683"/>
      <c r="BQ141" s="683">
        <v>2.0</v>
      </c>
      <c r="BR141" s="683"/>
      <c r="BS141" s="683"/>
      <c r="BT141" s="683"/>
      <c r="BU141" s="683"/>
      <c r="BV141" s="683"/>
      <c r="BW141" s="686"/>
      <c r="BX141" s="665">
        <f t="shared" si="2"/>
        <v>2</v>
      </c>
      <c r="BY141" s="682">
        <v>0.0</v>
      </c>
      <c r="BZ141" s="683">
        <v>0.0</v>
      </c>
      <c r="CA141" s="683">
        <v>0.0</v>
      </c>
      <c r="CB141" s="683">
        <v>0.0</v>
      </c>
      <c r="CC141" s="683">
        <v>0.0</v>
      </c>
      <c r="CD141" s="683">
        <v>0.0</v>
      </c>
      <c r="CE141" s="683">
        <v>0.0</v>
      </c>
      <c r="CF141" s="683">
        <v>0.0</v>
      </c>
      <c r="CG141" s="683">
        <v>0.0</v>
      </c>
      <c r="CH141" s="686">
        <v>0.0</v>
      </c>
      <c r="CI141" s="665">
        <f t="shared" si="3"/>
        <v>0</v>
      </c>
      <c r="CJ141" s="682">
        <f t="shared" si="4"/>
        <v>2</v>
      </c>
      <c r="CK141" s="706">
        <v>11.88</v>
      </c>
      <c r="CL141" s="683">
        <f t="shared" si="428"/>
        <v>82.6848</v>
      </c>
      <c r="CM141" s="683">
        <f t="shared" ref="CM141:CV141" si="429">BC141*$CL141</f>
        <v>0</v>
      </c>
      <c r="CN141" s="683">
        <f t="shared" si="429"/>
        <v>0</v>
      </c>
      <c r="CO141" s="683">
        <f t="shared" si="429"/>
        <v>0</v>
      </c>
      <c r="CP141" s="683">
        <f t="shared" si="429"/>
        <v>0</v>
      </c>
      <c r="CQ141" s="683">
        <f t="shared" si="429"/>
        <v>0</v>
      </c>
      <c r="CR141" s="683">
        <f t="shared" si="429"/>
        <v>0</v>
      </c>
      <c r="CS141" s="683">
        <f t="shared" si="429"/>
        <v>0</v>
      </c>
      <c r="CT141" s="683">
        <f t="shared" si="429"/>
        <v>0</v>
      </c>
      <c r="CU141" s="683">
        <f t="shared" si="429"/>
        <v>0</v>
      </c>
      <c r="CV141" s="683">
        <f t="shared" si="429"/>
        <v>0</v>
      </c>
      <c r="CW141" s="683">
        <f t="shared" si="21"/>
        <v>0</v>
      </c>
      <c r="CX141" s="683">
        <f t="shared" ref="CX141:DG141" si="430">BN141*$CL141</f>
        <v>0</v>
      </c>
      <c r="CY141" s="683">
        <f t="shared" si="430"/>
        <v>0</v>
      </c>
      <c r="CZ141" s="683">
        <f t="shared" si="430"/>
        <v>0</v>
      </c>
      <c r="DA141" s="683">
        <f t="shared" si="430"/>
        <v>165.3696</v>
      </c>
      <c r="DB141" s="683">
        <f t="shared" si="430"/>
        <v>0</v>
      </c>
      <c r="DC141" s="683">
        <f t="shared" si="430"/>
        <v>0</v>
      </c>
      <c r="DD141" s="683">
        <f t="shared" si="430"/>
        <v>0</v>
      </c>
      <c r="DE141" s="683">
        <f t="shared" si="430"/>
        <v>0</v>
      </c>
      <c r="DF141" s="683">
        <f t="shared" si="430"/>
        <v>0</v>
      </c>
      <c r="DG141" s="683">
        <f t="shared" si="430"/>
        <v>0</v>
      </c>
      <c r="DH141" s="683">
        <f t="shared" si="23"/>
        <v>165.3696</v>
      </c>
      <c r="DI141" s="683">
        <f t="shared" ref="DI141:DR141" si="431">BY141*$CL141</f>
        <v>0</v>
      </c>
      <c r="DJ141" s="683">
        <f t="shared" si="431"/>
        <v>0</v>
      </c>
      <c r="DK141" s="683">
        <f t="shared" si="431"/>
        <v>0</v>
      </c>
      <c r="DL141" s="683">
        <f t="shared" si="431"/>
        <v>0</v>
      </c>
      <c r="DM141" s="683">
        <f t="shared" si="431"/>
        <v>0</v>
      </c>
      <c r="DN141" s="683">
        <f t="shared" si="431"/>
        <v>0</v>
      </c>
      <c r="DO141" s="683">
        <f t="shared" si="431"/>
        <v>0</v>
      </c>
      <c r="DP141" s="683">
        <f t="shared" si="431"/>
        <v>0</v>
      </c>
      <c r="DQ141" s="683">
        <f t="shared" si="431"/>
        <v>0</v>
      </c>
      <c r="DR141" s="683">
        <f t="shared" si="431"/>
        <v>0</v>
      </c>
      <c r="DS141" s="683">
        <f t="shared" si="25"/>
        <v>0</v>
      </c>
      <c r="DT141" s="683">
        <f t="shared" si="175"/>
        <v>165.3696</v>
      </c>
      <c r="DU141" s="504"/>
      <c r="DV141" s="486" t="s">
        <v>3256</v>
      </c>
      <c r="DW141" s="688"/>
      <c r="DX141" s="688"/>
      <c r="DY141" s="688"/>
      <c r="DZ141" s="688"/>
      <c r="EA141" s="688"/>
      <c r="EB141" s="688"/>
      <c r="EC141" s="688"/>
      <c r="ED141" s="688"/>
      <c r="EE141" s="688"/>
      <c r="EF141" s="688"/>
      <c r="EG141" s="688"/>
      <c r="EH141" s="707" t="s">
        <v>1672</v>
      </c>
      <c r="EI141" s="708">
        <f>VLOOKUP(I141,CotizacionTDB,4,FALSE())</f>
        <v>11.88</v>
      </c>
      <c r="EJ141" s="708">
        <f>VLOOKUP(I141,CotizacionTDB,5,FALSE())</f>
        <v>10.1</v>
      </c>
      <c r="EK141" s="691"/>
    </row>
    <row r="142" ht="12.0" customHeight="1">
      <c r="A142" s="709" t="s">
        <v>3026</v>
      </c>
      <c r="B142" s="661">
        <v>2.0</v>
      </c>
      <c r="C142" s="567" t="s">
        <v>3027</v>
      </c>
      <c r="D142" s="568" t="s">
        <v>129</v>
      </c>
      <c r="E142" s="568" t="s">
        <v>2722</v>
      </c>
      <c r="F142" s="567" t="s">
        <v>1763</v>
      </c>
      <c r="G142" s="657" t="s">
        <v>2723</v>
      </c>
      <c r="H142" s="658"/>
      <c r="I142" s="710" t="s">
        <v>2471</v>
      </c>
      <c r="J142" s="711" t="s">
        <v>3257</v>
      </c>
      <c r="K142" s="567" t="s">
        <v>25</v>
      </c>
      <c r="L142" s="567"/>
      <c r="M142" s="567"/>
      <c r="N142" s="567"/>
      <c r="O142" s="567">
        <v>2024.0</v>
      </c>
      <c r="P142" s="567"/>
      <c r="Q142" s="567"/>
      <c r="R142" s="567"/>
      <c r="S142" s="567"/>
      <c r="T142" s="567"/>
      <c r="U142" s="567"/>
      <c r="V142" s="567"/>
      <c r="W142" s="567">
        <v>3.0</v>
      </c>
      <c r="X142" s="567"/>
      <c r="Y142" s="567"/>
      <c r="Z142" s="567">
        <v>3.0</v>
      </c>
      <c r="AA142" s="567"/>
      <c r="AB142" s="567"/>
      <c r="AC142" s="567"/>
      <c r="AD142" s="567"/>
      <c r="AE142" s="567"/>
      <c r="AF142" s="567"/>
      <c r="AG142" s="567"/>
      <c r="AH142" s="567"/>
      <c r="AI142" s="567"/>
      <c r="AJ142" s="567"/>
      <c r="AK142" s="567"/>
      <c r="AL142" s="567"/>
      <c r="AM142" s="567"/>
      <c r="AN142" s="567"/>
      <c r="AO142" s="567"/>
      <c r="AP142" s="567"/>
      <c r="AQ142" s="567"/>
      <c r="AR142" s="567">
        <v>0.0</v>
      </c>
      <c r="AS142" s="567">
        <v>0.0</v>
      </c>
      <c r="AT142" s="567">
        <v>0.0</v>
      </c>
      <c r="AU142" s="567">
        <v>-2024.0</v>
      </c>
      <c r="AV142" s="567">
        <v>0.0</v>
      </c>
      <c r="AW142" s="567">
        <v>0.0</v>
      </c>
      <c r="AX142" s="567">
        <v>0.0</v>
      </c>
      <c r="AY142" s="567">
        <v>0.0</v>
      </c>
      <c r="AZ142" s="567">
        <v>0.0</v>
      </c>
      <c r="BA142" s="567">
        <v>0.0</v>
      </c>
      <c r="BB142" s="567"/>
      <c r="BC142" s="567"/>
      <c r="BD142" s="567"/>
      <c r="BE142" s="567"/>
      <c r="BF142" s="567"/>
      <c r="BG142" s="567"/>
      <c r="BH142" s="567"/>
      <c r="BI142" s="567"/>
      <c r="BJ142" s="567"/>
      <c r="BK142" s="567"/>
      <c r="BL142" s="725"/>
      <c r="BM142" s="665">
        <f t="shared" si="1"/>
        <v>0</v>
      </c>
      <c r="BN142" s="671"/>
      <c r="BO142" s="668"/>
      <c r="BP142" s="668"/>
      <c r="BQ142" s="668">
        <v>2.0</v>
      </c>
      <c r="BR142" s="668"/>
      <c r="BS142" s="668"/>
      <c r="BT142" s="668"/>
      <c r="BU142" s="668"/>
      <c r="BV142" s="668"/>
      <c r="BW142" s="670"/>
      <c r="BX142" s="665">
        <f t="shared" si="2"/>
        <v>2</v>
      </c>
      <c r="BY142" s="671">
        <v>0.0</v>
      </c>
      <c r="BZ142" s="668">
        <v>0.0</v>
      </c>
      <c r="CA142" s="668">
        <v>0.0</v>
      </c>
      <c r="CB142" s="668">
        <v>0.0</v>
      </c>
      <c r="CC142" s="668">
        <v>0.0</v>
      </c>
      <c r="CD142" s="668">
        <v>0.0</v>
      </c>
      <c r="CE142" s="668">
        <v>0.0</v>
      </c>
      <c r="CF142" s="668">
        <v>0.0</v>
      </c>
      <c r="CG142" s="668">
        <v>0.0</v>
      </c>
      <c r="CH142" s="670">
        <v>0.0</v>
      </c>
      <c r="CI142" s="665">
        <f t="shared" si="3"/>
        <v>0</v>
      </c>
      <c r="CJ142" s="671">
        <f t="shared" si="4"/>
        <v>2</v>
      </c>
      <c r="CK142" s="715">
        <v>9.77</v>
      </c>
      <c r="CL142" s="668">
        <f t="shared" si="428"/>
        <v>67.9992</v>
      </c>
      <c r="CM142" s="668">
        <f t="shared" ref="CM142:CV142" si="432">BC142*$CL142</f>
        <v>0</v>
      </c>
      <c r="CN142" s="668">
        <f t="shared" si="432"/>
        <v>0</v>
      </c>
      <c r="CO142" s="668">
        <f t="shared" si="432"/>
        <v>0</v>
      </c>
      <c r="CP142" s="668">
        <f t="shared" si="432"/>
        <v>0</v>
      </c>
      <c r="CQ142" s="668">
        <f t="shared" si="432"/>
        <v>0</v>
      </c>
      <c r="CR142" s="668">
        <f t="shared" si="432"/>
        <v>0</v>
      </c>
      <c r="CS142" s="668">
        <f t="shared" si="432"/>
        <v>0</v>
      </c>
      <c r="CT142" s="668">
        <f t="shared" si="432"/>
        <v>0</v>
      </c>
      <c r="CU142" s="668">
        <f t="shared" si="432"/>
        <v>0</v>
      </c>
      <c r="CV142" s="668">
        <f t="shared" si="432"/>
        <v>0</v>
      </c>
      <c r="CW142" s="668">
        <f t="shared" si="21"/>
        <v>0</v>
      </c>
      <c r="CX142" s="668">
        <f t="shared" ref="CX142:DG142" si="433">BN142*$CL142</f>
        <v>0</v>
      </c>
      <c r="CY142" s="668">
        <f t="shared" si="433"/>
        <v>0</v>
      </c>
      <c r="CZ142" s="668">
        <f t="shared" si="433"/>
        <v>0</v>
      </c>
      <c r="DA142" s="668">
        <f t="shared" si="433"/>
        <v>135.9984</v>
      </c>
      <c r="DB142" s="668">
        <f t="shared" si="433"/>
        <v>0</v>
      </c>
      <c r="DC142" s="668">
        <f t="shared" si="433"/>
        <v>0</v>
      </c>
      <c r="DD142" s="668">
        <f t="shared" si="433"/>
        <v>0</v>
      </c>
      <c r="DE142" s="668">
        <f t="shared" si="433"/>
        <v>0</v>
      </c>
      <c r="DF142" s="668">
        <f t="shared" si="433"/>
        <v>0</v>
      </c>
      <c r="DG142" s="668">
        <f t="shared" si="433"/>
        <v>0</v>
      </c>
      <c r="DH142" s="668">
        <f t="shared" si="23"/>
        <v>135.9984</v>
      </c>
      <c r="DI142" s="668">
        <f t="shared" ref="DI142:DR142" si="434">BY142*$CL142</f>
        <v>0</v>
      </c>
      <c r="DJ142" s="668">
        <f t="shared" si="434"/>
        <v>0</v>
      </c>
      <c r="DK142" s="668">
        <f t="shared" si="434"/>
        <v>0</v>
      </c>
      <c r="DL142" s="668">
        <f t="shared" si="434"/>
        <v>0</v>
      </c>
      <c r="DM142" s="668">
        <f t="shared" si="434"/>
        <v>0</v>
      </c>
      <c r="DN142" s="668">
        <f t="shared" si="434"/>
        <v>0</v>
      </c>
      <c r="DO142" s="668">
        <f t="shared" si="434"/>
        <v>0</v>
      </c>
      <c r="DP142" s="668">
        <f t="shared" si="434"/>
        <v>0</v>
      </c>
      <c r="DQ142" s="668">
        <f t="shared" si="434"/>
        <v>0</v>
      </c>
      <c r="DR142" s="668">
        <f t="shared" si="434"/>
        <v>0</v>
      </c>
      <c r="DS142" s="668">
        <f t="shared" si="25"/>
        <v>0</v>
      </c>
      <c r="DT142" s="668">
        <f t="shared" si="175"/>
        <v>135.9984</v>
      </c>
      <c r="DU142" s="538"/>
      <c r="DV142" s="468" t="s">
        <v>3258</v>
      </c>
      <c r="DW142" s="698"/>
      <c r="DX142" s="698"/>
      <c r="DY142" s="698"/>
      <c r="DZ142" s="698"/>
      <c r="EA142" s="698"/>
      <c r="EB142" s="698"/>
      <c r="EC142" s="698"/>
      <c r="ED142" s="698"/>
      <c r="EE142" s="698"/>
      <c r="EF142" s="698"/>
      <c r="EG142" s="698"/>
      <c r="EH142" s="576" t="s">
        <v>1690</v>
      </c>
      <c r="EI142" s="716">
        <f>VLOOKUP(I142,CotizacionTDB,4,FALSE())</f>
        <v>9.77</v>
      </c>
      <c r="EJ142" s="716">
        <f>VLOOKUP(I142,CotizacionTDB,5,FALSE())</f>
        <v>8.3</v>
      </c>
      <c r="EK142" s="699"/>
    </row>
    <row r="143" ht="12.0" customHeight="1">
      <c r="A143" s="700" t="s">
        <v>3026</v>
      </c>
      <c r="B143" s="701">
        <v>2.0</v>
      </c>
      <c r="C143" s="562" t="s">
        <v>3027</v>
      </c>
      <c r="D143" s="571" t="s">
        <v>129</v>
      </c>
      <c r="E143" s="571" t="s">
        <v>2722</v>
      </c>
      <c r="F143" s="562" t="s">
        <v>1763</v>
      </c>
      <c r="G143" s="702" t="s">
        <v>2723</v>
      </c>
      <c r="H143" s="737"/>
      <c r="I143" s="717" t="s">
        <v>1973</v>
      </c>
      <c r="J143" s="704" t="s">
        <v>3259</v>
      </c>
      <c r="K143" s="562" t="s">
        <v>25</v>
      </c>
      <c r="L143" s="562"/>
      <c r="M143" s="562"/>
      <c r="N143" s="562"/>
      <c r="O143" s="562">
        <v>2024.0</v>
      </c>
      <c r="P143" s="562"/>
      <c r="Q143" s="562"/>
      <c r="R143" s="562"/>
      <c r="S143" s="562"/>
      <c r="T143" s="562"/>
      <c r="U143" s="562"/>
      <c r="V143" s="562"/>
      <c r="W143" s="562">
        <v>3.0</v>
      </c>
      <c r="X143" s="562"/>
      <c r="Y143" s="562"/>
      <c r="Z143" s="562">
        <v>2.0</v>
      </c>
      <c r="AA143" s="562"/>
      <c r="AB143" s="562"/>
      <c r="AC143" s="562"/>
      <c r="AD143" s="562"/>
      <c r="AE143" s="562"/>
      <c r="AF143" s="562"/>
      <c r="AG143" s="562"/>
      <c r="AH143" s="562"/>
      <c r="AI143" s="562"/>
      <c r="AJ143" s="562"/>
      <c r="AK143" s="562"/>
      <c r="AL143" s="562"/>
      <c r="AM143" s="562"/>
      <c r="AN143" s="562"/>
      <c r="AO143" s="562"/>
      <c r="AP143" s="562"/>
      <c r="AQ143" s="562"/>
      <c r="AR143" s="562">
        <v>0.0</v>
      </c>
      <c r="AS143" s="562">
        <v>0.0</v>
      </c>
      <c r="AT143" s="562">
        <v>0.0</v>
      </c>
      <c r="AU143" s="562">
        <v>-2024.0</v>
      </c>
      <c r="AV143" s="562">
        <v>0.0</v>
      </c>
      <c r="AW143" s="562">
        <v>0.0</v>
      </c>
      <c r="AX143" s="562">
        <v>0.0</v>
      </c>
      <c r="AY143" s="562">
        <v>0.0</v>
      </c>
      <c r="AZ143" s="562">
        <v>0.0</v>
      </c>
      <c r="BA143" s="562">
        <v>0.0</v>
      </c>
      <c r="BB143" s="562"/>
      <c r="BC143" s="562"/>
      <c r="BD143" s="562"/>
      <c r="BE143" s="562"/>
      <c r="BF143" s="562"/>
      <c r="BG143" s="562"/>
      <c r="BH143" s="562"/>
      <c r="BI143" s="562"/>
      <c r="BJ143" s="562"/>
      <c r="BK143" s="562"/>
      <c r="BL143" s="681"/>
      <c r="BM143" s="665">
        <f t="shared" si="1"/>
        <v>0</v>
      </c>
      <c r="BN143" s="682"/>
      <c r="BO143" s="683"/>
      <c r="BP143" s="683"/>
      <c r="BQ143" s="683">
        <v>1.0</v>
      </c>
      <c r="BR143" s="683"/>
      <c r="BS143" s="683"/>
      <c r="BT143" s="683"/>
      <c r="BU143" s="683"/>
      <c r="BV143" s="683"/>
      <c r="BW143" s="686"/>
      <c r="BX143" s="665">
        <f t="shared" si="2"/>
        <v>1</v>
      </c>
      <c r="BY143" s="682">
        <v>0.0</v>
      </c>
      <c r="BZ143" s="683">
        <v>0.0</v>
      </c>
      <c r="CA143" s="683">
        <v>0.0</v>
      </c>
      <c r="CB143" s="683">
        <v>1.0</v>
      </c>
      <c r="CC143" s="683">
        <v>0.0</v>
      </c>
      <c r="CD143" s="683">
        <v>0.0</v>
      </c>
      <c r="CE143" s="683">
        <v>0.0</v>
      </c>
      <c r="CF143" s="683">
        <v>0.0</v>
      </c>
      <c r="CG143" s="683">
        <v>0.0</v>
      </c>
      <c r="CH143" s="686">
        <v>0.0</v>
      </c>
      <c r="CI143" s="665">
        <f t="shared" si="3"/>
        <v>1</v>
      </c>
      <c r="CJ143" s="682">
        <f t="shared" si="4"/>
        <v>2</v>
      </c>
      <c r="CK143" s="706">
        <v>8.58</v>
      </c>
      <c r="CL143" s="683">
        <f t="shared" si="428"/>
        <v>59.7168</v>
      </c>
      <c r="CM143" s="683">
        <f t="shared" ref="CM143:CV143" si="435">BC143*$CL143</f>
        <v>0</v>
      </c>
      <c r="CN143" s="683">
        <f t="shared" si="435"/>
        <v>0</v>
      </c>
      <c r="CO143" s="683">
        <f t="shared" si="435"/>
        <v>0</v>
      </c>
      <c r="CP143" s="683">
        <f t="shared" si="435"/>
        <v>0</v>
      </c>
      <c r="CQ143" s="683">
        <f t="shared" si="435"/>
        <v>0</v>
      </c>
      <c r="CR143" s="683">
        <f t="shared" si="435"/>
        <v>0</v>
      </c>
      <c r="CS143" s="683">
        <f t="shared" si="435"/>
        <v>0</v>
      </c>
      <c r="CT143" s="683">
        <f t="shared" si="435"/>
        <v>0</v>
      </c>
      <c r="CU143" s="683">
        <f t="shared" si="435"/>
        <v>0</v>
      </c>
      <c r="CV143" s="683">
        <f t="shared" si="435"/>
        <v>0</v>
      </c>
      <c r="CW143" s="683">
        <f t="shared" si="21"/>
        <v>0</v>
      </c>
      <c r="CX143" s="683">
        <f t="shared" ref="CX143:DG143" si="436">BN143*$CL143</f>
        <v>0</v>
      </c>
      <c r="CY143" s="683">
        <f t="shared" si="436"/>
        <v>0</v>
      </c>
      <c r="CZ143" s="683">
        <f t="shared" si="436"/>
        <v>0</v>
      </c>
      <c r="DA143" s="683">
        <f t="shared" si="436"/>
        <v>59.7168</v>
      </c>
      <c r="DB143" s="683">
        <f t="shared" si="436"/>
        <v>0</v>
      </c>
      <c r="DC143" s="683">
        <f t="shared" si="436"/>
        <v>0</v>
      </c>
      <c r="DD143" s="683">
        <f t="shared" si="436"/>
        <v>0</v>
      </c>
      <c r="DE143" s="683">
        <f t="shared" si="436"/>
        <v>0</v>
      </c>
      <c r="DF143" s="683">
        <f t="shared" si="436"/>
        <v>0</v>
      </c>
      <c r="DG143" s="683">
        <f t="shared" si="436"/>
        <v>0</v>
      </c>
      <c r="DH143" s="683">
        <f t="shared" si="23"/>
        <v>59.7168</v>
      </c>
      <c r="DI143" s="683">
        <f t="shared" ref="DI143:DR143" si="437">BY143*$CL143</f>
        <v>0</v>
      </c>
      <c r="DJ143" s="683">
        <f t="shared" si="437"/>
        <v>0</v>
      </c>
      <c r="DK143" s="683">
        <f t="shared" si="437"/>
        <v>0</v>
      </c>
      <c r="DL143" s="683">
        <f t="shared" si="437"/>
        <v>59.7168</v>
      </c>
      <c r="DM143" s="683">
        <f t="shared" si="437"/>
        <v>0</v>
      </c>
      <c r="DN143" s="683">
        <f t="shared" si="437"/>
        <v>0</v>
      </c>
      <c r="DO143" s="683">
        <f t="shared" si="437"/>
        <v>0</v>
      </c>
      <c r="DP143" s="683">
        <f t="shared" si="437"/>
        <v>0</v>
      </c>
      <c r="DQ143" s="683">
        <f t="shared" si="437"/>
        <v>0</v>
      </c>
      <c r="DR143" s="683">
        <f t="shared" si="437"/>
        <v>0</v>
      </c>
      <c r="DS143" s="683">
        <f t="shared" si="25"/>
        <v>59.7168</v>
      </c>
      <c r="DT143" s="683">
        <f t="shared" si="175"/>
        <v>119.4336</v>
      </c>
      <c r="DU143" s="504"/>
      <c r="DV143" s="486"/>
      <c r="DW143" s="688"/>
      <c r="DX143" s="688"/>
      <c r="DY143" s="688"/>
      <c r="DZ143" s="688"/>
      <c r="EA143" s="688"/>
      <c r="EB143" s="688"/>
      <c r="EC143" s="688"/>
      <c r="ED143" s="688"/>
      <c r="EE143" s="688"/>
      <c r="EF143" s="688"/>
      <c r="EG143" s="688"/>
      <c r="EH143" s="707" t="s">
        <v>3260</v>
      </c>
      <c r="EI143" s="708">
        <f>VLOOKUP(I143,CotizacionTDB,4,FALSE())</f>
        <v>8.58</v>
      </c>
      <c r="EJ143" s="708">
        <f>VLOOKUP(I143,CotizacionTDB,5,FALSE())</f>
        <v>7.29</v>
      </c>
      <c r="EK143" s="691"/>
    </row>
    <row r="144" ht="12.0" customHeight="1">
      <c r="A144" s="709" t="s">
        <v>3026</v>
      </c>
      <c r="B144" s="661">
        <v>2.0</v>
      </c>
      <c r="C144" s="567" t="s">
        <v>3027</v>
      </c>
      <c r="D144" s="568" t="s">
        <v>129</v>
      </c>
      <c r="E144" s="568" t="s">
        <v>2722</v>
      </c>
      <c r="F144" s="567" t="s">
        <v>1763</v>
      </c>
      <c r="G144" s="657" t="s">
        <v>2723</v>
      </c>
      <c r="H144" s="569" t="s">
        <v>3261</v>
      </c>
      <c r="I144" s="710" t="s">
        <v>1975</v>
      </c>
      <c r="J144" s="711" t="s">
        <v>3262</v>
      </c>
      <c r="K144" s="567" t="s">
        <v>25</v>
      </c>
      <c r="L144" s="567"/>
      <c r="M144" s="567"/>
      <c r="N144" s="567"/>
      <c r="O144" s="567">
        <v>2024.0</v>
      </c>
      <c r="P144" s="567"/>
      <c r="Q144" s="567"/>
      <c r="R144" s="567"/>
      <c r="S144" s="567"/>
      <c r="T144" s="567"/>
      <c r="U144" s="567"/>
      <c r="V144" s="567"/>
      <c r="W144" s="567">
        <v>3.0</v>
      </c>
      <c r="X144" s="567"/>
      <c r="Y144" s="567"/>
      <c r="Z144" s="567">
        <v>2.0</v>
      </c>
      <c r="AA144" s="567"/>
      <c r="AB144" s="567"/>
      <c r="AC144" s="567"/>
      <c r="AD144" s="567"/>
      <c r="AE144" s="567"/>
      <c r="AF144" s="567"/>
      <c r="AG144" s="567"/>
      <c r="AH144" s="567"/>
      <c r="AI144" s="567"/>
      <c r="AJ144" s="567"/>
      <c r="AK144" s="567"/>
      <c r="AL144" s="567"/>
      <c r="AM144" s="567"/>
      <c r="AN144" s="567"/>
      <c r="AO144" s="567"/>
      <c r="AP144" s="567"/>
      <c r="AQ144" s="567"/>
      <c r="AR144" s="567">
        <v>0.0</v>
      </c>
      <c r="AS144" s="567">
        <v>0.0</v>
      </c>
      <c r="AT144" s="567">
        <v>0.0</v>
      </c>
      <c r="AU144" s="567">
        <v>-2024.0</v>
      </c>
      <c r="AV144" s="567">
        <v>0.0</v>
      </c>
      <c r="AW144" s="567">
        <v>0.0</v>
      </c>
      <c r="AX144" s="567">
        <v>0.0</v>
      </c>
      <c r="AY144" s="567">
        <v>0.0</v>
      </c>
      <c r="AZ144" s="567">
        <v>0.0</v>
      </c>
      <c r="BA144" s="567">
        <v>0.0</v>
      </c>
      <c r="BB144" s="567"/>
      <c r="BC144" s="567"/>
      <c r="BD144" s="567"/>
      <c r="BE144" s="567"/>
      <c r="BF144" s="567"/>
      <c r="BG144" s="567"/>
      <c r="BH144" s="567"/>
      <c r="BI144" s="567"/>
      <c r="BJ144" s="567"/>
      <c r="BK144" s="567"/>
      <c r="BL144" s="725"/>
      <c r="BM144" s="665">
        <f t="shared" si="1"/>
        <v>0</v>
      </c>
      <c r="BN144" s="671"/>
      <c r="BO144" s="668"/>
      <c r="BP144" s="668"/>
      <c r="BQ144" s="668">
        <v>1.0</v>
      </c>
      <c r="BR144" s="668"/>
      <c r="BS144" s="668"/>
      <c r="BT144" s="668"/>
      <c r="BU144" s="668"/>
      <c r="BV144" s="668"/>
      <c r="BW144" s="670"/>
      <c r="BX144" s="665">
        <f t="shared" si="2"/>
        <v>1</v>
      </c>
      <c r="BY144" s="671">
        <v>0.0</v>
      </c>
      <c r="BZ144" s="668">
        <v>0.0</v>
      </c>
      <c r="CA144" s="668">
        <v>0.0</v>
      </c>
      <c r="CB144" s="668">
        <v>1.0</v>
      </c>
      <c r="CC144" s="668">
        <v>0.0</v>
      </c>
      <c r="CD144" s="668">
        <v>0.0</v>
      </c>
      <c r="CE144" s="668">
        <v>0.0</v>
      </c>
      <c r="CF144" s="668">
        <v>0.0</v>
      </c>
      <c r="CG144" s="668">
        <v>0.0</v>
      </c>
      <c r="CH144" s="670">
        <v>0.0</v>
      </c>
      <c r="CI144" s="665">
        <f t="shared" si="3"/>
        <v>1</v>
      </c>
      <c r="CJ144" s="671">
        <f t="shared" si="4"/>
        <v>2</v>
      </c>
      <c r="CK144" s="715">
        <v>8.08</v>
      </c>
      <c r="CL144" s="668">
        <f t="shared" si="428"/>
        <v>56.2368</v>
      </c>
      <c r="CM144" s="668">
        <f t="shared" ref="CM144:CV144" si="438">BC144*$CL144</f>
        <v>0</v>
      </c>
      <c r="CN144" s="668">
        <f t="shared" si="438"/>
        <v>0</v>
      </c>
      <c r="CO144" s="668">
        <f t="shared" si="438"/>
        <v>0</v>
      </c>
      <c r="CP144" s="668">
        <f t="shared" si="438"/>
        <v>0</v>
      </c>
      <c r="CQ144" s="668">
        <f t="shared" si="438"/>
        <v>0</v>
      </c>
      <c r="CR144" s="668">
        <f t="shared" si="438"/>
        <v>0</v>
      </c>
      <c r="CS144" s="668">
        <f t="shared" si="438"/>
        <v>0</v>
      </c>
      <c r="CT144" s="668">
        <f t="shared" si="438"/>
        <v>0</v>
      </c>
      <c r="CU144" s="668">
        <f t="shared" si="438"/>
        <v>0</v>
      </c>
      <c r="CV144" s="668">
        <f t="shared" si="438"/>
        <v>0</v>
      </c>
      <c r="CW144" s="668">
        <f t="shared" si="21"/>
        <v>0</v>
      </c>
      <c r="CX144" s="668">
        <f t="shared" ref="CX144:DG144" si="439">BN144*$CL144</f>
        <v>0</v>
      </c>
      <c r="CY144" s="668">
        <f t="shared" si="439"/>
        <v>0</v>
      </c>
      <c r="CZ144" s="668">
        <f t="shared" si="439"/>
        <v>0</v>
      </c>
      <c r="DA144" s="668">
        <f t="shared" si="439"/>
        <v>56.2368</v>
      </c>
      <c r="DB144" s="668">
        <f t="shared" si="439"/>
        <v>0</v>
      </c>
      <c r="DC144" s="668">
        <f t="shared" si="439"/>
        <v>0</v>
      </c>
      <c r="DD144" s="668">
        <f t="shared" si="439"/>
        <v>0</v>
      </c>
      <c r="DE144" s="668">
        <f t="shared" si="439"/>
        <v>0</v>
      </c>
      <c r="DF144" s="668">
        <f t="shared" si="439"/>
        <v>0</v>
      </c>
      <c r="DG144" s="668">
        <f t="shared" si="439"/>
        <v>0</v>
      </c>
      <c r="DH144" s="668">
        <f t="shared" si="23"/>
        <v>56.2368</v>
      </c>
      <c r="DI144" s="668">
        <f t="shared" ref="DI144:DR144" si="440">BY144*$CL144</f>
        <v>0</v>
      </c>
      <c r="DJ144" s="668">
        <f t="shared" si="440"/>
        <v>0</v>
      </c>
      <c r="DK144" s="668">
        <f t="shared" si="440"/>
        <v>0</v>
      </c>
      <c r="DL144" s="668">
        <f t="shared" si="440"/>
        <v>56.2368</v>
      </c>
      <c r="DM144" s="668">
        <f t="shared" si="440"/>
        <v>0</v>
      </c>
      <c r="DN144" s="668">
        <f t="shared" si="440"/>
        <v>0</v>
      </c>
      <c r="DO144" s="668">
        <f t="shared" si="440"/>
        <v>0</v>
      </c>
      <c r="DP144" s="668">
        <f t="shared" si="440"/>
        <v>0</v>
      </c>
      <c r="DQ144" s="668">
        <f t="shared" si="440"/>
        <v>0</v>
      </c>
      <c r="DR144" s="668">
        <f t="shared" si="440"/>
        <v>0</v>
      </c>
      <c r="DS144" s="668">
        <f t="shared" si="25"/>
        <v>56.2368</v>
      </c>
      <c r="DT144" s="668">
        <f t="shared" si="175"/>
        <v>112.4736</v>
      </c>
      <c r="DU144" s="538"/>
      <c r="DV144" s="468"/>
      <c r="DW144" s="698"/>
      <c r="DX144" s="698"/>
      <c r="DY144" s="698"/>
      <c r="DZ144" s="698"/>
      <c r="EA144" s="698"/>
      <c r="EB144" s="698"/>
      <c r="EC144" s="698"/>
      <c r="ED144" s="698"/>
      <c r="EE144" s="698"/>
      <c r="EF144" s="698"/>
      <c r="EG144" s="698"/>
      <c r="EH144" s="576" t="s">
        <v>3263</v>
      </c>
      <c r="EI144" s="716">
        <f>VLOOKUP(I144,CotizacionTDB,4,FALSE())</f>
        <v>8.08</v>
      </c>
      <c r="EJ144" s="716">
        <f>VLOOKUP(I144,CotizacionTDB,5,FALSE())</f>
        <v>6.87</v>
      </c>
      <c r="EK144" s="699"/>
    </row>
    <row r="145" ht="12.0" customHeight="1">
      <c r="A145" s="700" t="s">
        <v>3026</v>
      </c>
      <c r="B145" s="701">
        <v>2.0</v>
      </c>
      <c r="C145" s="562" t="s">
        <v>3027</v>
      </c>
      <c r="D145" s="571" t="s">
        <v>129</v>
      </c>
      <c r="E145" s="571" t="s">
        <v>2722</v>
      </c>
      <c r="F145" s="562" t="s">
        <v>1763</v>
      </c>
      <c r="G145" s="702" t="s">
        <v>2723</v>
      </c>
      <c r="H145" s="569" t="s">
        <v>3264</v>
      </c>
      <c r="I145" s="717" t="s">
        <v>1971</v>
      </c>
      <c r="J145" s="704" t="s">
        <v>3265</v>
      </c>
      <c r="K145" s="562" t="s">
        <v>25</v>
      </c>
      <c r="L145" s="562"/>
      <c r="M145" s="562"/>
      <c r="N145" s="562"/>
      <c r="O145" s="562">
        <v>2024.0</v>
      </c>
      <c r="P145" s="562">
        <v>2024.0</v>
      </c>
      <c r="Q145" s="562">
        <v>2024.0</v>
      </c>
      <c r="R145" s="562"/>
      <c r="S145" s="562"/>
      <c r="T145" s="562"/>
      <c r="U145" s="562"/>
      <c r="V145" s="562"/>
      <c r="W145" s="562">
        <v>3.0</v>
      </c>
      <c r="X145" s="562"/>
      <c r="Y145" s="562"/>
      <c r="Z145" s="562">
        <v>3.0</v>
      </c>
      <c r="AA145" s="562">
        <v>3.0</v>
      </c>
      <c r="AB145" s="562">
        <v>3.0</v>
      </c>
      <c r="AC145" s="562"/>
      <c r="AD145" s="562"/>
      <c r="AE145" s="562"/>
      <c r="AF145" s="562"/>
      <c r="AG145" s="562"/>
      <c r="AH145" s="562"/>
      <c r="AI145" s="562"/>
      <c r="AJ145" s="562"/>
      <c r="AK145" s="562"/>
      <c r="AL145" s="562"/>
      <c r="AM145" s="562"/>
      <c r="AN145" s="562"/>
      <c r="AO145" s="562"/>
      <c r="AP145" s="562"/>
      <c r="AQ145" s="562"/>
      <c r="AR145" s="562">
        <v>0.0</v>
      </c>
      <c r="AS145" s="562">
        <v>0.0</v>
      </c>
      <c r="AT145" s="562">
        <v>0.0</v>
      </c>
      <c r="AU145" s="562">
        <v>-2024.0</v>
      </c>
      <c r="AV145" s="562">
        <v>-2024.0</v>
      </c>
      <c r="AW145" s="562">
        <v>-2024.0</v>
      </c>
      <c r="AX145" s="562">
        <v>0.0</v>
      </c>
      <c r="AY145" s="562">
        <v>0.0</v>
      </c>
      <c r="AZ145" s="562">
        <v>0.0</v>
      </c>
      <c r="BA145" s="562">
        <v>0.0</v>
      </c>
      <c r="BB145" s="562"/>
      <c r="BC145" s="562"/>
      <c r="BD145" s="562"/>
      <c r="BE145" s="562"/>
      <c r="BF145" s="562"/>
      <c r="BG145" s="562"/>
      <c r="BH145" s="562"/>
      <c r="BI145" s="562"/>
      <c r="BJ145" s="562"/>
      <c r="BK145" s="562"/>
      <c r="BL145" s="681"/>
      <c r="BM145" s="665">
        <f t="shared" si="1"/>
        <v>0</v>
      </c>
      <c r="BN145" s="682"/>
      <c r="BO145" s="683"/>
      <c r="BP145" s="683"/>
      <c r="BQ145" s="683">
        <v>1.0</v>
      </c>
      <c r="BR145" s="683">
        <v>1.0</v>
      </c>
      <c r="BS145" s="683">
        <v>1.0</v>
      </c>
      <c r="BT145" s="683"/>
      <c r="BU145" s="683"/>
      <c r="BV145" s="683"/>
      <c r="BW145" s="686"/>
      <c r="BX145" s="665">
        <f t="shared" si="2"/>
        <v>3</v>
      </c>
      <c r="BY145" s="682">
        <v>0.0</v>
      </c>
      <c r="BZ145" s="683">
        <v>0.0</v>
      </c>
      <c r="CA145" s="683">
        <v>0.0</v>
      </c>
      <c r="CB145" s="683">
        <v>0.0</v>
      </c>
      <c r="CC145" s="683">
        <v>0.0</v>
      </c>
      <c r="CD145" s="683">
        <v>0.0</v>
      </c>
      <c r="CE145" s="683">
        <v>0.0</v>
      </c>
      <c r="CF145" s="683">
        <v>0.0</v>
      </c>
      <c r="CG145" s="683">
        <v>0.0</v>
      </c>
      <c r="CH145" s="686">
        <v>0.0</v>
      </c>
      <c r="CI145" s="665">
        <f t="shared" si="3"/>
        <v>0</v>
      </c>
      <c r="CJ145" s="682">
        <f t="shared" si="4"/>
        <v>3</v>
      </c>
      <c r="CK145" s="706">
        <v>1.96</v>
      </c>
      <c r="CL145" s="683">
        <f t="shared" si="428"/>
        <v>13.6416</v>
      </c>
      <c r="CM145" s="683">
        <f t="shared" ref="CM145:CV145" si="441">BC145*$CL145</f>
        <v>0</v>
      </c>
      <c r="CN145" s="683">
        <f t="shared" si="441"/>
        <v>0</v>
      </c>
      <c r="CO145" s="683">
        <f t="shared" si="441"/>
        <v>0</v>
      </c>
      <c r="CP145" s="683">
        <f t="shared" si="441"/>
        <v>0</v>
      </c>
      <c r="CQ145" s="683">
        <f t="shared" si="441"/>
        <v>0</v>
      </c>
      <c r="CR145" s="683">
        <f t="shared" si="441"/>
        <v>0</v>
      </c>
      <c r="CS145" s="683">
        <f t="shared" si="441"/>
        <v>0</v>
      </c>
      <c r="CT145" s="683">
        <f t="shared" si="441"/>
        <v>0</v>
      </c>
      <c r="CU145" s="683">
        <f t="shared" si="441"/>
        <v>0</v>
      </c>
      <c r="CV145" s="683">
        <f t="shared" si="441"/>
        <v>0</v>
      </c>
      <c r="CW145" s="683">
        <f t="shared" si="21"/>
        <v>0</v>
      </c>
      <c r="CX145" s="683">
        <f t="shared" ref="CX145:DG145" si="442">BN145*$CL145</f>
        <v>0</v>
      </c>
      <c r="CY145" s="683">
        <f t="shared" si="442"/>
        <v>0</v>
      </c>
      <c r="CZ145" s="683">
        <f t="shared" si="442"/>
        <v>0</v>
      </c>
      <c r="DA145" s="683">
        <f t="shared" si="442"/>
        <v>13.6416</v>
      </c>
      <c r="DB145" s="683">
        <f t="shared" si="442"/>
        <v>13.6416</v>
      </c>
      <c r="DC145" s="683">
        <f t="shared" si="442"/>
        <v>13.6416</v>
      </c>
      <c r="DD145" s="683">
        <f t="shared" si="442"/>
        <v>0</v>
      </c>
      <c r="DE145" s="683">
        <f t="shared" si="442"/>
        <v>0</v>
      </c>
      <c r="DF145" s="683">
        <f t="shared" si="442"/>
        <v>0</v>
      </c>
      <c r="DG145" s="683">
        <f t="shared" si="442"/>
        <v>0</v>
      </c>
      <c r="DH145" s="683">
        <f t="shared" si="23"/>
        <v>40.9248</v>
      </c>
      <c r="DI145" s="683">
        <f t="shared" ref="DI145:DR145" si="443">BY145*$CL145</f>
        <v>0</v>
      </c>
      <c r="DJ145" s="683">
        <f t="shared" si="443"/>
        <v>0</v>
      </c>
      <c r="DK145" s="683">
        <f t="shared" si="443"/>
        <v>0</v>
      </c>
      <c r="DL145" s="683">
        <f t="shared" si="443"/>
        <v>0</v>
      </c>
      <c r="DM145" s="683">
        <f t="shared" si="443"/>
        <v>0</v>
      </c>
      <c r="DN145" s="683">
        <f t="shared" si="443"/>
        <v>0</v>
      </c>
      <c r="DO145" s="683">
        <f t="shared" si="443"/>
        <v>0</v>
      </c>
      <c r="DP145" s="683">
        <f t="shared" si="443"/>
        <v>0</v>
      </c>
      <c r="DQ145" s="683">
        <f t="shared" si="443"/>
        <v>0</v>
      </c>
      <c r="DR145" s="683">
        <f t="shared" si="443"/>
        <v>0</v>
      </c>
      <c r="DS145" s="683">
        <f t="shared" si="25"/>
        <v>0</v>
      </c>
      <c r="DT145" s="683">
        <f t="shared" si="175"/>
        <v>40.9248</v>
      </c>
      <c r="DU145" s="504"/>
      <c r="DV145" s="486"/>
      <c r="DW145" s="688"/>
      <c r="DX145" s="688"/>
      <c r="DY145" s="688"/>
      <c r="DZ145" s="688"/>
      <c r="EA145" s="688"/>
      <c r="EB145" s="688"/>
      <c r="EC145" s="688"/>
      <c r="ED145" s="688"/>
      <c r="EE145" s="688"/>
      <c r="EF145" s="688"/>
      <c r="EG145" s="688"/>
      <c r="EH145" s="707" t="s">
        <v>3266</v>
      </c>
      <c r="EI145" s="708">
        <f>VLOOKUP(I145,CotizacionTDB,4,FALSE())</f>
        <v>1.96</v>
      </c>
      <c r="EJ145" s="708">
        <f>VLOOKUP(I145,CotizacionTDB,5,FALSE())</f>
        <v>1.67</v>
      </c>
      <c r="EK145" s="691"/>
    </row>
    <row r="146" ht="12.0" customHeight="1">
      <c r="A146" s="709" t="s">
        <v>3026</v>
      </c>
      <c r="B146" s="661">
        <v>2.0</v>
      </c>
      <c r="C146" s="567" t="s">
        <v>3027</v>
      </c>
      <c r="D146" s="568" t="s">
        <v>129</v>
      </c>
      <c r="E146" s="568" t="s">
        <v>2722</v>
      </c>
      <c r="F146" s="567" t="s">
        <v>1763</v>
      </c>
      <c r="G146" s="657" t="s">
        <v>2723</v>
      </c>
      <c r="H146" s="569" t="s">
        <v>3267</v>
      </c>
      <c r="I146" s="710" t="s">
        <v>2413</v>
      </c>
      <c r="J146" s="711" t="s">
        <v>1147</v>
      </c>
      <c r="K146" s="567" t="s">
        <v>25</v>
      </c>
      <c r="L146" s="567"/>
      <c r="M146" s="567"/>
      <c r="N146" s="567"/>
      <c r="O146" s="567">
        <v>2024.0</v>
      </c>
      <c r="P146" s="567"/>
      <c r="Q146" s="567"/>
      <c r="R146" s="567"/>
      <c r="S146" s="567"/>
      <c r="T146" s="567"/>
      <c r="U146" s="567"/>
      <c r="V146" s="567"/>
      <c r="W146" s="567">
        <v>3.0</v>
      </c>
      <c r="X146" s="567"/>
      <c r="Y146" s="567"/>
      <c r="Z146" s="567">
        <v>3.0</v>
      </c>
      <c r="AA146" s="567"/>
      <c r="AB146" s="567"/>
      <c r="AC146" s="567"/>
      <c r="AD146" s="567"/>
      <c r="AE146" s="567"/>
      <c r="AF146" s="567"/>
      <c r="AG146" s="567"/>
      <c r="AH146" s="567"/>
      <c r="AI146" s="567"/>
      <c r="AJ146" s="567"/>
      <c r="AK146" s="567"/>
      <c r="AL146" s="567"/>
      <c r="AM146" s="567"/>
      <c r="AN146" s="567"/>
      <c r="AO146" s="567"/>
      <c r="AP146" s="567"/>
      <c r="AQ146" s="567"/>
      <c r="AR146" s="567">
        <v>0.0</v>
      </c>
      <c r="AS146" s="567">
        <v>0.0</v>
      </c>
      <c r="AT146" s="567">
        <v>0.0</v>
      </c>
      <c r="AU146" s="567">
        <v>-2024.0</v>
      </c>
      <c r="AV146" s="567">
        <v>0.0</v>
      </c>
      <c r="AW146" s="567">
        <v>0.0</v>
      </c>
      <c r="AX146" s="567">
        <v>0.0</v>
      </c>
      <c r="AY146" s="567">
        <v>0.0</v>
      </c>
      <c r="AZ146" s="567">
        <v>0.0</v>
      </c>
      <c r="BA146" s="567">
        <v>0.0</v>
      </c>
      <c r="BB146" s="567"/>
      <c r="BC146" s="567"/>
      <c r="BD146" s="567"/>
      <c r="BE146" s="567"/>
      <c r="BF146" s="567"/>
      <c r="BG146" s="661"/>
      <c r="BH146" s="661"/>
      <c r="BI146" s="567"/>
      <c r="BJ146" s="567"/>
      <c r="BK146" s="567"/>
      <c r="BL146" s="725"/>
      <c r="BM146" s="665">
        <f t="shared" si="1"/>
        <v>0</v>
      </c>
      <c r="BN146" s="671"/>
      <c r="BO146" s="668"/>
      <c r="BP146" s="674"/>
      <c r="BQ146" s="668">
        <v>2.0</v>
      </c>
      <c r="BR146" s="674">
        <v>1.0</v>
      </c>
      <c r="BS146" s="674">
        <v>1.0</v>
      </c>
      <c r="BT146" s="668"/>
      <c r="BU146" s="668"/>
      <c r="BV146" s="668"/>
      <c r="BW146" s="670"/>
      <c r="BX146" s="665">
        <f t="shared" si="2"/>
        <v>4</v>
      </c>
      <c r="BY146" s="671">
        <v>0.0</v>
      </c>
      <c r="BZ146" s="668">
        <v>0.0</v>
      </c>
      <c r="CA146" s="674">
        <v>1.0</v>
      </c>
      <c r="CB146" s="668">
        <v>0.0</v>
      </c>
      <c r="CC146" s="668">
        <v>0.0</v>
      </c>
      <c r="CD146" s="668">
        <v>0.0</v>
      </c>
      <c r="CE146" s="668">
        <v>0.0</v>
      </c>
      <c r="CF146" s="668">
        <v>0.0</v>
      </c>
      <c r="CG146" s="668">
        <v>0.0</v>
      </c>
      <c r="CH146" s="670">
        <v>0.0</v>
      </c>
      <c r="CI146" s="665">
        <f t="shared" si="3"/>
        <v>1</v>
      </c>
      <c r="CJ146" s="671">
        <f t="shared" si="4"/>
        <v>5</v>
      </c>
      <c r="CK146" s="715">
        <v>416.02</v>
      </c>
      <c r="CL146" s="668">
        <f t="shared" si="428"/>
        <v>2895.4992</v>
      </c>
      <c r="CM146" s="668">
        <f t="shared" ref="CM146:CV146" si="444">BC146*$CL146</f>
        <v>0</v>
      </c>
      <c r="CN146" s="668">
        <f t="shared" si="444"/>
        <v>0</v>
      </c>
      <c r="CO146" s="668">
        <f t="shared" si="444"/>
        <v>0</v>
      </c>
      <c r="CP146" s="668">
        <f t="shared" si="444"/>
        <v>0</v>
      </c>
      <c r="CQ146" s="668">
        <f t="shared" si="444"/>
        <v>0</v>
      </c>
      <c r="CR146" s="668">
        <f t="shared" si="444"/>
        <v>0</v>
      </c>
      <c r="CS146" s="668">
        <f t="shared" si="444"/>
        <v>0</v>
      </c>
      <c r="CT146" s="668">
        <f t="shared" si="444"/>
        <v>0</v>
      </c>
      <c r="CU146" s="668">
        <f t="shared" si="444"/>
        <v>0</v>
      </c>
      <c r="CV146" s="668">
        <f t="shared" si="444"/>
        <v>0</v>
      </c>
      <c r="CW146" s="668">
        <f t="shared" si="21"/>
        <v>0</v>
      </c>
      <c r="CX146" s="668">
        <f t="shared" ref="CX146:DG146" si="445">BN146*$CL146</f>
        <v>0</v>
      </c>
      <c r="CY146" s="668">
        <f t="shared" si="445"/>
        <v>0</v>
      </c>
      <c r="CZ146" s="668">
        <f t="shared" si="445"/>
        <v>0</v>
      </c>
      <c r="DA146" s="668">
        <f t="shared" si="445"/>
        <v>5790.9984</v>
      </c>
      <c r="DB146" s="668">
        <f t="shared" si="445"/>
        <v>2895.4992</v>
      </c>
      <c r="DC146" s="668">
        <f t="shared" si="445"/>
        <v>2895.4992</v>
      </c>
      <c r="DD146" s="668">
        <f t="shared" si="445"/>
        <v>0</v>
      </c>
      <c r="DE146" s="668">
        <f t="shared" si="445"/>
        <v>0</v>
      </c>
      <c r="DF146" s="668">
        <f t="shared" si="445"/>
        <v>0</v>
      </c>
      <c r="DG146" s="668">
        <f t="shared" si="445"/>
        <v>0</v>
      </c>
      <c r="DH146" s="668">
        <f t="shared" si="23"/>
        <v>11581.9968</v>
      </c>
      <c r="DI146" s="668">
        <f t="shared" ref="DI146:DR146" si="446">BY146*$CL146</f>
        <v>0</v>
      </c>
      <c r="DJ146" s="668">
        <f t="shared" si="446"/>
        <v>0</v>
      </c>
      <c r="DK146" s="668">
        <f t="shared" si="446"/>
        <v>2895.4992</v>
      </c>
      <c r="DL146" s="668">
        <f t="shared" si="446"/>
        <v>0</v>
      </c>
      <c r="DM146" s="668">
        <f t="shared" si="446"/>
        <v>0</v>
      </c>
      <c r="DN146" s="668">
        <f t="shared" si="446"/>
        <v>0</v>
      </c>
      <c r="DO146" s="668">
        <f t="shared" si="446"/>
        <v>0</v>
      </c>
      <c r="DP146" s="668">
        <f t="shared" si="446"/>
        <v>0</v>
      </c>
      <c r="DQ146" s="668">
        <f t="shared" si="446"/>
        <v>0</v>
      </c>
      <c r="DR146" s="668">
        <f t="shared" si="446"/>
        <v>0</v>
      </c>
      <c r="DS146" s="668">
        <f t="shared" si="25"/>
        <v>2895.4992</v>
      </c>
      <c r="DT146" s="668">
        <f t="shared" si="175"/>
        <v>14477.496</v>
      </c>
      <c r="DU146" s="538"/>
      <c r="DV146" s="468"/>
      <c r="DW146" s="698"/>
      <c r="DX146" s="698"/>
      <c r="DY146" s="698"/>
      <c r="DZ146" s="698"/>
      <c r="EA146" s="698"/>
      <c r="EB146" s="698"/>
      <c r="EC146" s="698"/>
      <c r="ED146" s="698"/>
      <c r="EE146" s="698"/>
      <c r="EF146" s="698"/>
      <c r="EG146" s="698"/>
      <c r="EH146" s="576" t="s">
        <v>3268</v>
      </c>
      <c r="EI146" s="716">
        <f>VLOOKUP(I146,CotizacionTDB,4,FALSE())</f>
        <v>416.02</v>
      </c>
      <c r="EJ146" s="716">
        <f>VLOOKUP(I146,CotizacionTDB,5,FALSE())</f>
        <v>353.62</v>
      </c>
      <c r="EK146" s="699"/>
    </row>
    <row r="147" ht="12.0" customHeight="1">
      <c r="A147" s="700" t="s">
        <v>3026</v>
      </c>
      <c r="B147" s="701">
        <v>2.0</v>
      </c>
      <c r="C147" s="562" t="s">
        <v>3027</v>
      </c>
      <c r="D147" s="571" t="s">
        <v>129</v>
      </c>
      <c r="E147" s="571" t="s">
        <v>2722</v>
      </c>
      <c r="F147" s="562" t="s">
        <v>1763</v>
      </c>
      <c r="G147" s="702" t="s">
        <v>2723</v>
      </c>
      <c r="H147" s="737"/>
      <c r="I147" s="717" t="s">
        <v>2346</v>
      </c>
      <c r="J147" s="704" t="s">
        <v>1448</v>
      </c>
      <c r="K147" s="562" t="s">
        <v>25</v>
      </c>
      <c r="L147" s="562"/>
      <c r="M147" s="562"/>
      <c r="N147" s="562"/>
      <c r="O147" s="562"/>
      <c r="P147" s="562">
        <v>2024.0</v>
      </c>
      <c r="Q147" s="562"/>
      <c r="R147" s="562"/>
      <c r="S147" s="562"/>
      <c r="T147" s="562"/>
      <c r="U147" s="562"/>
      <c r="V147" s="562"/>
      <c r="W147" s="562">
        <v>3.0</v>
      </c>
      <c r="X147" s="562"/>
      <c r="Y147" s="562"/>
      <c r="Z147" s="562"/>
      <c r="AA147" s="562">
        <v>5.0</v>
      </c>
      <c r="AB147" s="562"/>
      <c r="AC147" s="562"/>
      <c r="AD147" s="562"/>
      <c r="AE147" s="562"/>
      <c r="AF147" s="562"/>
      <c r="AG147" s="562"/>
      <c r="AH147" s="562"/>
      <c r="AI147" s="562"/>
      <c r="AJ147" s="562"/>
      <c r="AK147" s="562"/>
      <c r="AL147" s="562"/>
      <c r="AM147" s="562"/>
      <c r="AN147" s="562"/>
      <c r="AO147" s="562"/>
      <c r="AP147" s="562"/>
      <c r="AQ147" s="562"/>
      <c r="AR147" s="562">
        <v>0.0</v>
      </c>
      <c r="AS147" s="562">
        <v>0.0</v>
      </c>
      <c r="AT147" s="562">
        <v>0.0</v>
      </c>
      <c r="AU147" s="562">
        <v>0.0</v>
      </c>
      <c r="AV147" s="562">
        <v>-2024.0</v>
      </c>
      <c r="AW147" s="562">
        <v>0.0</v>
      </c>
      <c r="AX147" s="562">
        <v>0.0</v>
      </c>
      <c r="AY147" s="562">
        <v>0.0</v>
      </c>
      <c r="AZ147" s="562">
        <v>0.0</v>
      </c>
      <c r="BA147" s="562">
        <v>0.0</v>
      </c>
      <c r="BB147" s="562"/>
      <c r="BC147" s="562"/>
      <c r="BD147" s="562"/>
      <c r="BE147" s="562"/>
      <c r="BF147" s="562"/>
      <c r="BG147" s="562"/>
      <c r="BH147" s="562"/>
      <c r="BI147" s="562"/>
      <c r="BJ147" s="562"/>
      <c r="BK147" s="562"/>
      <c r="BL147" s="681"/>
      <c r="BM147" s="665">
        <f t="shared" si="1"/>
        <v>0</v>
      </c>
      <c r="BN147" s="682"/>
      <c r="BO147" s="683"/>
      <c r="BP147" s="683"/>
      <c r="BQ147" s="683"/>
      <c r="BR147" s="683">
        <v>2.0</v>
      </c>
      <c r="BS147" s="683"/>
      <c r="BT147" s="683"/>
      <c r="BU147" s="683"/>
      <c r="BV147" s="683"/>
      <c r="BW147" s="686"/>
      <c r="BX147" s="665">
        <f t="shared" si="2"/>
        <v>2</v>
      </c>
      <c r="BY147" s="682">
        <v>0.0</v>
      </c>
      <c r="BZ147" s="683">
        <v>0.0</v>
      </c>
      <c r="CA147" s="683">
        <v>0.0</v>
      </c>
      <c r="CB147" s="683">
        <v>0.0</v>
      </c>
      <c r="CC147" s="683">
        <v>0.0</v>
      </c>
      <c r="CD147" s="683">
        <v>0.0</v>
      </c>
      <c r="CE147" s="683">
        <v>0.0</v>
      </c>
      <c r="CF147" s="683">
        <v>0.0</v>
      </c>
      <c r="CG147" s="683">
        <v>0.0</v>
      </c>
      <c r="CH147" s="686">
        <v>0.0</v>
      </c>
      <c r="CI147" s="665">
        <f t="shared" si="3"/>
        <v>0</v>
      </c>
      <c r="CJ147" s="682">
        <f t="shared" si="4"/>
        <v>2</v>
      </c>
      <c r="CK147" s="706">
        <v>88.95</v>
      </c>
      <c r="CL147" s="683">
        <f t="shared" si="428"/>
        <v>619.092</v>
      </c>
      <c r="CM147" s="683">
        <f t="shared" ref="CM147:CV147" si="447">BC147*$CL147</f>
        <v>0</v>
      </c>
      <c r="CN147" s="683">
        <f t="shared" si="447"/>
        <v>0</v>
      </c>
      <c r="CO147" s="683">
        <f t="shared" si="447"/>
        <v>0</v>
      </c>
      <c r="CP147" s="683">
        <f t="shared" si="447"/>
        <v>0</v>
      </c>
      <c r="CQ147" s="683">
        <f t="shared" si="447"/>
        <v>0</v>
      </c>
      <c r="CR147" s="683">
        <f t="shared" si="447"/>
        <v>0</v>
      </c>
      <c r="CS147" s="683">
        <f t="shared" si="447"/>
        <v>0</v>
      </c>
      <c r="CT147" s="683">
        <f t="shared" si="447"/>
        <v>0</v>
      </c>
      <c r="CU147" s="683">
        <f t="shared" si="447"/>
        <v>0</v>
      </c>
      <c r="CV147" s="683">
        <f t="shared" si="447"/>
        <v>0</v>
      </c>
      <c r="CW147" s="683">
        <f t="shared" si="21"/>
        <v>0</v>
      </c>
      <c r="CX147" s="683">
        <f t="shared" ref="CX147:DG147" si="448">BN147*$CL147</f>
        <v>0</v>
      </c>
      <c r="CY147" s="683">
        <f t="shared" si="448"/>
        <v>0</v>
      </c>
      <c r="CZ147" s="683">
        <f t="shared" si="448"/>
        <v>0</v>
      </c>
      <c r="DA147" s="683">
        <f t="shared" si="448"/>
        <v>0</v>
      </c>
      <c r="DB147" s="683">
        <f t="shared" si="448"/>
        <v>1238.184</v>
      </c>
      <c r="DC147" s="683">
        <f t="shared" si="448"/>
        <v>0</v>
      </c>
      <c r="DD147" s="683">
        <f t="shared" si="448"/>
        <v>0</v>
      </c>
      <c r="DE147" s="683">
        <f t="shared" si="448"/>
        <v>0</v>
      </c>
      <c r="DF147" s="683">
        <f t="shared" si="448"/>
        <v>0</v>
      </c>
      <c r="DG147" s="683">
        <f t="shared" si="448"/>
        <v>0</v>
      </c>
      <c r="DH147" s="683">
        <f t="shared" si="23"/>
        <v>1238.184</v>
      </c>
      <c r="DI147" s="683">
        <f t="shared" ref="DI147:DR147" si="449">BY147*$CL147</f>
        <v>0</v>
      </c>
      <c r="DJ147" s="683">
        <f t="shared" si="449"/>
        <v>0</v>
      </c>
      <c r="DK147" s="683">
        <f t="shared" si="449"/>
        <v>0</v>
      </c>
      <c r="DL147" s="683">
        <f t="shared" si="449"/>
        <v>0</v>
      </c>
      <c r="DM147" s="683">
        <f t="shared" si="449"/>
        <v>0</v>
      </c>
      <c r="DN147" s="683">
        <f t="shared" si="449"/>
        <v>0</v>
      </c>
      <c r="DO147" s="683">
        <f t="shared" si="449"/>
        <v>0</v>
      </c>
      <c r="DP147" s="683">
        <f t="shared" si="449"/>
        <v>0</v>
      </c>
      <c r="DQ147" s="683">
        <f t="shared" si="449"/>
        <v>0</v>
      </c>
      <c r="DR147" s="683">
        <f t="shared" si="449"/>
        <v>0</v>
      </c>
      <c r="DS147" s="683">
        <f t="shared" si="25"/>
        <v>0</v>
      </c>
      <c r="DT147" s="683">
        <f t="shared" si="175"/>
        <v>1238.184</v>
      </c>
      <c r="DU147" s="504"/>
      <c r="DV147" s="486"/>
      <c r="DW147" s="688"/>
      <c r="DX147" s="688"/>
      <c r="DY147" s="688"/>
      <c r="DZ147" s="688"/>
      <c r="EA147" s="688"/>
      <c r="EB147" s="688"/>
      <c r="EC147" s="688"/>
      <c r="ED147" s="688"/>
      <c r="EE147" s="688"/>
      <c r="EF147" s="688"/>
      <c r="EG147" s="688"/>
      <c r="EH147" s="707" t="s">
        <v>3269</v>
      </c>
      <c r="EI147" s="708">
        <f>VLOOKUP(I147,CotizacionTDB,4,FALSE())</f>
        <v>88.95</v>
      </c>
      <c r="EJ147" s="708">
        <f>VLOOKUP(I147,CotizacionTDB,5,FALSE())</f>
        <v>75.61</v>
      </c>
      <c r="EK147" s="691"/>
    </row>
    <row r="148" ht="12.0" customHeight="1">
      <c r="A148" s="709" t="s">
        <v>3026</v>
      </c>
      <c r="B148" s="661">
        <v>2.0</v>
      </c>
      <c r="C148" s="567" t="s">
        <v>3027</v>
      </c>
      <c r="D148" s="568" t="s">
        <v>256</v>
      </c>
      <c r="E148" s="568" t="s">
        <v>3270</v>
      </c>
      <c r="F148" s="567" t="s">
        <v>1763</v>
      </c>
      <c r="G148" s="657" t="s">
        <v>2709</v>
      </c>
      <c r="H148" s="569" t="s">
        <v>3271</v>
      </c>
      <c r="I148" s="721" t="s">
        <v>1928</v>
      </c>
      <c r="J148" s="711" t="s">
        <v>602</v>
      </c>
      <c r="K148" s="567" t="s">
        <v>25</v>
      </c>
      <c r="L148" s="567"/>
      <c r="M148" s="567"/>
      <c r="N148" s="567"/>
      <c r="O148" s="567"/>
      <c r="P148" s="567"/>
      <c r="Q148" s="567"/>
      <c r="R148" s="567">
        <v>2024.0</v>
      </c>
      <c r="S148" s="567">
        <v>2024.0</v>
      </c>
      <c r="T148" s="567" t="s">
        <v>3272</v>
      </c>
      <c r="U148" s="567">
        <v>2024.0</v>
      </c>
      <c r="V148" s="567"/>
      <c r="W148" s="567">
        <v>3.0</v>
      </c>
      <c r="X148" s="567"/>
      <c r="Y148" s="567"/>
      <c r="Z148" s="567"/>
      <c r="AA148" s="567"/>
      <c r="AB148" s="567"/>
      <c r="AC148" s="567">
        <v>4.0</v>
      </c>
      <c r="AD148" s="567">
        <v>4.0</v>
      </c>
      <c r="AE148" s="567">
        <v>4.0</v>
      </c>
      <c r="AF148" s="567">
        <v>5.0</v>
      </c>
      <c r="AG148" s="567"/>
      <c r="AH148" s="567"/>
      <c r="AI148" s="567"/>
      <c r="AJ148" s="567"/>
      <c r="AK148" s="567"/>
      <c r="AL148" s="567"/>
      <c r="AM148" s="567"/>
      <c r="AN148" s="567"/>
      <c r="AO148" s="567"/>
      <c r="AP148" s="567"/>
      <c r="AQ148" s="567"/>
      <c r="AR148" s="567">
        <v>0.0</v>
      </c>
      <c r="AS148" s="567">
        <v>0.0</v>
      </c>
      <c r="AT148" s="567">
        <v>0.0</v>
      </c>
      <c r="AU148" s="567">
        <v>0.0</v>
      </c>
      <c r="AV148" s="567">
        <v>0.0</v>
      </c>
      <c r="AW148" s="567">
        <v>0.0</v>
      </c>
      <c r="AX148" s="567">
        <v>-2024.0</v>
      </c>
      <c r="AY148" s="567">
        <v>-2024.0</v>
      </c>
      <c r="AZ148" s="567" t="s">
        <v>3273</v>
      </c>
      <c r="BA148" s="567">
        <v>-2024.0</v>
      </c>
      <c r="BB148" s="567"/>
      <c r="BC148" s="567"/>
      <c r="BD148" s="567"/>
      <c r="BE148" s="567"/>
      <c r="BF148" s="567"/>
      <c r="BG148" s="567"/>
      <c r="BH148" s="567"/>
      <c r="BI148" s="718"/>
      <c r="BJ148" s="718"/>
      <c r="BK148" s="567"/>
      <c r="BL148" s="735"/>
      <c r="BM148" s="665">
        <f t="shared" si="1"/>
        <v>0</v>
      </c>
      <c r="BN148" s="668"/>
      <c r="BO148" s="668"/>
      <c r="BP148" s="668"/>
      <c r="BQ148" s="668"/>
      <c r="BR148" s="668"/>
      <c r="BS148" s="668"/>
      <c r="BT148" s="667">
        <v>4.0</v>
      </c>
      <c r="BU148" s="667">
        <v>6.0</v>
      </c>
      <c r="BV148" s="668"/>
      <c r="BW148" s="685">
        <v>4.0</v>
      </c>
      <c r="BX148" s="665">
        <f t="shared" si="2"/>
        <v>14</v>
      </c>
      <c r="BY148" s="671">
        <v>0.0</v>
      </c>
      <c r="BZ148" s="668">
        <v>0.0</v>
      </c>
      <c r="CA148" s="668">
        <v>0.0</v>
      </c>
      <c r="CB148" s="668">
        <v>0.0</v>
      </c>
      <c r="CC148" s="668">
        <v>0.0</v>
      </c>
      <c r="CD148" s="668">
        <v>0.0</v>
      </c>
      <c r="CE148" s="668">
        <v>0.0</v>
      </c>
      <c r="CF148" s="668">
        <v>0.0</v>
      </c>
      <c r="CG148" s="668">
        <v>0.0</v>
      </c>
      <c r="CH148" s="670">
        <v>0.0</v>
      </c>
      <c r="CI148" s="665">
        <f t="shared" si="3"/>
        <v>0</v>
      </c>
      <c r="CJ148" s="671">
        <f t="shared" si="4"/>
        <v>14</v>
      </c>
      <c r="CK148" s="715">
        <v>491.05</v>
      </c>
      <c r="CL148" s="668">
        <f t="shared" si="428"/>
        <v>3417.708</v>
      </c>
      <c r="CM148" s="668">
        <f t="shared" ref="CM148:CV148" si="450">BC148*$CL148</f>
        <v>0</v>
      </c>
      <c r="CN148" s="668">
        <f t="shared" si="450"/>
        <v>0</v>
      </c>
      <c r="CO148" s="668">
        <f t="shared" si="450"/>
        <v>0</v>
      </c>
      <c r="CP148" s="668">
        <f t="shared" si="450"/>
        <v>0</v>
      </c>
      <c r="CQ148" s="668">
        <f t="shared" si="450"/>
        <v>0</v>
      </c>
      <c r="CR148" s="668">
        <f t="shared" si="450"/>
        <v>0</v>
      </c>
      <c r="CS148" s="668">
        <f t="shared" si="450"/>
        <v>0</v>
      </c>
      <c r="CT148" s="668">
        <f t="shared" si="450"/>
        <v>0</v>
      </c>
      <c r="CU148" s="668">
        <f t="shared" si="450"/>
        <v>0</v>
      </c>
      <c r="CV148" s="668">
        <f t="shared" si="450"/>
        <v>0</v>
      </c>
      <c r="CW148" s="668">
        <f t="shared" si="21"/>
        <v>0</v>
      </c>
      <c r="CX148" s="668">
        <f t="shared" ref="CX148:DG148" si="451">BN148*$CL148</f>
        <v>0</v>
      </c>
      <c r="CY148" s="668">
        <f t="shared" si="451"/>
        <v>0</v>
      </c>
      <c r="CZ148" s="668">
        <f t="shared" si="451"/>
        <v>0</v>
      </c>
      <c r="DA148" s="668">
        <f t="shared" si="451"/>
        <v>0</v>
      </c>
      <c r="DB148" s="668">
        <f t="shared" si="451"/>
        <v>0</v>
      </c>
      <c r="DC148" s="668">
        <f t="shared" si="451"/>
        <v>0</v>
      </c>
      <c r="DD148" s="668">
        <f t="shared" si="451"/>
        <v>13670.832</v>
      </c>
      <c r="DE148" s="668">
        <f t="shared" si="451"/>
        <v>20506.248</v>
      </c>
      <c r="DF148" s="668">
        <f t="shared" si="451"/>
        <v>0</v>
      </c>
      <c r="DG148" s="668">
        <f t="shared" si="451"/>
        <v>13670.832</v>
      </c>
      <c r="DH148" s="668">
        <f t="shared" si="23"/>
        <v>47847.912</v>
      </c>
      <c r="DI148" s="668">
        <f t="shared" ref="DI148:DR148" si="452">BY148*$CL148</f>
        <v>0</v>
      </c>
      <c r="DJ148" s="668">
        <f t="shared" si="452"/>
        <v>0</v>
      </c>
      <c r="DK148" s="668">
        <f t="shared" si="452"/>
        <v>0</v>
      </c>
      <c r="DL148" s="668">
        <f t="shared" si="452"/>
        <v>0</v>
      </c>
      <c r="DM148" s="668">
        <f t="shared" si="452"/>
        <v>0</v>
      </c>
      <c r="DN148" s="668">
        <f t="shared" si="452"/>
        <v>0</v>
      </c>
      <c r="DO148" s="668">
        <f t="shared" si="452"/>
        <v>0</v>
      </c>
      <c r="DP148" s="668">
        <f t="shared" si="452"/>
        <v>0</v>
      </c>
      <c r="DQ148" s="668">
        <f t="shared" si="452"/>
        <v>0</v>
      </c>
      <c r="DR148" s="668">
        <f t="shared" si="452"/>
        <v>0</v>
      </c>
      <c r="DS148" s="668">
        <f t="shared" si="25"/>
        <v>0</v>
      </c>
      <c r="DT148" s="668">
        <f t="shared" si="175"/>
        <v>47847.912</v>
      </c>
      <c r="DU148" s="538"/>
      <c r="DV148" s="468"/>
      <c r="DW148" s="698"/>
      <c r="DX148" s="698"/>
      <c r="DY148" s="698"/>
      <c r="DZ148" s="698"/>
      <c r="EA148" s="698"/>
      <c r="EB148" s="698"/>
      <c r="EC148" s="698"/>
      <c r="ED148" s="698"/>
      <c r="EE148" s="698"/>
      <c r="EF148" s="698"/>
      <c r="EG148" s="698"/>
      <c r="EH148" s="576" t="s">
        <v>602</v>
      </c>
      <c r="EI148" s="716">
        <f>VLOOKUP(I148,CotizacionTDB,4,FALSE())</f>
        <v>491.05</v>
      </c>
      <c r="EJ148" s="716">
        <f>VLOOKUP(I148,CotizacionTDB,5,FALSE())</f>
        <v>417.39</v>
      </c>
      <c r="EK148" s="699"/>
    </row>
    <row r="149" ht="12.0" customHeight="1">
      <c r="A149" s="700" t="s">
        <v>3026</v>
      </c>
      <c r="B149" s="701">
        <v>2.0</v>
      </c>
      <c r="C149" s="562" t="s">
        <v>3027</v>
      </c>
      <c r="D149" s="571" t="s">
        <v>256</v>
      </c>
      <c r="E149" s="571" t="s">
        <v>3270</v>
      </c>
      <c r="F149" s="562" t="s">
        <v>1763</v>
      </c>
      <c r="G149" s="569" t="s">
        <v>2709</v>
      </c>
      <c r="H149" s="569" t="s">
        <v>3274</v>
      </c>
      <c r="I149" s="703" t="s">
        <v>2102</v>
      </c>
      <c r="J149" s="704" t="s">
        <v>392</v>
      </c>
      <c r="K149" s="562" t="s">
        <v>25</v>
      </c>
      <c r="L149" s="562">
        <v>2024.0</v>
      </c>
      <c r="M149" s="562">
        <v>2024.0</v>
      </c>
      <c r="N149" s="562">
        <v>2024.0</v>
      </c>
      <c r="O149" s="562">
        <v>2024.0</v>
      </c>
      <c r="P149" s="562">
        <v>2024.0</v>
      </c>
      <c r="Q149" s="562">
        <v>2024.0</v>
      </c>
      <c r="R149" s="562">
        <v>2024.0</v>
      </c>
      <c r="S149" s="562">
        <v>2024.0</v>
      </c>
      <c r="T149" s="562">
        <v>2024.0</v>
      </c>
      <c r="U149" s="562">
        <v>2024.0</v>
      </c>
      <c r="V149" s="562"/>
      <c r="W149" s="562">
        <v>1.0</v>
      </c>
      <c r="X149" s="562">
        <v>3.0</v>
      </c>
      <c r="Y149" s="562">
        <v>3.0</v>
      </c>
      <c r="Z149" s="562">
        <v>3.0</v>
      </c>
      <c r="AA149" s="562">
        <v>3.0</v>
      </c>
      <c r="AB149" s="562">
        <v>3.0</v>
      </c>
      <c r="AC149" s="562">
        <v>3.0</v>
      </c>
      <c r="AD149" s="562">
        <v>3.0</v>
      </c>
      <c r="AE149" s="562">
        <v>3.0</v>
      </c>
      <c r="AF149" s="562">
        <v>3.0</v>
      </c>
      <c r="AG149" s="562"/>
      <c r="AH149" s="562"/>
      <c r="AI149" s="562"/>
      <c r="AJ149" s="562"/>
      <c r="AK149" s="562"/>
      <c r="AL149" s="562"/>
      <c r="AM149" s="562"/>
      <c r="AN149" s="562"/>
      <c r="AO149" s="562"/>
      <c r="AP149" s="562"/>
      <c r="AQ149" s="562"/>
      <c r="AR149" s="562">
        <v>-2024.0</v>
      </c>
      <c r="AS149" s="562">
        <v>-2024.0</v>
      </c>
      <c r="AT149" s="562">
        <v>-2024.0</v>
      </c>
      <c r="AU149" s="562">
        <v>-2024.0</v>
      </c>
      <c r="AV149" s="562">
        <v>-2024.0</v>
      </c>
      <c r="AW149" s="562">
        <v>-2024.0</v>
      </c>
      <c r="AX149" s="562">
        <v>-2024.0</v>
      </c>
      <c r="AY149" s="562">
        <v>-2024.0</v>
      </c>
      <c r="AZ149" s="562">
        <v>-2024.0</v>
      </c>
      <c r="BA149" s="562">
        <v>-2024.0</v>
      </c>
      <c r="BB149" s="562"/>
      <c r="BC149" s="562"/>
      <c r="BD149" s="782">
        <v>0.0</v>
      </c>
      <c r="BE149" s="680">
        <v>0.0</v>
      </c>
      <c r="BF149" s="701">
        <v>0.0</v>
      </c>
      <c r="BG149" s="701">
        <v>0.0</v>
      </c>
      <c r="BH149" s="701">
        <v>0.0</v>
      </c>
      <c r="BI149" s="850">
        <v>0.0</v>
      </c>
      <c r="BJ149" s="680">
        <v>0.0</v>
      </c>
      <c r="BK149" s="850">
        <v>0.0</v>
      </c>
      <c r="BL149" s="762">
        <v>0.0</v>
      </c>
      <c r="BM149" s="665">
        <f t="shared" si="1"/>
        <v>0</v>
      </c>
      <c r="BN149" s="728"/>
      <c r="BO149" s="774"/>
      <c r="BP149" s="667">
        <v>2.0</v>
      </c>
      <c r="BQ149" s="683"/>
      <c r="BR149" s="683"/>
      <c r="BS149" s="683"/>
      <c r="BT149" s="744"/>
      <c r="BU149" s="667">
        <v>4.0</v>
      </c>
      <c r="BV149" s="744"/>
      <c r="BW149" s="763">
        <v>6.0</v>
      </c>
      <c r="BX149" s="665">
        <f t="shared" si="2"/>
        <v>12</v>
      </c>
      <c r="BY149" s="728">
        <v>4.0</v>
      </c>
      <c r="BZ149" s="774">
        <v>2.0</v>
      </c>
      <c r="CA149" s="683">
        <v>0.0</v>
      </c>
      <c r="CB149" s="687">
        <v>2.0</v>
      </c>
      <c r="CC149" s="687">
        <v>2.0</v>
      </c>
      <c r="CD149" s="687">
        <v>2.0</v>
      </c>
      <c r="CE149" s="744">
        <v>4.0</v>
      </c>
      <c r="CF149" s="683">
        <v>0.0</v>
      </c>
      <c r="CG149" s="744">
        <v>2.0</v>
      </c>
      <c r="CH149" s="686">
        <v>0.0</v>
      </c>
      <c r="CI149" s="665">
        <f t="shared" si="3"/>
        <v>18</v>
      </c>
      <c r="CJ149" s="682">
        <f t="shared" si="4"/>
        <v>30</v>
      </c>
      <c r="CK149" s="706">
        <v>536.31</v>
      </c>
      <c r="CL149" s="683">
        <f t="shared" si="428"/>
        <v>3732.7176</v>
      </c>
      <c r="CM149" s="683">
        <f t="shared" ref="CM149:CV149" si="453">BC149*$CL149</f>
        <v>0</v>
      </c>
      <c r="CN149" s="683">
        <f t="shared" si="453"/>
        <v>0</v>
      </c>
      <c r="CO149" s="683">
        <f t="shared" si="453"/>
        <v>0</v>
      </c>
      <c r="CP149" s="683">
        <f t="shared" si="453"/>
        <v>0</v>
      </c>
      <c r="CQ149" s="683">
        <f t="shared" si="453"/>
        <v>0</v>
      </c>
      <c r="CR149" s="683">
        <f t="shared" si="453"/>
        <v>0</v>
      </c>
      <c r="CS149" s="683">
        <f t="shared" si="453"/>
        <v>0</v>
      </c>
      <c r="CT149" s="683">
        <f t="shared" si="453"/>
        <v>0</v>
      </c>
      <c r="CU149" s="683">
        <f t="shared" si="453"/>
        <v>0</v>
      </c>
      <c r="CV149" s="683">
        <f t="shared" si="453"/>
        <v>0</v>
      </c>
      <c r="CW149" s="683">
        <f t="shared" si="21"/>
        <v>0</v>
      </c>
      <c r="CX149" s="683">
        <f t="shared" ref="CX149:DG149" si="454">BN149*$CL149</f>
        <v>0</v>
      </c>
      <c r="CY149" s="683">
        <f t="shared" si="454"/>
        <v>0</v>
      </c>
      <c r="CZ149" s="683">
        <f t="shared" si="454"/>
        <v>7465.4352</v>
      </c>
      <c r="DA149" s="683">
        <f t="shared" si="454"/>
        <v>0</v>
      </c>
      <c r="DB149" s="683">
        <f t="shared" si="454"/>
        <v>0</v>
      </c>
      <c r="DC149" s="683">
        <f t="shared" si="454"/>
        <v>0</v>
      </c>
      <c r="DD149" s="683">
        <f t="shared" si="454"/>
        <v>0</v>
      </c>
      <c r="DE149" s="683">
        <f t="shared" si="454"/>
        <v>14930.8704</v>
      </c>
      <c r="DF149" s="683">
        <f t="shared" si="454"/>
        <v>0</v>
      </c>
      <c r="DG149" s="683">
        <f t="shared" si="454"/>
        <v>22396.3056</v>
      </c>
      <c r="DH149" s="683">
        <f t="shared" si="23"/>
        <v>44792.6112</v>
      </c>
      <c r="DI149" s="683">
        <f t="shared" ref="DI149:DR149" si="455">BY149*$CL149</f>
        <v>14930.8704</v>
      </c>
      <c r="DJ149" s="683">
        <f t="shared" si="455"/>
        <v>7465.4352</v>
      </c>
      <c r="DK149" s="683">
        <f t="shared" si="455"/>
        <v>0</v>
      </c>
      <c r="DL149" s="683">
        <f t="shared" si="455"/>
        <v>7465.4352</v>
      </c>
      <c r="DM149" s="683">
        <f t="shared" si="455"/>
        <v>7465.4352</v>
      </c>
      <c r="DN149" s="683">
        <f t="shared" si="455"/>
        <v>7465.4352</v>
      </c>
      <c r="DO149" s="683">
        <f t="shared" si="455"/>
        <v>14930.8704</v>
      </c>
      <c r="DP149" s="683">
        <f t="shared" si="455"/>
        <v>0</v>
      </c>
      <c r="DQ149" s="683">
        <f t="shared" si="455"/>
        <v>7465.4352</v>
      </c>
      <c r="DR149" s="683">
        <f t="shared" si="455"/>
        <v>0</v>
      </c>
      <c r="DS149" s="683">
        <f t="shared" si="25"/>
        <v>67188.9168</v>
      </c>
      <c r="DT149" s="683">
        <f t="shared" si="175"/>
        <v>111981.528</v>
      </c>
      <c r="DU149" s="504"/>
      <c r="DV149" s="486"/>
      <c r="DW149" s="688"/>
      <c r="DX149" s="688"/>
      <c r="DY149" s="688"/>
      <c r="DZ149" s="688"/>
      <c r="EA149" s="688"/>
      <c r="EB149" s="688"/>
      <c r="EC149" s="688"/>
      <c r="ED149" s="688"/>
      <c r="EE149" s="688"/>
      <c r="EF149" s="688"/>
      <c r="EG149" s="688"/>
      <c r="EH149" s="707" t="s">
        <v>2103</v>
      </c>
      <c r="EI149" s="708">
        <f>VLOOKUP(I149,CotizacionTDB,4,FALSE())</f>
        <v>536.31</v>
      </c>
      <c r="EJ149" s="708">
        <f>VLOOKUP(I149,CotizacionTDB,5,FALSE())</f>
        <v>455.86</v>
      </c>
      <c r="EK149" s="691"/>
    </row>
    <row r="150" ht="12.0" customHeight="1">
      <c r="A150" s="709" t="s">
        <v>3026</v>
      </c>
      <c r="B150" s="661">
        <v>38.0</v>
      </c>
      <c r="C150" s="567" t="s">
        <v>3034</v>
      </c>
      <c r="D150" s="567" t="s">
        <v>195</v>
      </c>
      <c r="E150" s="567" t="s">
        <v>2708</v>
      </c>
      <c r="F150" s="661" t="s">
        <v>1774</v>
      </c>
      <c r="G150" s="851" t="s">
        <v>2709</v>
      </c>
      <c r="H150" s="851" t="s">
        <v>3275</v>
      </c>
      <c r="I150" s="852"/>
      <c r="J150" s="568" t="s">
        <v>3276</v>
      </c>
      <c r="K150" s="567" t="s">
        <v>25</v>
      </c>
      <c r="L150" s="567"/>
      <c r="M150" s="567"/>
      <c r="N150" s="567"/>
      <c r="O150" s="567"/>
      <c r="P150" s="567"/>
      <c r="Q150" s="567">
        <v>2024.0</v>
      </c>
      <c r="R150" s="567"/>
      <c r="S150" s="567"/>
      <c r="T150" s="567"/>
      <c r="U150" s="567"/>
      <c r="V150" s="567"/>
      <c r="W150" s="567"/>
      <c r="X150" s="567"/>
      <c r="Y150" s="567"/>
      <c r="Z150" s="567"/>
      <c r="AA150" s="567"/>
      <c r="AB150" s="567">
        <v>7.0</v>
      </c>
      <c r="AC150" s="567"/>
      <c r="AD150" s="567"/>
      <c r="AE150" s="567"/>
      <c r="AF150" s="567"/>
      <c r="AG150" s="567"/>
      <c r="AH150" s="567"/>
      <c r="AI150" s="567"/>
      <c r="AJ150" s="567"/>
      <c r="AK150" s="567"/>
      <c r="AL150" s="567"/>
      <c r="AM150" s="567"/>
      <c r="AN150" s="567"/>
      <c r="AO150" s="567"/>
      <c r="AP150" s="567"/>
      <c r="AQ150" s="567"/>
      <c r="AR150" s="567">
        <v>0.0</v>
      </c>
      <c r="AS150" s="567">
        <v>0.0</v>
      </c>
      <c r="AT150" s="567">
        <v>0.0</v>
      </c>
      <c r="AU150" s="567">
        <v>0.0</v>
      </c>
      <c r="AV150" s="567">
        <v>0.0</v>
      </c>
      <c r="AW150" s="567">
        <v>-2024.0</v>
      </c>
      <c r="AX150" s="567">
        <v>0.0</v>
      </c>
      <c r="AY150" s="567">
        <v>0.0</v>
      </c>
      <c r="AZ150" s="567">
        <v>0.0</v>
      </c>
      <c r="BA150" s="567">
        <v>0.0</v>
      </c>
      <c r="BB150" s="567"/>
      <c r="BC150" s="567"/>
      <c r="BD150" s="567"/>
      <c r="BE150" s="567"/>
      <c r="BF150" s="567"/>
      <c r="BG150" s="567"/>
      <c r="BH150" s="680">
        <v>50.0</v>
      </c>
      <c r="BI150" s="567"/>
      <c r="BJ150" s="567"/>
      <c r="BK150" s="567"/>
      <c r="BL150" s="725"/>
      <c r="BM150" s="665">
        <f t="shared" si="1"/>
        <v>50</v>
      </c>
      <c r="BN150" s="671"/>
      <c r="BO150" s="668"/>
      <c r="BP150" s="668"/>
      <c r="BQ150" s="668"/>
      <c r="BR150" s="853"/>
      <c r="BS150" s="684">
        <v>80.0</v>
      </c>
      <c r="BT150" s="668"/>
      <c r="BU150" s="668"/>
      <c r="BV150" s="668"/>
      <c r="BW150" s="670"/>
      <c r="BX150" s="665">
        <f t="shared" si="2"/>
        <v>80</v>
      </c>
      <c r="BY150" s="671">
        <v>0.0</v>
      </c>
      <c r="BZ150" s="668">
        <v>0.0</v>
      </c>
      <c r="CA150" s="668">
        <v>0.0</v>
      </c>
      <c r="CB150" s="668">
        <v>0.0</v>
      </c>
      <c r="CC150" s="668">
        <v>0.0</v>
      </c>
      <c r="CD150" s="684">
        <v>80.0</v>
      </c>
      <c r="CE150" s="668">
        <v>0.0</v>
      </c>
      <c r="CF150" s="668">
        <v>0.0</v>
      </c>
      <c r="CG150" s="668">
        <v>0.0</v>
      </c>
      <c r="CH150" s="670">
        <v>0.0</v>
      </c>
      <c r="CI150" s="665">
        <f t="shared" si="3"/>
        <v>80</v>
      </c>
      <c r="CJ150" s="671">
        <f t="shared" si="4"/>
        <v>210</v>
      </c>
      <c r="CK150" s="674"/>
      <c r="CL150" s="798">
        <v>3500.0</v>
      </c>
      <c r="CM150" s="668">
        <f t="shared" ref="CM150:CV150" si="456">BC150*$CL150</f>
        <v>0</v>
      </c>
      <c r="CN150" s="668">
        <f t="shared" si="456"/>
        <v>0</v>
      </c>
      <c r="CO150" s="668">
        <f t="shared" si="456"/>
        <v>0</v>
      </c>
      <c r="CP150" s="668">
        <f t="shared" si="456"/>
        <v>0</v>
      </c>
      <c r="CQ150" s="668">
        <f t="shared" si="456"/>
        <v>0</v>
      </c>
      <c r="CR150" s="668">
        <f t="shared" si="456"/>
        <v>175000</v>
      </c>
      <c r="CS150" s="668">
        <f t="shared" si="456"/>
        <v>0</v>
      </c>
      <c r="CT150" s="668">
        <f t="shared" si="456"/>
        <v>0</v>
      </c>
      <c r="CU150" s="668">
        <f t="shared" si="456"/>
        <v>0</v>
      </c>
      <c r="CV150" s="668">
        <f t="shared" si="456"/>
        <v>0</v>
      </c>
      <c r="CW150" s="668">
        <f t="shared" si="21"/>
        <v>175000</v>
      </c>
      <c r="CX150" s="668">
        <f t="shared" ref="CX150:DG150" si="457">BN150*$CL150</f>
        <v>0</v>
      </c>
      <c r="CY150" s="668">
        <f t="shared" si="457"/>
        <v>0</v>
      </c>
      <c r="CZ150" s="668">
        <f t="shared" si="457"/>
        <v>0</v>
      </c>
      <c r="DA150" s="668">
        <f t="shared" si="457"/>
        <v>0</v>
      </c>
      <c r="DB150" s="668">
        <f t="shared" si="457"/>
        <v>0</v>
      </c>
      <c r="DC150" s="668">
        <f t="shared" si="457"/>
        <v>280000</v>
      </c>
      <c r="DD150" s="668">
        <f t="shared" si="457"/>
        <v>0</v>
      </c>
      <c r="DE150" s="668">
        <f t="shared" si="457"/>
        <v>0</v>
      </c>
      <c r="DF150" s="668">
        <f t="shared" si="457"/>
        <v>0</v>
      </c>
      <c r="DG150" s="668">
        <f t="shared" si="457"/>
        <v>0</v>
      </c>
      <c r="DH150" s="668">
        <f t="shared" si="23"/>
        <v>280000</v>
      </c>
      <c r="DI150" s="668">
        <f t="shared" ref="DI150:DR150" si="458">BY150*$CL150</f>
        <v>0</v>
      </c>
      <c r="DJ150" s="668">
        <f t="shared" si="458"/>
        <v>0</v>
      </c>
      <c r="DK150" s="668">
        <f t="shared" si="458"/>
        <v>0</v>
      </c>
      <c r="DL150" s="668">
        <f t="shared" si="458"/>
        <v>0</v>
      </c>
      <c r="DM150" s="668">
        <f t="shared" si="458"/>
        <v>0</v>
      </c>
      <c r="DN150" s="668">
        <f t="shared" si="458"/>
        <v>280000</v>
      </c>
      <c r="DO150" s="668">
        <f t="shared" si="458"/>
        <v>0</v>
      </c>
      <c r="DP150" s="668">
        <f t="shared" si="458"/>
        <v>0</v>
      </c>
      <c r="DQ150" s="668">
        <f t="shared" si="458"/>
        <v>0</v>
      </c>
      <c r="DR150" s="668">
        <f t="shared" si="458"/>
        <v>0</v>
      </c>
      <c r="DS150" s="668">
        <f t="shared" si="25"/>
        <v>280000</v>
      </c>
      <c r="DT150" s="668">
        <f t="shared" si="175"/>
        <v>735000</v>
      </c>
      <c r="DU150" s="792"/>
      <c r="DV150" s="675" t="s">
        <v>3277</v>
      </c>
      <c r="DW150" s="676"/>
      <c r="DX150" s="676"/>
      <c r="DY150" s="676"/>
      <c r="DZ150" s="676"/>
      <c r="EA150" s="676"/>
      <c r="EB150" s="676"/>
      <c r="EC150" s="676"/>
      <c r="ED150" s="676"/>
      <c r="EE150" s="676"/>
      <c r="EF150" s="676"/>
      <c r="EG150" s="676"/>
      <c r="EH150" s="677">
        <f t="shared" ref="EH150:EH151" si="462">CK150*6.97</f>
        <v>0</v>
      </c>
      <c r="EI150" s="678">
        <v>1.0</v>
      </c>
      <c r="EJ150" s="699"/>
      <c r="EK150" s="699"/>
    </row>
    <row r="151" ht="12.0" customHeight="1">
      <c r="A151" s="700" t="s">
        <v>3026</v>
      </c>
      <c r="B151" s="701">
        <v>39.0</v>
      </c>
      <c r="C151" s="562" t="s">
        <v>3034</v>
      </c>
      <c r="D151" s="562" t="s">
        <v>195</v>
      </c>
      <c r="E151" s="562" t="s">
        <v>2722</v>
      </c>
      <c r="F151" s="701" t="s">
        <v>1774</v>
      </c>
      <c r="G151" s="848" t="s">
        <v>2723</v>
      </c>
      <c r="H151" s="717" t="s">
        <v>3278</v>
      </c>
      <c r="I151" s="562">
        <v>0.0</v>
      </c>
      <c r="J151" s="571" t="s">
        <v>3279</v>
      </c>
      <c r="K151" s="562" t="s">
        <v>25</v>
      </c>
      <c r="L151" s="562"/>
      <c r="M151" s="562"/>
      <c r="N151" s="562">
        <v>2024.0</v>
      </c>
      <c r="O151" s="562">
        <v>2024.0</v>
      </c>
      <c r="P151" s="562"/>
      <c r="Q151" s="562"/>
      <c r="R151" s="562"/>
      <c r="S151" s="562"/>
      <c r="T151" s="562"/>
      <c r="U151" s="562">
        <v>2024.0</v>
      </c>
      <c r="V151" s="562"/>
      <c r="W151" s="562"/>
      <c r="X151" s="562"/>
      <c r="Y151" s="562">
        <v>5.0</v>
      </c>
      <c r="Z151" s="562">
        <v>7.0</v>
      </c>
      <c r="AA151" s="562"/>
      <c r="AB151" s="562"/>
      <c r="AC151" s="562"/>
      <c r="AD151" s="562"/>
      <c r="AE151" s="562"/>
      <c r="AF151" s="562">
        <v>10.0</v>
      </c>
      <c r="AG151" s="562"/>
      <c r="AH151" s="562"/>
      <c r="AI151" s="562"/>
      <c r="AJ151" s="562"/>
      <c r="AK151" s="562"/>
      <c r="AL151" s="562"/>
      <c r="AM151" s="562"/>
      <c r="AN151" s="562"/>
      <c r="AO151" s="562"/>
      <c r="AP151" s="562"/>
      <c r="AQ151" s="562"/>
      <c r="AR151" s="562">
        <v>0.0</v>
      </c>
      <c r="AS151" s="562">
        <v>0.0</v>
      </c>
      <c r="AT151" s="562" t="s">
        <v>3280</v>
      </c>
      <c r="AU151" s="562" t="s">
        <v>3280</v>
      </c>
      <c r="AV151" s="562">
        <v>0.0</v>
      </c>
      <c r="AW151" s="562">
        <v>0.0</v>
      </c>
      <c r="AX151" s="562">
        <v>0.0</v>
      </c>
      <c r="AY151" s="562">
        <v>0.0</v>
      </c>
      <c r="AZ151" s="562">
        <v>0.0</v>
      </c>
      <c r="BA151" s="562">
        <v>-2024.0</v>
      </c>
      <c r="BB151" s="562"/>
      <c r="BC151" s="562"/>
      <c r="BD151" s="562"/>
      <c r="BE151" s="562">
        <v>60.0</v>
      </c>
      <c r="BF151" s="562">
        <v>280.0</v>
      </c>
      <c r="BG151" s="562"/>
      <c r="BH151" s="562"/>
      <c r="BI151" s="562"/>
      <c r="BJ151" s="562"/>
      <c r="BK151" s="562"/>
      <c r="BL151" s="854">
        <v>315.0</v>
      </c>
      <c r="BM151" s="665">
        <f t="shared" si="1"/>
        <v>655</v>
      </c>
      <c r="BN151" s="682"/>
      <c r="BO151" s="683"/>
      <c r="BP151" s="683"/>
      <c r="BQ151" s="683"/>
      <c r="BR151" s="683"/>
      <c r="BS151" s="683"/>
      <c r="BT151" s="683"/>
      <c r="BU151" s="683"/>
      <c r="BV151" s="683"/>
      <c r="BW151" s="686"/>
      <c r="BX151" s="665">
        <f t="shared" si="2"/>
        <v>0</v>
      </c>
      <c r="BY151" s="682">
        <v>0.0</v>
      </c>
      <c r="BZ151" s="683">
        <v>0.0</v>
      </c>
      <c r="CA151" s="683">
        <v>0.0</v>
      </c>
      <c r="CB151" s="683">
        <v>0.0</v>
      </c>
      <c r="CC151" s="683">
        <v>0.0</v>
      </c>
      <c r="CD151" s="683">
        <v>0.0</v>
      </c>
      <c r="CE151" s="683">
        <v>0.0</v>
      </c>
      <c r="CF151" s="683">
        <v>0.0</v>
      </c>
      <c r="CG151" s="683">
        <v>0.0</v>
      </c>
      <c r="CH151" s="686">
        <v>0.0</v>
      </c>
      <c r="CI151" s="665">
        <f t="shared" si="3"/>
        <v>0</v>
      </c>
      <c r="CJ151" s="682">
        <f t="shared" si="4"/>
        <v>655</v>
      </c>
      <c r="CK151" s="687"/>
      <c r="CL151" s="816">
        <v>205.0</v>
      </c>
      <c r="CM151" s="683">
        <f t="shared" ref="CM151:CV151" si="459">BC151*$CL151</f>
        <v>0</v>
      </c>
      <c r="CN151" s="683">
        <f t="shared" si="459"/>
        <v>0</v>
      </c>
      <c r="CO151" s="683">
        <f t="shared" si="459"/>
        <v>12300</v>
      </c>
      <c r="CP151" s="683">
        <f t="shared" si="459"/>
        <v>57400</v>
      </c>
      <c r="CQ151" s="683">
        <f t="shared" si="459"/>
        <v>0</v>
      </c>
      <c r="CR151" s="683">
        <f t="shared" si="459"/>
        <v>0</v>
      </c>
      <c r="CS151" s="683">
        <f t="shared" si="459"/>
        <v>0</v>
      </c>
      <c r="CT151" s="683">
        <f t="shared" si="459"/>
        <v>0</v>
      </c>
      <c r="CU151" s="683">
        <f t="shared" si="459"/>
        <v>0</v>
      </c>
      <c r="CV151" s="683">
        <f t="shared" si="459"/>
        <v>64575</v>
      </c>
      <c r="CW151" s="683">
        <f t="shared" si="21"/>
        <v>134275</v>
      </c>
      <c r="CX151" s="683">
        <f t="shared" ref="CX151:DG151" si="460">BN151*$CL151</f>
        <v>0</v>
      </c>
      <c r="CY151" s="683">
        <f t="shared" si="460"/>
        <v>0</v>
      </c>
      <c r="CZ151" s="683">
        <f t="shared" si="460"/>
        <v>0</v>
      </c>
      <c r="DA151" s="683">
        <f t="shared" si="460"/>
        <v>0</v>
      </c>
      <c r="DB151" s="683">
        <f t="shared" si="460"/>
        <v>0</v>
      </c>
      <c r="DC151" s="683">
        <f t="shared" si="460"/>
        <v>0</v>
      </c>
      <c r="DD151" s="683">
        <f t="shared" si="460"/>
        <v>0</v>
      </c>
      <c r="DE151" s="683">
        <f t="shared" si="460"/>
        <v>0</v>
      </c>
      <c r="DF151" s="683">
        <f t="shared" si="460"/>
        <v>0</v>
      </c>
      <c r="DG151" s="683">
        <f t="shared" si="460"/>
        <v>0</v>
      </c>
      <c r="DH151" s="683">
        <f t="shared" si="23"/>
        <v>0</v>
      </c>
      <c r="DI151" s="683">
        <f t="shared" ref="DI151:DR151" si="461">BY151*$CL151</f>
        <v>0</v>
      </c>
      <c r="DJ151" s="683">
        <f t="shared" si="461"/>
        <v>0</v>
      </c>
      <c r="DK151" s="683">
        <f t="shared" si="461"/>
        <v>0</v>
      </c>
      <c r="DL151" s="683">
        <f t="shared" si="461"/>
        <v>0</v>
      </c>
      <c r="DM151" s="683">
        <f t="shared" si="461"/>
        <v>0</v>
      </c>
      <c r="DN151" s="683">
        <f t="shared" si="461"/>
        <v>0</v>
      </c>
      <c r="DO151" s="683">
        <f t="shared" si="461"/>
        <v>0</v>
      </c>
      <c r="DP151" s="683">
        <f t="shared" si="461"/>
        <v>0</v>
      </c>
      <c r="DQ151" s="683">
        <f t="shared" si="461"/>
        <v>0</v>
      </c>
      <c r="DR151" s="683">
        <f t="shared" si="461"/>
        <v>0</v>
      </c>
      <c r="DS151" s="683">
        <f t="shared" si="25"/>
        <v>0</v>
      </c>
      <c r="DT151" s="683">
        <f t="shared" si="175"/>
        <v>134275</v>
      </c>
      <c r="DU151" s="689"/>
      <c r="DV151" s="803" t="s">
        <v>3281</v>
      </c>
      <c r="DW151" s="803"/>
      <c r="DX151" s="803"/>
      <c r="DY151" s="803"/>
      <c r="DZ151" s="803"/>
      <c r="EA151" s="803"/>
      <c r="EB151" s="803"/>
      <c r="EC151" s="803"/>
      <c r="ED151" s="803"/>
      <c r="EE151" s="803"/>
      <c r="EF151" s="803"/>
      <c r="EG151" s="803"/>
      <c r="EH151" s="689">
        <f t="shared" si="462"/>
        <v>0</v>
      </c>
      <c r="EI151" s="690">
        <v>1.0</v>
      </c>
      <c r="EJ151" s="691"/>
      <c r="EK151" s="691"/>
    </row>
    <row r="152" ht="12.0" customHeight="1">
      <c r="A152" s="709" t="s">
        <v>3026</v>
      </c>
      <c r="B152" s="661">
        <v>2.0</v>
      </c>
      <c r="C152" s="567" t="s">
        <v>3034</v>
      </c>
      <c r="D152" s="568" t="s">
        <v>195</v>
      </c>
      <c r="E152" s="568" t="s">
        <v>3282</v>
      </c>
      <c r="F152" s="567" t="s">
        <v>1763</v>
      </c>
      <c r="G152" s="569" t="s">
        <v>2709</v>
      </c>
      <c r="H152" s="569" t="s">
        <v>3283</v>
      </c>
      <c r="I152" s="721" t="s">
        <v>2454</v>
      </c>
      <c r="J152" s="711" t="s">
        <v>401</v>
      </c>
      <c r="K152" s="567" t="s">
        <v>25</v>
      </c>
      <c r="L152" s="567">
        <v>2024.0</v>
      </c>
      <c r="M152" s="567">
        <v>2024.0</v>
      </c>
      <c r="N152" s="567">
        <v>2024.0</v>
      </c>
      <c r="O152" s="567">
        <v>2024.0</v>
      </c>
      <c r="P152" s="567">
        <v>2024.0</v>
      </c>
      <c r="Q152" s="567">
        <v>2024.0</v>
      </c>
      <c r="R152" s="567">
        <v>2024.0</v>
      </c>
      <c r="S152" s="567">
        <v>2024.0</v>
      </c>
      <c r="T152" s="567"/>
      <c r="U152" s="567"/>
      <c r="V152" s="567"/>
      <c r="W152" s="567">
        <v>3.0</v>
      </c>
      <c r="X152" s="567">
        <v>3.0</v>
      </c>
      <c r="Y152" s="567">
        <v>3.0</v>
      </c>
      <c r="Z152" s="567">
        <v>3.0</v>
      </c>
      <c r="AA152" s="567">
        <v>3.0</v>
      </c>
      <c r="AB152" s="567">
        <v>3.0</v>
      </c>
      <c r="AC152" s="567">
        <v>3.0</v>
      </c>
      <c r="AD152" s="567">
        <v>3.0</v>
      </c>
      <c r="AE152" s="567"/>
      <c r="AF152" s="567"/>
      <c r="AG152" s="567"/>
      <c r="AH152" s="567"/>
      <c r="AI152" s="567"/>
      <c r="AJ152" s="567"/>
      <c r="AK152" s="567"/>
      <c r="AL152" s="567"/>
      <c r="AM152" s="567"/>
      <c r="AN152" s="567"/>
      <c r="AO152" s="567"/>
      <c r="AP152" s="567"/>
      <c r="AQ152" s="567"/>
      <c r="AR152" s="567">
        <v>-2024.0</v>
      </c>
      <c r="AS152" s="567">
        <v>-2024.0</v>
      </c>
      <c r="AT152" s="567">
        <v>-2024.0</v>
      </c>
      <c r="AU152" s="567">
        <v>-2024.0</v>
      </c>
      <c r="AV152" s="567">
        <v>-2024.0</v>
      </c>
      <c r="AW152" s="567">
        <v>-2024.0</v>
      </c>
      <c r="AX152" s="567">
        <v>-2024.0</v>
      </c>
      <c r="AY152" s="567">
        <v>-2024.0</v>
      </c>
      <c r="AZ152" s="567">
        <v>0.0</v>
      </c>
      <c r="BA152" s="567">
        <v>0.0</v>
      </c>
      <c r="BB152" s="567"/>
      <c r="BC152" s="680"/>
      <c r="BD152" s="680"/>
      <c r="BE152" s="680"/>
      <c r="BF152" s="680"/>
      <c r="BG152" s="680"/>
      <c r="BH152" s="680"/>
      <c r="BI152" s="680"/>
      <c r="BJ152" s="680"/>
      <c r="BK152" s="567"/>
      <c r="BL152" s="725"/>
      <c r="BM152" s="665">
        <f t="shared" si="1"/>
        <v>0</v>
      </c>
      <c r="BN152" s="855">
        <v>15.0</v>
      </c>
      <c r="BO152" s="807">
        <v>10.0</v>
      </c>
      <c r="BP152" s="807">
        <v>15.0</v>
      </c>
      <c r="BQ152" s="807">
        <v>5.0</v>
      </c>
      <c r="BR152" s="807">
        <v>7.0</v>
      </c>
      <c r="BS152" s="807">
        <v>10.0</v>
      </c>
      <c r="BT152" s="807">
        <v>5.0</v>
      </c>
      <c r="BU152" s="807">
        <v>5.0</v>
      </c>
      <c r="BV152" s="668"/>
      <c r="BW152" s="670"/>
      <c r="BX152" s="665">
        <f t="shared" si="2"/>
        <v>72</v>
      </c>
      <c r="BY152" s="671">
        <v>0.0</v>
      </c>
      <c r="BZ152" s="668">
        <v>0.0</v>
      </c>
      <c r="CA152" s="668">
        <v>0.0</v>
      </c>
      <c r="CB152" s="668">
        <v>0.0</v>
      </c>
      <c r="CC152" s="668">
        <v>0.0</v>
      </c>
      <c r="CD152" s="668">
        <v>0.0</v>
      </c>
      <c r="CE152" s="668">
        <v>0.0</v>
      </c>
      <c r="CF152" s="668">
        <v>0.0</v>
      </c>
      <c r="CG152" s="668">
        <v>0.0</v>
      </c>
      <c r="CH152" s="670">
        <v>0.0</v>
      </c>
      <c r="CI152" s="665">
        <f t="shared" si="3"/>
        <v>0</v>
      </c>
      <c r="CJ152" s="671">
        <f t="shared" si="4"/>
        <v>72</v>
      </c>
      <c r="CK152" s="715">
        <v>106.68</v>
      </c>
      <c r="CL152" s="668">
        <f t="shared" ref="CL152:CL153" si="466">CK152*$CL$1</f>
        <v>742.4928</v>
      </c>
      <c r="CM152" s="668">
        <f t="shared" ref="CM152:CV152" si="463">BC152*$CL152</f>
        <v>0</v>
      </c>
      <c r="CN152" s="668">
        <f t="shared" si="463"/>
        <v>0</v>
      </c>
      <c r="CO152" s="668">
        <f t="shared" si="463"/>
        <v>0</v>
      </c>
      <c r="CP152" s="668">
        <f t="shared" si="463"/>
        <v>0</v>
      </c>
      <c r="CQ152" s="668">
        <f t="shared" si="463"/>
        <v>0</v>
      </c>
      <c r="CR152" s="668">
        <f t="shared" si="463"/>
        <v>0</v>
      </c>
      <c r="CS152" s="668">
        <f t="shared" si="463"/>
        <v>0</v>
      </c>
      <c r="CT152" s="668">
        <f t="shared" si="463"/>
        <v>0</v>
      </c>
      <c r="CU152" s="668">
        <f t="shared" si="463"/>
        <v>0</v>
      </c>
      <c r="CV152" s="668">
        <f t="shared" si="463"/>
        <v>0</v>
      </c>
      <c r="CW152" s="668">
        <f t="shared" si="21"/>
        <v>0</v>
      </c>
      <c r="CX152" s="668">
        <f t="shared" ref="CX152:DG152" si="464">BN152*$CL152</f>
        <v>11137.392</v>
      </c>
      <c r="CY152" s="668">
        <f t="shared" si="464"/>
        <v>7424.928</v>
      </c>
      <c r="CZ152" s="668">
        <f t="shared" si="464"/>
        <v>11137.392</v>
      </c>
      <c r="DA152" s="668">
        <f t="shared" si="464"/>
        <v>3712.464</v>
      </c>
      <c r="DB152" s="668">
        <f t="shared" si="464"/>
        <v>5197.4496</v>
      </c>
      <c r="DC152" s="668">
        <f t="shared" si="464"/>
        <v>7424.928</v>
      </c>
      <c r="DD152" s="668">
        <f t="shared" si="464"/>
        <v>3712.464</v>
      </c>
      <c r="DE152" s="668">
        <f t="shared" si="464"/>
        <v>3712.464</v>
      </c>
      <c r="DF152" s="668">
        <f t="shared" si="464"/>
        <v>0</v>
      </c>
      <c r="DG152" s="668">
        <f t="shared" si="464"/>
        <v>0</v>
      </c>
      <c r="DH152" s="668">
        <f t="shared" si="23"/>
        <v>53459.4816</v>
      </c>
      <c r="DI152" s="668">
        <f t="shared" ref="DI152:DR152" si="465">BY152*$CL152</f>
        <v>0</v>
      </c>
      <c r="DJ152" s="668">
        <f t="shared" si="465"/>
        <v>0</v>
      </c>
      <c r="DK152" s="668">
        <f t="shared" si="465"/>
        <v>0</v>
      </c>
      <c r="DL152" s="668">
        <f t="shared" si="465"/>
        <v>0</v>
      </c>
      <c r="DM152" s="668">
        <f t="shared" si="465"/>
        <v>0</v>
      </c>
      <c r="DN152" s="668">
        <f t="shared" si="465"/>
        <v>0</v>
      </c>
      <c r="DO152" s="668">
        <f t="shared" si="465"/>
        <v>0</v>
      </c>
      <c r="DP152" s="668">
        <f t="shared" si="465"/>
        <v>0</v>
      </c>
      <c r="DQ152" s="668">
        <f t="shared" si="465"/>
        <v>0</v>
      </c>
      <c r="DR152" s="668">
        <f t="shared" si="465"/>
        <v>0</v>
      </c>
      <c r="DS152" s="668">
        <f t="shared" si="25"/>
        <v>0</v>
      </c>
      <c r="DT152" s="668">
        <f t="shared" si="175"/>
        <v>53459.4816</v>
      </c>
      <c r="DU152" s="792"/>
      <c r="DV152" s="792" t="s">
        <v>3284</v>
      </c>
      <c r="DW152" s="698"/>
      <c r="DX152" s="698"/>
      <c r="DY152" s="698"/>
      <c r="DZ152" s="698"/>
      <c r="EA152" s="698"/>
      <c r="EB152" s="698"/>
      <c r="EC152" s="698"/>
      <c r="ED152" s="698"/>
      <c r="EE152" s="698"/>
      <c r="EF152" s="698"/>
      <c r="EG152" s="698"/>
      <c r="EH152" s="576" t="s">
        <v>3285</v>
      </c>
      <c r="EI152" s="716">
        <f>VLOOKUP(I152,CotizacionTDB,4,FALSE())</f>
        <v>106.68</v>
      </c>
      <c r="EJ152" s="716">
        <f>VLOOKUP(I152,CotizacionTDB,5,FALSE())</f>
        <v>90.68</v>
      </c>
      <c r="EK152" s="699"/>
    </row>
    <row r="153" ht="12.0" customHeight="1">
      <c r="A153" s="700" t="s">
        <v>3026</v>
      </c>
      <c r="B153" s="701">
        <v>2.0</v>
      </c>
      <c r="C153" s="562" t="s">
        <v>3034</v>
      </c>
      <c r="D153" s="571" t="s">
        <v>195</v>
      </c>
      <c r="E153" s="571" t="s">
        <v>3282</v>
      </c>
      <c r="F153" s="562" t="s">
        <v>1763</v>
      </c>
      <c r="G153" s="569" t="s">
        <v>2709</v>
      </c>
      <c r="H153" s="737"/>
      <c r="I153" s="717" t="s">
        <v>2307</v>
      </c>
      <c r="J153" s="704" t="s">
        <v>271</v>
      </c>
      <c r="K153" s="562" t="s">
        <v>25</v>
      </c>
      <c r="L153" s="562">
        <v>2024.0</v>
      </c>
      <c r="M153" s="562">
        <v>2024.0</v>
      </c>
      <c r="N153" s="562">
        <v>2024.0</v>
      </c>
      <c r="O153" s="562">
        <v>2024.0</v>
      </c>
      <c r="P153" s="562">
        <v>2024.0</v>
      </c>
      <c r="Q153" s="562">
        <v>2024.0</v>
      </c>
      <c r="R153" s="562"/>
      <c r="S153" s="562"/>
      <c r="T153" s="562"/>
      <c r="U153" s="562"/>
      <c r="V153" s="562"/>
      <c r="W153" s="562">
        <v>7.0</v>
      </c>
      <c r="X153" s="562">
        <v>7.0</v>
      </c>
      <c r="Y153" s="562">
        <v>7.0</v>
      </c>
      <c r="Z153" s="562">
        <v>7.0</v>
      </c>
      <c r="AA153" s="562">
        <v>7.0</v>
      </c>
      <c r="AB153" s="562">
        <v>7.0</v>
      </c>
      <c r="AC153" s="562"/>
      <c r="AD153" s="562"/>
      <c r="AE153" s="562"/>
      <c r="AF153" s="562"/>
      <c r="AG153" s="562"/>
      <c r="AH153" s="562"/>
      <c r="AI153" s="562"/>
      <c r="AJ153" s="562"/>
      <c r="AK153" s="562"/>
      <c r="AL153" s="562"/>
      <c r="AM153" s="562"/>
      <c r="AN153" s="562"/>
      <c r="AO153" s="562"/>
      <c r="AP153" s="562"/>
      <c r="AQ153" s="562"/>
      <c r="AR153" s="562">
        <v>-2024.0</v>
      </c>
      <c r="AS153" s="562">
        <v>-2024.0</v>
      </c>
      <c r="AT153" s="562">
        <v>-2024.0</v>
      </c>
      <c r="AU153" s="562">
        <v>-2024.0</v>
      </c>
      <c r="AV153" s="562">
        <v>-2024.0</v>
      </c>
      <c r="AW153" s="562">
        <v>-2024.0</v>
      </c>
      <c r="AX153" s="562">
        <v>0.0</v>
      </c>
      <c r="AY153" s="562">
        <v>0.0</v>
      </c>
      <c r="AZ153" s="562">
        <v>0.0</v>
      </c>
      <c r="BA153" s="562">
        <v>0.0</v>
      </c>
      <c r="BB153" s="562"/>
      <c r="BC153" s="562">
        <v>170.0</v>
      </c>
      <c r="BD153" s="562">
        <v>100.0</v>
      </c>
      <c r="BE153" s="562">
        <v>350.0</v>
      </c>
      <c r="BF153" s="562"/>
      <c r="BG153" s="562"/>
      <c r="BH153" s="562"/>
      <c r="BI153" s="701">
        <v>133.0</v>
      </c>
      <c r="BJ153" s="825">
        <v>156.0</v>
      </c>
      <c r="BK153" s="701">
        <v>26.0</v>
      </c>
      <c r="BL153" s="681"/>
      <c r="BM153" s="665">
        <f t="shared" si="1"/>
        <v>935</v>
      </c>
      <c r="BN153" s="682"/>
      <c r="BO153" s="683"/>
      <c r="BP153" s="683"/>
      <c r="BQ153" s="687">
        <v>220.0</v>
      </c>
      <c r="BR153" s="687">
        <v>252.0</v>
      </c>
      <c r="BS153" s="687">
        <v>416.0</v>
      </c>
      <c r="BT153" s="687">
        <v>133.0</v>
      </c>
      <c r="BU153" s="856">
        <v>156.0</v>
      </c>
      <c r="BV153" s="687">
        <v>26.0</v>
      </c>
      <c r="BW153" s="686"/>
      <c r="BX153" s="665">
        <f t="shared" si="2"/>
        <v>1203</v>
      </c>
      <c r="BY153" s="682">
        <v>0.0</v>
      </c>
      <c r="BZ153" s="683">
        <v>0.0</v>
      </c>
      <c r="CA153" s="683">
        <v>0.0</v>
      </c>
      <c r="CB153" s="683">
        <v>0.0</v>
      </c>
      <c r="CC153" s="683">
        <v>0.0</v>
      </c>
      <c r="CD153" s="683">
        <v>0.0</v>
      </c>
      <c r="CE153" s="687">
        <v>133.0</v>
      </c>
      <c r="CF153" s="856">
        <v>156.0</v>
      </c>
      <c r="CG153" s="687">
        <v>26.0</v>
      </c>
      <c r="CH153" s="686">
        <v>0.0</v>
      </c>
      <c r="CI153" s="665">
        <f t="shared" si="3"/>
        <v>315</v>
      </c>
      <c r="CJ153" s="682">
        <f t="shared" si="4"/>
        <v>2453</v>
      </c>
      <c r="CK153" s="706">
        <v>13.69</v>
      </c>
      <c r="CL153" s="683">
        <f t="shared" si="466"/>
        <v>95.2824</v>
      </c>
      <c r="CM153" s="683">
        <f t="shared" ref="CM153:CV153" si="467">BC153*$CL153</f>
        <v>16198.008</v>
      </c>
      <c r="CN153" s="683">
        <f t="shared" si="467"/>
        <v>9528.24</v>
      </c>
      <c r="CO153" s="683">
        <f t="shared" si="467"/>
        <v>33348.84</v>
      </c>
      <c r="CP153" s="683">
        <f t="shared" si="467"/>
        <v>0</v>
      </c>
      <c r="CQ153" s="683">
        <f t="shared" si="467"/>
        <v>0</v>
      </c>
      <c r="CR153" s="683">
        <f t="shared" si="467"/>
        <v>0</v>
      </c>
      <c r="CS153" s="683">
        <f t="shared" si="467"/>
        <v>12672.5592</v>
      </c>
      <c r="CT153" s="683">
        <f t="shared" si="467"/>
        <v>14864.0544</v>
      </c>
      <c r="CU153" s="683">
        <f t="shared" si="467"/>
        <v>2477.3424</v>
      </c>
      <c r="CV153" s="683">
        <f t="shared" si="467"/>
        <v>0</v>
      </c>
      <c r="CW153" s="683">
        <f t="shared" si="21"/>
        <v>89089.044</v>
      </c>
      <c r="CX153" s="683">
        <f t="shared" ref="CX153:DG153" si="468">BN153*$CL153</f>
        <v>0</v>
      </c>
      <c r="CY153" s="683">
        <f t="shared" si="468"/>
        <v>0</v>
      </c>
      <c r="CZ153" s="683">
        <f t="shared" si="468"/>
        <v>0</v>
      </c>
      <c r="DA153" s="683">
        <f t="shared" si="468"/>
        <v>20962.128</v>
      </c>
      <c r="DB153" s="683">
        <f t="shared" si="468"/>
        <v>24011.1648</v>
      </c>
      <c r="DC153" s="683">
        <f t="shared" si="468"/>
        <v>39637.4784</v>
      </c>
      <c r="DD153" s="683">
        <f t="shared" si="468"/>
        <v>12672.5592</v>
      </c>
      <c r="DE153" s="683">
        <f t="shared" si="468"/>
        <v>14864.0544</v>
      </c>
      <c r="DF153" s="683">
        <f t="shared" si="468"/>
        <v>2477.3424</v>
      </c>
      <c r="DG153" s="683">
        <f t="shared" si="468"/>
        <v>0</v>
      </c>
      <c r="DH153" s="683">
        <f t="shared" si="23"/>
        <v>114624.7272</v>
      </c>
      <c r="DI153" s="683">
        <f t="shared" ref="DI153:DR153" si="469">BY153*$CL153</f>
        <v>0</v>
      </c>
      <c r="DJ153" s="683">
        <f t="shared" si="469"/>
        <v>0</v>
      </c>
      <c r="DK153" s="683">
        <f t="shared" si="469"/>
        <v>0</v>
      </c>
      <c r="DL153" s="683">
        <f t="shared" si="469"/>
        <v>0</v>
      </c>
      <c r="DM153" s="683">
        <f t="shared" si="469"/>
        <v>0</v>
      </c>
      <c r="DN153" s="683">
        <f t="shared" si="469"/>
        <v>0</v>
      </c>
      <c r="DO153" s="683">
        <f t="shared" si="469"/>
        <v>12672.5592</v>
      </c>
      <c r="DP153" s="683">
        <f t="shared" si="469"/>
        <v>14864.0544</v>
      </c>
      <c r="DQ153" s="683">
        <f t="shared" si="469"/>
        <v>2477.3424</v>
      </c>
      <c r="DR153" s="683">
        <f t="shared" si="469"/>
        <v>0</v>
      </c>
      <c r="DS153" s="683">
        <f t="shared" si="25"/>
        <v>30013.956</v>
      </c>
      <c r="DT153" s="683">
        <f t="shared" si="175"/>
        <v>233727.7272</v>
      </c>
      <c r="DU153" s="801"/>
      <c r="DV153" s="801" t="s">
        <v>3286</v>
      </c>
      <c r="DW153" s="688"/>
      <c r="DX153" s="688"/>
      <c r="DY153" s="688"/>
      <c r="DZ153" s="688"/>
      <c r="EA153" s="688"/>
      <c r="EB153" s="688"/>
      <c r="EC153" s="688"/>
      <c r="ED153" s="688"/>
      <c r="EE153" s="688"/>
      <c r="EF153" s="688"/>
      <c r="EG153" s="688"/>
      <c r="EH153" s="776" t="s">
        <v>3287</v>
      </c>
      <c r="EI153" s="708">
        <f>VLOOKUP(I153,CotizacionTDB,4,FALSE())</f>
        <v>13.69</v>
      </c>
      <c r="EJ153" s="708">
        <f>VLOOKUP(I153,CotizacionTDB,5,FALSE())</f>
        <v>11.64</v>
      </c>
      <c r="EK153" s="691"/>
    </row>
    <row r="154" ht="12.0" customHeight="1">
      <c r="A154" s="709" t="s">
        <v>3026</v>
      </c>
      <c r="B154" s="661">
        <v>38.0</v>
      </c>
      <c r="C154" s="567" t="s">
        <v>3034</v>
      </c>
      <c r="D154" s="568" t="s">
        <v>195</v>
      </c>
      <c r="E154" s="568" t="s">
        <v>3282</v>
      </c>
      <c r="F154" s="661" t="s">
        <v>1774</v>
      </c>
      <c r="G154" s="857" t="s">
        <v>2709</v>
      </c>
      <c r="H154" s="658"/>
      <c r="I154" s="567"/>
      <c r="J154" s="568" t="s">
        <v>3288</v>
      </c>
      <c r="K154" s="567" t="s">
        <v>25</v>
      </c>
      <c r="L154" s="567">
        <v>2024.0</v>
      </c>
      <c r="M154" s="567">
        <v>2024.0</v>
      </c>
      <c r="N154" s="567"/>
      <c r="O154" s="567"/>
      <c r="P154" s="567">
        <v>2024.0</v>
      </c>
      <c r="Q154" s="567"/>
      <c r="R154" s="567"/>
      <c r="S154" s="567"/>
      <c r="T154" s="567"/>
      <c r="U154" s="567"/>
      <c r="V154" s="567"/>
      <c r="W154" s="567">
        <v>7.0</v>
      </c>
      <c r="X154" s="567">
        <v>7.0</v>
      </c>
      <c r="Y154" s="567"/>
      <c r="Z154" s="567"/>
      <c r="AA154" s="567">
        <v>7.0</v>
      </c>
      <c r="AB154" s="567"/>
      <c r="AC154" s="567"/>
      <c r="AD154" s="567"/>
      <c r="AE154" s="567"/>
      <c r="AF154" s="567"/>
      <c r="AG154" s="567"/>
      <c r="AH154" s="567"/>
      <c r="AI154" s="567"/>
      <c r="AJ154" s="567"/>
      <c r="AK154" s="567"/>
      <c r="AL154" s="567"/>
      <c r="AM154" s="567"/>
      <c r="AN154" s="567"/>
      <c r="AO154" s="567"/>
      <c r="AP154" s="567"/>
      <c r="AQ154" s="567"/>
      <c r="AR154" s="567">
        <v>-2024.0</v>
      </c>
      <c r="AS154" s="567">
        <v>-2024.0</v>
      </c>
      <c r="AT154" s="567">
        <v>0.0</v>
      </c>
      <c r="AU154" s="567">
        <v>0.0</v>
      </c>
      <c r="AV154" s="567">
        <v>-2024.0</v>
      </c>
      <c r="AW154" s="567">
        <v>0.0</v>
      </c>
      <c r="AX154" s="567">
        <v>0.0</v>
      </c>
      <c r="AY154" s="567">
        <v>0.0</v>
      </c>
      <c r="AZ154" s="567">
        <v>0.0</v>
      </c>
      <c r="BA154" s="567">
        <v>0.0</v>
      </c>
      <c r="BB154" s="567"/>
      <c r="BC154" s="680">
        <v>60.0</v>
      </c>
      <c r="BD154" s="804"/>
      <c r="BE154" s="567"/>
      <c r="BF154" s="567"/>
      <c r="BG154" s="498"/>
      <c r="BH154" s="567"/>
      <c r="BI154" s="567"/>
      <c r="BJ154" s="567"/>
      <c r="BK154" s="567"/>
      <c r="BL154" s="725"/>
      <c r="BM154" s="665">
        <f t="shared" si="1"/>
        <v>60</v>
      </c>
      <c r="BN154" s="734">
        <v>60.0</v>
      </c>
      <c r="BO154" s="807">
        <v>30.0</v>
      </c>
      <c r="BP154" s="668"/>
      <c r="BQ154" s="668"/>
      <c r="BR154" s="674">
        <v>126.0</v>
      </c>
      <c r="BS154" s="668"/>
      <c r="BT154" s="668"/>
      <c r="BU154" s="668"/>
      <c r="BV154" s="668"/>
      <c r="BW154" s="670"/>
      <c r="BX154" s="665">
        <f t="shared" si="2"/>
        <v>216</v>
      </c>
      <c r="BY154" s="671">
        <v>0.0</v>
      </c>
      <c r="BZ154" s="668">
        <v>0.0</v>
      </c>
      <c r="CA154" s="668">
        <v>0.0</v>
      </c>
      <c r="CB154" s="668">
        <v>0.0</v>
      </c>
      <c r="CC154" s="668">
        <v>0.0</v>
      </c>
      <c r="CD154" s="668">
        <v>0.0</v>
      </c>
      <c r="CE154" s="668">
        <v>0.0</v>
      </c>
      <c r="CF154" s="668">
        <v>0.0</v>
      </c>
      <c r="CG154" s="668">
        <v>0.0</v>
      </c>
      <c r="CH154" s="670">
        <v>0.0</v>
      </c>
      <c r="CI154" s="665">
        <f t="shared" si="3"/>
        <v>0</v>
      </c>
      <c r="CJ154" s="671">
        <f t="shared" si="4"/>
        <v>276</v>
      </c>
      <c r="CK154" s="674"/>
      <c r="CL154" s="798">
        <v>594.5</v>
      </c>
      <c r="CM154" s="668">
        <f t="shared" ref="CM154:CV154" si="470">BC154*$CL154</f>
        <v>35670</v>
      </c>
      <c r="CN154" s="668">
        <f t="shared" si="470"/>
        <v>0</v>
      </c>
      <c r="CO154" s="668">
        <f t="shared" si="470"/>
        <v>0</v>
      </c>
      <c r="CP154" s="668">
        <f t="shared" si="470"/>
        <v>0</v>
      </c>
      <c r="CQ154" s="668">
        <f t="shared" si="470"/>
        <v>0</v>
      </c>
      <c r="CR154" s="668">
        <f t="shared" si="470"/>
        <v>0</v>
      </c>
      <c r="CS154" s="668">
        <f t="shared" si="470"/>
        <v>0</v>
      </c>
      <c r="CT154" s="668">
        <f t="shared" si="470"/>
        <v>0</v>
      </c>
      <c r="CU154" s="668">
        <f t="shared" si="470"/>
        <v>0</v>
      </c>
      <c r="CV154" s="668">
        <f t="shared" si="470"/>
        <v>0</v>
      </c>
      <c r="CW154" s="668">
        <f t="shared" si="21"/>
        <v>35670</v>
      </c>
      <c r="CX154" s="668">
        <f t="shared" ref="CX154:DG154" si="471">BN154*$CL154</f>
        <v>35670</v>
      </c>
      <c r="CY154" s="668">
        <f t="shared" si="471"/>
        <v>17835</v>
      </c>
      <c r="CZ154" s="668">
        <f t="shared" si="471"/>
        <v>0</v>
      </c>
      <c r="DA154" s="668">
        <f t="shared" si="471"/>
        <v>0</v>
      </c>
      <c r="DB154" s="668">
        <f t="shared" si="471"/>
        <v>74907</v>
      </c>
      <c r="DC154" s="668">
        <f t="shared" si="471"/>
        <v>0</v>
      </c>
      <c r="DD154" s="668">
        <f t="shared" si="471"/>
        <v>0</v>
      </c>
      <c r="DE154" s="668">
        <f t="shared" si="471"/>
        <v>0</v>
      </c>
      <c r="DF154" s="668">
        <f t="shared" si="471"/>
        <v>0</v>
      </c>
      <c r="DG154" s="668">
        <f t="shared" si="471"/>
        <v>0</v>
      </c>
      <c r="DH154" s="668">
        <f t="shared" si="23"/>
        <v>128412</v>
      </c>
      <c r="DI154" s="668">
        <f t="shared" ref="DI154:DR154" si="472">BY154*$CL154</f>
        <v>0</v>
      </c>
      <c r="DJ154" s="668">
        <f t="shared" si="472"/>
        <v>0</v>
      </c>
      <c r="DK154" s="668">
        <f t="shared" si="472"/>
        <v>0</v>
      </c>
      <c r="DL154" s="668">
        <f t="shared" si="472"/>
        <v>0</v>
      </c>
      <c r="DM154" s="668">
        <f t="shared" si="472"/>
        <v>0</v>
      </c>
      <c r="DN154" s="668">
        <f t="shared" si="472"/>
        <v>0</v>
      </c>
      <c r="DO154" s="668">
        <f t="shared" si="472"/>
        <v>0</v>
      </c>
      <c r="DP154" s="668">
        <f t="shared" si="472"/>
        <v>0</v>
      </c>
      <c r="DQ154" s="668">
        <f t="shared" si="472"/>
        <v>0</v>
      </c>
      <c r="DR154" s="668">
        <f t="shared" si="472"/>
        <v>0</v>
      </c>
      <c r="DS154" s="668">
        <f t="shared" si="25"/>
        <v>0</v>
      </c>
      <c r="DT154" s="668">
        <f t="shared" si="175"/>
        <v>164082</v>
      </c>
      <c r="DU154" s="792"/>
      <c r="DV154" s="675" t="s">
        <v>3289</v>
      </c>
      <c r="DW154" s="676"/>
      <c r="DX154" s="676"/>
      <c r="DY154" s="676"/>
      <c r="DZ154" s="676"/>
      <c r="EA154" s="676"/>
      <c r="EB154" s="676"/>
      <c r="EC154" s="676"/>
      <c r="ED154" s="676"/>
      <c r="EE154" s="676"/>
      <c r="EF154" s="676"/>
      <c r="EG154" s="676"/>
      <c r="EH154" s="677">
        <f t="shared" ref="EH154:EH155" si="476">CK154*6.97</f>
        <v>0</v>
      </c>
      <c r="EI154" s="678">
        <v>1.0</v>
      </c>
      <c r="EJ154" s="699"/>
      <c r="EK154" s="699"/>
    </row>
    <row r="155" ht="12.0" customHeight="1">
      <c r="A155" s="700" t="s">
        <v>3026</v>
      </c>
      <c r="B155" s="562"/>
      <c r="C155" s="562" t="s">
        <v>3034</v>
      </c>
      <c r="D155" s="571" t="s">
        <v>195</v>
      </c>
      <c r="E155" s="571" t="s">
        <v>3282</v>
      </c>
      <c r="F155" s="680" t="s">
        <v>1774</v>
      </c>
      <c r="G155" s="569" t="s">
        <v>2709</v>
      </c>
      <c r="H155" s="858" t="s">
        <v>3290</v>
      </c>
      <c r="I155" s="859">
        <v>1.076544E7</v>
      </c>
      <c r="J155" s="571" t="s">
        <v>3291</v>
      </c>
      <c r="K155" s="562" t="s">
        <v>25</v>
      </c>
      <c r="L155" s="562">
        <v>2024.0</v>
      </c>
      <c r="M155" s="562">
        <v>2024.0</v>
      </c>
      <c r="N155" s="562">
        <v>2024.0</v>
      </c>
      <c r="O155" s="562"/>
      <c r="P155" s="562"/>
      <c r="Q155" s="562"/>
      <c r="R155" s="562">
        <v>2024.0</v>
      </c>
      <c r="S155" s="562">
        <v>2024.0</v>
      </c>
      <c r="T155" s="562">
        <v>2024.0</v>
      </c>
      <c r="U155" s="562">
        <v>2024.0</v>
      </c>
      <c r="V155" s="562"/>
      <c r="W155" s="562">
        <v>2.0</v>
      </c>
      <c r="X155" s="562">
        <v>2.0</v>
      </c>
      <c r="Y155" s="562">
        <v>2.0</v>
      </c>
      <c r="Z155" s="562"/>
      <c r="AA155" s="562"/>
      <c r="AB155" s="562"/>
      <c r="AC155" s="562">
        <v>2.0</v>
      </c>
      <c r="AD155" s="562">
        <v>2.0</v>
      </c>
      <c r="AE155" s="562">
        <v>2.0</v>
      </c>
      <c r="AF155" s="562">
        <v>2.0</v>
      </c>
      <c r="AG155" s="562"/>
      <c r="AH155" s="562"/>
      <c r="AI155" s="562"/>
      <c r="AJ155" s="562"/>
      <c r="AK155" s="562"/>
      <c r="AL155" s="562"/>
      <c r="AM155" s="562"/>
      <c r="AN155" s="562"/>
      <c r="AO155" s="562"/>
      <c r="AP155" s="562"/>
      <c r="AQ155" s="562"/>
      <c r="AR155" s="562">
        <v>-2024.0</v>
      </c>
      <c r="AS155" s="562">
        <v>-2024.0</v>
      </c>
      <c r="AT155" s="562">
        <v>-2024.0</v>
      </c>
      <c r="AU155" s="562">
        <v>0.0</v>
      </c>
      <c r="AV155" s="562">
        <v>0.0</v>
      </c>
      <c r="AW155" s="562">
        <v>0.0</v>
      </c>
      <c r="AX155" s="562">
        <v>-2024.0</v>
      </c>
      <c r="AY155" s="562">
        <v>-2024.0</v>
      </c>
      <c r="AZ155" s="562">
        <v>-2024.0</v>
      </c>
      <c r="BA155" s="562">
        <v>-2024.0</v>
      </c>
      <c r="BB155" s="562"/>
      <c r="BC155" s="562">
        <v>60.0</v>
      </c>
      <c r="BD155" s="562">
        <v>15.0</v>
      </c>
      <c r="BE155" s="562">
        <v>100.0</v>
      </c>
      <c r="BF155" s="562"/>
      <c r="BG155" s="562"/>
      <c r="BH155" s="562"/>
      <c r="BI155" s="562">
        <v>10.0</v>
      </c>
      <c r="BJ155" s="562">
        <v>5.0</v>
      </c>
      <c r="BK155" s="562">
        <v>8.0</v>
      </c>
      <c r="BL155" s="719">
        <v>0.0</v>
      </c>
      <c r="BM155" s="665">
        <f t="shared" si="1"/>
        <v>198</v>
      </c>
      <c r="BN155" s="860"/>
      <c r="BO155" s="488"/>
      <c r="BP155" s="488"/>
      <c r="BQ155" s="488"/>
      <c r="BR155" s="488"/>
      <c r="BS155" s="488"/>
      <c r="BT155" s="744">
        <v>10.0</v>
      </c>
      <c r="BU155" s="488"/>
      <c r="BV155" s="744">
        <v>8.0</v>
      </c>
      <c r="BW155" s="837"/>
      <c r="BX155" s="665">
        <f t="shared" si="2"/>
        <v>18</v>
      </c>
      <c r="BY155" s="682">
        <v>60.0</v>
      </c>
      <c r="BZ155" s="683">
        <v>15.0</v>
      </c>
      <c r="CA155" s="687">
        <v>50.0</v>
      </c>
      <c r="CB155" s="683">
        <v>0.0</v>
      </c>
      <c r="CC155" s="683">
        <v>0.0</v>
      </c>
      <c r="CD155" s="683">
        <v>0.0</v>
      </c>
      <c r="CE155" s="730">
        <v>0.0</v>
      </c>
      <c r="CF155" s="683">
        <v>5.0</v>
      </c>
      <c r="CG155" s="730">
        <v>0.0</v>
      </c>
      <c r="CH155" s="724">
        <v>0.0</v>
      </c>
      <c r="CI155" s="665">
        <f t="shared" si="3"/>
        <v>130</v>
      </c>
      <c r="CJ155" s="682">
        <f t="shared" si="4"/>
        <v>346</v>
      </c>
      <c r="CK155" s="687"/>
      <c r="CL155" s="684">
        <v>355.96</v>
      </c>
      <c r="CM155" s="683">
        <f t="shared" ref="CM155:CV155" si="473">BC155*$CL155</f>
        <v>21357.6</v>
      </c>
      <c r="CN155" s="683">
        <f t="shared" si="473"/>
        <v>5339.4</v>
      </c>
      <c r="CO155" s="683">
        <f t="shared" si="473"/>
        <v>35596</v>
      </c>
      <c r="CP155" s="683">
        <f t="shared" si="473"/>
        <v>0</v>
      </c>
      <c r="CQ155" s="683">
        <f t="shared" si="473"/>
        <v>0</v>
      </c>
      <c r="CR155" s="683">
        <f t="shared" si="473"/>
        <v>0</v>
      </c>
      <c r="CS155" s="683">
        <f t="shared" si="473"/>
        <v>3559.6</v>
      </c>
      <c r="CT155" s="683">
        <f t="shared" si="473"/>
        <v>1779.8</v>
      </c>
      <c r="CU155" s="683">
        <f t="shared" si="473"/>
        <v>2847.68</v>
      </c>
      <c r="CV155" s="683">
        <f t="shared" si="473"/>
        <v>0</v>
      </c>
      <c r="CW155" s="683">
        <f t="shared" si="21"/>
        <v>70480.08</v>
      </c>
      <c r="CX155" s="683">
        <f t="shared" ref="CX155:DG155" si="474">BN155*$CL155</f>
        <v>0</v>
      </c>
      <c r="CY155" s="683">
        <f t="shared" si="474"/>
        <v>0</v>
      </c>
      <c r="CZ155" s="683">
        <f t="shared" si="474"/>
        <v>0</v>
      </c>
      <c r="DA155" s="683">
        <f t="shared" si="474"/>
        <v>0</v>
      </c>
      <c r="DB155" s="683">
        <f t="shared" si="474"/>
        <v>0</v>
      </c>
      <c r="DC155" s="683">
        <f t="shared" si="474"/>
        <v>0</v>
      </c>
      <c r="DD155" s="683">
        <f t="shared" si="474"/>
        <v>3559.6</v>
      </c>
      <c r="DE155" s="683">
        <f t="shared" si="474"/>
        <v>0</v>
      </c>
      <c r="DF155" s="683">
        <f t="shared" si="474"/>
        <v>2847.68</v>
      </c>
      <c r="DG155" s="683">
        <f t="shared" si="474"/>
        <v>0</v>
      </c>
      <c r="DH155" s="683">
        <f t="shared" si="23"/>
        <v>6407.28</v>
      </c>
      <c r="DI155" s="683">
        <f t="shared" ref="DI155:DR155" si="475">BY155*$CL155</f>
        <v>21357.6</v>
      </c>
      <c r="DJ155" s="683">
        <f t="shared" si="475"/>
        <v>5339.4</v>
      </c>
      <c r="DK155" s="683">
        <f t="shared" si="475"/>
        <v>17798</v>
      </c>
      <c r="DL155" s="683">
        <f t="shared" si="475"/>
        <v>0</v>
      </c>
      <c r="DM155" s="683">
        <f t="shared" si="475"/>
        <v>0</v>
      </c>
      <c r="DN155" s="683">
        <f t="shared" si="475"/>
        <v>0</v>
      </c>
      <c r="DO155" s="683">
        <f t="shared" si="475"/>
        <v>0</v>
      </c>
      <c r="DP155" s="683">
        <f t="shared" si="475"/>
        <v>1779.8</v>
      </c>
      <c r="DQ155" s="683">
        <f t="shared" si="475"/>
        <v>0</v>
      </c>
      <c r="DR155" s="683">
        <f t="shared" si="475"/>
        <v>0</v>
      </c>
      <c r="DS155" s="683">
        <f t="shared" si="25"/>
        <v>46274.8</v>
      </c>
      <c r="DT155" s="683">
        <f t="shared" si="175"/>
        <v>123162.16</v>
      </c>
      <c r="DU155" s="861" t="s">
        <v>3292</v>
      </c>
      <c r="DV155" s="486"/>
      <c r="DW155" s="688"/>
      <c r="DX155" s="688"/>
      <c r="DY155" s="688"/>
      <c r="DZ155" s="688"/>
      <c r="EA155" s="688"/>
      <c r="EB155" s="688"/>
      <c r="EC155" s="688"/>
      <c r="ED155" s="688"/>
      <c r="EE155" s="688"/>
      <c r="EF155" s="688"/>
      <c r="EG155" s="688"/>
      <c r="EH155" s="689">
        <f t="shared" si="476"/>
        <v>0</v>
      </c>
      <c r="EI155" s="690">
        <v>1.0</v>
      </c>
      <c r="EJ155" s="691"/>
      <c r="EK155" s="691"/>
    </row>
    <row r="156" ht="12.0" customHeight="1">
      <c r="A156" s="709" t="s">
        <v>3026</v>
      </c>
      <c r="B156" s="661">
        <v>2.0</v>
      </c>
      <c r="C156" s="567" t="s">
        <v>3034</v>
      </c>
      <c r="D156" s="568" t="s">
        <v>195</v>
      </c>
      <c r="E156" s="568" t="s">
        <v>3282</v>
      </c>
      <c r="F156" s="567" t="s">
        <v>1763</v>
      </c>
      <c r="G156" s="569" t="s">
        <v>2709</v>
      </c>
      <c r="H156" s="658"/>
      <c r="I156" s="710" t="s">
        <v>567</v>
      </c>
      <c r="J156" s="711" t="s">
        <v>568</v>
      </c>
      <c r="K156" s="567" t="s">
        <v>25</v>
      </c>
      <c r="L156" s="567"/>
      <c r="M156" s="567"/>
      <c r="N156" s="567"/>
      <c r="O156" s="567">
        <v>2024.0</v>
      </c>
      <c r="P156" s="567"/>
      <c r="Q156" s="567"/>
      <c r="R156" s="567"/>
      <c r="S156" s="567"/>
      <c r="T156" s="567"/>
      <c r="U156" s="567"/>
      <c r="V156" s="567"/>
      <c r="W156" s="567"/>
      <c r="X156" s="567"/>
      <c r="Y156" s="567"/>
      <c r="Z156" s="567">
        <v>10.0</v>
      </c>
      <c r="AA156" s="567"/>
      <c r="AB156" s="567"/>
      <c r="AC156" s="567"/>
      <c r="AD156" s="567"/>
      <c r="AE156" s="567"/>
      <c r="AF156" s="567"/>
      <c r="AG156" s="567"/>
      <c r="AH156" s="567"/>
      <c r="AI156" s="567"/>
      <c r="AJ156" s="567"/>
      <c r="AK156" s="567"/>
      <c r="AL156" s="567"/>
      <c r="AM156" s="567"/>
      <c r="AN156" s="567"/>
      <c r="AO156" s="567"/>
      <c r="AP156" s="567"/>
      <c r="AQ156" s="567"/>
      <c r="AR156" s="567">
        <v>0.0</v>
      </c>
      <c r="AS156" s="567">
        <v>0.0</v>
      </c>
      <c r="AT156" s="567">
        <v>0.0</v>
      </c>
      <c r="AU156" s="567">
        <v>-2024.0</v>
      </c>
      <c r="AV156" s="567">
        <v>0.0</v>
      </c>
      <c r="AW156" s="567">
        <v>0.0</v>
      </c>
      <c r="AX156" s="567">
        <v>0.0</v>
      </c>
      <c r="AY156" s="567">
        <v>0.0</v>
      </c>
      <c r="AZ156" s="567">
        <v>0.0</v>
      </c>
      <c r="BA156" s="567">
        <v>0.0</v>
      </c>
      <c r="BB156" s="567"/>
      <c r="BC156" s="567"/>
      <c r="BD156" s="567"/>
      <c r="BE156" s="680"/>
      <c r="BF156" s="567"/>
      <c r="BG156" s="567"/>
      <c r="BH156" s="567"/>
      <c r="BI156" s="567"/>
      <c r="BJ156" s="567"/>
      <c r="BK156" s="567"/>
      <c r="BL156" s="725"/>
      <c r="BM156" s="665">
        <f t="shared" si="1"/>
        <v>0</v>
      </c>
      <c r="BN156" s="668"/>
      <c r="BO156" s="668"/>
      <c r="BP156" s="684">
        <v>100.0</v>
      </c>
      <c r="BQ156" s="684">
        <v>218.0</v>
      </c>
      <c r="BR156" s="668"/>
      <c r="BS156" s="668"/>
      <c r="BT156" s="668"/>
      <c r="BU156" s="668"/>
      <c r="BV156" s="668"/>
      <c r="BW156" s="670"/>
      <c r="BX156" s="665">
        <f t="shared" si="2"/>
        <v>318</v>
      </c>
      <c r="BY156" s="671">
        <v>0.0</v>
      </c>
      <c r="BZ156" s="668">
        <v>0.0</v>
      </c>
      <c r="CA156" s="684">
        <v>100.0</v>
      </c>
      <c r="CB156" s="684">
        <v>218.0</v>
      </c>
      <c r="CC156" s="668">
        <v>0.0</v>
      </c>
      <c r="CD156" s="668">
        <v>0.0</v>
      </c>
      <c r="CE156" s="668">
        <v>0.0</v>
      </c>
      <c r="CF156" s="668">
        <v>0.0</v>
      </c>
      <c r="CG156" s="668">
        <v>0.0</v>
      </c>
      <c r="CH156" s="670">
        <v>0.0</v>
      </c>
      <c r="CI156" s="665">
        <f t="shared" si="3"/>
        <v>318</v>
      </c>
      <c r="CJ156" s="671">
        <f t="shared" si="4"/>
        <v>636</v>
      </c>
      <c r="CK156" s="715">
        <v>69.03</v>
      </c>
      <c r="CL156" s="668">
        <f t="shared" ref="CL156:CL158" si="480">CK156*$CL$1</f>
        <v>480.4488</v>
      </c>
      <c r="CM156" s="668">
        <f t="shared" ref="CM156:CV156" si="477">BC156*$CL156</f>
        <v>0</v>
      </c>
      <c r="CN156" s="668">
        <f t="shared" si="477"/>
        <v>0</v>
      </c>
      <c r="CO156" s="668">
        <f t="shared" si="477"/>
        <v>0</v>
      </c>
      <c r="CP156" s="668">
        <f t="shared" si="477"/>
        <v>0</v>
      </c>
      <c r="CQ156" s="668">
        <f t="shared" si="477"/>
        <v>0</v>
      </c>
      <c r="CR156" s="668">
        <f t="shared" si="477"/>
        <v>0</v>
      </c>
      <c r="CS156" s="668">
        <f t="shared" si="477"/>
        <v>0</v>
      </c>
      <c r="CT156" s="668">
        <f t="shared" si="477"/>
        <v>0</v>
      </c>
      <c r="CU156" s="668">
        <f t="shared" si="477"/>
        <v>0</v>
      </c>
      <c r="CV156" s="668">
        <f t="shared" si="477"/>
        <v>0</v>
      </c>
      <c r="CW156" s="668">
        <f t="shared" si="21"/>
        <v>0</v>
      </c>
      <c r="CX156" s="668">
        <f t="shared" ref="CX156:DG156" si="478">BN156*$CL156</f>
        <v>0</v>
      </c>
      <c r="CY156" s="668">
        <f t="shared" si="478"/>
        <v>0</v>
      </c>
      <c r="CZ156" s="668">
        <f t="shared" si="478"/>
        <v>48044.88</v>
      </c>
      <c r="DA156" s="668">
        <f t="shared" si="478"/>
        <v>104737.8384</v>
      </c>
      <c r="DB156" s="668">
        <f t="shared" si="478"/>
        <v>0</v>
      </c>
      <c r="DC156" s="668">
        <f t="shared" si="478"/>
        <v>0</v>
      </c>
      <c r="DD156" s="668">
        <f t="shared" si="478"/>
        <v>0</v>
      </c>
      <c r="DE156" s="668">
        <f t="shared" si="478"/>
        <v>0</v>
      </c>
      <c r="DF156" s="668">
        <f t="shared" si="478"/>
        <v>0</v>
      </c>
      <c r="DG156" s="668">
        <f t="shared" si="478"/>
        <v>0</v>
      </c>
      <c r="DH156" s="668">
        <f t="shared" si="23"/>
        <v>152782.7184</v>
      </c>
      <c r="DI156" s="668">
        <f t="shared" ref="DI156:DR156" si="479">BY156*$CL156</f>
        <v>0</v>
      </c>
      <c r="DJ156" s="668">
        <f t="shared" si="479"/>
        <v>0</v>
      </c>
      <c r="DK156" s="668">
        <f t="shared" si="479"/>
        <v>48044.88</v>
      </c>
      <c r="DL156" s="668">
        <f t="shared" si="479"/>
        <v>104737.8384</v>
      </c>
      <c r="DM156" s="668">
        <f t="shared" si="479"/>
        <v>0</v>
      </c>
      <c r="DN156" s="668">
        <f t="shared" si="479"/>
        <v>0</v>
      </c>
      <c r="DO156" s="668">
        <f t="shared" si="479"/>
        <v>0</v>
      </c>
      <c r="DP156" s="668">
        <f t="shared" si="479"/>
        <v>0</v>
      </c>
      <c r="DQ156" s="668">
        <f t="shared" si="479"/>
        <v>0</v>
      </c>
      <c r="DR156" s="668">
        <f t="shared" si="479"/>
        <v>0</v>
      </c>
      <c r="DS156" s="668">
        <f t="shared" si="25"/>
        <v>152782.7184</v>
      </c>
      <c r="DT156" s="668">
        <f t="shared" si="175"/>
        <v>305565.4368</v>
      </c>
      <c r="DU156" s="792"/>
      <c r="DV156" s="792" t="s">
        <v>3293</v>
      </c>
      <c r="DW156" s="698"/>
      <c r="DX156" s="698"/>
      <c r="DY156" s="698"/>
      <c r="DZ156" s="698"/>
      <c r="EA156" s="698"/>
      <c r="EB156" s="698"/>
      <c r="EC156" s="698"/>
      <c r="ED156" s="698"/>
      <c r="EE156" s="698"/>
      <c r="EF156" s="698"/>
      <c r="EG156" s="698"/>
      <c r="EH156" s="576" t="s">
        <v>568</v>
      </c>
      <c r="EI156" s="716">
        <f>VLOOKUP(I156,CotizacionTDB,4,FALSE())</f>
        <v>69.03</v>
      </c>
      <c r="EJ156" s="716">
        <f>VLOOKUP(I156,CotizacionTDB,5,FALSE())</f>
        <v>58.68</v>
      </c>
      <c r="EK156" s="699"/>
    </row>
    <row r="157" ht="12.0" customHeight="1">
      <c r="A157" s="700" t="s">
        <v>3026</v>
      </c>
      <c r="B157" s="701">
        <v>2.0</v>
      </c>
      <c r="C157" s="562" t="s">
        <v>3034</v>
      </c>
      <c r="D157" s="571" t="s">
        <v>195</v>
      </c>
      <c r="E157" s="571" t="s">
        <v>3282</v>
      </c>
      <c r="F157" s="562" t="s">
        <v>1763</v>
      </c>
      <c r="G157" s="569" t="s">
        <v>2709</v>
      </c>
      <c r="H157" s="737"/>
      <c r="I157" s="703" t="s">
        <v>2469</v>
      </c>
      <c r="J157" s="704" t="s">
        <v>359</v>
      </c>
      <c r="K157" s="562" t="s">
        <v>25</v>
      </c>
      <c r="L157" s="562"/>
      <c r="M157" s="562"/>
      <c r="N157" s="562"/>
      <c r="O157" s="562">
        <v>2024.0</v>
      </c>
      <c r="P157" s="562">
        <v>2024.0</v>
      </c>
      <c r="Q157" s="562">
        <v>2024.0</v>
      </c>
      <c r="R157" s="562"/>
      <c r="S157" s="562"/>
      <c r="T157" s="562"/>
      <c r="U157" s="562"/>
      <c r="V157" s="562"/>
      <c r="W157" s="562"/>
      <c r="X157" s="562"/>
      <c r="Y157" s="562"/>
      <c r="Z157" s="562">
        <v>2.0</v>
      </c>
      <c r="AA157" s="562">
        <v>2.0</v>
      </c>
      <c r="AB157" s="562">
        <v>2.0</v>
      </c>
      <c r="AC157" s="562"/>
      <c r="AD157" s="562"/>
      <c r="AE157" s="562"/>
      <c r="AF157" s="562"/>
      <c r="AG157" s="562"/>
      <c r="AH157" s="562"/>
      <c r="AI157" s="562"/>
      <c r="AJ157" s="562"/>
      <c r="AK157" s="562"/>
      <c r="AL157" s="562"/>
      <c r="AM157" s="562"/>
      <c r="AN157" s="562"/>
      <c r="AO157" s="562"/>
      <c r="AP157" s="562"/>
      <c r="AQ157" s="562"/>
      <c r="AR157" s="562">
        <v>0.0</v>
      </c>
      <c r="AS157" s="562">
        <v>0.0</v>
      </c>
      <c r="AT157" s="562">
        <v>0.0</v>
      </c>
      <c r="AU157" s="562">
        <v>-2024.0</v>
      </c>
      <c r="AV157" s="562">
        <v>-2024.0</v>
      </c>
      <c r="AW157" s="562">
        <v>-2024.0</v>
      </c>
      <c r="AX157" s="562">
        <v>0.0</v>
      </c>
      <c r="AY157" s="562">
        <v>0.0</v>
      </c>
      <c r="AZ157" s="562">
        <v>0.0</v>
      </c>
      <c r="BA157" s="562">
        <v>0.0</v>
      </c>
      <c r="BB157" s="562"/>
      <c r="BC157" s="562"/>
      <c r="BD157" s="562"/>
      <c r="BE157" s="562"/>
      <c r="BF157" s="701">
        <v>0.0</v>
      </c>
      <c r="BG157" s="562">
        <v>1.0</v>
      </c>
      <c r="BH157" s="562">
        <v>1.0</v>
      </c>
      <c r="BI157" s="562"/>
      <c r="BJ157" s="562"/>
      <c r="BK157" s="562"/>
      <c r="BL157" s="681"/>
      <c r="BM157" s="665">
        <f t="shared" si="1"/>
        <v>2</v>
      </c>
      <c r="BN157" s="682"/>
      <c r="BO157" s="683"/>
      <c r="BP157" s="683"/>
      <c r="BQ157" s="683"/>
      <c r="BR157" s="683"/>
      <c r="BS157" s="683"/>
      <c r="BT157" s="683"/>
      <c r="BU157" s="683"/>
      <c r="BV157" s="683"/>
      <c r="BW157" s="686"/>
      <c r="BX157" s="665">
        <f t="shared" si="2"/>
        <v>0</v>
      </c>
      <c r="BY157" s="682">
        <v>0.0</v>
      </c>
      <c r="BZ157" s="683">
        <v>0.0</v>
      </c>
      <c r="CA157" s="683">
        <v>0.0</v>
      </c>
      <c r="CB157" s="687">
        <v>0.0</v>
      </c>
      <c r="CC157" s="687">
        <v>0.0</v>
      </c>
      <c r="CD157" s="687">
        <v>0.0</v>
      </c>
      <c r="CE157" s="683">
        <v>0.0</v>
      </c>
      <c r="CF157" s="683">
        <v>0.0</v>
      </c>
      <c r="CG157" s="683">
        <v>0.0</v>
      </c>
      <c r="CH157" s="686">
        <v>0.0</v>
      </c>
      <c r="CI157" s="665">
        <f t="shared" si="3"/>
        <v>0</v>
      </c>
      <c r="CJ157" s="682">
        <f t="shared" si="4"/>
        <v>2</v>
      </c>
      <c r="CK157" s="706">
        <v>2804.61</v>
      </c>
      <c r="CL157" s="683">
        <f t="shared" si="480"/>
        <v>19520.0856</v>
      </c>
      <c r="CM157" s="683">
        <f t="shared" ref="CM157:CV157" si="481">BC157*$CL157</f>
        <v>0</v>
      </c>
      <c r="CN157" s="683">
        <f t="shared" si="481"/>
        <v>0</v>
      </c>
      <c r="CO157" s="683">
        <f t="shared" si="481"/>
        <v>0</v>
      </c>
      <c r="CP157" s="683">
        <f t="shared" si="481"/>
        <v>0</v>
      </c>
      <c r="CQ157" s="683">
        <f t="shared" si="481"/>
        <v>19520.0856</v>
      </c>
      <c r="CR157" s="683">
        <f t="shared" si="481"/>
        <v>19520.0856</v>
      </c>
      <c r="CS157" s="683">
        <f t="shared" si="481"/>
        <v>0</v>
      </c>
      <c r="CT157" s="683">
        <f t="shared" si="481"/>
        <v>0</v>
      </c>
      <c r="CU157" s="683">
        <f t="shared" si="481"/>
        <v>0</v>
      </c>
      <c r="CV157" s="683">
        <f t="shared" si="481"/>
        <v>0</v>
      </c>
      <c r="CW157" s="683">
        <f t="shared" si="21"/>
        <v>39040.1712</v>
      </c>
      <c r="CX157" s="683">
        <f t="shared" ref="CX157:DG157" si="482">BN157*$CL157</f>
        <v>0</v>
      </c>
      <c r="CY157" s="683">
        <f t="shared" si="482"/>
        <v>0</v>
      </c>
      <c r="CZ157" s="683">
        <f t="shared" si="482"/>
        <v>0</v>
      </c>
      <c r="DA157" s="683">
        <f t="shared" si="482"/>
        <v>0</v>
      </c>
      <c r="DB157" s="683">
        <f t="shared" si="482"/>
        <v>0</v>
      </c>
      <c r="DC157" s="683">
        <f t="shared" si="482"/>
        <v>0</v>
      </c>
      <c r="DD157" s="683">
        <f t="shared" si="482"/>
        <v>0</v>
      </c>
      <c r="DE157" s="683">
        <f t="shared" si="482"/>
        <v>0</v>
      </c>
      <c r="DF157" s="683">
        <f t="shared" si="482"/>
        <v>0</v>
      </c>
      <c r="DG157" s="683">
        <f t="shared" si="482"/>
        <v>0</v>
      </c>
      <c r="DH157" s="683">
        <f t="shared" si="23"/>
        <v>0</v>
      </c>
      <c r="DI157" s="683">
        <f t="shared" ref="DI157:DR157" si="483">BY157*$CL157</f>
        <v>0</v>
      </c>
      <c r="DJ157" s="683">
        <f t="shared" si="483"/>
        <v>0</v>
      </c>
      <c r="DK157" s="683">
        <f t="shared" si="483"/>
        <v>0</v>
      </c>
      <c r="DL157" s="683">
        <f t="shared" si="483"/>
        <v>0</v>
      </c>
      <c r="DM157" s="683">
        <f t="shared" si="483"/>
        <v>0</v>
      </c>
      <c r="DN157" s="683">
        <f t="shared" si="483"/>
        <v>0</v>
      </c>
      <c r="DO157" s="683">
        <f t="shared" si="483"/>
        <v>0</v>
      </c>
      <c r="DP157" s="683">
        <f t="shared" si="483"/>
        <v>0</v>
      </c>
      <c r="DQ157" s="683">
        <f t="shared" si="483"/>
        <v>0</v>
      </c>
      <c r="DR157" s="683">
        <f t="shared" si="483"/>
        <v>0</v>
      </c>
      <c r="DS157" s="683">
        <f t="shared" si="25"/>
        <v>0</v>
      </c>
      <c r="DT157" s="683">
        <f t="shared" si="175"/>
        <v>39040.1712</v>
      </c>
      <c r="DU157" s="504"/>
      <c r="DV157" s="486"/>
      <c r="DW157" s="688"/>
      <c r="DX157" s="688"/>
      <c r="DY157" s="688"/>
      <c r="DZ157" s="688"/>
      <c r="EA157" s="688"/>
      <c r="EB157" s="688"/>
      <c r="EC157" s="688"/>
      <c r="ED157" s="688"/>
      <c r="EE157" s="688"/>
      <c r="EF157" s="688"/>
      <c r="EG157" s="688"/>
      <c r="EH157" s="707" t="s">
        <v>3294</v>
      </c>
      <c r="EI157" s="708">
        <f>VLOOKUP(I157,CotizacionTDB,4,FALSE())</f>
        <v>2804.61</v>
      </c>
      <c r="EJ157" s="708">
        <f>VLOOKUP(I157,CotizacionTDB,5,FALSE())</f>
        <v>2383.92</v>
      </c>
      <c r="EK157" s="691"/>
    </row>
    <row r="158" ht="12.0" customHeight="1">
      <c r="A158" s="709" t="s">
        <v>3026</v>
      </c>
      <c r="B158" s="661">
        <v>2.0</v>
      </c>
      <c r="C158" s="567" t="s">
        <v>3034</v>
      </c>
      <c r="D158" s="568" t="s">
        <v>195</v>
      </c>
      <c r="E158" s="568" t="s">
        <v>3282</v>
      </c>
      <c r="F158" s="567" t="s">
        <v>1763</v>
      </c>
      <c r="G158" s="569" t="s">
        <v>2709</v>
      </c>
      <c r="H158" s="569" t="s">
        <v>3295</v>
      </c>
      <c r="I158" s="827" t="s">
        <v>2459</v>
      </c>
      <c r="J158" s="820" t="s">
        <v>662</v>
      </c>
      <c r="K158" s="567" t="s">
        <v>25</v>
      </c>
      <c r="L158" s="567">
        <v>2024.0</v>
      </c>
      <c r="M158" s="567"/>
      <c r="N158" s="567">
        <v>2024.0</v>
      </c>
      <c r="O158" s="567"/>
      <c r="P158" s="567"/>
      <c r="Q158" s="567"/>
      <c r="R158" s="567"/>
      <c r="S158" s="567"/>
      <c r="T158" s="567"/>
      <c r="U158" s="567"/>
      <c r="V158" s="567"/>
      <c r="W158" s="567">
        <v>8.0</v>
      </c>
      <c r="X158" s="567">
        <v>0.0</v>
      </c>
      <c r="Y158" s="567">
        <v>8.0</v>
      </c>
      <c r="Z158" s="567"/>
      <c r="AA158" s="567"/>
      <c r="AB158" s="567"/>
      <c r="AC158" s="567"/>
      <c r="AD158" s="567"/>
      <c r="AE158" s="567"/>
      <c r="AF158" s="567"/>
      <c r="AG158" s="567"/>
      <c r="AH158" s="567"/>
      <c r="AI158" s="567"/>
      <c r="AJ158" s="567"/>
      <c r="AK158" s="567"/>
      <c r="AL158" s="567"/>
      <c r="AM158" s="567"/>
      <c r="AN158" s="567"/>
      <c r="AO158" s="567"/>
      <c r="AP158" s="567"/>
      <c r="AQ158" s="567"/>
      <c r="AR158" s="567">
        <v>-2024.0</v>
      </c>
      <c r="AS158" s="567">
        <v>0.0</v>
      </c>
      <c r="AT158" s="567">
        <v>-2024.0</v>
      </c>
      <c r="AU158" s="567">
        <v>0.0</v>
      </c>
      <c r="AV158" s="567">
        <v>0.0</v>
      </c>
      <c r="AW158" s="567">
        <v>0.0</v>
      </c>
      <c r="AX158" s="567">
        <v>0.0</v>
      </c>
      <c r="AY158" s="567">
        <v>0.0</v>
      </c>
      <c r="AZ158" s="567">
        <v>0.0</v>
      </c>
      <c r="BA158" s="567">
        <v>0.0</v>
      </c>
      <c r="BB158" s="567"/>
      <c r="BC158" s="567">
        <v>2.0</v>
      </c>
      <c r="BD158" s="567"/>
      <c r="BE158" s="567">
        <v>1.0</v>
      </c>
      <c r="BF158" s="567"/>
      <c r="BG158" s="567"/>
      <c r="BH158" s="567"/>
      <c r="BI158" s="567"/>
      <c r="BJ158" s="567"/>
      <c r="BK158" s="567"/>
      <c r="BL158" s="725"/>
      <c r="BM158" s="665">
        <f t="shared" si="1"/>
        <v>3</v>
      </c>
      <c r="BN158" s="671"/>
      <c r="BO158" s="668"/>
      <c r="BP158" s="668"/>
      <c r="BQ158" s="668"/>
      <c r="BR158" s="668"/>
      <c r="BS158" s="668"/>
      <c r="BT158" s="668"/>
      <c r="BU158" s="668"/>
      <c r="BV158" s="668"/>
      <c r="BW158" s="670"/>
      <c r="BX158" s="665">
        <f t="shared" si="2"/>
        <v>0</v>
      </c>
      <c r="BY158" s="671">
        <v>0.0</v>
      </c>
      <c r="BZ158" s="668">
        <v>0.0</v>
      </c>
      <c r="CA158" s="668">
        <v>0.0</v>
      </c>
      <c r="CB158" s="668">
        <v>0.0</v>
      </c>
      <c r="CC158" s="668">
        <v>0.0</v>
      </c>
      <c r="CD158" s="668">
        <v>0.0</v>
      </c>
      <c r="CE158" s="668">
        <v>0.0</v>
      </c>
      <c r="CF158" s="668">
        <v>0.0</v>
      </c>
      <c r="CG158" s="668">
        <v>0.0</v>
      </c>
      <c r="CH158" s="670">
        <v>0.0</v>
      </c>
      <c r="CI158" s="665">
        <f t="shared" si="3"/>
        <v>0</v>
      </c>
      <c r="CJ158" s="671">
        <f t="shared" si="4"/>
        <v>3</v>
      </c>
      <c r="CK158" s="715">
        <v>1705.53</v>
      </c>
      <c r="CL158" s="668">
        <f t="shared" si="480"/>
        <v>11870.4888</v>
      </c>
      <c r="CM158" s="668">
        <f t="shared" ref="CM158:CV158" si="484">BC158*$CL158</f>
        <v>23740.9776</v>
      </c>
      <c r="CN158" s="668">
        <f t="shared" si="484"/>
        <v>0</v>
      </c>
      <c r="CO158" s="668">
        <f t="shared" si="484"/>
        <v>11870.4888</v>
      </c>
      <c r="CP158" s="668">
        <f t="shared" si="484"/>
        <v>0</v>
      </c>
      <c r="CQ158" s="668">
        <f t="shared" si="484"/>
        <v>0</v>
      </c>
      <c r="CR158" s="668">
        <f t="shared" si="484"/>
        <v>0</v>
      </c>
      <c r="CS158" s="668">
        <f t="shared" si="484"/>
        <v>0</v>
      </c>
      <c r="CT158" s="668">
        <f t="shared" si="484"/>
        <v>0</v>
      </c>
      <c r="CU158" s="668">
        <f t="shared" si="484"/>
        <v>0</v>
      </c>
      <c r="CV158" s="668">
        <f t="shared" si="484"/>
        <v>0</v>
      </c>
      <c r="CW158" s="668">
        <f t="shared" si="21"/>
        <v>35611.4664</v>
      </c>
      <c r="CX158" s="668">
        <f t="shared" ref="CX158:DG158" si="485">BN158*$CL158</f>
        <v>0</v>
      </c>
      <c r="CY158" s="668">
        <f t="shared" si="485"/>
        <v>0</v>
      </c>
      <c r="CZ158" s="668">
        <f t="shared" si="485"/>
        <v>0</v>
      </c>
      <c r="DA158" s="668">
        <f t="shared" si="485"/>
        <v>0</v>
      </c>
      <c r="DB158" s="668">
        <f t="shared" si="485"/>
        <v>0</v>
      </c>
      <c r="DC158" s="668">
        <f t="shared" si="485"/>
        <v>0</v>
      </c>
      <c r="DD158" s="668">
        <f t="shared" si="485"/>
        <v>0</v>
      </c>
      <c r="DE158" s="668">
        <f t="shared" si="485"/>
        <v>0</v>
      </c>
      <c r="DF158" s="668">
        <f t="shared" si="485"/>
        <v>0</v>
      </c>
      <c r="DG158" s="668">
        <f t="shared" si="485"/>
        <v>0</v>
      </c>
      <c r="DH158" s="668">
        <f t="shared" si="23"/>
        <v>0</v>
      </c>
      <c r="DI158" s="668">
        <f t="shared" ref="DI158:DR158" si="486">BY158*$CL158</f>
        <v>0</v>
      </c>
      <c r="DJ158" s="668">
        <f t="shared" si="486"/>
        <v>0</v>
      </c>
      <c r="DK158" s="668">
        <f t="shared" si="486"/>
        <v>0</v>
      </c>
      <c r="DL158" s="668">
        <f t="shared" si="486"/>
        <v>0</v>
      </c>
      <c r="DM158" s="668">
        <f t="shared" si="486"/>
        <v>0</v>
      </c>
      <c r="DN158" s="668">
        <f t="shared" si="486"/>
        <v>0</v>
      </c>
      <c r="DO158" s="668">
        <f t="shared" si="486"/>
        <v>0</v>
      </c>
      <c r="DP158" s="668">
        <f t="shared" si="486"/>
        <v>0</v>
      </c>
      <c r="DQ158" s="668">
        <f t="shared" si="486"/>
        <v>0</v>
      </c>
      <c r="DR158" s="668">
        <f t="shared" si="486"/>
        <v>0</v>
      </c>
      <c r="DS158" s="668">
        <f t="shared" si="25"/>
        <v>0</v>
      </c>
      <c r="DT158" s="668">
        <f t="shared" si="175"/>
        <v>35611.4664</v>
      </c>
      <c r="DU158" s="547"/>
      <c r="DV158" s="862" t="s">
        <v>3296</v>
      </c>
      <c r="DW158" s="863"/>
      <c r="DX158" s="863"/>
      <c r="DY158" s="863"/>
      <c r="DZ158" s="863"/>
      <c r="EA158" s="863"/>
      <c r="EB158" s="863"/>
      <c r="EC158" s="863"/>
      <c r="ED158" s="863"/>
      <c r="EE158" s="863"/>
      <c r="EF158" s="863"/>
      <c r="EG158" s="863"/>
      <c r="EH158" s="576" t="s">
        <v>3297</v>
      </c>
      <c r="EI158" s="716">
        <f>VLOOKUP(I158,CotizacionTDB,4,FALSE())</f>
        <v>1705.53</v>
      </c>
      <c r="EJ158" s="716">
        <f>VLOOKUP(I158,CotizacionTDB,5,FALSE())</f>
        <v>1449.7</v>
      </c>
      <c r="EK158" s="699"/>
    </row>
    <row r="159" ht="12.0" customHeight="1">
      <c r="A159" s="700" t="s">
        <v>3026</v>
      </c>
      <c r="B159" s="701">
        <v>40.0</v>
      </c>
      <c r="C159" s="562" t="s">
        <v>3034</v>
      </c>
      <c r="D159" s="562" t="s">
        <v>195</v>
      </c>
      <c r="E159" s="562" t="s">
        <v>3282</v>
      </c>
      <c r="F159" s="701" t="s">
        <v>1774</v>
      </c>
      <c r="G159" s="848" t="s">
        <v>2709</v>
      </c>
      <c r="H159" s="717" t="s">
        <v>3298</v>
      </c>
      <c r="I159" s="562">
        <v>0.0</v>
      </c>
      <c r="J159" s="571" t="s">
        <v>3299</v>
      </c>
      <c r="K159" s="562" t="s">
        <v>25</v>
      </c>
      <c r="L159" s="562">
        <v>2024.0</v>
      </c>
      <c r="M159" s="562">
        <v>2024.0</v>
      </c>
      <c r="N159" s="821">
        <v>2026.0</v>
      </c>
      <c r="O159" s="562">
        <v>2024.0</v>
      </c>
      <c r="P159" s="562">
        <v>2024.0</v>
      </c>
      <c r="Q159" s="562">
        <v>2024.0</v>
      </c>
      <c r="R159" s="562">
        <v>2024.0</v>
      </c>
      <c r="S159" s="562">
        <v>2024.0</v>
      </c>
      <c r="T159" s="562">
        <v>2024.0</v>
      </c>
      <c r="U159" s="562">
        <v>2024.0</v>
      </c>
      <c r="V159" s="562"/>
      <c r="W159" s="562">
        <v>2.0</v>
      </c>
      <c r="X159" s="562">
        <v>2.0</v>
      </c>
      <c r="Y159" s="562">
        <v>2.0</v>
      </c>
      <c r="Z159" s="562">
        <v>2.0</v>
      </c>
      <c r="AA159" s="562">
        <v>2.0</v>
      </c>
      <c r="AB159" s="562">
        <v>2.0</v>
      </c>
      <c r="AC159" s="562">
        <v>2.0</v>
      </c>
      <c r="AD159" s="562">
        <v>2.0</v>
      </c>
      <c r="AE159" s="562">
        <v>2.0</v>
      </c>
      <c r="AF159" s="562">
        <v>2.0</v>
      </c>
      <c r="AG159" s="562"/>
      <c r="AH159" s="562"/>
      <c r="AI159" s="562"/>
      <c r="AJ159" s="562"/>
      <c r="AK159" s="562"/>
      <c r="AL159" s="562"/>
      <c r="AM159" s="562"/>
      <c r="AN159" s="562"/>
      <c r="AO159" s="562"/>
      <c r="AP159" s="562"/>
      <c r="AQ159" s="562"/>
      <c r="AR159" s="562">
        <v>-2024.0</v>
      </c>
      <c r="AS159" s="562">
        <v>-2024.0</v>
      </c>
      <c r="AT159" s="562">
        <v>-2026.0</v>
      </c>
      <c r="AU159" s="562">
        <v>-2024.0</v>
      </c>
      <c r="AV159" s="562">
        <v>-2024.0</v>
      </c>
      <c r="AW159" s="562">
        <v>-2024.0</v>
      </c>
      <c r="AX159" s="562">
        <v>-2024.0</v>
      </c>
      <c r="AY159" s="562">
        <v>-2024.0</v>
      </c>
      <c r="AZ159" s="562">
        <v>-2024.0</v>
      </c>
      <c r="BA159" s="562">
        <v>-2024.0</v>
      </c>
      <c r="BB159" s="562"/>
      <c r="BC159" s="718"/>
      <c r="BD159" s="508"/>
      <c r="BE159" s="562"/>
      <c r="BF159" s="508"/>
      <c r="BG159" s="508"/>
      <c r="BH159" s="508"/>
      <c r="BI159" s="718"/>
      <c r="BJ159" s="718"/>
      <c r="BK159" s="718"/>
      <c r="BL159" s="864"/>
      <c r="BM159" s="665">
        <f t="shared" si="1"/>
        <v>0</v>
      </c>
      <c r="BN159" s="666">
        <v>228.0</v>
      </c>
      <c r="BO159" s="806"/>
      <c r="BP159" s="683"/>
      <c r="BQ159" s="806"/>
      <c r="BR159" s="806"/>
      <c r="BS159" s="806"/>
      <c r="BT159" s="667">
        <v>65.0</v>
      </c>
      <c r="BU159" s="667">
        <v>78.0</v>
      </c>
      <c r="BV159" s="667">
        <v>13.0</v>
      </c>
      <c r="BW159" s="865"/>
      <c r="BX159" s="665">
        <f t="shared" si="2"/>
        <v>384</v>
      </c>
      <c r="BY159" s="682">
        <v>228.0</v>
      </c>
      <c r="BZ159" s="806">
        <v>140.0</v>
      </c>
      <c r="CA159" s="683"/>
      <c r="CB159" s="806">
        <v>25.0</v>
      </c>
      <c r="CC159" s="806">
        <v>70.0</v>
      </c>
      <c r="CD159" s="806">
        <v>50.0</v>
      </c>
      <c r="CE159" s="683"/>
      <c r="CF159" s="683"/>
      <c r="CG159" s="683"/>
      <c r="CH159" s="865">
        <v>83.0</v>
      </c>
      <c r="CI159" s="665">
        <f t="shared" si="3"/>
        <v>596</v>
      </c>
      <c r="CJ159" s="682">
        <f t="shared" si="4"/>
        <v>980</v>
      </c>
      <c r="CK159" s="687"/>
      <c r="CL159" s="798">
        <v>66.0</v>
      </c>
      <c r="CM159" s="683">
        <f t="shared" ref="CM159:CV159" si="487">BC159*$CL159</f>
        <v>0</v>
      </c>
      <c r="CN159" s="683">
        <f t="shared" si="487"/>
        <v>0</v>
      </c>
      <c r="CO159" s="683">
        <f t="shared" si="487"/>
        <v>0</v>
      </c>
      <c r="CP159" s="683">
        <f t="shared" si="487"/>
        <v>0</v>
      </c>
      <c r="CQ159" s="683">
        <f t="shared" si="487"/>
        <v>0</v>
      </c>
      <c r="CR159" s="683">
        <f t="shared" si="487"/>
        <v>0</v>
      </c>
      <c r="CS159" s="683">
        <f t="shared" si="487"/>
        <v>0</v>
      </c>
      <c r="CT159" s="683">
        <f t="shared" si="487"/>
        <v>0</v>
      </c>
      <c r="CU159" s="683">
        <f t="shared" si="487"/>
        <v>0</v>
      </c>
      <c r="CV159" s="683">
        <f t="shared" si="487"/>
        <v>0</v>
      </c>
      <c r="CW159" s="683">
        <f t="shared" si="21"/>
        <v>0</v>
      </c>
      <c r="CX159" s="683">
        <f t="shared" ref="CX159:DG159" si="488">BN159*$CL159</f>
        <v>15048</v>
      </c>
      <c r="CY159" s="683">
        <f t="shared" si="488"/>
        <v>0</v>
      </c>
      <c r="CZ159" s="683">
        <f t="shared" si="488"/>
        <v>0</v>
      </c>
      <c r="DA159" s="683">
        <f t="shared" si="488"/>
        <v>0</v>
      </c>
      <c r="DB159" s="683">
        <f t="shared" si="488"/>
        <v>0</v>
      </c>
      <c r="DC159" s="683">
        <f t="shared" si="488"/>
        <v>0</v>
      </c>
      <c r="DD159" s="683">
        <f t="shared" si="488"/>
        <v>4290</v>
      </c>
      <c r="DE159" s="683">
        <f t="shared" si="488"/>
        <v>5148</v>
      </c>
      <c r="DF159" s="683">
        <f t="shared" si="488"/>
        <v>858</v>
      </c>
      <c r="DG159" s="683">
        <f t="shared" si="488"/>
        <v>0</v>
      </c>
      <c r="DH159" s="683">
        <f t="shared" si="23"/>
        <v>25344</v>
      </c>
      <c r="DI159" s="683">
        <f t="shared" ref="DI159:DR159" si="489">BY159*$CL159</f>
        <v>15048</v>
      </c>
      <c r="DJ159" s="683">
        <f t="shared" si="489"/>
        <v>9240</v>
      </c>
      <c r="DK159" s="683">
        <f t="shared" si="489"/>
        <v>0</v>
      </c>
      <c r="DL159" s="683">
        <f t="shared" si="489"/>
        <v>1650</v>
      </c>
      <c r="DM159" s="683">
        <f t="shared" si="489"/>
        <v>4620</v>
      </c>
      <c r="DN159" s="683">
        <f t="shared" si="489"/>
        <v>3300</v>
      </c>
      <c r="DO159" s="683">
        <f t="shared" si="489"/>
        <v>0</v>
      </c>
      <c r="DP159" s="683">
        <f t="shared" si="489"/>
        <v>0</v>
      </c>
      <c r="DQ159" s="683">
        <f t="shared" si="489"/>
        <v>0</v>
      </c>
      <c r="DR159" s="683">
        <f t="shared" si="489"/>
        <v>5478</v>
      </c>
      <c r="DS159" s="683">
        <f t="shared" si="25"/>
        <v>39336</v>
      </c>
      <c r="DT159" s="683">
        <f t="shared" si="175"/>
        <v>64680</v>
      </c>
      <c r="DU159" s="801"/>
      <c r="DV159" s="802" t="s">
        <v>3300</v>
      </c>
      <c r="DW159" s="803"/>
      <c r="DX159" s="803"/>
      <c r="DY159" s="803"/>
      <c r="DZ159" s="803"/>
      <c r="EA159" s="803"/>
      <c r="EB159" s="803"/>
      <c r="EC159" s="803"/>
      <c r="ED159" s="803"/>
      <c r="EE159" s="803"/>
      <c r="EF159" s="803"/>
      <c r="EG159" s="803"/>
      <c r="EH159" s="689">
        <f t="shared" ref="EH159:EH160" si="493">CK159*6.97</f>
        <v>0</v>
      </c>
      <c r="EI159" s="690">
        <v>1.0</v>
      </c>
      <c r="EJ159" s="691"/>
      <c r="EK159" s="691"/>
    </row>
    <row r="160" ht="12.0" customHeight="1">
      <c r="A160" s="709" t="s">
        <v>3026</v>
      </c>
      <c r="B160" s="661"/>
      <c r="C160" s="567" t="s">
        <v>3034</v>
      </c>
      <c r="D160" s="568" t="s">
        <v>195</v>
      </c>
      <c r="E160" s="568" t="s">
        <v>2722</v>
      </c>
      <c r="F160" s="567" t="s">
        <v>1763</v>
      </c>
      <c r="G160" s="657" t="s">
        <v>2723</v>
      </c>
      <c r="H160" s="658"/>
      <c r="I160" s="661">
        <v>0.0</v>
      </c>
      <c r="J160" s="568" t="s">
        <v>3301</v>
      </c>
      <c r="K160" s="567" t="s">
        <v>25</v>
      </c>
      <c r="L160" s="567"/>
      <c r="M160" s="567"/>
      <c r="N160" s="567"/>
      <c r="O160" s="567"/>
      <c r="P160" s="567"/>
      <c r="Q160" s="567"/>
      <c r="R160" s="567"/>
      <c r="S160" s="567"/>
      <c r="T160" s="567"/>
      <c r="U160" s="567">
        <v>2024.0</v>
      </c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662">
        <v>1.0</v>
      </c>
      <c r="AG160" s="567"/>
      <c r="AH160" s="567"/>
      <c r="AI160" s="567"/>
      <c r="AJ160" s="567"/>
      <c r="AK160" s="567"/>
      <c r="AL160" s="567"/>
      <c r="AM160" s="567"/>
      <c r="AN160" s="567"/>
      <c r="AO160" s="567"/>
      <c r="AP160" s="567"/>
      <c r="AQ160" s="567"/>
      <c r="AR160" s="567">
        <v>0.0</v>
      </c>
      <c r="AS160" s="567">
        <v>0.0</v>
      </c>
      <c r="AT160" s="567">
        <v>0.0</v>
      </c>
      <c r="AU160" s="567">
        <v>0.0</v>
      </c>
      <c r="AV160" s="567">
        <v>0.0</v>
      </c>
      <c r="AW160" s="567">
        <v>0.0</v>
      </c>
      <c r="AX160" s="567">
        <v>0.0</v>
      </c>
      <c r="AY160" s="567">
        <v>0.0</v>
      </c>
      <c r="AZ160" s="567">
        <v>0.0</v>
      </c>
      <c r="BA160" s="567">
        <v>-2024.0</v>
      </c>
      <c r="BB160" s="567"/>
      <c r="BC160" s="567"/>
      <c r="BD160" s="567"/>
      <c r="BE160" s="791">
        <v>0.0</v>
      </c>
      <c r="BF160" s="567"/>
      <c r="BG160" s="567"/>
      <c r="BH160" s="567"/>
      <c r="BI160" s="567"/>
      <c r="BJ160" s="567"/>
      <c r="BK160" s="567"/>
      <c r="BL160" s="762"/>
      <c r="BM160" s="665">
        <f t="shared" si="1"/>
        <v>0</v>
      </c>
      <c r="BN160" s="671"/>
      <c r="BO160" s="668"/>
      <c r="BP160" s="849">
        <v>0.0</v>
      </c>
      <c r="BQ160" s="668"/>
      <c r="BR160" s="668"/>
      <c r="BS160" s="668"/>
      <c r="BT160" s="668"/>
      <c r="BU160" s="668"/>
      <c r="BV160" s="668"/>
      <c r="BW160" s="670"/>
      <c r="BX160" s="665">
        <f t="shared" si="2"/>
        <v>0</v>
      </c>
      <c r="BY160" s="671">
        <v>0.0</v>
      </c>
      <c r="BZ160" s="668">
        <v>0.0</v>
      </c>
      <c r="CA160" s="668">
        <v>0.0</v>
      </c>
      <c r="CB160" s="668">
        <v>0.0</v>
      </c>
      <c r="CC160" s="668">
        <v>0.0</v>
      </c>
      <c r="CD160" s="668">
        <v>0.0</v>
      </c>
      <c r="CE160" s="668">
        <v>0.0</v>
      </c>
      <c r="CF160" s="668">
        <v>0.0</v>
      </c>
      <c r="CG160" s="668">
        <v>0.0</v>
      </c>
      <c r="CH160" s="670">
        <v>0.0</v>
      </c>
      <c r="CI160" s="665">
        <f t="shared" si="3"/>
        <v>0</v>
      </c>
      <c r="CJ160" s="671">
        <f t="shared" si="4"/>
        <v>0</v>
      </c>
      <c r="CK160" s="674"/>
      <c r="CL160" s="668">
        <v>21325.7605</v>
      </c>
      <c r="CM160" s="668">
        <f t="shared" ref="CM160:CV160" si="490">BC160*$CL160</f>
        <v>0</v>
      </c>
      <c r="CN160" s="668">
        <f t="shared" si="490"/>
        <v>0</v>
      </c>
      <c r="CO160" s="668">
        <f t="shared" si="490"/>
        <v>0</v>
      </c>
      <c r="CP160" s="668">
        <f t="shared" si="490"/>
        <v>0</v>
      </c>
      <c r="CQ160" s="668">
        <f t="shared" si="490"/>
        <v>0</v>
      </c>
      <c r="CR160" s="668">
        <f t="shared" si="490"/>
        <v>0</v>
      </c>
      <c r="CS160" s="668">
        <f t="shared" si="490"/>
        <v>0</v>
      </c>
      <c r="CT160" s="668">
        <f t="shared" si="490"/>
        <v>0</v>
      </c>
      <c r="CU160" s="668">
        <f t="shared" si="490"/>
        <v>0</v>
      </c>
      <c r="CV160" s="668">
        <f t="shared" si="490"/>
        <v>0</v>
      </c>
      <c r="CW160" s="668">
        <f t="shared" si="21"/>
        <v>0</v>
      </c>
      <c r="CX160" s="668">
        <f t="shared" ref="CX160:DG160" si="491">BN160*$CL160</f>
        <v>0</v>
      </c>
      <c r="CY160" s="668">
        <f t="shared" si="491"/>
        <v>0</v>
      </c>
      <c r="CZ160" s="668">
        <f t="shared" si="491"/>
        <v>0</v>
      </c>
      <c r="DA160" s="668">
        <f t="shared" si="491"/>
        <v>0</v>
      </c>
      <c r="DB160" s="668">
        <f t="shared" si="491"/>
        <v>0</v>
      </c>
      <c r="DC160" s="668">
        <f t="shared" si="491"/>
        <v>0</v>
      </c>
      <c r="DD160" s="668">
        <f t="shared" si="491"/>
        <v>0</v>
      </c>
      <c r="DE160" s="668">
        <f t="shared" si="491"/>
        <v>0</v>
      </c>
      <c r="DF160" s="668">
        <f t="shared" si="491"/>
        <v>0</v>
      </c>
      <c r="DG160" s="668">
        <f t="shared" si="491"/>
        <v>0</v>
      </c>
      <c r="DH160" s="668">
        <f t="shared" si="23"/>
        <v>0</v>
      </c>
      <c r="DI160" s="668">
        <f t="shared" ref="DI160:DR160" si="492">BY160*$CL160</f>
        <v>0</v>
      </c>
      <c r="DJ160" s="668">
        <f t="shared" si="492"/>
        <v>0</v>
      </c>
      <c r="DK160" s="668">
        <f t="shared" si="492"/>
        <v>0</v>
      </c>
      <c r="DL160" s="668">
        <f t="shared" si="492"/>
        <v>0</v>
      </c>
      <c r="DM160" s="668">
        <f t="shared" si="492"/>
        <v>0</v>
      </c>
      <c r="DN160" s="668">
        <f t="shared" si="492"/>
        <v>0</v>
      </c>
      <c r="DO160" s="668">
        <f t="shared" si="492"/>
        <v>0</v>
      </c>
      <c r="DP160" s="668">
        <f t="shared" si="492"/>
        <v>0</v>
      </c>
      <c r="DQ160" s="668">
        <f t="shared" si="492"/>
        <v>0</v>
      </c>
      <c r="DR160" s="668">
        <f t="shared" si="492"/>
        <v>0</v>
      </c>
      <c r="DS160" s="668">
        <f t="shared" si="25"/>
        <v>0</v>
      </c>
      <c r="DT160" s="668">
        <f t="shared" si="175"/>
        <v>0</v>
      </c>
      <c r="DU160" s="498"/>
      <c r="DV160" s="861" t="s">
        <v>3302</v>
      </c>
      <c r="DW160" s="676"/>
      <c r="DX160" s="676"/>
      <c r="DY160" s="676"/>
      <c r="DZ160" s="676"/>
      <c r="EA160" s="676"/>
      <c r="EB160" s="676"/>
      <c r="EC160" s="676"/>
      <c r="ED160" s="676"/>
      <c r="EE160" s="676"/>
      <c r="EF160" s="676"/>
      <c r="EG160" s="676"/>
      <c r="EH160" s="677">
        <f t="shared" si="493"/>
        <v>0</v>
      </c>
      <c r="EI160" s="678">
        <v>1.0</v>
      </c>
      <c r="EJ160" s="699"/>
      <c r="EK160" s="699"/>
    </row>
    <row r="161" ht="12.0" customHeight="1">
      <c r="A161" s="700" t="s">
        <v>3026</v>
      </c>
      <c r="B161" s="701">
        <v>2.0</v>
      </c>
      <c r="C161" s="562" t="s">
        <v>3034</v>
      </c>
      <c r="D161" s="571" t="s">
        <v>195</v>
      </c>
      <c r="E161" s="571" t="s">
        <v>2708</v>
      </c>
      <c r="F161" s="562" t="s">
        <v>1763</v>
      </c>
      <c r="G161" s="569" t="s">
        <v>2709</v>
      </c>
      <c r="H161" s="569" t="s">
        <v>3303</v>
      </c>
      <c r="I161" s="703" t="s">
        <v>2326</v>
      </c>
      <c r="J161" s="704" t="s">
        <v>2327</v>
      </c>
      <c r="K161" s="562" t="s">
        <v>25</v>
      </c>
      <c r="L161" s="562">
        <v>2024.0</v>
      </c>
      <c r="M161" s="562">
        <v>2024.0</v>
      </c>
      <c r="N161" s="562">
        <v>2024.0</v>
      </c>
      <c r="O161" s="562"/>
      <c r="P161" s="562">
        <v>2024.0</v>
      </c>
      <c r="Q161" s="562">
        <v>2024.0</v>
      </c>
      <c r="R161" s="562">
        <v>2024.0</v>
      </c>
      <c r="S161" s="562">
        <v>2024.0</v>
      </c>
      <c r="T161" s="562">
        <v>2024.0</v>
      </c>
      <c r="U161" s="562">
        <v>2024.0</v>
      </c>
      <c r="V161" s="562"/>
      <c r="W161" s="562">
        <v>2.0</v>
      </c>
      <c r="X161" s="562">
        <v>2.0</v>
      </c>
      <c r="Y161" s="562">
        <v>2.0</v>
      </c>
      <c r="Z161" s="562"/>
      <c r="AA161" s="562">
        <v>3.0</v>
      </c>
      <c r="AB161" s="562">
        <v>3.0</v>
      </c>
      <c r="AC161" s="562">
        <v>2.0</v>
      </c>
      <c r="AD161" s="562">
        <v>2.0</v>
      </c>
      <c r="AE161" s="562">
        <v>2.0</v>
      </c>
      <c r="AF161" s="562">
        <v>2.0</v>
      </c>
      <c r="AG161" s="562"/>
      <c r="AH161" s="562"/>
      <c r="AI161" s="562"/>
      <c r="AJ161" s="562"/>
      <c r="AK161" s="562"/>
      <c r="AL161" s="562"/>
      <c r="AM161" s="562"/>
      <c r="AN161" s="562"/>
      <c r="AO161" s="562"/>
      <c r="AP161" s="562"/>
      <c r="AQ161" s="562"/>
      <c r="AR161" s="562">
        <v>-2024.0</v>
      </c>
      <c r="AS161" s="562">
        <v>-2024.0</v>
      </c>
      <c r="AT161" s="562">
        <v>-2024.0</v>
      </c>
      <c r="AU161" s="562">
        <v>0.0</v>
      </c>
      <c r="AV161" s="562">
        <v>-2024.0</v>
      </c>
      <c r="AW161" s="562">
        <v>-2024.0</v>
      </c>
      <c r="AX161" s="562">
        <v>-2024.0</v>
      </c>
      <c r="AY161" s="562">
        <v>-2024.0</v>
      </c>
      <c r="AZ161" s="562">
        <v>-2024.0</v>
      </c>
      <c r="BA161" s="562">
        <v>-2024.0</v>
      </c>
      <c r="BB161" s="562"/>
      <c r="BC161" s="562"/>
      <c r="BD161" s="562"/>
      <c r="BE161" s="562"/>
      <c r="BF161" s="562"/>
      <c r="BG161" s="562"/>
      <c r="BH161" s="562"/>
      <c r="BI161" s="562">
        <v>10.0</v>
      </c>
      <c r="BJ161" s="562">
        <v>6.0</v>
      </c>
      <c r="BK161" s="562">
        <v>2.0</v>
      </c>
      <c r="BL161" s="719">
        <v>10.0</v>
      </c>
      <c r="BM161" s="665">
        <f t="shared" si="1"/>
        <v>28</v>
      </c>
      <c r="BN161" s="683">
        <v>68.0</v>
      </c>
      <c r="BO161" s="683">
        <v>20.0</v>
      </c>
      <c r="BP161" s="683">
        <v>78.0</v>
      </c>
      <c r="BQ161" s="836">
        <v>50.0</v>
      </c>
      <c r="BR161" s="836">
        <v>20.0</v>
      </c>
      <c r="BS161" s="488"/>
      <c r="BT161" s="744">
        <v>10.0</v>
      </c>
      <c r="BU161" s="488"/>
      <c r="BV161" s="744">
        <v>2.0</v>
      </c>
      <c r="BW161" s="837"/>
      <c r="BX161" s="665">
        <f t="shared" si="2"/>
        <v>248</v>
      </c>
      <c r="BY161" s="682"/>
      <c r="BZ161" s="683"/>
      <c r="CA161" s="683"/>
      <c r="CB161" s="683">
        <v>0.0</v>
      </c>
      <c r="CC161" s="683">
        <v>0.0</v>
      </c>
      <c r="CD161" s="683">
        <v>0.0</v>
      </c>
      <c r="CE161" s="730">
        <v>0.0</v>
      </c>
      <c r="CF161" s="683">
        <v>6.0</v>
      </c>
      <c r="CG161" s="730">
        <v>0.0</v>
      </c>
      <c r="CH161" s="726">
        <v>10.0</v>
      </c>
      <c r="CI161" s="665">
        <f t="shared" si="3"/>
        <v>16</v>
      </c>
      <c r="CJ161" s="682">
        <f t="shared" si="4"/>
        <v>292</v>
      </c>
      <c r="CK161" s="706">
        <v>106.68</v>
      </c>
      <c r="CL161" s="683">
        <f t="shared" ref="CL161:CL163" si="497">CK161*$CL$1</f>
        <v>742.4928</v>
      </c>
      <c r="CM161" s="683">
        <f t="shared" ref="CM161:CV161" si="494">BC161*$CL161</f>
        <v>0</v>
      </c>
      <c r="CN161" s="683">
        <f t="shared" si="494"/>
        <v>0</v>
      </c>
      <c r="CO161" s="683">
        <f t="shared" si="494"/>
        <v>0</v>
      </c>
      <c r="CP161" s="683">
        <f t="shared" si="494"/>
        <v>0</v>
      </c>
      <c r="CQ161" s="683">
        <f t="shared" si="494"/>
        <v>0</v>
      </c>
      <c r="CR161" s="683">
        <f t="shared" si="494"/>
        <v>0</v>
      </c>
      <c r="CS161" s="683">
        <f t="shared" si="494"/>
        <v>7424.928</v>
      </c>
      <c r="CT161" s="683">
        <f t="shared" si="494"/>
        <v>4454.9568</v>
      </c>
      <c r="CU161" s="683">
        <f t="shared" si="494"/>
        <v>1484.9856</v>
      </c>
      <c r="CV161" s="683">
        <f t="shared" si="494"/>
        <v>7424.928</v>
      </c>
      <c r="CW161" s="683">
        <f t="shared" si="21"/>
        <v>20789.7984</v>
      </c>
      <c r="CX161" s="683">
        <f t="shared" ref="CX161:DG161" si="495">BN161*$CL161</f>
        <v>50489.5104</v>
      </c>
      <c r="CY161" s="683">
        <f t="shared" si="495"/>
        <v>14849.856</v>
      </c>
      <c r="CZ161" s="683">
        <f t="shared" si="495"/>
        <v>57914.4384</v>
      </c>
      <c r="DA161" s="683">
        <f t="shared" si="495"/>
        <v>37124.64</v>
      </c>
      <c r="DB161" s="683">
        <f t="shared" si="495"/>
        <v>14849.856</v>
      </c>
      <c r="DC161" s="683">
        <f t="shared" si="495"/>
        <v>0</v>
      </c>
      <c r="DD161" s="683">
        <f t="shared" si="495"/>
        <v>7424.928</v>
      </c>
      <c r="DE161" s="683">
        <f t="shared" si="495"/>
        <v>0</v>
      </c>
      <c r="DF161" s="683">
        <f t="shared" si="495"/>
        <v>1484.9856</v>
      </c>
      <c r="DG161" s="683">
        <f t="shared" si="495"/>
        <v>0</v>
      </c>
      <c r="DH161" s="683">
        <f t="shared" si="23"/>
        <v>184138.2144</v>
      </c>
      <c r="DI161" s="683">
        <f t="shared" ref="DI161:DR161" si="496">BY161*$CL161</f>
        <v>0</v>
      </c>
      <c r="DJ161" s="683">
        <f t="shared" si="496"/>
        <v>0</v>
      </c>
      <c r="DK161" s="683">
        <f t="shared" si="496"/>
        <v>0</v>
      </c>
      <c r="DL161" s="683">
        <f t="shared" si="496"/>
        <v>0</v>
      </c>
      <c r="DM161" s="683">
        <f t="shared" si="496"/>
        <v>0</v>
      </c>
      <c r="DN161" s="683">
        <f t="shared" si="496"/>
        <v>0</v>
      </c>
      <c r="DO161" s="683">
        <f t="shared" si="496"/>
        <v>0</v>
      </c>
      <c r="DP161" s="683">
        <f t="shared" si="496"/>
        <v>4454.9568</v>
      </c>
      <c r="DQ161" s="683">
        <f t="shared" si="496"/>
        <v>0</v>
      </c>
      <c r="DR161" s="683">
        <f t="shared" si="496"/>
        <v>7424.928</v>
      </c>
      <c r="DS161" s="683">
        <f t="shared" si="25"/>
        <v>11879.8848</v>
      </c>
      <c r="DT161" s="683">
        <f t="shared" si="175"/>
        <v>216807.8976</v>
      </c>
      <c r="DU161" s="508"/>
      <c r="DV161" s="861" t="s">
        <v>3304</v>
      </c>
      <c r="DW161" s="688"/>
      <c r="DX161" s="688"/>
      <c r="DY161" s="688"/>
      <c r="DZ161" s="688"/>
      <c r="EA161" s="688"/>
      <c r="EB161" s="688"/>
      <c r="EC161" s="688"/>
      <c r="ED161" s="688"/>
      <c r="EE161" s="688"/>
      <c r="EF161" s="688"/>
      <c r="EG161" s="688"/>
      <c r="EH161" s="707" t="s">
        <v>3305</v>
      </c>
      <c r="EI161" s="708">
        <f>VLOOKUP(I161,CotizacionTDB,4,FALSE())</f>
        <v>106.68</v>
      </c>
      <c r="EJ161" s="708">
        <f>VLOOKUP(I161,CotizacionTDB,5,FALSE())</f>
        <v>90.68</v>
      </c>
      <c r="EK161" s="691"/>
    </row>
    <row r="162" ht="12.0" customHeight="1">
      <c r="A162" s="709" t="s">
        <v>3026</v>
      </c>
      <c r="B162" s="661">
        <v>2.0</v>
      </c>
      <c r="C162" s="567" t="s">
        <v>3034</v>
      </c>
      <c r="D162" s="568" t="s">
        <v>195</v>
      </c>
      <c r="E162" s="568" t="s">
        <v>2708</v>
      </c>
      <c r="F162" s="567" t="s">
        <v>1763</v>
      </c>
      <c r="G162" s="569" t="s">
        <v>2709</v>
      </c>
      <c r="H162" s="658"/>
      <c r="I162" s="710" t="s">
        <v>2298</v>
      </c>
      <c r="J162" s="711" t="s">
        <v>994</v>
      </c>
      <c r="K162" s="567" t="s">
        <v>25</v>
      </c>
      <c r="L162" s="567"/>
      <c r="M162" s="567"/>
      <c r="N162" s="567"/>
      <c r="O162" s="567"/>
      <c r="P162" s="567"/>
      <c r="Q162" s="567"/>
      <c r="R162" s="567"/>
      <c r="S162" s="567"/>
      <c r="T162" s="567"/>
      <c r="U162" s="567">
        <v>2024.0</v>
      </c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662">
        <v>1.0</v>
      </c>
      <c r="AG162" s="567"/>
      <c r="AH162" s="567"/>
      <c r="AI162" s="567"/>
      <c r="AJ162" s="567"/>
      <c r="AK162" s="567"/>
      <c r="AL162" s="567"/>
      <c r="AM162" s="567"/>
      <c r="AN162" s="567"/>
      <c r="AO162" s="567"/>
      <c r="AP162" s="567"/>
      <c r="AQ162" s="567"/>
      <c r="AR162" s="567">
        <v>0.0</v>
      </c>
      <c r="AS162" s="567">
        <v>0.0</v>
      </c>
      <c r="AT162" s="567">
        <v>0.0</v>
      </c>
      <c r="AU162" s="567">
        <v>0.0</v>
      </c>
      <c r="AV162" s="567">
        <v>0.0</v>
      </c>
      <c r="AW162" s="567">
        <v>0.0</v>
      </c>
      <c r="AX162" s="567">
        <v>0.0</v>
      </c>
      <c r="AY162" s="567">
        <v>0.0</v>
      </c>
      <c r="AZ162" s="567">
        <v>0.0</v>
      </c>
      <c r="BA162" s="567">
        <v>-2024.0</v>
      </c>
      <c r="BB162" s="567"/>
      <c r="BC162" s="567"/>
      <c r="BD162" s="567"/>
      <c r="BE162" s="567"/>
      <c r="BF162" s="567"/>
      <c r="BG162" s="567"/>
      <c r="BH162" s="567"/>
      <c r="BI162" s="567"/>
      <c r="BJ162" s="567"/>
      <c r="BK162" s="567"/>
      <c r="BL162" s="725">
        <v>1.0</v>
      </c>
      <c r="BM162" s="665">
        <f t="shared" si="1"/>
        <v>1</v>
      </c>
      <c r="BN162" s="674"/>
      <c r="BO162" s="668"/>
      <c r="BP162" s="668"/>
      <c r="BQ162" s="668"/>
      <c r="BR162" s="668"/>
      <c r="BS162" s="668"/>
      <c r="BT162" s="668"/>
      <c r="BU162" s="668"/>
      <c r="BV162" s="668"/>
      <c r="BW162" s="670"/>
      <c r="BX162" s="665">
        <f t="shared" si="2"/>
        <v>0</v>
      </c>
      <c r="BY162" s="671">
        <v>0.0</v>
      </c>
      <c r="BZ162" s="668">
        <v>0.0</v>
      </c>
      <c r="CA162" s="668">
        <v>0.0</v>
      </c>
      <c r="CB162" s="668">
        <v>0.0</v>
      </c>
      <c r="CC162" s="668">
        <v>0.0</v>
      </c>
      <c r="CD162" s="668">
        <v>0.0</v>
      </c>
      <c r="CE162" s="668">
        <v>0.0</v>
      </c>
      <c r="CF162" s="668">
        <v>0.0</v>
      </c>
      <c r="CG162" s="668">
        <v>0.0</v>
      </c>
      <c r="CH162" s="670">
        <v>0.0</v>
      </c>
      <c r="CI162" s="665">
        <f t="shared" si="3"/>
        <v>0</v>
      </c>
      <c r="CJ162" s="671">
        <f t="shared" si="4"/>
        <v>1</v>
      </c>
      <c r="CK162" s="715">
        <v>1604.45</v>
      </c>
      <c r="CL162" s="668">
        <f t="shared" si="497"/>
        <v>11166.972</v>
      </c>
      <c r="CM162" s="668">
        <f t="shared" ref="CM162:CV162" si="498">BC162*$CL162</f>
        <v>0</v>
      </c>
      <c r="CN162" s="668">
        <f t="shared" si="498"/>
        <v>0</v>
      </c>
      <c r="CO162" s="668">
        <f t="shared" si="498"/>
        <v>0</v>
      </c>
      <c r="CP162" s="668">
        <f t="shared" si="498"/>
        <v>0</v>
      </c>
      <c r="CQ162" s="668">
        <f t="shared" si="498"/>
        <v>0</v>
      </c>
      <c r="CR162" s="668">
        <f t="shared" si="498"/>
        <v>0</v>
      </c>
      <c r="CS162" s="668">
        <f t="shared" si="498"/>
        <v>0</v>
      </c>
      <c r="CT162" s="668">
        <f t="shared" si="498"/>
        <v>0</v>
      </c>
      <c r="CU162" s="668">
        <f t="shared" si="498"/>
        <v>0</v>
      </c>
      <c r="CV162" s="668">
        <f t="shared" si="498"/>
        <v>11166.972</v>
      </c>
      <c r="CW162" s="668">
        <f t="shared" si="21"/>
        <v>11166.972</v>
      </c>
      <c r="CX162" s="668">
        <f t="shared" ref="CX162:DG162" si="499">BN162*$CL162</f>
        <v>0</v>
      </c>
      <c r="CY162" s="668">
        <f t="shared" si="499"/>
        <v>0</v>
      </c>
      <c r="CZ162" s="668">
        <f t="shared" si="499"/>
        <v>0</v>
      </c>
      <c r="DA162" s="668">
        <f t="shared" si="499"/>
        <v>0</v>
      </c>
      <c r="DB162" s="668">
        <f t="shared" si="499"/>
        <v>0</v>
      </c>
      <c r="DC162" s="668">
        <f t="shared" si="499"/>
        <v>0</v>
      </c>
      <c r="DD162" s="668">
        <f t="shared" si="499"/>
        <v>0</v>
      </c>
      <c r="DE162" s="668">
        <f t="shared" si="499"/>
        <v>0</v>
      </c>
      <c r="DF162" s="668">
        <f t="shared" si="499"/>
        <v>0</v>
      </c>
      <c r="DG162" s="668">
        <f t="shared" si="499"/>
        <v>0</v>
      </c>
      <c r="DH162" s="668">
        <f t="shared" si="23"/>
        <v>0</v>
      </c>
      <c r="DI162" s="668">
        <f t="shared" ref="DI162:DR162" si="500">BY162*$CL162</f>
        <v>0</v>
      </c>
      <c r="DJ162" s="668">
        <f t="shared" si="500"/>
        <v>0</v>
      </c>
      <c r="DK162" s="668">
        <f t="shared" si="500"/>
        <v>0</v>
      </c>
      <c r="DL162" s="668">
        <f t="shared" si="500"/>
        <v>0</v>
      </c>
      <c r="DM162" s="668">
        <f t="shared" si="500"/>
        <v>0</v>
      </c>
      <c r="DN162" s="668">
        <f t="shared" si="500"/>
        <v>0</v>
      </c>
      <c r="DO162" s="668">
        <f t="shared" si="500"/>
        <v>0</v>
      </c>
      <c r="DP162" s="668">
        <f t="shared" si="500"/>
        <v>0</v>
      </c>
      <c r="DQ162" s="668">
        <f t="shared" si="500"/>
        <v>0</v>
      </c>
      <c r="DR162" s="668">
        <f t="shared" si="500"/>
        <v>0</v>
      </c>
      <c r="DS162" s="668">
        <f t="shared" si="25"/>
        <v>0</v>
      </c>
      <c r="DT162" s="668">
        <f t="shared" si="175"/>
        <v>11166.972</v>
      </c>
      <c r="DU162" s="538"/>
      <c r="DV162" s="468"/>
      <c r="DW162" s="698"/>
      <c r="DX162" s="698"/>
      <c r="DY162" s="698"/>
      <c r="DZ162" s="698"/>
      <c r="EA162" s="698"/>
      <c r="EB162" s="698"/>
      <c r="EC162" s="698"/>
      <c r="ED162" s="698"/>
      <c r="EE162" s="698"/>
      <c r="EF162" s="698"/>
      <c r="EG162" s="698"/>
      <c r="EH162" s="576" t="s">
        <v>3306</v>
      </c>
      <c r="EI162" s="716">
        <f>VLOOKUP(I162,CotizacionTDB,4,FALSE())</f>
        <v>1604.45</v>
      </c>
      <c r="EJ162" s="716">
        <f>VLOOKUP(I162,CotizacionTDB,5,FALSE())</f>
        <v>1363.78</v>
      </c>
      <c r="EK162" s="699"/>
    </row>
    <row r="163" ht="12.0" customHeight="1">
      <c r="A163" s="700" t="s">
        <v>3026</v>
      </c>
      <c r="B163" s="701">
        <v>2.0</v>
      </c>
      <c r="C163" s="562" t="s">
        <v>3034</v>
      </c>
      <c r="D163" s="571" t="s">
        <v>195</v>
      </c>
      <c r="E163" s="571" t="s">
        <v>3282</v>
      </c>
      <c r="F163" s="562" t="s">
        <v>1763</v>
      </c>
      <c r="G163" s="702" t="s">
        <v>2709</v>
      </c>
      <c r="H163" s="737"/>
      <c r="I163" s="703" t="s">
        <v>2312</v>
      </c>
      <c r="J163" s="704" t="s">
        <v>637</v>
      </c>
      <c r="K163" s="562" t="s">
        <v>25</v>
      </c>
      <c r="L163" s="562">
        <v>2024.0</v>
      </c>
      <c r="M163" s="562">
        <v>2024.0</v>
      </c>
      <c r="N163" s="562">
        <v>2024.0</v>
      </c>
      <c r="O163" s="562">
        <v>2024.0</v>
      </c>
      <c r="P163" s="562">
        <v>2024.0</v>
      </c>
      <c r="Q163" s="562">
        <v>2024.0</v>
      </c>
      <c r="R163" s="562"/>
      <c r="S163" s="562"/>
      <c r="T163" s="562"/>
      <c r="U163" s="562"/>
      <c r="V163" s="562"/>
      <c r="W163" s="562">
        <v>7.0</v>
      </c>
      <c r="X163" s="562">
        <v>7.0</v>
      </c>
      <c r="Y163" s="562">
        <v>7.0</v>
      </c>
      <c r="Z163" s="562">
        <v>7.0</v>
      </c>
      <c r="AA163" s="562">
        <v>7.0</v>
      </c>
      <c r="AB163" s="562">
        <v>7.0</v>
      </c>
      <c r="AC163" s="562"/>
      <c r="AD163" s="562"/>
      <c r="AE163" s="562"/>
      <c r="AF163" s="562"/>
      <c r="AG163" s="562"/>
      <c r="AH163" s="562"/>
      <c r="AI163" s="562"/>
      <c r="AJ163" s="562"/>
      <c r="AK163" s="562"/>
      <c r="AL163" s="562"/>
      <c r="AM163" s="562"/>
      <c r="AN163" s="562"/>
      <c r="AO163" s="562"/>
      <c r="AP163" s="562"/>
      <c r="AQ163" s="562"/>
      <c r="AR163" s="562">
        <v>-2024.0</v>
      </c>
      <c r="AS163" s="562">
        <v>-2024.0</v>
      </c>
      <c r="AT163" s="562">
        <v>-2024.0</v>
      </c>
      <c r="AU163" s="562">
        <v>-2024.0</v>
      </c>
      <c r="AV163" s="562">
        <v>-2024.0</v>
      </c>
      <c r="AW163" s="562">
        <v>-2024.0</v>
      </c>
      <c r="AX163" s="562">
        <v>0.0</v>
      </c>
      <c r="AY163" s="562">
        <v>0.0</v>
      </c>
      <c r="AZ163" s="562">
        <v>0.0</v>
      </c>
      <c r="BA163" s="562">
        <v>0.0</v>
      </c>
      <c r="BB163" s="562"/>
      <c r="BC163" s="562">
        <v>10.0</v>
      </c>
      <c r="BD163" s="562">
        <v>2.0</v>
      </c>
      <c r="BE163" s="562">
        <v>100.0</v>
      </c>
      <c r="BF163" s="562"/>
      <c r="BG163" s="562"/>
      <c r="BH163" s="562"/>
      <c r="BI163" s="701">
        <v>6.0</v>
      </c>
      <c r="BJ163" s="562"/>
      <c r="BK163" s="701">
        <v>2.0</v>
      </c>
      <c r="BL163" s="681"/>
      <c r="BM163" s="665">
        <f t="shared" si="1"/>
        <v>120</v>
      </c>
      <c r="BN163" s="682"/>
      <c r="BO163" s="683"/>
      <c r="BP163" s="683"/>
      <c r="BQ163" s="687">
        <v>110.0</v>
      </c>
      <c r="BR163" s="687">
        <v>30.0</v>
      </c>
      <c r="BS163" s="687">
        <v>10.0</v>
      </c>
      <c r="BT163" s="683"/>
      <c r="BU163" s="683"/>
      <c r="BV163" s="683"/>
      <c r="BW163" s="686"/>
      <c r="BX163" s="665">
        <f t="shared" si="2"/>
        <v>150</v>
      </c>
      <c r="BY163" s="682">
        <v>0.0</v>
      </c>
      <c r="BZ163" s="683">
        <v>0.0</v>
      </c>
      <c r="CA163" s="683">
        <v>0.0</v>
      </c>
      <c r="CB163" s="683">
        <v>0.0</v>
      </c>
      <c r="CC163" s="683">
        <v>0.0</v>
      </c>
      <c r="CD163" s="683">
        <v>0.0</v>
      </c>
      <c r="CE163" s="683">
        <v>0.0</v>
      </c>
      <c r="CF163" s="683">
        <v>0.0</v>
      </c>
      <c r="CG163" s="683">
        <v>0.0</v>
      </c>
      <c r="CH163" s="686">
        <v>0.0</v>
      </c>
      <c r="CI163" s="665">
        <f t="shared" si="3"/>
        <v>0</v>
      </c>
      <c r="CJ163" s="682">
        <f t="shared" si="4"/>
        <v>270</v>
      </c>
      <c r="CK163" s="706">
        <v>11.57</v>
      </c>
      <c r="CL163" s="683">
        <f t="shared" si="497"/>
        <v>80.5272</v>
      </c>
      <c r="CM163" s="683">
        <f t="shared" ref="CM163:CV163" si="501">BC163*$CL163</f>
        <v>805.272</v>
      </c>
      <c r="CN163" s="683">
        <f t="shared" si="501"/>
        <v>161.0544</v>
      </c>
      <c r="CO163" s="683">
        <f t="shared" si="501"/>
        <v>8052.72</v>
      </c>
      <c r="CP163" s="683">
        <f t="shared" si="501"/>
        <v>0</v>
      </c>
      <c r="CQ163" s="683">
        <f t="shared" si="501"/>
        <v>0</v>
      </c>
      <c r="CR163" s="683">
        <f t="shared" si="501"/>
        <v>0</v>
      </c>
      <c r="CS163" s="683">
        <f t="shared" si="501"/>
        <v>483.1632</v>
      </c>
      <c r="CT163" s="683">
        <f t="shared" si="501"/>
        <v>0</v>
      </c>
      <c r="CU163" s="683">
        <f t="shared" si="501"/>
        <v>161.0544</v>
      </c>
      <c r="CV163" s="683">
        <f t="shared" si="501"/>
        <v>0</v>
      </c>
      <c r="CW163" s="683">
        <f t="shared" si="21"/>
        <v>9663.264</v>
      </c>
      <c r="CX163" s="683">
        <f t="shared" ref="CX163:DG163" si="502">BN163*$CL163</f>
        <v>0</v>
      </c>
      <c r="CY163" s="683">
        <f t="shared" si="502"/>
        <v>0</v>
      </c>
      <c r="CZ163" s="683">
        <f t="shared" si="502"/>
        <v>0</v>
      </c>
      <c r="DA163" s="683">
        <f t="shared" si="502"/>
        <v>8857.992</v>
      </c>
      <c r="DB163" s="683">
        <f t="shared" si="502"/>
        <v>2415.816</v>
      </c>
      <c r="DC163" s="683">
        <f t="shared" si="502"/>
        <v>805.272</v>
      </c>
      <c r="DD163" s="683">
        <f t="shared" si="502"/>
        <v>0</v>
      </c>
      <c r="DE163" s="683">
        <f t="shared" si="502"/>
        <v>0</v>
      </c>
      <c r="DF163" s="683">
        <f t="shared" si="502"/>
        <v>0</v>
      </c>
      <c r="DG163" s="683">
        <f t="shared" si="502"/>
        <v>0</v>
      </c>
      <c r="DH163" s="683">
        <f t="shared" si="23"/>
        <v>12079.08</v>
      </c>
      <c r="DI163" s="683">
        <f t="shared" ref="DI163:DR163" si="503">BY163*$CL163</f>
        <v>0</v>
      </c>
      <c r="DJ163" s="683">
        <f t="shared" si="503"/>
        <v>0</v>
      </c>
      <c r="DK163" s="683">
        <f t="shared" si="503"/>
        <v>0</v>
      </c>
      <c r="DL163" s="683">
        <f t="shared" si="503"/>
        <v>0</v>
      </c>
      <c r="DM163" s="683">
        <f t="shared" si="503"/>
        <v>0</v>
      </c>
      <c r="DN163" s="683">
        <f t="shared" si="503"/>
        <v>0</v>
      </c>
      <c r="DO163" s="683">
        <f t="shared" si="503"/>
        <v>0</v>
      </c>
      <c r="DP163" s="683">
        <f t="shared" si="503"/>
        <v>0</v>
      </c>
      <c r="DQ163" s="683">
        <f t="shared" si="503"/>
        <v>0</v>
      </c>
      <c r="DR163" s="683">
        <f t="shared" si="503"/>
        <v>0</v>
      </c>
      <c r="DS163" s="683">
        <f t="shared" si="25"/>
        <v>0</v>
      </c>
      <c r="DT163" s="683">
        <f t="shared" si="175"/>
        <v>21742.344</v>
      </c>
      <c r="DU163" s="504"/>
      <c r="DV163" s="486" t="s">
        <v>3307</v>
      </c>
      <c r="DW163" s="688"/>
      <c r="DX163" s="688"/>
      <c r="DY163" s="688"/>
      <c r="DZ163" s="688"/>
      <c r="EA163" s="688"/>
      <c r="EB163" s="688"/>
      <c r="EC163" s="688"/>
      <c r="ED163" s="688"/>
      <c r="EE163" s="688"/>
      <c r="EF163" s="688"/>
      <c r="EG163" s="688"/>
      <c r="EH163" s="707" t="s">
        <v>3308</v>
      </c>
      <c r="EI163" s="708">
        <f>VLOOKUP(I163,CotizacionTDB,4,FALSE())</f>
        <v>11.57</v>
      </c>
      <c r="EJ163" s="708">
        <f>VLOOKUP(I163,CotizacionTDB,5,FALSE())</f>
        <v>9.83</v>
      </c>
      <c r="EK163" s="691"/>
    </row>
    <row r="164" ht="12.0" customHeight="1">
      <c r="A164" s="709" t="s">
        <v>3026</v>
      </c>
      <c r="B164" s="567"/>
      <c r="C164" s="567" t="s">
        <v>3034</v>
      </c>
      <c r="D164" s="567" t="s">
        <v>195</v>
      </c>
      <c r="E164" s="567" t="s">
        <v>3282</v>
      </c>
      <c r="F164" s="661" t="s">
        <v>1774</v>
      </c>
      <c r="G164" s="692" t="s">
        <v>2709</v>
      </c>
      <c r="H164" s="710" t="s">
        <v>3309</v>
      </c>
      <c r="I164" s="567"/>
      <c r="J164" s="568" t="s">
        <v>3310</v>
      </c>
      <c r="K164" s="567" t="s">
        <v>25</v>
      </c>
      <c r="L164" s="567">
        <v>2024.0</v>
      </c>
      <c r="M164" s="567">
        <v>2024.0</v>
      </c>
      <c r="N164" s="567">
        <v>2024.0</v>
      </c>
      <c r="O164" s="567">
        <v>2024.0</v>
      </c>
      <c r="P164" s="567">
        <v>2024.0</v>
      </c>
      <c r="Q164" s="567">
        <v>2024.0</v>
      </c>
      <c r="R164" s="567"/>
      <c r="S164" s="567"/>
      <c r="T164" s="567"/>
      <c r="U164" s="567"/>
      <c r="V164" s="567"/>
      <c r="W164" s="567">
        <v>3.0</v>
      </c>
      <c r="X164" s="567">
        <v>3.0</v>
      </c>
      <c r="Y164" s="567">
        <v>3.0</v>
      </c>
      <c r="Z164" s="567">
        <v>3.0</v>
      </c>
      <c r="AA164" s="567">
        <v>3.0</v>
      </c>
      <c r="AB164" s="567">
        <v>3.0</v>
      </c>
      <c r="AC164" s="567"/>
      <c r="AD164" s="567"/>
      <c r="AE164" s="567"/>
      <c r="AF164" s="567"/>
      <c r="AG164" s="567"/>
      <c r="AH164" s="567"/>
      <c r="AI164" s="567"/>
      <c r="AJ164" s="567"/>
      <c r="AK164" s="567"/>
      <c r="AL164" s="567"/>
      <c r="AM164" s="567"/>
      <c r="AN164" s="567"/>
      <c r="AO164" s="567"/>
      <c r="AP164" s="567"/>
      <c r="AQ164" s="567"/>
      <c r="AR164" s="567">
        <v>-2024.0</v>
      </c>
      <c r="AS164" s="567">
        <v>-2024.0</v>
      </c>
      <c r="AT164" s="567">
        <v>-2024.0</v>
      </c>
      <c r="AU164" s="567">
        <v>-2024.0</v>
      </c>
      <c r="AV164" s="567">
        <v>-2024.0</v>
      </c>
      <c r="AW164" s="567">
        <v>-2024.0</v>
      </c>
      <c r="AX164" s="567">
        <v>0.0</v>
      </c>
      <c r="AY164" s="567">
        <v>0.0</v>
      </c>
      <c r="AZ164" s="567">
        <v>0.0</v>
      </c>
      <c r="BA164" s="567">
        <v>0.0</v>
      </c>
      <c r="BB164" s="567"/>
      <c r="BC164" s="567">
        <v>50.0</v>
      </c>
      <c r="BD164" s="567">
        <v>20.0</v>
      </c>
      <c r="BE164" s="567">
        <v>40.0</v>
      </c>
      <c r="BF164" s="567">
        <v>110.0</v>
      </c>
      <c r="BG164" s="567">
        <v>126.0</v>
      </c>
      <c r="BH164" s="567">
        <v>208.0</v>
      </c>
      <c r="BI164" s="567"/>
      <c r="BJ164" s="567"/>
      <c r="BK164" s="567"/>
      <c r="BL164" s="725"/>
      <c r="BM164" s="665">
        <f t="shared" si="1"/>
        <v>554</v>
      </c>
      <c r="BN164" s="671"/>
      <c r="BO164" s="668"/>
      <c r="BP164" s="668"/>
      <c r="BQ164" s="668"/>
      <c r="BR164" s="668"/>
      <c r="BS164" s="668"/>
      <c r="BT164" s="668"/>
      <c r="BU164" s="674">
        <v>20.0</v>
      </c>
      <c r="BV164" s="668"/>
      <c r="BW164" s="670"/>
      <c r="BX164" s="665">
        <f t="shared" si="2"/>
        <v>20</v>
      </c>
      <c r="BY164" s="671">
        <v>0.0</v>
      </c>
      <c r="BZ164" s="668">
        <v>0.0</v>
      </c>
      <c r="CA164" s="668">
        <v>0.0</v>
      </c>
      <c r="CB164" s="668">
        <v>0.0</v>
      </c>
      <c r="CC164" s="668">
        <v>0.0</v>
      </c>
      <c r="CD164" s="668">
        <v>0.0</v>
      </c>
      <c r="CE164" s="668">
        <v>0.0</v>
      </c>
      <c r="CF164" s="668">
        <v>0.0</v>
      </c>
      <c r="CG164" s="668">
        <v>0.0</v>
      </c>
      <c r="CH164" s="670">
        <v>0.0</v>
      </c>
      <c r="CI164" s="665">
        <f t="shared" si="3"/>
        <v>0</v>
      </c>
      <c r="CJ164" s="671">
        <f t="shared" si="4"/>
        <v>574</v>
      </c>
      <c r="CK164" s="674"/>
      <c r="CL164" s="798">
        <v>10.6</v>
      </c>
      <c r="CM164" s="668">
        <f t="shared" ref="CM164:CV164" si="504">BC164*$CL164</f>
        <v>530</v>
      </c>
      <c r="CN164" s="668">
        <f t="shared" si="504"/>
        <v>212</v>
      </c>
      <c r="CO164" s="668">
        <f t="shared" si="504"/>
        <v>424</v>
      </c>
      <c r="CP164" s="668">
        <f t="shared" si="504"/>
        <v>1166</v>
      </c>
      <c r="CQ164" s="668">
        <f t="shared" si="504"/>
        <v>1335.6</v>
      </c>
      <c r="CR164" s="668">
        <f t="shared" si="504"/>
        <v>2204.8</v>
      </c>
      <c r="CS164" s="668">
        <f t="shared" si="504"/>
        <v>0</v>
      </c>
      <c r="CT164" s="668">
        <f t="shared" si="504"/>
        <v>0</v>
      </c>
      <c r="CU164" s="668">
        <f t="shared" si="504"/>
        <v>0</v>
      </c>
      <c r="CV164" s="668">
        <f t="shared" si="504"/>
        <v>0</v>
      </c>
      <c r="CW164" s="668">
        <f t="shared" si="21"/>
        <v>5872.4</v>
      </c>
      <c r="CX164" s="668">
        <f t="shared" ref="CX164:DG164" si="505">BN164*$CL164</f>
        <v>0</v>
      </c>
      <c r="CY164" s="668">
        <f t="shared" si="505"/>
        <v>0</v>
      </c>
      <c r="CZ164" s="668">
        <f t="shared" si="505"/>
        <v>0</v>
      </c>
      <c r="DA164" s="668">
        <f t="shared" si="505"/>
        <v>0</v>
      </c>
      <c r="DB164" s="668">
        <f t="shared" si="505"/>
        <v>0</v>
      </c>
      <c r="DC164" s="668">
        <f t="shared" si="505"/>
        <v>0</v>
      </c>
      <c r="DD164" s="668">
        <f t="shared" si="505"/>
        <v>0</v>
      </c>
      <c r="DE164" s="668">
        <f t="shared" si="505"/>
        <v>212</v>
      </c>
      <c r="DF164" s="668">
        <f t="shared" si="505"/>
        <v>0</v>
      </c>
      <c r="DG164" s="668">
        <f t="shared" si="505"/>
        <v>0</v>
      </c>
      <c r="DH164" s="668">
        <f t="shared" si="23"/>
        <v>212</v>
      </c>
      <c r="DI164" s="668">
        <f t="shared" ref="DI164:DR164" si="506">BY164*$CL164</f>
        <v>0</v>
      </c>
      <c r="DJ164" s="668">
        <f t="shared" si="506"/>
        <v>0</v>
      </c>
      <c r="DK164" s="668">
        <f t="shared" si="506"/>
        <v>0</v>
      </c>
      <c r="DL164" s="668">
        <f t="shared" si="506"/>
        <v>0</v>
      </c>
      <c r="DM164" s="668">
        <f t="shared" si="506"/>
        <v>0</v>
      </c>
      <c r="DN164" s="668">
        <f t="shared" si="506"/>
        <v>0</v>
      </c>
      <c r="DO164" s="668">
        <f t="shared" si="506"/>
        <v>0</v>
      </c>
      <c r="DP164" s="668">
        <f t="shared" si="506"/>
        <v>0</v>
      </c>
      <c r="DQ164" s="668">
        <f t="shared" si="506"/>
        <v>0</v>
      </c>
      <c r="DR164" s="668">
        <f t="shared" si="506"/>
        <v>0</v>
      </c>
      <c r="DS164" s="668">
        <f t="shared" si="25"/>
        <v>0</v>
      </c>
      <c r="DT164" s="668">
        <f t="shared" si="175"/>
        <v>6084.4</v>
      </c>
      <c r="DU164" s="792"/>
      <c r="DV164" s="675" t="s">
        <v>3311</v>
      </c>
      <c r="DW164" s="676"/>
      <c r="DX164" s="676"/>
      <c r="DY164" s="676"/>
      <c r="DZ164" s="676"/>
      <c r="EA164" s="676"/>
      <c r="EB164" s="676"/>
      <c r="EC164" s="676"/>
      <c r="ED164" s="676"/>
      <c r="EE164" s="676"/>
      <c r="EF164" s="676"/>
      <c r="EG164" s="676"/>
      <c r="EH164" s="677">
        <f>CK164*6.97</f>
        <v>0</v>
      </c>
      <c r="EI164" s="678">
        <v>1.0</v>
      </c>
      <c r="EJ164" s="699"/>
      <c r="EK164" s="699"/>
    </row>
    <row r="165" ht="12.0" customHeight="1">
      <c r="A165" s="700" t="s">
        <v>3026</v>
      </c>
      <c r="B165" s="701">
        <v>2.0</v>
      </c>
      <c r="C165" s="562" t="s">
        <v>3034</v>
      </c>
      <c r="D165" s="571" t="s">
        <v>195</v>
      </c>
      <c r="E165" s="571" t="s">
        <v>3282</v>
      </c>
      <c r="F165" s="562" t="s">
        <v>1763</v>
      </c>
      <c r="G165" s="569" t="s">
        <v>2709</v>
      </c>
      <c r="H165" s="569" t="s">
        <v>2918</v>
      </c>
      <c r="I165" s="717" t="s">
        <v>2212</v>
      </c>
      <c r="J165" s="704" t="s">
        <v>1160</v>
      </c>
      <c r="K165" s="562" t="s">
        <v>25</v>
      </c>
      <c r="L165" s="562">
        <v>2024.0</v>
      </c>
      <c r="M165" s="562"/>
      <c r="N165" s="562">
        <v>2024.0</v>
      </c>
      <c r="O165" s="562"/>
      <c r="P165" s="562"/>
      <c r="Q165" s="562"/>
      <c r="R165" s="562"/>
      <c r="S165" s="562"/>
      <c r="T165" s="562"/>
      <c r="U165" s="562"/>
      <c r="V165" s="562"/>
      <c r="W165" s="562">
        <v>7.0</v>
      </c>
      <c r="X165" s="562"/>
      <c r="Y165" s="562">
        <v>7.0</v>
      </c>
      <c r="Z165" s="562"/>
      <c r="AA165" s="562"/>
      <c r="AB165" s="562"/>
      <c r="AC165" s="562"/>
      <c r="AD165" s="562"/>
      <c r="AE165" s="562"/>
      <c r="AF165" s="562"/>
      <c r="AG165" s="562"/>
      <c r="AH165" s="562"/>
      <c r="AI165" s="562"/>
      <c r="AJ165" s="562"/>
      <c r="AK165" s="562"/>
      <c r="AL165" s="562"/>
      <c r="AM165" s="562"/>
      <c r="AN165" s="562"/>
      <c r="AO165" s="562"/>
      <c r="AP165" s="562"/>
      <c r="AQ165" s="562"/>
      <c r="AR165" s="562">
        <v>-2024.0</v>
      </c>
      <c r="AS165" s="562">
        <v>0.0</v>
      </c>
      <c r="AT165" s="562">
        <v>-2024.0</v>
      </c>
      <c r="AU165" s="562">
        <v>0.0</v>
      </c>
      <c r="AV165" s="562">
        <v>0.0</v>
      </c>
      <c r="AW165" s="562">
        <v>0.0</v>
      </c>
      <c r="AX165" s="562">
        <v>0.0</v>
      </c>
      <c r="AY165" s="562">
        <v>0.0</v>
      </c>
      <c r="AZ165" s="562">
        <v>0.0</v>
      </c>
      <c r="BA165" s="562">
        <v>0.0</v>
      </c>
      <c r="BB165" s="562"/>
      <c r="BC165" s="562"/>
      <c r="BD165" s="562"/>
      <c r="BE165" s="701">
        <v>20.0</v>
      </c>
      <c r="BF165" s="562"/>
      <c r="BG165" s="562"/>
      <c r="BH165" s="562"/>
      <c r="BI165" s="562"/>
      <c r="BJ165" s="562"/>
      <c r="BK165" s="562"/>
      <c r="BL165" s="681"/>
      <c r="BM165" s="665">
        <f t="shared" si="1"/>
        <v>20</v>
      </c>
      <c r="BN165" s="687">
        <v>10.0</v>
      </c>
      <c r="BO165" s="687">
        <v>10.0</v>
      </c>
      <c r="BP165" s="683"/>
      <c r="BQ165" s="683"/>
      <c r="BR165" s="683"/>
      <c r="BS165" s="683"/>
      <c r="BT165" s="683"/>
      <c r="BU165" s="683"/>
      <c r="BV165" s="683"/>
      <c r="BW165" s="686"/>
      <c r="BX165" s="665">
        <f t="shared" si="2"/>
        <v>20</v>
      </c>
      <c r="BY165" s="733">
        <v>10.0</v>
      </c>
      <c r="BZ165" s="687">
        <v>10.0</v>
      </c>
      <c r="CA165" s="683">
        <v>0.0</v>
      </c>
      <c r="CB165" s="683">
        <v>0.0</v>
      </c>
      <c r="CC165" s="683">
        <v>0.0</v>
      </c>
      <c r="CD165" s="683">
        <v>0.0</v>
      </c>
      <c r="CE165" s="683">
        <v>0.0</v>
      </c>
      <c r="CF165" s="683">
        <v>0.0</v>
      </c>
      <c r="CG165" s="683">
        <v>0.0</v>
      </c>
      <c r="CH165" s="686">
        <v>0.0</v>
      </c>
      <c r="CI165" s="665">
        <f t="shared" si="3"/>
        <v>20</v>
      </c>
      <c r="CJ165" s="682">
        <f t="shared" si="4"/>
        <v>60</v>
      </c>
      <c r="CK165" s="706">
        <v>32.92</v>
      </c>
      <c r="CL165" s="683">
        <f>CK165*$CL$1</f>
        <v>229.1232</v>
      </c>
      <c r="CM165" s="683">
        <f t="shared" ref="CM165:CV165" si="507">BC165*$CL165</f>
        <v>0</v>
      </c>
      <c r="CN165" s="683">
        <f t="shared" si="507"/>
        <v>0</v>
      </c>
      <c r="CO165" s="683">
        <f t="shared" si="507"/>
        <v>4582.464</v>
      </c>
      <c r="CP165" s="683">
        <f t="shared" si="507"/>
        <v>0</v>
      </c>
      <c r="CQ165" s="683">
        <f t="shared" si="507"/>
        <v>0</v>
      </c>
      <c r="CR165" s="683">
        <f t="shared" si="507"/>
        <v>0</v>
      </c>
      <c r="CS165" s="683">
        <f t="shared" si="507"/>
        <v>0</v>
      </c>
      <c r="CT165" s="683">
        <f t="shared" si="507"/>
        <v>0</v>
      </c>
      <c r="CU165" s="683">
        <f t="shared" si="507"/>
        <v>0</v>
      </c>
      <c r="CV165" s="683">
        <f t="shared" si="507"/>
        <v>0</v>
      </c>
      <c r="CW165" s="683">
        <f t="shared" si="21"/>
        <v>4582.464</v>
      </c>
      <c r="CX165" s="683">
        <f t="shared" ref="CX165:DG165" si="508">BN165*$CL165</f>
        <v>2291.232</v>
      </c>
      <c r="CY165" s="683">
        <f t="shared" si="508"/>
        <v>2291.232</v>
      </c>
      <c r="CZ165" s="683">
        <f t="shared" si="508"/>
        <v>0</v>
      </c>
      <c r="DA165" s="683">
        <f t="shared" si="508"/>
        <v>0</v>
      </c>
      <c r="DB165" s="683">
        <f t="shared" si="508"/>
        <v>0</v>
      </c>
      <c r="DC165" s="683">
        <f t="shared" si="508"/>
        <v>0</v>
      </c>
      <c r="DD165" s="683">
        <f t="shared" si="508"/>
        <v>0</v>
      </c>
      <c r="DE165" s="683">
        <f t="shared" si="508"/>
        <v>0</v>
      </c>
      <c r="DF165" s="683">
        <f t="shared" si="508"/>
        <v>0</v>
      </c>
      <c r="DG165" s="683">
        <f t="shared" si="508"/>
        <v>0</v>
      </c>
      <c r="DH165" s="683">
        <f t="shared" si="23"/>
        <v>4582.464</v>
      </c>
      <c r="DI165" s="683">
        <f t="shared" ref="DI165:DR165" si="509">BY165*$CL165</f>
        <v>2291.232</v>
      </c>
      <c r="DJ165" s="683">
        <f t="shared" si="509"/>
        <v>2291.232</v>
      </c>
      <c r="DK165" s="683">
        <f t="shared" si="509"/>
        <v>0</v>
      </c>
      <c r="DL165" s="683">
        <f t="shared" si="509"/>
        <v>0</v>
      </c>
      <c r="DM165" s="683">
        <f t="shared" si="509"/>
        <v>0</v>
      </c>
      <c r="DN165" s="683">
        <f t="shared" si="509"/>
        <v>0</v>
      </c>
      <c r="DO165" s="683">
        <f t="shared" si="509"/>
        <v>0</v>
      </c>
      <c r="DP165" s="683">
        <f t="shared" si="509"/>
        <v>0</v>
      </c>
      <c r="DQ165" s="683">
        <f t="shared" si="509"/>
        <v>0</v>
      </c>
      <c r="DR165" s="683">
        <f t="shared" si="509"/>
        <v>0</v>
      </c>
      <c r="DS165" s="683">
        <f t="shared" si="25"/>
        <v>4582.464</v>
      </c>
      <c r="DT165" s="683">
        <f t="shared" si="175"/>
        <v>13747.392</v>
      </c>
      <c r="DU165" s="504"/>
      <c r="DV165" s="486"/>
      <c r="DW165" s="688"/>
      <c r="DX165" s="688"/>
      <c r="DY165" s="688"/>
      <c r="DZ165" s="688"/>
      <c r="EA165" s="688"/>
      <c r="EB165" s="688"/>
      <c r="EC165" s="688"/>
      <c r="ED165" s="688"/>
      <c r="EE165" s="688"/>
      <c r="EF165" s="688"/>
      <c r="EG165" s="688"/>
      <c r="EH165" s="707" t="s">
        <v>1160</v>
      </c>
      <c r="EI165" s="708">
        <f>VLOOKUP(I165,CotizacionTDB,4,FALSE())</f>
        <v>32.92</v>
      </c>
      <c r="EJ165" s="708">
        <f>VLOOKUP(I165,CotizacionTDB,5,FALSE())</f>
        <v>27.98</v>
      </c>
      <c r="EK165" s="691"/>
    </row>
    <row r="166" ht="12.0" customHeight="1">
      <c r="A166" s="709" t="s">
        <v>3026</v>
      </c>
      <c r="B166" s="567"/>
      <c r="C166" s="567" t="s">
        <v>3034</v>
      </c>
      <c r="D166" s="567" t="s">
        <v>195</v>
      </c>
      <c r="E166" s="567" t="s">
        <v>2722</v>
      </c>
      <c r="F166" s="661" t="s">
        <v>1774</v>
      </c>
      <c r="G166" s="692" t="s">
        <v>2723</v>
      </c>
      <c r="H166" s="710"/>
      <c r="I166" s="567"/>
      <c r="J166" s="568" t="s">
        <v>3312</v>
      </c>
      <c r="K166" s="567" t="s">
        <v>25</v>
      </c>
      <c r="L166" s="567"/>
      <c r="M166" s="567"/>
      <c r="N166" s="567"/>
      <c r="O166" s="567"/>
      <c r="P166" s="567"/>
      <c r="Q166" s="567"/>
      <c r="R166" s="567"/>
      <c r="S166" s="567"/>
      <c r="T166" s="567"/>
      <c r="U166" s="567">
        <v>2024.0</v>
      </c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662">
        <v>1.0</v>
      </c>
      <c r="AG166" s="567"/>
      <c r="AH166" s="567"/>
      <c r="AI166" s="567"/>
      <c r="AJ166" s="567"/>
      <c r="AK166" s="567"/>
      <c r="AL166" s="567"/>
      <c r="AM166" s="567"/>
      <c r="AN166" s="567"/>
      <c r="AO166" s="567"/>
      <c r="AP166" s="567"/>
      <c r="AQ166" s="567"/>
      <c r="AR166" s="567">
        <v>0.0</v>
      </c>
      <c r="AS166" s="567">
        <v>0.0</v>
      </c>
      <c r="AT166" s="567">
        <v>0.0</v>
      </c>
      <c r="AU166" s="567">
        <v>0.0</v>
      </c>
      <c r="AV166" s="567">
        <v>0.0</v>
      </c>
      <c r="AW166" s="567">
        <v>0.0</v>
      </c>
      <c r="AX166" s="567">
        <v>0.0</v>
      </c>
      <c r="AY166" s="567">
        <v>0.0</v>
      </c>
      <c r="AZ166" s="567">
        <v>0.0</v>
      </c>
      <c r="BA166" s="567">
        <v>-2024.0</v>
      </c>
      <c r="BB166" s="567"/>
      <c r="BC166" s="567"/>
      <c r="BD166" s="567"/>
      <c r="BE166" s="567"/>
      <c r="BF166" s="567"/>
      <c r="BG166" s="567"/>
      <c r="BH166" s="567"/>
      <c r="BI166" s="567"/>
      <c r="BJ166" s="567"/>
      <c r="BK166" s="567"/>
      <c r="BL166" s="725">
        <v>200.0</v>
      </c>
      <c r="BM166" s="665">
        <f t="shared" si="1"/>
        <v>200</v>
      </c>
      <c r="BN166" s="671"/>
      <c r="BO166" s="668"/>
      <c r="BP166" s="668"/>
      <c r="BQ166" s="668"/>
      <c r="BR166" s="668"/>
      <c r="BS166" s="668"/>
      <c r="BT166" s="668"/>
      <c r="BU166" s="668"/>
      <c r="BV166" s="668"/>
      <c r="BW166" s="670"/>
      <c r="BX166" s="665">
        <f t="shared" si="2"/>
        <v>0</v>
      </c>
      <c r="BY166" s="671">
        <v>0.0</v>
      </c>
      <c r="BZ166" s="668">
        <v>0.0</v>
      </c>
      <c r="CA166" s="668">
        <v>0.0</v>
      </c>
      <c r="CB166" s="668">
        <v>0.0</v>
      </c>
      <c r="CC166" s="668">
        <v>0.0</v>
      </c>
      <c r="CD166" s="668">
        <v>0.0</v>
      </c>
      <c r="CE166" s="668">
        <v>0.0</v>
      </c>
      <c r="CF166" s="668">
        <v>0.0</v>
      </c>
      <c r="CG166" s="668">
        <v>0.0</v>
      </c>
      <c r="CH166" s="670">
        <v>0.0</v>
      </c>
      <c r="CI166" s="665">
        <f t="shared" si="3"/>
        <v>0</v>
      </c>
      <c r="CJ166" s="671">
        <f t="shared" si="4"/>
        <v>200</v>
      </c>
      <c r="CK166" s="674"/>
      <c r="CL166" s="674">
        <v>2.0</v>
      </c>
      <c r="CM166" s="668">
        <f t="shared" ref="CM166:CV166" si="510">BC166*$CL166</f>
        <v>0</v>
      </c>
      <c r="CN166" s="668">
        <f t="shared" si="510"/>
        <v>0</v>
      </c>
      <c r="CO166" s="668">
        <f t="shared" si="510"/>
        <v>0</v>
      </c>
      <c r="CP166" s="668">
        <f t="shared" si="510"/>
        <v>0</v>
      </c>
      <c r="CQ166" s="668">
        <f t="shared" si="510"/>
        <v>0</v>
      </c>
      <c r="CR166" s="668">
        <f t="shared" si="510"/>
        <v>0</v>
      </c>
      <c r="CS166" s="668">
        <f t="shared" si="510"/>
        <v>0</v>
      </c>
      <c r="CT166" s="668">
        <f t="shared" si="510"/>
        <v>0</v>
      </c>
      <c r="CU166" s="668">
        <f t="shared" si="510"/>
        <v>0</v>
      </c>
      <c r="CV166" s="668">
        <f t="shared" si="510"/>
        <v>400</v>
      </c>
      <c r="CW166" s="668">
        <f t="shared" si="21"/>
        <v>400</v>
      </c>
      <c r="CX166" s="668">
        <f t="shared" ref="CX166:DG166" si="511">BN166*$CL166</f>
        <v>0</v>
      </c>
      <c r="CY166" s="668">
        <f t="shared" si="511"/>
        <v>0</v>
      </c>
      <c r="CZ166" s="668">
        <f t="shared" si="511"/>
        <v>0</v>
      </c>
      <c r="DA166" s="668">
        <f t="shared" si="511"/>
        <v>0</v>
      </c>
      <c r="DB166" s="668">
        <f t="shared" si="511"/>
        <v>0</v>
      </c>
      <c r="DC166" s="668">
        <f t="shared" si="511"/>
        <v>0</v>
      </c>
      <c r="DD166" s="668">
        <f t="shared" si="511"/>
        <v>0</v>
      </c>
      <c r="DE166" s="668">
        <f t="shared" si="511"/>
        <v>0</v>
      </c>
      <c r="DF166" s="668">
        <f t="shared" si="511"/>
        <v>0</v>
      </c>
      <c r="DG166" s="668">
        <f t="shared" si="511"/>
        <v>0</v>
      </c>
      <c r="DH166" s="668">
        <f t="shared" si="23"/>
        <v>0</v>
      </c>
      <c r="DI166" s="668">
        <f t="shared" ref="DI166:DR166" si="512">BY166*$CL166</f>
        <v>0</v>
      </c>
      <c r="DJ166" s="668">
        <f t="shared" si="512"/>
        <v>0</v>
      </c>
      <c r="DK166" s="668">
        <f t="shared" si="512"/>
        <v>0</v>
      </c>
      <c r="DL166" s="668">
        <f t="shared" si="512"/>
        <v>0</v>
      </c>
      <c r="DM166" s="668">
        <f t="shared" si="512"/>
        <v>0</v>
      </c>
      <c r="DN166" s="668">
        <f t="shared" si="512"/>
        <v>0</v>
      </c>
      <c r="DO166" s="668">
        <f t="shared" si="512"/>
        <v>0</v>
      </c>
      <c r="DP166" s="668">
        <f t="shared" si="512"/>
        <v>0</v>
      </c>
      <c r="DQ166" s="668">
        <f t="shared" si="512"/>
        <v>0</v>
      </c>
      <c r="DR166" s="668">
        <f t="shared" si="512"/>
        <v>0</v>
      </c>
      <c r="DS166" s="668">
        <f t="shared" si="25"/>
        <v>0</v>
      </c>
      <c r="DT166" s="668">
        <f t="shared" si="175"/>
        <v>400</v>
      </c>
      <c r="DU166" s="866"/>
      <c r="DV166" s="818" t="s">
        <v>3313</v>
      </c>
      <c r="DW166" s="819"/>
      <c r="DX166" s="819"/>
      <c r="DY166" s="819"/>
      <c r="DZ166" s="819"/>
      <c r="EA166" s="819"/>
      <c r="EB166" s="819"/>
      <c r="EC166" s="819"/>
      <c r="ED166" s="819"/>
      <c r="EE166" s="819"/>
      <c r="EF166" s="819"/>
      <c r="EG166" s="819"/>
      <c r="EH166" s="677">
        <f>CK166*6.97</f>
        <v>0</v>
      </c>
      <c r="EI166" s="678">
        <v>1.0</v>
      </c>
      <c r="EJ166" s="699"/>
      <c r="EK166" s="699"/>
    </row>
    <row r="167" ht="12.0" customHeight="1">
      <c r="A167" s="700" t="s">
        <v>3026</v>
      </c>
      <c r="B167" s="701">
        <v>2.0</v>
      </c>
      <c r="C167" s="562" t="s">
        <v>3034</v>
      </c>
      <c r="D167" s="571" t="s">
        <v>195</v>
      </c>
      <c r="E167" s="571" t="s">
        <v>3282</v>
      </c>
      <c r="F167" s="562" t="s">
        <v>1763</v>
      </c>
      <c r="G167" s="569" t="s">
        <v>2709</v>
      </c>
      <c r="H167" s="569" t="s">
        <v>3314</v>
      </c>
      <c r="I167" s="717" t="s">
        <v>2388</v>
      </c>
      <c r="J167" s="704" t="s">
        <v>1699</v>
      </c>
      <c r="K167" s="562" t="s">
        <v>25</v>
      </c>
      <c r="L167" s="562"/>
      <c r="M167" s="562"/>
      <c r="N167" s="562"/>
      <c r="O167" s="562"/>
      <c r="P167" s="562"/>
      <c r="Q167" s="562"/>
      <c r="R167" s="562">
        <v>2024.0</v>
      </c>
      <c r="S167" s="562">
        <v>2024.0</v>
      </c>
      <c r="T167" s="562"/>
      <c r="U167" s="562"/>
      <c r="V167" s="562"/>
      <c r="W167" s="562"/>
      <c r="X167" s="562"/>
      <c r="Y167" s="562"/>
      <c r="Z167" s="562"/>
      <c r="AA167" s="562"/>
      <c r="AB167" s="562"/>
      <c r="AC167" s="821">
        <v>1.0</v>
      </c>
      <c r="AD167" s="821">
        <v>1.0</v>
      </c>
      <c r="AE167" s="562"/>
      <c r="AF167" s="562"/>
      <c r="AG167" s="562"/>
      <c r="AH167" s="562"/>
      <c r="AI167" s="562"/>
      <c r="AJ167" s="562"/>
      <c r="AK167" s="562"/>
      <c r="AL167" s="562"/>
      <c r="AM167" s="562"/>
      <c r="AN167" s="562"/>
      <c r="AO167" s="562"/>
      <c r="AP167" s="562"/>
      <c r="AQ167" s="562"/>
      <c r="AR167" s="562">
        <v>0.0</v>
      </c>
      <c r="AS167" s="562">
        <v>0.0</v>
      </c>
      <c r="AT167" s="562">
        <v>0.0</v>
      </c>
      <c r="AU167" s="562">
        <v>0.0</v>
      </c>
      <c r="AV167" s="562">
        <v>0.0</v>
      </c>
      <c r="AW167" s="562">
        <v>0.0</v>
      </c>
      <c r="AX167" s="562">
        <v>-2024.0</v>
      </c>
      <c r="AY167" s="562">
        <v>-2024.0</v>
      </c>
      <c r="AZ167" s="562">
        <v>0.0</v>
      </c>
      <c r="BA167" s="562">
        <v>0.0</v>
      </c>
      <c r="BB167" s="562"/>
      <c r="BC167" s="562"/>
      <c r="BD167" s="562"/>
      <c r="BE167" s="562"/>
      <c r="BF167" s="562"/>
      <c r="BG167" s="562"/>
      <c r="BH167" s="562"/>
      <c r="BI167" s="562">
        <v>2.0</v>
      </c>
      <c r="BJ167" s="562">
        <v>2.0</v>
      </c>
      <c r="BK167" s="562"/>
      <c r="BL167" s="719">
        <v>2.0</v>
      </c>
      <c r="BM167" s="665">
        <f t="shared" si="1"/>
        <v>6</v>
      </c>
      <c r="BN167" s="682"/>
      <c r="BO167" s="683"/>
      <c r="BP167" s="683"/>
      <c r="BQ167" s="683"/>
      <c r="BR167" s="683"/>
      <c r="BS167" s="683"/>
      <c r="BT167" s="683"/>
      <c r="BU167" s="683"/>
      <c r="BV167" s="683"/>
      <c r="BW167" s="686"/>
      <c r="BX167" s="665">
        <f t="shared" si="2"/>
        <v>0</v>
      </c>
      <c r="BY167" s="682">
        <v>0.0</v>
      </c>
      <c r="BZ167" s="683">
        <v>0.0</v>
      </c>
      <c r="CA167" s="683">
        <v>0.0</v>
      </c>
      <c r="CB167" s="683">
        <v>0.0</v>
      </c>
      <c r="CC167" s="683">
        <v>0.0</v>
      </c>
      <c r="CD167" s="683">
        <v>0.0</v>
      </c>
      <c r="CE167" s="683">
        <v>0.0</v>
      </c>
      <c r="CF167" s="683">
        <v>0.0</v>
      </c>
      <c r="CG167" s="683">
        <v>0.0</v>
      </c>
      <c r="CH167" s="686">
        <v>0.0</v>
      </c>
      <c r="CI167" s="665">
        <f t="shared" si="3"/>
        <v>0</v>
      </c>
      <c r="CJ167" s="682">
        <f t="shared" si="4"/>
        <v>6</v>
      </c>
      <c r="CK167" s="706">
        <v>4.31</v>
      </c>
      <c r="CL167" s="683">
        <f>CK167*$CL$1</f>
        <v>29.9976</v>
      </c>
      <c r="CM167" s="683">
        <f t="shared" ref="CM167:CV167" si="513">BC167*$CL167</f>
        <v>0</v>
      </c>
      <c r="CN167" s="683">
        <f t="shared" si="513"/>
        <v>0</v>
      </c>
      <c r="CO167" s="683">
        <f t="shared" si="513"/>
        <v>0</v>
      </c>
      <c r="CP167" s="683">
        <f t="shared" si="513"/>
        <v>0</v>
      </c>
      <c r="CQ167" s="683">
        <f t="shared" si="513"/>
        <v>0</v>
      </c>
      <c r="CR167" s="683">
        <f t="shared" si="513"/>
        <v>0</v>
      </c>
      <c r="CS167" s="683">
        <f t="shared" si="513"/>
        <v>59.9952</v>
      </c>
      <c r="CT167" s="683">
        <f t="shared" si="513"/>
        <v>59.9952</v>
      </c>
      <c r="CU167" s="683">
        <f t="shared" si="513"/>
        <v>0</v>
      </c>
      <c r="CV167" s="683">
        <f t="shared" si="513"/>
        <v>59.9952</v>
      </c>
      <c r="CW167" s="683">
        <f t="shared" si="21"/>
        <v>179.9856</v>
      </c>
      <c r="CX167" s="683">
        <f t="shared" ref="CX167:DG167" si="514">BN167*$CL167</f>
        <v>0</v>
      </c>
      <c r="CY167" s="683">
        <f t="shared" si="514"/>
        <v>0</v>
      </c>
      <c r="CZ167" s="683">
        <f t="shared" si="514"/>
        <v>0</v>
      </c>
      <c r="DA167" s="683">
        <f t="shared" si="514"/>
        <v>0</v>
      </c>
      <c r="DB167" s="683">
        <f t="shared" si="514"/>
        <v>0</v>
      </c>
      <c r="DC167" s="683">
        <f t="shared" si="514"/>
        <v>0</v>
      </c>
      <c r="DD167" s="683">
        <f t="shared" si="514"/>
        <v>0</v>
      </c>
      <c r="DE167" s="683">
        <f t="shared" si="514"/>
        <v>0</v>
      </c>
      <c r="DF167" s="683">
        <f t="shared" si="514"/>
        <v>0</v>
      </c>
      <c r="DG167" s="683">
        <f t="shared" si="514"/>
        <v>0</v>
      </c>
      <c r="DH167" s="683">
        <f t="shared" si="23"/>
        <v>0</v>
      </c>
      <c r="DI167" s="683">
        <f t="shared" ref="DI167:DR167" si="515">BY167*$CL167</f>
        <v>0</v>
      </c>
      <c r="DJ167" s="683">
        <f t="shared" si="515"/>
        <v>0</v>
      </c>
      <c r="DK167" s="683">
        <f t="shared" si="515"/>
        <v>0</v>
      </c>
      <c r="DL167" s="683">
        <f t="shared" si="515"/>
        <v>0</v>
      </c>
      <c r="DM167" s="683">
        <f t="shared" si="515"/>
        <v>0</v>
      </c>
      <c r="DN167" s="683">
        <f t="shared" si="515"/>
        <v>0</v>
      </c>
      <c r="DO167" s="683">
        <f t="shared" si="515"/>
        <v>0</v>
      </c>
      <c r="DP167" s="683">
        <f t="shared" si="515"/>
        <v>0</v>
      </c>
      <c r="DQ167" s="683">
        <f t="shared" si="515"/>
        <v>0</v>
      </c>
      <c r="DR167" s="683">
        <f t="shared" si="515"/>
        <v>0</v>
      </c>
      <c r="DS167" s="683">
        <f t="shared" si="25"/>
        <v>0</v>
      </c>
      <c r="DT167" s="683">
        <f t="shared" si="175"/>
        <v>179.9856</v>
      </c>
      <c r="DU167" s="504"/>
      <c r="DV167" s="486"/>
      <c r="DW167" s="688"/>
      <c r="DX167" s="688"/>
      <c r="DY167" s="688"/>
      <c r="DZ167" s="688"/>
      <c r="EA167" s="688"/>
      <c r="EB167" s="688"/>
      <c r="EC167" s="688"/>
      <c r="ED167" s="688"/>
      <c r="EE167" s="688"/>
      <c r="EF167" s="688"/>
      <c r="EG167" s="688"/>
      <c r="EH167" s="707" t="s">
        <v>3315</v>
      </c>
      <c r="EI167" s="708">
        <f>VLOOKUP(I167,CotizacionTDB,4,FALSE())</f>
        <v>4.31</v>
      </c>
      <c r="EJ167" s="708">
        <f>VLOOKUP(I167,CotizacionTDB,5,FALSE())</f>
        <v>3.66</v>
      </c>
      <c r="EK167" s="691"/>
    </row>
    <row r="168" ht="12.0" customHeight="1">
      <c r="A168" s="709" t="s">
        <v>3026</v>
      </c>
      <c r="B168" s="661"/>
      <c r="C168" s="567" t="s">
        <v>3034</v>
      </c>
      <c r="D168" s="568" t="s">
        <v>195</v>
      </c>
      <c r="E168" s="568" t="s">
        <v>2722</v>
      </c>
      <c r="F168" s="567" t="s">
        <v>1763</v>
      </c>
      <c r="G168" s="657" t="s">
        <v>2723</v>
      </c>
      <c r="H168" s="658" t="s">
        <v>3316</v>
      </c>
      <c r="I168" s="659" t="s">
        <v>445</v>
      </c>
      <c r="J168" s="568" t="s">
        <v>3317</v>
      </c>
      <c r="K168" s="567" t="s">
        <v>25</v>
      </c>
      <c r="L168" s="567"/>
      <c r="M168" s="567"/>
      <c r="N168" s="567">
        <v>2024.0</v>
      </c>
      <c r="O168" s="567">
        <v>2024.0</v>
      </c>
      <c r="P168" s="567"/>
      <c r="Q168" s="567"/>
      <c r="R168" s="567"/>
      <c r="S168" s="567"/>
      <c r="T168" s="567"/>
      <c r="U168" s="567"/>
      <c r="V168" s="567"/>
      <c r="W168" s="567"/>
      <c r="X168" s="567"/>
      <c r="Y168" s="567">
        <v>10.0</v>
      </c>
      <c r="Z168" s="567">
        <v>7.0</v>
      </c>
      <c r="AA168" s="567"/>
      <c r="AB168" s="567"/>
      <c r="AC168" s="567"/>
      <c r="AD168" s="567"/>
      <c r="AE168" s="567"/>
      <c r="AF168" s="567"/>
      <c r="AG168" s="567"/>
      <c r="AH168" s="567"/>
      <c r="AI168" s="567"/>
      <c r="AJ168" s="567"/>
      <c r="AK168" s="567"/>
      <c r="AL168" s="567"/>
      <c r="AM168" s="567"/>
      <c r="AN168" s="567"/>
      <c r="AO168" s="567"/>
      <c r="AP168" s="567"/>
      <c r="AQ168" s="567"/>
      <c r="AR168" s="567">
        <v>0.0</v>
      </c>
      <c r="AS168" s="567">
        <v>0.0</v>
      </c>
      <c r="AT168" s="567">
        <v>-2024.0</v>
      </c>
      <c r="AU168" s="567">
        <v>-2024.0</v>
      </c>
      <c r="AV168" s="567">
        <v>0.0</v>
      </c>
      <c r="AW168" s="567">
        <v>0.0</v>
      </c>
      <c r="AX168" s="567">
        <v>0.0</v>
      </c>
      <c r="AY168" s="567">
        <v>0.0</v>
      </c>
      <c r="AZ168" s="567">
        <v>0.0</v>
      </c>
      <c r="BA168" s="567">
        <v>0.0</v>
      </c>
      <c r="BB168" s="567"/>
      <c r="BC168" s="567"/>
      <c r="BD168" s="567"/>
      <c r="BE168" s="680">
        <v>0.0</v>
      </c>
      <c r="BF168" s="680">
        <v>0.0</v>
      </c>
      <c r="BG168" s="567"/>
      <c r="BH168" s="567"/>
      <c r="BI168" s="567"/>
      <c r="BJ168" s="567"/>
      <c r="BK168" s="567"/>
      <c r="BL168" s="725"/>
      <c r="BM168" s="665">
        <f t="shared" si="1"/>
        <v>0</v>
      </c>
      <c r="BN168" s="671"/>
      <c r="BO168" s="668"/>
      <c r="BP168" s="668"/>
      <c r="BQ168" s="668"/>
      <c r="BR168" s="668"/>
      <c r="BS168" s="668"/>
      <c r="BT168" s="668"/>
      <c r="BU168" s="668"/>
      <c r="BV168" s="668"/>
      <c r="BW168" s="670"/>
      <c r="BX168" s="665">
        <f t="shared" si="2"/>
        <v>0</v>
      </c>
      <c r="BY168" s="671">
        <v>0.0</v>
      </c>
      <c r="BZ168" s="668">
        <v>0.0</v>
      </c>
      <c r="CA168" s="668">
        <v>0.0</v>
      </c>
      <c r="CB168" s="668">
        <v>0.0</v>
      </c>
      <c r="CC168" s="668">
        <v>0.0</v>
      </c>
      <c r="CD168" s="668">
        <v>0.0</v>
      </c>
      <c r="CE168" s="668">
        <v>0.0</v>
      </c>
      <c r="CF168" s="668">
        <v>0.0</v>
      </c>
      <c r="CG168" s="668">
        <v>0.0</v>
      </c>
      <c r="CH168" s="670">
        <v>0.0</v>
      </c>
      <c r="CI168" s="665">
        <f t="shared" si="3"/>
        <v>0</v>
      </c>
      <c r="CJ168" s="671">
        <f t="shared" si="4"/>
        <v>0</v>
      </c>
      <c r="CK168" s="674">
        <v>1212.66</v>
      </c>
      <c r="CL168" s="668">
        <v>8452.2402</v>
      </c>
      <c r="CM168" s="668">
        <f t="shared" ref="CM168:CV168" si="516">BC168*$CL168</f>
        <v>0</v>
      </c>
      <c r="CN168" s="668">
        <f t="shared" si="516"/>
        <v>0</v>
      </c>
      <c r="CO168" s="668">
        <f t="shared" si="516"/>
        <v>0</v>
      </c>
      <c r="CP168" s="668">
        <f t="shared" si="516"/>
        <v>0</v>
      </c>
      <c r="CQ168" s="668">
        <f t="shared" si="516"/>
        <v>0</v>
      </c>
      <c r="CR168" s="668">
        <f t="shared" si="516"/>
        <v>0</v>
      </c>
      <c r="CS168" s="668">
        <f t="shared" si="516"/>
        <v>0</v>
      </c>
      <c r="CT168" s="668">
        <f t="shared" si="516"/>
        <v>0</v>
      </c>
      <c r="CU168" s="668">
        <f t="shared" si="516"/>
        <v>0</v>
      </c>
      <c r="CV168" s="668">
        <f t="shared" si="516"/>
        <v>0</v>
      </c>
      <c r="CW168" s="668">
        <f t="shared" si="21"/>
        <v>0</v>
      </c>
      <c r="CX168" s="668">
        <f t="shared" ref="CX168:DG168" si="517">BN168*$CL168</f>
        <v>0</v>
      </c>
      <c r="CY168" s="668">
        <f t="shared" si="517"/>
        <v>0</v>
      </c>
      <c r="CZ168" s="668">
        <f t="shared" si="517"/>
        <v>0</v>
      </c>
      <c r="DA168" s="668">
        <f t="shared" si="517"/>
        <v>0</v>
      </c>
      <c r="DB168" s="668">
        <f t="shared" si="517"/>
        <v>0</v>
      </c>
      <c r="DC168" s="668">
        <f t="shared" si="517"/>
        <v>0</v>
      </c>
      <c r="DD168" s="668">
        <f t="shared" si="517"/>
        <v>0</v>
      </c>
      <c r="DE168" s="668">
        <f t="shared" si="517"/>
        <v>0</v>
      </c>
      <c r="DF168" s="668">
        <f t="shared" si="517"/>
        <v>0</v>
      </c>
      <c r="DG168" s="668">
        <f t="shared" si="517"/>
        <v>0</v>
      </c>
      <c r="DH168" s="668">
        <f t="shared" si="23"/>
        <v>0</v>
      </c>
      <c r="DI168" s="668">
        <f t="shared" ref="DI168:DR168" si="518">BY168*$CL168</f>
        <v>0</v>
      </c>
      <c r="DJ168" s="668">
        <f t="shared" si="518"/>
        <v>0</v>
      </c>
      <c r="DK168" s="668">
        <f t="shared" si="518"/>
        <v>0</v>
      </c>
      <c r="DL168" s="668">
        <f t="shared" si="518"/>
        <v>0</v>
      </c>
      <c r="DM168" s="668">
        <f t="shared" si="518"/>
        <v>0</v>
      </c>
      <c r="DN168" s="668">
        <f t="shared" si="518"/>
        <v>0</v>
      </c>
      <c r="DO168" s="668">
        <f t="shared" si="518"/>
        <v>0</v>
      </c>
      <c r="DP168" s="668">
        <f t="shared" si="518"/>
        <v>0</v>
      </c>
      <c r="DQ168" s="668">
        <f t="shared" si="518"/>
        <v>0</v>
      </c>
      <c r="DR168" s="668">
        <f t="shared" si="518"/>
        <v>0</v>
      </c>
      <c r="DS168" s="668">
        <f t="shared" si="25"/>
        <v>0</v>
      </c>
      <c r="DT168" s="668">
        <f t="shared" si="175"/>
        <v>0</v>
      </c>
      <c r="DU168" s="538"/>
      <c r="DV168" s="468"/>
      <c r="DW168" s="698"/>
      <c r="DX168" s="698"/>
      <c r="DY168" s="698"/>
      <c r="DZ168" s="698"/>
      <c r="EA168" s="698"/>
      <c r="EB168" s="698"/>
      <c r="EC168" s="698"/>
      <c r="ED168" s="698"/>
      <c r="EE168" s="698"/>
      <c r="EF168" s="698"/>
      <c r="EG168" s="698"/>
      <c r="EH168" s="677">
        <f t="shared" ref="EH168:EH169" si="522">CK168*6.97</f>
        <v>8452.2402</v>
      </c>
      <c r="EI168" s="678">
        <v>1.0</v>
      </c>
      <c r="EJ168" s="699"/>
      <c r="EK168" s="699"/>
    </row>
    <row r="169" ht="12.0" customHeight="1">
      <c r="A169" s="700" t="s">
        <v>3026</v>
      </c>
      <c r="B169" s="701"/>
      <c r="C169" s="562" t="s">
        <v>3034</v>
      </c>
      <c r="D169" s="571" t="s">
        <v>195</v>
      </c>
      <c r="E169" s="571" t="s">
        <v>3270</v>
      </c>
      <c r="F169" s="562" t="s">
        <v>1763</v>
      </c>
      <c r="G169" s="569" t="s">
        <v>2709</v>
      </c>
      <c r="H169" s="737"/>
      <c r="I169" s="768">
        <v>1.0631452E7</v>
      </c>
      <c r="J169" s="571" t="s">
        <v>341</v>
      </c>
      <c r="K169" s="562" t="s">
        <v>25</v>
      </c>
      <c r="L169" s="562"/>
      <c r="M169" s="562"/>
      <c r="N169" s="562"/>
      <c r="O169" s="562"/>
      <c r="P169" s="562"/>
      <c r="Q169" s="808">
        <v>2024.0</v>
      </c>
      <c r="R169" s="562"/>
      <c r="S169" s="562"/>
      <c r="T169" s="562"/>
      <c r="U169" s="562"/>
      <c r="V169" s="562"/>
      <c r="W169" s="562"/>
      <c r="X169" s="562"/>
      <c r="Y169" s="562"/>
      <c r="Z169" s="562"/>
      <c r="AA169" s="808">
        <v>3.0</v>
      </c>
      <c r="AB169" s="562"/>
      <c r="AC169" s="562"/>
      <c r="AD169" s="562"/>
      <c r="AE169" s="562"/>
      <c r="AF169" s="867"/>
      <c r="AG169" s="562"/>
      <c r="AH169" s="562"/>
      <c r="AI169" s="562"/>
      <c r="AJ169" s="562"/>
      <c r="AK169" s="562"/>
      <c r="AL169" s="562"/>
      <c r="AM169" s="562"/>
      <c r="AN169" s="562"/>
      <c r="AO169" s="562"/>
      <c r="AP169" s="562"/>
      <c r="AQ169" s="562"/>
      <c r="AR169" s="562">
        <v>0.0</v>
      </c>
      <c r="AS169" s="562">
        <v>0.0</v>
      </c>
      <c r="AT169" s="562">
        <v>0.0</v>
      </c>
      <c r="AU169" s="562">
        <v>0.0</v>
      </c>
      <c r="AV169" s="562">
        <v>0.0</v>
      </c>
      <c r="AW169" s="562">
        <v>-2024.0</v>
      </c>
      <c r="AX169" s="562">
        <v>0.0</v>
      </c>
      <c r="AY169" s="562">
        <v>0.0</v>
      </c>
      <c r="AZ169" s="562">
        <v>0.0</v>
      </c>
      <c r="BA169" s="562">
        <v>0.0</v>
      </c>
      <c r="BB169" s="562"/>
      <c r="BC169" s="562"/>
      <c r="BD169" s="562"/>
      <c r="BE169" s="562"/>
      <c r="BF169" s="562"/>
      <c r="BG169" s="562"/>
      <c r="BH169" s="825">
        <v>0.0</v>
      </c>
      <c r="BI169" s="562"/>
      <c r="BJ169" s="562"/>
      <c r="BK169" s="562"/>
      <c r="BL169" s="681"/>
      <c r="BM169" s="665">
        <f t="shared" si="1"/>
        <v>0</v>
      </c>
      <c r="BN169" s="682"/>
      <c r="BO169" s="683"/>
      <c r="BP169" s="683"/>
      <c r="BQ169" s="683"/>
      <c r="BR169" s="683"/>
      <c r="BS169" s="683"/>
      <c r="BT169" s="683"/>
      <c r="BU169" s="683"/>
      <c r="BV169" s="683"/>
      <c r="BW169" s="686"/>
      <c r="BX169" s="665">
        <f t="shared" si="2"/>
        <v>0</v>
      </c>
      <c r="BY169" s="682">
        <v>0.0</v>
      </c>
      <c r="BZ169" s="683">
        <v>0.0</v>
      </c>
      <c r="CA169" s="683">
        <v>0.0</v>
      </c>
      <c r="CB169" s="683">
        <v>0.0</v>
      </c>
      <c r="CC169" s="683">
        <v>0.0</v>
      </c>
      <c r="CD169" s="683">
        <v>0.0</v>
      </c>
      <c r="CE169" s="683">
        <v>0.0</v>
      </c>
      <c r="CF169" s="683">
        <v>0.0</v>
      </c>
      <c r="CG169" s="683">
        <v>0.0</v>
      </c>
      <c r="CH169" s="686">
        <v>0.0</v>
      </c>
      <c r="CI169" s="665">
        <f t="shared" si="3"/>
        <v>0</v>
      </c>
      <c r="CJ169" s="682">
        <f t="shared" si="4"/>
        <v>0</v>
      </c>
      <c r="CK169" s="683"/>
      <c r="CL169" s="683">
        <v>5615.729</v>
      </c>
      <c r="CM169" s="683">
        <f t="shared" ref="CM169:CV169" si="519">BC169*$CL169</f>
        <v>0</v>
      </c>
      <c r="CN169" s="683">
        <f t="shared" si="519"/>
        <v>0</v>
      </c>
      <c r="CO169" s="683">
        <f t="shared" si="519"/>
        <v>0</v>
      </c>
      <c r="CP169" s="683">
        <f t="shared" si="519"/>
        <v>0</v>
      </c>
      <c r="CQ169" s="683">
        <f t="shared" si="519"/>
        <v>0</v>
      </c>
      <c r="CR169" s="683">
        <f t="shared" si="519"/>
        <v>0</v>
      </c>
      <c r="CS169" s="683">
        <f t="shared" si="519"/>
        <v>0</v>
      </c>
      <c r="CT169" s="683">
        <f t="shared" si="519"/>
        <v>0</v>
      </c>
      <c r="CU169" s="683">
        <f t="shared" si="519"/>
        <v>0</v>
      </c>
      <c r="CV169" s="683">
        <f t="shared" si="519"/>
        <v>0</v>
      </c>
      <c r="CW169" s="683">
        <f t="shared" si="21"/>
        <v>0</v>
      </c>
      <c r="CX169" s="683">
        <f t="shared" ref="CX169:DG169" si="520">BN169*$CL169</f>
        <v>0</v>
      </c>
      <c r="CY169" s="683">
        <f t="shared" si="520"/>
        <v>0</v>
      </c>
      <c r="CZ169" s="683">
        <f t="shared" si="520"/>
        <v>0</v>
      </c>
      <c r="DA169" s="683">
        <f t="shared" si="520"/>
        <v>0</v>
      </c>
      <c r="DB169" s="683">
        <f t="shared" si="520"/>
        <v>0</v>
      </c>
      <c r="DC169" s="683">
        <f t="shared" si="520"/>
        <v>0</v>
      </c>
      <c r="DD169" s="683">
        <f t="shared" si="520"/>
        <v>0</v>
      </c>
      <c r="DE169" s="683">
        <f t="shared" si="520"/>
        <v>0</v>
      </c>
      <c r="DF169" s="683">
        <f t="shared" si="520"/>
        <v>0</v>
      </c>
      <c r="DG169" s="683">
        <f t="shared" si="520"/>
        <v>0</v>
      </c>
      <c r="DH169" s="683">
        <f t="shared" si="23"/>
        <v>0</v>
      </c>
      <c r="DI169" s="683">
        <f t="shared" ref="DI169:DR169" si="521">BY169*$CL169</f>
        <v>0</v>
      </c>
      <c r="DJ169" s="683">
        <f t="shared" si="521"/>
        <v>0</v>
      </c>
      <c r="DK169" s="683">
        <f t="shared" si="521"/>
        <v>0</v>
      </c>
      <c r="DL169" s="683">
        <f t="shared" si="521"/>
        <v>0</v>
      </c>
      <c r="DM169" s="683">
        <f t="shared" si="521"/>
        <v>0</v>
      </c>
      <c r="DN169" s="683">
        <f t="shared" si="521"/>
        <v>0</v>
      </c>
      <c r="DO169" s="683">
        <f t="shared" si="521"/>
        <v>0</v>
      </c>
      <c r="DP169" s="683">
        <f t="shared" si="521"/>
        <v>0</v>
      </c>
      <c r="DQ169" s="683">
        <f t="shared" si="521"/>
        <v>0</v>
      </c>
      <c r="DR169" s="683">
        <f t="shared" si="521"/>
        <v>0</v>
      </c>
      <c r="DS169" s="683">
        <f t="shared" si="25"/>
        <v>0</v>
      </c>
      <c r="DT169" s="683">
        <f t="shared" si="175"/>
        <v>0</v>
      </c>
      <c r="DU169" s="504"/>
      <c r="DV169" s="486"/>
      <c r="DW169" s="688"/>
      <c r="DX169" s="688"/>
      <c r="DY169" s="688"/>
      <c r="DZ169" s="688"/>
      <c r="EA169" s="688"/>
      <c r="EB169" s="688"/>
      <c r="EC169" s="688"/>
      <c r="ED169" s="688"/>
      <c r="EE169" s="688"/>
      <c r="EF169" s="688"/>
      <c r="EG169" s="688"/>
      <c r="EH169" s="689">
        <f t="shared" si="522"/>
        <v>0</v>
      </c>
      <c r="EI169" s="690">
        <v>1.0</v>
      </c>
      <c r="EJ169" s="691"/>
      <c r="EK169" s="691"/>
    </row>
    <row r="170" ht="12.0" customHeight="1">
      <c r="A170" s="709" t="s">
        <v>3026</v>
      </c>
      <c r="B170" s="661">
        <v>2.0</v>
      </c>
      <c r="C170" s="567" t="s">
        <v>3034</v>
      </c>
      <c r="D170" s="568" t="s">
        <v>195</v>
      </c>
      <c r="E170" s="568" t="s">
        <v>2722</v>
      </c>
      <c r="F170" s="567" t="s">
        <v>1763</v>
      </c>
      <c r="G170" s="569" t="s">
        <v>2723</v>
      </c>
      <c r="H170" s="569" t="s">
        <v>3318</v>
      </c>
      <c r="I170" s="721" t="s">
        <v>2306</v>
      </c>
      <c r="J170" s="711" t="s">
        <v>888</v>
      </c>
      <c r="K170" s="567" t="s">
        <v>25</v>
      </c>
      <c r="L170" s="567"/>
      <c r="M170" s="567"/>
      <c r="N170" s="567"/>
      <c r="O170" s="567">
        <v>2024.0</v>
      </c>
      <c r="P170" s="567">
        <v>2024.0</v>
      </c>
      <c r="Q170" s="567">
        <v>2024.0</v>
      </c>
      <c r="R170" s="567"/>
      <c r="S170" s="567"/>
      <c r="T170" s="567"/>
      <c r="U170" s="567"/>
      <c r="V170" s="567"/>
      <c r="W170" s="567"/>
      <c r="X170" s="567"/>
      <c r="Y170" s="567"/>
      <c r="Z170" s="567">
        <v>2.0</v>
      </c>
      <c r="AA170" s="567">
        <v>2.0</v>
      </c>
      <c r="AB170" s="567">
        <v>2.0</v>
      </c>
      <c r="AC170" s="567"/>
      <c r="AD170" s="567"/>
      <c r="AE170" s="567"/>
      <c r="AF170" s="567"/>
      <c r="AG170" s="567"/>
      <c r="AH170" s="567"/>
      <c r="AI170" s="567"/>
      <c r="AJ170" s="567"/>
      <c r="AK170" s="567"/>
      <c r="AL170" s="567"/>
      <c r="AM170" s="567"/>
      <c r="AN170" s="567"/>
      <c r="AO170" s="567"/>
      <c r="AP170" s="567"/>
      <c r="AQ170" s="567"/>
      <c r="AR170" s="567">
        <v>0.0</v>
      </c>
      <c r="AS170" s="567">
        <v>0.0</v>
      </c>
      <c r="AT170" s="567">
        <v>0.0</v>
      </c>
      <c r="AU170" s="567">
        <v>-2024.0</v>
      </c>
      <c r="AV170" s="567">
        <v>-2024.0</v>
      </c>
      <c r="AW170" s="567">
        <v>-2024.0</v>
      </c>
      <c r="AX170" s="567">
        <v>0.0</v>
      </c>
      <c r="AY170" s="567">
        <v>0.0</v>
      </c>
      <c r="AZ170" s="567">
        <v>0.0</v>
      </c>
      <c r="BA170" s="567">
        <v>0.0</v>
      </c>
      <c r="BB170" s="567"/>
      <c r="BC170" s="868"/>
      <c r="BD170" s="567"/>
      <c r="BE170" s="868"/>
      <c r="BF170" s="869"/>
      <c r="BG170" s="869"/>
      <c r="BH170" s="869"/>
      <c r="BI170" s="567"/>
      <c r="BJ170" s="567"/>
      <c r="BK170" s="567"/>
      <c r="BL170" s="870"/>
      <c r="BM170" s="665">
        <f t="shared" si="1"/>
        <v>0</v>
      </c>
      <c r="BN170" s="668"/>
      <c r="BO170" s="668"/>
      <c r="BP170" s="668"/>
      <c r="BQ170" s="668"/>
      <c r="BR170" s="668"/>
      <c r="BS170" s="668"/>
      <c r="BT170" s="668"/>
      <c r="BU170" s="668"/>
      <c r="BV170" s="668"/>
      <c r="BW170" s="670"/>
      <c r="BX170" s="665">
        <f t="shared" si="2"/>
        <v>0</v>
      </c>
      <c r="BY170" s="671">
        <v>0.0</v>
      </c>
      <c r="BZ170" s="668">
        <v>0.0</v>
      </c>
      <c r="CA170" s="668">
        <v>0.0</v>
      </c>
      <c r="CB170" s="668">
        <v>1.0</v>
      </c>
      <c r="CC170" s="668">
        <v>2.0</v>
      </c>
      <c r="CD170" s="668">
        <v>3.0</v>
      </c>
      <c r="CE170" s="668">
        <v>0.0</v>
      </c>
      <c r="CF170" s="668">
        <v>0.0</v>
      </c>
      <c r="CG170" s="668">
        <v>0.0</v>
      </c>
      <c r="CH170" s="713">
        <v>3.0</v>
      </c>
      <c r="CI170" s="665">
        <f t="shared" si="3"/>
        <v>9</v>
      </c>
      <c r="CJ170" s="671">
        <f t="shared" si="4"/>
        <v>9</v>
      </c>
      <c r="CK170" s="715">
        <v>183.97</v>
      </c>
      <c r="CL170" s="668">
        <f>CK170*$CL$1</f>
        <v>1280.4312</v>
      </c>
      <c r="CM170" s="668">
        <f t="shared" ref="CM170:CV170" si="523">BC170*$CL170</f>
        <v>0</v>
      </c>
      <c r="CN170" s="668">
        <f t="shared" si="523"/>
        <v>0</v>
      </c>
      <c r="CO170" s="668">
        <f t="shared" si="523"/>
        <v>0</v>
      </c>
      <c r="CP170" s="668">
        <f t="shared" si="523"/>
        <v>0</v>
      </c>
      <c r="CQ170" s="668">
        <f t="shared" si="523"/>
        <v>0</v>
      </c>
      <c r="CR170" s="668">
        <f t="shared" si="523"/>
        <v>0</v>
      </c>
      <c r="CS170" s="668">
        <f t="shared" si="523"/>
        <v>0</v>
      </c>
      <c r="CT170" s="668">
        <f t="shared" si="523"/>
        <v>0</v>
      </c>
      <c r="CU170" s="668">
        <f t="shared" si="523"/>
        <v>0</v>
      </c>
      <c r="CV170" s="668">
        <f t="shared" si="523"/>
        <v>0</v>
      </c>
      <c r="CW170" s="668">
        <f t="shared" si="21"/>
        <v>0</v>
      </c>
      <c r="CX170" s="668">
        <f t="shared" ref="CX170:DG170" si="524">BN170*$CL170</f>
        <v>0</v>
      </c>
      <c r="CY170" s="668">
        <f t="shared" si="524"/>
        <v>0</v>
      </c>
      <c r="CZ170" s="668">
        <f t="shared" si="524"/>
        <v>0</v>
      </c>
      <c r="DA170" s="668">
        <f t="shared" si="524"/>
        <v>0</v>
      </c>
      <c r="DB170" s="668">
        <f t="shared" si="524"/>
        <v>0</v>
      </c>
      <c r="DC170" s="668">
        <f t="shared" si="524"/>
        <v>0</v>
      </c>
      <c r="DD170" s="668">
        <f t="shared" si="524"/>
        <v>0</v>
      </c>
      <c r="DE170" s="668">
        <f t="shared" si="524"/>
        <v>0</v>
      </c>
      <c r="DF170" s="668">
        <f t="shared" si="524"/>
        <v>0</v>
      </c>
      <c r="DG170" s="668">
        <f t="shared" si="524"/>
        <v>0</v>
      </c>
      <c r="DH170" s="668">
        <f t="shared" si="23"/>
        <v>0</v>
      </c>
      <c r="DI170" s="668">
        <f t="shared" ref="DI170:DR170" si="525">BY170*$CL170</f>
        <v>0</v>
      </c>
      <c r="DJ170" s="668">
        <f t="shared" si="525"/>
        <v>0</v>
      </c>
      <c r="DK170" s="668">
        <f t="shared" si="525"/>
        <v>0</v>
      </c>
      <c r="DL170" s="668">
        <f t="shared" si="525"/>
        <v>1280.4312</v>
      </c>
      <c r="DM170" s="668">
        <f t="shared" si="525"/>
        <v>2560.8624</v>
      </c>
      <c r="DN170" s="668">
        <f t="shared" si="525"/>
        <v>3841.2936</v>
      </c>
      <c r="DO170" s="668">
        <f t="shared" si="525"/>
        <v>0</v>
      </c>
      <c r="DP170" s="668">
        <f t="shared" si="525"/>
        <v>0</v>
      </c>
      <c r="DQ170" s="668">
        <f t="shared" si="525"/>
        <v>0</v>
      </c>
      <c r="DR170" s="668">
        <f t="shared" si="525"/>
        <v>3841.2936</v>
      </c>
      <c r="DS170" s="668">
        <f t="shared" si="25"/>
        <v>11523.8808</v>
      </c>
      <c r="DT170" s="668">
        <f t="shared" si="175"/>
        <v>11523.8808</v>
      </c>
      <c r="DU170" s="538"/>
      <c r="DV170" s="468"/>
      <c r="DW170" s="698"/>
      <c r="DX170" s="698"/>
      <c r="DY170" s="698"/>
      <c r="DZ170" s="698"/>
      <c r="EA170" s="698"/>
      <c r="EB170" s="698"/>
      <c r="EC170" s="698"/>
      <c r="ED170" s="698"/>
      <c r="EE170" s="698"/>
      <c r="EF170" s="698"/>
      <c r="EG170" s="698"/>
      <c r="EH170" s="576" t="s">
        <v>3319</v>
      </c>
      <c r="EI170" s="716">
        <f>VLOOKUP(I170,CotizacionTDB,4,FALSE())</f>
        <v>183.97</v>
      </c>
      <c r="EJ170" s="716">
        <f>VLOOKUP(I170,CotizacionTDB,5,FALSE())</f>
        <v>156.37</v>
      </c>
      <c r="EK170" s="699"/>
    </row>
    <row r="171" ht="12.0" customHeight="1">
      <c r="A171" s="700" t="s">
        <v>3026</v>
      </c>
      <c r="B171" s="701"/>
      <c r="C171" s="562" t="s">
        <v>3034</v>
      </c>
      <c r="D171" s="571" t="s">
        <v>195</v>
      </c>
      <c r="E171" s="571" t="s">
        <v>3282</v>
      </c>
      <c r="F171" s="562" t="s">
        <v>1763</v>
      </c>
      <c r="G171" s="569" t="s">
        <v>2709</v>
      </c>
      <c r="H171" s="569" t="s">
        <v>3320</v>
      </c>
      <c r="I171" s="768">
        <v>1.110585E7</v>
      </c>
      <c r="J171" s="571" t="s">
        <v>3321</v>
      </c>
      <c r="K171" s="562" t="s">
        <v>25</v>
      </c>
      <c r="L171" s="562">
        <v>2024.0</v>
      </c>
      <c r="M171" s="562">
        <v>2024.0</v>
      </c>
      <c r="N171" s="562">
        <v>2024.0</v>
      </c>
      <c r="O171" s="562">
        <v>2024.0</v>
      </c>
      <c r="P171" s="562">
        <v>2024.0</v>
      </c>
      <c r="Q171" s="562">
        <v>2024.0</v>
      </c>
      <c r="R171" s="562">
        <v>2024.0</v>
      </c>
      <c r="S171" s="562">
        <v>2024.0</v>
      </c>
      <c r="T171" s="562"/>
      <c r="U171" s="562">
        <v>2024.0</v>
      </c>
      <c r="V171" s="562"/>
      <c r="W171" s="562">
        <v>2.0</v>
      </c>
      <c r="X171" s="562">
        <v>3.0</v>
      </c>
      <c r="Y171" s="562">
        <v>2.0</v>
      </c>
      <c r="Z171" s="562">
        <v>3.0</v>
      </c>
      <c r="AA171" s="562">
        <v>3.0</v>
      </c>
      <c r="AB171" s="562">
        <v>3.0</v>
      </c>
      <c r="AC171" s="562">
        <v>3.0</v>
      </c>
      <c r="AD171" s="562">
        <v>3.0</v>
      </c>
      <c r="AE171" s="562"/>
      <c r="AF171" s="562">
        <v>3.0</v>
      </c>
      <c r="AG171" s="562"/>
      <c r="AH171" s="562"/>
      <c r="AI171" s="562"/>
      <c r="AJ171" s="562"/>
      <c r="AK171" s="562"/>
      <c r="AL171" s="562"/>
      <c r="AM171" s="562"/>
      <c r="AN171" s="562"/>
      <c r="AO171" s="562"/>
      <c r="AP171" s="562"/>
      <c r="AQ171" s="562"/>
      <c r="AR171" s="562">
        <v>-2024.0</v>
      </c>
      <c r="AS171" s="562">
        <v>-2024.0</v>
      </c>
      <c r="AT171" s="562">
        <v>-2024.0</v>
      </c>
      <c r="AU171" s="562">
        <v>-2024.0</v>
      </c>
      <c r="AV171" s="562">
        <v>-2024.0</v>
      </c>
      <c r="AW171" s="562">
        <v>-2024.0</v>
      </c>
      <c r="AX171" s="562">
        <v>-2024.0</v>
      </c>
      <c r="AY171" s="562">
        <v>-2024.0</v>
      </c>
      <c r="AZ171" s="562">
        <v>0.0</v>
      </c>
      <c r="BA171" s="562">
        <v>-2024.0</v>
      </c>
      <c r="BB171" s="562"/>
      <c r="BC171" s="869"/>
      <c r="BD171" s="869"/>
      <c r="BE171" s="869"/>
      <c r="BF171" s="868"/>
      <c r="BG171" s="868"/>
      <c r="BH171" s="868"/>
      <c r="BI171" s="869"/>
      <c r="BJ171" s="508"/>
      <c r="BK171" s="562"/>
      <c r="BL171" s="871"/>
      <c r="BM171" s="665">
        <f t="shared" si="1"/>
        <v>0</v>
      </c>
      <c r="BN171" s="488"/>
      <c r="BO171" s="488"/>
      <c r="BP171" s="488"/>
      <c r="BQ171" s="488"/>
      <c r="BR171" s="488"/>
      <c r="BS171" s="488"/>
      <c r="BT171" s="488"/>
      <c r="BU171" s="488"/>
      <c r="BV171" s="488"/>
      <c r="BW171" s="837"/>
      <c r="BX171" s="665">
        <f t="shared" si="2"/>
        <v>0</v>
      </c>
      <c r="BY171" s="872"/>
      <c r="BZ171" s="683">
        <v>0.0</v>
      </c>
      <c r="CA171" s="797"/>
      <c r="CB171" s="683">
        <v>0.0</v>
      </c>
      <c r="CC171" s="683">
        <v>0.0</v>
      </c>
      <c r="CD171" s="683">
        <v>0.0</v>
      </c>
      <c r="CE171" s="683">
        <v>0.0</v>
      </c>
      <c r="CF171" s="683">
        <v>0.0</v>
      </c>
      <c r="CG171" s="683">
        <v>0.0</v>
      </c>
      <c r="CH171" s="686">
        <v>0.0</v>
      </c>
      <c r="CI171" s="665">
        <f t="shared" si="3"/>
        <v>0</v>
      </c>
      <c r="CJ171" s="682">
        <f t="shared" si="4"/>
        <v>0</v>
      </c>
      <c r="CK171" s="687"/>
      <c r="CL171" s="683">
        <v>8470.0834</v>
      </c>
      <c r="CM171" s="683">
        <f t="shared" ref="CM171:CV171" si="526">BC171*$CL171</f>
        <v>0</v>
      </c>
      <c r="CN171" s="683">
        <f t="shared" si="526"/>
        <v>0</v>
      </c>
      <c r="CO171" s="683">
        <f t="shared" si="526"/>
        <v>0</v>
      </c>
      <c r="CP171" s="683">
        <f t="shared" si="526"/>
        <v>0</v>
      </c>
      <c r="CQ171" s="683">
        <f t="shared" si="526"/>
        <v>0</v>
      </c>
      <c r="CR171" s="683">
        <f t="shared" si="526"/>
        <v>0</v>
      </c>
      <c r="CS171" s="683">
        <f t="shared" si="526"/>
        <v>0</v>
      </c>
      <c r="CT171" s="683">
        <f t="shared" si="526"/>
        <v>0</v>
      </c>
      <c r="CU171" s="683">
        <f t="shared" si="526"/>
        <v>0</v>
      </c>
      <c r="CV171" s="683">
        <f t="shared" si="526"/>
        <v>0</v>
      </c>
      <c r="CW171" s="683">
        <f t="shared" si="21"/>
        <v>0</v>
      </c>
      <c r="CX171" s="683">
        <f t="shared" ref="CX171:DG171" si="527">BN171*$CL171</f>
        <v>0</v>
      </c>
      <c r="CY171" s="683">
        <f t="shared" si="527"/>
        <v>0</v>
      </c>
      <c r="CZ171" s="683">
        <f t="shared" si="527"/>
        <v>0</v>
      </c>
      <c r="DA171" s="683">
        <f t="shared" si="527"/>
        <v>0</v>
      </c>
      <c r="DB171" s="683">
        <f t="shared" si="527"/>
        <v>0</v>
      </c>
      <c r="DC171" s="683">
        <f t="shared" si="527"/>
        <v>0</v>
      </c>
      <c r="DD171" s="683">
        <f t="shared" si="527"/>
        <v>0</v>
      </c>
      <c r="DE171" s="683">
        <f t="shared" si="527"/>
        <v>0</v>
      </c>
      <c r="DF171" s="683">
        <f t="shared" si="527"/>
        <v>0</v>
      </c>
      <c r="DG171" s="683">
        <f t="shared" si="527"/>
        <v>0</v>
      </c>
      <c r="DH171" s="683">
        <f t="shared" si="23"/>
        <v>0</v>
      </c>
      <c r="DI171" s="683">
        <f t="shared" ref="DI171:DR171" si="528">BY171*$CL171</f>
        <v>0</v>
      </c>
      <c r="DJ171" s="683">
        <f t="shared" si="528"/>
        <v>0</v>
      </c>
      <c r="DK171" s="683">
        <f t="shared" si="528"/>
        <v>0</v>
      </c>
      <c r="DL171" s="683">
        <f t="shared" si="528"/>
        <v>0</v>
      </c>
      <c r="DM171" s="683">
        <f t="shared" si="528"/>
        <v>0</v>
      </c>
      <c r="DN171" s="683">
        <f t="shared" si="528"/>
        <v>0</v>
      </c>
      <c r="DO171" s="683">
        <f t="shared" si="528"/>
        <v>0</v>
      </c>
      <c r="DP171" s="683">
        <f t="shared" si="528"/>
        <v>0</v>
      </c>
      <c r="DQ171" s="683">
        <f t="shared" si="528"/>
        <v>0</v>
      </c>
      <c r="DR171" s="683">
        <f t="shared" si="528"/>
        <v>0</v>
      </c>
      <c r="DS171" s="683">
        <f t="shared" si="25"/>
        <v>0</v>
      </c>
      <c r="DT171" s="683">
        <f t="shared" si="175"/>
        <v>0</v>
      </c>
      <c r="DU171" s="801"/>
      <c r="DV171" s="802" t="s">
        <v>3322</v>
      </c>
      <c r="DW171" s="803"/>
      <c r="DX171" s="803"/>
      <c r="DY171" s="803"/>
      <c r="DZ171" s="803"/>
      <c r="EA171" s="803"/>
      <c r="EB171" s="803"/>
      <c r="EC171" s="803"/>
      <c r="ED171" s="803"/>
      <c r="EE171" s="803"/>
      <c r="EF171" s="803"/>
      <c r="EG171" s="803"/>
      <c r="EH171" s="689">
        <f t="shared" ref="EH171:EH172" si="532">CK171*6.97</f>
        <v>0</v>
      </c>
      <c r="EI171" s="690">
        <v>1.0</v>
      </c>
      <c r="EJ171" s="691"/>
      <c r="EK171" s="691"/>
    </row>
    <row r="172" ht="12.0" customHeight="1">
      <c r="A172" s="709" t="s">
        <v>3026</v>
      </c>
      <c r="B172" s="661"/>
      <c r="C172" s="567" t="s">
        <v>3034</v>
      </c>
      <c r="D172" s="568" t="s">
        <v>195</v>
      </c>
      <c r="E172" s="568" t="s">
        <v>2722</v>
      </c>
      <c r="F172" s="567" t="s">
        <v>1763</v>
      </c>
      <c r="G172" s="657" t="s">
        <v>2723</v>
      </c>
      <c r="H172" s="569" t="s">
        <v>3323</v>
      </c>
      <c r="I172" s="659">
        <v>1.1536859E7</v>
      </c>
      <c r="J172" s="568" t="s">
        <v>3324</v>
      </c>
      <c r="K172" s="567" t="s">
        <v>25</v>
      </c>
      <c r="L172" s="567"/>
      <c r="M172" s="567"/>
      <c r="N172" s="567"/>
      <c r="O172" s="567"/>
      <c r="P172" s="567"/>
      <c r="Q172" s="567"/>
      <c r="R172" s="567"/>
      <c r="S172" s="567"/>
      <c r="T172" s="567"/>
      <c r="U172" s="567">
        <v>2024.0</v>
      </c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>
        <v>2.0</v>
      </c>
      <c r="AG172" s="567"/>
      <c r="AH172" s="567"/>
      <c r="AI172" s="567"/>
      <c r="AJ172" s="567"/>
      <c r="AK172" s="567"/>
      <c r="AL172" s="567"/>
      <c r="AM172" s="567"/>
      <c r="AN172" s="567"/>
      <c r="AO172" s="567"/>
      <c r="AP172" s="567"/>
      <c r="AQ172" s="567"/>
      <c r="AR172" s="567">
        <v>0.0</v>
      </c>
      <c r="AS172" s="567">
        <v>0.0</v>
      </c>
      <c r="AT172" s="567">
        <v>0.0</v>
      </c>
      <c r="AU172" s="567">
        <v>0.0</v>
      </c>
      <c r="AV172" s="567">
        <v>0.0</v>
      </c>
      <c r="AW172" s="567">
        <v>0.0</v>
      </c>
      <c r="AX172" s="567">
        <v>0.0</v>
      </c>
      <c r="AY172" s="567">
        <v>0.0</v>
      </c>
      <c r="AZ172" s="567">
        <v>0.0</v>
      </c>
      <c r="BA172" s="567">
        <v>-2024.0</v>
      </c>
      <c r="BB172" s="567"/>
      <c r="BC172" s="567"/>
      <c r="BD172" s="567"/>
      <c r="BE172" s="567"/>
      <c r="BF172" s="567"/>
      <c r="BG172" s="567"/>
      <c r="BH172" s="567"/>
      <c r="BI172" s="567"/>
      <c r="BJ172" s="567"/>
      <c r="BK172" s="567"/>
      <c r="BL172" s="873">
        <v>0.0</v>
      </c>
      <c r="BM172" s="665">
        <f t="shared" si="1"/>
        <v>0</v>
      </c>
      <c r="BN172" s="671"/>
      <c r="BO172" s="668"/>
      <c r="BP172" s="668"/>
      <c r="BQ172" s="668"/>
      <c r="BR172" s="668"/>
      <c r="BS172" s="668"/>
      <c r="BT172" s="668"/>
      <c r="BU172" s="668"/>
      <c r="BV172" s="668"/>
      <c r="BW172" s="670"/>
      <c r="BX172" s="665">
        <f t="shared" si="2"/>
        <v>0</v>
      </c>
      <c r="BY172" s="671">
        <v>0.0</v>
      </c>
      <c r="BZ172" s="668">
        <v>0.0</v>
      </c>
      <c r="CA172" s="668">
        <v>0.0</v>
      </c>
      <c r="CB172" s="668">
        <v>0.0</v>
      </c>
      <c r="CC172" s="668">
        <v>0.0</v>
      </c>
      <c r="CD172" s="668">
        <v>0.0</v>
      </c>
      <c r="CE172" s="668">
        <v>0.0</v>
      </c>
      <c r="CF172" s="668">
        <v>0.0</v>
      </c>
      <c r="CG172" s="668">
        <v>0.0</v>
      </c>
      <c r="CH172" s="874">
        <v>0.0</v>
      </c>
      <c r="CI172" s="665">
        <f t="shared" si="3"/>
        <v>0</v>
      </c>
      <c r="CJ172" s="671">
        <f t="shared" si="4"/>
        <v>0</v>
      </c>
      <c r="CK172" s="674"/>
      <c r="CL172" s="668">
        <v>9574.689</v>
      </c>
      <c r="CM172" s="668">
        <f t="shared" ref="CM172:CV172" si="529">BC172*$CL172</f>
        <v>0</v>
      </c>
      <c r="CN172" s="668">
        <f t="shared" si="529"/>
        <v>0</v>
      </c>
      <c r="CO172" s="668">
        <f t="shared" si="529"/>
        <v>0</v>
      </c>
      <c r="CP172" s="668">
        <f t="shared" si="529"/>
        <v>0</v>
      </c>
      <c r="CQ172" s="668">
        <f t="shared" si="529"/>
        <v>0</v>
      </c>
      <c r="CR172" s="668">
        <f t="shared" si="529"/>
        <v>0</v>
      </c>
      <c r="CS172" s="668">
        <f t="shared" si="529"/>
        <v>0</v>
      </c>
      <c r="CT172" s="668">
        <f t="shared" si="529"/>
        <v>0</v>
      </c>
      <c r="CU172" s="668">
        <f t="shared" si="529"/>
        <v>0</v>
      </c>
      <c r="CV172" s="668">
        <f t="shared" si="529"/>
        <v>0</v>
      </c>
      <c r="CW172" s="668">
        <f t="shared" si="21"/>
        <v>0</v>
      </c>
      <c r="CX172" s="668">
        <f t="shared" ref="CX172:DG172" si="530">BN172*$CL172</f>
        <v>0</v>
      </c>
      <c r="CY172" s="668">
        <f t="shared" si="530"/>
        <v>0</v>
      </c>
      <c r="CZ172" s="668">
        <f t="shared" si="530"/>
        <v>0</v>
      </c>
      <c r="DA172" s="668">
        <f t="shared" si="530"/>
        <v>0</v>
      </c>
      <c r="DB172" s="668">
        <f t="shared" si="530"/>
        <v>0</v>
      </c>
      <c r="DC172" s="668">
        <f t="shared" si="530"/>
        <v>0</v>
      </c>
      <c r="DD172" s="668">
        <f t="shared" si="530"/>
        <v>0</v>
      </c>
      <c r="DE172" s="668">
        <f t="shared" si="530"/>
        <v>0</v>
      </c>
      <c r="DF172" s="668">
        <f t="shared" si="530"/>
        <v>0</v>
      </c>
      <c r="DG172" s="668">
        <f t="shared" si="530"/>
        <v>0</v>
      </c>
      <c r="DH172" s="668">
        <f t="shared" si="23"/>
        <v>0</v>
      </c>
      <c r="DI172" s="668">
        <f t="shared" ref="DI172:DR172" si="531">BY172*$CL172</f>
        <v>0</v>
      </c>
      <c r="DJ172" s="668">
        <f t="shared" si="531"/>
        <v>0</v>
      </c>
      <c r="DK172" s="668">
        <f t="shared" si="531"/>
        <v>0</v>
      </c>
      <c r="DL172" s="668">
        <f t="shared" si="531"/>
        <v>0</v>
      </c>
      <c r="DM172" s="668">
        <f t="shared" si="531"/>
        <v>0</v>
      </c>
      <c r="DN172" s="668">
        <f t="shared" si="531"/>
        <v>0</v>
      </c>
      <c r="DO172" s="668">
        <f t="shared" si="531"/>
        <v>0</v>
      </c>
      <c r="DP172" s="668">
        <f t="shared" si="531"/>
        <v>0</v>
      </c>
      <c r="DQ172" s="668">
        <f t="shared" si="531"/>
        <v>0</v>
      </c>
      <c r="DR172" s="668">
        <f t="shared" si="531"/>
        <v>0</v>
      </c>
      <c r="DS172" s="668">
        <f t="shared" si="25"/>
        <v>0</v>
      </c>
      <c r="DT172" s="668">
        <f t="shared" si="175"/>
        <v>0</v>
      </c>
      <c r="DU172" s="792"/>
      <c r="DV172" s="675"/>
      <c r="DW172" s="676"/>
      <c r="DX172" s="676"/>
      <c r="DY172" s="676"/>
      <c r="DZ172" s="676"/>
      <c r="EA172" s="676"/>
      <c r="EB172" s="676"/>
      <c r="EC172" s="676"/>
      <c r="ED172" s="676"/>
      <c r="EE172" s="676"/>
      <c r="EF172" s="676"/>
      <c r="EG172" s="676"/>
      <c r="EH172" s="677">
        <f t="shared" si="532"/>
        <v>0</v>
      </c>
      <c r="EI172" s="678">
        <v>1.0</v>
      </c>
      <c r="EJ172" s="699"/>
      <c r="EK172" s="699"/>
    </row>
    <row r="173" ht="12.0" customHeight="1">
      <c r="A173" s="700" t="s">
        <v>3026</v>
      </c>
      <c r="B173" s="701">
        <v>2.0</v>
      </c>
      <c r="C173" s="562" t="s">
        <v>3034</v>
      </c>
      <c r="D173" s="571" t="s">
        <v>195</v>
      </c>
      <c r="E173" s="571" t="s">
        <v>3282</v>
      </c>
      <c r="F173" s="562" t="s">
        <v>1763</v>
      </c>
      <c r="G173" s="569" t="s">
        <v>2709</v>
      </c>
      <c r="H173" s="569" t="s">
        <v>3325</v>
      </c>
      <c r="I173" s="703" t="s">
        <v>2453</v>
      </c>
      <c r="J173" s="704" t="s">
        <v>646</v>
      </c>
      <c r="K173" s="562" t="s">
        <v>25</v>
      </c>
      <c r="L173" s="821">
        <v>2025.0</v>
      </c>
      <c r="M173" s="562"/>
      <c r="N173" s="821">
        <v>2026.0</v>
      </c>
      <c r="O173" s="562"/>
      <c r="P173" s="562"/>
      <c r="Q173" s="562"/>
      <c r="R173" s="562"/>
      <c r="S173" s="562"/>
      <c r="T173" s="562"/>
      <c r="U173" s="562"/>
      <c r="V173" s="562"/>
      <c r="W173" s="562">
        <v>8.0</v>
      </c>
      <c r="X173" s="562"/>
      <c r="Y173" s="562">
        <v>8.0</v>
      </c>
      <c r="Z173" s="562"/>
      <c r="AA173" s="562"/>
      <c r="AB173" s="562"/>
      <c r="AC173" s="562"/>
      <c r="AD173" s="562"/>
      <c r="AE173" s="562"/>
      <c r="AF173" s="562"/>
      <c r="AG173" s="562"/>
      <c r="AH173" s="562"/>
      <c r="AI173" s="562"/>
      <c r="AJ173" s="562"/>
      <c r="AK173" s="562"/>
      <c r="AL173" s="562"/>
      <c r="AM173" s="562"/>
      <c r="AN173" s="562"/>
      <c r="AO173" s="562"/>
      <c r="AP173" s="562"/>
      <c r="AQ173" s="562"/>
      <c r="AR173" s="562">
        <v>-2025.0</v>
      </c>
      <c r="AS173" s="562">
        <v>0.0</v>
      </c>
      <c r="AT173" s="562">
        <v>-2026.0</v>
      </c>
      <c r="AU173" s="562">
        <v>0.0</v>
      </c>
      <c r="AV173" s="562">
        <v>0.0</v>
      </c>
      <c r="AW173" s="562">
        <v>0.0</v>
      </c>
      <c r="AX173" s="562">
        <v>0.0</v>
      </c>
      <c r="AY173" s="562">
        <v>0.0</v>
      </c>
      <c r="AZ173" s="562">
        <v>0.0</v>
      </c>
      <c r="BA173" s="562">
        <v>0.0</v>
      </c>
      <c r="BB173" s="562"/>
      <c r="BC173" s="562"/>
      <c r="BD173" s="562"/>
      <c r="BE173" s="680">
        <v>0.0</v>
      </c>
      <c r="BF173" s="562"/>
      <c r="BG173" s="562"/>
      <c r="BH173" s="562"/>
      <c r="BI173" s="562"/>
      <c r="BJ173" s="562"/>
      <c r="BK173" s="562"/>
      <c r="BL173" s="681"/>
      <c r="BM173" s="665">
        <f t="shared" si="1"/>
        <v>0</v>
      </c>
      <c r="BN173" s="682">
        <v>1.0</v>
      </c>
      <c r="BO173" s="683"/>
      <c r="BP173" s="683"/>
      <c r="BQ173" s="683"/>
      <c r="BR173" s="683"/>
      <c r="BS173" s="683"/>
      <c r="BT173" s="683"/>
      <c r="BU173" s="683"/>
      <c r="BV173" s="683"/>
      <c r="BW173" s="686"/>
      <c r="BX173" s="665">
        <f t="shared" si="2"/>
        <v>1</v>
      </c>
      <c r="BY173" s="682">
        <v>0.0</v>
      </c>
      <c r="BZ173" s="683">
        <v>0.0</v>
      </c>
      <c r="CA173" s="683">
        <v>1.0</v>
      </c>
      <c r="CB173" s="683">
        <v>0.0</v>
      </c>
      <c r="CC173" s="683">
        <v>0.0</v>
      </c>
      <c r="CD173" s="683">
        <v>0.0</v>
      </c>
      <c r="CE173" s="683">
        <v>0.0</v>
      </c>
      <c r="CF173" s="683">
        <v>0.0</v>
      </c>
      <c r="CG173" s="683">
        <v>0.0</v>
      </c>
      <c r="CH173" s="686">
        <v>0.0</v>
      </c>
      <c r="CI173" s="665">
        <f t="shared" si="3"/>
        <v>1</v>
      </c>
      <c r="CJ173" s="682">
        <f t="shared" si="4"/>
        <v>2</v>
      </c>
      <c r="CK173" s="706">
        <v>2757.54</v>
      </c>
      <c r="CL173" s="683">
        <f>CK173*$CL$1</f>
        <v>19192.4784</v>
      </c>
      <c r="CM173" s="683">
        <f t="shared" ref="CM173:CV173" si="533">BC173*$CL173</f>
        <v>0</v>
      </c>
      <c r="CN173" s="683">
        <f t="shared" si="533"/>
        <v>0</v>
      </c>
      <c r="CO173" s="683">
        <f t="shared" si="533"/>
        <v>0</v>
      </c>
      <c r="CP173" s="683">
        <f t="shared" si="533"/>
        <v>0</v>
      </c>
      <c r="CQ173" s="683">
        <f t="shared" si="533"/>
        <v>0</v>
      </c>
      <c r="CR173" s="683">
        <f t="shared" si="533"/>
        <v>0</v>
      </c>
      <c r="CS173" s="683">
        <f t="shared" si="533"/>
        <v>0</v>
      </c>
      <c r="CT173" s="683">
        <f t="shared" si="533"/>
        <v>0</v>
      </c>
      <c r="CU173" s="683">
        <f t="shared" si="533"/>
        <v>0</v>
      </c>
      <c r="CV173" s="683">
        <f t="shared" si="533"/>
        <v>0</v>
      </c>
      <c r="CW173" s="683">
        <f t="shared" si="21"/>
        <v>0</v>
      </c>
      <c r="CX173" s="683">
        <f t="shared" ref="CX173:DG173" si="534">BN173*$CL173</f>
        <v>19192.4784</v>
      </c>
      <c r="CY173" s="683">
        <f t="shared" si="534"/>
        <v>0</v>
      </c>
      <c r="CZ173" s="683">
        <f t="shared" si="534"/>
        <v>0</v>
      </c>
      <c r="DA173" s="683">
        <f t="shared" si="534"/>
        <v>0</v>
      </c>
      <c r="DB173" s="683">
        <f t="shared" si="534"/>
        <v>0</v>
      </c>
      <c r="DC173" s="683">
        <f t="shared" si="534"/>
        <v>0</v>
      </c>
      <c r="DD173" s="683">
        <f t="shared" si="534"/>
        <v>0</v>
      </c>
      <c r="DE173" s="683">
        <f t="shared" si="534"/>
        <v>0</v>
      </c>
      <c r="DF173" s="683">
        <f t="shared" si="534"/>
        <v>0</v>
      </c>
      <c r="DG173" s="683">
        <f t="shared" si="534"/>
        <v>0</v>
      </c>
      <c r="DH173" s="683">
        <f t="shared" si="23"/>
        <v>19192.4784</v>
      </c>
      <c r="DI173" s="683">
        <f t="shared" ref="DI173:DR173" si="535">BY173*$CL173</f>
        <v>0</v>
      </c>
      <c r="DJ173" s="683">
        <f t="shared" si="535"/>
        <v>0</v>
      </c>
      <c r="DK173" s="683">
        <f t="shared" si="535"/>
        <v>19192.4784</v>
      </c>
      <c r="DL173" s="683">
        <f t="shared" si="535"/>
        <v>0</v>
      </c>
      <c r="DM173" s="683">
        <f t="shared" si="535"/>
        <v>0</v>
      </c>
      <c r="DN173" s="683">
        <f t="shared" si="535"/>
        <v>0</v>
      </c>
      <c r="DO173" s="683">
        <f t="shared" si="535"/>
        <v>0</v>
      </c>
      <c r="DP173" s="683">
        <f t="shared" si="535"/>
        <v>0</v>
      </c>
      <c r="DQ173" s="683">
        <f t="shared" si="535"/>
        <v>0</v>
      </c>
      <c r="DR173" s="683">
        <f t="shared" si="535"/>
        <v>0</v>
      </c>
      <c r="DS173" s="683">
        <f t="shared" si="25"/>
        <v>19192.4784</v>
      </c>
      <c r="DT173" s="683">
        <f t="shared" si="175"/>
        <v>38384.9568</v>
      </c>
      <c r="DU173" s="504"/>
      <c r="DV173" s="486"/>
      <c r="DW173" s="688"/>
      <c r="DX173" s="688"/>
      <c r="DY173" s="688"/>
      <c r="DZ173" s="688"/>
      <c r="EA173" s="688"/>
      <c r="EB173" s="688"/>
      <c r="EC173" s="688"/>
      <c r="ED173" s="688"/>
      <c r="EE173" s="688"/>
      <c r="EF173" s="688"/>
      <c r="EG173" s="688"/>
      <c r="EH173" s="707" t="s">
        <v>3326</v>
      </c>
      <c r="EI173" s="708">
        <f>VLOOKUP(I173,CotizacionTDB,4,FALSE())</f>
        <v>2757.54</v>
      </c>
      <c r="EJ173" s="708">
        <f>VLOOKUP(I173,CotizacionTDB,5,FALSE())</f>
        <v>2343.91</v>
      </c>
      <c r="EK173" s="691"/>
    </row>
    <row r="174" ht="12.0" customHeight="1">
      <c r="A174" s="709" t="s">
        <v>3026</v>
      </c>
      <c r="B174" s="661"/>
      <c r="C174" s="567" t="s">
        <v>3034</v>
      </c>
      <c r="D174" s="568" t="s">
        <v>195</v>
      </c>
      <c r="E174" s="568" t="s">
        <v>2722</v>
      </c>
      <c r="F174" s="567" t="s">
        <v>1763</v>
      </c>
      <c r="G174" s="657" t="s">
        <v>2723</v>
      </c>
      <c r="H174" s="658" t="s">
        <v>3327</v>
      </c>
      <c r="I174" s="659" t="s">
        <v>212</v>
      </c>
      <c r="J174" s="568" t="s">
        <v>3328</v>
      </c>
      <c r="K174" s="567" t="s">
        <v>25</v>
      </c>
      <c r="L174" s="567"/>
      <c r="M174" s="567"/>
      <c r="N174" s="567">
        <v>2024.0</v>
      </c>
      <c r="O174" s="567">
        <v>2024.0</v>
      </c>
      <c r="P174" s="567"/>
      <c r="Q174" s="567"/>
      <c r="R174" s="567"/>
      <c r="S174" s="567"/>
      <c r="T174" s="567"/>
      <c r="U174" s="567"/>
      <c r="V174" s="567"/>
      <c r="W174" s="567"/>
      <c r="X174" s="567"/>
      <c r="Y174" s="567">
        <v>10.0</v>
      </c>
      <c r="Z174" s="567">
        <v>7.0</v>
      </c>
      <c r="AA174" s="567"/>
      <c r="AB174" s="567"/>
      <c r="AC174" s="567"/>
      <c r="AD174" s="567"/>
      <c r="AE174" s="567"/>
      <c r="AF174" s="567"/>
      <c r="AG174" s="567"/>
      <c r="AH174" s="567"/>
      <c r="AI174" s="567"/>
      <c r="AJ174" s="567"/>
      <c r="AK174" s="567"/>
      <c r="AL174" s="567"/>
      <c r="AM174" s="567"/>
      <c r="AN174" s="567"/>
      <c r="AO174" s="567"/>
      <c r="AP174" s="567"/>
      <c r="AQ174" s="567"/>
      <c r="AR174" s="567">
        <v>0.0</v>
      </c>
      <c r="AS174" s="567">
        <v>0.0</v>
      </c>
      <c r="AT174" s="567">
        <v>-2024.0</v>
      </c>
      <c r="AU174" s="567">
        <v>-2024.0</v>
      </c>
      <c r="AV174" s="567">
        <v>0.0</v>
      </c>
      <c r="AW174" s="567">
        <v>0.0</v>
      </c>
      <c r="AX174" s="567">
        <v>0.0</v>
      </c>
      <c r="AY174" s="567">
        <v>0.0</v>
      </c>
      <c r="AZ174" s="567">
        <v>0.0</v>
      </c>
      <c r="BA174" s="567">
        <v>0.0</v>
      </c>
      <c r="BB174" s="567"/>
      <c r="BC174" s="567"/>
      <c r="BD174" s="567"/>
      <c r="BE174" s="661">
        <v>0.0</v>
      </c>
      <c r="BF174" s="661">
        <v>0.0</v>
      </c>
      <c r="BG174" s="567"/>
      <c r="BH174" s="567"/>
      <c r="BI174" s="567"/>
      <c r="BJ174" s="567"/>
      <c r="BK174" s="567"/>
      <c r="BL174" s="725"/>
      <c r="BM174" s="665">
        <f t="shared" si="1"/>
        <v>0</v>
      </c>
      <c r="BN174" s="671"/>
      <c r="BO174" s="668"/>
      <c r="BP174" s="668"/>
      <c r="BQ174" s="807">
        <v>0.0</v>
      </c>
      <c r="BR174" s="668"/>
      <c r="BS174" s="668"/>
      <c r="BT174" s="668"/>
      <c r="BU174" s="668"/>
      <c r="BV174" s="668"/>
      <c r="BW174" s="670"/>
      <c r="BX174" s="665">
        <f t="shared" si="2"/>
        <v>0</v>
      </c>
      <c r="BY174" s="671">
        <v>0.0</v>
      </c>
      <c r="BZ174" s="668">
        <v>0.0</v>
      </c>
      <c r="CA174" s="668">
        <v>0.0</v>
      </c>
      <c r="CB174" s="668">
        <v>0.0</v>
      </c>
      <c r="CC174" s="668">
        <v>0.0</v>
      </c>
      <c r="CD174" s="668">
        <v>0.0</v>
      </c>
      <c r="CE174" s="668">
        <v>0.0</v>
      </c>
      <c r="CF174" s="668">
        <v>0.0</v>
      </c>
      <c r="CG174" s="668">
        <v>0.0</v>
      </c>
      <c r="CH174" s="670">
        <v>0.0</v>
      </c>
      <c r="CI174" s="665">
        <f t="shared" si="3"/>
        <v>0</v>
      </c>
      <c r="CJ174" s="671">
        <f t="shared" si="4"/>
        <v>0</v>
      </c>
      <c r="CK174" s="668"/>
      <c r="CL174" s="668">
        <v>19505.2662</v>
      </c>
      <c r="CM174" s="668">
        <f t="shared" ref="CM174:CV174" si="536">BC174*$CL174</f>
        <v>0</v>
      </c>
      <c r="CN174" s="668">
        <f t="shared" si="536"/>
        <v>0</v>
      </c>
      <c r="CO174" s="668">
        <f t="shared" si="536"/>
        <v>0</v>
      </c>
      <c r="CP174" s="668">
        <f t="shared" si="536"/>
        <v>0</v>
      </c>
      <c r="CQ174" s="668">
        <f t="shared" si="536"/>
        <v>0</v>
      </c>
      <c r="CR174" s="668">
        <f t="shared" si="536"/>
        <v>0</v>
      </c>
      <c r="CS174" s="668">
        <f t="shared" si="536"/>
        <v>0</v>
      </c>
      <c r="CT174" s="668">
        <f t="shared" si="536"/>
        <v>0</v>
      </c>
      <c r="CU174" s="668">
        <f t="shared" si="536"/>
        <v>0</v>
      </c>
      <c r="CV174" s="668">
        <f t="shared" si="536"/>
        <v>0</v>
      </c>
      <c r="CW174" s="668">
        <f t="shared" si="21"/>
        <v>0</v>
      </c>
      <c r="CX174" s="668">
        <f t="shared" ref="CX174:DG174" si="537">BN174*$CL174</f>
        <v>0</v>
      </c>
      <c r="CY174" s="668">
        <f t="shared" si="537"/>
        <v>0</v>
      </c>
      <c r="CZ174" s="668">
        <f t="shared" si="537"/>
        <v>0</v>
      </c>
      <c r="DA174" s="668">
        <f t="shared" si="537"/>
        <v>0</v>
      </c>
      <c r="DB174" s="668">
        <f t="shared" si="537"/>
        <v>0</v>
      </c>
      <c r="DC174" s="668">
        <f t="shared" si="537"/>
        <v>0</v>
      </c>
      <c r="DD174" s="668">
        <f t="shared" si="537"/>
        <v>0</v>
      </c>
      <c r="DE174" s="668">
        <f t="shared" si="537"/>
        <v>0</v>
      </c>
      <c r="DF174" s="668">
        <f t="shared" si="537"/>
        <v>0</v>
      </c>
      <c r="DG174" s="668">
        <f t="shared" si="537"/>
        <v>0</v>
      </c>
      <c r="DH174" s="668">
        <f t="shared" si="23"/>
        <v>0</v>
      </c>
      <c r="DI174" s="668">
        <f t="shared" ref="DI174:DR174" si="538">BY174*$CL174</f>
        <v>0</v>
      </c>
      <c r="DJ174" s="668">
        <f t="shared" si="538"/>
        <v>0</v>
      </c>
      <c r="DK174" s="668">
        <f t="shared" si="538"/>
        <v>0</v>
      </c>
      <c r="DL174" s="668">
        <f t="shared" si="538"/>
        <v>0</v>
      </c>
      <c r="DM174" s="668">
        <f t="shared" si="538"/>
        <v>0</v>
      </c>
      <c r="DN174" s="668">
        <f t="shared" si="538"/>
        <v>0</v>
      </c>
      <c r="DO174" s="668">
        <f t="shared" si="538"/>
        <v>0</v>
      </c>
      <c r="DP174" s="668">
        <f t="shared" si="538"/>
        <v>0</v>
      </c>
      <c r="DQ174" s="668">
        <f t="shared" si="538"/>
        <v>0</v>
      </c>
      <c r="DR174" s="668">
        <f t="shared" si="538"/>
        <v>0</v>
      </c>
      <c r="DS174" s="668">
        <f t="shared" si="25"/>
        <v>0</v>
      </c>
      <c r="DT174" s="668">
        <f t="shared" si="175"/>
        <v>0</v>
      </c>
      <c r="DU174" s="538"/>
      <c r="DV174" s="468"/>
      <c r="DW174" s="698"/>
      <c r="DX174" s="698"/>
      <c r="DY174" s="698"/>
      <c r="DZ174" s="698"/>
      <c r="EA174" s="698"/>
      <c r="EB174" s="698"/>
      <c r="EC174" s="698"/>
      <c r="ED174" s="698"/>
      <c r="EE174" s="698"/>
      <c r="EF174" s="698"/>
      <c r="EG174" s="698"/>
      <c r="EH174" s="677">
        <f t="shared" ref="EH174:EH176" si="542">CK174*6.97</f>
        <v>0</v>
      </c>
      <c r="EI174" s="678">
        <v>1.0</v>
      </c>
      <c r="EJ174" s="699"/>
      <c r="EK174" s="699"/>
    </row>
    <row r="175" ht="12.0" customHeight="1">
      <c r="A175" s="700" t="s">
        <v>3026</v>
      </c>
      <c r="B175" s="701"/>
      <c r="C175" s="562" t="s">
        <v>3034</v>
      </c>
      <c r="D175" s="571" t="s">
        <v>195</v>
      </c>
      <c r="E175" s="571" t="s">
        <v>2722</v>
      </c>
      <c r="F175" s="562" t="s">
        <v>1763</v>
      </c>
      <c r="G175" s="702" t="s">
        <v>2723</v>
      </c>
      <c r="H175" s="737" t="s">
        <v>3329</v>
      </c>
      <c r="I175" s="768" t="s">
        <v>457</v>
      </c>
      <c r="J175" s="571" t="s">
        <v>3330</v>
      </c>
      <c r="K175" s="562" t="s">
        <v>25</v>
      </c>
      <c r="L175" s="562"/>
      <c r="M175" s="562"/>
      <c r="N175" s="562"/>
      <c r="O175" s="562"/>
      <c r="P175" s="562"/>
      <c r="Q175" s="562"/>
      <c r="R175" s="562"/>
      <c r="S175" s="562"/>
      <c r="T175" s="562"/>
      <c r="U175" s="562">
        <v>2024.0</v>
      </c>
      <c r="V175" s="562"/>
      <c r="W175" s="562"/>
      <c r="X175" s="562"/>
      <c r="Y175" s="562"/>
      <c r="Z175" s="562"/>
      <c r="AA175" s="562"/>
      <c r="AB175" s="562"/>
      <c r="AC175" s="562"/>
      <c r="AD175" s="562"/>
      <c r="AE175" s="562"/>
      <c r="AF175" s="562">
        <v>2.0</v>
      </c>
      <c r="AG175" s="562"/>
      <c r="AH175" s="562"/>
      <c r="AI175" s="562"/>
      <c r="AJ175" s="562"/>
      <c r="AK175" s="562"/>
      <c r="AL175" s="562"/>
      <c r="AM175" s="562"/>
      <c r="AN175" s="562"/>
      <c r="AO175" s="562"/>
      <c r="AP175" s="562"/>
      <c r="AQ175" s="562"/>
      <c r="AR175" s="562">
        <v>0.0</v>
      </c>
      <c r="AS175" s="562">
        <v>0.0</v>
      </c>
      <c r="AT175" s="562">
        <v>0.0</v>
      </c>
      <c r="AU175" s="562">
        <v>0.0</v>
      </c>
      <c r="AV175" s="562">
        <v>0.0</v>
      </c>
      <c r="AW175" s="562">
        <v>0.0</v>
      </c>
      <c r="AX175" s="562">
        <v>0.0</v>
      </c>
      <c r="AY175" s="562">
        <v>0.0</v>
      </c>
      <c r="AZ175" s="562">
        <v>0.0</v>
      </c>
      <c r="BA175" s="562">
        <v>-2024.0</v>
      </c>
      <c r="BB175" s="562"/>
      <c r="BC175" s="562"/>
      <c r="BD175" s="562"/>
      <c r="BE175" s="562"/>
      <c r="BF175" s="562"/>
      <c r="BG175" s="562"/>
      <c r="BH175" s="562"/>
      <c r="BI175" s="562"/>
      <c r="BJ175" s="562"/>
      <c r="BK175" s="562"/>
      <c r="BL175" s="873">
        <v>0.0</v>
      </c>
      <c r="BM175" s="665">
        <f t="shared" si="1"/>
        <v>0</v>
      </c>
      <c r="BN175" s="682"/>
      <c r="BO175" s="683"/>
      <c r="BP175" s="683"/>
      <c r="BQ175" s="683"/>
      <c r="BR175" s="683"/>
      <c r="BS175" s="683"/>
      <c r="BT175" s="683"/>
      <c r="BU175" s="683"/>
      <c r="BV175" s="683"/>
      <c r="BW175" s="686"/>
      <c r="BX175" s="665">
        <f t="shared" si="2"/>
        <v>0</v>
      </c>
      <c r="BY175" s="682">
        <v>0.0</v>
      </c>
      <c r="BZ175" s="683">
        <v>0.0</v>
      </c>
      <c r="CA175" s="683">
        <v>0.0</v>
      </c>
      <c r="CB175" s="683">
        <v>0.0</v>
      </c>
      <c r="CC175" s="683">
        <v>0.0</v>
      </c>
      <c r="CD175" s="683">
        <v>0.0</v>
      </c>
      <c r="CE175" s="683">
        <v>0.0</v>
      </c>
      <c r="CF175" s="683">
        <v>0.0</v>
      </c>
      <c r="CG175" s="683">
        <v>0.0</v>
      </c>
      <c r="CH175" s="875">
        <v>0.0</v>
      </c>
      <c r="CI175" s="665">
        <f t="shared" si="3"/>
        <v>0</v>
      </c>
      <c r="CJ175" s="682">
        <f t="shared" si="4"/>
        <v>0</v>
      </c>
      <c r="CK175" s="683"/>
      <c r="CL175" s="683">
        <v>4161.09</v>
      </c>
      <c r="CM175" s="683">
        <f t="shared" ref="CM175:CV175" si="539">BC175*$CL175</f>
        <v>0</v>
      </c>
      <c r="CN175" s="683">
        <f t="shared" si="539"/>
        <v>0</v>
      </c>
      <c r="CO175" s="683">
        <f t="shared" si="539"/>
        <v>0</v>
      </c>
      <c r="CP175" s="683">
        <f t="shared" si="539"/>
        <v>0</v>
      </c>
      <c r="CQ175" s="683">
        <f t="shared" si="539"/>
        <v>0</v>
      </c>
      <c r="CR175" s="683">
        <f t="shared" si="539"/>
        <v>0</v>
      </c>
      <c r="CS175" s="683">
        <f t="shared" si="539"/>
        <v>0</v>
      </c>
      <c r="CT175" s="683">
        <f t="shared" si="539"/>
        <v>0</v>
      </c>
      <c r="CU175" s="683">
        <f t="shared" si="539"/>
        <v>0</v>
      </c>
      <c r="CV175" s="683">
        <f t="shared" si="539"/>
        <v>0</v>
      </c>
      <c r="CW175" s="683">
        <f t="shared" si="21"/>
        <v>0</v>
      </c>
      <c r="CX175" s="683">
        <f t="shared" ref="CX175:DG175" si="540">BN175*$CL175</f>
        <v>0</v>
      </c>
      <c r="CY175" s="683">
        <f t="shared" si="540"/>
        <v>0</v>
      </c>
      <c r="CZ175" s="683">
        <f t="shared" si="540"/>
        <v>0</v>
      </c>
      <c r="DA175" s="683">
        <f t="shared" si="540"/>
        <v>0</v>
      </c>
      <c r="DB175" s="683">
        <f t="shared" si="540"/>
        <v>0</v>
      </c>
      <c r="DC175" s="683">
        <f t="shared" si="540"/>
        <v>0</v>
      </c>
      <c r="DD175" s="683">
        <f t="shared" si="540"/>
        <v>0</v>
      </c>
      <c r="DE175" s="683">
        <f t="shared" si="540"/>
        <v>0</v>
      </c>
      <c r="DF175" s="683">
        <f t="shared" si="540"/>
        <v>0</v>
      </c>
      <c r="DG175" s="683">
        <f t="shared" si="540"/>
        <v>0</v>
      </c>
      <c r="DH175" s="683">
        <f t="shared" si="23"/>
        <v>0</v>
      </c>
      <c r="DI175" s="683">
        <f t="shared" ref="DI175:DR175" si="541">BY175*$CL175</f>
        <v>0</v>
      </c>
      <c r="DJ175" s="683">
        <f t="shared" si="541"/>
        <v>0</v>
      </c>
      <c r="DK175" s="683">
        <f t="shared" si="541"/>
        <v>0</v>
      </c>
      <c r="DL175" s="683">
        <f t="shared" si="541"/>
        <v>0</v>
      </c>
      <c r="DM175" s="683">
        <f t="shared" si="541"/>
        <v>0</v>
      </c>
      <c r="DN175" s="683">
        <f t="shared" si="541"/>
        <v>0</v>
      </c>
      <c r="DO175" s="683">
        <f t="shared" si="541"/>
        <v>0</v>
      </c>
      <c r="DP175" s="683">
        <f t="shared" si="541"/>
        <v>0</v>
      </c>
      <c r="DQ175" s="683">
        <f t="shared" si="541"/>
        <v>0</v>
      </c>
      <c r="DR175" s="683">
        <f t="shared" si="541"/>
        <v>0</v>
      </c>
      <c r="DS175" s="683">
        <f t="shared" si="25"/>
        <v>0</v>
      </c>
      <c r="DT175" s="683">
        <f t="shared" si="175"/>
        <v>0</v>
      </c>
      <c r="DU175" s="504"/>
      <c r="DV175" s="486"/>
      <c r="DW175" s="688"/>
      <c r="DX175" s="688"/>
      <c r="DY175" s="688"/>
      <c r="DZ175" s="688"/>
      <c r="EA175" s="688"/>
      <c r="EB175" s="688"/>
      <c r="EC175" s="688"/>
      <c r="ED175" s="688"/>
      <c r="EE175" s="688"/>
      <c r="EF175" s="688"/>
      <c r="EG175" s="688"/>
      <c r="EH175" s="689">
        <f t="shared" si="542"/>
        <v>0</v>
      </c>
      <c r="EI175" s="690">
        <v>1.0</v>
      </c>
      <c r="EJ175" s="691"/>
      <c r="EK175" s="691"/>
    </row>
    <row r="176" ht="12.0" customHeight="1">
      <c r="A176" s="709" t="s">
        <v>3026</v>
      </c>
      <c r="B176" s="661"/>
      <c r="C176" s="567" t="s">
        <v>3034</v>
      </c>
      <c r="D176" s="568" t="s">
        <v>195</v>
      </c>
      <c r="E176" s="568" t="s">
        <v>3282</v>
      </c>
      <c r="F176" s="567" t="s">
        <v>1763</v>
      </c>
      <c r="G176" s="569" t="s">
        <v>2709</v>
      </c>
      <c r="H176" s="658"/>
      <c r="I176" s="876"/>
      <c r="J176" s="568" t="s">
        <v>3331</v>
      </c>
      <c r="K176" s="567" t="s">
        <v>25</v>
      </c>
      <c r="L176" s="567"/>
      <c r="M176" s="567"/>
      <c r="N176" s="567"/>
      <c r="O176" s="567">
        <v>2024.0</v>
      </c>
      <c r="P176" s="567">
        <v>2024.0</v>
      </c>
      <c r="Q176" s="567"/>
      <c r="R176" s="567"/>
      <c r="S176" s="567"/>
      <c r="T176" s="567"/>
      <c r="U176" s="567"/>
      <c r="V176" s="567"/>
      <c r="W176" s="567"/>
      <c r="X176" s="567"/>
      <c r="Y176" s="567"/>
      <c r="Z176" s="567">
        <v>10.0</v>
      </c>
      <c r="AA176" s="567"/>
      <c r="AB176" s="567"/>
      <c r="AC176" s="567"/>
      <c r="AD176" s="567"/>
      <c r="AE176" s="567"/>
      <c r="AF176" s="567"/>
      <c r="AG176" s="567"/>
      <c r="AH176" s="567"/>
      <c r="AI176" s="567"/>
      <c r="AJ176" s="567"/>
      <c r="AK176" s="567"/>
      <c r="AL176" s="567"/>
      <c r="AM176" s="567"/>
      <c r="AN176" s="567"/>
      <c r="AO176" s="567"/>
      <c r="AP176" s="567"/>
      <c r="AQ176" s="567"/>
      <c r="AR176" s="567">
        <v>0.0</v>
      </c>
      <c r="AS176" s="567">
        <v>0.0</v>
      </c>
      <c r="AT176" s="567">
        <v>0.0</v>
      </c>
      <c r="AU176" s="567">
        <v>-2024.0</v>
      </c>
      <c r="AV176" s="567">
        <v>-2024.0</v>
      </c>
      <c r="AW176" s="567">
        <v>0.0</v>
      </c>
      <c r="AX176" s="567">
        <v>0.0</v>
      </c>
      <c r="AY176" s="567">
        <v>0.0</v>
      </c>
      <c r="AZ176" s="567">
        <v>0.0</v>
      </c>
      <c r="BA176" s="567">
        <v>0.0</v>
      </c>
      <c r="BB176" s="567"/>
      <c r="BC176" s="567"/>
      <c r="BD176" s="567"/>
      <c r="BE176" s="567"/>
      <c r="BF176" s="877">
        <v>0.0</v>
      </c>
      <c r="BG176" s="567"/>
      <c r="BH176" s="567"/>
      <c r="BI176" s="567"/>
      <c r="BJ176" s="567"/>
      <c r="BK176" s="567"/>
      <c r="BL176" s="725"/>
      <c r="BM176" s="665">
        <f t="shared" si="1"/>
        <v>0</v>
      </c>
      <c r="BN176" s="668"/>
      <c r="BO176" s="668"/>
      <c r="BP176" s="668"/>
      <c r="BQ176" s="668"/>
      <c r="BR176" s="668"/>
      <c r="BS176" s="668"/>
      <c r="BT176" s="668"/>
      <c r="BU176" s="668"/>
      <c r="BV176" s="668"/>
      <c r="BW176" s="670"/>
      <c r="BX176" s="665">
        <f t="shared" si="2"/>
        <v>0</v>
      </c>
      <c r="BY176" s="671">
        <v>0.0</v>
      </c>
      <c r="BZ176" s="668">
        <v>0.0</v>
      </c>
      <c r="CA176" s="668">
        <v>0.0</v>
      </c>
      <c r="CB176" s="668">
        <v>0.0</v>
      </c>
      <c r="CC176" s="668">
        <v>0.0</v>
      </c>
      <c r="CD176" s="668">
        <v>0.0</v>
      </c>
      <c r="CE176" s="668">
        <v>0.0</v>
      </c>
      <c r="CF176" s="668">
        <v>0.0</v>
      </c>
      <c r="CG176" s="668">
        <v>0.0</v>
      </c>
      <c r="CH176" s="670">
        <v>0.0</v>
      </c>
      <c r="CI176" s="665">
        <f t="shared" si="3"/>
        <v>0</v>
      </c>
      <c r="CJ176" s="671">
        <f t="shared" si="4"/>
        <v>0</v>
      </c>
      <c r="CK176" s="668"/>
      <c r="CL176" s="668">
        <v>0.0</v>
      </c>
      <c r="CM176" s="668">
        <f t="shared" ref="CM176:CV176" si="543">BC176*$CL176</f>
        <v>0</v>
      </c>
      <c r="CN176" s="668">
        <f t="shared" si="543"/>
        <v>0</v>
      </c>
      <c r="CO176" s="668">
        <f t="shared" si="543"/>
        <v>0</v>
      </c>
      <c r="CP176" s="668">
        <f t="shared" si="543"/>
        <v>0</v>
      </c>
      <c r="CQ176" s="668">
        <f t="shared" si="543"/>
        <v>0</v>
      </c>
      <c r="CR176" s="668">
        <f t="shared" si="543"/>
        <v>0</v>
      </c>
      <c r="CS176" s="668">
        <f t="shared" si="543"/>
        <v>0</v>
      </c>
      <c r="CT176" s="668">
        <f t="shared" si="543"/>
        <v>0</v>
      </c>
      <c r="CU176" s="668">
        <f t="shared" si="543"/>
        <v>0</v>
      </c>
      <c r="CV176" s="668">
        <f t="shared" si="543"/>
        <v>0</v>
      </c>
      <c r="CW176" s="668">
        <f t="shared" si="21"/>
        <v>0</v>
      </c>
      <c r="CX176" s="668">
        <f t="shared" ref="CX176:DG176" si="544">BN176*$CL176</f>
        <v>0</v>
      </c>
      <c r="CY176" s="668">
        <f t="shared" si="544"/>
        <v>0</v>
      </c>
      <c r="CZ176" s="668">
        <f t="shared" si="544"/>
        <v>0</v>
      </c>
      <c r="DA176" s="668">
        <f t="shared" si="544"/>
        <v>0</v>
      </c>
      <c r="DB176" s="668">
        <f t="shared" si="544"/>
        <v>0</v>
      </c>
      <c r="DC176" s="668">
        <f t="shared" si="544"/>
        <v>0</v>
      </c>
      <c r="DD176" s="668">
        <f t="shared" si="544"/>
        <v>0</v>
      </c>
      <c r="DE176" s="668">
        <f t="shared" si="544"/>
        <v>0</v>
      </c>
      <c r="DF176" s="668">
        <f t="shared" si="544"/>
        <v>0</v>
      </c>
      <c r="DG176" s="668">
        <f t="shared" si="544"/>
        <v>0</v>
      </c>
      <c r="DH176" s="668">
        <f t="shared" si="23"/>
        <v>0</v>
      </c>
      <c r="DI176" s="668">
        <f t="shared" ref="DI176:DR176" si="545">BY176*$CL176</f>
        <v>0</v>
      </c>
      <c r="DJ176" s="668">
        <f t="shared" si="545"/>
        <v>0</v>
      </c>
      <c r="DK176" s="668">
        <f t="shared" si="545"/>
        <v>0</v>
      </c>
      <c r="DL176" s="668">
        <f t="shared" si="545"/>
        <v>0</v>
      </c>
      <c r="DM176" s="668">
        <f t="shared" si="545"/>
        <v>0</v>
      </c>
      <c r="DN176" s="668">
        <f t="shared" si="545"/>
        <v>0</v>
      </c>
      <c r="DO176" s="668">
        <f t="shared" si="545"/>
        <v>0</v>
      </c>
      <c r="DP176" s="668">
        <f t="shared" si="545"/>
        <v>0</v>
      </c>
      <c r="DQ176" s="668">
        <f t="shared" si="545"/>
        <v>0</v>
      </c>
      <c r="DR176" s="668">
        <f t="shared" si="545"/>
        <v>0</v>
      </c>
      <c r="DS176" s="668">
        <f t="shared" si="25"/>
        <v>0</v>
      </c>
      <c r="DT176" s="668">
        <f t="shared" si="175"/>
        <v>0</v>
      </c>
      <c r="DU176" s="538"/>
      <c r="DV176" s="468" t="s">
        <v>3332</v>
      </c>
      <c r="DW176" s="698"/>
      <c r="DX176" s="698"/>
      <c r="DY176" s="698"/>
      <c r="DZ176" s="698"/>
      <c r="EA176" s="698"/>
      <c r="EB176" s="698"/>
      <c r="EC176" s="698"/>
      <c r="ED176" s="698"/>
      <c r="EE176" s="698"/>
      <c r="EF176" s="698"/>
      <c r="EG176" s="698"/>
      <c r="EH176" s="677">
        <f t="shared" si="542"/>
        <v>0</v>
      </c>
      <c r="EI176" s="678">
        <v>1.0</v>
      </c>
      <c r="EJ176" s="699"/>
      <c r="EK176" s="699"/>
    </row>
    <row r="177" ht="12.0" customHeight="1">
      <c r="A177" s="700" t="s">
        <v>3026</v>
      </c>
      <c r="B177" s="701">
        <v>2.0</v>
      </c>
      <c r="C177" s="562" t="s">
        <v>3034</v>
      </c>
      <c r="D177" s="571" t="s">
        <v>195</v>
      </c>
      <c r="E177" s="571" t="s">
        <v>3282</v>
      </c>
      <c r="F177" s="562" t="s">
        <v>1763</v>
      </c>
      <c r="G177" s="569" t="s">
        <v>2709</v>
      </c>
      <c r="H177" s="737"/>
      <c r="I177" s="717" t="s">
        <v>2483</v>
      </c>
      <c r="J177" s="704" t="s">
        <v>426</v>
      </c>
      <c r="K177" s="562" t="s">
        <v>25</v>
      </c>
      <c r="L177" s="821">
        <v>2025.0</v>
      </c>
      <c r="M177" s="562"/>
      <c r="N177" s="821">
        <v>2026.0</v>
      </c>
      <c r="O177" s="821">
        <v>2025.0</v>
      </c>
      <c r="P177" s="562"/>
      <c r="Q177" s="821">
        <v>2025.0</v>
      </c>
      <c r="R177" s="562"/>
      <c r="S177" s="562"/>
      <c r="T177" s="562"/>
      <c r="U177" s="562"/>
      <c r="V177" s="562"/>
      <c r="W177" s="562">
        <v>5.0</v>
      </c>
      <c r="X177" s="562"/>
      <c r="Y177" s="562">
        <v>5.0</v>
      </c>
      <c r="Z177" s="562">
        <v>5.0</v>
      </c>
      <c r="AA177" s="562"/>
      <c r="AB177" s="562">
        <v>5.0</v>
      </c>
      <c r="AC177" s="562"/>
      <c r="AD177" s="562"/>
      <c r="AE177" s="562"/>
      <c r="AF177" s="562"/>
      <c r="AG177" s="562"/>
      <c r="AH177" s="562"/>
      <c r="AI177" s="562"/>
      <c r="AJ177" s="562"/>
      <c r="AK177" s="562"/>
      <c r="AL177" s="562"/>
      <c r="AM177" s="562"/>
      <c r="AN177" s="562"/>
      <c r="AO177" s="562"/>
      <c r="AP177" s="562"/>
      <c r="AQ177" s="562"/>
      <c r="AR177" s="562">
        <v>-2025.0</v>
      </c>
      <c r="AS177" s="562">
        <v>0.0</v>
      </c>
      <c r="AT177" s="562">
        <v>-2026.0</v>
      </c>
      <c r="AU177" s="562">
        <v>-2025.0</v>
      </c>
      <c r="AV177" s="562">
        <v>0.0</v>
      </c>
      <c r="AW177" s="562">
        <v>-2025.0</v>
      </c>
      <c r="AX177" s="562">
        <v>0.0</v>
      </c>
      <c r="AY177" s="562">
        <v>0.0</v>
      </c>
      <c r="AZ177" s="562">
        <v>0.0</v>
      </c>
      <c r="BA177" s="562">
        <v>0.0</v>
      </c>
      <c r="BB177" s="562"/>
      <c r="BC177" s="562"/>
      <c r="BD177" s="570"/>
      <c r="BE177" s="562"/>
      <c r="BF177" s="562"/>
      <c r="BG177" s="562"/>
      <c r="BH177" s="562"/>
      <c r="BI177" s="562"/>
      <c r="BJ177" s="562"/>
      <c r="BK177" s="562"/>
      <c r="BL177" s="681"/>
      <c r="BM177" s="665">
        <f t="shared" si="1"/>
        <v>0</v>
      </c>
      <c r="BN177" s="682"/>
      <c r="BO177" s="683"/>
      <c r="BP177" s="683"/>
      <c r="BQ177" s="683"/>
      <c r="BR177" s="683"/>
      <c r="BS177" s="683"/>
      <c r="BT177" s="683"/>
      <c r="BU177" s="683"/>
      <c r="BV177" s="683"/>
      <c r="BW177" s="686"/>
      <c r="BX177" s="665">
        <f t="shared" si="2"/>
        <v>0</v>
      </c>
      <c r="BY177" s="682">
        <v>0.0</v>
      </c>
      <c r="BZ177" s="683">
        <v>0.0</v>
      </c>
      <c r="CA177" s="683">
        <v>1.0</v>
      </c>
      <c r="CB177" s="683">
        <v>0.0</v>
      </c>
      <c r="CC177" s="683">
        <v>0.0</v>
      </c>
      <c r="CD177" s="687">
        <v>1.0</v>
      </c>
      <c r="CE177" s="683">
        <v>0.0</v>
      </c>
      <c r="CF177" s="683">
        <v>0.0</v>
      </c>
      <c r="CG177" s="683">
        <v>0.0</v>
      </c>
      <c r="CH177" s="686">
        <v>0.0</v>
      </c>
      <c r="CI177" s="665">
        <f t="shared" si="3"/>
        <v>2</v>
      </c>
      <c r="CJ177" s="682">
        <f t="shared" si="4"/>
        <v>2</v>
      </c>
      <c r="CK177" s="706">
        <v>3223.6</v>
      </c>
      <c r="CL177" s="683">
        <f t="shared" ref="CL177:CL178" si="549">CK177*$CL$1</f>
        <v>22436.256</v>
      </c>
      <c r="CM177" s="683">
        <f t="shared" ref="CM177:CV177" si="546">BC177*$CL177</f>
        <v>0</v>
      </c>
      <c r="CN177" s="683">
        <f t="shared" si="546"/>
        <v>0</v>
      </c>
      <c r="CO177" s="683">
        <f t="shared" si="546"/>
        <v>0</v>
      </c>
      <c r="CP177" s="683">
        <f t="shared" si="546"/>
        <v>0</v>
      </c>
      <c r="CQ177" s="683">
        <f t="shared" si="546"/>
        <v>0</v>
      </c>
      <c r="CR177" s="683">
        <f t="shared" si="546"/>
        <v>0</v>
      </c>
      <c r="CS177" s="683">
        <f t="shared" si="546"/>
        <v>0</v>
      </c>
      <c r="CT177" s="683">
        <f t="shared" si="546"/>
        <v>0</v>
      </c>
      <c r="CU177" s="683">
        <f t="shared" si="546"/>
        <v>0</v>
      </c>
      <c r="CV177" s="683">
        <f t="shared" si="546"/>
        <v>0</v>
      </c>
      <c r="CW177" s="683">
        <f t="shared" si="21"/>
        <v>0</v>
      </c>
      <c r="CX177" s="683">
        <f t="shared" ref="CX177:DG177" si="547">BN177*$CL177</f>
        <v>0</v>
      </c>
      <c r="CY177" s="683">
        <f t="shared" si="547"/>
        <v>0</v>
      </c>
      <c r="CZ177" s="683">
        <f t="shared" si="547"/>
        <v>0</v>
      </c>
      <c r="DA177" s="683">
        <f t="shared" si="547"/>
        <v>0</v>
      </c>
      <c r="DB177" s="683">
        <f t="shared" si="547"/>
        <v>0</v>
      </c>
      <c r="DC177" s="683">
        <f t="shared" si="547"/>
        <v>0</v>
      </c>
      <c r="DD177" s="683">
        <f t="shared" si="547"/>
        <v>0</v>
      </c>
      <c r="DE177" s="683">
        <f t="shared" si="547"/>
        <v>0</v>
      </c>
      <c r="DF177" s="683">
        <f t="shared" si="547"/>
        <v>0</v>
      </c>
      <c r="DG177" s="683">
        <f t="shared" si="547"/>
        <v>0</v>
      </c>
      <c r="DH177" s="683">
        <f t="shared" si="23"/>
        <v>0</v>
      </c>
      <c r="DI177" s="683">
        <f t="shared" ref="DI177:DR177" si="548">BY177*$CL177</f>
        <v>0</v>
      </c>
      <c r="DJ177" s="683">
        <f t="shared" si="548"/>
        <v>0</v>
      </c>
      <c r="DK177" s="683">
        <f t="shared" si="548"/>
        <v>22436.256</v>
      </c>
      <c r="DL177" s="683">
        <f t="shared" si="548"/>
        <v>0</v>
      </c>
      <c r="DM177" s="683">
        <f t="shared" si="548"/>
        <v>0</v>
      </c>
      <c r="DN177" s="683">
        <f t="shared" si="548"/>
        <v>22436.256</v>
      </c>
      <c r="DO177" s="683">
        <f t="shared" si="548"/>
        <v>0</v>
      </c>
      <c r="DP177" s="683">
        <f t="shared" si="548"/>
        <v>0</v>
      </c>
      <c r="DQ177" s="683">
        <f t="shared" si="548"/>
        <v>0</v>
      </c>
      <c r="DR177" s="683">
        <f t="shared" si="548"/>
        <v>0</v>
      </c>
      <c r="DS177" s="683">
        <f t="shared" si="25"/>
        <v>44872.512</v>
      </c>
      <c r="DT177" s="683">
        <f t="shared" si="175"/>
        <v>44872.512</v>
      </c>
      <c r="DU177" s="504"/>
      <c r="DV177" s="486"/>
      <c r="DW177" s="688"/>
      <c r="DX177" s="688"/>
      <c r="DY177" s="688"/>
      <c r="DZ177" s="688"/>
      <c r="EA177" s="688"/>
      <c r="EB177" s="688"/>
      <c r="EC177" s="688"/>
      <c r="ED177" s="688"/>
      <c r="EE177" s="688"/>
      <c r="EF177" s="688"/>
      <c r="EG177" s="688"/>
      <c r="EH177" s="707" t="s">
        <v>3333</v>
      </c>
      <c r="EI177" s="708">
        <f>VLOOKUP(I177,CotizacionTDB,4,FALSE())</f>
        <v>3223.6</v>
      </c>
      <c r="EJ177" s="708">
        <f>VLOOKUP(I177,CotizacionTDB,5,FALSE())</f>
        <v>2740.06</v>
      </c>
      <c r="EK177" s="691"/>
    </row>
    <row r="178" ht="12.0" customHeight="1">
      <c r="A178" s="709" t="s">
        <v>3026</v>
      </c>
      <c r="B178" s="661">
        <v>2.0</v>
      </c>
      <c r="C178" s="567" t="s">
        <v>3034</v>
      </c>
      <c r="D178" s="568" t="s">
        <v>195</v>
      </c>
      <c r="E178" s="568" t="s">
        <v>3282</v>
      </c>
      <c r="F178" s="567" t="s">
        <v>1763</v>
      </c>
      <c r="G178" s="569" t="s">
        <v>2709</v>
      </c>
      <c r="H178" s="658"/>
      <c r="I178" s="710" t="s">
        <v>865</v>
      </c>
      <c r="J178" s="711" t="s">
        <v>866</v>
      </c>
      <c r="K178" s="567" t="s">
        <v>25</v>
      </c>
      <c r="L178" s="567"/>
      <c r="M178" s="567"/>
      <c r="N178" s="567"/>
      <c r="O178" s="567">
        <v>2024.0</v>
      </c>
      <c r="P178" s="567">
        <v>2024.0</v>
      </c>
      <c r="Q178" s="567">
        <v>2024.0</v>
      </c>
      <c r="R178" s="567"/>
      <c r="S178" s="567"/>
      <c r="T178" s="567"/>
      <c r="U178" s="567"/>
      <c r="V178" s="567"/>
      <c r="W178" s="567"/>
      <c r="X178" s="567"/>
      <c r="Y178" s="567"/>
      <c r="Z178" s="567">
        <v>10.0</v>
      </c>
      <c r="AA178" s="567">
        <v>10.0</v>
      </c>
      <c r="AB178" s="567">
        <v>10.0</v>
      </c>
      <c r="AC178" s="567"/>
      <c r="AD178" s="567"/>
      <c r="AE178" s="567"/>
      <c r="AF178" s="567"/>
      <c r="AG178" s="567"/>
      <c r="AH178" s="567"/>
      <c r="AI178" s="567"/>
      <c r="AJ178" s="567"/>
      <c r="AK178" s="567"/>
      <c r="AL178" s="567"/>
      <c r="AM178" s="567"/>
      <c r="AN178" s="567"/>
      <c r="AO178" s="567"/>
      <c r="AP178" s="567"/>
      <c r="AQ178" s="567"/>
      <c r="AR178" s="567">
        <v>0.0</v>
      </c>
      <c r="AS178" s="567">
        <v>0.0</v>
      </c>
      <c r="AT178" s="567">
        <v>0.0</v>
      </c>
      <c r="AU178" s="567">
        <v>-2024.0</v>
      </c>
      <c r="AV178" s="567">
        <v>-2024.0</v>
      </c>
      <c r="AW178" s="567">
        <v>-2024.0</v>
      </c>
      <c r="AX178" s="567">
        <v>0.0</v>
      </c>
      <c r="AY178" s="567">
        <v>0.0</v>
      </c>
      <c r="AZ178" s="567">
        <v>0.0</v>
      </c>
      <c r="BA178" s="567">
        <v>0.0</v>
      </c>
      <c r="BB178" s="567"/>
      <c r="BC178" s="567"/>
      <c r="BD178" s="567"/>
      <c r="BE178" s="575"/>
      <c r="BF178" s="567"/>
      <c r="BG178" s="567"/>
      <c r="BH178" s="567"/>
      <c r="BI178" s="567"/>
      <c r="BJ178" s="567"/>
      <c r="BK178" s="567"/>
      <c r="BL178" s="725"/>
      <c r="BM178" s="665">
        <f t="shared" si="1"/>
        <v>0</v>
      </c>
      <c r="BN178" s="671"/>
      <c r="BO178" s="668"/>
      <c r="BP178" s="668"/>
      <c r="BQ178" s="674">
        <v>1.0</v>
      </c>
      <c r="BR178" s="674">
        <v>1.0</v>
      </c>
      <c r="BS178" s="674">
        <v>1.0</v>
      </c>
      <c r="BT178" s="668"/>
      <c r="BU178" s="668"/>
      <c r="BV178" s="668"/>
      <c r="BW178" s="670"/>
      <c r="BX178" s="665">
        <f t="shared" si="2"/>
        <v>3</v>
      </c>
      <c r="BY178" s="671">
        <v>0.0</v>
      </c>
      <c r="BZ178" s="668">
        <v>0.0</v>
      </c>
      <c r="CA178" s="668">
        <v>0.0</v>
      </c>
      <c r="CB178" s="668">
        <v>0.0</v>
      </c>
      <c r="CC178" s="668">
        <v>0.0</v>
      </c>
      <c r="CD178" s="668">
        <v>0.0</v>
      </c>
      <c r="CE178" s="668">
        <v>0.0</v>
      </c>
      <c r="CF178" s="668">
        <v>0.0</v>
      </c>
      <c r="CG178" s="668">
        <v>0.0</v>
      </c>
      <c r="CH178" s="670">
        <v>0.0</v>
      </c>
      <c r="CI178" s="665">
        <f t="shared" si="3"/>
        <v>0</v>
      </c>
      <c r="CJ178" s="671">
        <f t="shared" si="4"/>
        <v>3</v>
      </c>
      <c r="CK178" s="715">
        <v>839.54</v>
      </c>
      <c r="CL178" s="668">
        <f t="shared" si="549"/>
        <v>5843.1984</v>
      </c>
      <c r="CM178" s="668">
        <f t="shared" ref="CM178:CV178" si="550">BC178*$CL178</f>
        <v>0</v>
      </c>
      <c r="CN178" s="668">
        <f t="shared" si="550"/>
        <v>0</v>
      </c>
      <c r="CO178" s="668">
        <f t="shared" si="550"/>
        <v>0</v>
      </c>
      <c r="CP178" s="668">
        <f t="shared" si="550"/>
        <v>0</v>
      </c>
      <c r="CQ178" s="668">
        <f t="shared" si="550"/>
        <v>0</v>
      </c>
      <c r="CR178" s="668">
        <f t="shared" si="550"/>
        <v>0</v>
      </c>
      <c r="CS178" s="668">
        <f t="shared" si="550"/>
        <v>0</v>
      </c>
      <c r="CT178" s="668">
        <f t="shared" si="550"/>
        <v>0</v>
      </c>
      <c r="CU178" s="668">
        <f t="shared" si="550"/>
        <v>0</v>
      </c>
      <c r="CV178" s="668">
        <f t="shared" si="550"/>
        <v>0</v>
      </c>
      <c r="CW178" s="668">
        <f t="shared" si="21"/>
        <v>0</v>
      </c>
      <c r="CX178" s="668">
        <f t="shared" ref="CX178:DG178" si="551">BN178*$CL178</f>
        <v>0</v>
      </c>
      <c r="CY178" s="668">
        <f t="shared" si="551"/>
        <v>0</v>
      </c>
      <c r="CZ178" s="668">
        <f t="shared" si="551"/>
        <v>0</v>
      </c>
      <c r="DA178" s="668">
        <f t="shared" si="551"/>
        <v>5843.1984</v>
      </c>
      <c r="DB178" s="668">
        <f t="shared" si="551"/>
        <v>5843.1984</v>
      </c>
      <c r="DC178" s="668">
        <f t="shared" si="551"/>
        <v>5843.1984</v>
      </c>
      <c r="DD178" s="668">
        <f t="shared" si="551"/>
        <v>0</v>
      </c>
      <c r="DE178" s="668">
        <f t="shared" si="551"/>
        <v>0</v>
      </c>
      <c r="DF178" s="668">
        <f t="shared" si="551"/>
        <v>0</v>
      </c>
      <c r="DG178" s="668">
        <f t="shared" si="551"/>
        <v>0</v>
      </c>
      <c r="DH178" s="668">
        <f t="shared" si="23"/>
        <v>17529.5952</v>
      </c>
      <c r="DI178" s="668">
        <f t="shared" ref="DI178:DR178" si="552">BY178*$CL178</f>
        <v>0</v>
      </c>
      <c r="DJ178" s="668">
        <f t="shared" si="552"/>
        <v>0</v>
      </c>
      <c r="DK178" s="668">
        <f t="shared" si="552"/>
        <v>0</v>
      </c>
      <c r="DL178" s="668">
        <f t="shared" si="552"/>
        <v>0</v>
      </c>
      <c r="DM178" s="668">
        <f t="shared" si="552"/>
        <v>0</v>
      </c>
      <c r="DN178" s="668">
        <f t="shared" si="552"/>
        <v>0</v>
      </c>
      <c r="DO178" s="668">
        <f t="shared" si="552"/>
        <v>0</v>
      </c>
      <c r="DP178" s="668">
        <f t="shared" si="552"/>
        <v>0</v>
      </c>
      <c r="DQ178" s="668">
        <f t="shared" si="552"/>
        <v>0</v>
      </c>
      <c r="DR178" s="668">
        <f t="shared" si="552"/>
        <v>0</v>
      </c>
      <c r="DS178" s="668">
        <f t="shared" si="25"/>
        <v>0</v>
      </c>
      <c r="DT178" s="668">
        <f t="shared" si="175"/>
        <v>17529.5952</v>
      </c>
      <c r="DU178" s="538"/>
      <c r="DV178" s="468"/>
      <c r="DW178" s="698"/>
      <c r="DX178" s="698"/>
      <c r="DY178" s="698"/>
      <c r="DZ178" s="698"/>
      <c r="EA178" s="698"/>
      <c r="EB178" s="698"/>
      <c r="EC178" s="698"/>
      <c r="ED178" s="698"/>
      <c r="EE178" s="698"/>
      <c r="EF178" s="698"/>
      <c r="EG178" s="698"/>
      <c r="EH178" s="576" t="s">
        <v>3334</v>
      </c>
      <c r="EI178" s="716">
        <f>VLOOKUP(I178,CotizacionTDB,4,FALSE())</f>
        <v>839.54</v>
      </c>
      <c r="EJ178" s="716">
        <f>VLOOKUP(I178,CotizacionTDB,5,FALSE())</f>
        <v>713.61</v>
      </c>
      <c r="EK178" s="699"/>
    </row>
    <row r="179" ht="12.0" customHeight="1">
      <c r="A179" s="700" t="s">
        <v>3026</v>
      </c>
      <c r="B179" s="701"/>
      <c r="C179" s="562" t="s">
        <v>3034</v>
      </c>
      <c r="D179" s="571" t="s">
        <v>195</v>
      </c>
      <c r="E179" s="571" t="s">
        <v>3282</v>
      </c>
      <c r="F179" s="562" t="s">
        <v>1763</v>
      </c>
      <c r="G179" s="569" t="s">
        <v>2709</v>
      </c>
      <c r="H179" s="737"/>
      <c r="I179" s="562" t="s">
        <v>1081</v>
      </c>
      <c r="J179" s="571" t="s">
        <v>3335</v>
      </c>
      <c r="K179" s="562" t="s">
        <v>25</v>
      </c>
      <c r="L179" s="562"/>
      <c r="M179" s="562"/>
      <c r="N179" s="562"/>
      <c r="O179" s="562">
        <v>2024.0</v>
      </c>
      <c r="P179" s="562"/>
      <c r="Q179" s="562"/>
      <c r="R179" s="562"/>
      <c r="S179" s="562"/>
      <c r="T179" s="562"/>
      <c r="U179" s="562"/>
      <c r="V179" s="562"/>
      <c r="W179" s="562"/>
      <c r="X179" s="562"/>
      <c r="Y179" s="562"/>
      <c r="Z179" s="562">
        <v>5.0</v>
      </c>
      <c r="AA179" s="562"/>
      <c r="AB179" s="562"/>
      <c r="AC179" s="562"/>
      <c r="AD179" s="562"/>
      <c r="AE179" s="562"/>
      <c r="AF179" s="562"/>
      <c r="AG179" s="562"/>
      <c r="AH179" s="562"/>
      <c r="AI179" s="562"/>
      <c r="AJ179" s="562"/>
      <c r="AK179" s="562"/>
      <c r="AL179" s="562"/>
      <c r="AM179" s="562"/>
      <c r="AN179" s="562"/>
      <c r="AO179" s="562"/>
      <c r="AP179" s="562"/>
      <c r="AQ179" s="562"/>
      <c r="AR179" s="562">
        <v>0.0</v>
      </c>
      <c r="AS179" s="562">
        <v>0.0</v>
      </c>
      <c r="AT179" s="562">
        <v>0.0</v>
      </c>
      <c r="AU179" s="562">
        <v>-2024.0</v>
      </c>
      <c r="AV179" s="562">
        <v>0.0</v>
      </c>
      <c r="AW179" s="562">
        <v>0.0</v>
      </c>
      <c r="AX179" s="562">
        <v>0.0</v>
      </c>
      <c r="AY179" s="562">
        <v>0.0</v>
      </c>
      <c r="AZ179" s="562">
        <v>0.0</v>
      </c>
      <c r="BA179" s="562">
        <v>0.0</v>
      </c>
      <c r="BB179" s="562"/>
      <c r="BC179" s="570"/>
      <c r="BD179" s="570"/>
      <c r="BE179" s="570"/>
      <c r="BF179" s="701">
        <v>0.0</v>
      </c>
      <c r="BG179" s="562"/>
      <c r="BH179" s="562"/>
      <c r="BI179" s="562"/>
      <c r="BJ179" s="570"/>
      <c r="BK179" s="562"/>
      <c r="BL179" s="681"/>
      <c r="BM179" s="665">
        <f t="shared" si="1"/>
        <v>0</v>
      </c>
      <c r="BN179" s="682"/>
      <c r="BO179" s="683"/>
      <c r="BP179" s="683"/>
      <c r="BQ179" s="683"/>
      <c r="BR179" s="683"/>
      <c r="BS179" s="683"/>
      <c r="BT179" s="683"/>
      <c r="BU179" s="683"/>
      <c r="BV179" s="683"/>
      <c r="BW179" s="686"/>
      <c r="BX179" s="665">
        <f t="shared" si="2"/>
        <v>0</v>
      </c>
      <c r="BY179" s="682">
        <v>0.0</v>
      </c>
      <c r="BZ179" s="683">
        <v>0.0</v>
      </c>
      <c r="CA179" s="683">
        <v>0.0</v>
      </c>
      <c r="CB179" s="683">
        <v>0.0</v>
      </c>
      <c r="CC179" s="683">
        <v>0.0</v>
      </c>
      <c r="CD179" s="683">
        <v>0.0</v>
      </c>
      <c r="CE179" s="683">
        <v>0.0</v>
      </c>
      <c r="CF179" s="683">
        <v>0.0</v>
      </c>
      <c r="CG179" s="683">
        <v>0.0</v>
      </c>
      <c r="CH179" s="686">
        <v>0.0</v>
      </c>
      <c r="CI179" s="665">
        <f t="shared" si="3"/>
        <v>0</v>
      </c>
      <c r="CJ179" s="682">
        <f t="shared" si="4"/>
        <v>0</v>
      </c>
      <c r="CK179" s="683"/>
      <c r="CL179" s="683">
        <v>7958.1368999999995</v>
      </c>
      <c r="CM179" s="683">
        <f t="shared" ref="CM179:CV179" si="553">BC179*$CL179</f>
        <v>0</v>
      </c>
      <c r="CN179" s="683">
        <f t="shared" si="553"/>
        <v>0</v>
      </c>
      <c r="CO179" s="683">
        <f t="shared" si="553"/>
        <v>0</v>
      </c>
      <c r="CP179" s="683">
        <f t="shared" si="553"/>
        <v>0</v>
      </c>
      <c r="CQ179" s="683">
        <f t="shared" si="553"/>
        <v>0</v>
      </c>
      <c r="CR179" s="683">
        <f t="shared" si="553"/>
        <v>0</v>
      </c>
      <c r="CS179" s="683">
        <f t="shared" si="553"/>
        <v>0</v>
      </c>
      <c r="CT179" s="683">
        <f t="shared" si="553"/>
        <v>0</v>
      </c>
      <c r="CU179" s="683">
        <f t="shared" si="553"/>
        <v>0</v>
      </c>
      <c r="CV179" s="683">
        <f t="shared" si="553"/>
        <v>0</v>
      </c>
      <c r="CW179" s="683">
        <f t="shared" si="21"/>
        <v>0</v>
      </c>
      <c r="CX179" s="683">
        <f t="shared" ref="CX179:DG179" si="554">BN179*$CL179</f>
        <v>0</v>
      </c>
      <c r="CY179" s="683">
        <f t="shared" si="554"/>
        <v>0</v>
      </c>
      <c r="CZ179" s="683">
        <f t="shared" si="554"/>
        <v>0</v>
      </c>
      <c r="DA179" s="683">
        <f t="shared" si="554"/>
        <v>0</v>
      </c>
      <c r="DB179" s="683">
        <f t="shared" si="554"/>
        <v>0</v>
      </c>
      <c r="DC179" s="683">
        <f t="shared" si="554"/>
        <v>0</v>
      </c>
      <c r="DD179" s="683">
        <f t="shared" si="554"/>
        <v>0</v>
      </c>
      <c r="DE179" s="683">
        <f t="shared" si="554"/>
        <v>0</v>
      </c>
      <c r="DF179" s="683">
        <f t="shared" si="554"/>
        <v>0</v>
      </c>
      <c r="DG179" s="683">
        <f t="shared" si="554"/>
        <v>0</v>
      </c>
      <c r="DH179" s="683">
        <f t="shared" si="23"/>
        <v>0</v>
      </c>
      <c r="DI179" s="683">
        <f t="shared" ref="DI179:DR179" si="555">BY179*$CL179</f>
        <v>0</v>
      </c>
      <c r="DJ179" s="683">
        <f t="shared" si="555"/>
        <v>0</v>
      </c>
      <c r="DK179" s="683">
        <f t="shared" si="555"/>
        <v>0</v>
      </c>
      <c r="DL179" s="683">
        <f t="shared" si="555"/>
        <v>0</v>
      </c>
      <c r="DM179" s="683">
        <f t="shared" si="555"/>
        <v>0</v>
      </c>
      <c r="DN179" s="683">
        <f t="shared" si="555"/>
        <v>0</v>
      </c>
      <c r="DO179" s="683">
        <f t="shared" si="555"/>
        <v>0</v>
      </c>
      <c r="DP179" s="683">
        <f t="shared" si="555"/>
        <v>0</v>
      </c>
      <c r="DQ179" s="683">
        <f t="shared" si="555"/>
        <v>0</v>
      </c>
      <c r="DR179" s="683">
        <f t="shared" si="555"/>
        <v>0</v>
      </c>
      <c r="DS179" s="683">
        <f t="shared" si="25"/>
        <v>0</v>
      </c>
      <c r="DT179" s="683">
        <f t="shared" si="175"/>
        <v>0</v>
      </c>
      <c r="DU179" s="504"/>
      <c r="DV179" s="486"/>
      <c r="DW179" s="688"/>
      <c r="DX179" s="688"/>
      <c r="DY179" s="688"/>
      <c r="DZ179" s="688"/>
      <c r="EA179" s="688"/>
      <c r="EB179" s="688"/>
      <c r="EC179" s="688"/>
      <c r="ED179" s="688"/>
      <c r="EE179" s="688"/>
      <c r="EF179" s="688"/>
      <c r="EG179" s="688"/>
      <c r="EH179" s="689">
        <f t="shared" ref="EH179:EH181" si="559">CK179*6.97</f>
        <v>0</v>
      </c>
      <c r="EI179" s="690">
        <v>1.0</v>
      </c>
      <c r="EJ179" s="691"/>
      <c r="EK179" s="691"/>
    </row>
    <row r="180" ht="12.0" customHeight="1">
      <c r="A180" s="709" t="s">
        <v>3026</v>
      </c>
      <c r="B180" s="661"/>
      <c r="C180" s="567" t="s">
        <v>3034</v>
      </c>
      <c r="D180" s="568" t="s">
        <v>195</v>
      </c>
      <c r="E180" s="568" t="s">
        <v>3282</v>
      </c>
      <c r="F180" s="567" t="s">
        <v>1763</v>
      </c>
      <c r="G180" s="569" t="s">
        <v>2709</v>
      </c>
      <c r="H180" s="658"/>
      <c r="I180" s="567">
        <v>1.1416549E7</v>
      </c>
      <c r="J180" s="568" t="s">
        <v>3336</v>
      </c>
      <c r="K180" s="567" t="s">
        <v>25</v>
      </c>
      <c r="L180" s="567"/>
      <c r="M180" s="567"/>
      <c r="N180" s="567"/>
      <c r="O180" s="567"/>
      <c r="P180" s="567">
        <v>2024.0</v>
      </c>
      <c r="Q180" s="567"/>
      <c r="R180" s="567"/>
      <c r="S180" s="567"/>
      <c r="T180" s="567"/>
      <c r="U180" s="567"/>
      <c r="V180" s="567"/>
      <c r="W180" s="567"/>
      <c r="X180" s="567"/>
      <c r="Y180" s="567"/>
      <c r="Z180" s="567"/>
      <c r="AA180" s="567">
        <v>3.0</v>
      </c>
      <c r="AB180" s="567"/>
      <c r="AC180" s="567"/>
      <c r="AD180" s="567"/>
      <c r="AE180" s="567"/>
      <c r="AF180" s="567"/>
      <c r="AG180" s="567"/>
      <c r="AH180" s="567"/>
      <c r="AI180" s="567"/>
      <c r="AJ180" s="567"/>
      <c r="AK180" s="567"/>
      <c r="AL180" s="567"/>
      <c r="AM180" s="567"/>
      <c r="AN180" s="567"/>
      <c r="AO180" s="567"/>
      <c r="AP180" s="567"/>
      <c r="AQ180" s="567"/>
      <c r="AR180" s="567">
        <v>0.0</v>
      </c>
      <c r="AS180" s="567">
        <v>0.0</v>
      </c>
      <c r="AT180" s="567">
        <v>0.0</v>
      </c>
      <c r="AU180" s="567">
        <v>0.0</v>
      </c>
      <c r="AV180" s="567">
        <v>-2024.0</v>
      </c>
      <c r="AW180" s="567">
        <v>0.0</v>
      </c>
      <c r="AX180" s="567">
        <v>0.0</v>
      </c>
      <c r="AY180" s="567">
        <v>0.0</v>
      </c>
      <c r="AZ180" s="567">
        <v>0.0</v>
      </c>
      <c r="BA180" s="567">
        <v>0.0</v>
      </c>
      <c r="BB180" s="567"/>
      <c r="BC180" s="567"/>
      <c r="BD180" s="567"/>
      <c r="BE180" s="567"/>
      <c r="BF180" s="567"/>
      <c r="BG180" s="661">
        <v>0.0</v>
      </c>
      <c r="BH180" s="567"/>
      <c r="BI180" s="567"/>
      <c r="BJ180" s="567"/>
      <c r="BK180" s="567"/>
      <c r="BL180" s="725"/>
      <c r="BM180" s="665">
        <f t="shared" si="1"/>
        <v>0</v>
      </c>
      <c r="BN180" s="668"/>
      <c r="BO180" s="668"/>
      <c r="BP180" s="668"/>
      <c r="BQ180" s="668"/>
      <c r="BR180" s="668"/>
      <c r="BS180" s="668"/>
      <c r="BT180" s="668"/>
      <c r="BU180" s="668"/>
      <c r="BV180" s="668"/>
      <c r="BW180" s="670"/>
      <c r="BX180" s="665">
        <f t="shared" si="2"/>
        <v>0</v>
      </c>
      <c r="BY180" s="671">
        <v>0.0</v>
      </c>
      <c r="BZ180" s="668">
        <v>0.0</v>
      </c>
      <c r="CA180" s="668">
        <v>0.0</v>
      </c>
      <c r="CB180" s="668">
        <v>0.0</v>
      </c>
      <c r="CC180" s="668">
        <v>0.0</v>
      </c>
      <c r="CD180" s="668">
        <v>0.0</v>
      </c>
      <c r="CE180" s="668">
        <v>0.0</v>
      </c>
      <c r="CF180" s="668">
        <v>0.0</v>
      </c>
      <c r="CG180" s="668">
        <v>0.0</v>
      </c>
      <c r="CH180" s="670">
        <v>0.0</v>
      </c>
      <c r="CI180" s="665">
        <f t="shared" si="3"/>
        <v>0</v>
      </c>
      <c r="CJ180" s="671">
        <f t="shared" si="4"/>
        <v>0</v>
      </c>
      <c r="CK180" s="668"/>
      <c r="CL180" s="668">
        <v>1162.2475</v>
      </c>
      <c r="CM180" s="668">
        <f t="shared" ref="CM180:CV180" si="556">BC180*$CL180</f>
        <v>0</v>
      </c>
      <c r="CN180" s="668">
        <f t="shared" si="556"/>
        <v>0</v>
      </c>
      <c r="CO180" s="668">
        <f t="shared" si="556"/>
        <v>0</v>
      </c>
      <c r="CP180" s="668">
        <f t="shared" si="556"/>
        <v>0</v>
      </c>
      <c r="CQ180" s="668">
        <f t="shared" si="556"/>
        <v>0</v>
      </c>
      <c r="CR180" s="668">
        <f t="shared" si="556"/>
        <v>0</v>
      </c>
      <c r="CS180" s="668">
        <f t="shared" si="556"/>
        <v>0</v>
      </c>
      <c r="CT180" s="668">
        <f t="shared" si="556"/>
        <v>0</v>
      </c>
      <c r="CU180" s="668">
        <f t="shared" si="556"/>
        <v>0</v>
      </c>
      <c r="CV180" s="668">
        <f t="shared" si="556"/>
        <v>0</v>
      </c>
      <c r="CW180" s="668">
        <f t="shared" si="21"/>
        <v>0</v>
      </c>
      <c r="CX180" s="668">
        <f t="shared" ref="CX180:DG180" si="557">BN180*$CL180</f>
        <v>0</v>
      </c>
      <c r="CY180" s="668">
        <f t="shared" si="557"/>
        <v>0</v>
      </c>
      <c r="CZ180" s="668">
        <f t="shared" si="557"/>
        <v>0</v>
      </c>
      <c r="DA180" s="668">
        <f t="shared" si="557"/>
        <v>0</v>
      </c>
      <c r="DB180" s="668">
        <f t="shared" si="557"/>
        <v>0</v>
      </c>
      <c r="DC180" s="668">
        <f t="shared" si="557"/>
        <v>0</v>
      </c>
      <c r="DD180" s="668">
        <f t="shared" si="557"/>
        <v>0</v>
      </c>
      <c r="DE180" s="668">
        <f t="shared" si="557"/>
        <v>0</v>
      </c>
      <c r="DF180" s="668">
        <f t="shared" si="557"/>
        <v>0</v>
      </c>
      <c r="DG180" s="668">
        <f t="shared" si="557"/>
        <v>0</v>
      </c>
      <c r="DH180" s="668">
        <f t="shared" si="23"/>
        <v>0</v>
      </c>
      <c r="DI180" s="668">
        <f t="shared" ref="DI180:DR180" si="558">BY180*$CL180</f>
        <v>0</v>
      </c>
      <c r="DJ180" s="668">
        <f t="shared" si="558"/>
        <v>0</v>
      </c>
      <c r="DK180" s="668">
        <f t="shared" si="558"/>
        <v>0</v>
      </c>
      <c r="DL180" s="668">
        <f t="shared" si="558"/>
        <v>0</v>
      </c>
      <c r="DM180" s="668">
        <f t="shared" si="558"/>
        <v>0</v>
      </c>
      <c r="DN180" s="668">
        <f t="shared" si="558"/>
        <v>0</v>
      </c>
      <c r="DO180" s="668">
        <f t="shared" si="558"/>
        <v>0</v>
      </c>
      <c r="DP180" s="668">
        <f t="shared" si="558"/>
        <v>0</v>
      </c>
      <c r="DQ180" s="668">
        <f t="shared" si="558"/>
        <v>0</v>
      </c>
      <c r="DR180" s="668">
        <f t="shared" si="558"/>
        <v>0</v>
      </c>
      <c r="DS180" s="668">
        <f t="shared" si="25"/>
        <v>0</v>
      </c>
      <c r="DT180" s="668">
        <f t="shared" si="175"/>
        <v>0</v>
      </c>
      <c r="DU180" s="538"/>
      <c r="DV180" s="468" t="s">
        <v>3337</v>
      </c>
      <c r="DW180" s="698"/>
      <c r="DX180" s="698"/>
      <c r="DY180" s="698"/>
      <c r="DZ180" s="698"/>
      <c r="EA180" s="698"/>
      <c r="EB180" s="698"/>
      <c r="EC180" s="698"/>
      <c r="ED180" s="698"/>
      <c r="EE180" s="698"/>
      <c r="EF180" s="698"/>
      <c r="EG180" s="698"/>
      <c r="EH180" s="677">
        <f t="shared" si="559"/>
        <v>0</v>
      </c>
      <c r="EI180" s="678">
        <v>1.0</v>
      </c>
      <c r="EJ180" s="699"/>
      <c r="EK180" s="699"/>
    </row>
    <row r="181" ht="12.0" customHeight="1">
      <c r="A181" s="700" t="s">
        <v>3026</v>
      </c>
      <c r="B181" s="562"/>
      <c r="C181" s="562" t="s">
        <v>3034</v>
      </c>
      <c r="D181" s="562" t="s">
        <v>195</v>
      </c>
      <c r="E181" s="562" t="s">
        <v>2722</v>
      </c>
      <c r="F181" s="562" t="s">
        <v>1774</v>
      </c>
      <c r="G181" s="702" t="s">
        <v>2723</v>
      </c>
      <c r="H181" s="717"/>
      <c r="I181" s="562"/>
      <c r="J181" s="571" t="s">
        <v>3338</v>
      </c>
      <c r="K181" s="562" t="s">
        <v>25</v>
      </c>
      <c r="L181" s="562"/>
      <c r="M181" s="562"/>
      <c r="N181" s="562"/>
      <c r="O181" s="562"/>
      <c r="P181" s="562"/>
      <c r="Q181" s="562"/>
      <c r="R181" s="562"/>
      <c r="S181" s="562"/>
      <c r="T181" s="562"/>
      <c r="U181" s="562">
        <v>2024.0</v>
      </c>
      <c r="V181" s="562"/>
      <c r="W181" s="562"/>
      <c r="X181" s="562"/>
      <c r="Y181" s="562"/>
      <c r="Z181" s="562"/>
      <c r="AA181" s="562"/>
      <c r="AB181" s="562"/>
      <c r="AC181" s="562"/>
      <c r="AD181" s="562"/>
      <c r="AE181" s="562"/>
      <c r="AF181" s="821">
        <v>1.0</v>
      </c>
      <c r="AG181" s="562"/>
      <c r="AH181" s="562"/>
      <c r="AI181" s="562"/>
      <c r="AJ181" s="562"/>
      <c r="AK181" s="562"/>
      <c r="AL181" s="562"/>
      <c r="AM181" s="562"/>
      <c r="AN181" s="562"/>
      <c r="AO181" s="562"/>
      <c r="AP181" s="562"/>
      <c r="AQ181" s="562"/>
      <c r="AR181" s="562">
        <v>0.0</v>
      </c>
      <c r="AS181" s="562">
        <v>0.0</v>
      </c>
      <c r="AT181" s="562">
        <v>0.0</v>
      </c>
      <c r="AU181" s="562">
        <v>0.0</v>
      </c>
      <c r="AV181" s="562">
        <v>0.0</v>
      </c>
      <c r="AW181" s="562">
        <v>0.0</v>
      </c>
      <c r="AX181" s="562">
        <v>0.0</v>
      </c>
      <c r="AY181" s="562">
        <v>0.0</v>
      </c>
      <c r="AZ181" s="562">
        <v>0.0</v>
      </c>
      <c r="BA181" s="562">
        <v>-2024.0</v>
      </c>
      <c r="BB181" s="562"/>
      <c r="BC181" s="562"/>
      <c r="BD181" s="562"/>
      <c r="BE181" s="562"/>
      <c r="BF181" s="562"/>
      <c r="BG181" s="562"/>
      <c r="BH181" s="562"/>
      <c r="BI181" s="562"/>
      <c r="BJ181" s="562"/>
      <c r="BK181" s="562"/>
      <c r="BL181" s="723">
        <v>0.0</v>
      </c>
      <c r="BM181" s="665">
        <f t="shared" si="1"/>
        <v>0</v>
      </c>
      <c r="BN181" s="682"/>
      <c r="BO181" s="683"/>
      <c r="BP181" s="683"/>
      <c r="BQ181" s="683"/>
      <c r="BR181" s="683"/>
      <c r="BS181" s="683"/>
      <c r="BT181" s="683"/>
      <c r="BU181" s="683"/>
      <c r="BV181" s="683"/>
      <c r="BW181" s="686"/>
      <c r="BX181" s="665">
        <f t="shared" si="2"/>
        <v>0</v>
      </c>
      <c r="BY181" s="682">
        <v>0.0</v>
      </c>
      <c r="BZ181" s="683">
        <v>0.0</v>
      </c>
      <c r="CA181" s="683">
        <v>0.0</v>
      </c>
      <c r="CB181" s="683">
        <v>0.0</v>
      </c>
      <c r="CC181" s="683">
        <v>0.0</v>
      </c>
      <c r="CD181" s="683">
        <v>0.0</v>
      </c>
      <c r="CE181" s="683">
        <v>0.0</v>
      </c>
      <c r="CF181" s="683">
        <v>0.0</v>
      </c>
      <c r="CG181" s="683">
        <v>0.0</v>
      </c>
      <c r="CH181" s="686">
        <v>0.0</v>
      </c>
      <c r="CI181" s="665">
        <f t="shared" si="3"/>
        <v>0</v>
      </c>
      <c r="CJ181" s="682">
        <f t="shared" si="4"/>
        <v>0</v>
      </c>
      <c r="CK181" s="687"/>
      <c r="CL181" s="683">
        <v>0.0</v>
      </c>
      <c r="CM181" s="683">
        <f t="shared" ref="CM181:CV181" si="560">BC181*$CL181</f>
        <v>0</v>
      </c>
      <c r="CN181" s="683">
        <f t="shared" si="560"/>
        <v>0</v>
      </c>
      <c r="CO181" s="683">
        <f t="shared" si="560"/>
        <v>0</v>
      </c>
      <c r="CP181" s="683">
        <f t="shared" si="560"/>
        <v>0</v>
      </c>
      <c r="CQ181" s="683">
        <f t="shared" si="560"/>
        <v>0</v>
      </c>
      <c r="CR181" s="683">
        <f t="shared" si="560"/>
        <v>0</v>
      </c>
      <c r="CS181" s="683">
        <f t="shared" si="560"/>
        <v>0</v>
      </c>
      <c r="CT181" s="683">
        <f t="shared" si="560"/>
        <v>0</v>
      </c>
      <c r="CU181" s="683">
        <f t="shared" si="560"/>
        <v>0</v>
      </c>
      <c r="CV181" s="683">
        <f t="shared" si="560"/>
        <v>0</v>
      </c>
      <c r="CW181" s="683">
        <f t="shared" si="21"/>
        <v>0</v>
      </c>
      <c r="CX181" s="683">
        <f t="shared" ref="CX181:DG181" si="561">BN181*$CL181</f>
        <v>0</v>
      </c>
      <c r="CY181" s="683">
        <f t="shared" si="561"/>
        <v>0</v>
      </c>
      <c r="CZ181" s="683">
        <f t="shared" si="561"/>
        <v>0</v>
      </c>
      <c r="DA181" s="683">
        <f t="shared" si="561"/>
        <v>0</v>
      </c>
      <c r="DB181" s="683">
        <f t="shared" si="561"/>
        <v>0</v>
      </c>
      <c r="DC181" s="683">
        <f t="shared" si="561"/>
        <v>0</v>
      </c>
      <c r="DD181" s="683">
        <f t="shared" si="561"/>
        <v>0</v>
      </c>
      <c r="DE181" s="683">
        <f t="shared" si="561"/>
        <v>0</v>
      </c>
      <c r="DF181" s="683">
        <f t="shared" si="561"/>
        <v>0</v>
      </c>
      <c r="DG181" s="683">
        <f t="shared" si="561"/>
        <v>0</v>
      </c>
      <c r="DH181" s="683">
        <f t="shared" si="23"/>
        <v>0</v>
      </c>
      <c r="DI181" s="683">
        <f t="shared" ref="DI181:DR181" si="562">BY181*$CL181</f>
        <v>0</v>
      </c>
      <c r="DJ181" s="683">
        <f t="shared" si="562"/>
        <v>0</v>
      </c>
      <c r="DK181" s="683">
        <f t="shared" si="562"/>
        <v>0</v>
      </c>
      <c r="DL181" s="683">
        <f t="shared" si="562"/>
        <v>0</v>
      </c>
      <c r="DM181" s="683">
        <f t="shared" si="562"/>
        <v>0</v>
      </c>
      <c r="DN181" s="683">
        <f t="shared" si="562"/>
        <v>0</v>
      </c>
      <c r="DO181" s="683">
        <f t="shared" si="562"/>
        <v>0</v>
      </c>
      <c r="DP181" s="683">
        <f t="shared" si="562"/>
        <v>0</v>
      </c>
      <c r="DQ181" s="683">
        <f t="shared" si="562"/>
        <v>0</v>
      </c>
      <c r="DR181" s="683">
        <f t="shared" si="562"/>
        <v>0</v>
      </c>
      <c r="DS181" s="683">
        <f t="shared" si="25"/>
        <v>0</v>
      </c>
      <c r="DT181" s="683">
        <f t="shared" si="175"/>
        <v>0</v>
      </c>
      <c r="DU181" s="866"/>
      <c r="DV181" s="818" t="s">
        <v>3339</v>
      </c>
      <c r="DW181" s="819"/>
      <c r="DX181" s="819"/>
      <c r="DY181" s="819"/>
      <c r="DZ181" s="819"/>
      <c r="EA181" s="819"/>
      <c r="EB181" s="819"/>
      <c r="EC181" s="819"/>
      <c r="ED181" s="819"/>
      <c r="EE181" s="819"/>
      <c r="EF181" s="819"/>
      <c r="EG181" s="819"/>
      <c r="EH181" s="689">
        <f t="shared" si="559"/>
        <v>0</v>
      </c>
      <c r="EI181" s="690">
        <v>1.0</v>
      </c>
      <c r="EJ181" s="691"/>
      <c r="EK181" s="691"/>
    </row>
    <row r="182" ht="12.0" customHeight="1">
      <c r="A182" s="709" t="s">
        <v>3026</v>
      </c>
      <c r="B182" s="661">
        <v>2.0</v>
      </c>
      <c r="C182" s="567" t="s">
        <v>3027</v>
      </c>
      <c r="D182" s="568" t="s">
        <v>231</v>
      </c>
      <c r="E182" s="568" t="s">
        <v>3270</v>
      </c>
      <c r="F182" s="567" t="s">
        <v>1763</v>
      </c>
      <c r="G182" s="569" t="s">
        <v>2709</v>
      </c>
      <c r="H182" s="569" t="s">
        <v>3340</v>
      </c>
      <c r="I182" s="710" t="s">
        <v>2198</v>
      </c>
      <c r="J182" s="711" t="s">
        <v>495</v>
      </c>
      <c r="K182" s="567" t="s">
        <v>25</v>
      </c>
      <c r="L182" s="567">
        <v>2024.0</v>
      </c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>
        <v>5.0</v>
      </c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7"/>
      <c r="AH182" s="567"/>
      <c r="AI182" s="567"/>
      <c r="AJ182" s="567"/>
      <c r="AK182" s="567"/>
      <c r="AL182" s="567"/>
      <c r="AM182" s="567"/>
      <c r="AN182" s="567"/>
      <c r="AO182" s="567"/>
      <c r="AP182" s="567"/>
      <c r="AQ182" s="567"/>
      <c r="AR182" s="567">
        <v>-2024.0</v>
      </c>
      <c r="AS182" s="567">
        <v>0.0</v>
      </c>
      <c r="AT182" s="567">
        <v>0.0</v>
      </c>
      <c r="AU182" s="567">
        <v>0.0</v>
      </c>
      <c r="AV182" s="567">
        <v>0.0</v>
      </c>
      <c r="AW182" s="567">
        <v>0.0</v>
      </c>
      <c r="AX182" s="567">
        <v>0.0</v>
      </c>
      <c r="AY182" s="567">
        <v>0.0</v>
      </c>
      <c r="AZ182" s="567">
        <v>0.0</v>
      </c>
      <c r="BA182" s="567">
        <v>0.0</v>
      </c>
      <c r="BB182" s="567"/>
      <c r="BC182" s="567">
        <v>1.0</v>
      </c>
      <c r="BD182" s="567"/>
      <c r="BE182" s="567"/>
      <c r="BF182" s="567"/>
      <c r="BG182" s="567"/>
      <c r="BH182" s="567"/>
      <c r="BI182" s="567"/>
      <c r="BJ182" s="567"/>
      <c r="BK182" s="567"/>
      <c r="BL182" s="725"/>
      <c r="BM182" s="665">
        <f t="shared" si="1"/>
        <v>1</v>
      </c>
      <c r="BN182" s="671"/>
      <c r="BO182" s="668"/>
      <c r="BP182" s="668"/>
      <c r="BQ182" s="668"/>
      <c r="BR182" s="668"/>
      <c r="BS182" s="668"/>
      <c r="BT182" s="668"/>
      <c r="BU182" s="668"/>
      <c r="BV182" s="668"/>
      <c r="BW182" s="670"/>
      <c r="BX182" s="665">
        <f t="shared" si="2"/>
        <v>0</v>
      </c>
      <c r="BY182" s="671">
        <v>0.0</v>
      </c>
      <c r="BZ182" s="668">
        <v>0.0</v>
      </c>
      <c r="CA182" s="668">
        <v>0.0</v>
      </c>
      <c r="CB182" s="668">
        <v>0.0</v>
      </c>
      <c r="CC182" s="668">
        <v>0.0</v>
      </c>
      <c r="CD182" s="668">
        <v>0.0</v>
      </c>
      <c r="CE182" s="668">
        <v>0.0</v>
      </c>
      <c r="CF182" s="668">
        <v>0.0</v>
      </c>
      <c r="CG182" s="668">
        <v>0.0</v>
      </c>
      <c r="CH182" s="670">
        <v>0.0</v>
      </c>
      <c r="CI182" s="665">
        <f t="shared" si="3"/>
        <v>0</v>
      </c>
      <c r="CJ182" s="671">
        <f t="shared" si="4"/>
        <v>1</v>
      </c>
      <c r="CK182" s="715">
        <v>12708.5</v>
      </c>
      <c r="CL182" s="668">
        <f t="shared" ref="CL182:CL218" si="566">CK182*$CL$1</f>
        <v>88451.16</v>
      </c>
      <c r="CM182" s="668">
        <f t="shared" ref="CM182:CV182" si="563">BC182*$CL182</f>
        <v>88451.16</v>
      </c>
      <c r="CN182" s="668">
        <f t="shared" si="563"/>
        <v>0</v>
      </c>
      <c r="CO182" s="668">
        <f t="shared" si="563"/>
        <v>0</v>
      </c>
      <c r="CP182" s="668">
        <f t="shared" si="563"/>
        <v>0</v>
      </c>
      <c r="CQ182" s="668">
        <f t="shared" si="563"/>
        <v>0</v>
      </c>
      <c r="CR182" s="668">
        <f t="shared" si="563"/>
        <v>0</v>
      </c>
      <c r="CS182" s="668">
        <f t="shared" si="563"/>
        <v>0</v>
      </c>
      <c r="CT182" s="668">
        <f t="shared" si="563"/>
        <v>0</v>
      </c>
      <c r="CU182" s="668">
        <f t="shared" si="563"/>
        <v>0</v>
      </c>
      <c r="CV182" s="668">
        <f t="shared" si="563"/>
        <v>0</v>
      </c>
      <c r="CW182" s="668">
        <f t="shared" si="21"/>
        <v>88451.16</v>
      </c>
      <c r="CX182" s="668">
        <f t="shared" ref="CX182:DG182" si="564">BN182*$CL182</f>
        <v>0</v>
      </c>
      <c r="CY182" s="668">
        <f t="shared" si="564"/>
        <v>0</v>
      </c>
      <c r="CZ182" s="668">
        <f t="shared" si="564"/>
        <v>0</v>
      </c>
      <c r="DA182" s="668">
        <f t="shared" si="564"/>
        <v>0</v>
      </c>
      <c r="DB182" s="668">
        <f t="shared" si="564"/>
        <v>0</v>
      </c>
      <c r="DC182" s="668">
        <f t="shared" si="564"/>
        <v>0</v>
      </c>
      <c r="DD182" s="668">
        <f t="shared" si="564"/>
        <v>0</v>
      </c>
      <c r="DE182" s="668">
        <f t="shared" si="564"/>
        <v>0</v>
      </c>
      <c r="DF182" s="668">
        <f t="shared" si="564"/>
        <v>0</v>
      </c>
      <c r="DG182" s="668">
        <f t="shared" si="564"/>
        <v>0</v>
      </c>
      <c r="DH182" s="668">
        <f t="shared" si="23"/>
        <v>0</v>
      </c>
      <c r="DI182" s="668">
        <f t="shared" ref="DI182:DR182" si="565">BY182*$CL182</f>
        <v>0</v>
      </c>
      <c r="DJ182" s="668">
        <f t="shared" si="565"/>
        <v>0</v>
      </c>
      <c r="DK182" s="668">
        <f t="shared" si="565"/>
        <v>0</v>
      </c>
      <c r="DL182" s="668">
        <f t="shared" si="565"/>
        <v>0</v>
      </c>
      <c r="DM182" s="668">
        <f t="shared" si="565"/>
        <v>0</v>
      </c>
      <c r="DN182" s="668">
        <f t="shared" si="565"/>
        <v>0</v>
      </c>
      <c r="DO182" s="668">
        <f t="shared" si="565"/>
        <v>0</v>
      </c>
      <c r="DP182" s="668">
        <f t="shared" si="565"/>
        <v>0</v>
      </c>
      <c r="DQ182" s="668">
        <f t="shared" si="565"/>
        <v>0</v>
      </c>
      <c r="DR182" s="668">
        <f t="shared" si="565"/>
        <v>0</v>
      </c>
      <c r="DS182" s="668">
        <f t="shared" si="25"/>
        <v>0</v>
      </c>
      <c r="DT182" s="668">
        <f t="shared" si="175"/>
        <v>88451.16</v>
      </c>
      <c r="DU182" s="861" t="s">
        <v>3341</v>
      </c>
      <c r="DV182" s="861" t="s">
        <v>3342</v>
      </c>
      <c r="DW182" s="698"/>
      <c r="DX182" s="698"/>
      <c r="DY182" s="698"/>
      <c r="DZ182" s="698"/>
      <c r="EA182" s="698"/>
      <c r="EB182" s="698"/>
      <c r="EC182" s="698"/>
      <c r="ED182" s="698"/>
      <c r="EE182" s="698"/>
      <c r="EF182" s="698"/>
      <c r="EG182" s="698"/>
      <c r="EH182" s="576" t="s">
        <v>3343</v>
      </c>
      <c r="EI182" s="716">
        <f>VLOOKUP(I182,CotizacionTDB,4,FALSE())</f>
        <v>12708.5</v>
      </c>
      <c r="EJ182" s="716">
        <f>VLOOKUP(I182,CotizacionTDB,5,FALSE())</f>
        <v>10802.23</v>
      </c>
      <c r="EK182" s="699"/>
    </row>
    <row r="183" ht="12.0" customHeight="1">
      <c r="A183" s="700" t="s">
        <v>3026</v>
      </c>
      <c r="B183" s="701">
        <v>2.0</v>
      </c>
      <c r="C183" s="562" t="s">
        <v>3027</v>
      </c>
      <c r="D183" s="571" t="s">
        <v>231</v>
      </c>
      <c r="E183" s="571" t="s">
        <v>3270</v>
      </c>
      <c r="F183" s="562" t="s">
        <v>1763</v>
      </c>
      <c r="G183" s="569" t="s">
        <v>2709</v>
      </c>
      <c r="H183" s="569" t="s">
        <v>3344</v>
      </c>
      <c r="I183" s="703" t="s">
        <v>2322</v>
      </c>
      <c r="J183" s="704" t="s">
        <v>652</v>
      </c>
      <c r="K183" s="562" t="s">
        <v>25</v>
      </c>
      <c r="L183" s="562">
        <v>2024.0</v>
      </c>
      <c r="M183" s="562">
        <v>2024.0</v>
      </c>
      <c r="N183" s="562">
        <v>2024.0</v>
      </c>
      <c r="O183" s="562">
        <v>2024.0</v>
      </c>
      <c r="P183" s="562">
        <v>2024.0</v>
      </c>
      <c r="Q183" s="562">
        <v>2024.0</v>
      </c>
      <c r="R183" s="562"/>
      <c r="S183" s="562"/>
      <c r="T183" s="562"/>
      <c r="U183" s="562"/>
      <c r="V183" s="562"/>
      <c r="W183" s="562">
        <v>5.0</v>
      </c>
      <c r="X183" s="562">
        <v>5.0</v>
      </c>
      <c r="Y183" s="562">
        <v>5.0</v>
      </c>
      <c r="Z183" s="562">
        <v>5.0</v>
      </c>
      <c r="AA183" s="562">
        <v>5.0</v>
      </c>
      <c r="AB183" s="562">
        <v>5.0</v>
      </c>
      <c r="AC183" s="562"/>
      <c r="AD183" s="562"/>
      <c r="AE183" s="562"/>
      <c r="AF183" s="562"/>
      <c r="AG183" s="562"/>
      <c r="AH183" s="562"/>
      <c r="AI183" s="562"/>
      <c r="AJ183" s="562"/>
      <c r="AK183" s="562"/>
      <c r="AL183" s="562"/>
      <c r="AM183" s="562"/>
      <c r="AN183" s="562"/>
      <c r="AO183" s="562"/>
      <c r="AP183" s="562"/>
      <c r="AQ183" s="562"/>
      <c r="AR183" s="562">
        <v>-2024.0</v>
      </c>
      <c r="AS183" s="562">
        <v>-2024.0</v>
      </c>
      <c r="AT183" s="562">
        <v>-2024.0</v>
      </c>
      <c r="AU183" s="562">
        <v>-2024.0</v>
      </c>
      <c r="AV183" s="562">
        <v>-2024.0</v>
      </c>
      <c r="AW183" s="562">
        <v>-2024.0</v>
      </c>
      <c r="AX183" s="562">
        <v>0.0</v>
      </c>
      <c r="AY183" s="562">
        <v>0.0</v>
      </c>
      <c r="AZ183" s="562">
        <v>0.0</v>
      </c>
      <c r="BA183" s="562">
        <v>0.0</v>
      </c>
      <c r="BB183" s="562"/>
      <c r="BC183" s="680"/>
      <c r="BD183" s="680"/>
      <c r="BE183" s="680"/>
      <c r="BF183" s="718"/>
      <c r="BG183" s="718"/>
      <c r="BH183" s="718"/>
      <c r="BI183" s="562"/>
      <c r="BJ183" s="562"/>
      <c r="BK183" s="562"/>
      <c r="BL183" s="681"/>
      <c r="BM183" s="665">
        <f t="shared" si="1"/>
        <v>0</v>
      </c>
      <c r="BN183" s="734">
        <v>2.0</v>
      </c>
      <c r="BO183" s="684">
        <v>2.0</v>
      </c>
      <c r="BP183" s="684">
        <v>2.0</v>
      </c>
      <c r="BQ183" s="667">
        <v>2.0</v>
      </c>
      <c r="BR183" s="667">
        <v>2.0</v>
      </c>
      <c r="BS183" s="667">
        <v>2.0</v>
      </c>
      <c r="BT183" s="683"/>
      <c r="BU183" s="683"/>
      <c r="BV183" s="683"/>
      <c r="BW183" s="686"/>
      <c r="BX183" s="665">
        <f t="shared" si="2"/>
        <v>12</v>
      </c>
      <c r="BY183" s="682">
        <v>0.0</v>
      </c>
      <c r="BZ183" s="683">
        <v>0.0</v>
      </c>
      <c r="CA183" s="683">
        <v>0.0</v>
      </c>
      <c r="CB183" s="683">
        <v>0.0</v>
      </c>
      <c r="CC183" s="683">
        <v>0.0</v>
      </c>
      <c r="CD183" s="683">
        <v>0.0</v>
      </c>
      <c r="CE183" s="683">
        <v>0.0</v>
      </c>
      <c r="CF183" s="683">
        <v>0.0</v>
      </c>
      <c r="CG183" s="683">
        <v>0.0</v>
      </c>
      <c r="CH183" s="724">
        <v>1.0</v>
      </c>
      <c r="CI183" s="665">
        <f t="shared" si="3"/>
        <v>1</v>
      </c>
      <c r="CJ183" s="682">
        <f t="shared" si="4"/>
        <v>13</v>
      </c>
      <c r="CK183" s="706">
        <v>601.46</v>
      </c>
      <c r="CL183" s="683">
        <f t="shared" si="566"/>
        <v>4186.1616</v>
      </c>
      <c r="CM183" s="683">
        <f t="shared" ref="CM183:CV183" si="567">BC183*$CL183</f>
        <v>0</v>
      </c>
      <c r="CN183" s="683">
        <f t="shared" si="567"/>
        <v>0</v>
      </c>
      <c r="CO183" s="683">
        <f t="shared" si="567"/>
        <v>0</v>
      </c>
      <c r="CP183" s="683">
        <f t="shared" si="567"/>
        <v>0</v>
      </c>
      <c r="CQ183" s="683">
        <f t="shared" si="567"/>
        <v>0</v>
      </c>
      <c r="CR183" s="683">
        <f t="shared" si="567"/>
        <v>0</v>
      </c>
      <c r="CS183" s="683">
        <f t="shared" si="567"/>
        <v>0</v>
      </c>
      <c r="CT183" s="683">
        <f t="shared" si="567"/>
        <v>0</v>
      </c>
      <c r="CU183" s="683">
        <f t="shared" si="567"/>
        <v>0</v>
      </c>
      <c r="CV183" s="683">
        <f t="shared" si="567"/>
        <v>0</v>
      </c>
      <c r="CW183" s="683">
        <f t="shared" si="21"/>
        <v>0</v>
      </c>
      <c r="CX183" s="683">
        <f t="shared" ref="CX183:DG183" si="568">BN183*$CL183</f>
        <v>8372.3232</v>
      </c>
      <c r="CY183" s="683">
        <f t="shared" si="568"/>
        <v>8372.3232</v>
      </c>
      <c r="CZ183" s="683">
        <f t="shared" si="568"/>
        <v>8372.3232</v>
      </c>
      <c r="DA183" s="683">
        <f t="shared" si="568"/>
        <v>8372.3232</v>
      </c>
      <c r="DB183" s="683">
        <f t="shared" si="568"/>
        <v>8372.3232</v>
      </c>
      <c r="DC183" s="683">
        <f t="shared" si="568"/>
        <v>8372.3232</v>
      </c>
      <c r="DD183" s="683">
        <f t="shared" si="568"/>
        <v>0</v>
      </c>
      <c r="DE183" s="683">
        <f t="shared" si="568"/>
        <v>0</v>
      </c>
      <c r="DF183" s="683">
        <f t="shared" si="568"/>
        <v>0</v>
      </c>
      <c r="DG183" s="683">
        <f t="shared" si="568"/>
        <v>0</v>
      </c>
      <c r="DH183" s="683">
        <f t="shared" si="23"/>
        <v>50233.9392</v>
      </c>
      <c r="DI183" s="683">
        <f t="shared" ref="DI183:DR183" si="569">BY183*$CL183</f>
        <v>0</v>
      </c>
      <c r="DJ183" s="683">
        <f t="shared" si="569"/>
        <v>0</v>
      </c>
      <c r="DK183" s="683">
        <f t="shared" si="569"/>
        <v>0</v>
      </c>
      <c r="DL183" s="683">
        <f t="shared" si="569"/>
        <v>0</v>
      </c>
      <c r="DM183" s="683">
        <f t="shared" si="569"/>
        <v>0</v>
      </c>
      <c r="DN183" s="683">
        <f t="shared" si="569"/>
        <v>0</v>
      </c>
      <c r="DO183" s="683">
        <f t="shared" si="569"/>
        <v>0</v>
      </c>
      <c r="DP183" s="683">
        <f t="shared" si="569"/>
        <v>0</v>
      </c>
      <c r="DQ183" s="683">
        <f t="shared" si="569"/>
        <v>0</v>
      </c>
      <c r="DR183" s="683">
        <f t="shared" si="569"/>
        <v>4186.1616</v>
      </c>
      <c r="DS183" s="683">
        <f t="shared" si="25"/>
        <v>4186.1616</v>
      </c>
      <c r="DT183" s="683">
        <f t="shared" si="175"/>
        <v>54420.1008</v>
      </c>
      <c r="DU183" s="504"/>
      <c r="DV183" s="486"/>
      <c r="DW183" s="688"/>
      <c r="DX183" s="688"/>
      <c r="DY183" s="688"/>
      <c r="DZ183" s="688"/>
      <c r="EA183" s="688"/>
      <c r="EB183" s="688"/>
      <c r="EC183" s="688"/>
      <c r="ED183" s="688"/>
      <c r="EE183" s="688"/>
      <c r="EF183" s="688"/>
      <c r="EG183" s="688"/>
      <c r="EH183" s="707" t="s">
        <v>3345</v>
      </c>
      <c r="EI183" s="708">
        <f>VLOOKUP(I183,CotizacionTDB,4,FALSE())</f>
        <v>601.46</v>
      </c>
      <c r="EJ183" s="708">
        <f>VLOOKUP(I183,CotizacionTDB,5,FALSE())</f>
        <v>511.24</v>
      </c>
      <c r="EK183" s="691"/>
    </row>
    <row r="184" ht="12.0" customHeight="1">
      <c r="A184" s="709" t="s">
        <v>3026</v>
      </c>
      <c r="B184" s="661">
        <v>2.0</v>
      </c>
      <c r="C184" s="567" t="s">
        <v>3027</v>
      </c>
      <c r="D184" s="568" t="s">
        <v>231</v>
      </c>
      <c r="E184" s="568" t="s">
        <v>3270</v>
      </c>
      <c r="F184" s="567" t="s">
        <v>1763</v>
      </c>
      <c r="G184" s="569" t="s">
        <v>2709</v>
      </c>
      <c r="H184" s="658"/>
      <c r="I184" s="878" t="s">
        <v>2386</v>
      </c>
      <c r="J184" s="879" t="s">
        <v>2387</v>
      </c>
      <c r="K184" s="567" t="s">
        <v>25</v>
      </c>
      <c r="L184" s="567"/>
      <c r="M184" s="567"/>
      <c r="N184" s="567"/>
      <c r="O184" s="567"/>
      <c r="P184" s="567"/>
      <c r="Q184" s="567">
        <v>2024.0</v>
      </c>
      <c r="R184" s="567"/>
      <c r="S184" s="567"/>
      <c r="T184" s="567"/>
      <c r="U184" s="567"/>
      <c r="V184" s="567"/>
      <c r="W184" s="567">
        <v>5.0</v>
      </c>
      <c r="X184" s="567"/>
      <c r="Y184" s="567"/>
      <c r="Z184" s="567"/>
      <c r="AA184" s="567"/>
      <c r="AB184" s="567">
        <v>5.0</v>
      </c>
      <c r="AC184" s="567"/>
      <c r="AD184" s="567"/>
      <c r="AE184" s="567"/>
      <c r="AF184" s="567"/>
      <c r="AG184" s="567"/>
      <c r="AH184" s="567"/>
      <c r="AI184" s="567"/>
      <c r="AJ184" s="567"/>
      <c r="AK184" s="567"/>
      <c r="AL184" s="567"/>
      <c r="AM184" s="567"/>
      <c r="AN184" s="567"/>
      <c r="AO184" s="567"/>
      <c r="AP184" s="567"/>
      <c r="AQ184" s="567"/>
      <c r="AR184" s="567">
        <v>0.0</v>
      </c>
      <c r="AS184" s="567">
        <v>0.0</v>
      </c>
      <c r="AT184" s="567">
        <v>0.0</v>
      </c>
      <c r="AU184" s="567">
        <v>0.0</v>
      </c>
      <c r="AV184" s="567">
        <v>0.0</v>
      </c>
      <c r="AW184" s="567">
        <v>-2024.0</v>
      </c>
      <c r="AX184" s="567">
        <v>0.0</v>
      </c>
      <c r="AY184" s="567">
        <v>0.0</v>
      </c>
      <c r="AZ184" s="567">
        <v>0.0</v>
      </c>
      <c r="BA184" s="567">
        <v>0.0</v>
      </c>
      <c r="BB184" s="567"/>
      <c r="BC184" s="567"/>
      <c r="BD184" s="567"/>
      <c r="BE184" s="567"/>
      <c r="BF184" s="567"/>
      <c r="BG184" s="567"/>
      <c r="BH184" s="718"/>
      <c r="BI184" s="567"/>
      <c r="BJ184" s="567"/>
      <c r="BK184" s="567"/>
      <c r="BL184" s="725"/>
      <c r="BM184" s="665">
        <f t="shared" si="1"/>
        <v>0</v>
      </c>
      <c r="BN184" s="671"/>
      <c r="BO184" s="668"/>
      <c r="BP184" s="668"/>
      <c r="BQ184" s="668"/>
      <c r="BR184" s="668"/>
      <c r="BS184" s="667">
        <v>4.0</v>
      </c>
      <c r="BT184" s="668"/>
      <c r="BU184" s="668"/>
      <c r="BV184" s="668"/>
      <c r="BW184" s="670"/>
      <c r="BX184" s="665">
        <f t="shared" si="2"/>
        <v>4</v>
      </c>
      <c r="BY184" s="671">
        <v>0.0</v>
      </c>
      <c r="BZ184" s="668">
        <v>0.0</v>
      </c>
      <c r="CA184" s="668">
        <v>0.0</v>
      </c>
      <c r="CB184" s="668">
        <v>0.0</v>
      </c>
      <c r="CC184" s="668">
        <v>0.0</v>
      </c>
      <c r="CD184" s="668">
        <v>0.0</v>
      </c>
      <c r="CE184" s="668">
        <v>0.0</v>
      </c>
      <c r="CF184" s="668">
        <v>0.0</v>
      </c>
      <c r="CG184" s="668">
        <v>0.0</v>
      </c>
      <c r="CH184" s="670">
        <v>0.0</v>
      </c>
      <c r="CI184" s="665">
        <f t="shared" si="3"/>
        <v>0</v>
      </c>
      <c r="CJ184" s="671">
        <f t="shared" si="4"/>
        <v>4</v>
      </c>
      <c r="CK184" s="715">
        <v>342.26</v>
      </c>
      <c r="CL184" s="668">
        <f t="shared" si="566"/>
        <v>2382.1296</v>
      </c>
      <c r="CM184" s="668">
        <f t="shared" ref="CM184:CV184" si="570">BC184*$CL184</f>
        <v>0</v>
      </c>
      <c r="CN184" s="668">
        <f t="shared" si="570"/>
        <v>0</v>
      </c>
      <c r="CO184" s="668">
        <f t="shared" si="570"/>
        <v>0</v>
      </c>
      <c r="CP184" s="668">
        <f t="shared" si="570"/>
        <v>0</v>
      </c>
      <c r="CQ184" s="668">
        <f t="shared" si="570"/>
        <v>0</v>
      </c>
      <c r="CR184" s="668">
        <f t="shared" si="570"/>
        <v>0</v>
      </c>
      <c r="CS184" s="668">
        <f t="shared" si="570"/>
        <v>0</v>
      </c>
      <c r="CT184" s="668">
        <f t="shared" si="570"/>
        <v>0</v>
      </c>
      <c r="CU184" s="668">
        <f t="shared" si="570"/>
        <v>0</v>
      </c>
      <c r="CV184" s="668">
        <f t="shared" si="570"/>
        <v>0</v>
      </c>
      <c r="CW184" s="668">
        <f t="shared" si="21"/>
        <v>0</v>
      </c>
      <c r="CX184" s="668">
        <f t="shared" ref="CX184:DG184" si="571">BN184*$CL184</f>
        <v>0</v>
      </c>
      <c r="CY184" s="668">
        <f t="shared" si="571"/>
        <v>0</v>
      </c>
      <c r="CZ184" s="668">
        <f t="shared" si="571"/>
        <v>0</v>
      </c>
      <c r="DA184" s="668">
        <f t="shared" si="571"/>
        <v>0</v>
      </c>
      <c r="DB184" s="668">
        <f t="shared" si="571"/>
        <v>0</v>
      </c>
      <c r="DC184" s="668">
        <f t="shared" si="571"/>
        <v>9528.5184</v>
      </c>
      <c r="DD184" s="668">
        <f t="shared" si="571"/>
        <v>0</v>
      </c>
      <c r="DE184" s="668">
        <f t="shared" si="571"/>
        <v>0</v>
      </c>
      <c r="DF184" s="668">
        <f t="shared" si="571"/>
        <v>0</v>
      </c>
      <c r="DG184" s="668">
        <f t="shared" si="571"/>
        <v>0</v>
      </c>
      <c r="DH184" s="668">
        <f t="shared" si="23"/>
        <v>9528.5184</v>
      </c>
      <c r="DI184" s="668">
        <f t="shared" ref="DI184:DR184" si="572">BY184*$CL184</f>
        <v>0</v>
      </c>
      <c r="DJ184" s="668">
        <f t="shared" si="572"/>
        <v>0</v>
      </c>
      <c r="DK184" s="668">
        <f t="shared" si="572"/>
        <v>0</v>
      </c>
      <c r="DL184" s="668">
        <f t="shared" si="572"/>
        <v>0</v>
      </c>
      <c r="DM184" s="668">
        <f t="shared" si="572"/>
        <v>0</v>
      </c>
      <c r="DN184" s="668">
        <f t="shared" si="572"/>
        <v>0</v>
      </c>
      <c r="DO184" s="668">
        <f t="shared" si="572"/>
        <v>0</v>
      </c>
      <c r="DP184" s="668">
        <f t="shared" si="572"/>
        <v>0</v>
      </c>
      <c r="DQ184" s="668">
        <f t="shared" si="572"/>
        <v>0</v>
      </c>
      <c r="DR184" s="668">
        <f t="shared" si="572"/>
        <v>0</v>
      </c>
      <c r="DS184" s="668">
        <f t="shared" si="25"/>
        <v>0</v>
      </c>
      <c r="DT184" s="668">
        <f t="shared" si="175"/>
        <v>9528.5184</v>
      </c>
      <c r="DU184" s="498"/>
      <c r="DV184" s="792" t="s">
        <v>3346</v>
      </c>
      <c r="DW184" s="698"/>
      <c r="DX184" s="698"/>
      <c r="DY184" s="698"/>
      <c r="DZ184" s="698"/>
      <c r="EA184" s="698"/>
      <c r="EB184" s="698"/>
      <c r="EC184" s="698"/>
      <c r="ED184" s="698"/>
      <c r="EE184" s="698"/>
      <c r="EF184" s="698"/>
      <c r="EG184" s="698"/>
      <c r="EH184" s="576" t="s">
        <v>3347</v>
      </c>
      <c r="EI184" s="716">
        <f>VLOOKUP(I184,CotizacionTDB,4,FALSE())</f>
        <v>342.26</v>
      </c>
      <c r="EJ184" s="716">
        <f>VLOOKUP(I184,CotizacionTDB,5,FALSE())</f>
        <v>290.92</v>
      </c>
      <c r="EK184" s="699"/>
    </row>
    <row r="185" ht="12.0" customHeight="1">
      <c r="A185" s="700" t="s">
        <v>3026</v>
      </c>
      <c r="B185" s="701">
        <v>2.0</v>
      </c>
      <c r="C185" s="562" t="s">
        <v>3027</v>
      </c>
      <c r="D185" s="571" t="s">
        <v>231</v>
      </c>
      <c r="E185" s="571" t="s">
        <v>3270</v>
      </c>
      <c r="F185" s="562" t="s">
        <v>1763</v>
      </c>
      <c r="G185" s="569" t="s">
        <v>2709</v>
      </c>
      <c r="H185" s="569" t="s">
        <v>3348</v>
      </c>
      <c r="I185" s="703" t="s">
        <v>2057</v>
      </c>
      <c r="J185" s="704" t="s">
        <v>599</v>
      </c>
      <c r="K185" s="562" t="s">
        <v>25</v>
      </c>
      <c r="L185" s="808">
        <v>2028.0</v>
      </c>
      <c r="M185" s="808">
        <v>2028.0</v>
      </c>
      <c r="N185" s="562">
        <v>2024.0</v>
      </c>
      <c r="O185" s="562">
        <v>2024.0</v>
      </c>
      <c r="P185" s="562">
        <v>2026.0</v>
      </c>
      <c r="Q185" s="562">
        <v>2026.0</v>
      </c>
      <c r="R185" s="562">
        <v>2024.0</v>
      </c>
      <c r="S185" s="562">
        <v>2024.0</v>
      </c>
      <c r="T185" s="808">
        <v>2028.0</v>
      </c>
      <c r="U185" s="562">
        <v>2024.0</v>
      </c>
      <c r="V185" s="562"/>
      <c r="W185" s="562">
        <v>8.0</v>
      </c>
      <c r="X185" s="562">
        <v>8.0</v>
      </c>
      <c r="Y185" s="562">
        <v>8.0</v>
      </c>
      <c r="Z185" s="562">
        <v>8.0</v>
      </c>
      <c r="AA185" s="562">
        <v>8.0</v>
      </c>
      <c r="AB185" s="562">
        <v>8.0</v>
      </c>
      <c r="AC185" s="562">
        <v>8.0</v>
      </c>
      <c r="AD185" s="562">
        <v>8.0</v>
      </c>
      <c r="AE185" s="562">
        <v>8.0</v>
      </c>
      <c r="AF185" s="562">
        <v>8.0</v>
      </c>
      <c r="AG185" s="562"/>
      <c r="AH185" s="562"/>
      <c r="AI185" s="562"/>
      <c r="AJ185" s="562"/>
      <c r="AK185" s="562"/>
      <c r="AL185" s="562"/>
      <c r="AM185" s="562"/>
      <c r="AN185" s="562"/>
      <c r="AO185" s="562"/>
      <c r="AP185" s="562"/>
      <c r="AQ185" s="562"/>
      <c r="AR185" s="562">
        <v>-2028.0</v>
      </c>
      <c r="AS185" s="562">
        <v>-2028.0</v>
      </c>
      <c r="AT185" s="562">
        <v>-2024.0</v>
      </c>
      <c r="AU185" s="562">
        <v>-2024.0</v>
      </c>
      <c r="AV185" s="562">
        <v>-2026.0</v>
      </c>
      <c r="AW185" s="562">
        <v>-2026.0</v>
      </c>
      <c r="AX185" s="562">
        <v>-2024.0</v>
      </c>
      <c r="AY185" s="562">
        <v>-2024.0</v>
      </c>
      <c r="AZ185" s="562">
        <v>-2028.0</v>
      </c>
      <c r="BA185" s="562">
        <v>-2024.0</v>
      </c>
      <c r="BB185" s="562"/>
      <c r="BC185" s="562"/>
      <c r="BD185" s="562"/>
      <c r="BE185" s="718"/>
      <c r="BF185" s="718"/>
      <c r="BG185" s="562"/>
      <c r="BH185" s="562"/>
      <c r="BI185" s="718"/>
      <c r="BJ185" s="718"/>
      <c r="BK185" s="562"/>
      <c r="BL185" s="681"/>
      <c r="BM185" s="665">
        <f t="shared" si="1"/>
        <v>0</v>
      </c>
      <c r="BN185" s="682"/>
      <c r="BO185" s="683"/>
      <c r="BP185" s="667">
        <v>3.0</v>
      </c>
      <c r="BQ185" s="667">
        <v>2.0</v>
      </c>
      <c r="BR185" s="683"/>
      <c r="BS185" s="683"/>
      <c r="BT185" s="667">
        <v>2.0</v>
      </c>
      <c r="BU185" s="667">
        <v>3.0</v>
      </c>
      <c r="BV185" s="683"/>
      <c r="BW185" s="705">
        <v>2.0</v>
      </c>
      <c r="BX185" s="665">
        <f t="shared" si="2"/>
        <v>12</v>
      </c>
      <c r="BY185" s="682">
        <v>0.0</v>
      </c>
      <c r="BZ185" s="849">
        <v>2.0</v>
      </c>
      <c r="CA185" s="683">
        <v>0.0</v>
      </c>
      <c r="CB185" s="683">
        <v>0.0</v>
      </c>
      <c r="CC185" s="683">
        <v>2.0</v>
      </c>
      <c r="CD185" s="683">
        <v>2.0</v>
      </c>
      <c r="CE185" s="683">
        <v>0.0</v>
      </c>
      <c r="CF185" s="683">
        <v>0.0</v>
      </c>
      <c r="CG185" s="683">
        <v>0.0</v>
      </c>
      <c r="CH185" s="686">
        <v>0.0</v>
      </c>
      <c r="CI185" s="665">
        <f t="shared" si="3"/>
        <v>6</v>
      </c>
      <c r="CJ185" s="682">
        <f t="shared" si="4"/>
        <v>18</v>
      </c>
      <c r="CK185" s="706">
        <v>430.79</v>
      </c>
      <c r="CL185" s="683">
        <f t="shared" si="566"/>
        <v>2998.2984</v>
      </c>
      <c r="CM185" s="683">
        <f t="shared" ref="CM185:CV185" si="573">BC185*$CL185</f>
        <v>0</v>
      </c>
      <c r="CN185" s="683">
        <f t="shared" si="573"/>
        <v>0</v>
      </c>
      <c r="CO185" s="683">
        <f t="shared" si="573"/>
        <v>0</v>
      </c>
      <c r="CP185" s="683">
        <f t="shared" si="573"/>
        <v>0</v>
      </c>
      <c r="CQ185" s="683">
        <f t="shared" si="573"/>
        <v>0</v>
      </c>
      <c r="CR185" s="683">
        <f t="shared" si="573"/>
        <v>0</v>
      </c>
      <c r="CS185" s="683">
        <f t="shared" si="573"/>
        <v>0</v>
      </c>
      <c r="CT185" s="683">
        <f t="shared" si="573"/>
        <v>0</v>
      </c>
      <c r="CU185" s="683">
        <f t="shared" si="573"/>
        <v>0</v>
      </c>
      <c r="CV185" s="683">
        <f t="shared" si="573"/>
        <v>0</v>
      </c>
      <c r="CW185" s="683">
        <f t="shared" si="21"/>
        <v>0</v>
      </c>
      <c r="CX185" s="683">
        <f t="shared" ref="CX185:DG185" si="574">BN185*$CL185</f>
        <v>0</v>
      </c>
      <c r="CY185" s="683">
        <f t="shared" si="574"/>
        <v>0</v>
      </c>
      <c r="CZ185" s="683">
        <f t="shared" si="574"/>
        <v>8994.8952</v>
      </c>
      <c r="DA185" s="683">
        <f t="shared" si="574"/>
        <v>5996.5968</v>
      </c>
      <c r="DB185" s="683">
        <f t="shared" si="574"/>
        <v>0</v>
      </c>
      <c r="DC185" s="683">
        <f t="shared" si="574"/>
        <v>0</v>
      </c>
      <c r="DD185" s="683">
        <f t="shared" si="574"/>
        <v>5996.5968</v>
      </c>
      <c r="DE185" s="683">
        <f t="shared" si="574"/>
        <v>8994.8952</v>
      </c>
      <c r="DF185" s="683">
        <f t="shared" si="574"/>
        <v>0</v>
      </c>
      <c r="DG185" s="683">
        <f t="shared" si="574"/>
        <v>5996.5968</v>
      </c>
      <c r="DH185" s="683">
        <f t="shared" si="23"/>
        <v>35979.5808</v>
      </c>
      <c r="DI185" s="683">
        <f t="shared" ref="DI185:DR185" si="575">BY185*$CL185</f>
        <v>0</v>
      </c>
      <c r="DJ185" s="683">
        <f t="shared" si="575"/>
        <v>5996.5968</v>
      </c>
      <c r="DK185" s="683">
        <f t="shared" si="575"/>
        <v>0</v>
      </c>
      <c r="DL185" s="683">
        <f t="shared" si="575"/>
        <v>0</v>
      </c>
      <c r="DM185" s="683">
        <f t="shared" si="575"/>
        <v>5996.5968</v>
      </c>
      <c r="DN185" s="683">
        <f t="shared" si="575"/>
        <v>5996.5968</v>
      </c>
      <c r="DO185" s="683">
        <f t="shared" si="575"/>
        <v>0</v>
      </c>
      <c r="DP185" s="683">
        <f t="shared" si="575"/>
        <v>0</v>
      </c>
      <c r="DQ185" s="683">
        <f t="shared" si="575"/>
        <v>0</v>
      </c>
      <c r="DR185" s="683">
        <f t="shared" si="575"/>
        <v>0</v>
      </c>
      <c r="DS185" s="683">
        <f t="shared" si="25"/>
        <v>17989.7904</v>
      </c>
      <c r="DT185" s="683">
        <f t="shared" si="175"/>
        <v>53969.3712</v>
      </c>
      <c r="DU185" s="504"/>
      <c r="DV185" s="486"/>
      <c r="DW185" s="688"/>
      <c r="DX185" s="688"/>
      <c r="DY185" s="688"/>
      <c r="DZ185" s="688"/>
      <c r="EA185" s="688"/>
      <c r="EB185" s="688"/>
      <c r="EC185" s="688"/>
      <c r="ED185" s="688"/>
      <c r="EE185" s="688"/>
      <c r="EF185" s="688"/>
      <c r="EG185" s="688"/>
      <c r="EH185" s="707" t="s">
        <v>3349</v>
      </c>
      <c r="EI185" s="708">
        <f>VLOOKUP(I185,CotizacionTDB,4,FALSE())</f>
        <v>430.79</v>
      </c>
      <c r="EJ185" s="708">
        <f>VLOOKUP(I185,CotizacionTDB,5,FALSE())</f>
        <v>366.17</v>
      </c>
      <c r="EK185" s="691"/>
    </row>
    <row r="186" ht="12.0" customHeight="1">
      <c r="A186" s="709" t="s">
        <v>3026</v>
      </c>
      <c r="B186" s="661">
        <v>2.0</v>
      </c>
      <c r="C186" s="567" t="s">
        <v>3027</v>
      </c>
      <c r="D186" s="568" t="s">
        <v>231</v>
      </c>
      <c r="E186" s="568" t="s">
        <v>3270</v>
      </c>
      <c r="F186" s="567" t="s">
        <v>1763</v>
      </c>
      <c r="G186" s="569" t="s">
        <v>2709</v>
      </c>
      <c r="H186" s="569" t="s">
        <v>3350</v>
      </c>
      <c r="I186" s="721" t="s">
        <v>2084</v>
      </c>
      <c r="J186" s="711" t="s">
        <v>520</v>
      </c>
      <c r="K186" s="567" t="s">
        <v>25</v>
      </c>
      <c r="L186" s="567">
        <v>2024.0</v>
      </c>
      <c r="M186" s="662">
        <v>2025.0</v>
      </c>
      <c r="N186" s="567">
        <v>2024.0</v>
      </c>
      <c r="O186" s="567">
        <v>2024.0</v>
      </c>
      <c r="P186" s="567">
        <v>2024.0</v>
      </c>
      <c r="Q186" s="567">
        <v>2024.0</v>
      </c>
      <c r="R186" s="567">
        <v>2024.0</v>
      </c>
      <c r="S186" s="567">
        <v>2024.0</v>
      </c>
      <c r="T186" s="567"/>
      <c r="U186" s="567">
        <v>2024.0</v>
      </c>
      <c r="V186" s="567"/>
      <c r="W186" s="567">
        <v>3.0</v>
      </c>
      <c r="X186" s="567">
        <v>3.0</v>
      </c>
      <c r="Y186" s="567">
        <v>3.0</v>
      </c>
      <c r="Z186" s="567">
        <v>3.0</v>
      </c>
      <c r="AA186" s="567">
        <v>3.0</v>
      </c>
      <c r="AB186" s="567">
        <v>3.0</v>
      </c>
      <c r="AC186" s="567">
        <v>3.0</v>
      </c>
      <c r="AD186" s="567">
        <v>3.0</v>
      </c>
      <c r="AE186" s="567"/>
      <c r="AF186" s="567">
        <v>3.0</v>
      </c>
      <c r="AG186" s="567"/>
      <c r="AH186" s="567"/>
      <c r="AI186" s="567"/>
      <c r="AJ186" s="567"/>
      <c r="AK186" s="567"/>
      <c r="AL186" s="567"/>
      <c r="AM186" s="567"/>
      <c r="AN186" s="567"/>
      <c r="AO186" s="567"/>
      <c r="AP186" s="567"/>
      <c r="AQ186" s="567"/>
      <c r="AR186" s="567">
        <v>-2024.0</v>
      </c>
      <c r="AS186" s="567">
        <v>-2025.0</v>
      </c>
      <c r="AT186" s="567">
        <v>-2024.0</v>
      </c>
      <c r="AU186" s="567">
        <v>-2024.0</v>
      </c>
      <c r="AV186" s="567">
        <v>-2024.0</v>
      </c>
      <c r="AW186" s="567">
        <v>-2024.0</v>
      </c>
      <c r="AX186" s="567">
        <v>-2024.0</v>
      </c>
      <c r="AY186" s="567">
        <v>-2024.0</v>
      </c>
      <c r="AZ186" s="567">
        <v>0.0</v>
      </c>
      <c r="BA186" s="567">
        <v>-2024.0</v>
      </c>
      <c r="BB186" s="567"/>
      <c r="BC186" s="567"/>
      <c r="BD186" s="567"/>
      <c r="BE186" s="718"/>
      <c r="BF186" s="567"/>
      <c r="BG186" s="680"/>
      <c r="BH186" s="567"/>
      <c r="BI186" s="718"/>
      <c r="BJ186" s="759"/>
      <c r="BK186" s="567"/>
      <c r="BL186" s="731"/>
      <c r="BM186" s="665">
        <f t="shared" si="1"/>
        <v>0</v>
      </c>
      <c r="BN186" s="671"/>
      <c r="BO186" s="668">
        <v>1.0</v>
      </c>
      <c r="BP186" s="667">
        <v>2.0</v>
      </c>
      <c r="BQ186" s="674">
        <v>2.0</v>
      </c>
      <c r="BR186" s="684">
        <v>2.0</v>
      </c>
      <c r="BS186" s="674">
        <v>1.0</v>
      </c>
      <c r="BT186" s="667">
        <v>1.0</v>
      </c>
      <c r="BU186" s="667">
        <v>1.0</v>
      </c>
      <c r="BV186" s="668"/>
      <c r="BW186" s="732">
        <v>1.0</v>
      </c>
      <c r="BX186" s="665">
        <f t="shared" si="2"/>
        <v>11</v>
      </c>
      <c r="BY186" s="671">
        <v>0.0</v>
      </c>
      <c r="BZ186" s="668">
        <v>0.0</v>
      </c>
      <c r="CA186" s="668">
        <v>0.0</v>
      </c>
      <c r="CB186" s="668">
        <v>0.0</v>
      </c>
      <c r="CC186" s="668">
        <v>0.0</v>
      </c>
      <c r="CD186" s="668">
        <v>0.0</v>
      </c>
      <c r="CE186" s="668">
        <v>0.0</v>
      </c>
      <c r="CF186" s="668">
        <v>0.0</v>
      </c>
      <c r="CG186" s="668">
        <v>0.0</v>
      </c>
      <c r="CH186" s="713">
        <v>1.0</v>
      </c>
      <c r="CI186" s="665">
        <f t="shared" si="3"/>
        <v>1</v>
      </c>
      <c r="CJ186" s="671">
        <f t="shared" si="4"/>
        <v>12</v>
      </c>
      <c r="CK186" s="715">
        <v>669.75</v>
      </c>
      <c r="CL186" s="668">
        <f t="shared" si="566"/>
        <v>4661.46</v>
      </c>
      <c r="CM186" s="668">
        <f t="shared" ref="CM186:CV186" si="576">BC186*$CL186</f>
        <v>0</v>
      </c>
      <c r="CN186" s="668">
        <f t="shared" si="576"/>
        <v>0</v>
      </c>
      <c r="CO186" s="668">
        <f t="shared" si="576"/>
        <v>0</v>
      </c>
      <c r="CP186" s="668">
        <f t="shared" si="576"/>
        <v>0</v>
      </c>
      <c r="CQ186" s="668">
        <f t="shared" si="576"/>
        <v>0</v>
      </c>
      <c r="CR186" s="668">
        <f t="shared" si="576"/>
        <v>0</v>
      </c>
      <c r="CS186" s="668">
        <f t="shared" si="576"/>
        <v>0</v>
      </c>
      <c r="CT186" s="668">
        <f t="shared" si="576"/>
        <v>0</v>
      </c>
      <c r="CU186" s="668">
        <f t="shared" si="576"/>
        <v>0</v>
      </c>
      <c r="CV186" s="668">
        <f t="shared" si="576"/>
        <v>0</v>
      </c>
      <c r="CW186" s="668">
        <f t="shared" si="21"/>
        <v>0</v>
      </c>
      <c r="CX186" s="668">
        <f t="shared" ref="CX186:DG186" si="577">BN186*$CL186</f>
        <v>0</v>
      </c>
      <c r="CY186" s="668">
        <f t="shared" si="577"/>
        <v>4661.46</v>
      </c>
      <c r="CZ186" s="668">
        <f t="shared" si="577"/>
        <v>9322.92</v>
      </c>
      <c r="DA186" s="668">
        <f t="shared" si="577"/>
        <v>9322.92</v>
      </c>
      <c r="DB186" s="668">
        <f t="shared" si="577"/>
        <v>9322.92</v>
      </c>
      <c r="DC186" s="668">
        <f t="shared" si="577"/>
        <v>4661.46</v>
      </c>
      <c r="DD186" s="668">
        <f t="shared" si="577"/>
        <v>4661.46</v>
      </c>
      <c r="DE186" s="668">
        <f t="shared" si="577"/>
        <v>4661.46</v>
      </c>
      <c r="DF186" s="668">
        <f t="shared" si="577"/>
        <v>0</v>
      </c>
      <c r="DG186" s="668">
        <f t="shared" si="577"/>
        <v>4661.46</v>
      </c>
      <c r="DH186" s="668">
        <f t="shared" si="23"/>
        <v>51276.06</v>
      </c>
      <c r="DI186" s="668">
        <f t="shared" ref="DI186:DR186" si="578">BY186*$CL186</f>
        <v>0</v>
      </c>
      <c r="DJ186" s="668">
        <f t="shared" si="578"/>
        <v>0</v>
      </c>
      <c r="DK186" s="668">
        <f t="shared" si="578"/>
        <v>0</v>
      </c>
      <c r="DL186" s="668">
        <f t="shared" si="578"/>
        <v>0</v>
      </c>
      <c r="DM186" s="668">
        <f t="shared" si="578"/>
        <v>0</v>
      </c>
      <c r="DN186" s="668">
        <f t="shared" si="578"/>
        <v>0</v>
      </c>
      <c r="DO186" s="668">
        <f t="shared" si="578"/>
        <v>0</v>
      </c>
      <c r="DP186" s="668">
        <f t="shared" si="578"/>
        <v>0</v>
      </c>
      <c r="DQ186" s="668">
        <f t="shared" si="578"/>
        <v>0</v>
      </c>
      <c r="DR186" s="668">
        <f t="shared" si="578"/>
        <v>4661.46</v>
      </c>
      <c r="DS186" s="668">
        <f t="shared" si="25"/>
        <v>4661.46</v>
      </c>
      <c r="DT186" s="668">
        <f t="shared" si="175"/>
        <v>55937.52</v>
      </c>
      <c r="DU186" s="538"/>
      <c r="DV186" s="468"/>
      <c r="DW186" s="698"/>
      <c r="DX186" s="698"/>
      <c r="DY186" s="698"/>
      <c r="DZ186" s="698"/>
      <c r="EA186" s="698"/>
      <c r="EB186" s="698"/>
      <c r="EC186" s="698"/>
      <c r="ED186" s="698"/>
      <c r="EE186" s="698"/>
      <c r="EF186" s="698"/>
      <c r="EG186" s="698"/>
      <c r="EH186" s="576" t="s">
        <v>3351</v>
      </c>
      <c r="EI186" s="716">
        <f>VLOOKUP(I186,CotizacionTDB,4,FALSE())</f>
        <v>669.75</v>
      </c>
      <c r="EJ186" s="716">
        <f>VLOOKUP(I186,CotizacionTDB,5,FALSE())</f>
        <v>569.29</v>
      </c>
      <c r="EK186" s="699"/>
    </row>
    <row r="187" ht="12.0" customHeight="1">
      <c r="A187" s="700" t="s">
        <v>3026</v>
      </c>
      <c r="B187" s="701">
        <v>2.0</v>
      </c>
      <c r="C187" s="562" t="s">
        <v>3027</v>
      </c>
      <c r="D187" s="571" t="s">
        <v>231</v>
      </c>
      <c r="E187" s="571" t="s">
        <v>3270</v>
      </c>
      <c r="F187" s="562" t="s">
        <v>1763</v>
      </c>
      <c r="G187" s="569" t="s">
        <v>2709</v>
      </c>
      <c r="H187" s="569" t="s">
        <v>3352</v>
      </c>
      <c r="I187" s="703" t="s">
        <v>2328</v>
      </c>
      <c r="J187" s="880" t="s">
        <v>510</v>
      </c>
      <c r="K187" s="562" t="s">
        <v>25</v>
      </c>
      <c r="L187" s="562">
        <v>2024.0</v>
      </c>
      <c r="M187" s="562"/>
      <c r="N187" s="562"/>
      <c r="O187" s="562"/>
      <c r="P187" s="562"/>
      <c r="Q187" s="562"/>
      <c r="R187" s="562"/>
      <c r="S187" s="562"/>
      <c r="T187" s="562"/>
      <c r="U187" s="562"/>
      <c r="V187" s="562"/>
      <c r="W187" s="562">
        <v>5.0</v>
      </c>
      <c r="X187" s="562"/>
      <c r="Y187" s="562"/>
      <c r="Z187" s="562"/>
      <c r="AA187" s="562"/>
      <c r="AB187" s="562"/>
      <c r="AC187" s="562"/>
      <c r="AD187" s="562"/>
      <c r="AE187" s="562"/>
      <c r="AF187" s="562"/>
      <c r="AG187" s="562"/>
      <c r="AH187" s="562"/>
      <c r="AI187" s="562"/>
      <c r="AJ187" s="562"/>
      <c r="AK187" s="562"/>
      <c r="AL187" s="562"/>
      <c r="AM187" s="562"/>
      <c r="AN187" s="562"/>
      <c r="AO187" s="562"/>
      <c r="AP187" s="562"/>
      <c r="AQ187" s="562"/>
      <c r="AR187" s="562">
        <v>-2024.0</v>
      </c>
      <c r="AS187" s="562">
        <v>0.0</v>
      </c>
      <c r="AT187" s="562">
        <v>0.0</v>
      </c>
      <c r="AU187" s="562">
        <v>0.0</v>
      </c>
      <c r="AV187" s="562">
        <v>0.0</v>
      </c>
      <c r="AW187" s="562">
        <v>0.0</v>
      </c>
      <c r="AX187" s="562">
        <v>0.0</v>
      </c>
      <c r="AY187" s="562">
        <v>0.0</v>
      </c>
      <c r="AZ187" s="562">
        <v>0.0</v>
      </c>
      <c r="BA187" s="562">
        <v>0.0</v>
      </c>
      <c r="BB187" s="562"/>
      <c r="BC187" s="562">
        <v>1.0</v>
      </c>
      <c r="BD187" s="562"/>
      <c r="BE187" s="562"/>
      <c r="BF187" s="562"/>
      <c r="BG187" s="562"/>
      <c r="BH187" s="562"/>
      <c r="BI187" s="701">
        <v>1.0</v>
      </c>
      <c r="BJ187" s="825">
        <v>1.0</v>
      </c>
      <c r="BK187" s="772"/>
      <c r="BL187" s="829"/>
      <c r="BM187" s="665">
        <f t="shared" si="1"/>
        <v>3</v>
      </c>
      <c r="BN187" s="682"/>
      <c r="BO187" s="683"/>
      <c r="BP187" s="683"/>
      <c r="BQ187" s="687">
        <v>1.0</v>
      </c>
      <c r="BR187" s="687">
        <v>1.0</v>
      </c>
      <c r="BS187" s="683"/>
      <c r="BT187" s="683"/>
      <c r="BU187" s="683"/>
      <c r="BV187" s="683"/>
      <c r="BW187" s="874">
        <v>1.0</v>
      </c>
      <c r="BX187" s="665">
        <f t="shared" si="2"/>
        <v>3</v>
      </c>
      <c r="BY187" s="682">
        <v>0.0</v>
      </c>
      <c r="BZ187" s="683">
        <v>0.0</v>
      </c>
      <c r="CA187" s="683">
        <v>0.0</v>
      </c>
      <c r="CB187" s="683">
        <v>0.0</v>
      </c>
      <c r="CC187" s="683">
        <v>0.0</v>
      </c>
      <c r="CD187" s="683">
        <v>0.0</v>
      </c>
      <c r="CE187" s="683">
        <v>0.0</v>
      </c>
      <c r="CF187" s="683">
        <v>0.0</v>
      </c>
      <c r="CG187" s="683">
        <v>0.0</v>
      </c>
      <c r="CH187" s="686">
        <v>0.0</v>
      </c>
      <c r="CI187" s="665">
        <f t="shared" si="3"/>
        <v>0</v>
      </c>
      <c r="CJ187" s="682">
        <f t="shared" si="4"/>
        <v>6</v>
      </c>
      <c r="CK187" s="706">
        <v>1333.7</v>
      </c>
      <c r="CL187" s="683">
        <f t="shared" si="566"/>
        <v>9282.552</v>
      </c>
      <c r="CM187" s="683">
        <f t="shared" ref="CM187:CV187" si="579">BC187*$CL187</f>
        <v>9282.552</v>
      </c>
      <c r="CN187" s="683">
        <f t="shared" si="579"/>
        <v>0</v>
      </c>
      <c r="CO187" s="683">
        <f t="shared" si="579"/>
        <v>0</v>
      </c>
      <c r="CP187" s="683">
        <f t="shared" si="579"/>
        <v>0</v>
      </c>
      <c r="CQ187" s="683">
        <f t="shared" si="579"/>
        <v>0</v>
      </c>
      <c r="CR187" s="683">
        <f t="shared" si="579"/>
        <v>0</v>
      </c>
      <c r="CS187" s="683">
        <f t="shared" si="579"/>
        <v>9282.552</v>
      </c>
      <c r="CT187" s="683">
        <f t="shared" si="579"/>
        <v>9282.552</v>
      </c>
      <c r="CU187" s="683">
        <f t="shared" si="579"/>
        <v>0</v>
      </c>
      <c r="CV187" s="683">
        <f t="shared" si="579"/>
        <v>0</v>
      </c>
      <c r="CW187" s="683">
        <f t="shared" si="21"/>
        <v>27847.656</v>
      </c>
      <c r="CX187" s="683">
        <f t="shared" ref="CX187:DG187" si="580">BN187*$CL187</f>
        <v>0</v>
      </c>
      <c r="CY187" s="683">
        <f t="shared" si="580"/>
        <v>0</v>
      </c>
      <c r="CZ187" s="683">
        <f t="shared" si="580"/>
        <v>0</v>
      </c>
      <c r="DA187" s="683">
        <f t="shared" si="580"/>
        <v>9282.552</v>
      </c>
      <c r="DB187" s="683">
        <f t="shared" si="580"/>
        <v>9282.552</v>
      </c>
      <c r="DC187" s="683">
        <f t="shared" si="580"/>
        <v>0</v>
      </c>
      <c r="DD187" s="683">
        <f t="shared" si="580"/>
        <v>0</v>
      </c>
      <c r="DE187" s="683">
        <f t="shared" si="580"/>
        <v>0</v>
      </c>
      <c r="DF187" s="683">
        <f t="shared" si="580"/>
        <v>0</v>
      </c>
      <c r="DG187" s="683">
        <f t="shared" si="580"/>
        <v>9282.552</v>
      </c>
      <c r="DH187" s="683">
        <f t="shared" si="23"/>
        <v>27847.656</v>
      </c>
      <c r="DI187" s="683">
        <f t="shared" ref="DI187:DR187" si="581">BY187*$CL187</f>
        <v>0</v>
      </c>
      <c r="DJ187" s="683">
        <f t="shared" si="581"/>
        <v>0</v>
      </c>
      <c r="DK187" s="683">
        <f t="shared" si="581"/>
        <v>0</v>
      </c>
      <c r="DL187" s="683">
        <f t="shared" si="581"/>
        <v>0</v>
      </c>
      <c r="DM187" s="683">
        <f t="shared" si="581"/>
        <v>0</v>
      </c>
      <c r="DN187" s="683">
        <f t="shared" si="581"/>
        <v>0</v>
      </c>
      <c r="DO187" s="683">
        <f t="shared" si="581"/>
        <v>0</v>
      </c>
      <c r="DP187" s="683">
        <f t="shared" si="581"/>
        <v>0</v>
      </c>
      <c r="DQ187" s="683">
        <f t="shared" si="581"/>
        <v>0</v>
      </c>
      <c r="DR187" s="683">
        <f t="shared" si="581"/>
        <v>0</v>
      </c>
      <c r="DS187" s="683">
        <f t="shared" si="25"/>
        <v>0</v>
      </c>
      <c r="DT187" s="683">
        <f t="shared" si="175"/>
        <v>55695.312</v>
      </c>
      <c r="DU187" s="504"/>
      <c r="DV187" s="486" t="s">
        <v>3353</v>
      </c>
      <c r="DW187" s="688"/>
      <c r="DX187" s="688"/>
      <c r="DY187" s="688"/>
      <c r="DZ187" s="688"/>
      <c r="EA187" s="688"/>
      <c r="EB187" s="688"/>
      <c r="EC187" s="688"/>
      <c r="ED187" s="688"/>
      <c r="EE187" s="688"/>
      <c r="EF187" s="688"/>
      <c r="EG187" s="688"/>
      <c r="EH187" s="707" t="s">
        <v>3354</v>
      </c>
      <c r="EI187" s="708">
        <f>VLOOKUP(I187,CotizacionTDB,4,FALSE())</f>
        <v>1333.7</v>
      </c>
      <c r="EJ187" s="708">
        <f>VLOOKUP(I187,CotizacionTDB,5,FALSE())</f>
        <v>1133.65</v>
      </c>
      <c r="EK187" s="691"/>
    </row>
    <row r="188" ht="12.0" customHeight="1">
      <c r="A188" s="709" t="s">
        <v>3026</v>
      </c>
      <c r="B188" s="661">
        <v>2.0</v>
      </c>
      <c r="C188" s="567" t="s">
        <v>3027</v>
      </c>
      <c r="D188" s="568" t="s">
        <v>231</v>
      </c>
      <c r="E188" s="568" t="s">
        <v>3270</v>
      </c>
      <c r="F188" s="567" t="s">
        <v>1763</v>
      </c>
      <c r="G188" s="569" t="s">
        <v>2709</v>
      </c>
      <c r="H188" s="569" t="s">
        <v>3355</v>
      </c>
      <c r="I188" s="710" t="s">
        <v>2354</v>
      </c>
      <c r="J188" s="711" t="s">
        <v>777</v>
      </c>
      <c r="K188" s="567" t="s">
        <v>25</v>
      </c>
      <c r="L188" s="567">
        <v>2024.0</v>
      </c>
      <c r="M188" s="567">
        <v>2024.0</v>
      </c>
      <c r="N188" s="567">
        <v>2024.0</v>
      </c>
      <c r="O188" s="567"/>
      <c r="P188" s="567"/>
      <c r="Q188" s="567"/>
      <c r="R188" s="567"/>
      <c r="S188" s="567"/>
      <c r="T188" s="567"/>
      <c r="U188" s="567"/>
      <c r="V188" s="567"/>
      <c r="W188" s="567">
        <v>4.0</v>
      </c>
      <c r="X188" s="567">
        <v>4.0</v>
      </c>
      <c r="Y188" s="567">
        <v>4.0</v>
      </c>
      <c r="Z188" s="567"/>
      <c r="AA188" s="567"/>
      <c r="AB188" s="567"/>
      <c r="AC188" s="567"/>
      <c r="AD188" s="567"/>
      <c r="AE188" s="567"/>
      <c r="AF188" s="567"/>
      <c r="AG188" s="567"/>
      <c r="AH188" s="567"/>
      <c r="AI188" s="567"/>
      <c r="AJ188" s="567"/>
      <c r="AK188" s="567"/>
      <c r="AL188" s="567"/>
      <c r="AM188" s="567"/>
      <c r="AN188" s="567"/>
      <c r="AO188" s="567"/>
      <c r="AP188" s="567"/>
      <c r="AQ188" s="567"/>
      <c r="AR188" s="567">
        <v>-2024.0</v>
      </c>
      <c r="AS188" s="567">
        <v>-2024.0</v>
      </c>
      <c r="AT188" s="567">
        <v>-2024.0</v>
      </c>
      <c r="AU188" s="567">
        <v>0.0</v>
      </c>
      <c r="AV188" s="567">
        <v>0.0</v>
      </c>
      <c r="AW188" s="567">
        <v>0.0</v>
      </c>
      <c r="AX188" s="567">
        <v>0.0</v>
      </c>
      <c r="AY188" s="567">
        <v>0.0</v>
      </c>
      <c r="AZ188" s="567">
        <v>0.0</v>
      </c>
      <c r="BA188" s="567">
        <v>0.0</v>
      </c>
      <c r="BB188" s="567"/>
      <c r="BC188" s="718"/>
      <c r="BD188" s="718"/>
      <c r="BE188" s="718"/>
      <c r="BF188" s="567"/>
      <c r="BG188" s="567"/>
      <c r="BH188" s="567"/>
      <c r="BI188" s="567"/>
      <c r="BJ188" s="567"/>
      <c r="BK188" s="567"/>
      <c r="BL188" s="725"/>
      <c r="BM188" s="665">
        <f t="shared" si="1"/>
        <v>0</v>
      </c>
      <c r="BN188" s="666">
        <v>4.0</v>
      </c>
      <c r="BO188" s="667">
        <v>2.0</v>
      </c>
      <c r="BP188" s="667">
        <v>4.0</v>
      </c>
      <c r="BQ188" s="668"/>
      <c r="BR188" s="668"/>
      <c r="BS188" s="668"/>
      <c r="BT188" s="668"/>
      <c r="BU188" s="668"/>
      <c r="BV188" s="668"/>
      <c r="BW188" s="670"/>
      <c r="BX188" s="665">
        <f t="shared" si="2"/>
        <v>10</v>
      </c>
      <c r="BY188" s="671">
        <v>0.0</v>
      </c>
      <c r="BZ188" s="668">
        <v>0.0</v>
      </c>
      <c r="CA188" s="668">
        <v>0.0</v>
      </c>
      <c r="CB188" s="668">
        <v>0.0</v>
      </c>
      <c r="CC188" s="668">
        <v>0.0</v>
      </c>
      <c r="CD188" s="668">
        <v>0.0</v>
      </c>
      <c r="CE188" s="668">
        <v>0.0</v>
      </c>
      <c r="CF188" s="668">
        <v>0.0</v>
      </c>
      <c r="CG188" s="668">
        <v>0.0</v>
      </c>
      <c r="CH188" s="670">
        <v>0.0</v>
      </c>
      <c r="CI188" s="665">
        <f t="shared" si="3"/>
        <v>0</v>
      </c>
      <c r="CJ188" s="671">
        <f t="shared" si="4"/>
        <v>10</v>
      </c>
      <c r="CK188" s="715">
        <v>354.14</v>
      </c>
      <c r="CL188" s="668">
        <f t="shared" si="566"/>
        <v>2464.8144</v>
      </c>
      <c r="CM188" s="668">
        <f t="shared" ref="CM188:CV188" si="582">BC188*$CL188</f>
        <v>0</v>
      </c>
      <c r="CN188" s="668">
        <f t="shared" si="582"/>
        <v>0</v>
      </c>
      <c r="CO188" s="668">
        <f t="shared" si="582"/>
        <v>0</v>
      </c>
      <c r="CP188" s="668">
        <f t="shared" si="582"/>
        <v>0</v>
      </c>
      <c r="CQ188" s="668">
        <f t="shared" si="582"/>
        <v>0</v>
      </c>
      <c r="CR188" s="668">
        <f t="shared" si="582"/>
        <v>0</v>
      </c>
      <c r="CS188" s="668">
        <f t="shared" si="582"/>
        <v>0</v>
      </c>
      <c r="CT188" s="668">
        <f t="shared" si="582"/>
        <v>0</v>
      </c>
      <c r="CU188" s="668">
        <f t="shared" si="582"/>
        <v>0</v>
      </c>
      <c r="CV188" s="668">
        <f t="shared" si="582"/>
        <v>0</v>
      </c>
      <c r="CW188" s="668">
        <f t="shared" si="21"/>
        <v>0</v>
      </c>
      <c r="CX188" s="668">
        <f t="shared" ref="CX188:DG188" si="583">BN188*$CL188</f>
        <v>9859.2576</v>
      </c>
      <c r="CY188" s="668">
        <f t="shared" si="583"/>
        <v>4929.6288</v>
      </c>
      <c r="CZ188" s="668">
        <f t="shared" si="583"/>
        <v>9859.2576</v>
      </c>
      <c r="DA188" s="668">
        <f t="shared" si="583"/>
        <v>0</v>
      </c>
      <c r="DB188" s="668">
        <f t="shared" si="583"/>
        <v>0</v>
      </c>
      <c r="DC188" s="668">
        <f t="shared" si="583"/>
        <v>0</v>
      </c>
      <c r="DD188" s="668">
        <f t="shared" si="583"/>
        <v>0</v>
      </c>
      <c r="DE188" s="668">
        <f t="shared" si="583"/>
        <v>0</v>
      </c>
      <c r="DF188" s="668">
        <f t="shared" si="583"/>
        <v>0</v>
      </c>
      <c r="DG188" s="668">
        <f t="shared" si="583"/>
        <v>0</v>
      </c>
      <c r="DH188" s="668">
        <f t="shared" si="23"/>
        <v>24648.144</v>
      </c>
      <c r="DI188" s="668">
        <f t="shared" ref="DI188:DR188" si="584">BY188*$CL188</f>
        <v>0</v>
      </c>
      <c r="DJ188" s="668">
        <f t="shared" si="584"/>
        <v>0</v>
      </c>
      <c r="DK188" s="668">
        <f t="shared" si="584"/>
        <v>0</v>
      </c>
      <c r="DL188" s="668">
        <f t="shared" si="584"/>
        <v>0</v>
      </c>
      <c r="DM188" s="668">
        <f t="shared" si="584"/>
        <v>0</v>
      </c>
      <c r="DN188" s="668">
        <f t="shared" si="584"/>
        <v>0</v>
      </c>
      <c r="DO188" s="668">
        <f t="shared" si="584"/>
        <v>0</v>
      </c>
      <c r="DP188" s="668">
        <f t="shared" si="584"/>
        <v>0</v>
      </c>
      <c r="DQ188" s="668">
        <f t="shared" si="584"/>
        <v>0</v>
      </c>
      <c r="DR188" s="668">
        <f t="shared" si="584"/>
        <v>0</v>
      </c>
      <c r="DS188" s="668">
        <f t="shared" si="25"/>
        <v>0</v>
      </c>
      <c r="DT188" s="668">
        <f t="shared" si="175"/>
        <v>24648.144</v>
      </c>
      <c r="DU188" s="538"/>
      <c r="DV188" s="468"/>
      <c r="DW188" s="698"/>
      <c r="DX188" s="698"/>
      <c r="DY188" s="698"/>
      <c r="DZ188" s="698"/>
      <c r="EA188" s="698"/>
      <c r="EB188" s="698"/>
      <c r="EC188" s="698"/>
      <c r="ED188" s="698"/>
      <c r="EE188" s="698"/>
      <c r="EF188" s="698"/>
      <c r="EG188" s="698"/>
      <c r="EH188" s="576" t="s">
        <v>3356</v>
      </c>
      <c r="EI188" s="716">
        <f>VLOOKUP(I188,CotizacionTDB,4,FALSE())</f>
        <v>354.14</v>
      </c>
      <c r="EJ188" s="716">
        <f>VLOOKUP(I188,CotizacionTDB,5,FALSE())</f>
        <v>301.02</v>
      </c>
      <c r="EK188" s="699"/>
    </row>
    <row r="189" ht="12.0" customHeight="1">
      <c r="A189" s="700" t="s">
        <v>3026</v>
      </c>
      <c r="B189" s="701">
        <v>2.0</v>
      </c>
      <c r="C189" s="562" t="s">
        <v>3027</v>
      </c>
      <c r="D189" s="571" t="s">
        <v>231</v>
      </c>
      <c r="E189" s="571" t="s">
        <v>3270</v>
      </c>
      <c r="F189" s="562" t="s">
        <v>1763</v>
      </c>
      <c r="G189" s="569" t="s">
        <v>2709</v>
      </c>
      <c r="H189" s="569" t="s">
        <v>3357</v>
      </c>
      <c r="I189" s="703" t="s">
        <v>2356</v>
      </c>
      <c r="J189" s="704" t="s">
        <v>896</v>
      </c>
      <c r="K189" s="562" t="s">
        <v>25</v>
      </c>
      <c r="L189" s="562">
        <v>2024.0</v>
      </c>
      <c r="M189" s="562">
        <v>2024.0</v>
      </c>
      <c r="N189" s="562">
        <v>2024.0</v>
      </c>
      <c r="O189" s="562"/>
      <c r="P189" s="562"/>
      <c r="Q189" s="562"/>
      <c r="R189" s="562"/>
      <c r="S189" s="562"/>
      <c r="T189" s="562"/>
      <c r="U189" s="562"/>
      <c r="V189" s="562"/>
      <c r="W189" s="562">
        <v>4.0</v>
      </c>
      <c r="X189" s="562">
        <v>4.0</v>
      </c>
      <c r="Y189" s="562">
        <v>4.0</v>
      </c>
      <c r="Z189" s="562"/>
      <c r="AA189" s="562"/>
      <c r="AB189" s="562"/>
      <c r="AC189" s="562"/>
      <c r="AD189" s="562"/>
      <c r="AE189" s="562"/>
      <c r="AF189" s="562"/>
      <c r="AG189" s="562"/>
      <c r="AH189" s="562"/>
      <c r="AI189" s="562"/>
      <c r="AJ189" s="562"/>
      <c r="AK189" s="562"/>
      <c r="AL189" s="562"/>
      <c r="AM189" s="562"/>
      <c r="AN189" s="562"/>
      <c r="AO189" s="562"/>
      <c r="AP189" s="562"/>
      <c r="AQ189" s="562"/>
      <c r="AR189" s="562">
        <v>-2024.0</v>
      </c>
      <c r="AS189" s="562">
        <v>-2024.0</v>
      </c>
      <c r="AT189" s="562">
        <v>-2024.0</v>
      </c>
      <c r="AU189" s="562">
        <v>0.0</v>
      </c>
      <c r="AV189" s="562">
        <v>0.0</v>
      </c>
      <c r="AW189" s="562">
        <v>0.0</v>
      </c>
      <c r="AX189" s="562">
        <v>0.0</v>
      </c>
      <c r="AY189" s="562">
        <v>0.0</v>
      </c>
      <c r="AZ189" s="562">
        <v>0.0</v>
      </c>
      <c r="BA189" s="562">
        <v>0.0</v>
      </c>
      <c r="BB189" s="562"/>
      <c r="BC189" s="718"/>
      <c r="BD189" s="718"/>
      <c r="BE189" s="718"/>
      <c r="BF189" s="562"/>
      <c r="BG189" s="562"/>
      <c r="BH189" s="562"/>
      <c r="BI189" s="562"/>
      <c r="BJ189" s="562"/>
      <c r="BK189" s="562"/>
      <c r="BL189" s="681"/>
      <c r="BM189" s="665">
        <f t="shared" si="1"/>
        <v>0</v>
      </c>
      <c r="BN189" s="666">
        <v>4.0</v>
      </c>
      <c r="BO189" s="667">
        <v>2.0</v>
      </c>
      <c r="BP189" s="667">
        <v>2.0</v>
      </c>
      <c r="BQ189" s="683"/>
      <c r="BR189" s="683"/>
      <c r="BS189" s="683"/>
      <c r="BT189" s="683"/>
      <c r="BU189" s="683"/>
      <c r="BV189" s="683"/>
      <c r="BW189" s="686"/>
      <c r="BX189" s="665">
        <f t="shared" si="2"/>
        <v>8</v>
      </c>
      <c r="BY189" s="682">
        <v>0.0</v>
      </c>
      <c r="BZ189" s="683">
        <v>0.0</v>
      </c>
      <c r="CA189" s="683">
        <v>0.0</v>
      </c>
      <c r="CB189" s="683">
        <v>0.0</v>
      </c>
      <c r="CC189" s="683">
        <v>0.0</v>
      </c>
      <c r="CD189" s="683">
        <v>0.0</v>
      </c>
      <c r="CE189" s="683">
        <v>0.0</v>
      </c>
      <c r="CF189" s="683">
        <v>0.0</v>
      </c>
      <c r="CG189" s="683">
        <v>0.0</v>
      </c>
      <c r="CH189" s="686">
        <v>0.0</v>
      </c>
      <c r="CI189" s="665">
        <f t="shared" si="3"/>
        <v>0</v>
      </c>
      <c r="CJ189" s="682">
        <f t="shared" si="4"/>
        <v>8</v>
      </c>
      <c r="CK189" s="706">
        <v>266.77</v>
      </c>
      <c r="CL189" s="683">
        <f t="shared" si="566"/>
        <v>1856.7192</v>
      </c>
      <c r="CM189" s="683">
        <f t="shared" ref="CM189:CV189" si="585">BC189*$CL189</f>
        <v>0</v>
      </c>
      <c r="CN189" s="683">
        <f t="shared" si="585"/>
        <v>0</v>
      </c>
      <c r="CO189" s="683">
        <f t="shared" si="585"/>
        <v>0</v>
      </c>
      <c r="CP189" s="683">
        <f t="shared" si="585"/>
        <v>0</v>
      </c>
      <c r="CQ189" s="683">
        <f t="shared" si="585"/>
        <v>0</v>
      </c>
      <c r="CR189" s="683">
        <f t="shared" si="585"/>
        <v>0</v>
      </c>
      <c r="CS189" s="683">
        <f t="shared" si="585"/>
        <v>0</v>
      </c>
      <c r="CT189" s="683">
        <f t="shared" si="585"/>
        <v>0</v>
      </c>
      <c r="CU189" s="683">
        <f t="shared" si="585"/>
        <v>0</v>
      </c>
      <c r="CV189" s="683">
        <f t="shared" si="585"/>
        <v>0</v>
      </c>
      <c r="CW189" s="683">
        <f t="shared" si="21"/>
        <v>0</v>
      </c>
      <c r="CX189" s="683">
        <f t="shared" ref="CX189:DG189" si="586">BN189*$CL189</f>
        <v>7426.8768</v>
      </c>
      <c r="CY189" s="683">
        <f t="shared" si="586"/>
        <v>3713.4384</v>
      </c>
      <c r="CZ189" s="683">
        <f t="shared" si="586"/>
        <v>3713.4384</v>
      </c>
      <c r="DA189" s="683">
        <f t="shared" si="586"/>
        <v>0</v>
      </c>
      <c r="DB189" s="683">
        <f t="shared" si="586"/>
        <v>0</v>
      </c>
      <c r="DC189" s="683">
        <f t="shared" si="586"/>
        <v>0</v>
      </c>
      <c r="DD189" s="683">
        <f t="shared" si="586"/>
        <v>0</v>
      </c>
      <c r="DE189" s="683">
        <f t="shared" si="586"/>
        <v>0</v>
      </c>
      <c r="DF189" s="683">
        <f t="shared" si="586"/>
        <v>0</v>
      </c>
      <c r="DG189" s="683">
        <f t="shared" si="586"/>
        <v>0</v>
      </c>
      <c r="DH189" s="683">
        <f t="shared" si="23"/>
        <v>14853.7536</v>
      </c>
      <c r="DI189" s="683">
        <f t="shared" ref="DI189:DR189" si="587">BY189*$CL189</f>
        <v>0</v>
      </c>
      <c r="DJ189" s="683">
        <f t="shared" si="587"/>
        <v>0</v>
      </c>
      <c r="DK189" s="683">
        <f t="shared" si="587"/>
        <v>0</v>
      </c>
      <c r="DL189" s="683">
        <f t="shared" si="587"/>
        <v>0</v>
      </c>
      <c r="DM189" s="683">
        <f t="shared" si="587"/>
        <v>0</v>
      </c>
      <c r="DN189" s="683">
        <f t="shared" si="587"/>
        <v>0</v>
      </c>
      <c r="DO189" s="683">
        <f t="shared" si="587"/>
        <v>0</v>
      </c>
      <c r="DP189" s="683">
        <f t="shared" si="587"/>
        <v>0</v>
      </c>
      <c r="DQ189" s="683">
        <f t="shared" si="587"/>
        <v>0</v>
      </c>
      <c r="DR189" s="683">
        <f t="shared" si="587"/>
        <v>0</v>
      </c>
      <c r="DS189" s="683">
        <f t="shared" si="25"/>
        <v>0</v>
      </c>
      <c r="DT189" s="683">
        <f t="shared" si="175"/>
        <v>14853.7536</v>
      </c>
      <c r="DU189" s="504"/>
      <c r="DV189" s="486"/>
      <c r="DW189" s="688"/>
      <c r="DX189" s="688"/>
      <c r="DY189" s="688"/>
      <c r="DZ189" s="688"/>
      <c r="EA189" s="688"/>
      <c r="EB189" s="688"/>
      <c r="EC189" s="688"/>
      <c r="ED189" s="688"/>
      <c r="EE189" s="688"/>
      <c r="EF189" s="688"/>
      <c r="EG189" s="688"/>
      <c r="EH189" s="707" t="s">
        <v>3358</v>
      </c>
      <c r="EI189" s="708">
        <f>VLOOKUP(I189,CotizacionTDB,4,FALSE())</f>
        <v>266.77</v>
      </c>
      <c r="EJ189" s="708">
        <f>VLOOKUP(I189,CotizacionTDB,5,FALSE())</f>
        <v>226.75</v>
      </c>
      <c r="EK189" s="691"/>
    </row>
    <row r="190" ht="12.0" customHeight="1">
      <c r="A190" s="709" t="s">
        <v>3026</v>
      </c>
      <c r="B190" s="661">
        <v>2.0</v>
      </c>
      <c r="C190" s="567" t="s">
        <v>3027</v>
      </c>
      <c r="D190" s="568" t="s">
        <v>231</v>
      </c>
      <c r="E190" s="568" t="s">
        <v>3270</v>
      </c>
      <c r="F190" s="567" t="s">
        <v>1763</v>
      </c>
      <c r="G190" s="569" t="s">
        <v>2709</v>
      </c>
      <c r="H190" s="569" t="s">
        <v>3359</v>
      </c>
      <c r="I190" s="721" t="s">
        <v>2012</v>
      </c>
      <c r="J190" s="711" t="s">
        <v>769</v>
      </c>
      <c r="K190" s="567" t="s">
        <v>25</v>
      </c>
      <c r="L190" s="567">
        <v>2024.0</v>
      </c>
      <c r="M190" s="567">
        <v>2024.0</v>
      </c>
      <c r="N190" s="567">
        <v>2024.0</v>
      </c>
      <c r="O190" s="567">
        <v>2024.0</v>
      </c>
      <c r="P190" s="567">
        <v>2024.0</v>
      </c>
      <c r="Q190" s="567">
        <v>2024.0</v>
      </c>
      <c r="R190" s="662">
        <v>2024.0</v>
      </c>
      <c r="S190" s="662">
        <v>2024.0</v>
      </c>
      <c r="T190" s="662">
        <v>2024.0</v>
      </c>
      <c r="U190" s="662">
        <v>2024.0</v>
      </c>
      <c r="V190" s="662"/>
      <c r="W190" s="567">
        <v>5.0</v>
      </c>
      <c r="X190" s="567">
        <v>5.0</v>
      </c>
      <c r="Y190" s="567">
        <v>5.0</v>
      </c>
      <c r="Z190" s="567">
        <v>5.0</v>
      </c>
      <c r="AA190" s="567">
        <v>5.0</v>
      </c>
      <c r="AB190" s="567">
        <v>5.0</v>
      </c>
      <c r="AC190" s="662">
        <v>5.0</v>
      </c>
      <c r="AD190" s="662">
        <v>5.0</v>
      </c>
      <c r="AE190" s="662">
        <v>5.0</v>
      </c>
      <c r="AF190" s="662">
        <v>5.0</v>
      </c>
      <c r="AG190" s="662"/>
      <c r="AH190" s="567"/>
      <c r="AI190" s="567"/>
      <c r="AJ190" s="567"/>
      <c r="AK190" s="567"/>
      <c r="AL190" s="567"/>
      <c r="AM190" s="567"/>
      <c r="AN190" s="567"/>
      <c r="AO190" s="567"/>
      <c r="AP190" s="567"/>
      <c r="AQ190" s="567"/>
      <c r="AR190" s="567">
        <v>-2024.0</v>
      </c>
      <c r="AS190" s="567">
        <v>-2024.0</v>
      </c>
      <c r="AT190" s="567">
        <v>-2024.0</v>
      </c>
      <c r="AU190" s="567">
        <v>-2024.0</v>
      </c>
      <c r="AV190" s="567">
        <v>-2024.0</v>
      </c>
      <c r="AW190" s="567">
        <v>-2024.0</v>
      </c>
      <c r="AX190" s="567">
        <v>-2024.0</v>
      </c>
      <c r="AY190" s="567">
        <v>-2024.0</v>
      </c>
      <c r="AZ190" s="567">
        <v>-2024.0</v>
      </c>
      <c r="BA190" s="567">
        <v>-2024.0</v>
      </c>
      <c r="BB190" s="567"/>
      <c r="BC190" s="718"/>
      <c r="BD190" s="718"/>
      <c r="BE190" s="680"/>
      <c r="BF190" s="680"/>
      <c r="BG190" s="680"/>
      <c r="BH190" s="718"/>
      <c r="BI190" s="680"/>
      <c r="BJ190" s="680"/>
      <c r="BK190" s="680"/>
      <c r="BL190" s="762"/>
      <c r="BM190" s="665">
        <f t="shared" si="1"/>
        <v>0</v>
      </c>
      <c r="BN190" s="666">
        <v>4.0</v>
      </c>
      <c r="BO190" s="667">
        <v>2.0</v>
      </c>
      <c r="BP190" s="684">
        <v>4.0</v>
      </c>
      <c r="BQ190" s="684">
        <v>0.0</v>
      </c>
      <c r="BR190" s="684">
        <v>0.0</v>
      </c>
      <c r="BS190" s="667">
        <v>4.0</v>
      </c>
      <c r="BT190" s="684">
        <v>4.0</v>
      </c>
      <c r="BU190" s="684">
        <v>4.0</v>
      </c>
      <c r="BV190" s="684">
        <v>2.0</v>
      </c>
      <c r="BW190" s="763">
        <v>4.0</v>
      </c>
      <c r="BX190" s="665">
        <f t="shared" si="2"/>
        <v>28</v>
      </c>
      <c r="BY190" s="671">
        <v>0.0</v>
      </c>
      <c r="BZ190" s="668">
        <v>0.0</v>
      </c>
      <c r="CA190" s="668">
        <v>0.0</v>
      </c>
      <c r="CB190" s="674">
        <v>4.0</v>
      </c>
      <c r="CC190" s="674">
        <v>4.0</v>
      </c>
      <c r="CD190" s="674">
        <v>4.0</v>
      </c>
      <c r="CE190" s="668">
        <v>0.0</v>
      </c>
      <c r="CF190" s="668">
        <v>0.0</v>
      </c>
      <c r="CG190" s="668">
        <v>0.0</v>
      </c>
      <c r="CH190" s="670">
        <v>0.0</v>
      </c>
      <c r="CI190" s="665">
        <f t="shared" si="3"/>
        <v>12</v>
      </c>
      <c r="CJ190" s="671">
        <f t="shared" si="4"/>
        <v>40</v>
      </c>
      <c r="CK190" s="715">
        <v>100.41</v>
      </c>
      <c r="CL190" s="668">
        <f t="shared" si="566"/>
        <v>698.8536</v>
      </c>
      <c r="CM190" s="668">
        <f t="shared" ref="CM190:CV190" si="588">BC190*$CL190</f>
        <v>0</v>
      </c>
      <c r="CN190" s="668">
        <f t="shared" si="588"/>
        <v>0</v>
      </c>
      <c r="CO190" s="668">
        <f t="shared" si="588"/>
        <v>0</v>
      </c>
      <c r="CP190" s="668">
        <f t="shared" si="588"/>
        <v>0</v>
      </c>
      <c r="CQ190" s="668">
        <f t="shared" si="588"/>
        <v>0</v>
      </c>
      <c r="CR190" s="668">
        <f t="shared" si="588"/>
        <v>0</v>
      </c>
      <c r="CS190" s="668">
        <f t="shared" si="588"/>
        <v>0</v>
      </c>
      <c r="CT190" s="668">
        <f t="shared" si="588"/>
        <v>0</v>
      </c>
      <c r="CU190" s="668">
        <f t="shared" si="588"/>
        <v>0</v>
      </c>
      <c r="CV190" s="668">
        <f t="shared" si="588"/>
        <v>0</v>
      </c>
      <c r="CW190" s="668">
        <f t="shared" si="21"/>
        <v>0</v>
      </c>
      <c r="CX190" s="668">
        <f t="shared" ref="CX190:DG190" si="589">BN190*$CL190</f>
        <v>2795.4144</v>
      </c>
      <c r="CY190" s="668">
        <f t="shared" si="589"/>
        <v>1397.7072</v>
      </c>
      <c r="CZ190" s="668">
        <f t="shared" si="589"/>
        <v>2795.4144</v>
      </c>
      <c r="DA190" s="668">
        <f t="shared" si="589"/>
        <v>0</v>
      </c>
      <c r="DB190" s="668">
        <f t="shared" si="589"/>
        <v>0</v>
      </c>
      <c r="DC190" s="668">
        <f t="shared" si="589"/>
        <v>2795.4144</v>
      </c>
      <c r="DD190" s="668">
        <f t="shared" si="589"/>
        <v>2795.4144</v>
      </c>
      <c r="DE190" s="668">
        <f t="shared" si="589"/>
        <v>2795.4144</v>
      </c>
      <c r="DF190" s="668">
        <f t="shared" si="589"/>
        <v>1397.7072</v>
      </c>
      <c r="DG190" s="668">
        <f t="shared" si="589"/>
        <v>2795.4144</v>
      </c>
      <c r="DH190" s="668">
        <f t="shared" si="23"/>
        <v>19567.9008</v>
      </c>
      <c r="DI190" s="668">
        <f t="shared" ref="DI190:DR190" si="590">BY190*$CL190</f>
        <v>0</v>
      </c>
      <c r="DJ190" s="668">
        <f t="shared" si="590"/>
        <v>0</v>
      </c>
      <c r="DK190" s="668">
        <f t="shared" si="590"/>
        <v>0</v>
      </c>
      <c r="DL190" s="668">
        <f t="shared" si="590"/>
        <v>2795.4144</v>
      </c>
      <c r="DM190" s="668">
        <f t="shared" si="590"/>
        <v>2795.4144</v>
      </c>
      <c r="DN190" s="668">
        <f t="shared" si="590"/>
        <v>2795.4144</v>
      </c>
      <c r="DO190" s="668">
        <f t="shared" si="590"/>
        <v>0</v>
      </c>
      <c r="DP190" s="668">
        <f t="shared" si="590"/>
        <v>0</v>
      </c>
      <c r="DQ190" s="668">
        <f t="shared" si="590"/>
        <v>0</v>
      </c>
      <c r="DR190" s="668">
        <f t="shared" si="590"/>
        <v>0</v>
      </c>
      <c r="DS190" s="668">
        <f t="shared" si="25"/>
        <v>8386.2432</v>
      </c>
      <c r="DT190" s="668">
        <f t="shared" si="175"/>
        <v>27954.144</v>
      </c>
      <c r="DU190" s="538"/>
      <c r="DV190" s="468"/>
      <c r="DW190" s="698"/>
      <c r="DX190" s="698"/>
      <c r="DY190" s="698"/>
      <c r="DZ190" s="698"/>
      <c r="EA190" s="698"/>
      <c r="EB190" s="698"/>
      <c r="EC190" s="698"/>
      <c r="ED190" s="698"/>
      <c r="EE190" s="698"/>
      <c r="EF190" s="698"/>
      <c r="EG190" s="698"/>
      <c r="EH190" s="576" t="s">
        <v>3360</v>
      </c>
      <c r="EI190" s="716">
        <f>VLOOKUP(I190,CotizacionTDB,4,FALSE())</f>
        <v>100.41</v>
      </c>
      <c r="EJ190" s="716">
        <f>VLOOKUP(I190,CotizacionTDB,5,FALSE())</f>
        <v>85.35</v>
      </c>
      <c r="EK190" s="699"/>
    </row>
    <row r="191" ht="12.0" customHeight="1">
      <c r="A191" s="700" t="s">
        <v>3026</v>
      </c>
      <c r="B191" s="701">
        <v>2.0</v>
      </c>
      <c r="C191" s="562" t="s">
        <v>3027</v>
      </c>
      <c r="D191" s="571" t="s">
        <v>231</v>
      </c>
      <c r="E191" s="571" t="s">
        <v>3270</v>
      </c>
      <c r="F191" s="562" t="s">
        <v>1763</v>
      </c>
      <c r="G191" s="569" t="s">
        <v>2709</v>
      </c>
      <c r="H191" s="737"/>
      <c r="I191" s="703" t="s">
        <v>2452</v>
      </c>
      <c r="J191" s="704" t="s">
        <v>931</v>
      </c>
      <c r="K191" s="562" t="s">
        <v>25</v>
      </c>
      <c r="L191" s="562">
        <v>2024.0</v>
      </c>
      <c r="M191" s="562">
        <v>2024.0</v>
      </c>
      <c r="N191" s="562">
        <v>2024.0</v>
      </c>
      <c r="O191" s="562"/>
      <c r="P191" s="562"/>
      <c r="Q191" s="562"/>
      <c r="R191" s="562"/>
      <c r="S191" s="562"/>
      <c r="T191" s="562"/>
      <c r="U191" s="562"/>
      <c r="V191" s="562"/>
      <c r="W191" s="562">
        <v>4.0</v>
      </c>
      <c r="X191" s="562">
        <v>4.0</v>
      </c>
      <c r="Y191" s="562">
        <v>4.0</v>
      </c>
      <c r="Z191" s="562"/>
      <c r="AA191" s="562"/>
      <c r="AB191" s="562"/>
      <c r="AC191" s="562"/>
      <c r="AD191" s="562"/>
      <c r="AE191" s="562"/>
      <c r="AF191" s="562"/>
      <c r="AG191" s="562"/>
      <c r="AH191" s="562"/>
      <c r="AI191" s="562"/>
      <c r="AJ191" s="562"/>
      <c r="AK191" s="562"/>
      <c r="AL191" s="562"/>
      <c r="AM191" s="562"/>
      <c r="AN191" s="562"/>
      <c r="AO191" s="562"/>
      <c r="AP191" s="562"/>
      <c r="AQ191" s="562"/>
      <c r="AR191" s="562">
        <v>-2024.0</v>
      </c>
      <c r="AS191" s="562">
        <v>-2024.0</v>
      </c>
      <c r="AT191" s="562">
        <v>-2024.0</v>
      </c>
      <c r="AU191" s="562">
        <v>0.0</v>
      </c>
      <c r="AV191" s="562">
        <v>0.0</v>
      </c>
      <c r="AW191" s="562">
        <v>0.0</v>
      </c>
      <c r="AX191" s="562">
        <v>0.0</v>
      </c>
      <c r="AY191" s="562">
        <v>0.0</v>
      </c>
      <c r="AZ191" s="562">
        <v>0.0</v>
      </c>
      <c r="BA191" s="562">
        <v>0.0</v>
      </c>
      <c r="BB191" s="562"/>
      <c r="BC191" s="718"/>
      <c r="BD191" s="718"/>
      <c r="BE191" s="718"/>
      <c r="BF191" s="562"/>
      <c r="BG191" s="562"/>
      <c r="BH191" s="562"/>
      <c r="BI191" s="562"/>
      <c r="BJ191" s="562"/>
      <c r="BK191" s="562"/>
      <c r="BL191" s="681"/>
      <c r="BM191" s="665">
        <f t="shared" si="1"/>
        <v>0</v>
      </c>
      <c r="BN191" s="666">
        <v>2.0</v>
      </c>
      <c r="BO191" s="667">
        <v>2.0</v>
      </c>
      <c r="BP191" s="667">
        <v>2.0</v>
      </c>
      <c r="BQ191" s="683"/>
      <c r="BR191" s="683"/>
      <c r="BS191" s="683"/>
      <c r="BT191" s="683"/>
      <c r="BU191" s="683"/>
      <c r="BV191" s="683"/>
      <c r="BW191" s="686"/>
      <c r="BX191" s="665">
        <f t="shared" si="2"/>
        <v>6</v>
      </c>
      <c r="BY191" s="682">
        <v>0.0</v>
      </c>
      <c r="BZ191" s="683">
        <v>0.0</v>
      </c>
      <c r="CA191" s="683">
        <v>0.0</v>
      </c>
      <c r="CB191" s="683">
        <v>0.0</v>
      </c>
      <c r="CC191" s="683">
        <v>0.0</v>
      </c>
      <c r="CD191" s="683">
        <v>0.0</v>
      </c>
      <c r="CE191" s="683">
        <v>0.0</v>
      </c>
      <c r="CF191" s="683">
        <v>0.0</v>
      </c>
      <c r="CG191" s="683">
        <v>0.0</v>
      </c>
      <c r="CH191" s="686">
        <v>0.0</v>
      </c>
      <c r="CI191" s="665">
        <f t="shared" si="3"/>
        <v>0</v>
      </c>
      <c r="CJ191" s="682">
        <f t="shared" si="4"/>
        <v>6</v>
      </c>
      <c r="CK191" s="706">
        <v>323.96</v>
      </c>
      <c r="CL191" s="683">
        <f t="shared" si="566"/>
        <v>2254.7616</v>
      </c>
      <c r="CM191" s="683">
        <f t="shared" ref="CM191:CV191" si="591">BC191*$CL191</f>
        <v>0</v>
      </c>
      <c r="CN191" s="683">
        <f t="shared" si="591"/>
        <v>0</v>
      </c>
      <c r="CO191" s="683">
        <f t="shared" si="591"/>
        <v>0</v>
      </c>
      <c r="CP191" s="683">
        <f t="shared" si="591"/>
        <v>0</v>
      </c>
      <c r="CQ191" s="683">
        <f t="shared" si="591"/>
        <v>0</v>
      </c>
      <c r="CR191" s="683">
        <f t="shared" si="591"/>
        <v>0</v>
      </c>
      <c r="CS191" s="683">
        <f t="shared" si="591"/>
        <v>0</v>
      </c>
      <c r="CT191" s="683">
        <f t="shared" si="591"/>
        <v>0</v>
      </c>
      <c r="CU191" s="683">
        <f t="shared" si="591"/>
        <v>0</v>
      </c>
      <c r="CV191" s="683">
        <f t="shared" si="591"/>
        <v>0</v>
      </c>
      <c r="CW191" s="683">
        <f t="shared" si="21"/>
        <v>0</v>
      </c>
      <c r="CX191" s="683">
        <f t="shared" ref="CX191:DG191" si="592">BN191*$CL191</f>
        <v>4509.5232</v>
      </c>
      <c r="CY191" s="683">
        <f t="shared" si="592"/>
        <v>4509.5232</v>
      </c>
      <c r="CZ191" s="683">
        <f t="shared" si="592"/>
        <v>4509.5232</v>
      </c>
      <c r="DA191" s="683">
        <f t="shared" si="592"/>
        <v>0</v>
      </c>
      <c r="DB191" s="683">
        <f t="shared" si="592"/>
        <v>0</v>
      </c>
      <c r="DC191" s="683">
        <f t="shared" si="592"/>
        <v>0</v>
      </c>
      <c r="DD191" s="683">
        <f t="shared" si="592"/>
        <v>0</v>
      </c>
      <c r="DE191" s="683">
        <f t="shared" si="592"/>
        <v>0</v>
      </c>
      <c r="DF191" s="683">
        <f t="shared" si="592"/>
        <v>0</v>
      </c>
      <c r="DG191" s="683">
        <f t="shared" si="592"/>
        <v>0</v>
      </c>
      <c r="DH191" s="683">
        <f t="shared" si="23"/>
        <v>13528.5696</v>
      </c>
      <c r="DI191" s="683">
        <f t="shared" ref="DI191:DR191" si="593">BY191*$CL191</f>
        <v>0</v>
      </c>
      <c r="DJ191" s="683">
        <f t="shared" si="593"/>
        <v>0</v>
      </c>
      <c r="DK191" s="683">
        <f t="shared" si="593"/>
        <v>0</v>
      </c>
      <c r="DL191" s="683">
        <f t="shared" si="593"/>
        <v>0</v>
      </c>
      <c r="DM191" s="683">
        <f t="shared" si="593"/>
        <v>0</v>
      </c>
      <c r="DN191" s="683">
        <f t="shared" si="593"/>
        <v>0</v>
      </c>
      <c r="DO191" s="683">
        <f t="shared" si="593"/>
        <v>0</v>
      </c>
      <c r="DP191" s="683">
        <f t="shared" si="593"/>
        <v>0</v>
      </c>
      <c r="DQ191" s="683">
        <f t="shared" si="593"/>
        <v>0</v>
      </c>
      <c r="DR191" s="683">
        <f t="shared" si="593"/>
        <v>0</v>
      </c>
      <c r="DS191" s="683">
        <f t="shared" si="25"/>
        <v>0</v>
      </c>
      <c r="DT191" s="683">
        <f t="shared" si="175"/>
        <v>13528.5696</v>
      </c>
      <c r="DU191" s="504"/>
      <c r="DV191" s="486"/>
      <c r="DW191" s="688"/>
      <c r="DX191" s="688"/>
      <c r="DY191" s="688"/>
      <c r="DZ191" s="688"/>
      <c r="EA191" s="688"/>
      <c r="EB191" s="688"/>
      <c r="EC191" s="688"/>
      <c r="ED191" s="688"/>
      <c r="EE191" s="688"/>
      <c r="EF191" s="688"/>
      <c r="EG191" s="688"/>
      <c r="EH191" s="707" t="s">
        <v>931</v>
      </c>
      <c r="EI191" s="708">
        <f>VLOOKUP(I191,CotizacionTDB,4,FALSE())</f>
        <v>323.96</v>
      </c>
      <c r="EJ191" s="708">
        <f>VLOOKUP(I191,CotizacionTDB,5,FALSE())</f>
        <v>275.37</v>
      </c>
      <c r="EK191" s="691"/>
    </row>
    <row r="192" ht="12.0" customHeight="1">
      <c r="A192" s="709" t="s">
        <v>3026</v>
      </c>
      <c r="B192" s="661">
        <v>2.0</v>
      </c>
      <c r="C192" s="567" t="s">
        <v>3027</v>
      </c>
      <c r="D192" s="568" t="s">
        <v>231</v>
      </c>
      <c r="E192" s="568" t="s">
        <v>3270</v>
      </c>
      <c r="F192" s="567" t="s">
        <v>1763</v>
      </c>
      <c r="G192" s="569" t="s">
        <v>2709</v>
      </c>
      <c r="H192" s="658"/>
      <c r="I192" s="881" t="s">
        <v>2455</v>
      </c>
      <c r="J192" s="882" t="s">
        <v>759</v>
      </c>
      <c r="K192" s="567" t="s">
        <v>25</v>
      </c>
      <c r="L192" s="567">
        <v>2024.0</v>
      </c>
      <c r="M192" s="567"/>
      <c r="N192" s="567">
        <v>2024.0</v>
      </c>
      <c r="O192" s="567"/>
      <c r="P192" s="567">
        <v>2024.0</v>
      </c>
      <c r="Q192" s="567">
        <v>2024.0</v>
      </c>
      <c r="R192" s="567"/>
      <c r="S192" s="567"/>
      <c r="T192" s="567"/>
      <c r="U192" s="567"/>
      <c r="V192" s="567"/>
      <c r="W192" s="567">
        <v>5.0</v>
      </c>
      <c r="X192" s="567"/>
      <c r="Y192" s="567">
        <v>5.0</v>
      </c>
      <c r="Z192" s="567"/>
      <c r="AA192" s="567">
        <v>5.0</v>
      </c>
      <c r="AB192" s="567">
        <v>5.0</v>
      </c>
      <c r="AC192" s="567"/>
      <c r="AD192" s="567"/>
      <c r="AE192" s="567"/>
      <c r="AF192" s="567"/>
      <c r="AG192" s="567"/>
      <c r="AH192" s="567"/>
      <c r="AI192" s="567"/>
      <c r="AJ192" s="567"/>
      <c r="AK192" s="567"/>
      <c r="AL192" s="567"/>
      <c r="AM192" s="567"/>
      <c r="AN192" s="567"/>
      <c r="AO192" s="567"/>
      <c r="AP192" s="567"/>
      <c r="AQ192" s="567"/>
      <c r="AR192" s="567">
        <v>-2024.0</v>
      </c>
      <c r="AS192" s="567">
        <v>0.0</v>
      </c>
      <c r="AT192" s="567">
        <v>-2024.0</v>
      </c>
      <c r="AU192" s="567">
        <v>0.0</v>
      </c>
      <c r="AV192" s="567">
        <v>-2024.0</v>
      </c>
      <c r="AW192" s="567">
        <v>-2024.0</v>
      </c>
      <c r="AX192" s="567">
        <v>0.0</v>
      </c>
      <c r="AY192" s="567">
        <v>0.0</v>
      </c>
      <c r="AZ192" s="567">
        <v>0.0</v>
      </c>
      <c r="BA192" s="567">
        <v>0.0</v>
      </c>
      <c r="BB192" s="567"/>
      <c r="BC192" s="567"/>
      <c r="BD192" s="567"/>
      <c r="BE192" s="567"/>
      <c r="BF192" s="567"/>
      <c r="BG192" s="567">
        <v>1.0</v>
      </c>
      <c r="BH192" s="567">
        <v>1.0</v>
      </c>
      <c r="BI192" s="567"/>
      <c r="BJ192" s="567"/>
      <c r="BK192" s="567"/>
      <c r="BL192" s="725"/>
      <c r="BM192" s="665">
        <f t="shared" si="1"/>
        <v>2</v>
      </c>
      <c r="BN192" s="736">
        <v>1.0</v>
      </c>
      <c r="BO192" s="668"/>
      <c r="BP192" s="668"/>
      <c r="BQ192" s="668"/>
      <c r="BR192" s="668"/>
      <c r="BS192" s="668"/>
      <c r="BT192" s="668"/>
      <c r="BU192" s="668"/>
      <c r="BV192" s="668"/>
      <c r="BW192" s="670"/>
      <c r="BX192" s="665">
        <f t="shared" si="2"/>
        <v>1</v>
      </c>
      <c r="BY192" s="671">
        <v>0.0</v>
      </c>
      <c r="BZ192" s="668">
        <v>0.0</v>
      </c>
      <c r="CA192" s="668">
        <v>0.0</v>
      </c>
      <c r="CB192" s="668">
        <v>0.0</v>
      </c>
      <c r="CC192" s="668">
        <v>0.0</v>
      </c>
      <c r="CD192" s="668">
        <v>0.0</v>
      </c>
      <c r="CE192" s="668">
        <v>0.0</v>
      </c>
      <c r="CF192" s="668">
        <v>0.0</v>
      </c>
      <c r="CG192" s="668">
        <v>0.0</v>
      </c>
      <c r="CH192" s="670">
        <v>0.0</v>
      </c>
      <c r="CI192" s="665">
        <f t="shared" si="3"/>
        <v>0</v>
      </c>
      <c r="CJ192" s="671">
        <f t="shared" si="4"/>
        <v>3</v>
      </c>
      <c r="CK192" s="715">
        <v>936.37</v>
      </c>
      <c r="CL192" s="668">
        <f t="shared" si="566"/>
        <v>6517.1352</v>
      </c>
      <c r="CM192" s="668">
        <f t="shared" ref="CM192:CV192" si="594">BC192*$CL192</f>
        <v>0</v>
      </c>
      <c r="CN192" s="668">
        <f t="shared" si="594"/>
        <v>0</v>
      </c>
      <c r="CO192" s="668">
        <f t="shared" si="594"/>
        <v>0</v>
      </c>
      <c r="CP192" s="668">
        <f t="shared" si="594"/>
        <v>0</v>
      </c>
      <c r="CQ192" s="668">
        <f t="shared" si="594"/>
        <v>6517.1352</v>
      </c>
      <c r="CR192" s="668">
        <f t="shared" si="594"/>
        <v>6517.1352</v>
      </c>
      <c r="CS192" s="668">
        <f t="shared" si="594"/>
        <v>0</v>
      </c>
      <c r="CT192" s="668">
        <f t="shared" si="594"/>
        <v>0</v>
      </c>
      <c r="CU192" s="668">
        <f t="shared" si="594"/>
        <v>0</v>
      </c>
      <c r="CV192" s="668">
        <f t="shared" si="594"/>
        <v>0</v>
      </c>
      <c r="CW192" s="668">
        <f t="shared" si="21"/>
        <v>13034.2704</v>
      </c>
      <c r="CX192" s="668">
        <f t="shared" ref="CX192:DG192" si="595">BN192*$CL192</f>
        <v>6517.1352</v>
      </c>
      <c r="CY192" s="668">
        <f t="shared" si="595"/>
        <v>0</v>
      </c>
      <c r="CZ192" s="668">
        <f t="shared" si="595"/>
        <v>0</v>
      </c>
      <c r="DA192" s="668">
        <f t="shared" si="595"/>
        <v>0</v>
      </c>
      <c r="DB192" s="668">
        <f t="shared" si="595"/>
        <v>0</v>
      </c>
      <c r="DC192" s="668">
        <f t="shared" si="595"/>
        <v>0</v>
      </c>
      <c r="DD192" s="668">
        <f t="shared" si="595"/>
        <v>0</v>
      </c>
      <c r="DE192" s="668">
        <f t="shared" si="595"/>
        <v>0</v>
      </c>
      <c r="DF192" s="668">
        <f t="shared" si="595"/>
        <v>0</v>
      </c>
      <c r="DG192" s="668">
        <f t="shared" si="595"/>
        <v>0</v>
      </c>
      <c r="DH192" s="668">
        <f t="shared" si="23"/>
        <v>6517.1352</v>
      </c>
      <c r="DI192" s="668">
        <f t="shared" ref="DI192:DR192" si="596">BY192*$CL192</f>
        <v>0</v>
      </c>
      <c r="DJ192" s="668">
        <f t="shared" si="596"/>
        <v>0</v>
      </c>
      <c r="DK192" s="668">
        <f t="shared" si="596"/>
        <v>0</v>
      </c>
      <c r="DL192" s="668">
        <f t="shared" si="596"/>
        <v>0</v>
      </c>
      <c r="DM192" s="668">
        <f t="shared" si="596"/>
        <v>0</v>
      </c>
      <c r="DN192" s="668">
        <f t="shared" si="596"/>
        <v>0</v>
      </c>
      <c r="DO192" s="668">
        <f t="shared" si="596"/>
        <v>0</v>
      </c>
      <c r="DP192" s="668">
        <f t="shared" si="596"/>
        <v>0</v>
      </c>
      <c r="DQ192" s="668">
        <f t="shared" si="596"/>
        <v>0</v>
      </c>
      <c r="DR192" s="668">
        <f t="shared" si="596"/>
        <v>0</v>
      </c>
      <c r="DS192" s="668">
        <f t="shared" si="25"/>
        <v>0</v>
      </c>
      <c r="DT192" s="668">
        <f t="shared" si="175"/>
        <v>19551.4056</v>
      </c>
      <c r="DU192" s="538"/>
      <c r="DV192" s="468"/>
      <c r="DW192" s="698"/>
      <c r="DX192" s="698"/>
      <c r="DY192" s="698"/>
      <c r="DZ192" s="698"/>
      <c r="EA192" s="698"/>
      <c r="EB192" s="698"/>
      <c r="EC192" s="698"/>
      <c r="ED192" s="698"/>
      <c r="EE192" s="698"/>
      <c r="EF192" s="698"/>
      <c r="EG192" s="698"/>
      <c r="EH192" s="576" t="s">
        <v>759</v>
      </c>
      <c r="EI192" s="716">
        <f>VLOOKUP(I192,CotizacionTDB,4,FALSE())</f>
        <v>936.37</v>
      </c>
      <c r="EJ192" s="716">
        <f>VLOOKUP(I192,CotizacionTDB,5,FALSE())</f>
        <v>795.91</v>
      </c>
      <c r="EK192" s="699"/>
    </row>
    <row r="193" ht="12.0" customHeight="1">
      <c r="A193" s="700" t="s">
        <v>3026</v>
      </c>
      <c r="B193" s="701">
        <v>2.0</v>
      </c>
      <c r="C193" s="562" t="s">
        <v>3027</v>
      </c>
      <c r="D193" s="571" t="s">
        <v>231</v>
      </c>
      <c r="E193" s="571" t="s">
        <v>3270</v>
      </c>
      <c r="F193" s="562" t="s">
        <v>1763</v>
      </c>
      <c r="G193" s="569" t="s">
        <v>2709</v>
      </c>
      <c r="H193" s="737"/>
      <c r="I193" s="703" t="s">
        <v>2406</v>
      </c>
      <c r="J193" s="704" t="s">
        <v>969</v>
      </c>
      <c r="K193" s="562" t="s">
        <v>25</v>
      </c>
      <c r="L193" s="562">
        <v>2024.0</v>
      </c>
      <c r="M193" s="562">
        <v>2024.0</v>
      </c>
      <c r="N193" s="562">
        <v>2024.0</v>
      </c>
      <c r="O193" s="562"/>
      <c r="P193" s="562"/>
      <c r="Q193" s="562"/>
      <c r="R193" s="562"/>
      <c r="S193" s="562"/>
      <c r="T193" s="562"/>
      <c r="U193" s="562"/>
      <c r="V193" s="562"/>
      <c r="W193" s="562">
        <v>4.0</v>
      </c>
      <c r="X193" s="562">
        <v>4.0</v>
      </c>
      <c r="Y193" s="562">
        <v>4.0</v>
      </c>
      <c r="Z193" s="562"/>
      <c r="AA193" s="562"/>
      <c r="AB193" s="562"/>
      <c r="AC193" s="562"/>
      <c r="AD193" s="562"/>
      <c r="AE193" s="562"/>
      <c r="AF193" s="562"/>
      <c r="AG193" s="562"/>
      <c r="AH193" s="562"/>
      <c r="AI193" s="562"/>
      <c r="AJ193" s="562"/>
      <c r="AK193" s="562"/>
      <c r="AL193" s="562"/>
      <c r="AM193" s="562"/>
      <c r="AN193" s="562"/>
      <c r="AO193" s="562"/>
      <c r="AP193" s="562"/>
      <c r="AQ193" s="562"/>
      <c r="AR193" s="562">
        <v>-2024.0</v>
      </c>
      <c r="AS193" s="562">
        <v>-2024.0</v>
      </c>
      <c r="AT193" s="562">
        <v>-2024.0</v>
      </c>
      <c r="AU193" s="562">
        <v>0.0</v>
      </c>
      <c r="AV193" s="562">
        <v>0.0</v>
      </c>
      <c r="AW193" s="562">
        <v>0.0</v>
      </c>
      <c r="AX193" s="562">
        <v>0.0</v>
      </c>
      <c r="AY193" s="562">
        <v>0.0</v>
      </c>
      <c r="AZ193" s="562">
        <v>0.0</v>
      </c>
      <c r="BA193" s="562">
        <v>0.0</v>
      </c>
      <c r="BB193" s="562"/>
      <c r="BC193" s="718"/>
      <c r="BD193" s="718"/>
      <c r="BE193" s="718"/>
      <c r="BF193" s="562"/>
      <c r="BG193" s="562"/>
      <c r="BH193" s="562"/>
      <c r="BI193" s="562"/>
      <c r="BJ193" s="562"/>
      <c r="BK193" s="562"/>
      <c r="BL193" s="681"/>
      <c r="BM193" s="665">
        <f t="shared" si="1"/>
        <v>0</v>
      </c>
      <c r="BN193" s="667">
        <v>2.0</v>
      </c>
      <c r="BO193" s="667">
        <v>1.0</v>
      </c>
      <c r="BP193" s="667">
        <v>2.0</v>
      </c>
      <c r="BQ193" s="683"/>
      <c r="BR193" s="683"/>
      <c r="BS193" s="683"/>
      <c r="BT193" s="683"/>
      <c r="BU193" s="683"/>
      <c r="BV193" s="683"/>
      <c r="BW193" s="686"/>
      <c r="BX193" s="665">
        <f t="shared" si="2"/>
        <v>5</v>
      </c>
      <c r="BY193" s="682">
        <v>0.0</v>
      </c>
      <c r="BZ193" s="683">
        <v>0.0</v>
      </c>
      <c r="CA193" s="683">
        <v>0.0</v>
      </c>
      <c r="CB193" s="683">
        <v>0.0</v>
      </c>
      <c r="CC193" s="683">
        <v>0.0</v>
      </c>
      <c r="CD193" s="683">
        <v>0.0</v>
      </c>
      <c r="CE193" s="683">
        <v>0.0</v>
      </c>
      <c r="CF193" s="683">
        <v>0.0</v>
      </c>
      <c r="CG193" s="683">
        <v>0.0</v>
      </c>
      <c r="CH193" s="686">
        <v>0.0</v>
      </c>
      <c r="CI193" s="665">
        <f t="shared" si="3"/>
        <v>0</v>
      </c>
      <c r="CJ193" s="682">
        <f t="shared" si="4"/>
        <v>5</v>
      </c>
      <c r="CK193" s="706">
        <v>333.26</v>
      </c>
      <c r="CL193" s="683">
        <f t="shared" si="566"/>
        <v>2319.4896</v>
      </c>
      <c r="CM193" s="683">
        <f t="shared" ref="CM193:CV193" si="597">BC193*$CL193</f>
        <v>0</v>
      </c>
      <c r="CN193" s="683">
        <f t="shared" si="597"/>
        <v>0</v>
      </c>
      <c r="CO193" s="683">
        <f t="shared" si="597"/>
        <v>0</v>
      </c>
      <c r="CP193" s="683">
        <f t="shared" si="597"/>
        <v>0</v>
      </c>
      <c r="CQ193" s="683">
        <f t="shared" si="597"/>
        <v>0</v>
      </c>
      <c r="CR193" s="683">
        <f t="shared" si="597"/>
        <v>0</v>
      </c>
      <c r="CS193" s="683">
        <f t="shared" si="597"/>
        <v>0</v>
      </c>
      <c r="CT193" s="683">
        <f t="shared" si="597"/>
        <v>0</v>
      </c>
      <c r="CU193" s="683">
        <f t="shared" si="597"/>
        <v>0</v>
      </c>
      <c r="CV193" s="683">
        <f t="shared" si="597"/>
        <v>0</v>
      </c>
      <c r="CW193" s="683">
        <f t="shared" si="21"/>
        <v>0</v>
      </c>
      <c r="CX193" s="683">
        <f t="shared" ref="CX193:DG193" si="598">BN193*$CL193</f>
        <v>4638.9792</v>
      </c>
      <c r="CY193" s="683">
        <f t="shared" si="598"/>
        <v>2319.4896</v>
      </c>
      <c r="CZ193" s="683">
        <f t="shared" si="598"/>
        <v>4638.9792</v>
      </c>
      <c r="DA193" s="683">
        <f t="shared" si="598"/>
        <v>0</v>
      </c>
      <c r="DB193" s="683">
        <f t="shared" si="598"/>
        <v>0</v>
      </c>
      <c r="DC193" s="683">
        <f t="shared" si="598"/>
        <v>0</v>
      </c>
      <c r="DD193" s="683">
        <f t="shared" si="598"/>
        <v>0</v>
      </c>
      <c r="DE193" s="683">
        <f t="shared" si="598"/>
        <v>0</v>
      </c>
      <c r="DF193" s="683">
        <f t="shared" si="598"/>
        <v>0</v>
      </c>
      <c r="DG193" s="683">
        <f t="shared" si="598"/>
        <v>0</v>
      </c>
      <c r="DH193" s="683">
        <f t="shared" si="23"/>
        <v>11597.448</v>
      </c>
      <c r="DI193" s="683">
        <f t="shared" ref="DI193:DR193" si="599">BY193*$CL193</f>
        <v>0</v>
      </c>
      <c r="DJ193" s="683">
        <f t="shared" si="599"/>
        <v>0</v>
      </c>
      <c r="DK193" s="683">
        <f t="shared" si="599"/>
        <v>0</v>
      </c>
      <c r="DL193" s="683">
        <f t="shared" si="599"/>
        <v>0</v>
      </c>
      <c r="DM193" s="683">
        <f t="shared" si="599"/>
        <v>0</v>
      </c>
      <c r="DN193" s="683">
        <f t="shared" si="599"/>
        <v>0</v>
      </c>
      <c r="DO193" s="683">
        <f t="shared" si="599"/>
        <v>0</v>
      </c>
      <c r="DP193" s="683">
        <f t="shared" si="599"/>
        <v>0</v>
      </c>
      <c r="DQ193" s="683">
        <f t="shared" si="599"/>
        <v>0</v>
      </c>
      <c r="DR193" s="683">
        <f t="shared" si="599"/>
        <v>0</v>
      </c>
      <c r="DS193" s="683">
        <f t="shared" si="25"/>
        <v>0</v>
      </c>
      <c r="DT193" s="683">
        <f t="shared" si="175"/>
        <v>11597.448</v>
      </c>
      <c r="DU193" s="504"/>
      <c r="DV193" s="486"/>
      <c r="DW193" s="688"/>
      <c r="DX193" s="688"/>
      <c r="DY193" s="688"/>
      <c r="DZ193" s="688"/>
      <c r="EA193" s="688"/>
      <c r="EB193" s="688"/>
      <c r="EC193" s="688"/>
      <c r="ED193" s="688"/>
      <c r="EE193" s="688"/>
      <c r="EF193" s="688"/>
      <c r="EG193" s="688"/>
      <c r="EH193" s="707" t="s">
        <v>969</v>
      </c>
      <c r="EI193" s="708">
        <f>VLOOKUP(I193,CotizacionTDB,4,FALSE())</f>
        <v>333.26</v>
      </c>
      <c r="EJ193" s="708">
        <f>VLOOKUP(I193,CotizacionTDB,5,FALSE())</f>
        <v>283.27</v>
      </c>
      <c r="EK193" s="691"/>
    </row>
    <row r="194" ht="12.0" customHeight="1">
      <c r="A194" s="709" t="s">
        <v>3026</v>
      </c>
      <c r="B194" s="661">
        <v>2.0</v>
      </c>
      <c r="C194" s="567" t="s">
        <v>3027</v>
      </c>
      <c r="D194" s="568" t="s">
        <v>231</v>
      </c>
      <c r="E194" s="568" t="s">
        <v>3270</v>
      </c>
      <c r="F194" s="567" t="s">
        <v>1763</v>
      </c>
      <c r="G194" s="569" t="s">
        <v>2709</v>
      </c>
      <c r="H194" s="658"/>
      <c r="I194" s="721" t="s">
        <v>2384</v>
      </c>
      <c r="J194" s="711" t="s">
        <v>977</v>
      </c>
      <c r="K194" s="567" t="s">
        <v>25</v>
      </c>
      <c r="L194" s="567">
        <v>2024.0</v>
      </c>
      <c r="M194" s="567">
        <v>2024.0</v>
      </c>
      <c r="N194" s="567">
        <v>2024.0</v>
      </c>
      <c r="O194" s="567"/>
      <c r="P194" s="567"/>
      <c r="Q194" s="567"/>
      <c r="R194" s="567"/>
      <c r="S194" s="567"/>
      <c r="T194" s="567"/>
      <c r="U194" s="567"/>
      <c r="V194" s="567"/>
      <c r="W194" s="567">
        <v>4.0</v>
      </c>
      <c r="X194" s="567">
        <v>4.0</v>
      </c>
      <c r="Y194" s="567">
        <v>4.0</v>
      </c>
      <c r="Z194" s="567"/>
      <c r="AA194" s="567"/>
      <c r="AB194" s="567"/>
      <c r="AC194" s="567"/>
      <c r="AD194" s="567"/>
      <c r="AE194" s="567"/>
      <c r="AF194" s="567"/>
      <c r="AG194" s="567"/>
      <c r="AH194" s="567"/>
      <c r="AI194" s="567"/>
      <c r="AJ194" s="567"/>
      <c r="AK194" s="567"/>
      <c r="AL194" s="567"/>
      <c r="AM194" s="567"/>
      <c r="AN194" s="567"/>
      <c r="AO194" s="567"/>
      <c r="AP194" s="567"/>
      <c r="AQ194" s="567"/>
      <c r="AR194" s="567">
        <v>-2024.0</v>
      </c>
      <c r="AS194" s="567">
        <v>-2024.0</v>
      </c>
      <c r="AT194" s="567">
        <v>-2024.0</v>
      </c>
      <c r="AU194" s="567">
        <v>0.0</v>
      </c>
      <c r="AV194" s="567">
        <v>0.0</v>
      </c>
      <c r="AW194" s="567">
        <v>0.0</v>
      </c>
      <c r="AX194" s="567">
        <v>0.0</v>
      </c>
      <c r="AY194" s="567">
        <v>0.0</v>
      </c>
      <c r="AZ194" s="567">
        <v>0.0</v>
      </c>
      <c r="BA194" s="567">
        <v>0.0</v>
      </c>
      <c r="BB194" s="567"/>
      <c r="BC194" s="718"/>
      <c r="BD194" s="718"/>
      <c r="BE194" s="718"/>
      <c r="BF194" s="567"/>
      <c r="BG194" s="567"/>
      <c r="BH194" s="567"/>
      <c r="BI194" s="567"/>
      <c r="BJ194" s="567"/>
      <c r="BK194" s="567"/>
      <c r="BL194" s="725"/>
      <c r="BM194" s="665">
        <f t="shared" si="1"/>
        <v>0</v>
      </c>
      <c r="BN194" s="667">
        <v>2.0</v>
      </c>
      <c r="BO194" s="667">
        <v>1.0</v>
      </c>
      <c r="BP194" s="667">
        <v>1.0</v>
      </c>
      <c r="BQ194" s="668"/>
      <c r="BR194" s="668"/>
      <c r="BS194" s="668"/>
      <c r="BT194" s="668"/>
      <c r="BU194" s="668"/>
      <c r="BV194" s="668"/>
      <c r="BW194" s="670"/>
      <c r="BX194" s="665">
        <f t="shared" si="2"/>
        <v>4</v>
      </c>
      <c r="BY194" s="671">
        <v>0.0</v>
      </c>
      <c r="BZ194" s="668">
        <v>0.0</v>
      </c>
      <c r="CA194" s="668">
        <v>0.0</v>
      </c>
      <c r="CB194" s="668">
        <v>0.0</v>
      </c>
      <c r="CC194" s="668">
        <v>0.0</v>
      </c>
      <c r="CD194" s="668">
        <v>0.0</v>
      </c>
      <c r="CE194" s="668">
        <v>0.0</v>
      </c>
      <c r="CF194" s="668">
        <v>0.0</v>
      </c>
      <c r="CG194" s="668">
        <v>0.0</v>
      </c>
      <c r="CH194" s="670">
        <v>0.0</v>
      </c>
      <c r="CI194" s="665">
        <f t="shared" si="3"/>
        <v>0</v>
      </c>
      <c r="CJ194" s="671">
        <f t="shared" si="4"/>
        <v>4</v>
      </c>
      <c r="CK194" s="715">
        <v>414.02</v>
      </c>
      <c r="CL194" s="668">
        <f t="shared" si="566"/>
        <v>2881.5792</v>
      </c>
      <c r="CM194" s="668">
        <f t="shared" ref="CM194:CV194" si="600">BC194*$CL194</f>
        <v>0</v>
      </c>
      <c r="CN194" s="668">
        <f t="shared" si="600"/>
        <v>0</v>
      </c>
      <c r="CO194" s="668">
        <f t="shared" si="600"/>
        <v>0</v>
      </c>
      <c r="CP194" s="668">
        <f t="shared" si="600"/>
        <v>0</v>
      </c>
      <c r="CQ194" s="668">
        <f t="shared" si="600"/>
        <v>0</v>
      </c>
      <c r="CR194" s="668">
        <f t="shared" si="600"/>
        <v>0</v>
      </c>
      <c r="CS194" s="668">
        <f t="shared" si="600"/>
        <v>0</v>
      </c>
      <c r="CT194" s="668">
        <f t="shared" si="600"/>
        <v>0</v>
      </c>
      <c r="CU194" s="668">
        <f t="shared" si="600"/>
        <v>0</v>
      </c>
      <c r="CV194" s="668">
        <f t="shared" si="600"/>
        <v>0</v>
      </c>
      <c r="CW194" s="668">
        <f t="shared" si="21"/>
        <v>0</v>
      </c>
      <c r="CX194" s="668">
        <f t="shared" ref="CX194:DG194" si="601">BN194*$CL194</f>
        <v>5763.1584</v>
      </c>
      <c r="CY194" s="668">
        <f t="shared" si="601"/>
        <v>2881.5792</v>
      </c>
      <c r="CZ194" s="668">
        <f t="shared" si="601"/>
        <v>2881.5792</v>
      </c>
      <c r="DA194" s="668">
        <f t="shared" si="601"/>
        <v>0</v>
      </c>
      <c r="DB194" s="668">
        <f t="shared" si="601"/>
        <v>0</v>
      </c>
      <c r="DC194" s="668">
        <f t="shared" si="601"/>
        <v>0</v>
      </c>
      <c r="DD194" s="668">
        <f t="shared" si="601"/>
        <v>0</v>
      </c>
      <c r="DE194" s="668">
        <f t="shared" si="601"/>
        <v>0</v>
      </c>
      <c r="DF194" s="668">
        <f t="shared" si="601"/>
        <v>0</v>
      </c>
      <c r="DG194" s="668">
        <f t="shared" si="601"/>
        <v>0</v>
      </c>
      <c r="DH194" s="668">
        <f t="shared" si="23"/>
        <v>11526.3168</v>
      </c>
      <c r="DI194" s="668">
        <f t="shared" ref="DI194:DR194" si="602">BY194*$CL194</f>
        <v>0</v>
      </c>
      <c r="DJ194" s="668">
        <f t="shared" si="602"/>
        <v>0</v>
      </c>
      <c r="DK194" s="668">
        <f t="shared" si="602"/>
        <v>0</v>
      </c>
      <c r="DL194" s="668">
        <f t="shared" si="602"/>
        <v>0</v>
      </c>
      <c r="DM194" s="668">
        <f t="shared" si="602"/>
        <v>0</v>
      </c>
      <c r="DN194" s="668">
        <f t="shared" si="602"/>
        <v>0</v>
      </c>
      <c r="DO194" s="668">
        <f t="shared" si="602"/>
        <v>0</v>
      </c>
      <c r="DP194" s="668">
        <f t="shared" si="602"/>
        <v>0</v>
      </c>
      <c r="DQ194" s="668">
        <f t="shared" si="602"/>
        <v>0</v>
      </c>
      <c r="DR194" s="668">
        <f t="shared" si="602"/>
        <v>0</v>
      </c>
      <c r="DS194" s="668">
        <f t="shared" si="25"/>
        <v>0</v>
      </c>
      <c r="DT194" s="668">
        <f t="shared" si="175"/>
        <v>11526.3168</v>
      </c>
      <c r="DU194" s="538"/>
      <c r="DV194" s="468"/>
      <c r="DW194" s="698"/>
      <c r="DX194" s="698"/>
      <c r="DY194" s="698"/>
      <c r="DZ194" s="698"/>
      <c r="EA194" s="698"/>
      <c r="EB194" s="698"/>
      <c r="EC194" s="698"/>
      <c r="ED194" s="698"/>
      <c r="EE194" s="698"/>
      <c r="EF194" s="698"/>
      <c r="EG194" s="698"/>
      <c r="EH194" s="576" t="s">
        <v>977</v>
      </c>
      <c r="EI194" s="716">
        <f>VLOOKUP(I194,CotizacionTDB,4,FALSE())</f>
        <v>414.02</v>
      </c>
      <c r="EJ194" s="716">
        <f>VLOOKUP(I194,CotizacionTDB,5,FALSE())</f>
        <v>351.92</v>
      </c>
      <c r="EK194" s="699"/>
    </row>
    <row r="195" ht="12.0" customHeight="1">
      <c r="A195" s="700" t="s">
        <v>3026</v>
      </c>
      <c r="B195" s="701">
        <v>2.0</v>
      </c>
      <c r="C195" s="562" t="s">
        <v>3027</v>
      </c>
      <c r="D195" s="571" t="s">
        <v>231</v>
      </c>
      <c r="E195" s="571" t="s">
        <v>3270</v>
      </c>
      <c r="F195" s="562" t="s">
        <v>1763</v>
      </c>
      <c r="G195" s="569" t="s">
        <v>2709</v>
      </c>
      <c r="H195" s="569" t="s">
        <v>3361</v>
      </c>
      <c r="I195" s="717" t="s">
        <v>2352</v>
      </c>
      <c r="J195" s="704" t="s">
        <v>983</v>
      </c>
      <c r="K195" s="562" t="s">
        <v>25</v>
      </c>
      <c r="L195" s="562">
        <v>2024.0</v>
      </c>
      <c r="M195" s="562">
        <v>2024.0</v>
      </c>
      <c r="N195" s="562">
        <v>2024.0</v>
      </c>
      <c r="O195" s="562"/>
      <c r="P195" s="562"/>
      <c r="Q195" s="562"/>
      <c r="R195" s="562"/>
      <c r="S195" s="562"/>
      <c r="T195" s="562"/>
      <c r="U195" s="562"/>
      <c r="V195" s="562"/>
      <c r="W195" s="562">
        <v>4.0</v>
      </c>
      <c r="X195" s="562">
        <v>4.0</v>
      </c>
      <c r="Y195" s="562">
        <v>4.0</v>
      </c>
      <c r="Z195" s="562"/>
      <c r="AA195" s="562"/>
      <c r="AB195" s="562"/>
      <c r="AC195" s="562"/>
      <c r="AD195" s="562"/>
      <c r="AE195" s="562"/>
      <c r="AF195" s="562"/>
      <c r="AG195" s="562"/>
      <c r="AH195" s="562"/>
      <c r="AI195" s="562"/>
      <c r="AJ195" s="562"/>
      <c r="AK195" s="562"/>
      <c r="AL195" s="562"/>
      <c r="AM195" s="562"/>
      <c r="AN195" s="562"/>
      <c r="AO195" s="562"/>
      <c r="AP195" s="562"/>
      <c r="AQ195" s="562"/>
      <c r="AR195" s="562">
        <v>-2024.0</v>
      </c>
      <c r="AS195" s="562">
        <v>-2024.0</v>
      </c>
      <c r="AT195" s="562">
        <v>-2024.0</v>
      </c>
      <c r="AU195" s="562">
        <v>0.0</v>
      </c>
      <c r="AV195" s="562">
        <v>0.0</v>
      </c>
      <c r="AW195" s="562">
        <v>0.0</v>
      </c>
      <c r="AX195" s="562">
        <v>0.0</v>
      </c>
      <c r="AY195" s="562">
        <v>0.0</v>
      </c>
      <c r="AZ195" s="562">
        <v>0.0</v>
      </c>
      <c r="BA195" s="562">
        <v>0.0</v>
      </c>
      <c r="BB195" s="562"/>
      <c r="BC195" s="718"/>
      <c r="BD195" s="718"/>
      <c r="BE195" s="718"/>
      <c r="BF195" s="562"/>
      <c r="BG195" s="562"/>
      <c r="BH195" s="562"/>
      <c r="BI195" s="562"/>
      <c r="BJ195" s="562"/>
      <c r="BK195" s="562"/>
      <c r="BL195" s="681"/>
      <c r="BM195" s="665">
        <f t="shared" si="1"/>
        <v>0</v>
      </c>
      <c r="BN195" s="667">
        <v>4.0</v>
      </c>
      <c r="BO195" s="667">
        <v>2.0</v>
      </c>
      <c r="BP195" s="667">
        <v>2.0</v>
      </c>
      <c r="BQ195" s="683"/>
      <c r="BR195" s="683"/>
      <c r="BS195" s="683"/>
      <c r="BT195" s="683"/>
      <c r="BU195" s="683"/>
      <c r="BV195" s="683"/>
      <c r="BW195" s="686"/>
      <c r="BX195" s="665">
        <f t="shared" si="2"/>
        <v>8</v>
      </c>
      <c r="BY195" s="682">
        <v>0.0</v>
      </c>
      <c r="BZ195" s="683">
        <v>0.0</v>
      </c>
      <c r="CA195" s="683">
        <v>0.0</v>
      </c>
      <c r="CB195" s="683">
        <v>0.0</v>
      </c>
      <c r="CC195" s="683">
        <v>0.0</v>
      </c>
      <c r="CD195" s="683">
        <v>0.0</v>
      </c>
      <c r="CE195" s="683">
        <v>0.0</v>
      </c>
      <c r="CF195" s="683">
        <v>0.0</v>
      </c>
      <c r="CG195" s="683">
        <v>0.0</v>
      </c>
      <c r="CH195" s="686">
        <v>0.0</v>
      </c>
      <c r="CI195" s="665">
        <f t="shared" si="3"/>
        <v>0</v>
      </c>
      <c r="CJ195" s="682">
        <f t="shared" si="4"/>
        <v>8</v>
      </c>
      <c r="CK195" s="706">
        <v>205.2</v>
      </c>
      <c r="CL195" s="683">
        <f t="shared" si="566"/>
        <v>1428.192</v>
      </c>
      <c r="CM195" s="683">
        <f t="shared" ref="CM195:CV195" si="603">BC195*$CL195</f>
        <v>0</v>
      </c>
      <c r="CN195" s="683">
        <f t="shared" si="603"/>
        <v>0</v>
      </c>
      <c r="CO195" s="683">
        <f t="shared" si="603"/>
        <v>0</v>
      </c>
      <c r="CP195" s="683">
        <f t="shared" si="603"/>
        <v>0</v>
      </c>
      <c r="CQ195" s="683">
        <f t="shared" si="603"/>
        <v>0</v>
      </c>
      <c r="CR195" s="683">
        <f t="shared" si="603"/>
        <v>0</v>
      </c>
      <c r="CS195" s="683">
        <f t="shared" si="603"/>
        <v>0</v>
      </c>
      <c r="CT195" s="683">
        <f t="shared" si="603"/>
        <v>0</v>
      </c>
      <c r="CU195" s="683">
        <f t="shared" si="603"/>
        <v>0</v>
      </c>
      <c r="CV195" s="683">
        <f t="shared" si="603"/>
        <v>0</v>
      </c>
      <c r="CW195" s="683">
        <f t="shared" si="21"/>
        <v>0</v>
      </c>
      <c r="CX195" s="683">
        <f t="shared" ref="CX195:DG195" si="604">BN195*$CL195</f>
        <v>5712.768</v>
      </c>
      <c r="CY195" s="683">
        <f t="shared" si="604"/>
        <v>2856.384</v>
      </c>
      <c r="CZ195" s="683">
        <f t="shared" si="604"/>
        <v>2856.384</v>
      </c>
      <c r="DA195" s="683">
        <f t="shared" si="604"/>
        <v>0</v>
      </c>
      <c r="DB195" s="683">
        <f t="shared" si="604"/>
        <v>0</v>
      </c>
      <c r="DC195" s="683">
        <f t="shared" si="604"/>
        <v>0</v>
      </c>
      <c r="DD195" s="683">
        <f t="shared" si="604"/>
        <v>0</v>
      </c>
      <c r="DE195" s="683">
        <f t="shared" si="604"/>
        <v>0</v>
      </c>
      <c r="DF195" s="683">
        <f t="shared" si="604"/>
        <v>0</v>
      </c>
      <c r="DG195" s="683">
        <f t="shared" si="604"/>
        <v>0</v>
      </c>
      <c r="DH195" s="683">
        <f t="shared" si="23"/>
        <v>11425.536</v>
      </c>
      <c r="DI195" s="683">
        <f t="shared" ref="DI195:DR195" si="605">BY195*$CL195</f>
        <v>0</v>
      </c>
      <c r="DJ195" s="683">
        <f t="shared" si="605"/>
        <v>0</v>
      </c>
      <c r="DK195" s="683">
        <f t="shared" si="605"/>
        <v>0</v>
      </c>
      <c r="DL195" s="683">
        <f t="shared" si="605"/>
        <v>0</v>
      </c>
      <c r="DM195" s="683">
        <f t="shared" si="605"/>
        <v>0</v>
      </c>
      <c r="DN195" s="683">
        <f t="shared" si="605"/>
        <v>0</v>
      </c>
      <c r="DO195" s="683">
        <f t="shared" si="605"/>
        <v>0</v>
      </c>
      <c r="DP195" s="683">
        <f t="shared" si="605"/>
        <v>0</v>
      </c>
      <c r="DQ195" s="683">
        <f t="shared" si="605"/>
        <v>0</v>
      </c>
      <c r="DR195" s="683">
        <f t="shared" si="605"/>
        <v>0</v>
      </c>
      <c r="DS195" s="683">
        <f t="shared" si="25"/>
        <v>0</v>
      </c>
      <c r="DT195" s="683">
        <f t="shared" si="175"/>
        <v>11425.536</v>
      </c>
      <c r="DU195" s="504"/>
      <c r="DV195" s="486"/>
      <c r="DW195" s="688"/>
      <c r="DX195" s="688"/>
      <c r="DY195" s="688"/>
      <c r="DZ195" s="688"/>
      <c r="EA195" s="688"/>
      <c r="EB195" s="688"/>
      <c r="EC195" s="688"/>
      <c r="ED195" s="688"/>
      <c r="EE195" s="688"/>
      <c r="EF195" s="688"/>
      <c r="EG195" s="688"/>
      <c r="EH195" s="707" t="s">
        <v>3362</v>
      </c>
      <c r="EI195" s="708">
        <f>VLOOKUP(I195,CotizacionTDB,4,FALSE())</f>
        <v>205.2</v>
      </c>
      <c r="EJ195" s="708">
        <f>VLOOKUP(I195,CotizacionTDB,5,FALSE())</f>
        <v>174.42</v>
      </c>
      <c r="EK195" s="691"/>
    </row>
    <row r="196" ht="12.0" customHeight="1">
      <c r="A196" s="709" t="s">
        <v>3026</v>
      </c>
      <c r="B196" s="661">
        <v>2.0</v>
      </c>
      <c r="C196" s="567" t="s">
        <v>3027</v>
      </c>
      <c r="D196" s="568" t="s">
        <v>231</v>
      </c>
      <c r="E196" s="568" t="s">
        <v>3270</v>
      </c>
      <c r="F196" s="567" t="s">
        <v>1763</v>
      </c>
      <c r="G196" s="569" t="s">
        <v>2709</v>
      </c>
      <c r="H196" s="569" t="s">
        <v>3363</v>
      </c>
      <c r="I196" s="710" t="s">
        <v>2348</v>
      </c>
      <c r="J196" s="711" t="s">
        <v>997</v>
      </c>
      <c r="K196" s="567" t="s">
        <v>25</v>
      </c>
      <c r="L196" s="567">
        <v>2024.0</v>
      </c>
      <c r="M196" s="567">
        <v>2024.0</v>
      </c>
      <c r="N196" s="567">
        <v>2024.0</v>
      </c>
      <c r="O196" s="567"/>
      <c r="P196" s="567"/>
      <c r="Q196" s="567"/>
      <c r="R196" s="567"/>
      <c r="S196" s="567"/>
      <c r="T196" s="567"/>
      <c r="U196" s="567"/>
      <c r="V196" s="567"/>
      <c r="W196" s="567">
        <v>4.0</v>
      </c>
      <c r="X196" s="567">
        <v>4.0</v>
      </c>
      <c r="Y196" s="567">
        <v>4.0</v>
      </c>
      <c r="Z196" s="567"/>
      <c r="AA196" s="567"/>
      <c r="AB196" s="567"/>
      <c r="AC196" s="567"/>
      <c r="AD196" s="567"/>
      <c r="AE196" s="567"/>
      <c r="AF196" s="567"/>
      <c r="AG196" s="567"/>
      <c r="AH196" s="567"/>
      <c r="AI196" s="567"/>
      <c r="AJ196" s="567"/>
      <c r="AK196" s="567"/>
      <c r="AL196" s="567"/>
      <c r="AM196" s="567"/>
      <c r="AN196" s="567"/>
      <c r="AO196" s="567"/>
      <c r="AP196" s="567"/>
      <c r="AQ196" s="567"/>
      <c r="AR196" s="567">
        <v>-2024.0</v>
      </c>
      <c r="AS196" s="567">
        <v>-2024.0</v>
      </c>
      <c r="AT196" s="567">
        <v>-2024.0</v>
      </c>
      <c r="AU196" s="567">
        <v>0.0</v>
      </c>
      <c r="AV196" s="567">
        <v>0.0</v>
      </c>
      <c r="AW196" s="567">
        <v>0.0</v>
      </c>
      <c r="AX196" s="567">
        <v>0.0</v>
      </c>
      <c r="AY196" s="567">
        <v>0.0</v>
      </c>
      <c r="AZ196" s="567">
        <v>0.0</v>
      </c>
      <c r="BA196" s="567">
        <v>0.0</v>
      </c>
      <c r="BB196" s="567"/>
      <c r="BC196" s="718"/>
      <c r="BD196" s="718"/>
      <c r="BE196" s="718"/>
      <c r="BF196" s="567"/>
      <c r="BG196" s="567"/>
      <c r="BH196" s="567"/>
      <c r="BI196" s="567"/>
      <c r="BJ196" s="567"/>
      <c r="BK196" s="567"/>
      <c r="BL196" s="725"/>
      <c r="BM196" s="665">
        <f t="shared" si="1"/>
        <v>0</v>
      </c>
      <c r="BN196" s="666">
        <v>2.0</v>
      </c>
      <c r="BO196" s="667">
        <v>2.0</v>
      </c>
      <c r="BP196" s="667">
        <v>2.0</v>
      </c>
      <c r="BQ196" s="668"/>
      <c r="BR196" s="668"/>
      <c r="BS196" s="668"/>
      <c r="BT196" s="668"/>
      <c r="BU196" s="668"/>
      <c r="BV196" s="668"/>
      <c r="BW196" s="670"/>
      <c r="BX196" s="665">
        <f t="shared" si="2"/>
        <v>6</v>
      </c>
      <c r="BY196" s="671">
        <v>0.0</v>
      </c>
      <c r="BZ196" s="668">
        <v>0.0</v>
      </c>
      <c r="CA196" s="668">
        <v>0.0</v>
      </c>
      <c r="CB196" s="668">
        <v>0.0</v>
      </c>
      <c r="CC196" s="668">
        <v>0.0</v>
      </c>
      <c r="CD196" s="668">
        <v>0.0</v>
      </c>
      <c r="CE196" s="668">
        <v>0.0</v>
      </c>
      <c r="CF196" s="668">
        <v>0.0</v>
      </c>
      <c r="CG196" s="668">
        <v>0.0</v>
      </c>
      <c r="CH196" s="670">
        <v>0.0</v>
      </c>
      <c r="CI196" s="665">
        <f t="shared" si="3"/>
        <v>0</v>
      </c>
      <c r="CJ196" s="671">
        <f t="shared" si="4"/>
        <v>6</v>
      </c>
      <c r="CK196" s="715">
        <v>265.0</v>
      </c>
      <c r="CL196" s="668">
        <f t="shared" si="566"/>
        <v>1844.4</v>
      </c>
      <c r="CM196" s="668">
        <f t="shared" ref="CM196:CV196" si="606">BC196*$CL196</f>
        <v>0</v>
      </c>
      <c r="CN196" s="668">
        <f t="shared" si="606"/>
        <v>0</v>
      </c>
      <c r="CO196" s="668">
        <f t="shared" si="606"/>
        <v>0</v>
      </c>
      <c r="CP196" s="668">
        <f t="shared" si="606"/>
        <v>0</v>
      </c>
      <c r="CQ196" s="668">
        <f t="shared" si="606"/>
        <v>0</v>
      </c>
      <c r="CR196" s="668">
        <f t="shared" si="606"/>
        <v>0</v>
      </c>
      <c r="CS196" s="668">
        <f t="shared" si="606"/>
        <v>0</v>
      </c>
      <c r="CT196" s="668">
        <f t="shared" si="606"/>
        <v>0</v>
      </c>
      <c r="CU196" s="668">
        <f t="shared" si="606"/>
        <v>0</v>
      </c>
      <c r="CV196" s="668">
        <f t="shared" si="606"/>
        <v>0</v>
      </c>
      <c r="CW196" s="668">
        <f t="shared" si="21"/>
        <v>0</v>
      </c>
      <c r="CX196" s="668">
        <f t="shared" ref="CX196:DG196" si="607">BN196*$CL196</f>
        <v>3688.8</v>
      </c>
      <c r="CY196" s="668">
        <f t="shared" si="607"/>
        <v>3688.8</v>
      </c>
      <c r="CZ196" s="668">
        <f t="shared" si="607"/>
        <v>3688.8</v>
      </c>
      <c r="DA196" s="668">
        <f t="shared" si="607"/>
        <v>0</v>
      </c>
      <c r="DB196" s="668">
        <f t="shared" si="607"/>
        <v>0</v>
      </c>
      <c r="DC196" s="668">
        <f t="shared" si="607"/>
        <v>0</v>
      </c>
      <c r="DD196" s="668">
        <f t="shared" si="607"/>
        <v>0</v>
      </c>
      <c r="DE196" s="668">
        <f t="shared" si="607"/>
        <v>0</v>
      </c>
      <c r="DF196" s="668">
        <f t="shared" si="607"/>
        <v>0</v>
      </c>
      <c r="DG196" s="668">
        <f t="shared" si="607"/>
        <v>0</v>
      </c>
      <c r="DH196" s="668">
        <f t="shared" si="23"/>
        <v>11066.4</v>
      </c>
      <c r="DI196" s="668">
        <f t="shared" ref="DI196:DR196" si="608">BY196*$CL196</f>
        <v>0</v>
      </c>
      <c r="DJ196" s="668">
        <f t="shared" si="608"/>
        <v>0</v>
      </c>
      <c r="DK196" s="668">
        <f t="shared" si="608"/>
        <v>0</v>
      </c>
      <c r="DL196" s="668">
        <f t="shared" si="608"/>
        <v>0</v>
      </c>
      <c r="DM196" s="668">
        <f t="shared" si="608"/>
        <v>0</v>
      </c>
      <c r="DN196" s="668">
        <f t="shared" si="608"/>
        <v>0</v>
      </c>
      <c r="DO196" s="668">
        <f t="shared" si="608"/>
        <v>0</v>
      </c>
      <c r="DP196" s="668">
        <f t="shared" si="608"/>
        <v>0</v>
      </c>
      <c r="DQ196" s="668">
        <f t="shared" si="608"/>
        <v>0</v>
      </c>
      <c r="DR196" s="668">
        <f t="shared" si="608"/>
        <v>0</v>
      </c>
      <c r="DS196" s="668">
        <f t="shared" si="25"/>
        <v>0</v>
      </c>
      <c r="DT196" s="668">
        <f t="shared" si="175"/>
        <v>11066.4</v>
      </c>
      <c r="DU196" s="538"/>
      <c r="DV196" s="468"/>
      <c r="DW196" s="698"/>
      <c r="DX196" s="698"/>
      <c r="DY196" s="698"/>
      <c r="DZ196" s="698"/>
      <c r="EA196" s="698"/>
      <c r="EB196" s="698"/>
      <c r="EC196" s="698"/>
      <c r="ED196" s="698"/>
      <c r="EE196" s="698"/>
      <c r="EF196" s="698"/>
      <c r="EG196" s="698"/>
      <c r="EH196" s="576" t="s">
        <v>2349</v>
      </c>
      <c r="EI196" s="716">
        <f>VLOOKUP(I196,CotizacionTDB,4,FALSE())</f>
        <v>265</v>
      </c>
      <c r="EJ196" s="716">
        <f>VLOOKUP(I196,CotizacionTDB,5,FALSE())</f>
        <v>225.25</v>
      </c>
      <c r="EK196" s="699"/>
    </row>
    <row r="197" ht="12.0" customHeight="1">
      <c r="A197" s="700" t="s">
        <v>3026</v>
      </c>
      <c r="B197" s="701">
        <v>2.0</v>
      </c>
      <c r="C197" s="562" t="s">
        <v>3027</v>
      </c>
      <c r="D197" s="571" t="s">
        <v>231</v>
      </c>
      <c r="E197" s="571" t="s">
        <v>3270</v>
      </c>
      <c r="F197" s="562" t="s">
        <v>1763</v>
      </c>
      <c r="G197" s="569" t="s">
        <v>2709</v>
      </c>
      <c r="H197" s="569" t="s">
        <v>3364</v>
      </c>
      <c r="I197" s="717" t="s">
        <v>2381</v>
      </c>
      <c r="J197" s="704" t="s">
        <v>1000</v>
      </c>
      <c r="K197" s="562" t="s">
        <v>25</v>
      </c>
      <c r="L197" s="562">
        <v>2024.0</v>
      </c>
      <c r="M197" s="562">
        <v>2024.0</v>
      </c>
      <c r="N197" s="562">
        <v>2024.0</v>
      </c>
      <c r="O197" s="562">
        <v>2024.0</v>
      </c>
      <c r="P197" s="562">
        <v>2024.0</v>
      </c>
      <c r="Q197" s="562">
        <v>2024.0</v>
      </c>
      <c r="R197" s="562"/>
      <c r="S197" s="562"/>
      <c r="T197" s="562"/>
      <c r="U197" s="562"/>
      <c r="V197" s="562"/>
      <c r="W197" s="562">
        <v>5.0</v>
      </c>
      <c r="X197" s="562">
        <v>5.0</v>
      </c>
      <c r="Y197" s="562">
        <v>5.0</v>
      </c>
      <c r="Z197" s="562">
        <v>5.0</v>
      </c>
      <c r="AA197" s="562">
        <v>5.0</v>
      </c>
      <c r="AB197" s="562">
        <v>5.0</v>
      </c>
      <c r="AC197" s="562"/>
      <c r="AD197" s="562"/>
      <c r="AE197" s="562"/>
      <c r="AF197" s="562"/>
      <c r="AG197" s="562"/>
      <c r="AH197" s="562"/>
      <c r="AI197" s="562"/>
      <c r="AJ197" s="562"/>
      <c r="AK197" s="562"/>
      <c r="AL197" s="562"/>
      <c r="AM197" s="562"/>
      <c r="AN197" s="562"/>
      <c r="AO197" s="562"/>
      <c r="AP197" s="562"/>
      <c r="AQ197" s="562"/>
      <c r="AR197" s="562">
        <v>-2024.0</v>
      </c>
      <c r="AS197" s="562">
        <v>-2024.0</v>
      </c>
      <c r="AT197" s="562">
        <v>-2024.0</v>
      </c>
      <c r="AU197" s="562">
        <v>-2024.0</v>
      </c>
      <c r="AV197" s="562">
        <v>-2024.0</v>
      </c>
      <c r="AW197" s="562">
        <v>-2024.0</v>
      </c>
      <c r="AX197" s="562">
        <v>0.0</v>
      </c>
      <c r="AY197" s="562">
        <v>0.0</v>
      </c>
      <c r="AZ197" s="562">
        <v>0.0</v>
      </c>
      <c r="BA197" s="562">
        <v>0.0</v>
      </c>
      <c r="BB197" s="562"/>
      <c r="BC197" s="718"/>
      <c r="BD197" s="718"/>
      <c r="BE197" s="718"/>
      <c r="BF197" s="718"/>
      <c r="BG197" s="718"/>
      <c r="BH197" s="718"/>
      <c r="BI197" s="562"/>
      <c r="BJ197" s="562"/>
      <c r="BK197" s="562"/>
      <c r="BL197" s="681"/>
      <c r="BM197" s="665">
        <f t="shared" si="1"/>
        <v>0</v>
      </c>
      <c r="BN197" s="667">
        <v>2.0</v>
      </c>
      <c r="BO197" s="667">
        <v>2.0</v>
      </c>
      <c r="BP197" s="667">
        <v>2.0</v>
      </c>
      <c r="BQ197" s="667">
        <v>4.0</v>
      </c>
      <c r="BR197" s="667">
        <v>5.0</v>
      </c>
      <c r="BS197" s="667">
        <v>6.0</v>
      </c>
      <c r="BT197" s="683"/>
      <c r="BU197" s="683"/>
      <c r="BV197" s="683"/>
      <c r="BW197" s="686"/>
      <c r="BX197" s="665">
        <f t="shared" si="2"/>
        <v>21</v>
      </c>
      <c r="BY197" s="682">
        <v>0.0</v>
      </c>
      <c r="BZ197" s="683">
        <v>0.0</v>
      </c>
      <c r="CA197" s="683">
        <v>0.0</v>
      </c>
      <c r="CB197" s="683">
        <v>0.0</v>
      </c>
      <c r="CC197" s="683">
        <v>0.0</v>
      </c>
      <c r="CD197" s="683">
        <v>0.0</v>
      </c>
      <c r="CE197" s="683">
        <v>0.0</v>
      </c>
      <c r="CF197" s="683">
        <v>0.0</v>
      </c>
      <c r="CG197" s="683">
        <v>0.0</v>
      </c>
      <c r="CH197" s="686">
        <v>0.0</v>
      </c>
      <c r="CI197" s="665">
        <f t="shared" si="3"/>
        <v>0</v>
      </c>
      <c r="CJ197" s="682">
        <f t="shared" si="4"/>
        <v>21</v>
      </c>
      <c r="CK197" s="706">
        <v>74.03</v>
      </c>
      <c r="CL197" s="683">
        <f t="shared" si="566"/>
        <v>515.2488</v>
      </c>
      <c r="CM197" s="683">
        <f t="shared" ref="CM197:CV197" si="609">BC197*$CL197</f>
        <v>0</v>
      </c>
      <c r="CN197" s="683">
        <f t="shared" si="609"/>
        <v>0</v>
      </c>
      <c r="CO197" s="683">
        <f t="shared" si="609"/>
        <v>0</v>
      </c>
      <c r="CP197" s="683">
        <f t="shared" si="609"/>
        <v>0</v>
      </c>
      <c r="CQ197" s="683">
        <f t="shared" si="609"/>
        <v>0</v>
      </c>
      <c r="CR197" s="683">
        <f t="shared" si="609"/>
        <v>0</v>
      </c>
      <c r="CS197" s="683">
        <f t="shared" si="609"/>
        <v>0</v>
      </c>
      <c r="CT197" s="683">
        <f t="shared" si="609"/>
        <v>0</v>
      </c>
      <c r="CU197" s="683">
        <f t="shared" si="609"/>
        <v>0</v>
      </c>
      <c r="CV197" s="683">
        <f t="shared" si="609"/>
        <v>0</v>
      </c>
      <c r="CW197" s="683">
        <f t="shared" si="21"/>
        <v>0</v>
      </c>
      <c r="CX197" s="683">
        <f t="shared" ref="CX197:DG197" si="610">BN197*$CL197</f>
        <v>1030.4976</v>
      </c>
      <c r="CY197" s="683">
        <f t="shared" si="610"/>
        <v>1030.4976</v>
      </c>
      <c r="CZ197" s="683">
        <f t="shared" si="610"/>
        <v>1030.4976</v>
      </c>
      <c r="DA197" s="683">
        <f t="shared" si="610"/>
        <v>2060.9952</v>
      </c>
      <c r="DB197" s="683">
        <f t="shared" si="610"/>
        <v>2576.244</v>
      </c>
      <c r="DC197" s="683">
        <f t="shared" si="610"/>
        <v>3091.4928</v>
      </c>
      <c r="DD197" s="683">
        <f t="shared" si="610"/>
        <v>0</v>
      </c>
      <c r="DE197" s="683">
        <f t="shared" si="610"/>
        <v>0</v>
      </c>
      <c r="DF197" s="683">
        <f t="shared" si="610"/>
        <v>0</v>
      </c>
      <c r="DG197" s="683">
        <f t="shared" si="610"/>
        <v>0</v>
      </c>
      <c r="DH197" s="683">
        <f t="shared" si="23"/>
        <v>10820.2248</v>
      </c>
      <c r="DI197" s="683">
        <f t="shared" ref="DI197:DR197" si="611">BY197*$CL197</f>
        <v>0</v>
      </c>
      <c r="DJ197" s="683">
        <f t="shared" si="611"/>
        <v>0</v>
      </c>
      <c r="DK197" s="683">
        <f t="shared" si="611"/>
        <v>0</v>
      </c>
      <c r="DL197" s="683">
        <f t="shared" si="611"/>
        <v>0</v>
      </c>
      <c r="DM197" s="683">
        <f t="shared" si="611"/>
        <v>0</v>
      </c>
      <c r="DN197" s="683">
        <f t="shared" si="611"/>
        <v>0</v>
      </c>
      <c r="DO197" s="683">
        <f t="shared" si="611"/>
        <v>0</v>
      </c>
      <c r="DP197" s="683">
        <f t="shared" si="611"/>
        <v>0</v>
      </c>
      <c r="DQ197" s="683">
        <f t="shared" si="611"/>
        <v>0</v>
      </c>
      <c r="DR197" s="683">
        <f t="shared" si="611"/>
        <v>0</v>
      </c>
      <c r="DS197" s="683">
        <f t="shared" si="25"/>
        <v>0</v>
      </c>
      <c r="DT197" s="683">
        <f t="shared" si="175"/>
        <v>10820.2248</v>
      </c>
      <c r="DU197" s="504"/>
      <c r="DV197" s="486"/>
      <c r="DW197" s="688"/>
      <c r="DX197" s="688"/>
      <c r="DY197" s="688"/>
      <c r="DZ197" s="688"/>
      <c r="EA197" s="688"/>
      <c r="EB197" s="688"/>
      <c r="EC197" s="688"/>
      <c r="ED197" s="688"/>
      <c r="EE197" s="688"/>
      <c r="EF197" s="688"/>
      <c r="EG197" s="688"/>
      <c r="EH197" s="707" t="s">
        <v>3365</v>
      </c>
      <c r="EI197" s="708">
        <f>VLOOKUP(I197,CotizacionTDB,4,FALSE())</f>
        <v>74.03</v>
      </c>
      <c r="EJ197" s="708">
        <f>VLOOKUP(I197,CotizacionTDB,5,FALSE())</f>
        <v>62.93</v>
      </c>
      <c r="EK197" s="691"/>
    </row>
    <row r="198" ht="12.0" customHeight="1">
      <c r="A198" s="709" t="s">
        <v>3026</v>
      </c>
      <c r="B198" s="661">
        <v>2.0</v>
      </c>
      <c r="C198" s="567" t="s">
        <v>3027</v>
      </c>
      <c r="D198" s="568" t="s">
        <v>231</v>
      </c>
      <c r="E198" s="568" t="s">
        <v>3270</v>
      </c>
      <c r="F198" s="567" t="s">
        <v>1763</v>
      </c>
      <c r="G198" s="569" t="s">
        <v>2709</v>
      </c>
      <c r="H198" s="569" t="s">
        <v>3366</v>
      </c>
      <c r="I198" s="721" t="s">
        <v>2188</v>
      </c>
      <c r="J198" s="711" t="s">
        <v>1019</v>
      </c>
      <c r="K198" s="567" t="s">
        <v>25</v>
      </c>
      <c r="L198" s="567">
        <v>2024.0</v>
      </c>
      <c r="M198" s="567">
        <v>2024.0</v>
      </c>
      <c r="N198" s="567">
        <v>2024.0</v>
      </c>
      <c r="O198" s="567"/>
      <c r="P198" s="567"/>
      <c r="Q198" s="567"/>
      <c r="R198" s="567"/>
      <c r="S198" s="567"/>
      <c r="T198" s="567"/>
      <c r="U198" s="567"/>
      <c r="V198" s="567"/>
      <c r="W198" s="567">
        <v>4.0</v>
      </c>
      <c r="X198" s="567">
        <v>4.0</v>
      </c>
      <c r="Y198" s="567">
        <v>4.0</v>
      </c>
      <c r="Z198" s="567"/>
      <c r="AA198" s="567"/>
      <c r="AB198" s="567"/>
      <c r="AC198" s="567"/>
      <c r="AD198" s="567"/>
      <c r="AE198" s="567"/>
      <c r="AF198" s="567"/>
      <c r="AG198" s="567"/>
      <c r="AH198" s="567"/>
      <c r="AI198" s="567"/>
      <c r="AJ198" s="567"/>
      <c r="AK198" s="567"/>
      <c r="AL198" s="567"/>
      <c r="AM198" s="567"/>
      <c r="AN198" s="567"/>
      <c r="AO198" s="567"/>
      <c r="AP198" s="567"/>
      <c r="AQ198" s="567"/>
      <c r="AR198" s="567">
        <v>-2024.0</v>
      </c>
      <c r="AS198" s="567">
        <v>-2024.0</v>
      </c>
      <c r="AT198" s="567">
        <v>-2024.0</v>
      </c>
      <c r="AU198" s="567">
        <v>0.0</v>
      </c>
      <c r="AV198" s="567">
        <v>0.0</v>
      </c>
      <c r="AW198" s="567">
        <v>0.0</v>
      </c>
      <c r="AX198" s="567">
        <v>0.0</v>
      </c>
      <c r="AY198" s="567">
        <v>0.0</v>
      </c>
      <c r="AZ198" s="567">
        <v>0.0</v>
      </c>
      <c r="BA198" s="567">
        <v>0.0</v>
      </c>
      <c r="BB198" s="567"/>
      <c r="BC198" s="718"/>
      <c r="BD198" s="718"/>
      <c r="BE198" s="718"/>
      <c r="BF198" s="567"/>
      <c r="BG198" s="567"/>
      <c r="BH198" s="567"/>
      <c r="BI198" s="567"/>
      <c r="BJ198" s="567"/>
      <c r="BK198" s="567"/>
      <c r="BL198" s="725"/>
      <c r="BM198" s="665">
        <f t="shared" si="1"/>
        <v>0</v>
      </c>
      <c r="BN198" s="666">
        <v>2.0</v>
      </c>
      <c r="BO198" s="667">
        <v>1.0</v>
      </c>
      <c r="BP198" s="667">
        <v>2.0</v>
      </c>
      <c r="BQ198" s="668"/>
      <c r="BR198" s="668"/>
      <c r="BS198" s="668"/>
      <c r="BT198" s="668"/>
      <c r="BU198" s="668"/>
      <c r="BV198" s="668"/>
      <c r="BW198" s="670"/>
      <c r="BX198" s="665">
        <f t="shared" si="2"/>
        <v>5</v>
      </c>
      <c r="BY198" s="671">
        <v>0.0</v>
      </c>
      <c r="BZ198" s="668">
        <v>0.0</v>
      </c>
      <c r="CA198" s="668">
        <v>0.0</v>
      </c>
      <c r="CB198" s="668">
        <v>0.0</v>
      </c>
      <c r="CC198" s="668">
        <v>0.0</v>
      </c>
      <c r="CD198" s="668">
        <v>0.0</v>
      </c>
      <c r="CE198" s="668">
        <v>0.0</v>
      </c>
      <c r="CF198" s="668">
        <v>0.0</v>
      </c>
      <c r="CG198" s="668">
        <v>0.0</v>
      </c>
      <c r="CH198" s="670">
        <v>0.0</v>
      </c>
      <c r="CI198" s="665">
        <f t="shared" si="3"/>
        <v>0</v>
      </c>
      <c r="CJ198" s="671">
        <f t="shared" si="4"/>
        <v>5</v>
      </c>
      <c r="CK198" s="715">
        <v>293.73</v>
      </c>
      <c r="CL198" s="668">
        <f t="shared" si="566"/>
        <v>2044.3608</v>
      </c>
      <c r="CM198" s="668">
        <f t="shared" ref="CM198:CV198" si="612">BC198*$CL198</f>
        <v>0</v>
      </c>
      <c r="CN198" s="668">
        <f t="shared" si="612"/>
        <v>0</v>
      </c>
      <c r="CO198" s="668">
        <f t="shared" si="612"/>
        <v>0</v>
      </c>
      <c r="CP198" s="668">
        <f t="shared" si="612"/>
        <v>0</v>
      </c>
      <c r="CQ198" s="668">
        <f t="shared" si="612"/>
        <v>0</v>
      </c>
      <c r="CR198" s="668">
        <f t="shared" si="612"/>
        <v>0</v>
      </c>
      <c r="CS198" s="668">
        <f t="shared" si="612"/>
        <v>0</v>
      </c>
      <c r="CT198" s="668">
        <f t="shared" si="612"/>
        <v>0</v>
      </c>
      <c r="CU198" s="668">
        <f t="shared" si="612"/>
        <v>0</v>
      </c>
      <c r="CV198" s="668">
        <f t="shared" si="612"/>
        <v>0</v>
      </c>
      <c r="CW198" s="668">
        <f t="shared" si="21"/>
        <v>0</v>
      </c>
      <c r="CX198" s="668">
        <f t="shared" ref="CX198:DG198" si="613">BN198*$CL198</f>
        <v>4088.7216</v>
      </c>
      <c r="CY198" s="668">
        <f t="shared" si="613"/>
        <v>2044.3608</v>
      </c>
      <c r="CZ198" s="668">
        <f t="shared" si="613"/>
        <v>4088.7216</v>
      </c>
      <c r="DA198" s="668">
        <f t="shared" si="613"/>
        <v>0</v>
      </c>
      <c r="DB198" s="668">
        <f t="shared" si="613"/>
        <v>0</v>
      </c>
      <c r="DC198" s="668">
        <f t="shared" si="613"/>
        <v>0</v>
      </c>
      <c r="DD198" s="668">
        <f t="shared" si="613"/>
        <v>0</v>
      </c>
      <c r="DE198" s="668">
        <f t="shared" si="613"/>
        <v>0</v>
      </c>
      <c r="DF198" s="668">
        <f t="shared" si="613"/>
        <v>0</v>
      </c>
      <c r="DG198" s="668">
        <f t="shared" si="613"/>
        <v>0</v>
      </c>
      <c r="DH198" s="668">
        <f t="shared" si="23"/>
        <v>10221.804</v>
      </c>
      <c r="DI198" s="668">
        <f t="shared" ref="DI198:DR198" si="614">BY198*$CL198</f>
        <v>0</v>
      </c>
      <c r="DJ198" s="668">
        <f t="shared" si="614"/>
        <v>0</v>
      </c>
      <c r="DK198" s="668">
        <f t="shared" si="614"/>
        <v>0</v>
      </c>
      <c r="DL198" s="668">
        <f t="shared" si="614"/>
        <v>0</v>
      </c>
      <c r="DM198" s="668">
        <f t="shared" si="614"/>
        <v>0</v>
      </c>
      <c r="DN198" s="668">
        <f t="shared" si="614"/>
        <v>0</v>
      </c>
      <c r="DO198" s="668">
        <f t="shared" si="614"/>
        <v>0</v>
      </c>
      <c r="DP198" s="668">
        <f t="shared" si="614"/>
        <v>0</v>
      </c>
      <c r="DQ198" s="668">
        <f t="shared" si="614"/>
        <v>0</v>
      </c>
      <c r="DR198" s="668">
        <f t="shared" si="614"/>
        <v>0</v>
      </c>
      <c r="DS198" s="668">
        <f t="shared" si="25"/>
        <v>0</v>
      </c>
      <c r="DT198" s="668">
        <f t="shared" si="175"/>
        <v>10221.804</v>
      </c>
      <c r="DU198" s="538"/>
      <c r="DV198" s="468"/>
      <c r="DW198" s="698"/>
      <c r="DX198" s="698"/>
      <c r="DY198" s="698"/>
      <c r="DZ198" s="698"/>
      <c r="EA198" s="698"/>
      <c r="EB198" s="698"/>
      <c r="EC198" s="698"/>
      <c r="ED198" s="698"/>
      <c r="EE198" s="698"/>
      <c r="EF198" s="698"/>
      <c r="EG198" s="698"/>
      <c r="EH198" s="576" t="s">
        <v>3367</v>
      </c>
      <c r="EI198" s="716">
        <f>VLOOKUP(I198,CotizacionTDB,4,FALSE())</f>
        <v>293.73</v>
      </c>
      <c r="EJ198" s="716">
        <f>VLOOKUP(I198,CotizacionTDB,5,FALSE())</f>
        <v>249.67</v>
      </c>
      <c r="EK198" s="699"/>
    </row>
    <row r="199" ht="12.0" customHeight="1">
      <c r="A199" s="700" t="s">
        <v>3026</v>
      </c>
      <c r="B199" s="701">
        <v>2.0</v>
      </c>
      <c r="C199" s="562" t="s">
        <v>3027</v>
      </c>
      <c r="D199" s="571" t="s">
        <v>231</v>
      </c>
      <c r="E199" s="571" t="s">
        <v>3270</v>
      </c>
      <c r="F199" s="562" t="s">
        <v>1763</v>
      </c>
      <c r="G199" s="569" t="s">
        <v>2709</v>
      </c>
      <c r="H199" s="737"/>
      <c r="I199" s="703" t="s">
        <v>2450</v>
      </c>
      <c r="J199" s="704" t="s">
        <v>1092</v>
      </c>
      <c r="K199" s="562" t="s">
        <v>25</v>
      </c>
      <c r="L199" s="562">
        <v>2024.0</v>
      </c>
      <c r="M199" s="562">
        <v>2024.0</v>
      </c>
      <c r="N199" s="562">
        <v>2024.0</v>
      </c>
      <c r="O199" s="562"/>
      <c r="P199" s="562"/>
      <c r="Q199" s="562"/>
      <c r="R199" s="562"/>
      <c r="S199" s="562"/>
      <c r="T199" s="562"/>
      <c r="U199" s="562"/>
      <c r="V199" s="562"/>
      <c r="W199" s="562">
        <v>4.0</v>
      </c>
      <c r="X199" s="562">
        <v>4.0</v>
      </c>
      <c r="Y199" s="562">
        <v>4.0</v>
      </c>
      <c r="Z199" s="562"/>
      <c r="AA199" s="562"/>
      <c r="AB199" s="562"/>
      <c r="AC199" s="562"/>
      <c r="AD199" s="562"/>
      <c r="AE199" s="562"/>
      <c r="AF199" s="562"/>
      <c r="AG199" s="562"/>
      <c r="AH199" s="562"/>
      <c r="AI199" s="562"/>
      <c r="AJ199" s="562"/>
      <c r="AK199" s="562"/>
      <c r="AL199" s="562"/>
      <c r="AM199" s="562"/>
      <c r="AN199" s="562"/>
      <c r="AO199" s="562"/>
      <c r="AP199" s="562"/>
      <c r="AQ199" s="562"/>
      <c r="AR199" s="562">
        <v>-2024.0</v>
      </c>
      <c r="AS199" s="562">
        <v>-2024.0</v>
      </c>
      <c r="AT199" s="562">
        <v>-2024.0</v>
      </c>
      <c r="AU199" s="562">
        <v>0.0</v>
      </c>
      <c r="AV199" s="562">
        <v>0.0</v>
      </c>
      <c r="AW199" s="562">
        <v>0.0</v>
      </c>
      <c r="AX199" s="562">
        <v>0.0</v>
      </c>
      <c r="AY199" s="562">
        <v>0.0</v>
      </c>
      <c r="AZ199" s="562">
        <v>0.0</v>
      </c>
      <c r="BA199" s="562">
        <v>0.0</v>
      </c>
      <c r="BB199" s="562"/>
      <c r="BC199" s="718"/>
      <c r="BD199" s="718"/>
      <c r="BE199" s="718"/>
      <c r="BF199" s="562"/>
      <c r="BG199" s="562"/>
      <c r="BH199" s="562"/>
      <c r="BI199" s="562"/>
      <c r="BJ199" s="562"/>
      <c r="BK199" s="562"/>
      <c r="BL199" s="681"/>
      <c r="BM199" s="665">
        <f t="shared" si="1"/>
        <v>0</v>
      </c>
      <c r="BN199" s="666">
        <v>2.0</v>
      </c>
      <c r="BO199" s="667">
        <v>2.0</v>
      </c>
      <c r="BP199" s="667">
        <v>2.0</v>
      </c>
      <c r="BQ199" s="683"/>
      <c r="BR199" s="683"/>
      <c r="BS199" s="683"/>
      <c r="BT199" s="683"/>
      <c r="BU199" s="683"/>
      <c r="BV199" s="683"/>
      <c r="BW199" s="686"/>
      <c r="BX199" s="665">
        <f t="shared" si="2"/>
        <v>6</v>
      </c>
      <c r="BY199" s="682">
        <v>0.0</v>
      </c>
      <c r="BZ199" s="683">
        <v>0.0</v>
      </c>
      <c r="CA199" s="683">
        <v>0.0</v>
      </c>
      <c r="CB199" s="683">
        <v>0.0</v>
      </c>
      <c r="CC199" s="683">
        <v>0.0</v>
      </c>
      <c r="CD199" s="683">
        <v>0.0</v>
      </c>
      <c r="CE199" s="683">
        <v>0.0</v>
      </c>
      <c r="CF199" s="683">
        <v>0.0</v>
      </c>
      <c r="CG199" s="683">
        <v>0.0</v>
      </c>
      <c r="CH199" s="686">
        <v>0.0</v>
      </c>
      <c r="CI199" s="665">
        <f t="shared" si="3"/>
        <v>0</v>
      </c>
      <c r="CJ199" s="682">
        <f t="shared" si="4"/>
        <v>6</v>
      </c>
      <c r="CK199" s="706">
        <v>179.13</v>
      </c>
      <c r="CL199" s="683">
        <f t="shared" si="566"/>
        <v>1246.7448</v>
      </c>
      <c r="CM199" s="683">
        <f t="shared" ref="CM199:CV199" si="615">BC199*$CL199</f>
        <v>0</v>
      </c>
      <c r="CN199" s="683">
        <f t="shared" si="615"/>
        <v>0</v>
      </c>
      <c r="CO199" s="683">
        <f t="shared" si="615"/>
        <v>0</v>
      </c>
      <c r="CP199" s="683">
        <f t="shared" si="615"/>
        <v>0</v>
      </c>
      <c r="CQ199" s="683">
        <f t="shared" si="615"/>
        <v>0</v>
      </c>
      <c r="CR199" s="683">
        <f t="shared" si="615"/>
        <v>0</v>
      </c>
      <c r="CS199" s="683">
        <f t="shared" si="615"/>
        <v>0</v>
      </c>
      <c r="CT199" s="683">
        <f t="shared" si="615"/>
        <v>0</v>
      </c>
      <c r="CU199" s="683">
        <f t="shared" si="615"/>
        <v>0</v>
      </c>
      <c r="CV199" s="683">
        <f t="shared" si="615"/>
        <v>0</v>
      </c>
      <c r="CW199" s="683">
        <f t="shared" si="21"/>
        <v>0</v>
      </c>
      <c r="CX199" s="683">
        <f t="shared" ref="CX199:DG199" si="616">BN199*$CL199</f>
        <v>2493.4896</v>
      </c>
      <c r="CY199" s="683">
        <f t="shared" si="616"/>
        <v>2493.4896</v>
      </c>
      <c r="CZ199" s="683">
        <f t="shared" si="616"/>
        <v>2493.4896</v>
      </c>
      <c r="DA199" s="683">
        <f t="shared" si="616"/>
        <v>0</v>
      </c>
      <c r="DB199" s="683">
        <f t="shared" si="616"/>
        <v>0</v>
      </c>
      <c r="DC199" s="683">
        <f t="shared" si="616"/>
        <v>0</v>
      </c>
      <c r="DD199" s="683">
        <f t="shared" si="616"/>
        <v>0</v>
      </c>
      <c r="DE199" s="683">
        <f t="shared" si="616"/>
        <v>0</v>
      </c>
      <c r="DF199" s="683">
        <f t="shared" si="616"/>
        <v>0</v>
      </c>
      <c r="DG199" s="683">
        <f t="shared" si="616"/>
        <v>0</v>
      </c>
      <c r="DH199" s="683">
        <f t="shared" si="23"/>
        <v>7480.4688</v>
      </c>
      <c r="DI199" s="683">
        <f t="shared" ref="DI199:DR199" si="617">BY199*$CL199</f>
        <v>0</v>
      </c>
      <c r="DJ199" s="683">
        <f t="shared" si="617"/>
        <v>0</v>
      </c>
      <c r="DK199" s="683">
        <f t="shared" si="617"/>
        <v>0</v>
      </c>
      <c r="DL199" s="683">
        <f t="shared" si="617"/>
        <v>0</v>
      </c>
      <c r="DM199" s="683">
        <f t="shared" si="617"/>
        <v>0</v>
      </c>
      <c r="DN199" s="683">
        <f t="shared" si="617"/>
        <v>0</v>
      </c>
      <c r="DO199" s="683">
        <f t="shared" si="617"/>
        <v>0</v>
      </c>
      <c r="DP199" s="683">
        <f t="shared" si="617"/>
        <v>0</v>
      </c>
      <c r="DQ199" s="683">
        <f t="shared" si="617"/>
        <v>0</v>
      </c>
      <c r="DR199" s="683">
        <f t="shared" si="617"/>
        <v>0</v>
      </c>
      <c r="DS199" s="683">
        <f t="shared" si="25"/>
        <v>0</v>
      </c>
      <c r="DT199" s="683">
        <f t="shared" si="175"/>
        <v>7480.4688</v>
      </c>
      <c r="DU199" s="504"/>
      <c r="DV199" s="486"/>
      <c r="DW199" s="688"/>
      <c r="DX199" s="688"/>
      <c r="DY199" s="688"/>
      <c r="DZ199" s="688"/>
      <c r="EA199" s="688"/>
      <c r="EB199" s="688"/>
      <c r="EC199" s="688"/>
      <c r="ED199" s="688"/>
      <c r="EE199" s="688"/>
      <c r="EF199" s="688"/>
      <c r="EG199" s="688"/>
      <c r="EH199" s="707" t="s">
        <v>1092</v>
      </c>
      <c r="EI199" s="708">
        <f>VLOOKUP(I199,CotizacionTDB,4,FALSE())</f>
        <v>179.13</v>
      </c>
      <c r="EJ199" s="708">
        <f>VLOOKUP(I199,CotizacionTDB,5,FALSE())</f>
        <v>152.26</v>
      </c>
      <c r="EK199" s="691"/>
    </row>
    <row r="200" ht="12.0" customHeight="1">
      <c r="A200" s="709" t="s">
        <v>3026</v>
      </c>
      <c r="B200" s="661">
        <v>2.0</v>
      </c>
      <c r="C200" s="567" t="s">
        <v>3027</v>
      </c>
      <c r="D200" s="568" t="s">
        <v>231</v>
      </c>
      <c r="E200" s="568" t="s">
        <v>3270</v>
      </c>
      <c r="F200" s="567" t="s">
        <v>1763</v>
      </c>
      <c r="G200" s="569" t="s">
        <v>2709</v>
      </c>
      <c r="H200" s="569" t="s">
        <v>3368</v>
      </c>
      <c r="I200" s="710" t="s">
        <v>2350</v>
      </c>
      <c r="J200" s="711" t="s">
        <v>1101</v>
      </c>
      <c r="K200" s="567" t="s">
        <v>25</v>
      </c>
      <c r="L200" s="567">
        <v>2024.0</v>
      </c>
      <c r="M200" s="567">
        <v>2024.0</v>
      </c>
      <c r="N200" s="883">
        <v>2024.0</v>
      </c>
      <c r="O200" s="567"/>
      <c r="P200" s="567"/>
      <c r="Q200" s="567"/>
      <c r="R200" s="567"/>
      <c r="S200" s="567"/>
      <c r="T200" s="567"/>
      <c r="U200" s="567"/>
      <c r="V200" s="567"/>
      <c r="W200" s="567">
        <v>3.0</v>
      </c>
      <c r="X200" s="567">
        <v>3.0</v>
      </c>
      <c r="Y200" s="567">
        <v>3.0</v>
      </c>
      <c r="Z200" s="567"/>
      <c r="AA200" s="567"/>
      <c r="AB200" s="567"/>
      <c r="AC200" s="567"/>
      <c r="AD200" s="567"/>
      <c r="AE200" s="567"/>
      <c r="AF200" s="567"/>
      <c r="AG200" s="567"/>
      <c r="AH200" s="567"/>
      <c r="AI200" s="567"/>
      <c r="AJ200" s="567"/>
      <c r="AK200" s="567"/>
      <c r="AL200" s="567"/>
      <c r="AM200" s="567"/>
      <c r="AN200" s="567"/>
      <c r="AO200" s="567"/>
      <c r="AP200" s="567"/>
      <c r="AQ200" s="567"/>
      <c r="AR200" s="567">
        <v>-2024.0</v>
      </c>
      <c r="AS200" s="567">
        <v>-2024.0</v>
      </c>
      <c r="AT200" s="567">
        <v>-2024.0</v>
      </c>
      <c r="AU200" s="567">
        <v>0.0</v>
      </c>
      <c r="AV200" s="567">
        <v>0.0</v>
      </c>
      <c r="AW200" s="567">
        <v>0.0</v>
      </c>
      <c r="AX200" s="567">
        <v>0.0</v>
      </c>
      <c r="AY200" s="567">
        <v>0.0</v>
      </c>
      <c r="AZ200" s="567">
        <v>0.0</v>
      </c>
      <c r="BA200" s="567">
        <v>0.0</v>
      </c>
      <c r="BB200" s="567"/>
      <c r="BC200" s="718"/>
      <c r="BD200" s="718"/>
      <c r="BE200" s="718"/>
      <c r="BF200" s="567"/>
      <c r="BG200" s="567"/>
      <c r="BH200" s="567"/>
      <c r="BI200" s="567"/>
      <c r="BJ200" s="567"/>
      <c r="BK200" s="567"/>
      <c r="BL200" s="725"/>
      <c r="BM200" s="665">
        <f t="shared" si="1"/>
        <v>0</v>
      </c>
      <c r="BN200" s="666">
        <v>2.0</v>
      </c>
      <c r="BO200" s="667">
        <v>2.0</v>
      </c>
      <c r="BP200" s="667">
        <v>2.0</v>
      </c>
      <c r="BQ200" s="668"/>
      <c r="BR200" s="668"/>
      <c r="BS200" s="668"/>
      <c r="BT200" s="668"/>
      <c r="BU200" s="668"/>
      <c r="BV200" s="668"/>
      <c r="BW200" s="670"/>
      <c r="BX200" s="665">
        <f t="shared" si="2"/>
        <v>6</v>
      </c>
      <c r="BY200" s="671">
        <v>0.0</v>
      </c>
      <c r="BZ200" s="668">
        <v>0.0</v>
      </c>
      <c r="CA200" s="668">
        <v>0.0</v>
      </c>
      <c r="CB200" s="668">
        <v>0.0</v>
      </c>
      <c r="CC200" s="668">
        <v>0.0</v>
      </c>
      <c r="CD200" s="668">
        <v>0.0</v>
      </c>
      <c r="CE200" s="668">
        <v>0.0</v>
      </c>
      <c r="CF200" s="668">
        <v>0.0</v>
      </c>
      <c r="CG200" s="668">
        <v>0.0</v>
      </c>
      <c r="CH200" s="670">
        <v>0.0</v>
      </c>
      <c r="CI200" s="665">
        <f t="shared" si="3"/>
        <v>0</v>
      </c>
      <c r="CJ200" s="671">
        <f t="shared" si="4"/>
        <v>6</v>
      </c>
      <c r="CK200" s="715">
        <v>174.17</v>
      </c>
      <c r="CL200" s="668">
        <f t="shared" si="566"/>
        <v>1212.2232</v>
      </c>
      <c r="CM200" s="668">
        <f t="shared" ref="CM200:CV200" si="618">BC200*$CL200</f>
        <v>0</v>
      </c>
      <c r="CN200" s="668">
        <f t="shared" si="618"/>
        <v>0</v>
      </c>
      <c r="CO200" s="668">
        <f t="shared" si="618"/>
        <v>0</v>
      </c>
      <c r="CP200" s="668">
        <f t="shared" si="618"/>
        <v>0</v>
      </c>
      <c r="CQ200" s="668">
        <f t="shared" si="618"/>
        <v>0</v>
      </c>
      <c r="CR200" s="668">
        <f t="shared" si="618"/>
        <v>0</v>
      </c>
      <c r="CS200" s="668">
        <f t="shared" si="618"/>
        <v>0</v>
      </c>
      <c r="CT200" s="668">
        <f t="shared" si="618"/>
        <v>0</v>
      </c>
      <c r="CU200" s="668">
        <f t="shared" si="618"/>
        <v>0</v>
      </c>
      <c r="CV200" s="668">
        <f t="shared" si="618"/>
        <v>0</v>
      </c>
      <c r="CW200" s="668">
        <f t="shared" si="21"/>
        <v>0</v>
      </c>
      <c r="CX200" s="668">
        <f t="shared" ref="CX200:DG200" si="619">BN200*$CL200</f>
        <v>2424.4464</v>
      </c>
      <c r="CY200" s="668">
        <f t="shared" si="619"/>
        <v>2424.4464</v>
      </c>
      <c r="CZ200" s="668">
        <f t="shared" si="619"/>
        <v>2424.4464</v>
      </c>
      <c r="DA200" s="668">
        <f t="shared" si="619"/>
        <v>0</v>
      </c>
      <c r="DB200" s="668">
        <f t="shared" si="619"/>
        <v>0</v>
      </c>
      <c r="DC200" s="668">
        <f t="shared" si="619"/>
        <v>0</v>
      </c>
      <c r="DD200" s="668">
        <f t="shared" si="619"/>
        <v>0</v>
      </c>
      <c r="DE200" s="668">
        <f t="shared" si="619"/>
        <v>0</v>
      </c>
      <c r="DF200" s="668">
        <f t="shared" si="619"/>
        <v>0</v>
      </c>
      <c r="DG200" s="668">
        <f t="shared" si="619"/>
        <v>0</v>
      </c>
      <c r="DH200" s="668">
        <f t="shared" si="23"/>
        <v>7273.3392</v>
      </c>
      <c r="DI200" s="668">
        <f t="shared" ref="DI200:DR200" si="620">BY200*$CL200</f>
        <v>0</v>
      </c>
      <c r="DJ200" s="668">
        <f t="shared" si="620"/>
        <v>0</v>
      </c>
      <c r="DK200" s="668">
        <f t="shared" si="620"/>
        <v>0</v>
      </c>
      <c r="DL200" s="668">
        <f t="shared" si="620"/>
        <v>0</v>
      </c>
      <c r="DM200" s="668">
        <f t="shared" si="620"/>
        <v>0</v>
      </c>
      <c r="DN200" s="668">
        <f t="shared" si="620"/>
        <v>0</v>
      </c>
      <c r="DO200" s="668">
        <f t="shared" si="620"/>
        <v>0</v>
      </c>
      <c r="DP200" s="668">
        <f t="shared" si="620"/>
        <v>0</v>
      </c>
      <c r="DQ200" s="668">
        <f t="shared" si="620"/>
        <v>0</v>
      </c>
      <c r="DR200" s="668">
        <f t="shared" si="620"/>
        <v>0</v>
      </c>
      <c r="DS200" s="668">
        <f t="shared" si="25"/>
        <v>0</v>
      </c>
      <c r="DT200" s="668">
        <f t="shared" si="175"/>
        <v>7273.3392</v>
      </c>
      <c r="DU200" s="538"/>
      <c r="DV200" s="468"/>
      <c r="DW200" s="698"/>
      <c r="DX200" s="698"/>
      <c r="DY200" s="698"/>
      <c r="DZ200" s="698"/>
      <c r="EA200" s="698"/>
      <c r="EB200" s="698"/>
      <c r="EC200" s="698"/>
      <c r="ED200" s="698"/>
      <c r="EE200" s="698"/>
      <c r="EF200" s="698"/>
      <c r="EG200" s="698"/>
      <c r="EH200" s="576" t="s">
        <v>1101</v>
      </c>
      <c r="EI200" s="716">
        <f>VLOOKUP(I200,CotizacionTDB,4,FALSE())</f>
        <v>174.17</v>
      </c>
      <c r="EJ200" s="716">
        <f>VLOOKUP(I200,CotizacionTDB,5,FALSE())</f>
        <v>148.04</v>
      </c>
      <c r="EK200" s="699"/>
    </row>
    <row r="201" ht="12.0" customHeight="1">
      <c r="A201" s="700" t="s">
        <v>3026</v>
      </c>
      <c r="B201" s="701">
        <v>2.0</v>
      </c>
      <c r="C201" s="562" t="s">
        <v>3027</v>
      </c>
      <c r="D201" s="571" t="s">
        <v>231</v>
      </c>
      <c r="E201" s="571" t="s">
        <v>3270</v>
      </c>
      <c r="F201" s="562" t="s">
        <v>1763</v>
      </c>
      <c r="G201" s="569" t="s">
        <v>2709</v>
      </c>
      <c r="H201" s="569" t="s">
        <v>3369</v>
      </c>
      <c r="I201" s="703" t="s">
        <v>2142</v>
      </c>
      <c r="J201" s="704" t="s">
        <v>1112</v>
      </c>
      <c r="K201" s="562" t="s">
        <v>25</v>
      </c>
      <c r="L201" s="562"/>
      <c r="M201" s="562"/>
      <c r="N201" s="562"/>
      <c r="O201" s="562"/>
      <c r="P201" s="562"/>
      <c r="Q201" s="808">
        <v>2024.0</v>
      </c>
      <c r="R201" s="562"/>
      <c r="S201" s="562"/>
      <c r="T201" s="562"/>
      <c r="U201" s="562"/>
      <c r="V201" s="562"/>
      <c r="W201" s="562"/>
      <c r="X201" s="562"/>
      <c r="Y201" s="562"/>
      <c r="Z201" s="562"/>
      <c r="AA201" s="808">
        <v>3.0</v>
      </c>
      <c r="AB201" s="562"/>
      <c r="AC201" s="562"/>
      <c r="AD201" s="562"/>
      <c r="AE201" s="562"/>
      <c r="AF201" s="867"/>
      <c r="AG201" s="562"/>
      <c r="AH201" s="562"/>
      <c r="AI201" s="562"/>
      <c r="AJ201" s="562"/>
      <c r="AK201" s="562"/>
      <c r="AL201" s="562"/>
      <c r="AM201" s="562"/>
      <c r="AN201" s="562"/>
      <c r="AO201" s="562"/>
      <c r="AP201" s="562"/>
      <c r="AQ201" s="562"/>
      <c r="AR201" s="562">
        <v>0.0</v>
      </c>
      <c r="AS201" s="562">
        <v>0.0</v>
      </c>
      <c r="AT201" s="562">
        <v>0.0</v>
      </c>
      <c r="AU201" s="562">
        <v>0.0</v>
      </c>
      <c r="AV201" s="562">
        <v>0.0</v>
      </c>
      <c r="AW201" s="562">
        <v>-2024.0</v>
      </c>
      <c r="AX201" s="562">
        <v>0.0</v>
      </c>
      <c r="AY201" s="562">
        <v>0.0</v>
      </c>
      <c r="AZ201" s="562">
        <v>0.0</v>
      </c>
      <c r="BA201" s="562">
        <v>0.0</v>
      </c>
      <c r="BB201" s="562"/>
      <c r="BC201" s="562"/>
      <c r="BD201" s="562"/>
      <c r="BE201" s="562"/>
      <c r="BF201" s="680"/>
      <c r="BG201" s="680"/>
      <c r="BH201" s="746"/>
      <c r="BI201" s="562"/>
      <c r="BJ201" s="562"/>
      <c r="BK201" s="562"/>
      <c r="BL201" s="681"/>
      <c r="BM201" s="665">
        <f t="shared" si="1"/>
        <v>0</v>
      </c>
      <c r="BN201" s="849">
        <v>4.0</v>
      </c>
      <c r="BO201" s="683"/>
      <c r="BP201" s="683"/>
      <c r="BQ201" s="684">
        <v>2.0</v>
      </c>
      <c r="BR201" s="684">
        <v>2.0</v>
      </c>
      <c r="BS201" s="669">
        <v>4.0</v>
      </c>
      <c r="BT201" s="683"/>
      <c r="BU201" s="683"/>
      <c r="BV201" s="683"/>
      <c r="BW201" s="686"/>
      <c r="BX201" s="665">
        <f t="shared" si="2"/>
        <v>12</v>
      </c>
      <c r="BY201" s="682">
        <v>0.0</v>
      </c>
      <c r="BZ201" s="683">
        <v>0.0</v>
      </c>
      <c r="CA201" s="683">
        <v>0.0</v>
      </c>
      <c r="CB201" s="683">
        <v>0.0</v>
      </c>
      <c r="CC201" s="683">
        <v>0.0</v>
      </c>
      <c r="CD201" s="683">
        <v>0.0</v>
      </c>
      <c r="CE201" s="683">
        <v>0.0</v>
      </c>
      <c r="CF201" s="683">
        <v>0.0</v>
      </c>
      <c r="CG201" s="683">
        <v>0.0</v>
      </c>
      <c r="CH201" s="686">
        <v>0.0</v>
      </c>
      <c r="CI201" s="665">
        <f t="shared" si="3"/>
        <v>0</v>
      </c>
      <c r="CJ201" s="682">
        <f t="shared" si="4"/>
        <v>12</v>
      </c>
      <c r="CK201" s="706">
        <v>125.6</v>
      </c>
      <c r="CL201" s="683">
        <f t="shared" si="566"/>
        <v>874.176</v>
      </c>
      <c r="CM201" s="683">
        <f t="shared" ref="CM201:CV201" si="621">BC201*$CL201</f>
        <v>0</v>
      </c>
      <c r="CN201" s="683">
        <f t="shared" si="621"/>
        <v>0</v>
      </c>
      <c r="CO201" s="683">
        <f t="shared" si="621"/>
        <v>0</v>
      </c>
      <c r="CP201" s="683">
        <f t="shared" si="621"/>
        <v>0</v>
      </c>
      <c r="CQ201" s="683">
        <f t="shared" si="621"/>
        <v>0</v>
      </c>
      <c r="CR201" s="683">
        <f t="shared" si="621"/>
        <v>0</v>
      </c>
      <c r="CS201" s="683">
        <f t="shared" si="621"/>
        <v>0</v>
      </c>
      <c r="CT201" s="683">
        <f t="shared" si="621"/>
        <v>0</v>
      </c>
      <c r="CU201" s="683">
        <f t="shared" si="621"/>
        <v>0</v>
      </c>
      <c r="CV201" s="683">
        <f t="shared" si="621"/>
        <v>0</v>
      </c>
      <c r="CW201" s="683">
        <f t="shared" si="21"/>
        <v>0</v>
      </c>
      <c r="CX201" s="683">
        <f t="shared" ref="CX201:DG201" si="622">BN201*$CL201</f>
        <v>3496.704</v>
      </c>
      <c r="CY201" s="683">
        <f t="shared" si="622"/>
        <v>0</v>
      </c>
      <c r="CZ201" s="683">
        <f t="shared" si="622"/>
        <v>0</v>
      </c>
      <c r="DA201" s="683">
        <f t="shared" si="622"/>
        <v>1748.352</v>
      </c>
      <c r="DB201" s="683">
        <f t="shared" si="622"/>
        <v>1748.352</v>
      </c>
      <c r="DC201" s="683">
        <f t="shared" si="622"/>
        <v>3496.704</v>
      </c>
      <c r="DD201" s="683">
        <f t="shared" si="622"/>
        <v>0</v>
      </c>
      <c r="DE201" s="683">
        <f t="shared" si="622"/>
        <v>0</v>
      </c>
      <c r="DF201" s="683">
        <f t="shared" si="622"/>
        <v>0</v>
      </c>
      <c r="DG201" s="683">
        <f t="shared" si="622"/>
        <v>0</v>
      </c>
      <c r="DH201" s="683">
        <f t="shared" si="23"/>
        <v>10490.112</v>
      </c>
      <c r="DI201" s="683">
        <f t="shared" ref="DI201:DR201" si="623">BY201*$CL201</f>
        <v>0</v>
      </c>
      <c r="DJ201" s="683">
        <f t="shared" si="623"/>
        <v>0</v>
      </c>
      <c r="DK201" s="683">
        <f t="shared" si="623"/>
        <v>0</v>
      </c>
      <c r="DL201" s="683">
        <f t="shared" si="623"/>
        <v>0</v>
      </c>
      <c r="DM201" s="683">
        <f t="shared" si="623"/>
        <v>0</v>
      </c>
      <c r="DN201" s="683">
        <f t="shared" si="623"/>
        <v>0</v>
      </c>
      <c r="DO201" s="683">
        <f t="shared" si="623"/>
        <v>0</v>
      </c>
      <c r="DP201" s="683">
        <f t="shared" si="623"/>
        <v>0</v>
      </c>
      <c r="DQ201" s="683">
        <f t="shared" si="623"/>
        <v>0</v>
      </c>
      <c r="DR201" s="683">
        <f t="shared" si="623"/>
        <v>0</v>
      </c>
      <c r="DS201" s="683">
        <f t="shared" si="25"/>
        <v>0</v>
      </c>
      <c r="DT201" s="683">
        <f t="shared" si="175"/>
        <v>10490.112</v>
      </c>
      <c r="DU201" s="504"/>
      <c r="DV201" s="486"/>
      <c r="DW201" s="688"/>
      <c r="DX201" s="688"/>
      <c r="DY201" s="688"/>
      <c r="DZ201" s="688"/>
      <c r="EA201" s="688"/>
      <c r="EB201" s="688"/>
      <c r="EC201" s="688"/>
      <c r="ED201" s="688"/>
      <c r="EE201" s="688"/>
      <c r="EF201" s="688"/>
      <c r="EG201" s="688"/>
      <c r="EH201" s="707" t="s">
        <v>3370</v>
      </c>
      <c r="EI201" s="708">
        <f>VLOOKUP(I201,CotizacionTDB,4,FALSE())</f>
        <v>125.6</v>
      </c>
      <c r="EJ201" s="708">
        <f>VLOOKUP(I201,CotizacionTDB,5,FALSE())</f>
        <v>106.76</v>
      </c>
      <c r="EK201" s="691"/>
    </row>
    <row r="202" ht="12.0" customHeight="1">
      <c r="A202" s="709" t="s">
        <v>3026</v>
      </c>
      <c r="B202" s="661">
        <v>2.0</v>
      </c>
      <c r="C202" s="567" t="s">
        <v>3027</v>
      </c>
      <c r="D202" s="568" t="s">
        <v>231</v>
      </c>
      <c r="E202" s="568" t="s">
        <v>3270</v>
      </c>
      <c r="F202" s="567" t="s">
        <v>1763</v>
      </c>
      <c r="G202" s="569" t="s">
        <v>2709</v>
      </c>
      <c r="H202" s="658"/>
      <c r="I202" s="710" t="s">
        <v>1981</v>
      </c>
      <c r="J202" s="880" t="s">
        <v>1120</v>
      </c>
      <c r="K202" s="567" t="s">
        <v>25</v>
      </c>
      <c r="L202" s="567"/>
      <c r="M202" s="567"/>
      <c r="N202" s="567">
        <v>2024.0</v>
      </c>
      <c r="O202" s="567">
        <v>2024.0</v>
      </c>
      <c r="P202" s="567"/>
      <c r="Q202" s="567"/>
      <c r="R202" s="567"/>
      <c r="S202" s="567"/>
      <c r="T202" s="567"/>
      <c r="U202" s="567"/>
      <c r="V202" s="567"/>
      <c r="W202" s="567"/>
      <c r="X202" s="567"/>
      <c r="Y202" s="567">
        <v>5.0</v>
      </c>
      <c r="Z202" s="567">
        <v>5.0</v>
      </c>
      <c r="AA202" s="567"/>
      <c r="AB202" s="567"/>
      <c r="AC202" s="567"/>
      <c r="AD202" s="567"/>
      <c r="AE202" s="567"/>
      <c r="AF202" s="567"/>
      <c r="AG202" s="567"/>
      <c r="AH202" s="567"/>
      <c r="AI202" s="567"/>
      <c r="AJ202" s="567"/>
      <c r="AK202" s="567"/>
      <c r="AL202" s="567"/>
      <c r="AM202" s="567"/>
      <c r="AN202" s="567"/>
      <c r="AO202" s="567"/>
      <c r="AP202" s="567"/>
      <c r="AQ202" s="567"/>
      <c r="AR202" s="567">
        <v>0.0</v>
      </c>
      <c r="AS202" s="567">
        <v>0.0</v>
      </c>
      <c r="AT202" s="567">
        <v>-2024.0</v>
      </c>
      <c r="AU202" s="567">
        <v>-2024.0</v>
      </c>
      <c r="AV202" s="567">
        <v>0.0</v>
      </c>
      <c r="AW202" s="567">
        <v>0.0</v>
      </c>
      <c r="AX202" s="567">
        <v>0.0</v>
      </c>
      <c r="AY202" s="567">
        <v>0.0</v>
      </c>
      <c r="AZ202" s="567">
        <v>0.0</v>
      </c>
      <c r="BA202" s="567">
        <v>0.0</v>
      </c>
      <c r="BB202" s="567"/>
      <c r="BC202" s="567"/>
      <c r="BD202" s="567"/>
      <c r="BE202" s="567">
        <v>1.0</v>
      </c>
      <c r="BF202" s="567">
        <v>1.0</v>
      </c>
      <c r="BG202" s="567"/>
      <c r="BH202" s="567"/>
      <c r="BI202" s="567"/>
      <c r="BJ202" s="567"/>
      <c r="BK202" s="567"/>
      <c r="BL202" s="725"/>
      <c r="BM202" s="665">
        <f t="shared" si="1"/>
        <v>2</v>
      </c>
      <c r="BN202" s="668"/>
      <c r="BO202" s="668"/>
      <c r="BP202" s="674"/>
      <c r="BQ202" s="668"/>
      <c r="BR202" s="668"/>
      <c r="BS202" s="668"/>
      <c r="BT202" s="668"/>
      <c r="BU202" s="668"/>
      <c r="BV202" s="668"/>
      <c r="BW202" s="670"/>
      <c r="BX202" s="665">
        <f t="shared" si="2"/>
        <v>0</v>
      </c>
      <c r="BY202" s="671">
        <v>0.0</v>
      </c>
      <c r="BZ202" s="668">
        <v>0.0</v>
      </c>
      <c r="CA202" s="674">
        <v>1.0</v>
      </c>
      <c r="CB202" s="668">
        <v>0.0</v>
      </c>
      <c r="CC202" s="668">
        <v>0.0</v>
      </c>
      <c r="CD202" s="668">
        <v>0.0</v>
      </c>
      <c r="CE202" s="668">
        <v>0.0</v>
      </c>
      <c r="CF202" s="668">
        <v>0.0</v>
      </c>
      <c r="CG202" s="668">
        <v>0.0</v>
      </c>
      <c r="CH202" s="670">
        <v>0.0</v>
      </c>
      <c r="CI202" s="665">
        <f t="shared" si="3"/>
        <v>1</v>
      </c>
      <c r="CJ202" s="671">
        <f t="shared" si="4"/>
        <v>3</v>
      </c>
      <c r="CK202" s="715">
        <v>488.32</v>
      </c>
      <c r="CL202" s="668">
        <f t="shared" si="566"/>
        <v>3398.7072</v>
      </c>
      <c r="CM202" s="668">
        <f t="shared" ref="CM202:CV202" si="624">BC202*$CL202</f>
        <v>0</v>
      </c>
      <c r="CN202" s="668">
        <f t="shared" si="624"/>
        <v>0</v>
      </c>
      <c r="CO202" s="668">
        <f t="shared" si="624"/>
        <v>3398.7072</v>
      </c>
      <c r="CP202" s="668">
        <f t="shared" si="624"/>
        <v>3398.7072</v>
      </c>
      <c r="CQ202" s="668">
        <f t="shared" si="624"/>
        <v>0</v>
      </c>
      <c r="CR202" s="668">
        <f t="shared" si="624"/>
        <v>0</v>
      </c>
      <c r="CS202" s="668">
        <f t="shared" si="624"/>
        <v>0</v>
      </c>
      <c r="CT202" s="668">
        <f t="shared" si="624"/>
        <v>0</v>
      </c>
      <c r="CU202" s="668">
        <f t="shared" si="624"/>
        <v>0</v>
      </c>
      <c r="CV202" s="668">
        <f t="shared" si="624"/>
        <v>0</v>
      </c>
      <c r="CW202" s="668">
        <f t="shared" si="21"/>
        <v>6797.4144</v>
      </c>
      <c r="CX202" s="668">
        <f t="shared" ref="CX202:DG202" si="625">BN202*$CL202</f>
        <v>0</v>
      </c>
      <c r="CY202" s="668">
        <f t="shared" si="625"/>
        <v>0</v>
      </c>
      <c r="CZ202" s="668">
        <f t="shared" si="625"/>
        <v>0</v>
      </c>
      <c r="DA202" s="668">
        <f t="shared" si="625"/>
        <v>0</v>
      </c>
      <c r="DB202" s="668">
        <f t="shared" si="625"/>
        <v>0</v>
      </c>
      <c r="DC202" s="668">
        <f t="shared" si="625"/>
        <v>0</v>
      </c>
      <c r="DD202" s="668">
        <f t="shared" si="625"/>
        <v>0</v>
      </c>
      <c r="DE202" s="668">
        <f t="shared" si="625"/>
        <v>0</v>
      </c>
      <c r="DF202" s="668">
        <f t="shared" si="625"/>
        <v>0</v>
      </c>
      <c r="DG202" s="668">
        <f t="shared" si="625"/>
        <v>0</v>
      </c>
      <c r="DH202" s="668">
        <f t="shared" si="23"/>
        <v>0</v>
      </c>
      <c r="DI202" s="668">
        <f t="shared" ref="DI202:DR202" si="626">BY202*$CL202</f>
        <v>0</v>
      </c>
      <c r="DJ202" s="668">
        <f t="shared" si="626"/>
        <v>0</v>
      </c>
      <c r="DK202" s="668">
        <f t="shared" si="626"/>
        <v>3398.7072</v>
      </c>
      <c r="DL202" s="668">
        <f t="shared" si="626"/>
        <v>0</v>
      </c>
      <c r="DM202" s="668">
        <f t="shared" si="626"/>
        <v>0</v>
      </c>
      <c r="DN202" s="668">
        <f t="shared" si="626"/>
        <v>0</v>
      </c>
      <c r="DO202" s="668">
        <f t="shared" si="626"/>
        <v>0</v>
      </c>
      <c r="DP202" s="668">
        <f t="shared" si="626"/>
        <v>0</v>
      </c>
      <c r="DQ202" s="668">
        <f t="shared" si="626"/>
        <v>0</v>
      </c>
      <c r="DR202" s="668">
        <f t="shared" si="626"/>
        <v>0</v>
      </c>
      <c r="DS202" s="668">
        <f t="shared" si="25"/>
        <v>3398.7072</v>
      </c>
      <c r="DT202" s="668">
        <f t="shared" si="175"/>
        <v>10196.1216</v>
      </c>
      <c r="DU202" s="538"/>
      <c r="DV202" s="468"/>
      <c r="DW202" s="698"/>
      <c r="DX202" s="698"/>
      <c r="DY202" s="698"/>
      <c r="DZ202" s="698"/>
      <c r="EA202" s="698"/>
      <c r="EB202" s="698"/>
      <c r="EC202" s="698"/>
      <c r="ED202" s="698"/>
      <c r="EE202" s="698"/>
      <c r="EF202" s="698"/>
      <c r="EG202" s="698"/>
      <c r="EH202" s="576" t="s">
        <v>3371</v>
      </c>
      <c r="EI202" s="716">
        <f>VLOOKUP(I202,CotizacionTDB,4,FALSE())</f>
        <v>488.32</v>
      </c>
      <c r="EJ202" s="716">
        <f>VLOOKUP(I202,CotizacionTDB,5,FALSE())</f>
        <v>415.07</v>
      </c>
      <c r="EK202" s="699"/>
    </row>
    <row r="203" ht="12.0" customHeight="1">
      <c r="A203" s="700" t="s">
        <v>3026</v>
      </c>
      <c r="B203" s="701">
        <v>2.0</v>
      </c>
      <c r="C203" s="562" t="s">
        <v>3027</v>
      </c>
      <c r="D203" s="571" t="s">
        <v>231</v>
      </c>
      <c r="E203" s="571" t="s">
        <v>3270</v>
      </c>
      <c r="F203" s="562" t="s">
        <v>1763</v>
      </c>
      <c r="G203" s="569" t="s">
        <v>2709</v>
      </c>
      <c r="H203" s="737"/>
      <c r="I203" s="703" t="s">
        <v>2457</v>
      </c>
      <c r="J203" s="880" t="s">
        <v>1005</v>
      </c>
      <c r="K203" s="562" t="s">
        <v>25</v>
      </c>
      <c r="L203" s="562">
        <v>2024.0</v>
      </c>
      <c r="M203" s="562"/>
      <c r="N203" s="562"/>
      <c r="O203" s="562"/>
      <c r="P203" s="562">
        <v>2024.0</v>
      </c>
      <c r="Q203" s="562"/>
      <c r="R203" s="562"/>
      <c r="S203" s="562"/>
      <c r="T203" s="562"/>
      <c r="U203" s="562"/>
      <c r="V203" s="562"/>
      <c r="W203" s="562">
        <v>5.0</v>
      </c>
      <c r="X203" s="562"/>
      <c r="Y203" s="562"/>
      <c r="Z203" s="562"/>
      <c r="AA203" s="562">
        <v>7.0</v>
      </c>
      <c r="AB203" s="562"/>
      <c r="AC203" s="562"/>
      <c r="AD203" s="562"/>
      <c r="AE203" s="562"/>
      <c r="AF203" s="562"/>
      <c r="AG203" s="562"/>
      <c r="AH203" s="562"/>
      <c r="AI203" s="562"/>
      <c r="AJ203" s="562"/>
      <c r="AK203" s="562"/>
      <c r="AL203" s="562"/>
      <c r="AM203" s="562"/>
      <c r="AN203" s="562"/>
      <c r="AO203" s="562"/>
      <c r="AP203" s="562"/>
      <c r="AQ203" s="562"/>
      <c r="AR203" s="562">
        <v>-2024.0</v>
      </c>
      <c r="AS203" s="562">
        <v>0.0</v>
      </c>
      <c r="AT203" s="562">
        <v>0.0</v>
      </c>
      <c r="AU203" s="562">
        <v>0.0</v>
      </c>
      <c r="AV203" s="562">
        <v>-2024.0</v>
      </c>
      <c r="AW203" s="562">
        <v>0.0</v>
      </c>
      <c r="AX203" s="562">
        <v>0.0</v>
      </c>
      <c r="AY203" s="562">
        <v>0.0</v>
      </c>
      <c r="AZ203" s="562">
        <v>0.0</v>
      </c>
      <c r="BA203" s="562">
        <v>0.0</v>
      </c>
      <c r="BB203" s="562"/>
      <c r="BC203" s="562"/>
      <c r="BD203" s="562"/>
      <c r="BE203" s="562"/>
      <c r="BF203" s="562"/>
      <c r="BG203" s="562">
        <v>2.0</v>
      </c>
      <c r="BH203" s="562"/>
      <c r="BI203" s="562"/>
      <c r="BJ203" s="562"/>
      <c r="BK203" s="562"/>
      <c r="BL203" s="681"/>
      <c r="BM203" s="665">
        <f t="shared" si="1"/>
        <v>2</v>
      </c>
      <c r="BN203" s="682"/>
      <c r="BO203" s="683"/>
      <c r="BP203" s="683"/>
      <c r="BQ203" s="683"/>
      <c r="BR203" s="683"/>
      <c r="BS203" s="683"/>
      <c r="BT203" s="683"/>
      <c r="BU203" s="683"/>
      <c r="BV203" s="683"/>
      <c r="BW203" s="686"/>
      <c r="BX203" s="665">
        <f t="shared" si="2"/>
        <v>0</v>
      </c>
      <c r="BY203" s="682">
        <v>0.0</v>
      </c>
      <c r="BZ203" s="683">
        <v>0.0</v>
      </c>
      <c r="CA203" s="683">
        <v>0.0</v>
      </c>
      <c r="CB203" s="683">
        <v>0.0</v>
      </c>
      <c r="CC203" s="683">
        <v>0.0</v>
      </c>
      <c r="CD203" s="683">
        <v>0.0</v>
      </c>
      <c r="CE203" s="683">
        <v>0.0</v>
      </c>
      <c r="CF203" s="683">
        <v>0.0</v>
      </c>
      <c r="CG203" s="683">
        <v>0.0</v>
      </c>
      <c r="CH203" s="724">
        <v>1.0</v>
      </c>
      <c r="CI203" s="665">
        <f t="shared" si="3"/>
        <v>1</v>
      </c>
      <c r="CJ203" s="682">
        <f t="shared" si="4"/>
        <v>3</v>
      </c>
      <c r="CK203" s="706">
        <v>382.91</v>
      </c>
      <c r="CL203" s="683">
        <f t="shared" si="566"/>
        <v>2665.0536</v>
      </c>
      <c r="CM203" s="683">
        <f t="shared" ref="CM203:CV203" si="627">BC203*$CL203</f>
        <v>0</v>
      </c>
      <c r="CN203" s="683">
        <f t="shared" si="627"/>
        <v>0</v>
      </c>
      <c r="CO203" s="683">
        <f t="shared" si="627"/>
        <v>0</v>
      </c>
      <c r="CP203" s="683">
        <f t="shared" si="627"/>
        <v>0</v>
      </c>
      <c r="CQ203" s="683">
        <f t="shared" si="627"/>
        <v>5330.1072</v>
      </c>
      <c r="CR203" s="683">
        <f t="shared" si="627"/>
        <v>0</v>
      </c>
      <c r="CS203" s="683">
        <f t="shared" si="627"/>
        <v>0</v>
      </c>
      <c r="CT203" s="683">
        <f t="shared" si="627"/>
        <v>0</v>
      </c>
      <c r="CU203" s="683">
        <f t="shared" si="627"/>
        <v>0</v>
      </c>
      <c r="CV203" s="683">
        <f t="shared" si="627"/>
        <v>0</v>
      </c>
      <c r="CW203" s="683">
        <f t="shared" si="21"/>
        <v>5330.1072</v>
      </c>
      <c r="CX203" s="683">
        <f t="shared" ref="CX203:DG203" si="628">BN203*$CL203</f>
        <v>0</v>
      </c>
      <c r="CY203" s="683">
        <f t="shared" si="628"/>
        <v>0</v>
      </c>
      <c r="CZ203" s="683">
        <f t="shared" si="628"/>
        <v>0</v>
      </c>
      <c r="DA203" s="683">
        <f t="shared" si="628"/>
        <v>0</v>
      </c>
      <c r="DB203" s="683">
        <f t="shared" si="628"/>
        <v>0</v>
      </c>
      <c r="DC203" s="683">
        <f t="shared" si="628"/>
        <v>0</v>
      </c>
      <c r="DD203" s="683">
        <f t="shared" si="628"/>
        <v>0</v>
      </c>
      <c r="DE203" s="683">
        <f t="shared" si="628"/>
        <v>0</v>
      </c>
      <c r="DF203" s="683">
        <f t="shared" si="628"/>
        <v>0</v>
      </c>
      <c r="DG203" s="683">
        <f t="shared" si="628"/>
        <v>0</v>
      </c>
      <c r="DH203" s="683">
        <f t="shared" si="23"/>
        <v>0</v>
      </c>
      <c r="DI203" s="683">
        <f t="shared" ref="DI203:DR203" si="629">BY203*$CL203</f>
        <v>0</v>
      </c>
      <c r="DJ203" s="683">
        <f t="shared" si="629"/>
        <v>0</v>
      </c>
      <c r="DK203" s="683">
        <f t="shared" si="629"/>
        <v>0</v>
      </c>
      <c r="DL203" s="683">
        <f t="shared" si="629"/>
        <v>0</v>
      </c>
      <c r="DM203" s="683">
        <f t="shared" si="629"/>
        <v>0</v>
      </c>
      <c r="DN203" s="683">
        <f t="shared" si="629"/>
        <v>0</v>
      </c>
      <c r="DO203" s="683">
        <f t="shared" si="629"/>
        <v>0</v>
      </c>
      <c r="DP203" s="683">
        <f t="shared" si="629"/>
        <v>0</v>
      </c>
      <c r="DQ203" s="683">
        <f t="shared" si="629"/>
        <v>0</v>
      </c>
      <c r="DR203" s="683">
        <f t="shared" si="629"/>
        <v>2665.0536</v>
      </c>
      <c r="DS203" s="683">
        <f t="shared" si="25"/>
        <v>2665.0536</v>
      </c>
      <c r="DT203" s="683">
        <f t="shared" si="175"/>
        <v>7995.1608</v>
      </c>
      <c r="DU203" s="504"/>
      <c r="DV203" s="486"/>
      <c r="DW203" s="688"/>
      <c r="DX203" s="688"/>
      <c r="DY203" s="688"/>
      <c r="DZ203" s="688"/>
      <c r="EA203" s="688"/>
      <c r="EB203" s="688"/>
      <c r="EC203" s="688"/>
      <c r="ED203" s="688"/>
      <c r="EE203" s="688"/>
      <c r="EF203" s="688"/>
      <c r="EG203" s="688"/>
      <c r="EH203" s="707" t="s">
        <v>3372</v>
      </c>
      <c r="EI203" s="708">
        <f>VLOOKUP(I203,CotizacionTDB,4,FALSE())</f>
        <v>382.91</v>
      </c>
      <c r="EJ203" s="708">
        <f>VLOOKUP(I203,CotizacionTDB,5,FALSE())</f>
        <v>325.47</v>
      </c>
      <c r="EK203" s="691"/>
    </row>
    <row r="204" ht="12.0" customHeight="1">
      <c r="A204" s="709" t="s">
        <v>3026</v>
      </c>
      <c r="B204" s="661">
        <v>2.0</v>
      </c>
      <c r="C204" s="567" t="s">
        <v>3027</v>
      </c>
      <c r="D204" s="568" t="s">
        <v>231</v>
      </c>
      <c r="E204" s="568" t="s">
        <v>3270</v>
      </c>
      <c r="F204" s="567" t="s">
        <v>1763</v>
      </c>
      <c r="G204" s="569" t="s">
        <v>2709</v>
      </c>
      <c r="H204" s="569" t="s">
        <v>3373</v>
      </c>
      <c r="I204" s="710" t="s">
        <v>2050</v>
      </c>
      <c r="J204" s="711" t="s">
        <v>241</v>
      </c>
      <c r="K204" s="567" t="s">
        <v>25</v>
      </c>
      <c r="L204" s="567"/>
      <c r="M204" s="567"/>
      <c r="N204" s="567">
        <v>2024.0</v>
      </c>
      <c r="O204" s="567">
        <v>2024.0</v>
      </c>
      <c r="P204" s="567"/>
      <c r="Q204" s="567"/>
      <c r="R204" s="567"/>
      <c r="S204" s="567"/>
      <c r="T204" s="567"/>
      <c r="U204" s="567"/>
      <c r="V204" s="567"/>
      <c r="W204" s="567"/>
      <c r="X204" s="567"/>
      <c r="Y204" s="567">
        <v>5.0</v>
      </c>
      <c r="Z204" s="567">
        <v>5.0</v>
      </c>
      <c r="AA204" s="567"/>
      <c r="AB204" s="567"/>
      <c r="AC204" s="567"/>
      <c r="AD204" s="567"/>
      <c r="AE204" s="567"/>
      <c r="AF204" s="567"/>
      <c r="AG204" s="567"/>
      <c r="AH204" s="567"/>
      <c r="AI204" s="567"/>
      <c r="AJ204" s="567"/>
      <c r="AK204" s="567"/>
      <c r="AL204" s="567"/>
      <c r="AM204" s="567"/>
      <c r="AN204" s="567"/>
      <c r="AO204" s="567"/>
      <c r="AP204" s="567"/>
      <c r="AQ204" s="567"/>
      <c r="AR204" s="567">
        <v>0.0</v>
      </c>
      <c r="AS204" s="567">
        <v>0.0</v>
      </c>
      <c r="AT204" s="567">
        <v>-2024.0</v>
      </c>
      <c r="AU204" s="567">
        <v>-2024.0</v>
      </c>
      <c r="AV204" s="567">
        <v>0.0</v>
      </c>
      <c r="AW204" s="567">
        <v>0.0</v>
      </c>
      <c r="AX204" s="567">
        <v>0.0</v>
      </c>
      <c r="AY204" s="567">
        <v>0.0</v>
      </c>
      <c r="AZ204" s="567">
        <v>0.0</v>
      </c>
      <c r="BA204" s="567">
        <v>0.0</v>
      </c>
      <c r="BB204" s="567"/>
      <c r="BC204" s="567"/>
      <c r="BD204" s="567"/>
      <c r="BE204" s="661"/>
      <c r="BF204" s="718"/>
      <c r="BG204" s="567"/>
      <c r="BH204" s="567"/>
      <c r="BI204" s="567"/>
      <c r="BJ204" s="567"/>
      <c r="BK204" s="567"/>
      <c r="BL204" s="725"/>
      <c r="BM204" s="665">
        <f t="shared" si="1"/>
        <v>0</v>
      </c>
      <c r="BN204" s="668"/>
      <c r="BO204" s="668"/>
      <c r="BP204" s="668"/>
      <c r="BQ204" s="667">
        <v>4.0</v>
      </c>
      <c r="BR204" s="668"/>
      <c r="BS204" s="668"/>
      <c r="BT204" s="668"/>
      <c r="BU204" s="668"/>
      <c r="BV204" s="668"/>
      <c r="BW204" s="670"/>
      <c r="BX204" s="665">
        <f t="shared" si="2"/>
        <v>4</v>
      </c>
      <c r="BY204" s="671">
        <v>0.0</v>
      </c>
      <c r="BZ204" s="668">
        <v>0.0</v>
      </c>
      <c r="CA204" s="668">
        <v>0.0</v>
      </c>
      <c r="CB204" s="668">
        <v>0.0</v>
      </c>
      <c r="CC204" s="668">
        <v>0.0</v>
      </c>
      <c r="CD204" s="668">
        <v>0.0</v>
      </c>
      <c r="CE204" s="668">
        <v>0.0</v>
      </c>
      <c r="CF204" s="668">
        <v>0.0</v>
      </c>
      <c r="CG204" s="668">
        <v>0.0</v>
      </c>
      <c r="CH204" s="670">
        <v>0.0</v>
      </c>
      <c r="CI204" s="665">
        <f t="shared" si="3"/>
        <v>0</v>
      </c>
      <c r="CJ204" s="671">
        <f t="shared" si="4"/>
        <v>4</v>
      </c>
      <c r="CK204" s="715">
        <v>168.48</v>
      </c>
      <c r="CL204" s="668">
        <f t="shared" si="566"/>
        <v>1172.6208</v>
      </c>
      <c r="CM204" s="668">
        <f t="shared" ref="CM204:CV204" si="630">BC204*$CL204</f>
        <v>0</v>
      </c>
      <c r="CN204" s="668">
        <f t="shared" si="630"/>
        <v>0</v>
      </c>
      <c r="CO204" s="668">
        <f t="shared" si="630"/>
        <v>0</v>
      </c>
      <c r="CP204" s="668">
        <f t="shared" si="630"/>
        <v>0</v>
      </c>
      <c r="CQ204" s="668">
        <f t="shared" si="630"/>
        <v>0</v>
      </c>
      <c r="CR204" s="668">
        <f t="shared" si="630"/>
        <v>0</v>
      </c>
      <c r="CS204" s="668">
        <f t="shared" si="630"/>
        <v>0</v>
      </c>
      <c r="CT204" s="668">
        <f t="shared" si="630"/>
        <v>0</v>
      </c>
      <c r="CU204" s="668">
        <f t="shared" si="630"/>
        <v>0</v>
      </c>
      <c r="CV204" s="668">
        <f t="shared" si="630"/>
        <v>0</v>
      </c>
      <c r="CW204" s="668">
        <f t="shared" si="21"/>
        <v>0</v>
      </c>
      <c r="CX204" s="668">
        <f t="shared" ref="CX204:DG204" si="631">BN204*$CL204</f>
        <v>0</v>
      </c>
      <c r="CY204" s="668">
        <f t="shared" si="631"/>
        <v>0</v>
      </c>
      <c r="CZ204" s="668">
        <f t="shared" si="631"/>
        <v>0</v>
      </c>
      <c r="DA204" s="668">
        <f t="shared" si="631"/>
        <v>4690.4832</v>
      </c>
      <c r="DB204" s="668">
        <f t="shared" si="631"/>
        <v>0</v>
      </c>
      <c r="DC204" s="668">
        <f t="shared" si="631"/>
        <v>0</v>
      </c>
      <c r="DD204" s="668">
        <f t="shared" si="631"/>
        <v>0</v>
      </c>
      <c r="DE204" s="668">
        <f t="shared" si="631"/>
        <v>0</v>
      </c>
      <c r="DF204" s="668">
        <f t="shared" si="631"/>
        <v>0</v>
      </c>
      <c r="DG204" s="668">
        <f t="shared" si="631"/>
        <v>0</v>
      </c>
      <c r="DH204" s="668">
        <f t="shared" si="23"/>
        <v>4690.4832</v>
      </c>
      <c r="DI204" s="668">
        <f t="shared" ref="DI204:DR204" si="632">BY204*$CL204</f>
        <v>0</v>
      </c>
      <c r="DJ204" s="668">
        <f t="shared" si="632"/>
        <v>0</v>
      </c>
      <c r="DK204" s="668">
        <f t="shared" si="632"/>
        <v>0</v>
      </c>
      <c r="DL204" s="668">
        <f t="shared" si="632"/>
        <v>0</v>
      </c>
      <c r="DM204" s="668">
        <f t="shared" si="632"/>
        <v>0</v>
      </c>
      <c r="DN204" s="668">
        <f t="shared" si="632"/>
        <v>0</v>
      </c>
      <c r="DO204" s="668">
        <f t="shared" si="632"/>
        <v>0</v>
      </c>
      <c r="DP204" s="668">
        <f t="shared" si="632"/>
        <v>0</v>
      </c>
      <c r="DQ204" s="668">
        <f t="shared" si="632"/>
        <v>0</v>
      </c>
      <c r="DR204" s="668">
        <f t="shared" si="632"/>
        <v>0</v>
      </c>
      <c r="DS204" s="668">
        <f t="shared" si="25"/>
        <v>0</v>
      </c>
      <c r="DT204" s="668">
        <f t="shared" si="175"/>
        <v>4690.4832</v>
      </c>
      <c r="DU204" s="538"/>
      <c r="DV204" s="468"/>
      <c r="DW204" s="698"/>
      <c r="DX204" s="698"/>
      <c r="DY204" s="698"/>
      <c r="DZ204" s="698"/>
      <c r="EA204" s="698"/>
      <c r="EB204" s="698"/>
      <c r="EC204" s="698"/>
      <c r="ED204" s="698"/>
      <c r="EE204" s="698"/>
      <c r="EF204" s="698"/>
      <c r="EG204" s="698"/>
      <c r="EH204" s="576" t="s">
        <v>3374</v>
      </c>
      <c r="EI204" s="716">
        <f>VLOOKUP(I204,CotizacionTDB,4,FALSE())</f>
        <v>168.48</v>
      </c>
      <c r="EJ204" s="716">
        <f>VLOOKUP(I204,CotizacionTDB,5,FALSE())</f>
        <v>143.21</v>
      </c>
      <c r="EK204" s="699"/>
    </row>
    <row r="205" ht="12.0" customHeight="1">
      <c r="A205" s="700" t="s">
        <v>3026</v>
      </c>
      <c r="B205" s="701">
        <v>2.0</v>
      </c>
      <c r="C205" s="562" t="s">
        <v>3027</v>
      </c>
      <c r="D205" s="571" t="s">
        <v>231</v>
      </c>
      <c r="E205" s="571" t="s">
        <v>3270</v>
      </c>
      <c r="F205" s="562" t="s">
        <v>1763</v>
      </c>
      <c r="G205" s="569" t="s">
        <v>2709</v>
      </c>
      <c r="H205" s="569" t="s">
        <v>3375</v>
      </c>
      <c r="I205" s="717" t="s">
        <v>2289</v>
      </c>
      <c r="J205" s="704" t="s">
        <v>1201</v>
      </c>
      <c r="K205" s="562" t="s">
        <v>25</v>
      </c>
      <c r="L205" s="562">
        <v>2024.0</v>
      </c>
      <c r="M205" s="562">
        <v>2024.0</v>
      </c>
      <c r="N205" s="562">
        <v>2024.0</v>
      </c>
      <c r="O205" s="562"/>
      <c r="P205" s="562"/>
      <c r="Q205" s="562"/>
      <c r="R205" s="562"/>
      <c r="S205" s="562"/>
      <c r="T205" s="562"/>
      <c r="U205" s="562"/>
      <c r="V205" s="562"/>
      <c r="W205" s="562">
        <v>4.0</v>
      </c>
      <c r="X205" s="562">
        <v>4.0</v>
      </c>
      <c r="Y205" s="562">
        <v>4.0</v>
      </c>
      <c r="Z205" s="562"/>
      <c r="AA205" s="562"/>
      <c r="AB205" s="562"/>
      <c r="AC205" s="562"/>
      <c r="AD205" s="562"/>
      <c r="AE205" s="562"/>
      <c r="AF205" s="562"/>
      <c r="AG205" s="562"/>
      <c r="AH205" s="562"/>
      <c r="AI205" s="562"/>
      <c r="AJ205" s="562"/>
      <c r="AK205" s="562"/>
      <c r="AL205" s="562"/>
      <c r="AM205" s="562"/>
      <c r="AN205" s="562"/>
      <c r="AO205" s="562"/>
      <c r="AP205" s="562"/>
      <c r="AQ205" s="562"/>
      <c r="AR205" s="562">
        <v>-2024.0</v>
      </c>
      <c r="AS205" s="562">
        <v>-2024.0</v>
      </c>
      <c r="AT205" s="562">
        <v>-2024.0</v>
      </c>
      <c r="AU205" s="562">
        <v>0.0</v>
      </c>
      <c r="AV205" s="562">
        <v>0.0</v>
      </c>
      <c r="AW205" s="562">
        <v>0.0</v>
      </c>
      <c r="AX205" s="562">
        <v>0.0</v>
      </c>
      <c r="AY205" s="562">
        <v>0.0</v>
      </c>
      <c r="AZ205" s="562">
        <v>0.0</v>
      </c>
      <c r="BA205" s="562">
        <v>0.0</v>
      </c>
      <c r="BB205" s="562"/>
      <c r="BC205" s="718"/>
      <c r="BD205" s="718"/>
      <c r="BE205" s="718"/>
      <c r="BF205" s="562"/>
      <c r="BG205" s="562"/>
      <c r="BH205" s="562"/>
      <c r="BI205" s="562"/>
      <c r="BJ205" s="562"/>
      <c r="BK205" s="562"/>
      <c r="BL205" s="681"/>
      <c r="BM205" s="665">
        <f t="shared" si="1"/>
        <v>0</v>
      </c>
      <c r="BN205" s="666">
        <v>3.0</v>
      </c>
      <c r="BO205" s="667">
        <v>1.0</v>
      </c>
      <c r="BP205" s="667">
        <v>3.0</v>
      </c>
      <c r="BQ205" s="683"/>
      <c r="BR205" s="683"/>
      <c r="BS205" s="683"/>
      <c r="BT205" s="683"/>
      <c r="BU205" s="683"/>
      <c r="BV205" s="683"/>
      <c r="BW205" s="686"/>
      <c r="BX205" s="665">
        <f t="shared" si="2"/>
        <v>7</v>
      </c>
      <c r="BY205" s="682">
        <v>0.0</v>
      </c>
      <c r="BZ205" s="683">
        <v>0.0</v>
      </c>
      <c r="CA205" s="683">
        <v>0.0</v>
      </c>
      <c r="CB205" s="683">
        <v>0.0</v>
      </c>
      <c r="CC205" s="683">
        <v>0.0</v>
      </c>
      <c r="CD205" s="683">
        <v>0.0</v>
      </c>
      <c r="CE205" s="683">
        <v>0.0</v>
      </c>
      <c r="CF205" s="683">
        <v>0.0</v>
      </c>
      <c r="CG205" s="683">
        <v>0.0</v>
      </c>
      <c r="CH205" s="686">
        <v>0.0</v>
      </c>
      <c r="CI205" s="665">
        <f t="shared" si="3"/>
        <v>0</v>
      </c>
      <c r="CJ205" s="682">
        <f t="shared" si="4"/>
        <v>7</v>
      </c>
      <c r="CK205" s="706">
        <v>95.87</v>
      </c>
      <c r="CL205" s="683">
        <f t="shared" si="566"/>
        <v>667.2552</v>
      </c>
      <c r="CM205" s="683">
        <f t="shared" ref="CM205:CV205" si="633">BC205*$CL205</f>
        <v>0</v>
      </c>
      <c r="CN205" s="683">
        <f t="shared" si="633"/>
        <v>0</v>
      </c>
      <c r="CO205" s="683">
        <f t="shared" si="633"/>
        <v>0</v>
      </c>
      <c r="CP205" s="683">
        <f t="shared" si="633"/>
        <v>0</v>
      </c>
      <c r="CQ205" s="683">
        <f t="shared" si="633"/>
        <v>0</v>
      </c>
      <c r="CR205" s="683">
        <f t="shared" si="633"/>
        <v>0</v>
      </c>
      <c r="CS205" s="683">
        <f t="shared" si="633"/>
        <v>0</v>
      </c>
      <c r="CT205" s="683">
        <f t="shared" si="633"/>
        <v>0</v>
      </c>
      <c r="CU205" s="683">
        <f t="shared" si="633"/>
        <v>0</v>
      </c>
      <c r="CV205" s="683">
        <f t="shared" si="633"/>
        <v>0</v>
      </c>
      <c r="CW205" s="683">
        <f t="shared" si="21"/>
        <v>0</v>
      </c>
      <c r="CX205" s="683">
        <f t="shared" ref="CX205:DG205" si="634">BN205*$CL205</f>
        <v>2001.7656</v>
      </c>
      <c r="CY205" s="683">
        <f t="shared" si="634"/>
        <v>667.2552</v>
      </c>
      <c r="CZ205" s="683">
        <f t="shared" si="634"/>
        <v>2001.7656</v>
      </c>
      <c r="DA205" s="683">
        <f t="shared" si="634"/>
        <v>0</v>
      </c>
      <c r="DB205" s="683">
        <f t="shared" si="634"/>
        <v>0</v>
      </c>
      <c r="DC205" s="683">
        <f t="shared" si="634"/>
        <v>0</v>
      </c>
      <c r="DD205" s="683">
        <f t="shared" si="634"/>
        <v>0</v>
      </c>
      <c r="DE205" s="683">
        <f t="shared" si="634"/>
        <v>0</v>
      </c>
      <c r="DF205" s="683">
        <f t="shared" si="634"/>
        <v>0</v>
      </c>
      <c r="DG205" s="683">
        <f t="shared" si="634"/>
        <v>0</v>
      </c>
      <c r="DH205" s="683">
        <f t="shared" si="23"/>
        <v>4670.7864</v>
      </c>
      <c r="DI205" s="683">
        <f t="shared" ref="DI205:DR205" si="635">BY205*$CL205</f>
        <v>0</v>
      </c>
      <c r="DJ205" s="683">
        <f t="shared" si="635"/>
        <v>0</v>
      </c>
      <c r="DK205" s="683">
        <f t="shared" si="635"/>
        <v>0</v>
      </c>
      <c r="DL205" s="683">
        <f t="shared" si="635"/>
        <v>0</v>
      </c>
      <c r="DM205" s="683">
        <f t="shared" si="635"/>
        <v>0</v>
      </c>
      <c r="DN205" s="683">
        <f t="shared" si="635"/>
        <v>0</v>
      </c>
      <c r="DO205" s="683">
        <f t="shared" si="635"/>
        <v>0</v>
      </c>
      <c r="DP205" s="683">
        <f t="shared" si="635"/>
        <v>0</v>
      </c>
      <c r="DQ205" s="683">
        <f t="shared" si="635"/>
        <v>0</v>
      </c>
      <c r="DR205" s="683">
        <f t="shared" si="635"/>
        <v>0</v>
      </c>
      <c r="DS205" s="683">
        <f t="shared" si="25"/>
        <v>0</v>
      </c>
      <c r="DT205" s="683">
        <f t="shared" si="175"/>
        <v>4670.7864</v>
      </c>
      <c r="DU205" s="504"/>
      <c r="DV205" s="486"/>
      <c r="DW205" s="688"/>
      <c r="DX205" s="688"/>
      <c r="DY205" s="688"/>
      <c r="DZ205" s="688"/>
      <c r="EA205" s="688"/>
      <c r="EB205" s="688"/>
      <c r="EC205" s="688"/>
      <c r="ED205" s="688"/>
      <c r="EE205" s="688"/>
      <c r="EF205" s="688"/>
      <c r="EG205" s="688"/>
      <c r="EH205" s="707" t="s">
        <v>3376</v>
      </c>
      <c r="EI205" s="708">
        <f>VLOOKUP(I205,CotizacionTDB,4,FALSE())</f>
        <v>95.87</v>
      </c>
      <c r="EJ205" s="708">
        <f>VLOOKUP(I205,CotizacionTDB,5,FALSE())</f>
        <v>81.49</v>
      </c>
      <c r="EK205" s="691"/>
    </row>
    <row r="206" ht="12.0" customHeight="1">
      <c r="A206" s="709" t="s">
        <v>3026</v>
      </c>
      <c r="B206" s="661">
        <v>2.0</v>
      </c>
      <c r="C206" s="567" t="s">
        <v>3027</v>
      </c>
      <c r="D206" s="568" t="s">
        <v>231</v>
      </c>
      <c r="E206" s="568" t="s">
        <v>3270</v>
      </c>
      <c r="F206" s="567" t="s">
        <v>1763</v>
      </c>
      <c r="G206" s="569" t="s">
        <v>2709</v>
      </c>
      <c r="H206" s="569" t="s">
        <v>3377</v>
      </c>
      <c r="I206" s="710" t="s">
        <v>2408</v>
      </c>
      <c r="J206" s="711" t="s">
        <v>1222</v>
      </c>
      <c r="K206" s="567" t="s">
        <v>25</v>
      </c>
      <c r="L206" s="567">
        <v>2024.0</v>
      </c>
      <c r="M206" s="567">
        <v>2024.0</v>
      </c>
      <c r="N206" s="567">
        <v>2024.0</v>
      </c>
      <c r="O206" s="567"/>
      <c r="P206" s="567"/>
      <c r="Q206" s="567"/>
      <c r="R206" s="567"/>
      <c r="S206" s="567"/>
      <c r="T206" s="567"/>
      <c r="U206" s="567"/>
      <c r="V206" s="567"/>
      <c r="W206" s="567">
        <v>1.0</v>
      </c>
      <c r="X206" s="567">
        <v>4.0</v>
      </c>
      <c r="Y206" s="567">
        <v>4.0</v>
      </c>
      <c r="Z206" s="567"/>
      <c r="AA206" s="567"/>
      <c r="AB206" s="567"/>
      <c r="AC206" s="567"/>
      <c r="AD206" s="567"/>
      <c r="AE206" s="567"/>
      <c r="AF206" s="567"/>
      <c r="AG206" s="567"/>
      <c r="AH206" s="567"/>
      <c r="AI206" s="567"/>
      <c r="AJ206" s="567"/>
      <c r="AK206" s="567"/>
      <c r="AL206" s="567"/>
      <c r="AM206" s="567"/>
      <c r="AN206" s="567"/>
      <c r="AO206" s="567"/>
      <c r="AP206" s="567"/>
      <c r="AQ206" s="567"/>
      <c r="AR206" s="567">
        <v>-2024.0</v>
      </c>
      <c r="AS206" s="567">
        <v>-2024.0</v>
      </c>
      <c r="AT206" s="567">
        <v>-2024.0</v>
      </c>
      <c r="AU206" s="567">
        <v>0.0</v>
      </c>
      <c r="AV206" s="567">
        <v>0.0</v>
      </c>
      <c r="AW206" s="567">
        <v>0.0</v>
      </c>
      <c r="AX206" s="567">
        <v>0.0</v>
      </c>
      <c r="AY206" s="567">
        <v>0.0</v>
      </c>
      <c r="AZ206" s="567">
        <v>0.0</v>
      </c>
      <c r="BA206" s="567">
        <v>0.0</v>
      </c>
      <c r="BB206" s="567"/>
      <c r="BC206" s="718"/>
      <c r="BD206" s="718"/>
      <c r="BE206" s="718"/>
      <c r="BF206" s="567"/>
      <c r="BG206" s="567"/>
      <c r="BH206" s="567"/>
      <c r="BI206" s="567"/>
      <c r="BJ206" s="567"/>
      <c r="BK206" s="567"/>
      <c r="BL206" s="725"/>
      <c r="BM206" s="665">
        <f t="shared" si="1"/>
        <v>0</v>
      </c>
      <c r="BN206" s="666">
        <v>2.0</v>
      </c>
      <c r="BO206" s="667">
        <v>2.0</v>
      </c>
      <c r="BP206" s="667">
        <v>2.0</v>
      </c>
      <c r="BQ206" s="668"/>
      <c r="BR206" s="668"/>
      <c r="BS206" s="668"/>
      <c r="BT206" s="668"/>
      <c r="BU206" s="668"/>
      <c r="BV206" s="668"/>
      <c r="BW206" s="670"/>
      <c r="BX206" s="665">
        <f t="shared" si="2"/>
        <v>6</v>
      </c>
      <c r="BY206" s="671">
        <v>0.0</v>
      </c>
      <c r="BZ206" s="668">
        <v>0.0</v>
      </c>
      <c r="CA206" s="668">
        <v>0.0</v>
      </c>
      <c r="CB206" s="668">
        <v>0.0</v>
      </c>
      <c r="CC206" s="668">
        <v>0.0</v>
      </c>
      <c r="CD206" s="668">
        <v>0.0</v>
      </c>
      <c r="CE206" s="668">
        <v>0.0</v>
      </c>
      <c r="CF206" s="668">
        <v>0.0</v>
      </c>
      <c r="CG206" s="668">
        <v>0.0</v>
      </c>
      <c r="CH206" s="670">
        <v>0.0</v>
      </c>
      <c r="CI206" s="665">
        <f t="shared" si="3"/>
        <v>0</v>
      </c>
      <c r="CJ206" s="671">
        <f t="shared" si="4"/>
        <v>6</v>
      </c>
      <c r="CK206" s="715">
        <v>103.49</v>
      </c>
      <c r="CL206" s="668">
        <f t="shared" si="566"/>
        <v>720.2904</v>
      </c>
      <c r="CM206" s="668">
        <f t="shared" ref="CM206:CV206" si="636">BC206*$CL206</f>
        <v>0</v>
      </c>
      <c r="CN206" s="668">
        <f t="shared" si="636"/>
        <v>0</v>
      </c>
      <c r="CO206" s="668">
        <f t="shared" si="636"/>
        <v>0</v>
      </c>
      <c r="CP206" s="668">
        <f t="shared" si="636"/>
        <v>0</v>
      </c>
      <c r="CQ206" s="668">
        <f t="shared" si="636"/>
        <v>0</v>
      </c>
      <c r="CR206" s="668">
        <f t="shared" si="636"/>
        <v>0</v>
      </c>
      <c r="CS206" s="668">
        <f t="shared" si="636"/>
        <v>0</v>
      </c>
      <c r="CT206" s="668">
        <f t="shared" si="636"/>
        <v>0</v>
      </c>
      <c r="CU206" s="668">
        <f t="shared" si="636"/>
        <v>0</v>
      </c>
      <c r="CV206" s="668">
        <f t="shared" si="636"/>
        <v>0</v>
      </c>
      <c r="CW206" s="668">
        <f t="shared" si="21"/>
        <v>0</v>
      </c>
      <c r="CX206" s="668">
        <f t="shared" ref="CX206:DG206" si="637">BN206*$CL206</f>
        <v>1440.5808</v>
      </c>
      <c r="CY206" s="668">
        <f t="shared" si="637"/>
        <v>1440.5808</v>
      </c>
      <c r="CZ206" s="668">
        <f t="shared" si="637"/>
        <v>1440.5808</v>
      </c>
      <c r="DA206" s="668">
        <f t="shared" si="637"/>
        <v>0</v>
      </c>
      <c r="DB206" s="668">
        <f t="shared" si="637"/>
        <v>0</v>
      </c>
      <c r="DC206" s="668">
        <f t="shared" si="637"/>
        <v>0</v>
      </c>
      <c r="DD206" s="668">
        <f t="shared" si="637"/>
        <v>0</v>
      </c>
      <c r="DE206" s="668">
        <f t="shared" si="637"/>
        <v>0</v>
      </c>
      <c r="DF206" s="668">
        <f t="shared" si="637"/>
        <v>0</v>
      </c>
      <c r="DG206" s="668">
        <f t="shared" si="637"/>
        <v>0</v>
      </c>
      <c r="DH206" s="668">
        <f t="shared" si="23"/>
        <v>4321.7424</v>
      </c>
      <c r="DI206" s="668">
        <f t="shared" ref="DI206:DR206" si="638">BY206*$CL206</f>
        <v>0</v>
      </c>
      <c r="DJ206" s="668">
        <f t="shared" si="638"/>
        <v>0</v>
      </c>
      <c r="DK206" s="668">
        <f t="shared" si="638"/>
        <v>0</v>
      </c>
      <c r="DL206" s="668">
        <f t="shared" si="638"/>
        <v>0</v>
      </c>
      <c r="DM206" s="668">
        <f t="shared" si="638"/>
        <v>0</v>
      </c>
      <c r="DN206" s="668">
        <f t="shared" si="638"/>
        <v>0</v>
      </c>
      <c r="DO206" s="668">
        <f t="shared" si="638"/>
        <v>0</v>
      </c>
      <c r="DP206" s="668">
        <f t="shared" si="638"/>
        <v>0</v>
      </c>
      <c r="DQ206" s="668">
        <f t="shared" si="638"/>
        <v>0</v>
      </c>
      <c r="DR206" s="668">
        <f t="shared" si="638"/>
        <v>0</v>
      </c>
      <c r="DS206" s="668">
        <f t="shared" si="25"/>
        <v>0</v>
      </c>
      <c r="DT206" s="668">
        <f t="shared" si="175"/>
        <v>4321.7424</v>
      </c>
      <c r="DU206" s="538"/>
      <c r="DV206" s="468"/>
      <c r="DW206" s="698"/>
      <c r="DX206" s="698"/>
      <c r="DY206" s="698"/>
      <c r="DZ206" s="698"/>
      <c r="EA206" s="698"/>
      <c r="EB206" s="698"/>
      <c r="EC206" s="698"/>
      <c r="ED206" s="698"/>
      <c r="EE206" s="698"/>
      <c r="EF206" s="698"/>
      <c r="EG206" s="698"/>
      <c r="EH206" s="576" t="s">
        <v>1222</v>
      </c>
      <c r="EI206" s="716">
        <f>VLOOKUP(I206,CotizacionTDB,4,FALSE())</f>
        <v>103.49</v>
      </c>
      <c r="EJ206" s="716">
        <f>VLOOKUP(I206,CotizacionTDB,5,FALSE())</f>
        <v>87.97</v>
      </c>
      <c r="EK206" s="699"/>
    </row>
    <row r="207" ht="12.0" customHeight="1">
      <c r="A207" s="700" t="s">
        <v>3026</v>
      </c>
      <c r="B207" s="701">
        <v>2.0</v>
      </c>
      <c r="C207" s="562" t="s">
        <v>3027</v>
      </c>
      <c r="D207" s="571" t="s">
        <v>231</v>
      </c>
      <c r="E207" s="571" t="s">
        <v>3270</v>
      </c>
      <c r="F207" s="562" t="s">
        <v>1763</v>
      </c>
      <c r="G207" s="569" t="s">
        <v>2709</v>
      </c>
      <c r="H207" s="569" t="s">
        <v>3378</v>
      </c>
      <c r="I207" s="717" t="s">
        <v>1917</v>
      </c>
      <c r="J207" s="704" t="s">
        <v>1237</v>
      </c>
      <c r="K207" s="562" t="s">
        <v>25</v>
      </c>
      <c r="L207" s="562"/>
      <c r="M207" s="562"/>
      <c r="N207" s="562"/>
      <c r="O207" s="562">
        <v>2024.0</v>
      </c>
      <c r="P207" s="562">
        <v>2024.0</v>
      </c>
      <c r="Q207" s="562">
        <v>2024.0</v>
      </c>
      <c r="R207" s="562"/>
      <c r="S207" s="562"/>
      <c r="T207" s="562"/>
      <c r="U207" s="562"/>
      <c r="V207" s="562"/>
      <c r="W207" s="562"/>
      <c r="X207" s="562"/>
      <c r="Y207" s="562"/>
      <c r="Z207" s="562">
        <v>5.0</v>
      </c>
      <c r="AA207" s="562">
        <v>5.0</v>
      </c>
      <c r="AB207" s="562">
        <v>5.0</v>
      </c>
      <c r="AC207" s="562"/>
      <c r="AD207" s="562"/>
      <c r="AE207" s="562"/>
      <c r="AF207" s="562"/>
      <c r="AG207" s="562"/>
      <c r="AH207" s="562"/>
      <c r="AI207" s="562"/>
      <c r="AJ207" s="562"/>
      <c r="AK207" s="562"/>
      <c r="AL207" s="562"/>
      <c r="AM207" s="562"/>
      <c r="AN207" s="562"/>
      <c r="AO207" s="562"/>
      <c r="AP207" s="562"/>
      <c r="AQ207" s="562"/>
      <c r="AR207" s="562">
        <v>0.0</v>
      </c>
      <c r="AS207" s="562">
        <v>0.0</v>
      </c>
      <c r="AT207" s="562">
        <v>0.0</v>
      </c>
      <c r="AU207" s="562">
        <v>-2024.0</v>
      </c>
      <c r="AV207" s="562">
        <v>-2024.0</v>
      </c>
      <c r="AW207" s="562">
        <v>-2024.0</v>
      </c>
      <c r="AX207" s="562">
        <v>0.0</v>
      </c>
      <c r="AY207" s="562">
        <v>0.0</v>
      </c>
      <c r="AZ207" s="562">
        <v>0.0</v>
      </c>
      <c r="BA207" s="562">
        <v>0.0</v>
      </c>
      <c r="BB207" s="562"/>
      <c r="BC207" s="562"/>
      <c r="BD207" s="562"/>
      <c r="BE207" s="562"/>
      <c r="BF207" s="718"/>
      <c r="BG207" s="718"/>
      <c r="BH207" s="718"/>
      <c r="BI207" s="562"/>
      <c r="BJ207" s="562"/>
      <c r="BK207" s="562"/>
      <c r="BL207" s="681"/>
      <c r="BM207" s="665">
        <f t="shared" si="1"/>
        <v>0</v>
      </c>
      <c r="BN207" s="682"/>
      <c r="BO207" s="683"/>
      <c r="BP207" s="683"/>
      <c r="BQ207" s="667">
        <v>4.0</v>
      </c>
      <c r="BR207" s="667">
        <v>5.0</v>
      </c>
      <c r="BS207" s="667">
        <v>6.0</v>
      </c>
      <c r="BT207" s="683"/>
      <c r="BU207" s="683"/>
      <c r="BV207" s="683"/>
      <c r="BW207" s="686"/>
      <c r="BX207" s="665">
        <f t="shared" si="2"/>
        <v>15</v>
      </c>
      <c r="BY207" s="733">
        <v>4.0</v>
      </c>
      <c r="BZ207" s="687">
        <v>3.0</v>
      </c>
      <c r="CA207" s="684">
        <v>5.0</v>
      </c>
      <c r="CB207" s="683">
        <v>0.0</v>
      </c>
      <c r="CC207" s="683">
        <v>0.0</v>
      </c>
      <c r="CD207" s="683">
        <v>0.0</v>
      </c>
      <c r="CE207" s="683">
        <v>0.0</v>
      </c>
      <c r="CF207" s="683">
        <v>0.0</v>
      </c>
      <c r="CG207" s="683">
        <v>0.0</v>
      </c>
      <c r="CH207" s="686">
        <v>0.0</v>
      </c>
      <c r="CI207" s="665">
        <f t="shared" si="3"/>
        <v>12</v>
      </c>
      <c r="CJ207" s="682">
        <f t="shared" si="4"/>
        <v>27</v>
      </c>
      <c r="CK207" s="706">
        <v>38.92</v>
      </c>
      <c r="CL207" s="683">
        <f t="shared" si="566"/>
        <v>270.8832</v>
      </c>
      <c r="CM207" s="683">
        <f t="shared" ref="CM207:CV207" si="639">BC207*$CL207</f>
        <v>0</v>
      </c>
      <c r="CN207" s="683">
        <f t="shared" si="639"/>
        <v>0</v>
      </c>
      <c r="CO207" s="683">
        <f t="shared" si="639"/>
        <v>0</v>
      </c>
      <c r="CP207" s="683">
        <f t="shared" si="639"/>
        <v>0</v>
      </c>
      <c r="CQ207" s="683">
        <f t="shared" si="639"/>
        <v>0</v>
      </c>
      <c r="CR207" s="683">
        <f t="shared" si="639"/>
        <v>0</v>
      </c>
      <c r="CS207" s="683">
        <f t="shared" si="639"/>
        <v>0</v>
      </c>
      <c r="CT207" s="683">
        <f t="shared" si="639"/>
        <v>0</v>
      </c>
      <c r="CU207" s="683">
        <f t="shared" si="639"/>
        <v>0</v>
      </c>
      <c r="CV207" s="683">
        <f t="shared" si="639"/>
        <v>0</v>
      </c>
      <c r="CW207" s="683">
        <f t="shared" si="21"/>
        <v>0</v>
      </c>
      <c r="CX207" s="683">
        <f t="shared" ref="CX207:DG207" si="640">BN207*$CL207</f>
        <v>0</v>
      </c>
      <c r="CY207" s="683">
        <f t="shared" si="640"/>
        <v>0</v>
      </c>
      <c r="CZ207" s="683">
        <f t="shared" si="640"/>
        <v>0</v>
      </c>
      <c r="DA207" s="683">
        <f t="shared" si="640"/>
        <v>1083.5328</v>
      </c>
      <c r="DB207" s="683">
        <f t="shared" si="640"/>
        <v>1354.416</v>
      </c>
      <c r="DC207" s="683">
        <f t="shared" si="640"/>
        <v>1625.2992</v>
      </c>
      <c r="DD207" s="683">
        <f t="shared" si="640"/>
        <v>0</v>
      </c>
      <c r="DE207" s="683">
        <f t="shared" si="640"/>
        <v>0</v>
      </c>
      <c r="DF207" s="683">
        <f t="shared" si="640"/>
        <v>0</v>
      </c>
      <c r="DG207" s="683">
        <f t="shared" si="640"/>
        <v>0</v>
      </c>
      <c r="DH207" s="683">
        <f t="shared" si="23"/>
        <v>4063.248</v>
      </c>
      <c r="DI207" s="683">
        <f t="shared" ref="DI207:DR207" si="641">BY207*$CL207</f>
        <v>1083.5328</v>
      </c>
      <c r="DJ207" s="683">
        <f t="shared" si="641"/>
        <v>812.6496</v>
      </c>
      <c r="DK207" s="683">
        <f t="shared" si="641"/>
        <v>1354.416</v>
      </c>
      <c r="DL207" s="683">
        <f t="shared" si="641"/>
        <v>0</v>
      </c>
      <c r="DM207" s="683">
        <f t="shared" si="641"/>
        <v>0</v>
      </c>
      <c r="DN207" s="683">
        <f t="shared" si="641"/>
        <v>0</v>
      </c>
      <c r="DO207" s="683">
        <f t="shared" si="641"/>
        <v>0</v>
      </c>
      <c r="DP207" s="683">
        <f t="shared" si="641"/>
        <v>0</v>
      </c>
      <c r="DQ207" s="683">
        <f t="shared" si="641"/>
        <v>0</v>
      </c>
      <c r="DR207" s="683">
        <f t="shared" si="641"/>
        <v>0</v>
      </c>
      <c r="DS207" s="683">
        <f t="shared" si="25"/>
        <v>3250.5984</v>
      </c>
      <c r="DT207" s="683">
        <f t="shared" si="175"/>
        <v>7313.8464</v>
      </c>
      <c r="DU207" s="504"/>
      <c r="DV207" s="486"/>
      <c r="DW207" s="688"/>
      <c r="DX207" s="688"/>
      <c r="DY207" s="688"/>
      <c r="DZ207" s="688"/>
      <c r="EA207" s="688"/>
      <c r="EB207" s="688"/>
      <c r="EC207" s="688"/>
      <c r="ED207" s="688"/>
      <c r="EE207" s="688"/>
      <c r="EF207" s="688"/>
      <c r="EG207" s="688"/>
      <c r="EH207" s="707" t="s">
        <v>3379</v>
      </c>
      <c r="EI207" s="708">
        <f>VLOOKUP(I207,CotizacionTDB,4,FALSE())</f>
        <v>38.92</v>
      </c>
      <c r="EJ207" s="708">
        <f>VLOOKUP(I207,CotizacionTDB,5,FALSE())</f>
        <v>33.08</v>
      </c>
      <c r="EK207" s="691"/>
    </row>
    <row r="208" ht="12.0" customHeight="1">
      <c r="A208" s="709" t="s">
        <v>3026</v>
      </c>
      <c r="B208" s="661">
        <v>2.0</v>
      </c>
      <c r="C208" s="567" t="s">
        <v>3027</v>
      </c>
      <c r="D208" s="568" t="s">
        <v>231</v>
      </c>
      <c r="E208" s="568" t="s">
        <v>3270</v>
      </c>
      <c r="F208" s="567" t="s">
        <v>1763</v>
      </c>
      <c r="G208" s="569" t="s">
        <v>2709</v>
      </c>
      <c r="H208" s="658"/>
      <c r="I208" s="710" t="s">
        <v>2293</v>
      </c>
      <c r="J208" s="711" t="s">
        <v>1249</v>
      </c>
      <c r="K208" s="567" t="s">
        <v>25</v>
      </c>
      <c r="L208" s="567">
        <v>2024.0</v>
      </c>
      <c r="M208" s="567">
        <v>2024.0</v>
      </c>
      <c r="N208" s="567">
        <v>2024.0</v>
      </c>
      <c r="O208" s="567"/>
      <c r="P208" s="567"/>
      <c r="Q208" s="567"/>
      <c r="R208" s="567"/>
      <c r="S208" s="567"/>
      <c r="T208" s="567"/>
      <c r="U208" s="567"/>
      <c r="V208" s="567"/>
      <c r="W208" s="567">
        <v>4.0</v>
      </c>
      <c r="X208" s="567">
        <v>4.0</v>
      </c>
      <c r="Y208" s="567">
        <v>4.0</v>
      </c>
      <c r="Z208" s="567"/>
      <c r="AA208" s="567"/>
      <c r="AB208" s="567"/>
      <c r="AC208" s="567"/>
      <c r="AD208" s="567"/>
      <c r="AE208" s="567"/>
      <c r="AF208" s="567"/>
      <c r="AG208" s="567"/>
      <c r="AH208" s="567"/>
      <c r="AI208" s="567"/>
      <c r="AJ208" s="567"/>
      <c r="AK208" s="567"/>
      <c r="AL208" s="567"/>
      <c r="AM208" s="567"/>
      <c r="AN208" s="567"/>
      <c r="AO208" s="567"/>
      <c r="AP208" s="567"/>
      <c r="AQ208" s="567"/>
      <c r="AR208" s="567">
        <v>-2024.0</v>
      </c>
      <c r="AS208" s="567">
        <v>-2024.0</v>
      </c>
      <c r="AT208" s="567">
        <v>-2024.0</v>
      </c>
      <c r="AU208" s="567">
        <v>0.0</v>
      </c>
      <c r="AV208" s="567">
        <v>0.0</v>
      </c>
      <c r="AW208" s="567">
        <v>0.0</v>
      </c>
      <c r="AX208" s="567">
        <v>0.0</v>
      </c>
      <c r="AY208" s="567">
        <v>0.0</v>
      </c>
      <c r="AZ208" s="567">
        <v>0.0</v>
      </c>
      <c r="BA208" s="567">
        <v>0.0</v>
      </c>
      <c r="BB208" s="567"/>
      <c r="BC208" s="718"/>
      <c r="BD208" s="718"/>
      <c r="BE208" s="718"/>
      <c r="BF208" s="567"/>
      <c r="BG208" s="567"/>
      <c r="BH208" s="567"/>
      <c r="BI208" s="567"/>
      <c r="BJ208" s="567"/>
      <c r="BK208" s="567"/>
      <c r="BL208" s="725"/>
      <c r="BM208" s="665">
        <f t="shared" si="1"/>
        <v>0</v>
      </c>
      <c r="BN208" s="666">
        <v>2.0</v>
      </c>
      <c r="BO208" s="667">
        <v>2.0</v>
      </c>
      <c r="BP208" s="667">
        <v>2.0</v>
      </c>
      <c r="BQ208" s="668"/>
      <c r="BR208" s="668"/>
      <c r="BS208" s="668"/>
      <c r="BT208" s="668"/>
      <c r="BU208" s="668"/>
      <c r="BV208" s="668"/>
      <c r="BW208" s="670"/>
      <c r="BX208" s="665">
        <f t="shared" si="2"/>
        <v>6</v>
      </c>
      <c r="BY208" s="671">
        <v>0.0</v>
      </c>
      <c r="BZ208" s="668">
        <v>0.0</v>
      </c>
      <c r="CA208" s="668">
        <v>0.0</v>
      </c>
      <c r="CB208" s="668">
        <v>0.0</v>
      </c>
      <c r="CC208" s="668">
        <v>0.0</v>
      </c>
      <c r="CD208" s="668">
        <v>0.0</v>
      </c>
      <c r="CE208" s="668">
        <v>0.0</v>
      </c>
      <c r="CF208" s="668">
        <v>0.0</v>
      </c>
      <c r="CG208" s="668">
        <v>0.0</v>
      </c>
      <c r="CH208" s="670">
        <v>0.0</v>
      </c>
      <c r="CI208" s="665">
        <f t="shared" si="3"/>
        <v>0</v>
      </c>
      <c r="CJ208" s="671">
        <f t="shared" si="4"/>
        <v>6</v>
      </c>
      <c r="CK208" s="715">
        <v>95.6</v>
      </c>
      <c r="CL208" s="668">
        <f t="shared" si="566"/>
        <v>665.376</v>
      </c>
      <c r="CM208" s="668">
        <f t="shared" ref="CM208:CV208" si="642">BC208*$CL208</f>
        <v>0</v>
      </c>
      <c r="CN208" s="668">
        <f t="shared" si="642"/>
        <v>0</v>
      </c>
      <c r="CO208" s="668">
        <f t="shared" si="642"/>
        <v>0</v>
      </c>
      <c r="CP208" s="668">
        <f t="shared" si="642"/>
        <v>0</v>
      </c>
      <c r="CQ208" s="668">
        <f t="shared" si="642"/>
        <v>0</v>
      </c>
      <c r="CR208" s="668">
        <f t="shared" si="642"/>
        <v>0</v>
      </c>
      <c r="CS208" s="668">
        <f t="shared" si="642"/>
        <v>0</v>
      </c>
      <c r="CT208" s="668">
        <f t="shared" si="642"/>
        <v>0</v>
      </c>
      <c r="CU208" s="668">
        <f t="shared" si="642"/>
        <v>0</v>
      </c>
      <c r="CV208" s="668">
        <f t="shared" si="642"/>
        <v>0</v>
      </c>
      <c r="CW208" s="668">
        <f t="shared" si="21"/>
        <v>0</v>
      </c>
      <c r="CX208" s="668">
        <f t="shared" ref="CX208:DG208" si="643">BN208*$CL208</f>
        <v>1330.752</v>
      </c>
      <c r="CY208" s="668">
        <f t="shared" si="643"/>
        <v>1330.752</v>
      </c>
      <c r="CZ208" s="668">
        <f t="shared" si="643"/>
        <v>1330.752</v>
      </c>
      <c r="DA208" s="668">
        <f t="shared" si="643"/>
        <v>0</v>
      </c>
      <c r="DB208" s="668">
        <f t="shared" si="643"/>
        <v>0</v>
      </c>
      <c r="DC208" s="668">
        <f t="shared" si="643"/>
        <v>0</v>
      </c>
      <c r="DD208" s="668">
        <f t="shared" si="643"/>
        <v>0</v>
      </c>
      <c r="DE208" s="668">
        <f t="shared" si="643"/>
        <v>0</v>
      </c>
      <c r="DF208" s="668">
        <f t="shared" si="643"/>
        <v>0</v>
      </c>
      <c r="DG208" s="668">
        <f t="shared" si="643"/>
        <v>0</v>
      </c>
      <c r="DH208" s="668">
        <f t="shared" si="23"/>
        <v>3992.256</v>
      </c>
      <c r="DI208" s="668">
        <f t="shared" ref="DI208:DR208" si="644">BY208*$CL208</f>
        <v>0</v>
      </c>
      <c r="DJ208" s="668">
        <f t="shared" si="644"/>
        <v>0</v>
      </c>
      <c r="DK208" s="668">
        <f t="shared" si="644"/>
        <v>0</v>
      </c>
      <c r="DL208" s="668">
        <f t="shared" si="644"/>
        <v>0</v>
      </c>
      <c r="DM208" s="668">
        <f t="shared" si="644"/>
        <v>0</v>
      </c>
      <c r="DN208" s="668">
        <f t="shared" si="644"/>
        <v>0</v>
      </c>
      <c r="DO208" s="668">
        <f t="shared" si="644"/>
        <v>0</v>
      </c>
      <c r="DP208" s="668">
        <f t="shared" si="644"/>
        <v>0</v>
      </c>
      <c r="DQ208" s="668">
        <f t="shared" si="644"/>
        <v>0</v>
      </c>
      <c r="DR208" s="668">
        <f t="shared" si="644"/>
        <v>0</v>
      </c>
      <c r="DS208" s="668">
        <f t="shared" si="25"/>
        <v>0</v>
      </c>
      <c r="DT208" s="668">
        <f t="shared" si="175"/>
        <v>3992.256</v>
      </c>
      <c r="DU208" s="538"/>
      <c r="DV208" s="468"/>
      <c r="DW208" s="698"/>
      <c r="DX208" s="698"/>
      <c r="DY208" s="698"/>
      <c r="DZ208" s="698"/>
      <c r="EA208" s="698"/>
      <c r="EB208" s="698"/>
      <c r="EC208" s="698"/>
      <c r="ED208" s="698"/>
      <c r="EE208" s="698"/>
      <c r="EF208" s="698"/>
      <c r="EG208" s="698"/>
      <c r="EH208" s="576" t="s">
        <v>3380</v>
      </c>
      <c r="EI208" s="716">
        <f>VLOOKUP(I208,CotizacionTDB,4,FALSE())</f>
        <v>95.6</v>
      </c>
      <c r="EJ208" s="716">
        <f>VLOOKUP(I208,CotizacionTDB,5,FALSE())</f>
        <v>81.26</v>
      </c>
      <c r="EK208" s="699"/>
    </row>
    <row r="209" ht="12.0" customHeight="1">
      <c r="A209" s="700" t="s">
        <v>3026</v>
      </c>
      <c r="B209" s="701">
        <v>2.0</v>
      </c>
      <c r="C209" s="562" t="s">
        <v>3027</v>
      </c>
      <c r="D209" s="571" t="s">
        <v>231</v>
      </c>
      <c r="E209" s="571" t="s">
        <v>3270</v>
      </c>
      <c r="F209" s="562" t="s">
        <v>1763</v>
      </c>
      <c r="G209" s="702" t="s">
        <v>2709</v>
      </c>
      <c r="H209" s="737"/>
      <c r="I209" s="703" t="s">
        <v>2200</v>
      </c>
      <c r="J209" s="704" t="s">
        <v>1308</v>
      </c>
      <c r="K209" s="562" t="s">
        <v>25</v>
      </c>
      <c r="L209" s="562">
        <v>2024.0</v>
      </c>
      <c r="M209" s="562">
        <v>2024.0</v>
      </c>
      <c r="N209" s="562">
        <v>2024.0</v>
      </c>
      <c r="O209" s="562"/>
      <c r="P209" s="562"/>
      <c r="Q209" s="562"/>
      <c r="R209" s="562"/>
      <c r="S209" s="562"/>
      <c r="T209" s="562"/>
      <c r="U209" s="562"/>
      <c r="V209" s="562"/>
      <c r="W209" s="562">
        <v>4.0</v>
      </c>
      <c r="X209" s="562">
        <v>4.0</v>
      </c>
      <c r="Y209" s="562">
        <v>4.0</v>
      </c>
      <c r="Z209" s="562"/>
      <c r="AA209" s="562"/>
      <c r="AB209" s="562"/>
      <c r="AC209" s="562"/>
      <c r="AD209" s="562"/>
      <c r="AE209" s="562"/>
      <c r="AF209" s="562"/>
      <c r="AG209" s="562"/>
      <c r="AH209" s="562"/>
      <c r="AI209" s="562"/>
      <c r="AJ209" s="562"/>
      <c r="AK209" s="562"/>
      <c r="AL209" s="562"/>
      <c r="AM209" s="562"/>
      <c r="AN209" s="562"/>
      <c r="AO209" s="562"/>
      <c r="AP209" s="562"/>
      <c r="AQ209" s="562"/>
      <c r="AR209" s="562">
        <v>-2024.0</v>
      </c>
      <c r="AS209" s="562">
        <v>-2024.0</v>
      </c>
      <c r="AT209" s="562">
        <v>-2024.0</v>
      </c>
      <c r="AU209" s="562">
        <v>0.0</v>
      </c>
      <c r="AV209" s="562">
        <v>0.0</v>
      </c>
      <c r="AW209" s="562">
        <v>0.0</v>
      </c>
      <c r="AX209" s="562">
        <v>0.0</v>
      </c>
      <c r="AY209" s="562">
        <v>0.0</v>
      </c>
      <c r="AZ209" s="562">
        <v>0.0</v>
      </c>
      <c r="BA209" s="562">
        <v>0.0</v>
      </c>
      <c r="BB209" s="562"/>
      <c r="BC209" s="718"/>
      <c r="BD209" s="718"/>
      <c r="BE209" s="718"/>
      <c r="BF209" s="562"/>
      <c r="BG209" s="562"/>
      <c r="BH209" s="562"/>
      <c r="BI209" s="562"/>
      <c r="BJ209" s="562"/>
      <c r="BK209" s="562"/>
      <c r="BL209" s="681"/>
      <c r="BM209" s="665">
        <f t="shared" si="1"/>
        <v>0</v>
      </c>
      <c r="BN209" s="666">
        <v>1.0</v>
      </c>
      <c r="BO209" s="667">
        <v>1.0</v>
      </c>
      <c r="BP209" s="667">
        <v>1.0</v>
      </c>
      <c r="BQ209" s="683"/>
      <c r="BR209" s="683"/>
      <c r="BS209" s="683"/>
      <c r="BT209" s="683"/>
      <c r="BU209" s="683"/>
      <c r="BV209" s="683"/>
      <c r="BW209" s="686"/>
      <c r="BX209" s="665">
        <f t="shared" si="2"/>
        <v>3</v>
      </c>
      <c r="BY209" s="682">
        <v>0.0</v>
      </c>
      <c r="BZ209" s="683">
        <v>0.0</v>
      </c>
      <c r="CA209" s="683">
        <v>0.0</v>
      </c>
      <c r="CB209" s="683">
        <v>0.0</v>
      </c>
      <c r="CC209" s="683">
        <v>0.0</v>
      </c>
      <c r="CD209" s="683">
        <v>0.0</v>
      </c>
      <c r="CE209" s="683">
        <v>0.0</v>
      </c>
      <c r="CF209" s="683">
        <v>0.0</v>
      </c>
      <c r="CG209" s="683">
        <v>0.0</v>
      </c>
      <c r="CH209" s="686">
        <v>0.0</v>
      </c>
      <c r="CI209" s="665">
        <f t="shared" si="3"/>
        <v>0</v>
      </c>
      <c r="CJ209" s="682">
        <f t="shared" si="4"/>
        <v>3</v>
      </c>
      <c r="CK209" s="706">
        <v>141.17</v>
      </c>
      <c r="CL209" s="683">
        <f t="shared" si="566"/>
        <v>982.5432</v>
      </c>
      <c r="CM209" s="683">
        <f t="shared" ref="CM209:CV209" si="645">BC209*$CL209</f>
        <v>0</v>
      </c>
      <c r="CN209" s="683">
        <f t="shared" si="645"/>
        <v>0</v>
      </c>
      <c r="CO209" s="683">
        <f t="shared" si="645"/>
        <v>0</v>
      </c>
      <c r="CP209" s="683">
        <f t="shared" si="645"/>
        <v>0</v>
      </c>
      <c r="CQ209" s="683">
        <f t="shared" si="645"/>
        <v>0</v>
      </c>
      <c r="CR209" s="683">
        <f t="shared" si="645"/>
        <v>0</v>
      </c>
      <c r="CS209" s="683">
        <f t="shared" si="645"/>
        <v>0</v>
      </c>
      <c r="CT209" s="683">
        <f t="shared" si="645"/>
        <v>0</v>
      </c>
      <c r="CU209" s="683">
        <f t="shared" si="645"/>
        <v>0</v>
      </c>
      <c r="CV209" s="683">
        <f t="shared" si="645"/>
        <v>0</v>
      </c>
      <c r="CW209" s="683">
        <f t="shared" si="21"/>
        <v>0</v>
      </c>
      <c r="CX209" s="683">
        <f t="shared" ref="CX209:DG209" si="646">BN209*$CL209</f>
        <v>982.5432</v>
      </c>
      <c r="CY209" s="683">
        <f t="shared" si="646"/>
        <v>982.5432</v>
      </c>
      <c r="CZ209" s="683">
        <f t="shared" si="646"/>
        <v>982.5432</v>
      </c>
      <c r="DA209" s="683">
        <f t="shared" si="646"/>
        <v>0</v>
      </c>
      <c r="DB209" s="683">
        <f t="shared" si="646"/>
        <v>0</v>
      </c>
      <c r="DC209" s="683">
        <f t="shared" si="646"/>
        <v>0</v>
      </c>
      <c r="DD209" s="683">
        <f t="shared" si="646"/>
        <v>0</v>
      </c>
      <c r="DE209" s="683">
        <f t="shared" si="646"/>
        <v>0</v>
      </c>
      <c r="DF209" s="683">
        <f t="shared" si="646"/>
        <v>0</v>
      </c>
      <c r="DG209" s="683">
        <f t="shared" si="646"/>
        <v>0</v>
      </c>
      <c r="DH209" s="683">
        <f t="shared" si="23"/>
        <v>2947.6296</v>
      </c>
      <c r="DI209" s="683">
        <f t="shared" ref="DI209:DR209" si="647">BY209*$CL209</f>
        <v>0</v>
      </c>
      <c r="DJ209" s="683">
        <f t="shared" si="647"/>
        <v>0</v>
      </c>
      <c r="DK209" s="683">
        <f t="shared" si="647"/>
        <v>0</v>
      </c>
      <c r="DL209" s="683">
        <f t="shared" si="647"/>
        <v>0</v>
      </c>
      <c r="DM209" s="683">
        <f t="shared" si="647"/>
        <v>0</v>
      </c>
      <c r="DN209" s="683">
        <f t="shared" si="647"/>
        <v>0</v>
      </c>
      <c r="DO209" s="683">
        <f t="shared" si="647"/>
        <v>0</v>
      </c>
      <c r="DP209" s="683">
        <f t="shared" si="647"/>
        <v>0</v>
      </c>
      <c r="DQ209" s="683">
        <f t="shared" si="647"/>
        <v>0</v>
      </c>
      <c r="DR209" s="683">
        <f t="shared" si="647"/>
        <v>0</v>
      </c>
      <c r="DS209" s="683">
        <f t="shared" si="25"/>
        <v>0</v>
      </c>
      <c r="DT209" s="683">
        <f t="shared" si="175"/>
        <v>2947.6296</v>
      </c>
      <c r="DU209" s="504"/>
      <c r="DV209" s="486"/>
      <c r="DW209" s="688"/>
      <c r="DX209" s="688"/>
      <c r="DY209" s="688"/>
      <c r="DZ209" s="688"/>
      <c r="EA209" s="688"/>
      <c r="EB209" s="688"/>
      <c r="EC209" s="688"/>
      <c r="ED209" s="688"/>
      <c r="EE209" s="688"/>
      <c r="EF209" s="688"/>
      <c r="EG209" s="688"/>
      <c r="EH209" s="707" t="s">
        <v>3381</v>
      </c>
      <c r="EI209" s="708">
        <f>VLOOKUP(I209,CotizacionTDB,4,FALSE())</f>
        <v>141.17</v>
      </c>
      <c r="EJ209" s="708">
        <f>VLOOKUP(I209,CotizacionTDB,5,FALSE())</f>
        <v>119.99</v>
      </c>
      <c r="EK209" s="691"/>
    </row>
    <row r="210" ht="12.0" customHeight="1">
      <c r="A210" s="709" t="s">
        <v>3026</v>
      </c>
      <c r="B210" s="661">
        <v>2.0</v>
      </c>
      <c r="C210" s="567" t="s">
        <v>3027</v>
      </c>
      <c r="D210" s="568" t="s">
        <v>231</v>
      </c>
      <c r="E210" s="568" t="s">
        <v>3270</v>
      </c>
      <c r="F210" s="567" t="s">
        <v>1763</v>
      </c>
      <c r="G210" s="569" t="s">
        <v>2709</v>
      </c>
      <c r="H210" s="569" t="s">
        <v>3119</v>
      </c>
      <c r="I210" s="710" t="s">
        <v>2291</v>
      </c>
      <c r="J210" s="711" t="s">
        <v>1037</v>
      </c>
      <c r="K210" s="567" t="s">
        <v>25</v>
      </c>
      <c r="L210" s="567">
        <v>2024.0</v>
      </c>
      <c r="M210" s="567"/>
      <c r="N210" s="567">
        <v>2024.0</v>
      </c>
      <c r="O210" s="567"/>
      <c r="P210" s="567"/>
      <c r="Q210" s="567"/>
      <c r="R210" s="567"/>
      <c r="S210" s="567"/>
      <c r="T210" s="567"/>
      <c r="U210" s="567"/>
      <c r="V210" s="567"/>
      <c r="W210" s="567">
        <v>4.0</v>
      </c>
      <c r="X210" s="567"/>
      <c r="Y210" s="567">
        <v>4.0</v>
      </c>
      <c r="Z210" s="567"/>
      <c r="AA210" s="567"/>
      <c r="AB210" s="567"/>
      <c r="AC210" s="567"/>
      <c r="AD210" s="567"/>
      <c r="AE210" s="567"/>
      <c r="AF210" s="567"/>
      <c r="AG210" s="567"/>
      <c r="AH210" s="567"/>
      <c r="AI210" s="567"/>
      <c r="AJ210" s="567"/>
      <c r="AK210" s="567"/>
      <c r="AL210" s="567"/>
      <c r="AM210" s="567"/>
      <c r="AN210" s="567"/>
      <c r="AO210" s="567"/>
      <c r="AP210" s="567"/>
      <c r="AQ210" s="567"/>
      <c r="AR210" s="567">
        <v>-2024.0</v>
      </c>
      <c r="AS210" s="567">
        <v>0.0</v>
      </c>
      <c r="AT210" s="567">
        <v>-2024.0</v>
      </c>
      <c r="AU210" s="567">
        <v>0.0</v>
      </c>
      <c r="AV210" s="567">
        <v>0.0</v>
      </c>
      <c r="AW210" s="567">
        <v>0.0</v>
      </c>
      <c r="AX210" s="567">
        <v>0.0</v>
      </c>
      <c r="AY210" s="567">
        <v>0.0</v>
      </c>
      <c r="AZ210" s="567">
        <v>0.0</v>
      </c>
      <c r="BA210" s="567">
        <v>0.0</v>
      </c>
      <c r="BB210" s="567"/>
      <c r="BC210" s="718"/>
      <c r="BD210" s="567"/>
      <c r="BE210" s="718"/>
      <c r="BF210" s="567"/>
      <c r="BG210" s="567"/>
      <c r="BH210" s="567"/>
      <c r="BI210" s="567"/>
      <c r="BJ210" s="567"/>
      <c r="BK210" s="567"/>
      <c r="BL210" s="725"/>
      <c r="BM210" s="665">
        <f t="shared" si="1"/>
        <v>0</v>
      </c>
      <c r="BN210" s="666">
        <v>2.0</v>
      </c>
      <c r="BO210" s="668"/>
      <c r="BP210" s="667">
        <v>2.0</v>
      </c>
      <c r="BQ210" s="668"/>
      <c r="BR210" s="668"/>
      <c r="BS210" s="668"/>
      <c r="BT210" s="668"/>
      <c r="BU210" s="668"/>
      <c r="BV210" s="668"/>
      <c r="BW210" s="670"/>
      <c r="BX210" s="665">
        <f t="shared" si="2"/>
        <v>4</v>
      </c>
      <c r="BY210" s="671">
        <v>0.0</v>
      </c>
      <c r="BZ210" s="668">
        <v>0.0</v>
      </c>
      <c r="CA210" s="668">
        <v>0.0</v>
      </c>
      <c r="CB210" s="668">
        <v>0.0</v>
      </c>
      <c r="CC210" s="668">
        <v>0.0</v>
      </c>
      <c r="CD210" s="668">
        <v>0.0</v>
      </c>
      <c r="CE210" s="668">
        <v>0.0</v>
      </c>
      <c r="CF210" s="668">
        <v>0.0</v>
      </c>
      <c r="CG210" s="668">
        <v>0.0</v>
      </c>
      <c r="CH210" s="670">
        <v>0.0</v>
      </c>
      <c r="CI210" s="665">
        <f t="shared" si="3"/>
        <v>0</v>
      </c>
      <c r="CJ210" s="671">
        <f t="shared" si="4"/>
        <v>4</v>
      </c>
      <c r="CK210" s="715">
        <v>100.26</v>
      </c>
      <c r="CL210" s="668">
        <f t="shared" si="566"/>
        <v>697.8096</v>
      </c>
      <c r="CM210" s="668">
        <f t="shared" ref="CM210:CV210" si="648">BC210*$CL210</f>
        <v>0</v>
      </c>
      <c r="CN210" s="668">
        <f t="shared" si="648"/>
        <v>0</v>
      </c>
      <c r="CO210" s="668">
        <f t="shared" si="648"/>
        <v>0</v>
      </c>
      <c r="CP210" s="668">
        <f t="shared" si="648"/>
        <v>0</v>
      </c>
      <c r="CQ210" s="668">
        <f t="shared" si="648"/>
        <v>0</v>
      </c>
      <c r="CR210" s="668">
        <f t="shared" si="648"/>
        <v>0</v>
      </c>
      <c r="CS210" s="668">
        <f t="shared" si="648"/>
        <v>0</v>
      </c>
      <c r="CT210" s="668">
        <f t="shared" si="648"/>
        <v>0</v>
      </c>
      <c r="CU210" s="668">
        <f t="shared" si="648"/>
        <v>0</v>
      </c>
      <c r="CV210" s="668">
        <f t="shared" si="648"/>
        <v>0</v>
      </c>
      <c r="CW210" s="668">
        <f t="shared" si="21"/>
        <v>0</v>
      </c>
      <c r="CX210" s="668">
        <f t="shared" ref="CX210:DG210" si="649">BN210*$CL210</f>
        <v>1395.6192</v>
      </c>
      <c r="CY210" s="668">
        <f t="shared" si="649"/>
        <v>0</v>
      </c>
      <c r="CZ210" s="668">
        <f t="shared" si="649"/>
        <v>1395.6192</v>
      </c>
      <c r="DA210" s="668">
        <f t="shared" si="649"/>
        <v>0</v>
      </c>
      <c r="DB210" s="668">
        <f t="shared" si="649"/>
        <v>0</v>
      </c>
      <c r="DC210" s="668">
        <f t="shared" si="649"/>
        <v>0</v>
      </c>
      <c r="DD210" s="668">
        <f t="shared" si="649"/>
        <v>0</v>
      </c>
      <c r="DE210" s="668">
        <f t="shared" si="649"/>
        <v>0</v>
      </c>
      <c r="DF210" s="668">
        <f t="shared" si="649"/>
        <v>0</v>
      </c>
      <c r="DG210" s="668">
        <f t="shared" si="649"/>
        <v>0</v>
      </c>
      <c r="DH210" s="668">
        <f t="shared" si="23"/>
        <v>2791.2384</v>
      </c>
      <c r="DI210" s="668">
        <f t="shared" ref="DI210:DR210" si="650">BY210*$CL210</f>
        <v>0</v>
      </c>
      <c r="DJ210" s="668">
        <f t="shared" si="650"/>
        <v>0</v>
      </c>
      <c r="DK210" s="668">
        <f t="shared" si="650"/>
        <v>0</v>
      </c>
      <c r="DL210" s="668">
        <f t="shared" si="650"/>
        <v>0</v>
      </c>
      <c r="DM210" s="668">
        <f t="shared" si="650"/>
        <v>0</v>
      </c>
      <c r="DN210" s="668">
        <f t="shared" si="650"/>
        <v>0</v>
      </c>
      <c r="DO210" s="668">
        <f t="shared" si="650"/>
        <v>0</v>
      </c>
      <c r="DP210" s="668">
        <f t="shared" si="650"/>
        <v>0</v>
      </c>
      <c r="DQ210" s="668">
        <f t="shared" si="650"/>
        <v>0</v>
      </c>
      <c r="DR210" s="668">
        <f t="shared" si="650"/>
        <v>0</v>
      </c>
      <c r="DS210" s="668">
        <f t="shared" si="25"/>
        <v>0</v>
      </c>
      <c r="DT210" s="668">
        <f t="shared" si="175"/>
        <v>2791.2384</v>
      </c>
      <c r="DU210" s="538"/>
      <c r="DV210" s="468"/>
      <c r="DW210" s="698"/>
      <c r="DX210" s="698"/>
      <c r="DY210" s="698"/>
      <c r="DZ210" s="698"/>
      <c r="EA210" s="698"/>
      <c r="EB210" s="698"/>
      <c r="EC210" s="698"/>
      <c r="ED210" s="698"/>
      <c r="EE210" s="698"/>
      <c r="EF210" s="698"/>
      <c r="EG210" s="698"/>
      <c r="EH210" s="576" t="s">
        <v>3382</v>
      </c>
      <c r="EI210" s="716">
        <f>VLOOKUP(I210,CotizacionTDB,4,FALSE())</f>
        <v>100.26</v>
      </c>
      <c r="EJ210" s="716">
        <f>VLOOKUP(I210,CotizacionTDB,5,FALSE())</f>
        <v>85.22</v>
      </c>
      <c r="EK210" s="699"/>
    </row>
    <row r="211" ht="12.0" customHeight="1">
      <c r="A211" s="700" t="s">
        <v>3026</v>
      </c>
      <c r="B211" s="701">
        <v>2.0</v>
      </c>
      <c r="C211" s="562" t="s">
        <v>3027</v>
      </c>
      <c r="D211" s="571" t="s">
        <v>231</v>
      </c>
      <c r="E211" s="571" t="s">
        <v>3270</v>
      </c>
      <c r="F211" s="562" t="s">
        <v>1763</v>
      </c>
      <c r="G211" s="569" t="s">
        <v>2709</v>
      </c>
      <c r="H211" s="569" t="s">
        <v>3383</v>
      </c>
      <c r="I211" s="717" t="s">
        <v>1937</v>
      </c>
      <c r="J211" s="704" t="s">
        <v>1346</v>
      </c>
      <c r="K211" s="562" t="s">
        <v>25</v>
      </c>
      <c r="L211" s="562">
        <v>2024.0</v>
      </c>
      <c r="M211" s="562">
        <v>2024.0</v>
      </c>
      <c r="N211" s="562">
        <v>2024.0</v>
      </c>
      <c r="O211" s="562">
        <v>2024.0</v>
      </c>
      <c r="P211" s="562">
        <v>2024.0</v>
      </c>
      <c r="Q211" s="562">
        <v>2024.0</v>
      </c>
      <c r="R211" s="562"/>
      <c r="S211" s="562"/>
      <c r="T211" s="562"/>
      <c r="U211" s="562"/>
      <c r="V211" s="562"/>
      <c r="W211" s="562">
        <v>5.0</v>
      </c>
      <c r="X211" s="562">
        <v>5.0</v>
      </c>
      <c r="Y211" s="562">
        <v>5.0</v>
      </c>
      <c r="Z211" s="562">
        <v>5.0</v>
      </c>
      <c r="AA211" s="562">
        <v>5.0</v>
      </c>
      <c r="AB211" s="562">
        <v>5.0</v>
      </c>
      <c r="AC211" s="562"/>
      <c r="AD211" s="562"/>
      <c r="AE211" s="562"/>
      <c r="AF211" s="562"/>
      <c r="AG211" s="562"/>
      <c r="AH211" s="562"/>
      <c r="AI211" s="562"/>
      <c r="AJ211" s="562"/>
      <c r="AK211" s="562"/>
      <c r="AL211" s="562"/>
      <c r="AM211" s="562"/>
      <c r="AN211" s="562"/>
      <c r="AO211" s="562"/>
      <c r="AP211" s="562"/>
      <c r="AQ211" s="562"/>
      <c r="AR211" s="562">
        <v>-2024.0</v>
      </c>
      <c r="AS211" s="562">
        <v>-2024.0</v>
      </c>
      <c r="AT211" s="562">
        <v>-2024.0</v>
      </c>
      <c r="AU211" s="562">
        <v>-2024.0</v>
      </c>
      <c r="AV211" s="562">
        <v>-2024.0</v>
      </c>
      <c r="AW211" s="562">
        <v>-2024.0</v>
      </c>
      <c r="AX211" s="562">
        <v>0.0</v>
      </c>
      <c r="AY211" s="562">
        <v>0.0</v>
      </c>
      <c r="AZ211" s="562">
        <v>0.0</v>
      </c>
      <c r="BA211" s="562">
        <v>0.0</v>
      </c>
      <c r="BB211" s="562"/>
      <c r="BC211" s="718"/>
      <c r="BD211" s="718"/>
      <c r="BE211" s="562"/>
      <c r="BF211" s="718"/>
      <c r="BG211" s="718"/>
      <c r="BH211" s="718"/>
      <c r="BI211" s="562"/>
      <c r="BJ211" s="562"/>
      <c r="BK211" s="562"/>
      <c r="BL211" s="681"/>
      <c r="BM211" s="665">
        <f t="shared" si="1"/>
        <v>0</v>
      </c>
      <c r="BN211" s="666">
        <v>4.0</v>
      </c>
      <c r="BO211" s="667">
        <v>2.0</v>
      </c>
      <c r="BP211" s="683"/>
      <c r="BQ211" s="667">
        <v>4.0</v>
      </c>
      <c r="BR211" s="667">
        <v>4.0</v>
      </c>
      <c r="BS211" s="667">
        <v>4.0</v>
      </c>
      <c r="BT211" s="683"/>
      <c r="BU211" s="683"/>
      <c r="BV211" s="683"/>
      <c r="BW211" s="686"/>
      <c r="BX211" s="665">
        <f t="shared" si="2"/>
        <v>18</v>
      </c>
      <c r="BY211" s="682">
        <v>0.0</v>
      </c>
      <c r="BZ211" s="683">
        <v>0.0</v>
      </c>
      <c r="CA211" s="684">
        <v>4.0</v>
      </c>
      <c r="CB211" s="683">
        <v>0.0</v>
      </c>
      <c r="CC211" s="683">
        <v>0.0</v>
      </c>
      <c r="CD211" s="683">
        <v>0.0</v>
      </c>
      <c r="CE211" s="683">
        <v>0.0</v>
      </c>
      <c r="CF211" s="683">
        <v>0.0</v>
      </c>
      <c r="CG211" s="683">
        <v>0.0</v>
      </c>
      <c r="CH211" s="686">
        <v>0.0</v>
      </c>
      <c r="CI211" s="665">
        <f t="shared" si="3"/>
        <v>4</v>
      </c>
      <c r="CJ211" s="682">
        <f t="shared" si="4"/>
        <v>22</v>
      </c>
      <c r="CK211" s="706">
        <v>16.61</v>
      </c>
      <c r="CL211" s="683">
        <f t="shared" si="566"/>
        <v>115.6056</v>
      </c>
      <c r="CM211" s="683">
        <f t="shared" ref="CM211:CV211" si="651">BC211*$CL211</f>
        <v>0</v>
      </c>
      <c r="CN211" s="683">
        <f t="shared" si="651"/>
        <v>0</v>
      </c>
      <c r="CO211" s="683">
        <f t="shared" si="651"/>
        <v>0</v>
      </c>
      <c r="CP211" s="683">
        <f t="shared" si="651"/>
        <v>0</v>
      </c>
      <c r="CQ211" s="683">
        <f t="shared" si="651"/>
        <v>0</v>
      </c>
      <c r="CR211" s="683">
        <f t="shared" si="651"/>
        <v>0</v>
      </c>
      <c r="CS211" s="683">
        <f t="shared" si="651"/>
        <v>0</v>
      </c>
      <c r="CT211" s="683">
        <f t="shared" si="651"/>
        <v>0</v>
      </c>
      <c r="CU211" s="683">
        <f t="shared" si="651"/>
        <v>0</v>
      </c>
      <c r="CV211" s="683">
        <f t="shared" si="651"/>
        <v>0</v>
      </c>
      <c r="CW211" s="683">
        <f t="shared" si="21"/>
        <v>0</v>
      </c>
      <c r="CX211" s="683">
        <f t="shared" ref="CX211:DG211" si="652">BN211*$CL211</f>
        <v>462.4224</v>
      </c>
      <c r="CY211" s="683">
        <f t="shared" si="652"/>
        <v>231.2112</v>
      </c>
      <c r="CZ211" s="683">
        <f t="shared" si="652"/>
        <v>0</v>
      </c>
      <c r="DA211" s="683">
        <f t="shared" si="652"/>
        <v>462.4224</v>
      </c>
      <c r="DB211" s="683">
        <f t="shared" si="652"/>
        <v>462.4224</v>
      </c>
      <c r="DC211" s="683">
        <f t="shared" si="652"/>
        <v>462.4224</v>
      </c>
      <c r="DD211" s="683">
        <f t="shared" si="652"/>
        <v>0</v>
      </c>
      <c r="DE211" s="683">
        <f t="shared" si="652"/>
        <v>0</v>
      </c>
      <c r="DF211" s="683">
        <f t="shared" si="652"/>
        <v>0</v>
      </c>
      <c r="DG211" s="683">
        <f t="shared" si="652"/>
        <v>0</v>
      </c>
      <c r="DH211" s="683">
        <f t="shared" si="23"/>
        <v>2080.9008</v>
      </c>
      <c r="DI211" s="683">
        <f t="shared" ref="DI211:DR211" si="653">BY211*$CL211</f>
        <v>0</v>
      </c>
      <c r="DJ211" s="683">
        <f t="shared" si="653"/>
        <v>0</v>
      </c>
      <c r="DK211" s="683">
        <f t="shared" si="653"/>
        <v>462.4224</v>
      </c>
      <c r="DL211" s="683">
        <f t="shared" si="653"/>
        <v>0</v>
      </c>
      <c r="DM211" s="683">
        <f t="shared" si="653"/>
        <v>0</v>
      </c>
      <c r="DN211" s="683">
        <f t="shared" si="653"/>
        <v>0</v>
      </c>
      <c r="DO211" s="683">
        <f t="shared" si="653"/>
        <v>0</v>
      </c>
      <c r="DP211" s="683">
        <f t="shared" si="653"/>
        <v>0</v>
      </c>
      <c r="DQ211" s="683">
        <f t="shared" si="653"/>
        <v>0</v>
      </c>
      <c r="DR211" s="683">
        <f t="shared" si="653"/>
        <v>0</v>
      </c>
      <c r="DS211" s="683">
        <f t="shared" si="25"/>
        <v>462.4224</v>
      </c>
      <c r="DT211" s="683">
        <f t="shared" si="175"/>
        <v>2543.3232</v>
      </c>
      <c r="DU211" s="504"/>
      <c r="DV211" s="486"/>
      <c r="DW211" s="688"/>
      <c r="DX211" s="688"/>
      <c r="DY211" s="688"/>
      <c r="DZ211" s="688"/>
      <c r="EA211" s="688"/>
      <c r="EB211" s="688"/>
      <c r="EC211" s="688"/>
      <c r="ED211" s="688"/>
      <c r="EE211" s="688"/>
      <c r="EF211" s="688"/>
      <c r="EG211" s="688"/>
      <c r="EH211" s="707" t="s">
        <v>3384</v>
      </c>
      <c r="EI211" s="708">
        <f>VLOOKUP(I211,CotizacionTDB,4,FALSE())</f>
        <v>16.61</v>
      </c>
      <c r="EJ211" s="708">
        <f>VLOOKUP(I211,CotizacionTDB,5,FALSE())</f>
        <v>14.12</v>
      </c>
      <c r="EK211" s="691"/>
    </row>
    <row r="212" ht="12.0" customHeight="1">
      <c r="A212" s="709" t="s">
        <v>3026</v>
      </c>
      <c r="B212" s="661">
        <v>2.0</v>
      </c>
      <c r="C212" s="567" t="s">
        <v>3027</v>
      </c>
      <c r="D212" s="568" t="s">
        <v>231</v>
      </c>
      <c r="E212" s="568" t="s">
        <v>3270</v>
      </c>
      <c r="F212" s="567" t="s">
        <v>1763</v>
      </c>
      <c r="G212" s="569" t="s">
        <v>2709</v>
      </c>
      <c r="H212" s="658"/>
      <c r="I212" s="878" t="s">
        <v>2052</v>
      </c>
      <c r="J212" s="879" t="s">
        <v>2053</v>
      </c>
      <c r="K212" s="567" t="s">
        <v>25</v>
      </c>
      <c r="L212" s="567"/>
      <c r="M212" s="567"/>
      <c r="N212" s="567"/>
      <c r="O212" s="567"/>
      <c r="P212" s="567">
        <v>2024.0</v>
      </c>
      <c r="Q212" s="567"/>
      <c r="R212" s="567"/>
      <c r="S212" s="567"/>
      <c r="T212" s="567"/>
      <c r="U212" s="567"/>
      <c r="V212" s="567"/>
      <c r="W212" s="567"/>
      <c r="X212" s="567"/>
      <c r="Y212" s="567"/>
      <c r="Z212" s="567"/>
      <c r="AA212" s="567">
        <v>5.0</v>
      </c>
      <c r="AB212" s="567"/>
      <c r="AC212" s="567"/>
      <c r="AD212" s="567"/>
      <c r="AE212" s="567"/>
      <c r="AF212" s="567"/>
      <c r="AG212" s="567"/>
      <c r="AH212" s="567"/>
      <c r="AI212" s="567"/>
      <c r="AJ212" s="567"/>
      <c r="AK212" s="567"/>
      <c r="AL212" s="567"/>
      <c r="AM212" s="567"/>
      <c r="AN212" s="567"/>
      <c r="AO212" s="567"/>
      <c r="AP212" s="567"/>
      <c r="AQ212" s="567"/>
      <c r="AR212" s="567">
        <v>0.0</v>
      </c>
      <c r="AS212" s="567">
        <v>0.0</v>
      </c>
      <c r="AT212" s="567">
        <v>0.0</v>
      </c>
      <c r="AU212" s="567">
        <v>0.0</v>
      </c>
      <c r="AV212" s="567">
        <v>-2024.0</v>
      </c>
      <c r="AW212" s="567">
        <v>0.0</v>
      </c>
      <c r="AX212" s="567">
        <v>0.0</v>
      </c>
      <c r="AY212" s="567">
        <v>0.0</v>
      </c>
      <c r="AZ212" s="567">
        <v>0.0</v>
      </c>
      <c r="BA212" s="567">
        <v>0.0</v>
      </c>
      <c r="BB212" s="567"/>
      <c r="BC212" s="567"/>
      <c r="BD212" s="567"/>
      <c r="BE212" s="567"/>
      <c r="BF212" s="567"/>
      <c r="BG212" s="718"/>
      <c r="BH212" s="567"/>
      <c r="BI212" s="567"/>
      <c r="BJ212" s="567"/>
      <c r="BK212" s="567"/>
      <c r="BL212" s="725"/>
      <c r="BM212" s="665">
        <f t="shared" si="1"/>
        <v>0</v>
      </c>
      <c r="BN212" s="671"/>
      <c r="BO212" s="668"/>
      <c r="BP212" s="668"/>
      <c r="BQ212" s="668"/>
      <c r="BR212" s="667">
        <v>2.0</v>
      </c>
      <c r="BS212" s="668"/>
      <c r="BT212" s="668"/>
      <c r="BU212" s="668"/>
      <c r="BV212" s="668"/>
      <c r="BW212" s="670"/>
      <c r="BX212" s="665">
        <f t="shared" si="2"/>
        <v>2</v>
      </c>
      <c r="BY212" s="671">
        <v>0.0</v>
      </c>
      <c r="BZ212" s="668">
        <v>0.0</v>
      </c>
      <c r="CA212" s="668">
        <v>0.0</v>
      </c>
      <c r="CB212" s="668">
        <v>0.0</v>
      </c>
      <c r="CC212" s="668">
        <v>0.0</v>
      </c>
      <c r="CD212" s="668">
        <v>0.0</v>
      </c>
      <c r="CE212" s="668">
        <v>0.0</v>
      </c>
      <c r="CF212" s="668">
        <v>0.0</v>
      </c>
      <c r="CG212" s="668">
        <v>0.0</v>
      </c>
      <c r="CH212" s="670">
        <v>0.0</v>
      </c>
      <c r="CI212" s="665">
        <f t="shared" si="3"/>
        <v>0</v>
      </c>
      <c r="CJ212" s="671">
        <f t="shared" si="4"/>
        <v>2</v>
      </c>
      <c r="CK212" s="715">
        <v>236.51</v>
      </c>
      <c r="CL212" s="668">
        <f t="shared" si="566"/>
        <v>1646.1096</v>
      </c>
      <c r="CM212" s="668">
        <f t="shared" ref="CM212:CV212" si="654">BC212*$CL212</f>
        <v>0</v>
      </c>
      <c r="CN212" s="668">
        <f t="shared" si="654"/>
        <v>0</v>
      </c>
      <c r="CO212" s="668">
        <f t="shared" si="654"/>
        <v>0</v>
      </c>
      <c r="CP212" s="668">
        <f t="shared" si="654"/>
        <v>0</v>
      </c>
      <c r="CQ212" s="668">
        <f t="shared" si="654"/>
        <v>0</v>
      </c>
      <c r="CR212" s="668">
        <f t="shared" si="654"/>
        <v>0</v>
      </c>
      <c r="CS212" s="668">
        <f t="shared" si="654"/>
        <v>0</v>
      </c>
      <c r="CT212" s="668">
        <f t="shared" si="654"/>
        <v>0</v>
      </c>
      <c r="CU212" s="668">
        <f t="shared" si="654"/>
        <v>0</v>
      </c>
      <c r="CV212" s="668">
        <f t="shared" si="654"/>
        <v>0</v>
      </c>
      <c r="CW212" s="668">
        <f t="shared" si="21"/>
        <v>0</v>
      </c>
      <c r="CX212" s="668">
        <f t="shared" ref="CX212:DG212" si="655">BN212*$CL212</f>
        <v>0</v>
      </c>
      <c r="CY212" s="668">
        <f t="shared" si="655"/>
        <v>0</v>
      </c>
      <c r="CZ212" s="668">
        <f t="shared" si="655"/>
        <v>0</v>
      </c>
      <c r="DA212" s="668">
        <f t="shared" si="655"/>
        <v>0</v>
      </c>
      <c r="DB212" s="668">
        <f t="shared" si="655"/>
        <v>3292.2192</v>
      </c>
      <c r="DC212" s="668">
        <f t="shared" si="655"/>
        <v>0</v>
      </c>
      <c r="DD212" s="668">
        <f t="shared" si="655"/>
        <v>0</v>
      </c>
      <c r="DE212" s="668">
        <f t="shared" si="655"/>
        <v>0</v>
      </c>
      <c r="DF212" s="668">
        <f t="shared" si="655"/>
        <v>0</v>
      </c>
      <c r="DG212" s="668">
        <f t="shared" si="655"/>
        <v>0</v>
      </c>
      <c r="DH212" s="668">
        <f t="shared" si="23"/>
        <v>3292.2192</v>
      </c>
      <c r="DI212" s="668">
        <f t="shared" ref="DI212:DR212" si="656">BY212*$CL212</f>
        <v>0</v>
      </c>
      <c r="DJ212" s="668">
        <f t="shared" si="656"/>
        <v>0</v>
      </c>
      <c r="DK212" s="668">
        <f t="shared" si="656"/>
        <v>0</v>
      </c>
      <c r="DL212" s="668">
        <f t="shared" si="656"/>
        <v>0</v>
      </c>
      <c r="DM212" s="668">
        <f t="shared" si="656"/>
        <v>0</v>
      </c>
      <c r="DN212" s="668">
        <f t="shared" si="656"/>
        <v>0</v>
      </c>
      <c r="DO212" s="668">
        <f t="shared" si="656"/>
        <v>0</v>
      </c>
      <c r="DP212" s="668">
        <f t="shared" si="656"/>
        <v>0</v>
      </c>
      <c r="DQ212" s="668">
        <f t="shared" si="656"/>
        <v>0</v>
      </c>
      <c r="DR212" s="668">
        <f t="shared" si="656"/>
        <v>0</v>
      </c>
      <c r="DS212" s="668">
        <f t="shared" si="25"/>
        <v>0</v>
      </c>
      <c r="DT212" s="668">
        <f t="shared" si="175"/>
        <v>3292.2192</v>
      </c>
      <c r="DU212" s="792"/>
      <c r="DV212" s="861" t="s">
        <v>3385</v>
      </c>
      <c r="DW212" s="676"/>
      <c r="DX212" s="676"/>
      <c r="DY212" s="676"/>
      <c r="DZ212" s="676"/>
      <c r="EA212" s="676"/>
      <c r="EB212" s="676"/>
      <c r="EC212" s="676"/>
      <c r="ED212" s="676"/>
      <c r="EE212" s="676"/>
      <c r="EF212" s="676"/>
      <c r="EG212" s="676"/>
      <c r="EH212" s="884" t="s">
        <v>3386</v>
      </c>
      <c r="EI212" s="716">
        <f>VLOOKUP(I212,CotizacionTDB,4,FALSE())</f>
        <v>236.51</v>
      </c>
      <c r="EJ212" s="716">
        <f>VLOOKUP(I212,CotizacionTDB,5,FALSE())</f>
        <v>201.03</v>
      </c>
      <c r="EK212" s="699"/>
    </row>
    <row r="213" ht="12.0" customHeight="1">
      <c r="A213" s="700" t="s">
        <v>3026</v>
      </c>
      <c r="B213" s="701">
        <v>2.0</v>
      </c>
      <c r="C213" s="562" t="s">
        <v>3027</v>
      </c>
      <c r="D213" s="571" t="s">
        <v>231</v>
      </c>
      <c r="E213" s="571" t="s">
        <v>3270</v>
      </c>
      <c r="F213" s="562" t="s">
        <v>1763</v>
      </c>
      <c r="G213" s="569" t="s">
        <v>2709</v>
      </c>
      <c r="H213" s="737"/>
      <c r="I213" s="878" t="s">
        <v>2364</v>
      </c>
      <c r="J213" s="885" t="s">
        <v>2365</v>
      </c>
      <c r="K213" s="562" t="s">
        <v>25</v>
      </c>
      <c r="L213" s="562"/>
      <c r="M213" s="562"/>
      <c r="N213" s="562"/>
      <c r="O213" s="562"/>
      <c r="P213" s="562">
        <v>2024.0</v>
      </c>
      <c r="Q213" s="562"/>
      <c r="R213" s="562"/>
      <c r="S213" s="562"/>
      <c r="T213" s="562"/>
      <c r="U213" s="562"/>
      <c r="V213" s="562"/>
      <c r="W213" s="562"/>
      <c r="X213" s="562"/>
      <c r="Y213" s="562"/>
      <c r="Z213" s="562"/>
      <c r="AA213" s="562">
        <v>5.0</v>
      </c>
      <c r="AB213" s="562"/>
      <c r="AC213" s="562"/>
      <c r="AD213" s="562"/>
      <c r="AE213" s="562"/>
      <c r="AF213" s="562"/>
      <c r="AG213" s="562"/>
      <c r="AH213" s="562"/>
      <c r="AI213" s="562"/>
      <c r="AJ213" s="562"/>
      <c r="AK213" s="562"/>
      <c r="AL213" s="562"/>
      <c r="AM213" s="562"/>
      <c r="AN213" s="562"/>
      <c r="AO213" s="562"/>
      <c r="AP213" s="562"/>
      <c r="AQ213" s="562"/>
      <c r="AR213" s="562">
        <v>0.0</v>
      </c>
      <c r="AS213" s="562">
        <v>0.0</v>
      </c>
      <c r="AT213" s="562">
        <v>0.0</v>
      </c>
      <c r="AU213" s="562">
        <v>0.0</v>
      </c>
      <c r="AV213" s="562">
        <v>-2024.0</v>
      </c>
      <c r="AW213" s="562">
        <v>0.0</v>
      </c>
      <c r="AX213" s="562">
        <v>0.0</v>
      </c>
      <c r="AY213" s="562">
        <v>0.0</v>
      </c>
      <c r="AZ213" s="562">
        <v>0.0</v>
      </c>
      <c r="BA213" s="562">
        <v>0.0</v>
      </c>
      <c r="BB213" s="562"/>
      <c r="BC213" s="562"/>
      <c r="BD213" s="562"/>
      <c r="BE213" s="562"/>
      <c r="BF213" s="562"/>
      <c r="BG213" s="718"/>
      <c r="BH213" s="562"/>
      <c r="BI213" s="562"/>
      <c r="BJ213" s="562"/>
      <c r="BK213" s="562"/>
      <c r="BL213" s="681"/>
      <c r="BM213" s="665">
        <f t="shared" si="1"/>
        <v>0</v>
      </c>
      <c r="BN213" s="682"/>
      <c r="BO213" s="683"/>
      <c r="BP213" s="683"/>
      <c r="BQ213" s="683"/>
      <c r="BR213" s="667">
        <v>2.0</v>
      </c>
      <c r="BS213" s="683"/>
      <c r="BT213" s="683"/>
      <c r="BU213" s="683"/>
      <c r="BV213" s="683"/>
      <c r="BW213" s="686"/>
      <c r="BX213" s="665">
        <f t="shared" si="2"/>
        <v>2</v>
      </c>
      <c r="BY213" s="682">
        <v>0.0</v>
      </c>
      <c r="BZ213" s="683">
        <v>0.0</v>
      </c>
      <c r="CA213" s="683">
        <v>0.0</v>
      </c>
      <c r="CB213" s="683">
        <v>0.0</v>
      </c>
      <c r="CC213" s="683">
        <v>0.0</v>
      </c>
      <c r="CD213" s="683">
        <v>0.0</v>
      </c>
      <c r="CE213" s="683">
        <v>0.0</v>
      </c>
      <c r="CF213" s="683">
        <v>0.0</v>
      </c>
      <c r="CG213" s="683">
        <v>0.0</v>
      </c>
      <c r="CH213" s="686">
        <v>0.0</v>
      </c>
      <c r="CI213" s="665">
        <f t="shared" si="3"/>
        <v>0</v>
      </c>
      <c r="CJ213" s="682">
        <f t="shared" si="4"/>
        <v>2</v>
      </c>
      <c r="CK213" s="706">
        <v>231.51</v>
      </c>
      <c r="CL213" s="683">
        <f t="shared" si="566"/>
        <v>1611.3096</v>
      </c>
      <c r="CM213" s="683">
        <f t="shared" ref="CM213:CV213" si="657">BC213*$CL213</f>
        <v>0</v>
      </c>
      <c r="CN213" s="683">
        <f t="shared" si="657"/>
        <v>0</v>
      </c>
      <c r="CO213" s="683">
        <f t="shared" si="657"/>
        <v>0</v>
      </c>
      <c r="CP213" s="683">
        <f t="shared" si="657"/>
        <v>0</v>
      </c>
      <c r="CQ213" s="683">
        <f t="shared" si="657"/>
        <v>0</v>
      </c>
      <c r="CR213" s="683">
        <f t="shared" si="657"/>
        <v>0</v>
      </c>
      <c r="CS213" s="683">
        <f t="shared" si="657"/>
        <v>0</v>
      </c>
      <c r="CT213" s="683">
        <f t="shared" si="657"/>
        <v>0</v>
      </c>
      <c r="CU213" s="683">
        <f t="shared" si="657"/>
        <v>0</v>
      </c>
      <c r="CV213" s="683">
        <f t="shared" si="657"/>
        <v>0</v>
      </c>
      <c r="CW213" s="683">
        <f t="shared" si="21"/>
        <v>0</v>
      </c>
      <c r="CX213" s="683">
        <f t="shared" ref="CX213:DG213" si="658">BN213*$CL213</f>
        <v>0</v>
      </c>
      <c r="CY213" s="683">
        <f t="shared" si="658"/>
        <v>0</v>
      </c>
      <c r="CZ213" s="683">
        <f t="shared" si="658"/>
        <v>0</v>
      </c>
      <c r="DA213" s="683">
        <f t="shared" si="658"/>
        <v>0</v>
      </c>
      <c r="DB213" s="683">
        <f t="shared" si="658"/>
        <v>3222.6192</v>
      </c>
      <c r="DC213" s="683">
        <f t="shared" si="658"/>
        <v>0</v>
      </c>
      <c r="DD213" s="683">
        <f t="shared" si="658"/>
        <v>0</v>
      </c>
      <c r="DE213" s="683">
        <f t="shared" si="658"/>
        <v>0</v>
      </c>
      <c r="DF213" s="683">
        <f t="shared" si="658"/>
        <v>0</v>
      </c>
      <c r="DG213" s="683">
        <f t="shared" si="658"/>
        <v>0</v>
      </c>
      <c r="DH213" s="683">
        <f t="shared" si="23"/>
        <v>3222.6192</v>
      </c>
      <c r="DI213" s="683">
        <f t="shared" ref="DI213:DR213" si="659">BY213*$CL213</f>
        <v>0</v>
      </c>
      <c r="DJ213" s="683">
        <f t="shared" si="659"/>
        <v>0</v>
      </c>
      <c r="DK213" s="683">
        <f t="shared" si="659"/>
        <v>0</v>
      </c>
      <c r="DL213" s="683">
        <f t="shared" si="659"/>
        <v>0</v>
      </c>
      <c r="DM213" s="683">
        <f t="shared" si="659"/>
        <v>0</v>
      </c>
      <c r="DN213" s="683">
        <f t="shared" si="659"/>
        <v>0</v>
      </c>
      <c r="DO213" s="683">
        <f t="shared" si="659"/>
        <v>0</v>
      </c>
      <c r="DP213" s="683">
        <f t="shared" si="659"/>
        <v>0</v>
      </c>
      <c r="DQ213" s="683">
        <f t="shared" si="659"/>
        <v>0</v>
      </c>
      <c r="DR213" s="683">
        <f t="shared" si="659"/>
        <v>0</v>
      </c>
      <c r="DS213" s="683">
        <f t="shared" si="25"/>
        <v>0</v>
      </c>
      <c r="DT213" s="683">
        <f t="shared" si="175"/>
        <v>3222.6192</v>
      </c>
      <c r="DU213" s="801"/>
      <c r="DV213" s="861" t="s">
        <v>3387</v>
      </c>
      <c r="DW213" s="803"/>
      <c r="DX213" s="803"/>
      <c r="DY213" s="803"/>
      <c r="DZ213" s="803"/>
      <c r="EA213" s="803"/>
      <c r="EB213" s="803"/>
      <c r="EC213" s="803"/>
      <c r="ED213" s="803"/>
      <c r="EE213" s="803"/>
      <c r="EF213" s="803"/>
      <c r="EG213" s="803"/>
      <c r="EH213" s="707" t="s">
        <v>3388</v>
      </c>
      <c r="EI213" s="708">
        <f>VLOOKUP(I213,CotizacionTDB,4,FALSE())</f>
        <v>231.51</v>
      </c>
      <c r="EJ213" s="708">
        <f>VLOOKUP(I213,CotizacionTDB,5,FALSE())</f>
        <v>196.78</v>
      </c>
      <c r="EK213" s="691"/>
    </row>
    <row r="214" ht="12.0" customHeight="1">
      <c r="A214" s="709" t="s">
        <v>3026</v>
      </c>
      <c r="B214" s="661">
        <v>2.0</v>
      </c>
      <c r="C214" s="567" t="s">
        <v>3027</v>
      </c>
      <c r="D214" s="568" t="s">
        <v>231</v>
      </c>
      <c r="E214" s="568" t="s">
        <v>3270</v>
      </c>
      <c r="F214" s="567" t="s">
        <v>1763</v>
      </c>
      <c r="G214" s="569" t="s">
        <v>2709</v>
      </c>
      <c r="H214" s="658"/>
      <c r="I214" s="710" t="s">
        <v>2194</v>
      </c>
      <c r="J214" s="711" t="s">
        <v>1483</v>
      </c>
      <c r="K214" s="567" t="s">
        <v>25</v>
      </c>
      <c r="L214" s="567">
        <v>2024.0</v>
      </c>
      <c r="M214" s="567"/>
      <c r="N214" s="567"/>
      <c r="O214" s="567"/>
      <c r="P214" s="567"/>
      <c r="Q214" s="567"/>
      <c r="R214" s="567"/>
      <c r="S214" s="567"/>
      <c r="T214" s="567"/>
      <c r="U214" s="567"/>
      <c r="V214" s="567"/>
      <c r="W214" s="567">
        <v>4.0</v>
      </c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7"/>
      <c r="AH214" s="567"/>
      <c r="AI214" s="567"/>
      <c r="AJ214" s="567"/>
      <c r="AK214" s="567"/>
      <c r="AL214" s="567"/>
      <c r="AM214" s="567"/>
      <c r="AN214" s="567"/>
      <c r="AO214" s="567"/>
      <c r="AP214" s="567"/>
      <c r="AQ214" s="567"/>
      <c r="AR214" s="567">
        <v>-2024.0</v>
      </c>
      <c r="AS214" s="567">
        <v>0.0</v>
      </c>
      <c r="AT214" s="567">
        <v>0.0</v>
      </c>
      <c r="AU214" s="567">
        <v>0.0</v>
      </c>
      <c r="AV214" s="567">
        <v>0.0</v>
      </c>
      <c r="AW214" s="567">
        <v>0.0</v>
      </c>
      <c r="AX214" s="567">
        <v>0.0</v>
      </c>
      <c r="AY214" s="567">
        <v>0.0</v>
      </c>
      <c r="AZ214" s="567">
        <v>0.0</v>
      </c>
      <c r="BA214" s="567">
        <v>0.0</v>
      </c>
      <c r="BB214" s="567"/>
      <c r="BC214" s="718"/>
      <c r="BD214" s="567"/>
      <c r="BE214" s="567"/>
      <c r="BF214" s="567"/>
      <c r="BG214" s="567"/>
      <c r="BH214" s="567"/>
      <c r="BI214" s="567"/>
      <c r="BJ214" s="567"/>
      <c r="BK214" s="567"/>
      <c r="BL214" s="725"/>
      <c r="BM214" s="665">
        <f t="shared" si="1"/>
        <v>0</v>
      </c>
      <c r="BN214" s="666">
        <v>1.0</v>
      </c>
      <c r="BO214" s="668"/>
      <c r="BP214" s="668"/>
      <c r="BQ214" s="668"/>
      <c r="BR214" s="668"/>
      <c r="BS214" s="668"/>
      <c r="BT214" s="668"/>
      <c r="BU214" s="668"/>
      <c r="BV214" s="668"/>
      <c r="BW214" s="670"/>
      <c r="BX214" s="665">
        <f t="shared" si="2"/>
        <v>1</v>
      </c>
      <c r="BY214" s="671">
        <v>0.0</v>
      </c>
      <c r="BZ214" s="668">
        <v>0.0</v>
      </c>
      <c r="CA214" s="668">
        <v>0.0</v>
      </c>
      <c r="CB214" s="668">
        <v>0.0</v>
      </c>
      <c r="CC214" s="668">
        <v>0.0</v>
      </c>
      <c r="CD214" s="668">
        <v>0.0</v>
      </c>
      <c r="CE214" s="668">
        <v>0.0</v>
      </c>
      <c r="CF214" s="668">
        <v>0.0</v>
      </c>
      <c r="CG214" s="668">
        <v>0.0</v>
      </c>
      <c r="CH214" s="670">
        <v>0.0</v>
      </c>
      <c r="CI214" s="665">
        <f t="shared" si="3"/>
        <v>0</v>
      </c>
      <c r="CJ214" s="671">
        <f t="shared" si="4"/>
        <v>1</v>
      </c>
      <c r="CK214" s="715">
        <v>149.09</v>
      </c>
      <c r="CL214" s="668">
        <f t="shared" si="566"/>
        <v>1037.6664</v>
      </c>
      <c r="CM214" s="668">
        <f t="shared" ref="CM214:CV214" si="660">BC214*$CL214</f>
        <v>0</v>
      </c>
      <c r="CN214" s="668">
        <f t="shared" si="660"/>
        <v>0</v>
      </c>
      <c r="CO214" s="668">
        <f t="shared" si="660"/>
        <v>0</v>
      </c>
      <c r="CP214" s="668">
        <f t="shared" si="660"/>
        <v>0</v>
      </c>
      <c r="CQ214" s="668">
        <f t="shared" si="660"/>
        <v>0</v>
      </c>
      <c r="CR214" s="668">
        <f t="shared" si="660"/>
        <v>0</v>
      </c>
      <c r="CS214" s="668">
        <f t="shared" si="660"/>
        <v>0</v>
      </c>
      <c r="CT214" s="668">
        <f t="shared" si="660"/>
        <v>0</v>
      </c>
      <c r="CU214" s="668">
        <f t="shared" si="660"/>
        <v>0</v>
      </c>
      <c r="CV214" s="668">
        <f t="shared" si="660"/>
        <v>0</v>
      </c>
      <c r="CW214" s="668">
        <f t="shared" si="21"/>
        <v>0</v>
      </c>
      <c r="CX214" s="668">
        <f t="shared" ref="CX214:DG214" si="661">BN214*$CL214</f>
        <v>1037.6664</v>
      </c>
      <c r="CY214" s="668">
        <f t="shared" si="661"/>
        <v>0</v>
      </c>
      <c r="CZ214" s="668">
        <f t="shared" si="661"/>
        <v>0</v>
      </c>
      <c r="DA214" s="668">
        <f t="shared" si="661"/>
        <v>0</v>
      </c>
      <c r="DB214" s="668">
        <f t="shared" si="661"/>
        <v>0</v>
      </c>
      <c r="DC214" s="668">
        <f t="shared" si="661"/>
        <v>0</v>
      </c>
      <c r="DD214" s="668">
        <f t="shared" si="661"/>
        <v>0</v>
      </c>
      <c r="DE214" s="668">
        <f t="shared" si="661"/>
        <v>0</v>
      </c>
      <c r="DF214" s="668">
        <f t="shared" si="661"/>
        <v>0</v>
      </c>
      <c r="DG214" s="668">
        <f t="shared" si="661"/>
        <v>0</v>
      </c>
      <c r="DH214" s="668">
        <f t="shared" si="23"/>
        <v>1037.6664</v>
      </c>
      <c r="DI214" s="668">
        <f t="shared" ref="DI214:DR214" si="662">BY214*$CL214</f>
        <v>0</v>
      </c>
      <c r="DJ214" s="668">
        <f t="shared" si="662"/>
        <v>0</v>
      </c>
      <c r="DK214" s="668">
        <f t="shared" si="662"/>
        <v>0</v>
      </c>
      <c r="DL214" s="668">
        <f t="shared" si="662"/>
        <v>0</v>
      </c>
      <c r="DM214" s="668">
        <f t="shared" si="662"/>
        <v>0</v>
      </c>
      <c r="DN214" s="668">
        <f t="shared" si="662"/>
        <v>0</v>
      </c>
      <c r="DO214" s="668">
        <f t="shared" si="662"/>
        <v>0</v>
      </c>
      <c r="DP214" s="668">
        <f t="shared" si="662"/>
        <v>0</v>
      </c>
      <c r="DQ214" s="668">
        <f t="shared" si="662"/>
        <v>0</v>
      </c>
      <c r="DR214" s="668">
        <f t="shared" si="662"/>
        <v>0</v>
      </c>
      <c r="DS214" s="668">
        <f t="shared" si="25"/>
        <v>0</v>
      </c>
      <c r="DT214" s="668">
        <f t="shared" si="175"/>
        <v>1037.6664</v>
      </c>
      <c r="DU214" s="538"/>
      <c r="DV214" s="468"/>
      <c r="DW214" s="698"/>
      <c r="DX214" s="698"/>
      <c r="DY214" s="698"/>
      <c r="DZ214" s="698"/>
      <c r="EA214" s="698"/>
      <c r="EB214" s="698"/>
      <c r="EC214" s="698"/>
      <c r="ED214" s="698"/>
      <c r="EE214" s="698"/>
      <c r="EF214" s="698"/>
      <c r="EG214" s="698"/>
      <c r="EH214" s="576" t="s">
        <v>1483</v>
      </c>
      <c r="EI214" s="716">
        <f>VLOOKUP(I214,CotizacionTDB,4,FALSE())</f>
        <v>149.09</v>
      </c>
      <c r="EJ214" s="716">
        <f>VLOOKUP(I214,CotizacionTDB,5,FALSE())</f>
        <v>126.73</v>
      </c>
      <c r="EK214" s="699"/>
    </row>
    <row r="215" ht="12.0" customHeight="1">
      <c r="A215" s="700" t="s">
        <v>3026</v>
      </c>
      <c r="B215" s="701">
        <v>2.0</v>
      </c>
      <c r="C215" s="562" t="s">
        <v>3027</v>
      </c>
      <c r="D215" s="571" t="s">
        <v>231</v>
      </c>
      <c r="E215" s="571" t="s">
        <v>3270</v>
      </c>
      <c r="F215" s="562" t="s">
        <v>1763</v>
      </c>
      <c r="G215" s="569" t="s">
        <v>2709</v>
      </c>
      <c r="H215" s="702" t="s">
        <v>3389</v>
      </c>
      <c r="I215" s="886" t="s">
        <v>2376</v>
      </c>
      <c r="J215" s="704" t="s">
        <v>1550</v>
      </c>
      <c r="K215" s="562" t="s">
        <v>25</v>
      </c>
      <c r="L215" s="562">
        <v>2024.0</v>
      </c>
      <c r="M215" s="562">
        <v>2024.0</v>
      </c>
      <c r="N215" s="562">
        <v>2024.0</v>
      </c>
      <c r="O215" s="562">
        <v>2024.0</v>
      </c>
      <c r="P215" s="562">
        <v>2024.0</v>
      </c>
      <c r="Q215" s="562">
        <v>2024.0</v>
      </c>
      <c r="R215" s="562"/>
      <c r="S215" s="562"/>
      <c r="T215" s="562"/>
      <c r="U215" s="562"/>
      <c r="V215" s="562"/>
      <c r="W215" s="562">
        <v>4.0</v>
      </c>
      <c r="X215" s="562">
        <v>5.0</v>
      </c>
      <c r="Y215" s="562">
        <v>4.0</v>
      </c>
      <c r="Z215" s="562">
        <v>5.0</v>
      </c>
      <c r="AA215" s="562">
        <v>5.0</v>
      </c>
      <c r="AB215" s="562">
        <v>5.0</v>
      </c>
      <c r="AC215" s="562"/>
      <c r="AD215" s="562"/>
      <c r="AE215" s="562"/>
      <c r="AF215" s="562"/>
      <c r="AG215" s="562"/>
      <c r="AH215" s="562"/>
      <c r="AI215" s="562"/>
      <c r="AJ215" s="562"/>
      <c r="AK215" s="562"/>
      <c r="AL215" s="562"/>
      <c r="AM215" s="562"/>
      <c r="AN215" s="562"/>
      <c r="AO215" s="562"/>
      <c r="AP215" s="562"/>
      <c r="AQ215" s="562"/>
      <c r="AR215" s="562">
        <v>-2024.0</v>
      </c>
      <c r="AS215" s="562">
        <v>-2024.0</v>
      </c>
      <c r="AT215" s="562">
        <v>-2024.0</v>
      </c>
      <c r="AU215" s="562">
        <v>-2024.0</v>
      </c>
      <c r="AV215" s="562">
        <v>-2024.0</v>
      </c>
      <c r="AW215" s="562">
        <v>-2024.0</v>
      </c>
      <c r="AX215" s="562">
        <v>0.0</v>
      </c>
      <c r="AY215" s="562">
        <v>0.0</v>
      </c>
      <c r="AZ215" s="562">
        <v>0.0</v>
      </c>
      <c r="BA215" s="562">
        <v>0.0</v>
      </c>
      <c r="BB215" s="562"/>
      <c r="BC215" s="718"/>
      <c r="BD215" s="718"/>
      <c r="BE215" s="718"/>
      <c r="BF215" s="718"/>
      <c r="BG215" s="718"/>
      <c r="BH215" s="718"/>
      <c r="BI215" s="562"/>
      <c r="BJ215" s="562"/>
      <c r="BK215" s="562"/>
      <c r="BL215" s="681"/>
      <c r="BM215" s="665">
        <f t="shared" si="1"/>
        <v>0</v>
      </c>
      <c r="BN215" s="666">
        <v>4.0</v>
      </c>
      <c r="BO215" s="667">
        <v>4.0</v>
      </c>
      <c r="BP215" s="667">
        <v>4.0</v>
      </c>
      <c r="BQ215" s="667">
        <v>4.0</v>
      </c>
      <c r="BR215" s="667">
        <v>4.0</v>
      </c>
      <c r="BS215" s="667">
        <v>4.0</v>
      </c>
      <c r="BT215" s="683"/>
      <c r="BU215" s="683"/>
      <c r="BV215" s="683"/>
      <c r="BW215" s="686"/>
      <c r="BX215" s="665">
        <f t="shared" si="2"/>
        <v>24</v>
      </c>
      <c r="BY215" s="682">
        <v>0.0</v>
      </c>
      <c r="BZ215" s="683">
        <v>0.0</v>
      </c>
      <c r="CA215" s="683">
        <v>0.0</v>
      </c>
      <c r="CB215" s="683">
        <v>0.0</v>
      </c>
      <c r="CC215" s="683">
        <v>0.0</v>
      </c>
      <c r="CD215" s="683">
        <v>0.0</v>
      </c>
      <c r="CE215" s="683">
        <v>0.0</v>
      </c>
      <c r="CF215" s="683">
        <v>0.0</v>
      </c>
      <c r="CG215" s="683">
        <v>0.0</v>
      </c>
      <c r="CH215" s="686">
        <v>0.0</v>
      </c>
      <c r="CI215" s="665">
        <f t="shared" si="3"/>
        <v>0</v>
      </c>
      <c r="CJ215" s="682">
        <f t="shared" si="4"/>
        <v>24</v>
      </c>
      <c r="CK215" s="706">
        <v>4.27</v>
      </c>
      <c r="CL215" s="683">
        <f t="shared" si="566"/>
        <v>29.7192</v>
      </c>
      <c r="CM215" s="683">
        <f t="shared" ref="CM215:CV215" si="663">BC215*$CL215</f>
        <v>0</v>
      </c>
      <c r="CN215" s="683">
        <f t="shared" si="663"/>
        <v>0</v>
      </c>
      <c r="CO215" s="683">
        <f t="shared" si="663"/>
        <v>0</v>
      </c>
      <c r="CP215" s="683">
        <f t="shared" si="663"/>
        <v>0</v>
      </c>
      <c r="CQ215" s="683">
        <f t="shared" si="663"/>
        <v>0</v>
      </c>
      <c r="CR215" s="683">
        <f t="shared" si="663"/>
        <v>0</v>
      </c>
      <c r="CS215" s="683">
        <f t="shared" si="663"/>
        <v>0</v>
      </c>
      <c r="CT215" s="683">
        <f t="shared" si="663"/>
        <v>0</v>
      </c>
      <c r="CU215" s="683">
        <f t="shared" si="663"/>
        <v>0</v>
      </c>
      <c r="CV215" s="683">
        <f t="shared" si="663"/>
        <v>0</v>
      </c>
      <c r="CW215" s="683">
        <f t="shared" si="21"/>
        <v>0</v>
      </c>
      <c r="CX215" s="683">
        <f t="shared" ref="CX215:DG215" si="664">BN215*$CL215</f>
        <v>118.8768</v>
      </c>
      <c r="CY215" s="683">
        <f t="shared" si="664"/>
        <v>118.8768</v>
      </c>
      <c r="CZ215" s="683">
        <f t="shared" si="664"/>
        <v>118.8768</v>
      </c>
      <c r="DA215" s="683">
        <f t="shared" si="664"/>
        <v>118.8768</v>
      </c>
      <c r="DB215" s="683">
        <f t="shared" si="664"/>
        <v>118.8768</v>
      </c>
      <c r="DC215" s="683">
        <f t="shared" si="664"/>
        <v>118.8768</v>
      </c>
      <c r="DD215" s="683">
        <f t="shared" si="664"/>
        <v>0</v>
      </c>
      <c r="DE215" s="683">
        <f t="shared" si="664"/>
        <v>0</v>
      </c>
      <c r="DF215" s="683">
        <f t="shared" si="664"/>
        <v>0</v>
      </c>
      <c r="DG215" s="683">
        <f t="shared" si="664"/>
        <v>0</v>
      </c>
      <c r="DH215" s="683">
        <f t="shared" si="23"/>
        <v>713.2608</v>
      </c>
      <c r="DI215" s="683">
        <f t="shared" ref="DI215:DR215" si="665">BY215*$CL215</f>
        <v>0</v>
      </c>
      <c r="DJ215" s="683">
        <f t="shared" si="665"/>
        <v>0</v>
      </c>
      <c r="DK215" s="683">
        <f t="shared" si="665"/>
        <v>0</v>
      </c>
      <c r="DL215" s="683">
        <f t="shared" si="665"/>
        <v>0</v>
      </c>
      <c r="DM215" s="683">
        <f t="shared" si="665"/>
        <v>0</v>
      </c>
      <c r="DN215" s="683">
        <f t="shared" si="665"/>
        <v>0</v>
      </c>
      <c r="DO215" s="683">
        <f t="shared" si="665"/>
        <v>0</v>
      </c>
      <c r="DP215" s="683">
        <f t="shared" si="665"/>
        <v>0</v>
      </c>
      <c r="DQ215" s="683">
        <f t="shared" si="665"/>
        <v>0</v>
      </c>
      <c r="DR215" s="683">
        <f t="shared" si="665"/>
        <v>0</v>
      </c>
      <c r="DS215" s="683">
        <f t="shared" si="25"/>
        <v>0</v>
      </c>
      <c r="DT215" s="683">
        <f t="shared" si="175"/>
        <v>713.2608</v>
      </c>
      <c r="DU215" s="504"/>
      <c r="DV215" s="486"/>
      <c r="DW215" s="688"/>
      <c r="DX215" s="688"/>
      <c r="DY215" s="688"/>
      <c r="DZ215" s="688"/>
      <c r="EA215" s="688"/>
      <c r="EB215" s="688"/>
      <c r="EC215" s="688"/>
      <c r="ED215" s="688"/>
      <c r="EE215" s="688"/>
      <c r="EF215" s="688"/>
      <c r="EG215" s="688"/>
      <c r="EH215" s="707" t="s">
        <v>1550</v>
      </c>
      <c r="EI215" s="708">
        <f>VLOOKUP(I215,CotizacionTDB,4,FALSE())</f>
        <v>4.27</v>
      </c>
      <c r="EJ215" s="708">
        <f>VLOOKUP(I215,CotizacionTDB,5,FALSE())</f>
        <v>3.63</v>
      </c>
      <c r="EK215" s="691"/>
    </row>
    <row r="216" ht="12.0" customHeight="1">
      <c r="A216" s="709" t="s">
        <v>3026</v>
      </c>
      <c r="B216" s="661">
        <v>2.0</v>
      </c>
      <c r="C216" s="567" t="s">
        <v>3027</v>
      </c>
      <c r="D216" s="568" t="s">
        <v>231</v>
      </c>
      <c r="E216" s="568" t="s">
        <v>3270</v>
      </c>
      <c r="F216" s="567" t="s">
        <v>1763</v>
      </c>
      <c r="G216" s="569" t="s">
        <v>2709</v>
      </c>
      <c r="H216" s="569" t="s">
        <v>3390</v>
      </c>
      <c r="I216" s="710" t="s">
        <v>1905</v>
      </c>
      <c r="J216" s="711" t="s">
        <v>1583</v>
      </c>
      <c r="K216" s="567" t="s">
        <v>25</v>
      </c>
      <c r="L216" s="567"/>
      <c r="M216" s="567"/>
      <c r="N216" s="567"/>
      <c r="O216" s="567">
        <v>2024.0</v>
      </c>
      <c r="P216" s="567">
        <v>2024.0</v>
      </c>
      <c r="Q216" s="567">
        <v>2024.0</v>
      </c>
      <c r="R216" s="567"/>
      <c r="S216" s="567"/>
      <c r="T216" s="567"/>
      <c r="U216" s="567"/>
      <c r="V216" s="567"/>
      <c r="W216" s="567"/>
      <c r="X216" s="567"/>
      <c r="Y216" s="567"/>
      <c r="Z216" s="567">
        <v>5.0</v>
      </c>
      <c r="AA216" s="567">
        <v>5.0</v>
      </c>
      <c r="AB216" s="567">
        <v>5.0</v>
      </c>
      <c r="AC216" s="567"/>
      <c r="AD216" s="567"/>
      <c r="AE216" s="567"/>
      <c r="AF216" s="567"/>
      <c r="AG216" s="567"/>
      <c r="AH216" s="567"/>
      <c r="AI216" s="567"/>
      <c r="AJ216" s="567"/>
      <c r="AK216" s="567"/>
      <c r="AL216" s="567"/>
      <c r="AM216" s="567"/>
      <c r="AN216" s="567"/>
      <c r="AO216" s="567"/>
      <c r="AP216" s="567"/>
      <c r="AQ216" s="567"/>
      <c r="AR216" s="567">
        <v>0.0</v>
      </c>
      <c r="AS216" s="567">
        <v>0.0</v>
      </c>
      <c r="AT216" s="567">
        <v>0.0</v>
      </c>
      <c r="AU216" s="567">
        <v>-2024.0</v>
      </c>
      <c r="AV216" s="567">
        <v>-2024.0</v>
      </c>
      <c r="AW216" s="567">
        <v>-2024.0</v>
      </c>
      <c r="AX216" s="567">
        <v>0.0</v>
      </c>
      <c r="AY216" s="567">
        <v>0.0</v>
      </c>
      <c r="AZ216" s="567">
        <v>0.0</v>
      </c>
      <c r="BA216" s="567">
        <v>0.0</v>
      </c>
      <c r="BB216" s="567"/>
      <c r="BC216" s="567"/>
      <c r="BD216" s="567"/>
      <c r="BE216" s="680"/>
      <c r="BF216" s="718"/>
      <c r="BG216" s="718"/>
      <c r="BH216" s="718"/>
      <c r="BI216" s="567"/>
      <c r="BJ216" s="567"/>
      <c r="BK216" s="567"/>
      <c r="BL216" s="725"/>
      <c r="BM216" s="665">
        <f t="shared" si="1"/>
        <v>0</v>
      </c>
      <c r="BN216" s="671"/>
      <c r="BO216" s="668"/>
      <c r="BP216" s="684">
        <v>2.0</v>
      </c>
      <c r="BQ216" s="667">
        <v>4.0</v>
      </c>
      <c r="BR216" s="667">
        <v>5.0</v>
      </c>
      <c r="BS216" s="667">
        <v>6.0</v>
      </c>
      <c r="BT216" s="668"/>
      <c r="BU216" s="668"/>
      <c r="BV216" s="668"/>
      <c r="BW216" s="670"/>
      <c r="BX216" s="665">
        <f t="shared" si="2"/>
        <v>17</v>
      </c>
      <c r="BY216" s="671">
        <v>0.0</v>
      </c>
      <c r="BZ216" s="668">
        <v>0.0</v>
      </c>
      <c r="CA216" s="668">
        <v>0.0</v>
      </c>
      <c r="CB216" s="668">
        <v>0.0</v>
      </c>
      <c r="CC216" s="668">
        <v>0.0</v>
      </c>
      <c r="CD216" s="668">
        <v>0.0</v>
      </c>
      <c r="CE216" s="668">
        <v>0.0</v>
      </c>
      <c r="CF216" s="668">
        <v>0.0</v>
      </c>
      <c r="CG216" s="668">
        <v>0.0</v>
      </c>
      <c r="CH216" s="670">
        <v>0.0</v>
      </c>
      <c r="CI216" s="665">
        <f t="shared" si="3"/>
        <v>0</v>
      </c>
      <c r="CJ216" s="671">
        <f t="shared" si="4"/>
        <v>17</v>
      </c>
      <c r="CK216" s="715">
        <v>4.73</v>
      </c>
      <c r="CL216" s="668">
        <f t="shared" si="566"/>
        <v>32.9208</v>
      </c>
      <c r="CM216" s="668">
        <f t="shared" ref="CM216:CV216" si="666">BC216*$CL216</f>
        <v>0</v>
      </c>
      <c r="CN216" s="668">
        <f t="shared" si="666"/>
        <v>0</v>
      </c>
      <c r="CO216" s="668">
        <f t="shared" si="666"/>
        <v>0</v>
      </c>
      <c r="CP216" s="668">
        <f t="shared" si="666"/>
        <v>0</v>
      </c>
      <c r="CQ216" s="668">
        <f t="shared" si="666"/>
        <v>0</v>
      </c>
      <c r="CR216" s="668">
        <f t="shared" si="666"/>
        <v>0</v>
      </c>
      <c r="CS216" s="668">
        <f t="shared" si="666"/>
        <v>0</v>
      </c>
      <c r="CT216" s="668">
        <f t="shared" si="666"/>
        <v>0</v>
      </c>
      <c r="CU216" s="668">
        <f t="shared" si="666"/>
        <v>0</v>
      </c>
      <c r="CV216" s="668">
        <f t="shared" si="666"/>
        <v>0</v>
      </c>
      <c r="CW216" s="668">
        <f t="shared" si="21"/>
        <v>0</v>
      </c>
      <c r="CX216" s="668">
        <f t="shared" ref="CX216:DG216" si="667">BN216*$CL216</f>
        <v>0</v>
      </c>
      <c r="CY216" s="668">
        <f t="shared" si="667"/>
        <v>0</v>
      </c>
      <c r="CZ216" s="668">
        <f t="shared" si="667"/>
        <v>65.8416</v>
      </c>
      <c r="DA216" s="668">
        <f t="shared" si="667"/>
        <v>131.6832</v>
      </c>
      <c r="DB216" s="668">
        <f t="shared" si="667"/>
        <v>164.604</v>
      </c>
      <c r="DC216" s="668">
        <f t="shared" si="667"/>
        <v>197.5248</v>
      </c>
      <c r="DD216" s="668">
        <f t="shared" si="667"/>
        <v>0</v>
      </c>
      <c r="DE216" s="668">
        <f t="shared" si="667"/>
        <v>0</v>
      </c>
      <c r="DF216" s="668">
        <f t="shared" si="667"/>
        <v>0</v>
      </c>
      <c r="DG216" s="668">
        <f t="shared" si="667"/>
        <v>0</v>
      </c>
      <c r="DH216" s="668">
        <f t="shared" si="23"/>
        <v>559.6536</v>
      </c>
      <c r="DI216" s="668">
        <f t="shared" ref="DI216:DR216" si="668">BY216*$CL216</f>
        <v>0</v>
      </c>
      <c r="DJ216" s="668">
        <f t="shared" si="668"/>
        <v>0</v>
      </c>
      <c r="DK216" s="668">
        <f t="shared" si="668"/>
        <v>0</v>
      </c>
      <c r="DL216" s="668">
        <f t="shared" si="668"/>
        <v>0</v>
      </c>
      <c r="DM216" s="668">
        <f t="shared" si="668"/>
        <v>0</v>
      </c>
      <c r="DN216" s="668">
        <f t="shared" si="668"/>
        <v>0</v>
      </c>
      <c r="DO216" s="668">
        <f t="shared" si="668"/>
        <v>0</v>
      </c>
      <c r="DP216" s="668">
        <f t="shared" si="668"/>
        <v>0</v>
      </c>
      <c r="DQ216" s="668">
        <f t="shared" si="668"/>
        <v>0</v>
      </c>
      <c r="DR216" s="668">
        <f t="shared" si="668"/>
        <v>0</v>
      </c>
      <c r="DS216" s="668">
        <f t="shared" si="25"/>
        <v>0</v>
      </c>
      <c r="DT216" s="668">
        <f t="shared" si="175"/>
        <v>559.6536</v>
      </c>
      <c r="DU216" s="538"/>
      <c r="DV216" s="468"/>
      <c r="DW216" s="698"/>
      <c r="DX216" s="698"/>
      <c r="DY216" s="698"/>
      <c r="DZ216" s="698"/>
      <c r="EA216" s="698"/>
      <c r="EB216" s="698"/>
      <c r="EC216" s="698"/>
      <c r="ED216" s="698"/>
      <c r="EE216" s="698"/>
      <c r="EF216" s="698"/>
      <c r="EG216" s="698"/>
      <c r="EH216" s="576" t="s">
        <v>3391</v>
      </c>
      <c r="EI216" s="716">
        <f>VLOOKUP(I216,CotizacionTDB,4,FALSE())</f>
        <v>4.73</v>
      </c>
      <c r="EJ216" s="716">
        <f>VLOOKUP(I216,CotizacionTDB,5,FALSE())</f>
        <v>4.02</v>
      </c>
      <c r="EK216" s="699"/>
    </row>
    <row r="217" ht="12.0" customHeight="1">
      <c r="A217" s="700" t="s">
        <v>3026</v>
      </c>
      <c r="B217" s="701">
        <v>2.0</v>
      </c>
      <c r="C217" s="562" t="s">
        <v>3027</v>
      </c>
      <c r="D217" s="571" t="s">
        <v>231</v>
      </c>
      <c r="E217" s="571" t="s">
        <v>3270</v>
      </c>
      <c r="F217" s="562" t="s">
        <v>1763</v>
      </c>
      <c r="G217" s="569" t="s">
        <v>2709</v>
      </c>
      <c r="H217" s="569" t="s">
        <v>3392</v>
      </c>
      <c r="I217" s="717" t="s">
        <v>1936</v>
      </c>
      <c r="J217" s="704" t="s">
        <v>1693</v>
      </c>
      <c r="K217" s="562" t="s">
        <v>25</v>
      </c>
      <c r="L217" s="562">
        <v>2024.0</v>
      </c>
      <c r="M217" s="562">
        <v>2024.0</v>
      </c>
      <c r="N217" s="562">
        <v>2024.0</v>
      </c>
      <c r="O217" s="562">
        <v>2024.0</v>
      </c>
      <c r="P217" s="562">
        <v>2024.0</v>
      </c>
      <c r="Q217" s="562">
        <v>2024.0</v>
      </c>
      <c r="R217" s="562"/>
      <c r="S217" s="562"/>
      <c r="T217" s="562"/>
      <c r="U217" s="562"/>
      <c r="V217" s="562"/>
      <c r="W217" s="562">
        <v>5.0</v>
      </c>
      <c r="X217" s="562">
        <v>5.0</v>
      </c>
      <c r="Y217" s="562">
        <v>5.0</v>
      </c>
      <c r="Z217" s="562">
        <v>5.0</v>
      </c>
      <c r="AA217" s="562">
        <v>5.0</v>
      </c>
      <c r="AB217" s="562">
        <v>5.0</v>
      </c>
      <c r="AC217" s="562"/>
      <c r="AD217" s="562"/>
      <c r="AE217" s="562"/>
      <c r="AF217" s="562"/>
      <c r="AG217" s="562"/>
      <c r="AH217" s="562"/>
      <c r="AI217" s="562"/>
      <c r="AJ217" s="562"/>
      <c r="AK217" s="562"/>
      <c r="AL217" s="562"/>
      <c r="AM217" s="562"/>
      <c r="AN217" s="562"/>
      <c r="AO217" s="562"/>
      <c r="AP217" s="562"/>
      <c r="AQ217" s="562"/>
      <c r="AR217" s="562">
        <v>-2024.0</v>
      </c>
      <c r="AS217" s="562">
        <v>-2024.0</v>
      </c>
      <c r="AT217" s="562">
        <v>-2024.0</v>
      </c>
      <c r="AU217" s="562">
        <v>-2024.0</v>
      </c>
      <c r="AV217" s="562">
        <v>-2024.0</v>
      </c>
      <c r="AW217" s="562">
        <v>-2024.0</v>
      </c>
      <c r="AX217" s="562">
        <v>0.0</v>
      </c>
      <c r="AY217" s="562">
        <v>0.0</v>
      </c>
      <c r="AZ217" s="562">
        <v>0.0</v>
      </c>
      <c r="BA217" s="562">
        <v>0.0</v>
      </c>
      <c r="BB217" s="562"/>
      <c r="BC217" s="718"/>
      <c r="BD217" s="718"/>
      <c r="BE217" s="718"/>
      <c r="BF217" s="718"/>
      <c r="BG217" s="718"/>
      <c r="BH217" s="718"/>
      <c r="BI217" s="562"/>
      <c r="BJ217" s="562"/>
      <c r="BK217" s="562"/>
      <c r="BL217" s="681"/>
      <c r="BM217" s="665">
        <f t="shared" si="1"/>
        <v>0</v>
      </c>
      <c r="BN217" s="666">
        <v>2.0</v>
      </c>
      <c r="BO217" s="667">
        <v>2.0</v>
      </c>
      <c r="BP217" s="667">
        <v>2.0</v>
      </c>
      <c r="BQ217" s="667">
        <v>4.0</v>
      </c>
      <c r="BR217" s="667">
        <v>4.0</v>
      </c>
      <c r="BS217" s="667">
        <v>4.0</v>
      </c>
      <c r="BT217" s="683"/>
      <c r="BU217" s="683"/>
      <c r="BV217" s="683"/>
      <c r="BW217" s="686"/>
      <c r="BX217" s="665">
        <f t="shared" si="2"/>
        <v>18</v>
      </c>
      <c r="BY217" s="682">
        <v>0.0</v>
      </c>
      <c r="BZ217" s="683">
        <v>0.0</v>
      </c>
      <c r="CA217" s="683">
        <v>0.0</v>
      </c>
      <c r="CB217" s="683">
        <v>0.0</v>
      </c>
      <c r="CC217" s="683">
        <v>0.0</v>
      </c>
      <c r="CD217" s="683">
        <v>0.0</v>
      </c>
      <c r="CE217" s="683">
        <v>0.0</v>
      </c>
      <c r="CF217" s="683">
        <v>0.0</v>
      </c>
      <c r="CG217" s="683">
        <v>0.0</v>
      </c>
      <c r="CH217" s="686">
        <v>0.0</v>
      </c>
      <c r="CI217" s="665">
        <f t="shared" si="3"/>
        <v>0</v>
      </c>
      <c r="CJ217" s="682">
        <f t="shared" si="4"/>
        <v>18</v>
      </c>
      <c r="CK217" s="706">
        <v>1.04</v>
      </c>
      <c r="CL217" s="683">
        <f t="shared" si="566"/>
        <v>7.2384</v>
      </c>
      <c r="CM217" s="683">
        <f t="shared" ref="CM217:CV217" si="669">BC217*$CL217</f>
        <v>0</v>
      </c>
      <c r="CN217" s="683">
        <f t="shared" si="669"/>
        <v>0</v>
      </c>
      <c r="CO217" s="683">
        <f t="shared" si="669"/>
        <v>0</v>
      </c>
      <c r="CP217" s="683">
        <f t="shared" si="669"/>
        <v>0</v>
      </c>
      <c r="CQ217" s="683">
        <f t="shared" si="669"/>
        <v>0</v>
      </c>
      <c r="CR217" s="683">
        <f t="shared" si="669"/>
        <v>0</v>
      </c>
      <c r="CS217" s="683">
        <f t="shared" si="669"/>
        <v>0</v>
      </c>
      <c r="CT217" s="683">
        <f t="shared" si="669"/>
        <v>0</v>
      </c>
      <c r="CU217" s="683">
        <f t="shared" si="669"/>
        <v>0</v>
      </c>
      <c r="CV217" s="683">
        <f t="shared" si="669"/>
        <v>0</v>
      </c>
      <c r="CW217" s="683">
        <f t="shared" si="21"/>
        <v>0</v>
      </c>
      <c r="CX217" s="683">
        <f t="shared" ref="CX217:DG217" si="670">BN217*$CL217</f>
        <v>14.4768</v>
      </c>
      <c r="CY217" s="683">
        <f t="shared" si="670"/>
        <v>14.4768</v>
      </c>
      <c r="CZ217" s="683">
        <f t="shared" si="670"/>
        <v>14.4768</v>
      </c>
      <c r="DA217" s="683">
        <f t="shared" si="670"/>
        <v>28.9536</v>
      </c>
      <c r="DB217" s="683">
        <f t="shared" si="670"/>
        <v>28.9536</v>
      </c>
      <c r="DC217" s="683">
        <f t="shared" si="670"/>
        <v>28.9536</v>
      </c>
      <c r="DD217" s="683">
        <f t="shared" si="670"/>
        <v>0</v>
      </c>
      <c r="DE217" s="683">
        <f t="shared" si="670"/>
        <v>0</v>
      </c>
      <c r="DF217" s="683">
        <f t="shared" si="670"/>
        <v>0</v>
      </c>
      <c r="DG217" s="683">
        <f t="shared" si="670"/>
        <v>0</v>
      </c>
      <c r="DH217" s="683">
        <f t="shared" si="23"/>
        <v>130.2912</v>
      </c>
      <c r="DI217" s="683">
        <f t="shared" ref="DI217:DR217" si="671">BY217*$CL217</f>
        <v>0</v>
      </c>
      <c r="DJ217" s="683">
        <f t="shared" si="671"/>
        <v>0</v>
      </c>
      <c r="DK217" s="683">
        <f t="shared" si="671"/>
        <v>0</v>
      </c>
      <c r="DL217" s="683">
        <f t="shared" si="671"/>
        <v>0</v>
      </c>
      <c r="DM217" s="683">
        <f t="shared" si="671"/>
        <v>0</v>
      </c>
      <c r="DN217" s="683">
        <f t="shared" si="671"/>
        <v>0</v>
      </c>
      <c r="DO217" s="683">
        <f t="shared" si="671"/>
        <v>0</v>
      </c>
      <c r="DP217" s="683">
        <f t="shared" si="671"/>
        <v>0</v>
      </c>
      <c r="DQ217" s="683">
        <f t="shared" si="671"/>
        <v>0</v>
      </c>
      <c r="DR217" s="683">
        <f t="shared" si="671"/>
        <v>0</v>
      </c>
      <c r="DS217" s="683">
        <f t="shared" si="25"/>
        <v>0</v>
      </c>
      <c r="DT217" s="683">
        <f t="shared" si="175"/>
        <v>130.2912</v>
      </c>
      <c r="DU217" s="504"/>
      <c r="DV217" s="486"/>
      <c r="DW217" s="688"/>
      <c r="DX217" s="688"/>
      <c r="DY217" s="688"/>
      <c r="DZ217" s="688"/>
      <c r="EA217" s="688"/>
      <c r="EB217" s="688"/>
      <c r="EC217" s="688"/>
      <c r="ED217" s="688"/>
      <c r="EE217" s="688"/>
      <c r="EF217" s="688"/>
      <c r="EG217" s="688"/>
      <c r="EH217" s="707" t="s">
        <v>3393</v>
      </c>
      <c r="EI217" s="708">
        <f>VLOOKUP(I217,CotizacionTDB,4,FALSE())</f>
        <v>1.04</v>
      </c>
      <c r="EJ217" s="708">
        <f>VLOOKUP(I217,CotizacionTDB,5,FALSE())</f>
        <v>0.88</v>
      </c>
      <c r="EK217" s="691"/>
    </row>
    <row r="218" ht="12.0" customHeight="1">
      <c r="A218" s="709" t="s">
        <v>3026</v>
      </c>
      <c r="B218" s="661">
        <v>2.0</v>
      </c>
      <c r="C218" s="567" t="s">
        <v>3027</v>
      </c>
      <c r="D218" s="568" t="s">
        <v>231</v>
      </c>
      <c r="E218" s="568" t="s">
        <v>3270</v>
      </c>
      <c r="F218" s="567" t="s">
        <v>1763</v>
      </c>
      <c r="G218" s="569" t="s">
        <v>2709</v>
      </c>
      <c r="H218" s="569" t="s">
        <v>3394</v>
      </c>
      <c r="I218" s="710" t="s">
        <v>1890</v>
      </c>
      <c r="J218" s="711" t="s">
        <v>1720</v>
      </c>
      <c r="K218" s="567" t="s">
        <v>25</v>
      </c>
      <c r="L218" s="567">
        <v>2024.0</v>
      </c>
      <c r="M218" s="567">
        <v>2024.0</v>
      </c>
      <c r="N218" s="567">
        <v>2024.0</v>
      </c>
      <c r="O218" s="567">
        <v>2024.0</v>
      </c>
      <c r="P218" s="567">
        <v>2024.0</v>
      </c>
      <c r="Q218" s="567">
        <v>2024.0</v>
      </c>
      <c r="R218" s="567"/>
      <c r="S218" s="567"/>
      <c r="T218" s="567"/>
      <c r="U218" s="567"/>
      <c r="V218" s="567"/>
      <c r="W218" s="567">
        <v>5.0</v>
      </c>
      <c r="X218" s="567">
        <v>5.0</v>
      </c>
      <c r="Y218" s="567">
        <v>5.0</v>
      </c>
      <c r="Z218" s="567">
        <v>5.0</v>
      </c>
      <c r="AA218" s="567">
        <v>5.0</v>
      </c>
      <c r="AB218" s="567">
        <v>5.0</v>
      </c>
      <c r="AC218" s="567"/>
      <c r="AD218" s="567"/>
      <c r="AE218" s="567"/>
      <c r="AF218" s="567"/>
      <c r="AG218" s="567"/>
      <c r="AH218" s="567"/>
      <c r="AI218" s="567"/>
      <c r="AJ218" s="567"/>
      <c r="AK218" s="567"/>
      <c r="AL218" s="567"/>
      <c r="AM218" s="567"/>
      <c r="AN218" s="567"/>
      <c r="AO218" s="567"/>
      <c r="AP218" s="567"/>
      <c r="AQ218" s="567"/>
      <c r="AR218" s="567">
        <v>-2024.0</v>
      </c>
      <c r="AS218" s="567">
        <v>-2024.0</v>
      </c>
      <c r="AT218" s="567">
        <v>-2024.0</v>
      </c>
      <c r="AU218" s="567">
        <v>-2024.0</v>
      </c>
      <c r="AV218" s="567">
        <v>-2024.0</v>
      </c>
      <c r="AW218" s="567">
        <v>-2024.0</v>
      </c>
      <c r="AX218" s="567">
        <v>0.0</v>
      </c>
      <c r="AY218" s="567">
        <v>0.0</v>
      </c>
      <c r="AZ218" s="567">
        <v>0.0</v>
      </c>
      <c r="BA218" s="567">
        <v>0.0</v>
      </c>
      <c r="BB218" s="567"/>
      <c r="BC218" s="680"/>
      <c r="BD218" s="680"/>
      <c r="BE218" s="680"/>
      <c r="BF218" s="718"/>
      <c r="BG218" s="718"/>
      <c r="BH218" s="718"/>
      <c r="BI218" s="567"/>
      <c r="BJ218" s="567"/>
      <c r="BK218" s="567"/>
      <c r="BL218" s="725"/>
      <c r="BM218" s="665">
        <f t="shared" si="1"/>
        <v>0</v>
      </c>
      <c r="BN218" s="684"/>
      <c r="BO218" s="684"/>
      <c r="BP218" s="684"/>
      <c r="BQ218" s="667"/>
      <c r="BR218" s="667"/>
      <c r="BS218" s="667"/>
      <c r="BT218" s="668"/>
      <c r="BU218" s="668"/>
      <c r="BV218" s="668"/>
      <c r="BW218" s="670"/>
      <c r="BX218" s="665">
        <f t="shared" si="2"/>
        <v>0</v>
      </c>
      <c r="BY218" s="734">
        <v>25.0</v>
      </c>
      <c r="BZ218" s="684">
        <v>25.0</v>
      </c>
      <c r="CA218" s="684">
        <v>25.0</v>
      </c>
      <c r="CB218" s="667">
        <v>20.0</v>
      </c>
      <c r="CC218" s="667">
        <v>25.0</v>
      </c>
      <c r="CD218" s="667">
        <v>30.0</v>
      </c>
      <c r="CE218" s="668"/>
      <c r="CF218" s="668"/>
      <c r="CG218" s="668"/>
      <c r="CH218" s="670"/>
      <c r="CI218" s="665">
        <f t="shared" si="3"/>
        <v>150</v>
      </c>
      <c r="CJ218" s="671">
        <f t="shared" si="4"/>
        <v>150</v>
      </c>
      <c r="CK218" s="715">
        <v>0.08</v>
      </c>
      <c r="CL218" s="668">
        <f t="shared" si="566"/>
        <v>0.5568</v>
      </c>
      <c r="CM218" s="668">
        <f t="shared" ref="CM218:CV218" si="672">BC218*$CL218</f>
        <v>0</v>
      </c>
      <c r="CN218" s="668">
        <f t="shared" si="672"/>
        <v>0</v>
      </c>
      <c r="CO218" s="668">
        <f t="shared" si="672"/>
        <v>0</v>
      </c>
      <c r="CP218" s="668">
        <f t="shared" si="672"/>
        <v>0</v>
      </c>
      <c r="CQ218" s="668">
        <f t="shared" si="672"/>
        <v>0</v>
      </c>
      <c r="CR218" s="668">
        <f t="shared" si="672"/>
        <v>0</v>
      </c>
      <c r="CS218" s="668">
        <f t="shared" si="672"/>
        <v>0</v>
      </c>
      <c r="CT218" s="668">
        <f t="shared" si="672"/>
        <v>0</v>
      </c>
      <c r="CU218" s="668">
        <f t="shared" si="672"/>
        <v>0</v>
      </c>
      <c r="CV218" s="668">
        <f t="shared" si="672"/>
        <v>0</v>
      </c>
      <c r="CW218" s="668">
        <f t="shared" si="21"/>
        <v>0</v>
      </c>
      <c r="CX218" s="668">
        <f t="shared" ref="CX218:DG218" si="673">BN218*$CL218</f>
        <v>0</v>
      </c>
      <c r="CY218" s="668">
        <f t="shared" si="673"/>
        <v>0</v>
      </c>
      <c r="CZ218" s="668">
        <f t="shared" si="673"/>
        <v>0</v>
      </c>
      <c r="DA218" s="668">
        <f t="shared" si="673"/>
        <v>0</v>
      </c>
      <c r="DB218" s="668">
        <f t="shared" si="673"/>
        <v>0</v>
      </c>
      <c r="DC218" s="668">
        <f t="shared" si="673"/>
        <v>0</v>
      </c>
      <c r="DD218" s="668">
        <f t="shared" si="673"/>
        <v>0</v>
      </c>
      <c r="DE218" s="668">
        <f t="shared" si="673"/>
        <v>0</v>
      </c>
      <c r="DF218" s="668">
        <f t="shared" si="673"/>
        <v>0</v>
      </c>
      <c r="DG218" s="668">
        <f t="shared" si="673"/>
        <v>0</v>
      </c>
      <c r="DH218" s="668">
        <f t="shared" si="23"/>
        <v>0</v>
      </c>
      <c r="DI218" s="668">
        <f t="shared" ref="DI218:DR218" si="674">BY218*$CL218</f>
        <v>13.92</v>
      </c>
      <c r="DJ218" s="668">
        <f t="shared" si="674"/>
        <v>13.92</v>
      </c>
      <c r="DK218" s="668">
        <f t="shared" si="674"/>
        <v>13.92</v>
      </c>
      <c r="DL218" s="668">
        <f t="shared" si="674"/>
        <v>11.136</v>
      </c>
      <c r="DM218" s="668">
        <f t="shared" si="674"/>
        <v>13.92</v>
      </c>
      <c r="DN218" s="668">
        <f t="shared" si="674"/>
        <v>16.704</v>
      </c>
      <c r="DO218" s="668">
        <f t="shared" si="674"/>
        <v>0</v>
      </c>
      <c r="DP218" s="668">
        <f t="shared" si="674"/>
        <v>0</v>
      </c>
      <c r="DQ218" s="668">
        <f t="shared" si="674"/>
        <v>0</v>
      </c>
      <c r="DR218" s="668">
        <f t="shared" si="674"/>
        <v>0</v>
      </c>
      <c r="DS218" s="668">
        <f t="shared" si="25"/>
        <v>83.52</v>
      </c>
      <c r="DT218" s="668">
        <f t="shared" si="175"/>
        <v>83.52</v>
      </c>
      <c r="DU218" s="538"/>
      <c r="DV218" s="468"/>
      <c r="DW218" s="698"/>
      <c r="DX218" s="698"/>
      <c r="DY218" s="698"/>
      <c r="DZ218" s="698"/>
      <c r="EA218" s="698"/>
      <c r="EB218" s="698"/>
      <c r="EC218" s="698"/>
      <c r="ED218" s="698"/>
      <c r="EE218" s="698"/>
      <c r="EF218" s="698"/>
      <c r="EG218" s="698"/>
      <c r="EH218" s="576" t="s">
        <v>3395</v>
      </c>
      <c r="EI218" s="716">
        <f>VLOOKUP(I218,CotizacionTDB,4,FALSE())</f>
        <v>0.08</v>
      </c>
      <c r="EJ218" s="716">
        <f>VLOOKUP(I218,CotizacionTDB,5,FALSE())</f>
        <v>0.07</v>
      </c>
      <c r="EK218" s="699"/>
    </row>
    <row r="219" ht="12.0" customHeight="1">
      <c r="A219" s="700" t="s">
        <v>3026</v>
      </c>
      <c r="B219" s="701"/>
      <c r="C219" s="562" t="s">
        <v>3027</v>
      </c>
      <c r="D219" s="571" t="s">
        <v>231</v>
      </c>
      <c r="E219" s="571" t="s">
        <v>3270</v>
      </c>
      <c r="F219" s="562" t="s">
        <v>1763</v>
      </c>
      <c r="G219" s="569" t="s">
        <v>2709</v>
      </c>
      <c r="H219" s="569" t="s">
        <v>3396</v>
      </c>
      <c r="I219" s="768">
        <v>1.1138884E7</v>
      </c>
      <c r="J219" s="571" t="s">
        <v>439</v>
      </c>
      <c r="K219" s="562" t="s">
        <v>25</v>
      </c>
      <c r="L219" s="562">
        <v>2024.0</v>
      </c>
      <c r="M219" s="562">
        <v>2024.0</v>
      </c>
      <c r="N219" s="562">
        <v>2024.0</v>
      </c>
      <c r="O219" s="562">
        <v>2024.0</v>
      </c>
      <c r="P219" s="562">
        <v>2024.0</v>
      </c>
      <c r="Q219" s="562">
        <v>2024.0</v>
      </c>
      <c r="R219" s="562"/>
      <c r="S219" s="562"/>
      <c r="T219" s="562"/>
      <c r="U219" s="562"/>
      <c r="V219" s="562"/>
      <c r="W219" s="562">
        <v>5.0</v>
      </c>
      <c r="X219" s="562">
        <v>5.0</v>
      </c>
      <c r="Y219" s="562">
        <v>5.0</v>
      </c>
      <c r="Z219" s="562">
        <v>5.0</v>
      </c>
      <c r="AA219" s="562">
        <v>5.0</v>
      </c>
      <c r="AB219" s="562">
        <v>5.0</v>
      </c>
      <c r="AC219" s="562"/>
      <c r="AD219" s="562"/>
      <c r="AE219" s="562"/>
      <c r="AF219" s="562"/>
      <c r="AG219" s="562"/>
      <c r="AH219" s="562"/>
      <c r="AI219" s="562"/>
      <c r="AJ219" s="562"/>
      <c r="AK219" s="562"/>
      <c r="AL219" s="562"/>
      <c r="AM219" s="562"/>
      <c r="AN219" s="562"/>
      <c r="AO219" s="562"/>
      <c r="AP219" s="562"/>
      <c r="AQ219" s="562"/>
      <c r="AR219" s="562">
        <v>-2024.0</v>
      </c>
      <c r="AS219" s="562">
        <v>-2024.0</v>
      </c>
      <c r="AT219" s="562">
        <v>-2024.0</v>
      </c>
      <c r="AU219" s="562">
        <v>-2024.0</v>
      </c>
      <c r="AV219" s="562">
        <v>-2024.0</v>
      </c>
      <c r="AW219" s="562">
        <v>-2024.0</v>
      </c>
      <c r="AX219" s="562">
        <v>0.0</v>
      </c>
      <c r="AY219" s="562">
        <v>0.0</v>
      </c>
      <c r="AZ219" s="562">
        <v>0.0</v>
      </c>
      <c r="BA219" s="562">
        <v>0.0</v>
      </c>
      <c r="BB219" s="562"/>
      <c r="BC219" s="828"/>
      <c r="BD219" s="887"/>
      <c r="BE219" s="887"/>
      <c r="BF219" s="701"/>
      <c r="BG219" s="701"/>
      <c r="BH219" s="701"/>
      <c r="BI219" s="562"/>
      <c r="BJ219" s="562"/>
      <c r="BK219" s="562"/>
      <c r="BL219" s="681"/>
      <c r="BM219" s="665">
        <f t="shared" si="1"/>
        <v>0</v>
      </c>
      <c r="BN219" s="682"/>
      <c r="BO219" s="683"/>
      <c r="BP219" s="683"/>
      <c r="BQ219" s="683"/>
      <c r="BR219" s="683"/>
      <c r="BS219" s="683"/>
      <c r="BT219" s="683"/>
      <c r="BU219" s="683"/>
      <c r="BV219" s="683"/>
      <c r="BW219" s="686"/>
      <c r="BX219" s="665">
        <f t="shared" si="2"/>
        <v>0</v>
      </c>
      <c r="BY219" s="682">
        <v>0.0</v>
      </c>
      <c r="BZ219" s="683">
        <v>0.0</v>
      </c>
      <c r="CA219" s="683">
        <v>0.0</v>
      </c>
      <c r="CB219" s="683">
        <v>0.0</v>
      </c>
      <c r="CC219" s="683">
        <v>0.0</v>
      </c>
      <c r="CD219" s="683">
        <v>0.0</v>
      </c>
      <c r="CE219" s="683">
        <v>0.0</v>
      </c>
      <c r="CF219" s="683">
        <v>0.0</v>
      </c>
      <c r="CG219" s="683">
        <v>0.0</v>
      </c>
      <c r="CH219" s="686">
        <v>0.0</v>
      </c>
      <c r="CI219" s="665">
        <f t="shared" si="3"/>
        <v>0</v>
      </c>
      <c r="CJ219" s="682">
        <f t="shared" si="4"/>
        <v>0</v>
      </c>
      <c r="CK219" s="683"/>
      <c r="CL219" s="683">
        <v>7062.5616</v>
      </c>
      <c r="CM219" s="683">
        <f t="shared" ref="CM219:CV219" si="675">BC219*$CL219</f>
        <v>0</v>
      </c>
      <c r="CN219" s="683">
        <f t="shared" si="675"/>
        <v>0</v>
      </c>
      <c r="CO219" s="683">
        <f t="shared" si="675"/>
        <v>0</v>
      </c>
      <c r="CP219" s="683">
        <f t="shared" si="675"/>
        <v>0</v>
      </c>
      <c r="CQ219" s="683">
        <f t="shared" si="675"/>
        <v>0</v>
      </c>
      <c r="CR219" s="683">
        <f t="shared" si="675"/>
        <v>0</v>
      </c>
      <c r="CS219" s="683">
        <f t="shared" si="675"/>
        <v>0</v>
      </c>
      <c r="CT219" s="683">
        <f t="shared" si="675"/>
        <v>0</v>
      </c>
      <c r="CU219" s="683">
        <f t="shared" si="675"/>
        <v>0</v>
      </c>
      <c r="CV219" s="683">
        <f t="shared" si="675"/>
        <v>0</v>
      </c>
      <c r="CW219" s="683">
        <f t="shared" si="21"/>
        <v>0</v>
      </c>
      <c r="CX219" s="683">
        <f t="shared" ref="CX219:DG219" si="676">BN219*$CL219</f>
        <v>0</v>
      </c>
      <c r="CY219" s="683">
        <f t="shared" si="676"/>
        <v>0</v>
      </c>
      <c r="CZ219" s="683">
        <f t="shared" si="676"/>
        <v>0</v>
      </c>
      <c r="DA219" s="683">
        <f t="shared" si="676"/>
        <v>0</v>
      </c>
      <c r="DB219" s="683">
        <f t="shared" si="676"/>
        <v>0</v>
      </c>
      <c r="DC219" s="683">
        <f t="shared" si="676"/>
        <v>0</v>
      </c>
      <c r="DD219" s="683">
        <f t="shared" si="676"/>
        <v>0</v>
      </c>
      <c r="DE219" s="683">
        <f t="shared" si="676"/>
        <v>0</v>
      </c>
      <c r="DF219" s="683">
        <f t="shared" si="676"/>
        <v>0</v>
      </c>
      <c r="DG219" s="683">
        <f t="shared" si="676"/>
        <v>0</v>
      </c>
      <c r="DH219" s="683">
        <f t="shared" si="23"/>
        <v>0</v>
      </c>
      <c r="DI219" s="683">
        <f t="shared" ref="DI219:DR219" si="677">BY219*$CL219</f>
        <v>0</v>
      </c>
      <c r="DJ219" s="683">
        <f t="shared" si="677"/>
        <v>0</v>
      </c>
      <c r="DK219" s="683">
        <f t="shared" si="677"/>
        <v>0</v>
      </c>
      <c r="DL219" s="683">
        <f t="shared" si="677"/>
        <v>0</v>
      </c>
      <c r="DM219" s="683">
        <f t="shared" si="677"/>
        <v>0</v>
      </c>
      <c r="DN219" s="683">
        <f t="shared" si="677"/>
        <v>0</v>
      </c>
      <c r="DO219" s="683">
        <f t="shared" si="677"/>
        <v>0</v>
      </c>
      <c r="DP219" s="683">
        <f t="shared" si="677"/>
        <v>0</v>
      </c>
      <c r="DQ219" s="683">
        <f t="shared" si="677"/>
        <v>0</v>
      </c>
      <c r="DR219" s="683">
        <f t="shared" si="677"/>
        <v>0</v>
      </c>
      <c r="DS219" s="683">
        <f t="shared" si="25"/>
        <v>0</v>
      </c>
      <c r="DT219" s="683">
        <f t="shared" si="175"/>
        <v>0</v>
      </c>
      <c r="DU219" s="504"/>
      <c r="DV219" s="486"/>
      <c r="DW219" s="688"/>
      <c r="DX219" s="688"/>
      <c r="DY219" s="688"/>
      <c r="DZ219" s="688"/>
      <c r="EA219" s="688"/>
      <c r="EB219" s="688"/>
      <c r="EC219" s="688"/>
      <c r="ED219" s="688"/>
      <c r="EE219" s="688"/>
      <c r="EF219" s="688"/>
      <c r="EG219" s="688"/>
      <c r="EH219" s="689">
        <f t="shared" ref="EH219:EH220" si="678">CK219*6.97</f>
        <v>0</v>
      </c>
      <c r="EI219" s="690">
        <v>1.0</v>
      </c>
      <c r="EJ219" s="691"/>
      <c r="EK219" s="691"/>
    </row>
    <row r="220" ht="12.0" customHeight="1">
      <c r="A220" s="709" t="s">
        <v>3026</v>
      </c>
      <c r="B220" s="661"/>
      <c r="C220" s="567" t="s">
        <v>3027</v>
      </c>
      <c r="D220" s="568" t="s">
        <v>231</v>
      </c>
      <c r="E220" s="568" t="s">
        <v>3028</v>
      </c>
      <c r="F220" s="567" t="s">
        <v>1763</v>
      </c>
      <c r="G220" s="569" t="s">
        <v>3029</v>
      </c>
      <c r="H220" s="569" t="s">
        <v>3397</v>
      </c>
      <c r="I220" s="888">
        <v>1.1424859E7</v>
      </c>
      <c r="J220" s="568" t="s">
        <v>3398</v>
      </c>
      <c r="K220" s="567" t="s">
        <v>3399</v>
      </c>
      <c r="L220" s="567">
        <v>2024.0</v>
      </c>
      <c r="M220" s="889">
        <v>2029.0</v>
      </c>
      <c r="N220" s="889">
        <v>2031.0</v>
      </c>
      <c r="O220" s="889">
        <v>2031.0</v>
      </c>
      <c r="P220" s="889">
        <v>2032.0</v>
      </c>
      <c r="Q220" s="889">
        <v>2032.0</v>
      </c>
      <c r="R220" s="889">
        <v>2033.0</v>
      </c>
      <c r="S220" s="889">
        <v>2033.0</v>
      </c>
      <c r="T220" s="889">
        <v>2029.0</v>
      </c>
      <c r="U220" s="889">
        <v>2031.0</v>
      </c>
      <c r="V220" s="889"/>
      <c r="W220" s="567">
        <v>8.0</v>
      </c>
      <c r="X220" s="567">
        <v>8.0</v>
      </c>
      <c r="Y220" s="567">
        <v>8.0</v>
      </c>
      <c r="Z220" s="567">
        <v>8.0</v>
      </c>
      <c r="AA220" s="567">
        <v>8.0</v>
      </c>
      <c r="AB220" s="567">
        <v>8.0</v>
      </c>
      <c r="AC220" s="567">
        <v>8.0</v>
      </c>
      <c r="AD220" s="567">
        <v>8.0</v>
      </c>
      <c r="AE220" s="567">
        <v>8.0</v>
      </c>
      <c r="AF220" s="567">
        <v>8.0</v>
      </c>
      <c r="AG220" s="889"/>
      <c r="AH220" s="567"/>
      <c r="AI220" s="567"/>
      <c r="AJ220" s="567"/>
      <c r="AK220" s="567"/>
      <c r="AL220" s="567"/>
      <c r="AM220" s="567"/>
      <c r="AN220" s="567"/>
      <c r="AO220" s="567"/>
      <c r="AP220" s="567"/>
      <c r="AQ220" s="567"/>
      <c r="AR220" s="567">
        <v>-2024.0</v>
      </c>
      <c r="AS220" s="567">
        <v>-2029.0</v>
      </c>
      <c r="AT220" s="567">
        <v>-2031.0</v>
      </c>
      <c r="AU220" s="567">
        <v>-2031.0</v>
      </c>
      <c r="AV220" s="567">
        <v>-2032.0</v>
      </c>
      <c r="AW220" s="567">
        <v>-2032.0</v>
      </c>
      <c r="AX220" s="567">
        <v>-2033.0</v>
      </c>
      <c r="AY220" s="567">
        <v>-2033.0</v>
      </c>
      <c r="AZ220" s="567">
        <v>-2029.0</v>
      </c>
      <c r="BA220" s="567">
        <v>-2031.0</v>
      </c>
      <c r="BB220" s="567"/>
      <c r="BC220" s="791">
        <v>0.0</v>
      </c>
      <c r="BD220" s="567"/>
      <c r="BE220" s="567"/>
      <c r="BF220" s="567"/>
      <c r="BG220" s="567"/>
      <c r="BH220" s="567"/>
      <c r="BI220" s="567"/>
      <c r="BJ220" s="567"/>
      <c r="BK220" s="567"/>
      <c r="BL220" s="725"/>
      <c r="BM220" s="665">
        <f t="shared" si="1"/>
        <v>0</v>
      </c>
      <c r="BN220" s="671"/>
      <c r="BO220" s="668"/>
      <c r="BP220" s="668"/>
      <c r="BQ220" s="668"/>
      <c r="BR220" s="668"/>
      <c r="BS220" s="668"/>
      <c r="BT220" s="668"/>
      <c r="BU220" s="668"/>
      <c r="BV220" s="668"/>
      <c r="BW220" s="670"/>
      <c r="BX220" s="665">
        <f t="shared" si="2"/>
        <v>0</v>
      </c>
      <c r="BY220" s="671">
        <v>0.0</v>
      </c>
      <c r="BZ220" s="668">
        <v>0.0</v>
      </c>
      <c r="CA220" s="668">
        <v>0.0</v>
      </c>
      <c r="CB220" s="668">
        <v>0.0</v>
      </c>
      <c r="CC220" s="668">
        <v>0.0</v>
      </c>
      <c r="CD220" s="668">
        <v>0.0</v>
      </c>
      <c r="CE220" s="668">
        <v>0.0</v>
      </c>
      <c r="CF220" s="668">
        <v>0.0</v>
      </c>
      <c r="CG220" s="668">
        <v>0.0</v>
      </c>
      <c r="CH220" s="670">
        <v>0.0</v>
      </c>
      <c r="CI220" s="665">
        <f t="shared" si="3"/>
        <v>0</v>
      </c>
      <c r="CJ220" s="671">
        <f t="shared" si="4"/>
        <v>0</v>
      </c>
      <c r="CK220" s="668"/>
      <c r="CL220" s="668">
        <v>30693.510199999997</v>
      </c>
      <c r="CM220" s="668"/>
      <c r="CN220" s="668"/>
      <c r="CO220" s="668"/>
      <c r="CP220" s="668"/>
      <c r="CQ220" s="668"/>
      <c r="CR220" s="668"/>
      <c r="CS220" s="668"/>
      <c r="CT220" s="668"/>
      <c r="CU220" s="668"/>
      <c r="CV220" s="668"/>
      <c r="CW220" s="668">
        <f t="shared" si="21"/>
        <v>0</v>
      </c>
      <c r="CX220" s="668"/>
      <c r="CY220" s="668"/>
      <c r="CZ220" s="668"/>
      <c r="DA220" s="668"/>
      <c r="DB220" s="668"/>
      <c r="DC220" s="668"/>
      <c r="DD220" s="668"/>
      <c r="DE220" s="668"/>
      <c r="DF220" s="668"/>
      <c r="DG220" s="668"/>
      <c r="DH220" s="668">
        <f t="shared" si="23"/>
        <v>0</v>
      </c>
      <c r="DI220" s="668"/>
      <c r="DJ220" s="668"/>
      <c r="DK220" s="668"/>
      <c r="DL220" s="668"/>
      <c r="DM220" s="668"/>
      <c r="DN220" s="668"/>
      <c r="DO220" s="668"/>
      <c r="DP220" s="668"/>
      <c r="DQ220" s="668"/>
      <c r="DR220" s="668"/>
      <c r="DS220" s="668">
        <f t="shared" si="25"/>
        <v>0</v>
      </c>
      <c r="DT220" s="668">
        <f>SUM(CW220:DS220)</f>
        <v>0</v>
      </c>
      <c r="DU220" s="538"/>
      <c r="DV220" s="468"/>
      <c r="DW220" s="698"/>
      <c r="DX220" s="698"/>
      <c r="DY220" s="698"/>
      <c r="DZ220" s="698"/>
      <c r="EA220" s="698"/>
      <c r="EB220" s="698"/>
      <c r="EC220" s="698"/>
      <c r="ED220" s="698"/>
      <c r="EE220" s="698"/>
      <c r="EF220" s="698"/>
      <c r="EG220" s="698"/>
      <c r="EH220" s="677">
        <f t="shared" si="678"/>
        <v>0</v>
      </c>
      <c r="EI220" s="678">
        <v>1.0</v>
      </c>
      <c r="EJ220" s="699"/>
      <c r="EK220" s="699"/>
    </row>
    <row r="221" ht="12.0" customHeight="1">
      <c r="A221" s="700" t="s">
        <v>3026</v>
      </c>
      <c r="B221" s="701">
        <v>2.0</v>
      </c>
      <c r="C221" s="562" t="s">
        <v>3027</v>
      </c>
      <c r="D221" s="571" t="s">
        <v>231</v>
      </c>
      <c r="E221" s="571" t="s">
        <v>3270</v>
      </c>
      <c r="F221" s="562" t="s">
        <v>1763</v>
      </c>
      <c r="G221" s="569" t="s">
        <v>2709</v>
      </c>
      <c r="H221" s="569" t="s">
        <v>3400</v>
      </c>
      <c r="I221" s="717" t="s">
        <v>2161</v>
      </c>
      <c r="J221" s="704" t="s">
        <v>1150</v>
      </c>
      <c r="K221" s="562" t="s">
        <v>25</v>
      </c>
      <c r="L221" s="562"/>
      <c r="M221" s="562">
        <v>2024.0</v>
      </c>
      <c r="N221" s="562"/>
      <c r="O221" s="562"/>
      <c r="P221" s="562"/>
      <c r="Q221" s="562">
        <v>2025.0</v>
      </c>
      <c r="R221" s="562"/>
      <c r="S221" s="562"/>
      <c r="T221" s="562"/>
      <c r="U221" s="562"/>
      <c r="V221" s="562"/>
      <c r="W221" s="562"/>
      <c r="X221" s="562">
        <v>8.0</v>
      </c>
      <c r="Y221" s="562"/>
      <c r="Z221" s="562"/>
      <c r="AA221" s="562"/>
      <c r="AB221" s="562">
        <v>8.0</v>
      </c>
      <c r="AC221" s="562"/>
      <c r="AD221" s="562"/>
      <c r="AE221" s="562"/>
      <c r="AF221" s="562"/>
      <c r="AG221" s="562"/>
      <c r="AH221" s="562"/>
      <c r="AI221" s="562"/>
      <c r="AJ221" s="562"/>
      <c r="AK221" s="562"/>
      <c r="AL221" s="562"/>
      <c r="AM221" s="562"/>
      <c r="AN221" s="562"/>
      <c r="AO221" s="562"/>
      <c r="AP221" s="562"/>
      <c r="AQ221" s="562"/>
      <c r="AR221" s="562">
        <v>0.0</v>
      </c>
      <c r="AS221" s="562">
        <v>-2024.0</v>
      </c>
      <c r="AT221" s="562">
        <v>0.0</v>
      </c>
      <c r="AU221" s="562">
        <v>0.0</v>
      </c>
      <c r="AV221" s="562">
        <v>0.0</v>
      </c>
      <c r="AW221" s="562">
        <v>-2025.0</v>
      </c>
      <c r="AX221" s="562">
        <v>0.0</v>
      </c>
      <c r="AY221" s="562">
        <v>0.0</v>
      </c>
      <c r="AZ221" s="562">
        <v>0.0</v>
      </c>
      <c r="BA221" s="562">
        <v>0.0</v>
      </c>
      <c r="BB221" s="562"/>
      <c r="BC221" s="562"/>
      <c r="BD221" s="562"/>
      <c r="BE221" s="562"/>
      <c r="BF221" s="562"/>
      <c r="BG221" s="562"/>
      <c r="BH221" s="701"/>
      <c r="BI221" s="562"/>
      <c r="BJ221" s="562"/>
      <c r="BK221" s="562"/>
      <c r="BL221" s="681"/>
      <c r="BM221" s="665">
        <f t="shared" si="1"/>
        <v>0</v>
      </c>
      <c r="BN221" s="682"/>
      <c r="BO221" s="683"/>
      <c r="BP221" s="683"/>
      <c r="BQ221" s="683"/>
      <c r="BR221" s="683"/>
      <c r="BS221" s="667"/>
      <c r="BT221" s="683"/>
      <c r="BU221" s="683"/>
      <c r="BV221" s="683"/>
      <c r="BW221" s="686"/>
      <c r="BX221" s="665">
        <f t="shared" si="2"/>
        <v>0</v>
      </c>
      <c r="BY221" s="682">
        <v>0.0</v>
      </c>
      <c r="BZ221" s="683">
        <v>0.0</v>
      </c>
      <c r="CA221" s="683">
        <v>0.0</v>
      </c>
      <c r="CB221" s="683">
        <v>0.0</v>
      </c>
      <c r="CC221" s="683">
        <v>0.0</v>
      </c>
      <c r="CD221" s="684">
        <v>1.0</v>
      </c>
      <c r="CE221" s="683">
        <v>0.0</v>
      </c>
      <c r="CF221" s="683">
        <v>0.0</v>
      </c>
      <c r="CG221" s="683">
        <v>0.0</v>
      </c>
      <c r="CH221" s="686">
        <v>0.0</v>
      </c>
      <c r="CI221" s="665">
        <f t="shared" si="3"/>
        <v>1</v>
      </c>
      <c r="CJ221" s="682">
        <f t="shared" si="4"/>
        <v>1</v>
      </c>
      <c r="CK221" s="706">
        <v>412.67</v>
      </c>
      <c r="CL221" s="683">
        <f>CK221*$CL$1</f>
        <v>2872.1832</v>
      </c>
      <c r="CM221" s="683">
        <f t="shared" ref="CM221:CV221" si="679">BC221*$CL221</f>
        <v>0</v>
      </c>
      <c r="CN221" s="683">
        <f t="shared" si="679"/>
        <v>0</v>
      </c>
      <c r="CO221" s="683">
        <f t="shared" si="679"/>
        <v>0</v>
      </c>
      <c r="CP221" s="683">
        <f t="shared" si="679"/>
        <v>0</v>
      </c>
      <c r="CQ221" s="683">
        <f t="shared" si="679"/>
        <v>0</v>
      </c>
      <c r="CR221" s="683">
        <f t="shared" si="679"/>
        <v>0</v>
      </c>
      <c r="CS221" s="683">
        <f t="shared" si="679"/>
        <v>0</v>
      </c>
      <c r="CT221" s="683">
        <f t="shared" si="679"/>
        <v>0</v>
      </c>
      <c r="CU221" s="683">
        <f t="shared" si="679"/>
        <v>0</v>
      </c>
      <c r="CV221" s="683">
        <f t="shared" si="679"/>
        <v>0</v>
      </c>
      <c r="CW221" s="683">
        <f t="shared" si="21"/>
        <v>0</v>
      </c>
      <c r="CX221" s="683">
        <f t="shared" ref="CX221:DG221" si="680">BN221*$CL221</f>
        <v>0</v>
      </c>
      <c r="CY221" s="683">
        <f t="shared" si="680"/>
        <v>0</v>
      </c>
      <c r="CZ221" s="683">
        <f t="shared" si="680"/>
        <v>0</v>
      </c>
      <c r="DA221" s="683">
        <f t="shared" si="680"/>
        <v>0</v>
      </c>
      <c r="DB221" s="683">
        <f t="shared" si="680"/>
        <v>0</v>
      </c>
      <c r="DC221" s="683">
        <f t="shared" si="680"/>
        <v>0</v>
      </c>
      <c r="DD221" s="683">
        <f t="shared" si="680"/>
        <v>0</v>
      </c>
      <c r="DE221" s="683">
        <f t="shared" si="680"/>
        <v>0</v>
      </c>
      <c r="DF221" s="683">
        <f t="shared" si="680"/>
        <v>0</v>
      </c>
      <c r="DG221" s="683">
        <f t="shared" si="680"/>
        <v>0</v>
      </c>
      <c r="DH221" s="683">
        <f t="shared" si="23"/>
        <v>0</v>
      </c>
      <c r="DI221" s="683">
        <f t="shared" ref="DI221:DR221" si="681">BY221*$CL221</f>
        <v>0</v>
      </c>
      <c r="DJ221" s="683">
        <f t="shared" si="681"/>
        <v>0</v>
      </c>
      <c r="DK221" s="683">
        <f t="shared" si="681"/>
        <v>0</v>
      </c>
      <c r="DL221" s="683">
        <f t="shared" si="681"/>
        <v>0</v>
      </c>
      <c r="DM221" s="683">
        <f t="shared" si="681"/>
        <v>0</v>
      </c>
      <c r="DN221" s="683">
        <f t="shared" si="681"/>
        <v>2872.1832</v>
      </c>
      <c r="DO221" s="683">
        <f t="shared" si="681"/>
        <v>0</v>
      </c>
      <c r="DP221" s="683">
        <f t="shared" si="681"/>
        <v>0</v>
      </c>
      <c r="DQ221" s="683">
        <f t="shared" si="681"/>
        <v>0</v>
      </c>
      <c r="DR221" s="683">
        <f t="shared" si="681"/>
        <v>0</v>
      </c>
      <c r="DS221" s="683">
        <f t="shared" si="25"/>
        <v>2872.1832</v>
      </c>
      <c r="DT221" s="683">
        <f t="shared" ref="DT221:DT379" si="685">CL221*CJ221</f>
        <v>2872.1832</v>
      </c>
      <c r="DU221" s="504"/>
      <c r="DV221" s="486"/>
      <c r="DW221" s="688"/>
      <c r="DX221" s="688"/>
      <c r="DY221" s="688"/>
      <c r="DZ221" s="688"/>
      <c r="EA221" s="688"/>
      <c r="EB221" s="688"/>
      <c r="EC221" s="688"/>
      <c r="ED221" s="688"/>
      <c r="EE221" s="688"/>
      <c r="EF221" s="688"/>
      <c r="EG221" s="688"/>
      <c r="EH221" s="707" t="s">
        <v>1150</v>
      </c>
      <c r="EI221" s="708">
        <f>VLOOKUP(I221,CotizacionTDB,4,FALSE())</f>
        <v>412.67</v>
      </c>
      <c r="EJ221" s="708">
        <f>VLOOKUP(I221,CotizacionTDB,5,FALSE())</f>
        <v>350.77</v>
      </c>
      <c r="EK221" s="691"/>
    </row>
    <row r="222" ht="12.0" customHeight="1">
      <c r="A222" s="709" t="s">
        <v>3026</v>
      </c>
      <c r="B222" s="661"/>
      <c r="C222" s="567" t="s">
        <v>3027</v>
      </c>
      <c r="D222" s="568" t="s">
        <v>231</v>
      </c>
      <c r="E222" s="568" t="s">
        <v>3270</v>
      </c>
      <c r="F222" s="567" t="s">
        <v>1763</v>
      </c>
      <c r="G222" s="569" t="s">
        <v>2709</v>
      </c>
      <c r="H222" s="658"/>
      <c r="I222" s="567">
        <v>1.1879327E7</v>
      </c>
      <c r="J222" s="568" t="s">
        <v>3401</v>
      </c>
      <c r="K222" s="567" t="s">
        <v>25</v>
      </c>
      <c r="L222" s="567">
        <v>2024.0</v>
      </c>
      <c r="M222" s="567"/>
      <c r="N222" s="567">
        <v>2024.0</v>
      </c>
      <c r="O222" s="567"/>
      <c r="P222" s="567"/>
      <c r="Q222" s="567"/>
      <c r="R222" s="567"/>
      <c r="S222" s="567"/>
      <c r="T222" s="567"/>
      <c r="U222" s="567"/>
      <c r="V222" s="567"/>
      <c r="W222" s="567">
        <v>3.0</v>
      </c>
      <c r="X222" s="567"/>
      <c r="Y222" s="567">
        <v>3.0</v>
      </c>
      <c r="Z222" s="567"/>
      <c r="AA222" s="567"/>
      <c r="AB222" s="567"/>
      <c r="AC222" s="567"/>
      <c r="AD222" s="567"/>
      <c r="AE222" s="567"/>
      <c r="AF222" s="567"/>
      <c r="AG222" s="567"/>
      <c r="AH222" s="567"/>
      <c r="AI222" s="567"/>
      <c r="AJ222" s="567"/>
      <c r="AK222" s="567"/>
      <c r="AL222" s="567"/>
      <c r="AM222" s="567"/>
      <c r="AN222" s="567"/>
      <c r="AO222" s="567"/>
      <c r="AP222" s="567"/>
      <c r="AQ222" s="567"/>
      <c r="AR222" s="567">
        <v>-2024.0</v>
      </c>
      <c r="AS222" s="567">
        <v>0.0</v>
      </c>
      <c r="AT222" s="567">
        <v>-2024.0</v>
      </c>
      <c r="AU222" s="567">
        <v>0.0</v>
      </c>
      <c r="AV222" s="567">
        <v>0.0</v>
      </c>
      <c r="AW222" s="567">
        <v>0.0</v>
      </c>
      <c r="AX222" s="567">
        <v>0.0</v>
      </c>
      <c r="AY222" s="567">
        <v>0.0</v>
      </c>
      <c r="AZ222" s="567">
        <v>0.0</v>
      </c>
      <c r="BA222" s="567">
        <v>0.0</v>
      </c>
      <c r="BB222" s="567"/>
      <c r="BC222" s="661"/>
      <c r="BD222" s="567"/>
      <c r="BE222" s="567"/>
      <c r="BF222" s="567"/>
      <c r="BG222" s="567"/>
      <c r="BH222" s="567"/>
      <c r="BI222" s="567"/>
      <c r="BJ222" s="567"/>
      <c r="BK222" s="567"/>
      <c r="BL222" s="725"/>
      <c r="BM222" s="665">
        <f t="shared" si="1"/>
        <v>0</v>
      </c>
      <c r="BN222" s="671"/>
      <c r="BO222" s="668"/>
      <c r="BP222" s="668"/>
      <c r="BQ222" s="668"/>
      <c r="BR222" s="668"/>
      <c r="BS222" s="668"/>
      <c r="BT222" s="668"/>
      <c r="BU222" s="668"/>
      <c r="BV222" s="668"/>
      <c r="BW222" s="670"/>
      <c r="BX222" s="665">
        <f t="shared" si="2"/>
        <v>0</v>
      </c>
      <c r="BY222" s="671">
        <v>0.0</v>
      </c>
      <c r="BZ222" s="668">
        <v>0.0</v>
      </c>
      <c r="CA222" s="668">
        <v>0.0</v>
      </c>
      <c r="CB222" s="668">
        <v>0.0</v>
      </c>
      <c r="CC222" s="668">
        <v>0.0</v>
      </c>
      <c r="CD222" s="668">
        <v>0.0</v>
      </c>
      <c r="CE222" s="668">
        <v>0.0</v>
      </c>
      <c r="CF222" s="668">
        <v>0.0</v>
      </c>
      <c r="CG222" s="668">
        <v>0.0</v>
      </c>
      <c r="CH222" s="670">
        <v>0.0</v>
      </c>
      <c r="CI222" s="665">
        <f t="shared" si="3"/>
        <v>0</v>
      </c>
      <c r="CJ222" s="671">
        <f t="shared" si="4"/>
        <v>0</v>
      </c>
      <c r="CK222" s="668"/>
      <c r="CL222" s="668">
        <v>422.45169999999996</v>
      </c>
      <c r="CM222" s="668">
        <f t="shared" ref="CM222:CV222" si="682">BC222*$CL222</f>
        <v>0</v>
      </c>
      <c r="CN222" s="668">
        <f t="shared" si="682"/>
        <v>0</v>
      </c>
      <c r="CO222" s="668">
        <f t="shared" si="682"/>
        <v>0</v>
      </c>
      <c r="CP222" s="668">
        <f t="shared" si="682"/>
        <v>0</v>
      </c>
      <c r="CQ222" s="668">
        <f t="shared" si="682"/>
        <v>0</v>
      </c>
      <c r="CR222" s="668">
        <f t="shared" si="682"/>
        <v>0</v>
      </c>
      <c r="CS222" s="668">
        <f t="shared" si="682"/>
        <v>0</v>
      </c>
      <c r="CT222" s="668">
        <f t="shared" si="682"/>
        <v>0</v>
      </c>
      <c r="CU222" s="668">
        <f t="shared" si="682"/>
        <v>0</v>
      </c>
      <c r="CV222" s="668">
        <f t="shared" si="682"/>
        <v>0</v>
      </c>
      <c r="CW222" s="668">
        <f t="shared" si="21"/>
        <v>0</v>
      </c>
      <c r="CX222" s="668">
        <f t="shared" ref="CX222:DG222" si="683">BN222*$CL222</f>
        <v>0</v>
      </c>
      <c r="CY222" s="668">
        <f t="shared" si="683"/>
        <v>0</v>
      </c>
      <c r="CZ222" s="668">
        <f t="shared" si="683"/>
        <v>0</v>
      </c>
      <c r="DA222" s="668">
        <f t="shared" si="683"/>
        <v>0</v>
      </c>
      <c r="DB222" s="668">
        <f t="shared" si="683"/>
        <v>0</v>
      </c>
      <c r="DC222" s="668">
        <f t="shared" si="683"/>
        <v>0</v>
      </c>
      <c r="DD222" s="668">
        <f t="shared" si="683"/>
        <v>0</v>
      </c>
      <c r="DE222" s="668">
        <f t="shared" si="683"/>
        <v>0</v>
      </c>
      <c r="DF222" s="668">
        <f t="shared" si="683"/>
        <v>0</v>
      </c>
      <c r="DG222" s="668">
        <f t="shared" si="683"/>
        <v>0</v>
      </c>
      <c r="DH222" s="668">
        <f t="shared" si="23"/>
        <v>0</v>
      </c>
      <c r="DI222" s="668">
        <f t="shared" ref="DI222:DR222" si="684">BY222*$CL222</f>
        <v>0</v>
      </c>
      <c r="DJ222" s="668">
        <f t="shared" si="684"/>
        <v>0</v>
      </c>
      <c r="DK222" s="668">
        <f t="shared" si="684"/>
        <v>0</v>
      </c>
      <c r="DL222" s="668">
        <f t="shared" si="684"/>
        <v>0</v>
      </c>
      <c r="DM222" s="668">
        <f t="shared" si="684"/>
        <v>0</v>
      </c>
      <c r="DN222" s="668">
        <f t="shared" si="684"/>
        <v>0</v>
      </c>
      <c r="DO222" s="668">
        <f t="shared" si="684"/>
        <v>0</v>
      </c>
      <c r="DP222" s="668">
        <f t="shared" si="684"/>
        <v>0</v>
      </c>
      <c r="DQ222" s="668">
        <f t="shared" si="684"/>
        <v>0</v>
      </c>
      <c r="DR222" s="668">
        <f t="shared" si="684"/>
        <v>0</v>
      </c>
      <c r="DS222" s="668">
        <f t="shared" si="25"/>
        <v>0</v>
      </c>
      <c r="DT222" s="668">
        <f t="shared" si="685"/>
        <v>0</v>
      </c>
      <c r="DU222" s="538"/>
      <c r="DV222" s="468"/>
      <c r="DW222" s="698"/>
      <c r="DX222" s="698"/>
      <c r="DY222" s="698"/>
      <c r="DZ222" s="698"/>
      <c r="EA222" s="698"/>
      <c r="EB222" s="698"/>
      <c r="EC222" s="698"/>
      <c r="ED222" s="698"/>
      <c r="EE222" s="698"/>
      <c r="EF222" s="698"/>
      <c r="EG222" s="698"/>
      <c r="EH222" s="677">
        <f t="shared" ref="EH222:EH223" si="689">CK222*6.97</f>
        <v>0</v>
      </c>
      <c r="EI222" s="678">
        <v>1.0</v>
      </c>
      <c r="EJ222" s="699"/>
      <c r="EK222" s="699"/>
    </row>
    <row r="223" ht="12.0" customHeight="1">
      <c r="A223" s="700" t="s">
        <v>3026</v>
      </c>
      <c r="B223" s="701"/>
      <c r="C223" s="562" t="s">
        <v>3027</v>
      </c>
      <c r="D223" s="571" t="s">
        <v>231</v>
      </c>
      <c r="E223" s="571" t="s">
        <v>3270</v>
      </c>
      <c r="F223" s="562" t="s">
        <v>1763</v>
      </c>
      <c r="G223" s="569" t="s">
        <v>2709</v>
      </c>
      <c r="H223" s="737"/>
      <c r="I223" s="562"/>
      <c r="J223" s="571" t="s">
        <v>3402</v>
      </c>
      <c r="K223" s="562" t="s">
        <v>25</v>
      </c>
      <c r="L223" s="562">
        <v>2024.0</v>
      </c>
      <c r="M223" s="562"/>
      <c r="N223" s="562"/>
      <c r="O223" s="562"/>
      <c r="P223" s="562"/>
      <c r="Q223" s="562"/>
      <c r="R223" s="562"/>
      <c r="S223" s="562"/>
      <c r="T223" s="562"/>
      <c r="U223" s="562"/>
      <c r="V223" s="562"/>
      <c r="W223" s="562">
        <v>4.0</v>
      </c>
      <c r="X223" s="562"/>
      <c r="Y223" s="562"/>
      <c r="Z223" s="562"/>
      <c r="AA223" s="562"/>
      <c r="AB223" s="562"/>
      <c r="AC223" s="562"/>
      <c r="AD223" s="562"/>
      <c r="AE223" s="562"/>
      <c r="AF223" s="562"/>
      <c r="AG223" s="562"/>
      <c r="AH223" s="562"/>
      <c r="AI223" s="562"/>
      <c r="AJ223" s="562"/>
      <c r="AK223" s="562"/>
      <c r="AL223" s="562"/>
      <c r="AM223" s="562"/>
      <c r="AN223" s="562"/>
      <c r="AO223" s="562"/>
      <c r="AP223" s="562"/>
      <c r="AQ223" s="562"/>
      <c r="AR223" s="562">
        <v>-2024.0</v>
      </c>
      <c r="AS223" s="562">
        <v>0.0</v>
      </c>
      <c r="AT223" s="562">
        <v>0.0</v>
      </c>
      <c r="AU223" s="562">
        <v>0.0</v>
      </c>
      <c r="AV223" s="562">
        <v>0.0</v>
      </c>
      <c r="AW223" s="562">
        <v>0.0</v>
      </c>
      <c r="AX223" s="562">
        <v>0.0</v>
      </c>
      <c r="AY223" s="562">
        <v>0.0</v>
      </c>
      <c r="AZ223" s="562">
        <v>0.0</v>
      </c>
      <c r="BA223" s="562">
        <v>0.0</v>
      </c>
      <c r="BB223" s="562"/>
      <c r="BC223" s="701">
        <v>0.0</v>
      </c>
      <c r="BD223" s="562"/>
      <c r="BE223" s="562"/>
      <c r="BF223" s="562"/>
      <c r="BG223" s="562"/>
      <c r="BH223" s="562"/>
      <c r="BI223" s="562"/>
      <c r="BJ223" s="562"/>
      <c r="BK223" s="562"/>
      <c r="BL223" s="681"/>
      <c r="BM223" s="665">
        <f t="shared" si="1"/>
        <v>0</v>
      </c>
      <c r="BN223" s="682"/>
      <c r="BO223" s="683"/>
      <c r="BP223" s="683"/>
      <c r="BQ223" s="683"/>
      <c r="BR223" s="683"/>
      <c r="BS223" s="683"/>
      <c r="BT223" s="683"/>
      <c r="BU223" s="683"/>
      <c r="BV223" s="683"/>
      <c r="BW223" s="686"/>
      <c r="BX223" s="665">
        <f t="shared" si="2"/>
        <v>0</v>
      </c>
      <c r="BY223" s="682">
        <v>0.0</v>
      </c>
      <c r="BZ223" s="683">
        <v>0.0</v>
      </c>
      <c r="CA223" s="683">
        <v>0.0</v>
      </c>
      <c r="CB223" s="683">
        <v>0.0</v>
      </c>
      <c r="CC223" s="683">
        <v>0.0</v>
      </c>
      <c r="CD223" s="683">
        <v>0.0</v>
      </c>
      <c r="CE223" s="683">
        <v>0.0</v>
      </c>
      <c r="CF223" s="683">
        <v>0.0</v>
      </c>
      <c r="CG223" s="683">
        <v>0.0</v>
      </c>
      <c r="CH223" s="686">
        <v>0.0</v>
      </c>
      <c r="CI223" s="665">
        <f t="shared" si="3"/>
        <v>0</v>
      </c>
      <c r="CJ223" s="682">
        <f t="shared" si="4"/>
        <v>0</v>
      </c>
      <c r="CK223" s="683"/>
      <c r="CL223" s="683">
        <v>0.0</v>
      </c>
      <c r="CM223" s="683">
        <f t="shared" ref="CM223:CV223" si="686">BC223*$CL223</f>
        <v>0</v>
      </c>
      <c r="CN223" s="683">
        <f t="shared" si="686"/>
        <v>0</v>
      </c>
      <c r="CO223" s="683">
        <f t="shared" si="686"/>
        <v>0</v>
      </c>
      <c r="CP223" s="683">
        <f t="shared" si="686"/>
        <v>0</v>
      </c>
      <c r="CQ223" s="683">
        <f t="shared" si="686"/>
        <v>0</v>
      </c>
      <c r="CR223" s="683">
        <f t="shared" si="686"/>
        <v>0</v>
      </c>
      <c r="CS223" s="683">
        <f t="shared" si="686"/>
        <v>0</v>
      </c>
      <c r="CT223" s="683">
        <f t="shared" si="686"/>
        <v>0</v>
      </c>
      <c r="CU223" s="683">
        <f t="shared" si="686"/>
        <v>0</v>
      </c>
      <c r="CV223" s="683">
        <f t="shared" si="686"/>
        <v>0</v>
      </c>
      <c r="CW223" s="683">
        <f t="shared" si="21"/>
        <v>0</v>
      </c>
      <c r="CX223" s="683">
        <f t="shared" ref="CX223:DG223" si="687">BN223*$CL223</f>
        <v>0</v>
      </c>
      <c r="CY223" s="683">
        <f t="shared" si="687"/>
        <v>0</v>
      </c>
      <c r="CZ223" s="683">
        <f t="shared" si="687"/>
        <v>0</v>
      </c>
      <c r="DA223" s="683">
        <f t="shared" si="687"/>
        <v>0</v>
      </c>
      <c r="DB223" s="683">
        <f t="shared" si="687"/>
        <v>0</v>
      </c>
      <c r="DC223" s="683">
        <f t="shared" si="687"/>
        <v>0</v>
      </c>
      <c r="DD223" s="683">
        <f t="shared" si="687"/>
        <v>0</v>
      </c>
      <c r="DE223" s="683">
        <f t="shared" si="687"/>
        <v>0</v>
      </c>
      <c r="DF223" s="683">
        <f t="shared" si="687"/>
        <v>0</v>
      </c>
      <c r="DG223" s="683">
        <f t="shared" si="687"/>
        <v>0</v>
      </c>
      <c r="DH223" s="683">
        <f t="shared" si="23"/>
        <v>0</v>
      </c>
      <c r="DI223" s="683">
        <f t="shared" ref="DI223:DR223" si="688">BY223*$CL223</f>
        <v>0</v>
      </c>
      <c r="DJ223" s="683">
        <f t="shared" si="688"/>
        <v>0</v>
      </c>
      <c r="DK223" s="683">
        <f t="shared" si="688"/>
        <v>0</v>
      </c>
      <c r="DL223" s="683">
        <f t="shared" si="688"/>
        <v>0</v>
      </c>
      <c r="DM223" s="683">
        <f t="shared" si="688"/>
        <v>0</v>
      </c>
      <c r="DN223" s="683">
        <f t="shared" si="688"/>
        <v>0</v>
      </c>
      <c r="DO223" s="683">
        <f t="shared" si="688"/>
        <v>0</v>
      </c>
      <c r="DP223" s="683">
        <f t="shared" si="688"/>
        <v>0</v>
      </c>
      <c r="DQ223" s="683">
        <f t="shared" si="688"/>
        <v>0</v>
      </c>
      <c r="DR223" s="683">
        <f t="shared" si="688"/>
        <v>0</v>
      </c>
      <c r="DS223" s="683">
        <f t="shared" si="25"/>
        <v>0</v>
      </c>
      <c r="DT223" s="683">
        <f t="shared" si="685"/>
        <v>0</v>
      </c>
      <c r="DU223" s="504"/>
      <c r="DV223" s="486"/>
      <c r="DW223" s="688"/>
      <c r="DX223" s="688"/>
      <c r="DY223" s="688"/>
      <c r="DZ223" s="688"/>
      <c r="EA223" s="688"/>
      <c r="EB223" s="688"/>
      <c r="EC223" s="688"/>
      <c r="ED223" s="688"/>
      <c r="EE223" s="688"/>
      <c r="EF223" s="688"/>
      <c r="EG223" s="688"/>
      <c r="EH223" s="689">
        <f t="shared" si="689"/>
        <v>0</v>
      </c>
      <c r="EI223" s="690">
        <v>1.0</v>
      </c>
      <c r="EJ223" s="691"/>
      <c r="EK223" s="691"/>
    </row>
    <row r="224" ht="12.0" customHeight="1">
      <c r="A224" s="709" t="s">
        <v>3026</v>
      </c>
      <c r="B224" s="661">
        <v>2.0</v>
      </c>
      <c r="C224" s="567" t="s">
        <v>3027</v>
      </c>
      <c r="D224" s="568" t="s">
        <v>620</v>
      </c>
      <c r="E224" s="568" t="s">
        <v>2708</v>
      </c>
      <c r="F224" s="567" t="s">
        <v>1763</v>
      </c>
      <c r="G224" s="657" t="s">
        <v>2709</v>
      </c>
      <c r="H224" s="658"/>
      <c r="I224" s="721" t="s">
        <v>2481</v>
      </c>
      <c r="J224" s="711" t="s">
        <v>756</v>
      </c>
      <c r="K224" s="567" t="s">
        <v>25</v>
      </c>
      <c r="L224" s="567"/>
      <c r="M224" s="567"/>
      <c r="N224" s="567"/>
      <c r="O224" s="567"/>
      <c r="P224" s="567">
        <v>2024.0</v>
      </c>
      <c r="Q224" s="567"/>
      <c r="R224" s="567"/>
      <c r="S224" s="567"/>
      <c r="T224" s="567"/>
      <c r="U224" s="567"/>
      <c r="V224" s="567"/>
      <c r="W224" s="567">
        <v>3.0</v>
      </c>
      <c r="X224" s="567"/>
      <c r="Y224" s="567"/>
      <c r="Z224" s="567"/>
      <c r="AA224" s="567">
        <v>8.0</v>
      </c>
      <c r="AB224" s="567"/>
      <c r="AC224" s="567"/>
      <c r="AD224" s="567"/>
      <c r="AE224" s="567"/>
      <c r="AF224" s="567"/>
      <c r="AG224" s="567"/>
      <c r="AH224" s="567"/>
      <c r="AI224" s="567"/>
      <c r="AJ224" s="567"/>
      <c r="AK224" s="567"/>
      <c r="AL224" s="567"/>
      <c r="AM224" s="567"/>
      <c r="AN224" s="567"/>
      <c r="AO224" s="567"/>
      <c r="AP224" s="567"/>
      <c r="AQ224" s="567"/>
      <c r="AR224" s="567">
        <v>0.0</v>
      </c>
      <c r="AS224" s="567">
        <v>0.0</v>
      </c>
      <c r="AT224" s="567">
        <v>0.0</v>
      </c>
      <c r="AU224" s="567">
        <v>0.0</v>
      </c>
      <c r="AV224" s="567">
        <v>-2024.0</v>
      </c>
      <c r="AW224" s="567">
        <v>0.0</v>
      </c>
      <c r="AX224" s="567">
        <v>0.0</v>
      </c>
      <c r="AY224" s="567">
        <v>0.0</v>
      </c>
      <c r="AZ224" s="567">
        <v>0.0</v>
      </c>
      <c r="BA224" s="567">
        <v>0.0</v>
      </c>
      <c r="BB224" s="567"/>
      <c r="BC224" s="567"/>
      <c r="BD224" s="567"/>
      <c r="BE224" s="567"/>
      <c r="BF224" s="567"/>
      <c r="BG224" s="567">
        <v>1.0</v>
      </c>
      <c r="BH224" s="567"/>
      <c r="BI224" s="567"/>
      <c r="BJ224" s="567"/>
      <c r="BK224" s="567"/>
      <c r="BL224" s="725"/>
      <c r="BM224" s="665">
        <f t="shared" si="1"/>
        <v>1</v>
      </c>
      <c r="BN224" s="668"/>
      <c r="BO224" s="668"/>
      <c r="BP224" s="668"/>
      <c r="BQ224" s="668"/>
      <c r="BR224" s="668"/>
      <c r="BS224" s="668"/>
      <c r="BT224" s="668"/>
      <c r="BU224" s="668"/>
      <c r="BV224" s="668"/>
      <c r="BW224" s="670"/>
      <c r="BX224" s="665">
        <f t="shared" si="2"/>
        <v>0</v>
      </c>
      <c r="BY224" s="671">
        <v>0.0</v>
      </c>
      <c r="BZ224" s="668">
        <v>0.0</v>
      </c>
      <c r="CA224" s="668">
        <v>0.0</v>
      </c>
      <c r="CB224" s="668">
        <v>0.0</v>
      </c>
      <c r="CC224" s="668">
        <v>0.0</v>
      </c>
      <c r="CD224" s="668">
        <v>0.0</v>
      </c>
      <c r="CE224" s="668">
        <v>0.0</v>
      </c>
      <c r="CF224" s="668">
        <v>0.0</v>
      </c>
      <c r="CG224" s="668">
        <v>0.0</v>
      </c>
      <c r="CH224" s="670">
        <v>0.0</v>
      </c>
      <c r="CI224" s="665">
        <f t="shared" si="3"/>
        <v>0</v>
      </c>
      <c r="CJ224" s="671">
        <f t="shared" si="4"/>
        <v>1</v>
      </c>
      <c r="CK224" s="715">
        <v>3779.06</v>
      </c>
      <c r="CL224" s="668">
        <f>CK224*$CL$1</f>
        <v>26302.2576</v>
      </c>
      <c r="CM224" s="668">
        <f t="shared" ref="CM224:CV224" si="690">BC224*$CL224</f>
        <v>0</v>
      </c>
      <c r="CN224" s="668">
        <f t="shared" si="690"/>
        <v>0</v>
      </c>
      <c r="CO224" s="668">
        <f t="shared" si="690"/>
        <v>0</v>
      </c>
      <c r="CP224" s="668">
        <f t="shared" si="690"/>
        <v>0</v>
      </c>
      <c r="CQ224" s="668">
        <f t="shared" si="690"/>
        <v>26302.2576</v>
      </c>
      <c r="CR224" s="668">
        <f t="shared" si="690"/>
        <v>0</v>
      </c>
      <c r="CS224" s="668">
        <f t="shared" si="690"/>
        <v>0</v>
      </c>
      <c r="CT224" s="668">
        <f t="shared" si="690"/>
        <v>0</v>
      </c>
      <c r="CU224" s="668">
        <f t="shared" si="690"/>
        <v>0</v>
      </c>
      <c r="CV224" s="668">
        <f t="shared" si="690"/>
        <v>0</v>
      </c>
      <c r="CW224" s="668">
        <f t="shared" si="21"/>
        <v>26302.2576</v>
      </c>
      <c r="CX224" s="668">
        <f t="shared" ref="CX224:DG224" si="691">BN224*$CL224</f>
        <v>0</v>
      </c>
      <c r="CY224" s="668">
        <f t="shared" si="691"/>
        <v>0</v>
      </c>
      <c r="CZ224" s="668">
        <f t="shared" si="691"/>
        <v>0</v>
      </c>
      <c r="DA224" s="668">
        <f t="shared" si="691"/>
        <v>0</v>
      </c>
      <c r="DB224" s="668">
        <f t="shared" si="691"/>
        <v>0</v>
      </c>
      <c r="DC224" s="668">
        <f t="shared" si="691"/>
        <v>0</v>
      </c>
      <c r="DD224" s="668">
        <f t="shared" si="691"/>
        <v>0</v>
      </c>
      <c r="DE224" s="668">
        <f t="shared" si="691"/>
        <v>0</v>
      </c>
      <c r="DF224" s="668">
        <f t="shared" si="691"/>
        <v>0</v>
      </c>
      <c r="DG224" s="668">
        <f t="shared" si="691"/>
        <v>0</v>
      </c>
      <c r="DH224" s="668">
        <f t="shared" si="23"/>
        <v>0</v>
      </c>
      <c r="DI224" s="668">
        <f t="shared" ref="DI224:DR224" si="692">BY224*$CL224</f>
        <v>0</v>
      </c>
      <c r="DJ224" s="668">
        <f t="shared" si="692"/>
        <v>0</v>
      </c>
      <c r="DK224" s="668">
        <f t="shared" si="692"/>
        <v>0</v>
      </c>
      <c r="DL224" s="668">
        <f t="shared" si="692"/>
        <v>0</v>
      </c>
      <c r="DM224" s="668">
        <f t="shared" si="692"/>
        <v>0</v>
      </c>
      <c r="DN224" s="668">
        <f t="shared" si="692"/>
        <v>0</v>
      </c>
      <c r="DO224" s="668">
        <f t="shared" si="692"/>
        <v>0</v>
      </c>
      <c r="DP224" s="668">
        <f t="shared" si="692"/>
        <v>0</v>
      </c>
      <c r="DQ224" s="668">
        <f t="shared" si="692"/>
        <v>0</v>
      </c>
      <c r="DR224" s="668">
        <f t="shared" si="692"/>
        <v>0</v>
      </c>
      <c r="DS224" s="668">
        <f t="shared" si="25"/>
        <v>0</v>
      </c>
      <c r="DT224" s="668">
        <f t="shared" si="685"/>
        <v>26302.2576</v>
      </c>
      <c r="DU224" s="538"/>
      <c r="DV224" s="468"/>
      <c r="DW224" s="698"/>
      <c r="DX224" s="698"/>
      <c r="DY224" s="698"/>
      <c r="DZ224" s="698"/>
      <c r="EA224" s="698"/>
      <c r="EB224" s="698"/>
      <c r="EC224" s="698"/>
      <c r="ED224" s="698"/>
      <c r="EE224" s="698"/>
      <c r="EF224" s="698"/>
      <c r="EG224" s="698"/>
      <c r="EH224" s="576" t="s">
        <v>3403</v>
      </c>
      <c r="EI224" s="716">
        <f>VLOOKUP(I224,CotizacionTDB,4,FALSE())</f>
        <v>3779.06</v>
      </c>
      <c r="EJ224" s="716">
        <f>VLOOKUP(I224,CotizacionTDB,5,FALSE())</f>
        <v>3212.2</v>
      </c>
      <c r="EK224" s="699"/>
    </row>
    <row r="225" ht="12.0" customHeight="1">
      <c r="A225" s="700" t="s">
        <v>3026</v>
      </c>
      <c r="B225" s="701">
        <v>40.0</v>
      </c>
      <c r="C225" s="562" t="s">
        <v>3027</v>
      </c>
      <c r="D225" s="562" t="s">
        <v>620</v>
      </c>
      <c r="E225" s="562" t="s">
        <v>2708</v>
      </c>
      <c r="F225" s="562" t="s">
        <v>1774</v>
      </c>
      <c r="G225" s="848" t="s">
        <v>2709</v>
      </c>
      <c r="H225" s="890" t="s">
        <v>3404</v>
      </c>
      <c r="I225" s="562"/>
      <c r="J225" s="571" t="s">
        <v>3405</v>
      </c>
      <c r="K225" s="562" t="s">
        <v>25</v>
      </c>
      <c r="L225" s="562">
        <v>2024.0</v>
      </c>
      <c r="M225" s="562">
        <v>2024.0</v>
      </c>
      <c r="N225" s="562">
        <v>2024.0</v>
      </c>
      <c r="O225" s="562">
        <v>2024.0</v>
      </c>
      <c r="P225" s="562">
        <v>2024.0</v>
      </c>
      <c r="Q225" s="562">
        <v>2024.0</v>
      </c>
      <c r="R225" s="562">
        <v>2024.0</v>
      </c>
      <c r="S225" s="562">
        <v>2024.0</v>
      </c>
      <c r="T225" s="562"/>
      <c r="U225" s="562">
        <v>2024.0</v>
      </c>
      <c r="V225" s="562"/>
      <c r="W225" s="562">
        <v>3.0</v>
      </c>
      <c r="X225" s="562">
        <v>3.0</v>
      </c>
      <c r="Y225" s="562">
        <v>3.0</v>
      </c>
      <c r="Z225" s="562">
        <v>3.0</v>
      </c>
      <c r="AA225" s="562">
        <v>3.0</v>
      </c>
      <c r="AB225" s="562">
        <v>3.0</v>
      </c>
      <c r="AC225" s="562">
        <v>4.0</v>
      </c>
      <c r="AD225" s="562">
        <v>4.0</v>
      </c>
      <c r="AE225" s="562"/>
      <c r="AF225" s="562">
        <v>4.0</v>
      </c>
      <c r="AG225" s="562"/>
      <c r="AH225" s="562"/>
      <c r="AI225" s="562"/>
      <c r="AJ225" s="562"/>
      <c r="AK225" s="562"/>
      <c r="AL225" s="562"/>
      <c r="AM225" s="562"/>
      <c r="AN225" s="562"/>
      <c r="AO225" s="562"/>
      <c r="AP225" s="562"/>
      <c r="AQ225" s="562"/>
      <c r="AR225" s="562">
        <v>-2024.0</v>
      </c>
      <c r="AS225" s="562">
        <v>-2024.0</v>
      </c>
      <c r="AT225" s="562">
        <v>-2024.0</v>
      </c>
      <c r="AU225" s="562">
        <v>-2024.0</v>
      </c>
      <c r="AV225" s="562">
        <v>-2024.0</v>
      </c>
      <c r="AW225" s="562">
        <v>-2024.0</v>
      </c>
      <c r="AX225" s="562">
        <v>-2024.0</v>
      </c>
      <c r="AY225" s="562">
        <v>-2024.0</v>
      </c>
      <c r="AZ225" s="562">
        <v>0.0</v>
      </c>
      <c r="BA225" s="562">
        <v>-2024.0</v>
      </c>
      <c r="BB225" s="562"/>
      <c r="BC225" s="562">
        <v>6.0</v>
      </c>
      <c r="BD225" s="562">
        <v>4.0</v>
      </c>
      <c r="BE225" s="562">
        <v>6.0</v>
      </c>
      <c r="BF225" s="562">
        <v>5.0</v>
      </c>
      <c r="BG225" s="562">
        <v>5.0</v>
      </c>
      <c r="BH225" s="562">
        <v>5.0</v>
      </c>
      <c r="BI225" s="562">
        <v>4.0</v>
      </c>
      <c r="BJ225" s="562">
        <v>4.0</v>
      </c>
      <c r="BK225" s="562"/>
      <c r="BL225" s="681">
        <v>24.0</v>
      </c>
      <c r="BM225" s="665">
        <f t="shared" si="1"/>
        <v>63</v>
      </c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6"/>
      <c r="BX225" s="665">
        <f t="shared" si="2"/>
        <v>0</v>
      </c>
      <c r="BY225" s="682">
        <v>0.0</v>
      </c>
      <c r="BZ225" s="683">
        <v>0.0</v>
      </c>
      <c r="CA225" s="683">
        <v>0.0</v>
      </c>
      <c r="CB225" s="683">
        <v>0.0</v>
      </c>
      <c r="CC225" s="683">
        <v>0.0</v>
      </c>
      <c r="CD225" s="683">
        <v>0.0</v>
      </c>
      <c r="CE225" s="683">
        <v>0.0</v>
      </c>
      <c r="CF225" s="683">
        <v>0.0</v>
      </c>
      <c r="CG225" s="683">
        <v>0.0</v>
      </c>
      <c r="CH225" s="686">
        <v>0.0</v>
      </c>
      <c r="CI225" s="665">
        <f t="shared" si="3"/>
        <v>0</v>
      </c>
      <c r="CJ225" s="682">
        <f t="shared" si="4"/>
        <v>63</v>
      </c>
      <c r="CK225" s="683"/>
      <c r="CL225" s="891">
        <v>112.0</v>
      </c>
      <c r="CM225" s="683">
        <f t="shared" ref="CM225:CV225" si="693">BC225*$CL225</f>
        <v>672</v>
      </c>
      <c r="CN225" s="683">
        <f t="shared" si="693"/>
        <v>448</v>
      </c>
      <c r="CO225" s="683">
        <f t="shared" si="693"/>
        <v>672</v>
      </c>
      <c r="CP225" s="683">
        <f t="shared" si="693"/>
        <v>560</v>
      </c>
      <c r="CQ225" s="683">
        <f t="shared" si="693"/>
        <v>560</v>
      </c>
      <c r="CR225" s="683">
        <f t="shared" si="693"/>
        <v>560</v>
      </c>
      <c r="CS225" s="683">
        <f t="shared" si="693"/>
        <v>448</v>
      </c>
      <c r="CT225" s="683">
        <f t="shared" si="693"/>
        <v>448</v>
      </c>
      <c r="CU225" s="683">
        <f t="shared" si="693"/>
        <v>0</v>
      </c>
      <c r="CV225" s="683">
        <f t="shared" si="693"/>
        <v>2688</v>
      </c>
      <c r="CW225" s="683">
        <f t="shared" si="21"/>
        <v>7056</v>
      </c>
      <c r="CX225" s="683">
        <f t="shared" ref="CX225:DG225" si="694">BN225*$CL225</f>
        <v>0</v>
      </c>
      <c r="CY225" s="683">
        <f t="shared" si="694"/>
        <v>0</v>
      </c>
      <c r="CZ225" s="683">
        <f t="shared" si="694"/>
        <v>0</v>
      </c>
      <c r="DA225" s="683">
        <f t="shared" si="694"/>
        <v>0</v>
      </c>
      <c r="DB225" s="683">
        <f t="shared" si="694"/>
        <v>0</v>
      </c>
      <c r="DC225" s="683">
        <f t="shared" si="694"/>
        <v>0</v>
      </c>
      <c r="DD225" s="683">
        <f t="shared" si="694"/>
        <v>0</v>
      </c>
      <c r="DE225" s="683">
        <f t="shared" si="694"/>
        <v>0</v>
      </c>
      <c r="DF225" s="683">
        <f t="shared" si="694"/>
        <v>0</v>
      </c>
      <c r="DG225" s="683">
        <f t="shared" si="694"/>
        <v>0</v>
      </c>
      <c r="DH225" s="683">
        <f t="shared" si="23"/>
        <v>0</v>
      </c>
      <c r="DI225" s="683">
        <f t="shared" ref="DI225:DR225" si="695">BY225*$CL225</f>
        <v>0</v>
      </c>
      <c r="DJ225" s="683">
        <f t="shared" si="695"/>
        <v>0</v>
      </c>
      <c r="DK225" s="683">
        <f t="shared" si="695"/>
        <v>0</v>
      </c>
      <c r="DL225" s="683">
        <f t="shared" si="695"/>
        <v>0</v>
      </c>
      <c r="DM225" s="683">
        <f t="shared" si="695"/>
        <v>0</v>
      </c>
      <c r="DN225" s="683">
        <f t="shared" si="695"/>
        <v>0</v>
      </c>
      <c r="DO225" s="683">
        <f t="shared" si="695"/>
        <v>0</v>
      </c>
      <c r="DP225" s="683">
        <f t="shared" si="695"/>
        <v>0</v>
      </c>
      <c r="DQ225" s="683">
        <f t="shared" si="695"/>
        <v>0</v>
      </c>
      <c r="DR225" s="683">
        <f t="shared" si="695"/>
        <v>0</v>
      </c>
      <c r="DS225" s="683">
        <f t="shared" si="25"/>
        <v>0</v>
      </c>
      <c r="DT225" s="683">
        <f t="shared" si="685"/>
        <v>7056</v>
      </c>
      <c r="DU225" s="801" t="s">
        <v>3406</v>
      </c>
      <c r="DV225" s="486" t="s">
        <v>3407</v>
      </c>
      <c r="DW225" s="688"/>
      <c r="DX225" s="688"/>
      <c r="DY225" s="688"/>
      <c r="DZ225" s="688"/>
      <c r="EA225" s="688"/>
      <c r="EB225" s="688"/>
      <c r="EC225" s="688"/>
      <c r="ED225" s="688"/>
      <c r="EE225" s="688"/>
      <c r="EF225" s="688"/>
      <c r="EG225" s="688"/>
      <c r="EH225" s="689">
        <f t="shared" ref="EH225:EH232" si="699">CK225*6.97</f>
        <v>0</v>
      </c>
      <c r="EI225" s="690">
        <v>1.0</v>
      </c>
      <c r="EJ225" s="691"/>
      <c r="EK225" s="691"/>
    </row>
    <row r="226" ht="12.0" customHeight="1">
      <c r="A226" s="709" t="s">
        <v>3026</v>
      </c>
      <c r="B226" s="661">
        <v>40.0</v>
      </c>
      <c r="C226" s="567" t="s">
        <v>3027</v>
      </c>
      <c r="D226" s="567" t="s">
        <v>620</v>
      </c>
      <c r="E226" s="567" t="s">
        <v>2708</v>
      </c>
      <c r="F226" s="567" t="s">
        <v>1774</v>
      </c>
      <c r="G226" s="692" t="s">
        <v>2709</v>
      </c>
      <c r="H226" s="890" t="s">
        <v>3408</v>
      </c>
      <c r="I226" s="567"/>
      <c r="J226" s="568" t="s">
        <v>3409</v>
      </c>
      <c r="K226" s="567" t="s">
        <v>25</v>
      </c>
      <c r="L226" s="567">
        <v>2024.0</v>
      </c>
      <c r="M226" s="567">
        <v>2024.0</v>
      </c>
      <c r="N226" s="567">
        <v>2024.0</v>
      </c>
      <c r="O226" s="567">
        <v>2024.0</v>
      </c>
      <c r="P226" s="567">
        <v>2024.0</v>
      </c>
      <c r="Q226" s="567">
        <v>2024.0</v>
      </c>
      <c r="R226" s="567">
        <v>2024.0</v>
      </c>
      <c r="S226" s="567">
        <v>2024.0</v>
      </c>
      <c r="T226" s="567"/>
      <c r="U226" s="567">
        <v>2024.0</v>
      </c>
      <c r="V226" s="567"/>
      <c r="W226" s="567">
        <v>3.0</v>
      </c>
      <c r="X226" s="567">
        <v>3.0</v>
      </c>
      <c r="Y226" s="567">
        <v>3.0</v>
      </c>
      <c r="Z226" s="567">
        <v>3.0</v>
      </c>
      <c r="AA226" s="567">
        <v>3.0</v>
      </c>
      <c r="AB226" s="567">
        <v>3.0</v>
      </c>
      <c r="AC226" s="567">
        <v>4.0</v>
      </c>
      <c r="AD226" s="567">
        <v>4.0</v>
      </c>
      <c r="AE226" s="567"/>
      <c r="AF226" s="567">
        <v>4.0</v>
      </c>
      <c r="AG226" s="567"/>
      <c r="AH226" s="567"/>
      <c r="AI226" s="567"/>
      <c r="AJ226" s="567"/>
      <c r="AK226" s="567"/>
      <c r="AL226" s="567"/>
      <c r="AM226" s="567"/>
      <c r="AN226" s="567"/>
      <c r="AO226" s="567"/>
      <c r="AP226" s="567"/>
      <c r="AQ226" s="567"/>
      <c r="AR226" s="567">
        <v>-2024.0</v>
      </c>
      <c r="AS226" s="567">
        <v>-2024.0</v>
      </c>
      <c r="AT226" s="567">
        <v>-2024.0</v>
      </c>
      <c r="AU226" s="567">
        <v>-2024.0</v>
      </c>
      <c r="AV226" s="567">
        <v>-2024.0</v>
      </c>
      <c r="AW226" s="567">
        <v>-2024.0</v>
      </c>
      <c r="AX226" s="567">
        <v>-2024.0</v>
      </c>
      <c r="AY226" s="567">
        <v>-2024.0</v>
      </c>
      <c r="AZ226" s="567">
        <v>0.0</v>
      </c>
      <c r="BA226" s="567">
        <v>-2024.0</v>
      </c>
      <c r="BB226" s="567"/>
      <c r="BC226" s="567">
        <v>6.0</v>
      </c>
      <c r="BD226" s="567">
        <v>4.0</v>
      </c>
      <c r="BE226" s="567">
        <v>6.0</v>
      </c>
      <c r="BF226" s="567">
        <v>5.0</v>
      </c>
      <c r="BG226" s="567">
        <v>5.0</v>
      </c>
      <c r="BH226" s="567">
        <v>5.0</v>
      </c>
      <c r="BI226" s="567">
        <v>4.0</v>
      </c>
      <c r="BJ226" s="567">
        <v>4.0</v>
      </c>
      <c r="BK226" s="567"/>
      <c r="BL226" s="725">
        <v>24.0</v>
      </c>
      <c r="BM226" s="665">
        <f t="shared" si="1"/>
        <v>63</v>
      </c>
      <c r="BN226" s="671"/>
      <c r="BO226" s="668"/>
      <c r="BP226" s="668"/>
      <c r="BQ226" s="668"/>
      <c r="BR226" s="668"/>
      <c r="BS226" s="668"/>
      <c r="BT226" s="668"/>
      <c r="BU226" s="668"/>
      <c r="BV226" s="668"/>
      <c r="BW226" s="670"/>
      <c r="BX226" s="665">
        <f t="shared" si="2"/>
        <v>0</v>
      </c>
      <c r="BY226" s="671">
        <v>0.0</v>
      </c>
      <c r="BZ226" s="668">
        <v>0.0</v>
      </c>
      <c r="CA226" s="668">
        <v>0.0</v>
      </c>
      <c r="CB226" s="668">
        <v>0.0</v>
      </c>
      <c r="CC226" s="668">
        <v>0.0</v>
      </c>
      <c r="CD226" s="668">
        <v>0.0</v>
      </c>
      <c r="CE226" s="668">
        <v>0.0</v>
      </c>
      <c r="CF226" s="668">
        <v>0.0</v>
      </c>
      <c r="CG226" s="668">
        <v>0.0</v>
      </c>
      <c r="CH226" s="670">
        <v>0.0</v>
      </c>
      <c r="CI226" s="665">
        <f t="shared" si="3"/>
        <v>0</v>
      </c>
      <c r="CJ226" s="671">
        <f t="shared" si="4"/>
        <v>63</v>
      </c>
      <c r="CK226" s="668"/>
      <c r="CL226" s="891">
        <v>69.0</v>
      </c>
      <c r="CM226" s="668">
        <f t="shared" ref="CM226:CV226" si="696">BC226*$CL226</f>
        <v>414</v>
      </c>
      <c r="CN226" s="668">
        <f t="shared" si="696"/>
        <v>276</v>
      </c>
      <c r="CO226" s="668">
        <f t="shared" si="696"/>
        <v>414</v>
      </c>
      <c r="CP226" s="668">
        <f t="shared" si="696"/>
        <v>345</v>
      </c>
      <c r="CQ226" s="668">
        <f t="shared" si="696"/>
        <v>345</v>
      </c>
      <c r="CR226" s="668">
        <f t="shared" si="696"/>
        <v>345</v>
      </c>
      <c r="CS226" s="668">
        <f t="shared" si="696"/>
        <v>276</v>
      </c>
      <c r="CT226" s="668">
        <f t="shared" si="696"/>
        <v>276</v>
      </c>
      <c r="CU226" s="668">
        <f t="shared" si="696"/>
        <v>0</v>
      </c>
      <c r="CV226" s="668">
        <f t="shared" si="696"/>
        <v>1656</v>
      </c>
      <c r="CW226" s="668">
        <f t="shared" si="21"/>
        <v>4347</v>
      </c>
      <c r="CX226" s="668">
        <f t="shared" ref="CX226:DG226" si="697">BN226*$CL226</f>
        <v>0</v>
      </c>
      <c r="CY226" s="668">
        <f t="shared" si="697"/>
        <v>0</v>
      </c>
      <c r="CZ226" s="668">
        <f t="shared" si="697"/>
        <v>0</v>
      </c>
      <c r="DA226" s="668">
        <f t="shared" si="697"/>
        <v>0</v>
      </c>
      <c r="DB226" s="668">
        <f t="shared" si="697"/>
        <v>0</v>
      </c>
      <c r="DC226" s="668">
        <f t="shared" si="697"/>
        <v>0</v>
      </c>
      <c r="DD226" s="668">
        <f t="shared" si="697"/>
        <v>0</v>
      </c>
      <c r="DE226" s="668">
        <f t="shared" si="697"/>
        <v>0</v>
      </c>
      <c r="DF226" s="668">
        <f t="shared" si="697"/>
        <v>0</v>
      </c>
      <c r="DG226" s="668">
        <f t="shared" si="697"/>
        <v>0</v>
      </c>
      <c r="DH226" s="668">
        <f t="shared" si="23"/>
        <v>0</v>
      </c>
      <c r="DI226" s="668">
        <f t="shared" ref="DI226:DR226" si="698">BY226*$CL226</f>
        <v>0</v>
      </c>
      <c r="DJ226" s="668">
        <f t="shared" si="698"/>
        <v>0</v>
      </c>
      <c r="DK226" s="668">
        <f t="shared" si="698"/>
        <v>0</v>
      </c>
      <c r="DL226" s="668">
        <f t="shared" si="698"/>
        <v>0</v>
      </c>
      <c r="DM226" s="668">
        <f t="shared" si="698"/>
        <v>0</v>
      </c>
      <c r="DN226" s="668">
        <f t="shared" si="698"/>
        <v>0</v>
      </c>
      <c r="DO226" s="668">
        <f t="shared" si="698"/>
        <v>0</v>
      </c>
      <c r="DP226" s="668">
        <f t="shared" si="698"/>
        <v>0</v>
      </c>
      <c r="DQ226" s="668">
        <f t="shared" si="698"/>
        <v>0</v>
      </c>
      <c r="DR226" s="668">
        <f t="shared" si="698"/>
        <v>0</v>
      </c>
      <c r="DS226" s="668">
        <f t="shared" si="25"/>
        <v>0</v>
      </c>
      <c r="DT226" s="668">
        <f t="shared" si="685"/>
        <v>4347</v>
      </c>
      <c r="DU226" s="892" t="s">
        <v>3410</v>
      </c>
      <c r="DV226" s="468" t="s">
        <v>3407</v>
      </c>
      <c r="DW226" s="698"/>
      <c r="DX226" s="698"/>
      <c r="DY226" s="698"/>
      <c r="DZ226" s="698"/>
      <c r="EA226" s="698"/>
      <c r="EB226" s="698"/>
      <c r="EC226" s="698"/>
      <c r="ED226" s="698"/>
      <c r="EE226" s="698"/>
      <c r="EF226" s="698"/>
      <c r="EG226" s="698"/>
      <c r="EH226" s="677">
        <f t="shared" si="699"/>
        <v>0</v>
      </c>
      <c r="EI226" s="678">
        <v>1.0</v>
      </c>
      <c r="EJ226" s="699"/>
      <c r="EK226" s="699"/>
    </row>
    <row r="227" ht="12.0" customHeight="1">
      <c r="A227" s="700" t="s">
        <v>3026</v>
      </c>
      <c r="B227" s="701">
        <v>40.0</v>
      </c>
      <c r="C227" s="562" t="s">
        <v>3027</v>
      </c>
      <c r="D227" s="562" t="s">
        <v>620</v>
      </c>
      <c r="E227" s="562" t="s">
        <v>2708</v>
      </c>
      <c r="F227" s="562" t="s">
        <v>1774</v>
      </c>
      <c r="G227" s="851" t="s">
        <v>2709</v>
      </c>
      <c r="H227" s="851" t="s">
        <v>3411</v>
      </c>
      <c r="I227" s="562"/>
      <c r="J227" s="571" t="s">
        <v>3412</v>
      </c>
      <c r="K227" s="562" t="s">
        <v>25</v>
      </c>
      <c r="L227" s="562">
        <v>2024.0</v>
      </c>
      <c r="M227" s="562">
        <v>2024.0</v>
      </c>
      <c r="N227" s="562">
        <v>2024.0</v>
      </c>
      <c r="O227" s="562">
        <v>2024.0</v>
      </c>
      <c r="P227" s="562">
        <v>2024.0</v>
      </c>
      <c r="Q227" s="562">
        <v>2024.0</v>
      </c>
      <c r="R227" s="562">
        <v>2024.0</v>
      </c>
      <c r="S227" s="562">
        <v>2024.0</v>
      </c>
      <c r="T227" s="562"/>
      <c r="U227" s="562"/>
      <c r="V227" s="562"/>
      <c r="W227" s="562">
        <v>3.0</v>
      </c>
      <c r="X227" s="562">
        <v>3.0</v>
      </c>
      <c r="Y227" s="562">
        <v>3.0</v>
      </c>
      <c r="Z227" s="562">
        <v>3.0</v>
      </c>
      <c r="AA227" s="562">
        <v>3.0</v>
      </c>
      <c r="AB227" s="562">
        <v>3.0</v>
      </c>
      <c r="AC227" s="562">
        <v>4.0</v>
      </c>
      <c r="AD227" s="562">
        <v>4.0</v>
      </c>
      <c r="AE227" s="562"/>
      <c r="AF227" s="562"/>
      <c r="AG227" s="562"/>
      <c r="AH227" s="562"/>
      <c r="AI227" s="562"/>
      <c r="AJ227" s="562"/>
      <c r="AK227" s="562"/>
      <c r="AL227" s="562"/>
      <c r="AM227" s="562"/>
      <c r="AN227" s="562"/>
      <c r="AO227" s="562"/>
      <c r="AP227" s="562"/>
      <c r="AQ227" s="562"/>
      <c r="AR227" s="562">
        <v>-2024.0</v>
      </c>
      <c r="AS227" s="562">
        <v>-2024.0</v>
      </c>
      <c r="AT227" s="562">
        <v>-2024.0</v>
      </c>
      <c r="AU227" s="562">
        <v>-2024.0</v>
      </c>
      <c r="AV227" s="562">
        <v>-2024.0</v>
      </c>
      <c r="AW227" s="562">
        <v>-2024.0</v>
      </c>
      <c r="AX227" s="562">
        <v>-2024.0</v>
      </c>
      <c r="AY227" s="562">
        <v>-2024.0</v>
      </c>
      <c r="AZ227" s="562">
        <v>0.0</v>
      </c>
      <c r="BA227" s="562">
        <v>0.0</v>
      </c>
      <c r="BB227" s="562"/>
      <c r="BC227" s="562">
        <v>8.0</v>
      </c>
      <c r="BD227" s="562">
        <v>6.0</v>
      </c>
      <c r="BE227" s="562">
        <v>12.0</v>
      </c>
      <c r="BF227" s="562">
        <v>10.0</v>
      </c>
      <c r="BG227" s="562">
        <v>10.0</v>
      </c>
      <c r="BH227" s="562">
        <v>10.0</v>
      </c>
      <c r="BI227" s="562">
        <v>4.0</v>
      </c>
      <c r="BJ227" s="562">
        <v>4.0</v>
      </c>
      <c r="BK227" s="562"/>
      <c r="BL227" s="681"/>
      <c r="BM227" s="665">
        <f t="shared" si="1"/>
        <v>64</v>
      </c>
      <c r="BN227" s="682"/>
      <c r="BO227" s="683"/>
      <c r="BP227" s="683"/>
      <c r="BQ227" s="683"/>
      <c r="BR227" s="683"/>
      <c r="BS227" s="683"/>
      <c r="BT227" s="683"/>
      <c r="BU227" s="683"/>
      <c r="BV227" s="683"/>
      <c r="BW227" s="686"/>
      <c r="BX227" s="665">
        <f t="shared" si="2"/>
        <v>0</v>
      </c>
      <c r="BY227" s="682">
        <v>0.0</v>
      </c>
      <c r="BZ227" s="683">
        <v>0.0</v>
      </c>
      <c r="CA227" s="683">
        <v>0.0</v>
      </c>
      <c r="CB227" s="683">
        <v>0.0</v>
      </c>
      <c r="CC227" s="683">
        <v>0.0</v>
      </c>
      <c r="CD227" s="683">
        <v>0.0</v>
      </c>
      <c r="CE227" s="683">
        <v>0.0</v>
      </c>
      <c r="CF227" s="683">
        <v>0.0</v>
      </c>
      <c r="CG227" s="683">
        <v>0.0</v>
      </c>
      <c r="CH227" s="686">
        <v>0.0</v>
      </c>
      <c r="CI227" s="665">
        <f t="shared" si="3"/>
        <v>0</v>
      </c>
      <c r="CJ227" s="682">
        <f t="shared" si="4"/>
        <v>64</v>
      </c>
      <c r="CK227" s="687"/>
      <c r="CL227" s="798">
        <v>49.0</v>
      </c>
      <c r="CM227" s="683">
        <f t="shared" ref="CM227:CV227" si="700">BC227*$CL227</f>
        <v>392</v>
      </c>
      <c r="CN227" s="683">
        <f t="shared" si="700"/>
        <v>294</v>
      </c>
      <c r="CO227" s="683">
        <f t="shared" si="700"/>
        <v>588</v>
      </c>
      <c r="CP227" s="683">
        <f t="shared" si="700"/>
        <v>490</v>
      </c>
      <c r="CQ227" s="683">
        <f t="shared" si="700"/>
        <v>490</v>
      </c>
      <c r="CR227" s="683">
        <f t="shared" si="700"/>
        <v>490</v>
      </c>
      <c r="CS227" s="683">
        <f t="shared" si="700"/>
        <v>196</v>
      </c>
      <c r="CT227" s="683">
        <f t="shared" si="700"/>
        <v>196</v>
      </c>
      <c r="CU227" s="683">
        <f t="shared" si="700"/>
        <v>0</v>
      </c>
      <c r="CV227" s="683">
        <f t="shared" si="700"/>
        <v>0</v>
      </c>
      <c r="CW227" s="683">
        <f t="shared" si="21"/>
        <v>3136</v>
      </c>
      <c r="CX227" s="683">
        <f t="shared" ref="CX227:DG227" si="701">BN227*$CL227</f>
        <v>0</v>
      </c>
      <c r="CY227" s="683">
        <f t="shared" si="701"/>
        <v>0</v>
      </c>
      <c r="CZ227" s="683">
        <f t="shared" si="701"/>
        <v>0</v>
      </c>
      <c r="DA227" s="683">
        <f t="shared" si="701"/>
        <v>0</v>
      </c>
      <c r="DB227" s="683">
        <f t="shared" si="701"/>
        <v>0</v>
      </c>
      <c r="DC227" s="683">
        <f t="shared" si="701"/>
        <v>0</v>
      </c>
      <c r="DD227" s="683">
        <f t="shared" si="701"/>
        <v>0</v>
      </c>
      <c r="DE227" s="683">
        <f t="shared" si="701"/>
        <v>0</v>
      </c>
      <c r="DF227" s="683">
        <f t="shared" si="701"/>
        <v>0</v>
      </c>
      <c r="DG227" s="683">
        <f t="shared" si="701"/>
        <v>0</v>
      </c>
      <c r="DH227" s="683">
        <f t="shared" si="23"/>
        <v>0</v>
      </c>
      <c r="DI227" s="683">
        <f t="shared" ref="DI227:DR227" si="702">BY227*$CL227</f>
        <v>0</v>
      </c>
      <c r="DJ227" s="683">
        <f t="shared" si="702"/>
        <v>0</v>
      </c>
      <c r="DK227" s="683">
        <f t="shared" si="702"/>
        <v>0</v>
      </c>
      <c r="DL227" s="683">
        <f t="shared" si="702"/>
        <v>0</v>
      </c>
      <c r="DM227" s="683">
        <f t="shared" si="702"/>
        <v>0</v>
      </c>
      <c r="DN227" s="683">
        <f t="shared" si="702"/>
        <v>0</v>
      </c>
      <c r="DO227" s="683">
        <f t="shared" si="702"/>
        <v>0</v>
      </c>
      <c r="DP227" s="683">
        <f t="shared" si="702"/>
        <v>0</v>
      </c>
      <c r="DQ227" s="683">
        <f t="shared" si="702"/>
        <v>0</v>
      </c>
      <c r="DR227" s="683">
        <f t="shared" si="702"/>
        <v>0</v>
      </c>
      <c r="DS227" s="683">
        <f t="shared" si="25"/>
        <v>0</v>
      </c>
      <c r="DT227" s="683">
        <f t="shared" si="685"/>
        <v>3136</v>
      </c>
      <c r="DU227" s="866"/>
      <c r="DV227" s="818" t="s">
        <v>3140</v>
      </c>
      <c r="DW227" s="819"/>
      <c r="DX227" s="819"/>
      <c r="DY227" s="819"/>
      <c r="DZ227" s="819"/>
      <c r="EA227" s="819"/>
      <c r="EB227" s="819"/>
      <c r="EC227" s="819"/>
      <c r="ED227" s="819"/>
      <c r="EE227" s="819"/>
      <c r="EF227" s="819"/>
      <c r="EG227" s="819"/>
      <c r="EH227" s="689">
        <f t="shared" si="699"/>
        <v>0</v>
      </c>
      <c r="EI227" s="690">
        <v>1.0</v>
      </c>
      <c r="EJ227" s="691"/>
      <c r="EK227" s="691"/>
    </row>
    <row r="228" ht="12.0" customHeight="1">
      <c r="A228" s="709" t="s">
        <v>3026</v>
      </c>
      <c r="B228" s="661">
        <v>40.0</v>
      </c>
      <c r="C228" s="567" t="s">
        <v>3027</v>
      </c>
      <c r="D228" s="567" t="s">
        <v>620</v>
      </c>
      <c r="E228" s="567" t="s">
        <v>2708</v>
      </c>
      <c r="F228" s="567" t="s">
        <v>1774</v>
      </c>
      <c r="G228" s="692" t="s">
        <v>2709</v>
      </c>
      <c r="H228" s="890" t="s">
        <v>3413</v>
      </c>
      <c r="I228" s="567"/>
      <c r="J228" s="568" t="s">
        <v>3414</v>
      </c>
      <c r="K228" s="567" t="s">
        <v>25</v>
      </c>
      <c r="L228" s="567">
        <v>2024.0</v>
      </c>
      <c r="M228" s="567">
        <v>2024.0</v>
      </c>
      <c r="N228" s="567">
        <v>2024.0</v>
      </c>
      <c r="O228" s="567">
        <v>2024.0</v>
      </c>
      <c r="P228" s="567">
        <v>2024.0</v>
      </c>
      <c r="Q228" s="567">
        <v>2024.0</v>
      </c>
      <c r="R228" s="567">
        <v>2024.0</v>
      </c>
      <c r="S228" s="567">
        <v>2024.0</v>
      </c>
      <c r="T228" s="567"/>
      <c r="U228" s="567">
        <v>2024.0</v>
      </c>
      <c r="V228" s="567"/>
      <c r="W228" s="567">
        <v>3.0</v>
      </c>
      <c r="X228" s="567">
        <v>3.0</v>
      </c>
      <c r="Y228" s="567">
        <v>3.0</v>
      </c>
      <c r="Z228" s="567">
        <v>3.0</v>
      </c>
      <c r="AA228" s="567">
        <v>3.0</v>
      </c>
      <c r="AB228" s="567">
        <v>3.0</v>
      </c>
      <c r="AC228" s="567">
        <v>4.0</v>
      </c>
      <c r="AD228" s="567">
        <v>4.0</v>
      </c>
      <c r="AE228" s="567"/>
      <c r="AF228" s="567">
        <v>4.0</v>
      </c>
      <c r="AG228" s="567"/>
      <c r="AH228" s="567"/>
      <c r="AI228" s="567"/>
      <c r="AJ228" s="567"/>
      <c r="AK228" s="567"/>
      <c r="AL228" s="567"/>
      <c r="AM228" s="567"/>
      <c r="AN228" s="567"/>
      <c r="AO228" s="567"/>
      <c r="AP228" s="567"/>
      <c r="AQ228" s="567"/>
      <c r="AR228" s="567">
        <v>-2024.0</v>
      </c>
      <c r="AS228" s="567">
        <v>-2024.0</v>
      </c>
      <c r="AT228" s="567">
        <v>-2024.0</v>
      </c>
      <c r="AU228" s="567">
        <v>-2024.0</v>
      </c>
      <c r="AV228" s="567">
        <v>-2024.0</v>
      </c>
      <c r="AW228" s="567">
        <v>-2024.0</v>
      </c>
      <c r="AX228" s="567">
        <v>-2024.0</v>
      </c>
      <c r="AY228" s="567">
        <v>-2024.0</v>
      </c>
      <c r="AZ228" s="567">
        <v>0.0</v>
      </c>
      <c r="BA228" s="567">
        <v>-2024.0</v>
      </c>
      <c r="BB228" s="567"/>
      <c r="BC228" s="567">
        <v>4.0</v>
      </c>
      <c r="BD228" s="567">
        <v>4.0</v>
      </c>
      <c r="BE228" s="567">
        <v>0.0</v>
      </c>
      <c r="BF228" s="567">
        <v>4.0</v>
      </c>
      <c r="BG228" s="567">
        <v>4.0</v>
      </c>
      <c r="BH228" s="567">
        <v>4.0</v>
      </c>
      <c r="BI228" s="567">
        <v>4.0</v>
      </c>
      <c r="BJ228" s="567">
        <v>4.0</v>
      </c>
      <c r="BK228" s="567"/>
      <c r="BL228" s="725">
        <v>4.0</v>
      </c>
      <c r="BM228" s="665">
        <f t="shared" si="1"/>
        <v>32</v>
      </c>
      <c r="BN228" s="671"/>
      <c r="BO228" s="668"/>
      <c r="BP228" s="668"/>
      <c r="BQ228" s="668"/>
      <c r="BR228" s="668"/>
      <c r="BS228" s="668"/>
      <c r="BT228" s="668"/>
      <c r="BU228" s="668"/>
      <c r="BV228" s="668"/>
      <c r="BW228" s="670"/>
      <c r="BX228" s="665">
        <f t="shared" si="2"/>
        <v>0</v>
      </c>
      <c r="BY228" s="671">
        <v>0.0</v>
      </c>
      <c r="BZ228" s="668">
        <v>0.0</v>
      </c>
      <c r="CA228" s="668">
        <v>0.0</v>
      </c>
      <c r="CB228" s="668">
        <v>0.0</v>
      </c>
      <c r="CC228" s="668">
        <v>0.0</v>
      </c>
      <c r="CD228" s="668">
        <v>0.0</v>
      </c>
      <c r="CE228" s="668">
        <v>0.0</v>
      </c>
      <c r="CF228" s="668">
        <v>0.0</v>
      </c>
      <c r="CG228" s="668">
        <v>0.0</v>
      </c>
      <c r="CH228" s="670">
        <v>0.0</v>
      </c>
      <c r="CI228" s="665">
        <f t="shared" si="3"/>
        <v>0</v>
      </c>
      <c r="CJ228" s="671">
        <f t="shared" si="4"/>
        <v>32</v>
      </c>
      <c r="CK228" s="674"/>
      <c r="CL228" s="891">
        <v>94.0</v>
      </c>
      <c r="CM228" s="668">
        <f t="shared" ref="CM228:CV228" si="703">BC228*$CL228</f>
        <v>376</v>
      </c>
      <c r="CN228" s="668">
        <f t="shared" si="703"/>
        <v>376</v>
      </c>
      <c r="CO228" s="668">
        <f t="shared" si="703"/>
        <v>0</v>
      </c>
      <c r="CP228" s="668">
        <f t="shared" si="703"/>
        <v>376</v>
      </c>
      <c r="CQ228" s="668">
        <f t="shared" si="703"/>
        <v>376</v>
      </c>
      <c r="CR228" s="668">
        <f t="shared" si="703"/>
        <v>376</v>
      </c>
      <c r="CS228" s="668">
        <f t="shared" si="703"/>
        <v>376</v>
      </c>
      <c r="CT228" s="668">
        <f t="shared" si="703"/>
        <v>376</v>
      </c>
      <c r="CU228" s="668">
        <f t="shared" si="703"/>
        <v>0</v>
      </c>
      <c r="CV228" s="668">
        <f t="shared" si="703"/>
        <v>376</v>
      </c>
      <c r="CW228" s="668">
        <f t="shared" si="21"/>
        <v>3008</v>
      </c>
      <c r="CX228" s="668">
        <f t="shared" ref="CX228:DG228" si="704">BN228*$CL228</f>
        <v>0</v>
      </c>
      <c r="CY228" s="668">
        <f t="shared" si="704"/>
        <v>0</v>
      </c>
      <c r="CZ228" s="668">
        <f t="shared" si="704"/>
        <v>0</v>
      </c>
      <c r="DA228" s="668">
        <f t="shared" si="704"/>
        <v>0</v>
      </c>
      <c r="DB228" s="668">
        <f t="shared" si="704"/>
        <v>0</v>
      </c>
      <c r="DC228" s="668">
        <f t="shared" si="704"/>
        <v>0</v>
      </c>
      <c r="DD228" s="668">
        <f t="shared" si="704"/>
        <v>0</v>
      </c>
      <c r="DE228" s="668">
        <f t="shared" si="704"/>
        <v>0</v>
      </c>
      <c r="DF228" s="668">
        <f t="shared" si="704"/>
        <v>0</v>
      </c>
      <c r="DG228" s="668">
        <f t="shared" si="704"/>
        <v>0</v>
      </c>
      <c r="DH228" s="668">
        <f t="shared" si="23"/>
        <v>0</v>
      </c>
      <c r="DI228" s="668">
        <f t="shared" ref="DI228:DR228" si="705">BY228*$CL228</f>
        <v>0</v>
      </c>
      <c r="DJ228" s="668">
        <f t="shared" si="705"/>
        <v>0</v>
      </c>
      <c r="DK228" s="668">
        <f t="shared" si="705"/>
        <v>0</v>
      </c>
      <c r="DL228" s="668">
        <f t="shared" si="705"/>
        <v>0</v>
      </c>
      <c r="DM228" s="668">
        <f t="shared" si="705"/>
        <v>0</v>
      </c>
      <c r="DN228" s="668">
        <f t="shared" si="705"/>
        <v>0</v>
      </c>
      <c r="DO228" s="668">
        <f t="shared" si="705"/>
        <v>0</v>
      </c>
      <c r="DP228" s="668">
        <f t="shared" si="705"/>
        <v>0</v>
      </c>
      <c r="DQ228" s="668">
        <f t="shared" si="705"/>
        <v>0</v>
      </c>
      <c r="DR228" s="668">
        <f t="shared" si="705"/>
        <v>0</v>
      </c>
      <c r="DS228" s="668">
        <f t="shared" si="25"/>
        <v>0</v>
      </c>
      <c r="DT228" s="668">
        <f t="shared" si="685"/>
        <v>3008</v>
      </c>
      <c r="DU228" s="866" t="s">
        <v>3415</v>
      </c>
      <c r="DV228" s="893" t="s">
        <v>3416</v>
      </c>
      <c r="DW228" s="894"/>
      <c r="DX228" s="894"/>
      <c r="DY228" s="894"/>
      <c r="DZ228" s="894"/>
      <c r="EA228" s="894"/>
      <c r="EB228" s="894"/>
      <c r="EC228" s="894"/>
      <c r="ED228" s="894"/>
      <c r="EE228" s="894"/>
      <c r="EF228" s="894"/>
      <c r="EG228" s="894"/>
      <c r="EH228" s="677">
        <f t="shared" si="699"/>
        <v>0</v>
      </c>
      <c r="EI228" s="678">
        <v>1.0</v>
      </c>
      <c r="EJ228" s="699"/>
      <c r="EK228" s="699"/>
    </row>
    <row r="229" ht="12.0" customHeight="1">
      <c r="A229" s="700" t="s">
        <v>3026</v>
      </c>
      <c r="B229" s="701">
        <v>40.0</v>
      </c>
      <c r="C229" s="562" t="s">
        <v>3027</v>
      </c>
      <c r="D229" s="562" t="s">
        <v>620</v>
      </c>
      <c r="E229" s="562" t="s">
        <v>2708</v>
      </c>
      <c r="F229" s="562" t="s">
        <v>1774</v>
      </c>
      <c r="G229" s="848" t="s">
        <v>2709</v>
      </c>
      <c r="H229" s="851" t="s">
        <v>3417</v>
      </c>
      <c r="I229" s="562"/>
      <c r="J229" s="571" t="s">
        <v>3418</v>
      </c>
      <c r="K229" s="562" t="s">
        <v>25</v>
      </c>
      <c r="L229" s="562">
        <v>2024.0</v>
      </c>
      <c r="M229" s="562">
        <v>2024.0</v>
      </c>
      <c r="N229" s="562">
        <v>2024.0</v>
      </c>
      <c r="O229" s="562"/>
      <c r="P229" s="562">
        <v>2024.0</v>
      </c>
      <c r="Q229" s="562">
        <v>2024.0</v>
      </c>
      <c r="R229" s="562">
        <v>2024.0</v>
      </c>
      <c r="S229" s="562">
        <v>2024.0</v>
      </c>
      <c r="T229" s="562"/>
      <c r="U229" s="562">
        <v>2024.0</v>
      </c>
      <c r="V229" s="562"/>
      <c r="W229" s="562">
        <v>3.0</v>
      </c>
      <c r="X229" s="562">
        <v>3.0</v>
      </c>
      <c r="Y229" s="562">
        <v>3.0</v>
      </c>
      <c r="Z229" s="562"/>
      <c r="AA229" s="562">
        <v>3.0</v>
      </c>
      <c r="AB229" s="562">
        <v>3.0</v>
      </c>
      <c r="AC229" s="821">
        <v>1.0</v>
      </c>
      <c r="AD229" s="821">
        <v>1.0</v>
      </c>
      <c r="AE229" s="562"/>
      <c r="AF229" s="821">
        <v>1.0</v>
      </c>
      <c r="AG229" s="562"/>
      <c r="AH229" s="562"/>
      <c r="AI229" s="562"/>
      <c r="AJ229" s="562"/>
      <c r="AK229" s="562"/>
      <c r="AL229" s="562"/>
      <c r="AM229" s="562"/>
      <c r="AN229" s="562"/>
      <c r="AO229" s="562"/>
      <c r="AP229" s="562"/>
      <c r="AQ229" s="562"/>
      <c r="AR229" s="562">
        <v>-2024.0</v>
      </c>
      <c r="AS229" s="562">
        <v>-2024.0</v>
      </c>
      <c r="AT229" s="562">
        <v>-2024.0</v>
      </c>
      <c r="AU229" s="562">
        <v>0.0</v>
      </c>
      <c r="AV229" s="562">
        <v>-2024.0</v>
      </c>
      <c r="AW229" s="562">
        <v>-2024.0</v>
      </c>
      <c r="AX229" s="562">
        <v>-2024.0</v>
      </c>
      <c r="AY229" s="562">
        <v>-2024.0</v>
      </c>
      <c r="AZ229" s="562">
        <v>0.0</v>
      </c>
      <c r="BA229" s="562">
        <v>-2024.0</v>
      </c>
      <c r="BB229" s="562"/>
      <c r="BC229" s="562">
        <v>2.0</v>
      </c>
      <c r="BD229" s="562">
        <v>2.0</v>
      </c>
      <c r="BE229" s="562">
        <v>2.0</v>
      </c>
      <c r="BF229" s="562"/>
      <c r="BG229" s="562">
        <v>2.0</v>
      </c>
      <c r="BH229" s="562">
        <v>4.0</v>
      </c>
      <c r="BI229" s="562">
        <v>2.0</v>
      </c>
      <c r="BJ229" s="562">
        <v>2.0</v>
      </c>
      <c r="BK229" s="562"/>
      <c r="BL229" s="681">
        <v>4.0</v>
      </c>
      <c r="BM229" s="665">
        <f t="shared" si="1"/>
        <v>20</v>
      </c>
      <c r="BN229" s="682"/>
      <c r="BO229" s="683"/>
      <c r="BP229" s="683"/>
      <c r="BQ229" s="683"/>
      <c r="BR229" s="683"/>
      <c r="BS229" s="683"/>
      <c r="BT229" s="683"/>
      <c r="BU229" s="683"/>
      <c r="BV229" s="683"/>
      <c r="BW229" s="686"/>
      <c r="BX229" s="665">
        <f t="shared" si="2"/>
        <v>0</v>
      </c>
      <c r="BY229" s="682">
        <v>0.0</v>
      </c>
      <c r="BZ229" s="683">
        <v>0.0</v>
      </c>
      <c r="CA229" s="683">
        <v>0.0</v>
      </c>
      <c r="CB229" s="683">
        <v>0.0</v>
      </c>
      <c r="CC229" s="683">
        <v>0.0</v>
      </c>
      <c r="CD229" s="683">
        <v>0.0</v>
      </c>
      <c r="CE229" s="683">
        <v>0.0</v>
      </c>
      <c r="CF229" s="683">
        <v>0.0</v>
      </c>
      <c r="CG229" s="683">
        <v>0.0</v>
      </c>
      <c r="CH229" s="686">
        <v>0.0</v>
      </c>
      <c r="CI229" s="665">
        <f t="shared" si="3"/>
        <v>0</v>
      </c>
      <c r="CJ229" s="682">
        <f t="shared" si="4"/>
        <v>20</v>
      </c>
      <c r="CK229" s="687"/>
      <c r="CL229" s="798">
        <v>127.0</v>
      </c>
      <c r="CM229" s="683">
        <f t="shared" ref="CM229:CV229" si="706">BC229*$CL229</f>
        <v>254</v>
      </c>
      <c r="CN229" s="683">
        <f t="shared" si="706"/>
        <v>254</v>
      </c>
      <c r="CO229" s="683">
        <f t="shared" si="706"/>
        <v>254</v>
      </c>
      <c r="CP229" s="683">
        <f t="shared" si="706"/>
        <v>0</v>
      </c>
      <c r="CQ229" s="683">
        <f t="shared" si="706"/>
        <v>254</v>
      </c>
      <c r="CR229" s="683">
        <f t="shared" si="706"/>
        <v>508</v>
      </c>
      <c r="CS229" s="683">
        <f t="shared" si="706"/>
        <v>254</v>
      </c>
      <c r="CT229" s="683">
        <f t="shared" si="706"/>
        <v>254</v>
      </c>
      <c r="CU229" s="683">
        <f t="shared" si="706"/>
        <v>0</v>
      </c>
      <c r="CV229" s="683">
        <f t="shared" si="706"/>
        <v>508</v>
      </c>
      <c r="CW229" s="683">
        <f t="shared" si="21"/>
        <v>2540</v>
      </c>
      <c r="CX229" s="683">
        <f t="shared" ref="CX229:DG229" si="707">BN229*$CL229</f>
        <v>0</v>
      </c>
      <c r="CY229" s="683">
        <f t="shared" si="707"/>
        <v>0</v>
      </c>
      <c r="CZ229" s="683">
        <f t="shared" si="707"/>
        <v>0</v>
      </c>
      <c r="DA229" s="683">
        <f t="shared" si="707"/>
        <v>0</v>
      </c>
      <c r="DB229" s="683">
        <f t="shared" si="707"/>
        <v>0</v>
      </c>
      <c r="DC229" s="683">
        <f t="shared" si="707"/>
        <v>0</v>
      </c>
      <c r="DD229" s="683">
        <f t="shared" si="707"/>
        <v>0</v>
      </c>
      <c r="DE229" s="683">
        <f t="shared" si="707"/>
        <v>0</v>
      </c>
      <c r="DF229" s="683">
        <f t="shared" si="707"/>
        <v>0</v>
      </c>
      <c r="DG229" s="683">
        <f t="shared" si="707"/>
        <v>0</v>
      </c>
      <c r="DH229" s="683">
        <f t="shared" si="23"/>
        <v>0</v>
      </c>
      <c r="DI229" s="683">
        <f t="shared" ref="DI229:DR229" si="708">BY229*$CL229</f>
        <v>0</v>
      </c>
      <c r="DJ229" s="683">
        <f t="shared" si="708"/>
        <v>0</v>
      </c>
      <c r="DK229" s="683">
        <f t="shared" si="708"/>
        <v>0</v>
      </c>
      <c r="DL229" s="683">
        <f t="shared" si="708"/>
        <v>0</v>
      </c>
      <c r="DM229" s="683">
        <f t="shared" si="708"/>
        <v>0</v>
      </c>
      <c r="DN229" s="683">
        <f t="shared" si="708"/>
        <v>0</v>
      </c>
      <c r="DO229" s="683">
        <f t="shared" si="708"/>
        <v>0</v>
      </c>
      <c r="DP229" s="683">
        <f t="shared" si="708"/>
        <v>0</v>
      </c>
      <c r="DQ229" s="683">
        <f t="shared" si="708"/>
        <v>0</v>
      </c>
      <c r="DR229" s="683">
        <f t="shared" si="708"/>
        <v>0</v>
      </c>
      <c r="DS229" s="683">
        <f t="shared" si="25"/>
        <v>0</v>
      </c>
      <c r="DT229" s="683">
        <f t="shared" si="685"/>
        <v>2540</v>
      </c>
      <c r="DU229" s="866"/>
      <c r="DV229" s="818" t="s">
        <v>3311</v>
      </c>
      <c r="DW229" s="819"/>
      <c r="DX229" s="819"/>
      <c r="DY229" s="819"/>
      <c r="DZ229" s="819"/>
      <c r="EA229" s="819"/>
      <c r="EB229" s="819"/>
      <c r="EC229" s="819"/>
      <c r="ED229" s="819"/>
      <c r="EE229" s="819"/>
      <c r="EF229" s="819"/>
      <c r="EG229" s="819"/>
      <c r="EH229" s="689">
        <f t="shared" si="699"/>
        <v>0</v>
      </c>
      <c r="EI229" s="690">
        <v>1.0</v>
      </c>
      <c r="EJ229" s="691"/>
      <c r="EK229" s="691"/>
    </row>
    <row r="230" ht="12.0" customHeight="1">
      <c r="A230" s="709" t="s">
        <v>3026</v>
      </c>
      <c r="B230" s="661">
        <v>40.0</v>
      </c>
      <c r="C230" s="567" t="s">
        <v>3027</v>
      </c>
      <c r="D230" s="567" t="s">
        <v>620</v>
      </c>
      <c r="E230" s="567" t="s">
        <v>2708</v>
      </c>
      <c r="F230" s="567" t="s">
        <v>1774</v>
      </c>
      <c r="G230" s="692" t="s">
        <v>2709</v>
      </c>
      <c r="H230" s="851" t="s">
        <v>3419</v>
      </c>
      <c r="I230" s="567"/>
      <c r="J230" s="568" t="s">
        <v>3420</v>
      </c>
      <c r="K230" s="567" t="s">
        <v>25</v>
      </c>
      <c r="L230" s="567">
        <v>2024.0</v>
      </c>
      <c r="M230" s="567">
        <v>2024.0</v>
      </c>
      <c r="N230" s="567">
        <v>2024.0</v>
      </c>
      <c r="O230" s="567">
        <v>2024.0</v>
      </c>
      <c r="P230" s="567">
        <v>2024.0</v>
      </c>
      <c r="Q230" s="567">
        <v>2024.0</v>
      </c>
      <c r="R230" s="567">
        <v>2024.0</v>
      </c>
      <c r="S230" s="567">
        <v>2024.0</v>
      </c>
      <c r="T230" s="567"/>
      <c r="U230" s="567">
        <v>2024.0</v>
      </c>
      <c r="V230" s="567"/>
      <c r="W230" s="567">
        <v>3.0</v>
      </c>
      <c r="X230" s="567">
        <v>3.0</v>
      </c>
      <c r="Y230" s="567">
        <v>3.0</v>
      </c>
      <c r="Z230" s="567">
        <v>3.0</v>
      </c>
      <c r="AA230" s="567">
        <v>3.0</v>
      </c>
      <c r="AB230" s="567">
        <v>3.0</v>
      </c>
      <c r="AC230" s="567">
        <v>6.0</v>
      </c>
      <c r="AD230" s="567">
        <v>6.0</v>
      </c>
      <c r="AE230" s="567"/>
      <c r="AF230" s="567">
        <v>6.0</v>
      </c>
      <c r="AG230" s="567"/>
      <c r="AH230" s="567"/>
      <c r="AI230" s="567"/>
      <c r="AJ230" s="567"/>
      <c r="AK230" s="567"/>
      <c r="AL230" s="567"/>
      <c r="AM230" s="567"/>
      <c r="AN230" s="567"/>
      <c r="AO230" s="567"/>
      <c r="AP230" s="567"/>
      <c r="AQ230" s="567"/>
      <c r="AR230" s="567">
        <v>-2024.0</v>
      </c>
      <c r="AS230" s="567">
        <v>-2024.0</v>
      </c>
      <c r="AT230" s="567">
        <v>-2024.0</v>
      </c>
      <c r="AU230" s="567">
        <v>-2024.0</v>
      </c>
      <c r="AV230" s="567">
        <v>-2024.0</v>
      </c>
      <c r="AW230" s="567">
        <v>-2024.0</v>
      </c>
      <c r="AX230" s="567">
        <v>-2024.0</v>
      </c>
      <c r="AY230" s="567">
        <v>-2024.0</v>
      </c>
      <c r="AZ230" s="567">
        <v>0.0</v>
      </c>
      <c r="BA230" s="567">
        <v>-2024.0</v>
      </c>
      <c r="BB230" s="567"/>
      <c r="BC230" s="567">
        <v>6.0</v>
      </c>
      <c r="BD230" s="567">
        <v>4.0</v>
      </c>
      <c r="BE230" s="567">
        <v>6.0</v>
      </c>
      <c r="BF230" s="567">
        <v>8.0</v>
      </c>
      <c r="BG230" s="567">
        <v>8.0</v>
      </c>
      <c r="BH230" s="567">
        <v>12.0</v>
      </c>
      <c r="BI230" s="567">
        <v>2.0</v>
      </c>
      <c r="BJ230" s="567">
        <v>2.0</v>
      </c>
      <c r="BK230" s="567"/>
      <c r="BL230" s="725">
        <v>4.0</v>
      </c>
      <c r="BM230" s="665">
        <f t="shared" si="1"/>
        <v>52</v>
      </c>
      <c r="BN230" s="671"/>
      <c r="BO230" s="668"/>
      <c r="BP230" s="668"/>
      <c r="BQ230" s="668"/>
      <c r="BR230" s="668"/>
      <c r="BS230" s="668"/>
      <c r="BT230" s="668"/>
      <c r="BU230" s="668"/>
      <c r="BV230" s="668"/>
      <c r="BW230" s="670"/>
      <c r="BX230" s="665">
        <f t="shared" si="2"/>
        <v>0</v>
      </c>
      <c r="BY230" s="671">
        <v>0.0</v>
      </c>
      <c r="BZ230" s="668">
        <v>0.0</v>
      </c>
      <c r="CA230" s="668">
        <v>0.0</v>
      </c>
      <c r="CB230" s="668">
        <v>0.0</v>
      </c>
      <c r="CC230" s="668">
        <v>0.0</v>
      </c>
      <c r="CD230" s="668">
        <v>0.0</v>
      </c>
      <c r="CE230" s="668">
        <v>0.0</v>
      </c>
      <c r="CF230" s="668">
        <v>0.0</v>
      </c>
      <c r="CG230" s="668">
        <v>0.0</v>
      </c>
      <c r="CH230" s="670">
        <v>0.0</v>
      </c>
      <c r="CI230" s="665">
        <f t="shared" si="3"/>
        <v>0</v>
      </c>
      <c r="CJ230" s="671">
        <f t="shared" si="4"/>
        <v>52</v>
      </c>
      <c r="CK230" s="674"/>
      <c r="CL230" s="891">
        <v>48.0</v>
      </c>
      <c r="CM230" s="668">
        <f t="shared" ref="CM230:CV230" si="709">BC230*$CL230</f>
        <v>288</v>
      </c>
      <c r="CN230" s="668">
        <f t="shared" si="709"/>
        <v>192</v>
      </c>
      <c r="CO230" s="668">
        <f t="shared" si="709"/>
        <v>288</v>
      </c>
      <c r="CP230" s="668">
        <f t="shared" si="709"/>
        <v>384</v>
      </c>
      <c r="CQ230" s="668">
        <f t="shared" si="709"/>
        <v>384</v>
      </c>
      <c r="CR230" s="668">
        <f t="shared" si="709"/>
        <v>576</v>
      </c>
      <c r="CS230" s="668">
        <f t="shared" si="709"/>
        <v>96</v>
      </c>
      <c r="CT230" s="668">
        <f t="shared" si="709"/>
        <v>96</v>
      </c>
      <c r="CU230" s="668">
        <f t="shared" si="709"/>
        <v>0</v>
      </c>
      <c r="CV230" s="668">
        <f t="shared" si="709"/>
        <v>192</v>
      </c>
      <c r="CW230" s="668">
        <f t="shared" si="21"/>
        <v>2496</v>
      </c>
      <c r="CX230" s="668">
        <f t="shared" ref="CX230:DG230" si="710">BN230*$CL230</f>
        <v>0</v>
      </c>
      <c r="CY230" s="668">
        <f t="shared" si="710"/>
        <v>0</v>
      </c>
      <c r="CZ230" s="668">
        <f t="shared" si="710"/>
        <v>0</v>
      </c>
      <c r="DA230" s="668">
        <f t="shared" si="710"/>
        <v>0</v>
      </c>
      <c r="DB230" s="668">
        <f t="shared" si="710"/>
        <v>0</v>
      </c>
      <c r="DC230" s="668">
        <f t="shared" si="710"/>
        <v>0</v>
      </c>
      <c r="DD230" s="668">
        <f t="shared" si="710"/>
        <v>0</v>
      </c>
      <c r="DE230" s="668">
        <f t="shared" si="710"/>
        <v>0</v>
      </c>
      <c r="DF230" s="668">
        <f t="shared" si="710"/>
        <v>0</v>
      </c>
      <c r="DG230" s="668">
        <f t="shared" si="710"/>
        <v>0</v>
      </c>
      <c r="DH230" s="668">
        <f t="shared" si="23"/>
        <v>0</v>
      </c>
      <c r="DI230" s="668">
        <f t="shared" ref="DI230:DR230" si="711">BY230*$CL230</f>
        <v>0</v>
      </c>
      <c r="DJ230" s="668">
        <f t="shared" si="711"/>
        <v>0</v>
      </c>
      <c r="DK230" s="668">
        <f t="shared" si="711"/>
        <v>0</v>
      </c>
      <c r="DL230" s="668">
        <f t="shared" si="711"/>
        <v>0</v>
      </c>
      <c r="DM230" s="668">
        <f t="shared" si="711"/>
        <v>0</v>
      </c>
      <c r="DN230" s="668">
        <f t="shared" si="711"/>
        <v>0</v>
      </c>
      <c r="DO230" s="668">
        <f t="shared" si="711"/>
        <v>0</v>
      </c>
      <c r="DP230" s="668">
        <f t="shared" si="711"/>
        <v>0</v>
      </c>
      <c r="DQ230" s="668">
        <f t="shared" si="711"/>
        <v>0</v>
      </c>
      <c r="DR230" s="668">
        <f t="shared" si="711"/>
        <v>0</v>
      </c>
      <c r="DS230" s="668">
        <f t="shared" si="25"/>
        <v>0</v>
      </c>
      <c r="DT230" s="668">
        <f t="shared" si="685"/>
        <v>2496</v>
      </c>
      <c r="DU230" s="866" t="s">
        <v>3415</v>
      </c>
      <c r="DV230" s="818" t="s">
        <v>3311</v>
      </c>
      <c r="DW230" s="819"/>
      <c r="DX230" s="819"/>
      <c r="DY230" s="819"/>
      <c r="DZ230" s="819"/>
      <c r="EA230" s="819"/>
      <c r="EB230" s="819"/>
      <c r="EC230" s="819"/>
      <c r="ED230" s="819"/>
      <c r="EE230" s="819"/>
      <c r="EF230" s="819"/>
      <c r="EG230" s="819"/>
      <c r="EH230" s="677">
        <f t="shared" si="699"/>
        <v>0</v>
      </c>
      <c r="EI230" s="678">
        <v>1.0</v>
      </c>
      <c r="EJ230" s="699"/>
      <c r="EK230" s="699"/>
    </row>
    <row r="231" ht="12.0" customHeight="1">
      <c r="A231" s="700" t="s">
        <v>3026</v>
      </c>
      <c r="B231" s="701">
        <v>40.0</v>
      </c>
      <c r="C231" s="562" t="s">
        <v>3027</v>
      </c>
      <c r="D231" s="562" t="s">
        <v>620</v>
      </c>
      <c r="E231" s="562" t="s">
        <v>2708</v>
      </c>
      <c r="F231" s="562" t="s">
        <v>1774</v>
      </c>
      <c r="G231" s="848" t="s">
        <v>2709</v>
      </c>
      <c r="H231" s="851" t="s">
        <v>3421</v>
      </c>
      <c r="I231" s="562"/>
      <c r="J231" s="571" t="s">
        <v>3422</v>
      </c>
      <c r="K231" s="562" t="s">
        <v>25</v>
      </c>
      <c r="L231" s="562">
        <v>2024.0</v>
      </c>
      <c r="M231" s="562">
        <v>2024.0</v>
      </c>
      <c r="N231" s="562">
        <v>2024.0</v>
      </c>
      <c r="O231" s="562">
        <v>2024.0</v>
      </c>
      <c r="P231" s="562">
        <v>2024.0</v>
      </c>
      <c r="Q231" s="562">
        <v>2024.0</v>
      </c>
      <c r="R231" s="562">
        <v>2024.0</v>
      </c>
      <c r="S231" s="562">
        <v>2024.0</v>
      </c>
      <c r="T231" s="562">
        <v>2024.0</v>
      </c>
      <c r="U231" s="562">
        <v>2024.0</v>
      </c>
      <c r="V231" s="562"/>
      <c r="W231" s="562">
        <v>3.0</v>
      </c>
      <c r="X231" s="562">
        <v>3.0</v>
      </c>
      <c r="Y231" s="562">
        <v>3.0</v>
      </c>
      <c r="Z231" s="562">
        <v>3.0</v>
      </c>
      <c r="AA231" s="562">
        <v>3.0</v>
      </c>
      <c r="AB231" s="562">
        <v>3.0</v>
      </c>
      <c r="AC231" s="562">
        <v>3.0</v>
      </c>
      <c r="AD231" s="562">
        <v>3.0</v>
      </c>
      <c r="AE231" s="562">
        <v>3.0</v>
      </c>
      <c r="AF231" s="562">
        <v>3.0</v>
      </c>
      <c r="AG231" s="562"/>
      <c r="AH231" s="562"/>
      <c r="AI231" s="562"/>
      <c r="AJ231" s="562"/>
      <c r="AK231" s="562"/>
      <c r="AL231" s="562"/>
      <c r="AM231" s="562"/>
      <c r="AN231" s="562"/>
      <c r="AO231" s="562"/>
      <c r="AP231" s="562"/>
      <c r="AQ231" s="562"/>
      <c r="AR231" s="562">
        <v>-2024.0</v>
      </c>
      <c r="AS231" s="562">
        <v>-2024.0</v>
      </c>
      <c r="AT231" s="562">
        <v>-2024.0</v>
      </c>
      <c r="AU231" s="562">
        <v>-2024.0</v>
      </c>
      <c r="AV231" s="562">
        <v>-2024.0</v>
      </c>
      <c r="AW231" s="562">
        <v>-2024.0</v>
      </c>
      <c r="AX231" s="562">
        <v>-2024.0</v>
      </c>
      <c r="AY231" s="562">
        <v>-2024.0</v>
      </c>
      <c r="AZ231" s="562">
        <v>-2024.0</v>
      </c>
      <c r="BA231" s="562">
        <v>-2024.0</v>
      </c>
      <c r="BB231" s="562"/>
      <c r="BC231" s="562">
        <v>4.0</v>
      </c>
      <c r="BD231" s="562">
        <v>2.0</v>
      </c>
      <c r="BE231" s="562">
        <v>4.0</v>
      </c>
      <c r="BF231" s="562">
        <v>4.0</v>
      </c>
      <c r="BG231" s="562">
        <v>4.0</v>
      </c>
      <c r="BH231" s="562">
        <v>4.0</v>
      </c>
      <c r="BI231" s="562">
        <v>4.0</v>
      </c>
      <c r="BJ231" s="562">
        <v>4.0</v>
      </c>
      <c r="BK231" s="562">
        <v>2.0</v>
      </c>
      <c r="BL231" s="681">
        <v>4.0</v>
      </c>
      <c r="BM231" s="665">
        <f t="shared" si="1"/>
        <v>36</v>
      </c>
      <c r="BN231" s="682"/>
      <c r="BO231" s="683"/>
      <c r="BP231" s="683"/>
      <c r="BQ231" s="683"/>
      <c r="BR231" s="683"/>
      <c r="BS231" s="683"/>
      <c r="BT231" s="683"/>
      <c r="BU231" s="683"/>
      <c r="BV231" s="683"/>
      <c r="BW231" s="686"/>
      <c r="BX231" s="665">
        <f t="shared" si="2"/>
        <v>0</v>
      </c>
      <c r="BY231" s="682">
        <v>0.0</v>
      </c>
      <c r="BZ231" s="683">
        <v>0.0</v>
      </c>
      <c r="CA231" s="683">
        <v>0.0</v>
      </c>
      <c r="CB231" s="683">
        <v>0.0</v>
      </c>
      <c r="CC231" s="683">
        <v>0.0</v>
      </c>
      <c r="CD231" s="683">
        <v>0.0</v>
      </c>
      <c r="CE231" s="683">
        <v>0.0</v>
      </c>
      <c r="CF231" s="683">
        <v>0.0</v>
      </c>
      <c r="CG231" s="683">
        <v>0.0</v>
      </c>
      <c r="CH231" s="686">
        <v>0.0</v>
      </c>
      <c r="CI231" s="665">
        <f t="shared" si="3"/>
        <v>0</v>
      </c>
      <c r="CJ231" s="682">
        <f t="shared" si="4"/>
        <v>36</v>
      </c>
      <c r="CK231" s="687"/>
      <c r="CL231" s="798">
        <v>67.0</v>
      </c>
      <c r="CM231" s="683">
        <f t="shared" ref="CM231:CV231" si="712">BC231*$CL231</f>
        <v>268</v>
      </c>
      <c r="CN231" s="683">
        <f t="shared" si="712"/>
        <v>134</v>
      </c>
      <c r="CO231" s="683">
        <f t="shared" si="712"/>
        <v>268</v>
      </c>
      <c r="CP231" s="683">
        <f t="shared" si="712"/>
        <v>268</v>
      </c>
      <c r="CQ231" s="683">
        <f t="shared" si="712"/>
        <v>268</v>
      </c>
      <c r="CR231" s="683">
        <f t="shared" si="712"/>
        <v>268</v>
      </c>
      <c r="CS231" s="683">
        <f t="shared" si="712"/>
        <v>268</v>
      </c>
      <c r="CT231" s="683">
        <f t="shared" si="712"/>
        <v>268</v>
      </c>
      <c r="CU231" s="683">
        <f t="shared" si="712"/>
        <v>134</v>
      </c>
      <c r="CV231" s="683">
        <f t="shared" si="712"/>
        <v>268</v>
      </c>
      <c r="CW231" s="683">
        <f t="shared" si="21"/>
        <v>2412</v>
      </c>
      <c r="CX231" s="683">
        <f t="shared" ref="CX231:DG231" si="713">BN231*$CL231</f>
        <v>0</v>
      </c>
      <c r="CY231" s="683">
        <f t="shared" si="713"/>
        <v>0</v>
      </c>
      <c r="CZ231" s="683">
        <f t="shared" si="713"/>
        <v>0</v>
      </c>
      <c r="DA231" s="683">
        <f t="shared" si="713"/>
        <v>0</v>
      </c>
      <c r="DB231" s="683">
        <f t="shared" si="713"/>
        <v>0</v>
      </c>
      <c r="DC231" s="683">
        <f t="shared" si="713"/>
        <v>0</v>
      </c>
      <c r="DD231" s="683">
        <f t="shared" si="713"/>
        <v>0</v>
      </c>
      <c r="DE231" s="683">
        <f t="shared" si="713"/>
        <v>0</v>
      </c>
      <c r="DF231" s="683">
        <f t="shared" si="713"/>
        <v>0</v>
      </c>
      <c r="DG231" s="683">
        <f t="shared" si="713"/>
        <v>0</v>
      </c>
      <c r="DH231" s="683">
        <f t="shared" si="23"/>
        <v>0</v>
      </c>
      <c r="DI231" s="683">
        <f t="shared" ref="DI231:DR231" si="714">BY231*$CL231</f>
        <v>0</v>
      </c>
      <c r="DJ231" s="683">
        <f t="shared" si="714"/>
        <v>0</v>
      </c>
      <c r="DK231" s="683">
        <f t="shared" si="714"/>
        <v>0</v>
      </c>
      <c r="DL231" s="683">
        <f t="shared" si="714"/>
        <v>0</v>
      </c>
      <c r="DM231" s="683">
        <f t="shared" si="714"/>
        <v>0</v>
      </c>
      <c r="DN231" s="683">
        <f t="shared" si="714"/>
        <v>0</v>
      </c>
      <c r="DO231" s="683">
        <f t="shared" si="714"/>
        <v>0</v>
      </c>
      <c r="DP231" s="683">
        <f t="shared" si="714"/>
        <v>0</v>
      </c>
      <c r="DQ231" s="683">
        <f t="shared" si="714"/>
        <v>0</v>
      </c>
      <c r="DR231" s="683">
        <f t="shared" si="714"/>
        <v>0</v>
      </c>
      <c r="DS231" s="683">
        <f t="shared" si="25"/>
        <v>0</v>
      </c>
      <c r="DT231" s="683">
        <f t="shared" si="685"/>
        <v>2412</v>
      </c>
      <c r="DU231" s="866"/>
      <c r="DV231" s="818" t="s">
        <v>3311</v>
      </c>
      <c r="DW231" s="819"/>
      <c r="DX231" s="819"/>
      <c r="DY231" s="819"/>
      <c r="DZ231" s="819"/>
      <c r="EA231" s="819"/>
      <c r="EB231" s="819"/>
      <c r="EC231" s="819"/>
      <c r="ED231" s="819"/>
      <c r="EE231" s="819"/>
      <c r="EF231" s="819"/>
      <c r="EG231" s="819"/>
      <c r="EH231" s="689">
        <f t="shared" si="699"/>
        <v>0</v>
      </c>
      <c r="EI231" s="690">
        <v>1.0</v>
      </c>
      <c r="EJ231" s="691"/>
      <c r="EK231" s="691"/>
    </row>
    <row r="232" ht="12.0" customHeight="1">
      <c r="A232" s="709" t="s">
        <v>3026</v>
      </c>
      <c r="B232" s="661">
        <v>40.0</v>
      </c>
      <c r="C232" s="567" t="s">
        <v>3027</v>
      </c>
      <c r="D232" s="567" t="s">
        <v>620</v>
      </c>
      <c r="E232" s="567" t="s">
        <v>2708</v>
      </c>
      <c r="F232" s="567" t="s">
        <v>1774</v>
      </c>
      <c r="G232" s="692" t="s">
        <v>2709</v>
      </c>
      <c r="H232" s="890" t="s">
        <v>3413</v>
      </c>
      <c r="I232" s="567"/>
      <c r="J232" s="568" t="s">
        <v>3423</v>
      </c>
      <c r="K232" s="567" t="s">
        <v>25</v>
      </c>
      <c r="L232" s="567">
        <v>2024.0</v>
      </c>
      <c r="M232" s="567">
        <v>2024.0</v>
      </c>
      <c r="N232" s="567">
        <v>2024.0</v>
      </c>
      <c r="O232" s="567"/>
      <c r="P232" s="567">
        <v>2024.0</v>
      </c>
      <c r="Q232" s="567">
        <v>2024.0</v>
      </c>
      <c r="R232" s="567">
        <v>2024.0</v>
      </c>
      <c r="S232" s="567">
        <v>2024.0</v>
      </c>
      <c r="T232" s="567"/>
      <c r="U232" s="567">
        <v>2024.0</v>
      </c>
      <c r="V232" s="567"/>
      <c r="W232" s="567">
        <v>3.0</v>
      </c>
      <c r="X232" s="567">
        <v>3.0</v>
      </c>
      <c r="Y232" s="567">
        <v>3.0</v>
      </c>
      <c r="Z232" s="567"/>
      <c r="AA232" s="567">
        <v>3.0</v>
      </c>
      <c r="AB232" s="567">
        <v>3.0</v>
      </c>
      <c r="AC232" s="662">
        <v>1.0</v>
      </c>
      <c r="AD232" s="662">
        <v>1.0</v>
      </c>
      <c r="AE232" s="567"/>
      <c r="AF232" s="662">
        <v>1.0</v>
      </c>
      <c r="AG232" s="567"/>
      <c r="AH232" s="567"/>
      <c r="AI232" s="567"/>
      <c r="AJ232" s="567"/>
      <c r="AK232" s="567"/>
      <c r="AL232" s="567"/>
      <c r="AM232" s="567"/>
      <c r="AN232" s="567"/>
      <c r="AO232" s="567"/>
      <c r="AP232" s="567"/>
      <c r="AQ232" s="567"/>
      <c r="AR232" s="567">
        <v>-2024.0</v>
      </c>
      <c r="AS232" s="567">
        <v>-2024.0</v>
      </c>
      <c r="AT232" s="567">
        <v>-2024.0</v>
      </c>
      <c r="AU232" s="567">
        <v>0.0</v>
      </c>
      <c r="AV232" s="567">
        <v>-2024.0</v>
      </c>
      <c r="AW232" s="567">
        <v>-2024.0</v>
      </c>
      <c r="AX232" s="567">
        <v>-2024.0</v>
      </c>
      <c r="AY232" s="567">
        <v>-2024.0</v>
      </c>
      <c r="AZ232" s="567">
        <v>0.0</v>
      </c>
      <c r="BA232" s="567">
        <v>-2024.0</v>
      </c>
      <c r="BB232" s="567"/>
      <c r="BC232" s="567">
        <v>2.0</v>
      </c>
      <c r="BD232" s="567">
        <v>2.0</v>
      </c>
      <c r="BE232" s="567">
        <v>2.0</v>
      </c>
      <c r="BF232" s="567"/>
      <c r="BG232" s="567">
        <v>2.0</v>
      </c>
      <c r="BH232" s="567">
        <v>6.0</v>
      </c>
      <c r="BI232" s="567">
        <v>2.0</v>
      </c>
      <c r="BJ232" s="567">
        <v>2.0</v>
      </c>
      <c r="BK232" s="567"/>
      <c r="BL232" s="725">
        <v>4.0</v>
      </c>
      <c r="BM232" s="665">
        <f t="shared" si="1"/>
        <v>22</v>
      </c>
      <c r="BN232" s="668"/>
      <c r="BO232" s="668"/>
      <c r="BP232" s="668"/>
      <c r="BQ232" s="668"/>
      <c r="BR232" s="668"/>
      <c r="BS232" s="668"/>
      <c r="BT232" s="668"/>
      <c r="BU232" s="668"/>
      <c r="BV232" s="668"/>
      <c r="BW232" s="670"/>
      <c r="BX232" s="665">
        <f t="shared" si="2"/>
        <v>0</v>
      </c>
      <c r="BY232" s="671">
        <v>0.0</v>
      </c>
      <c r="BZ232" s="668">
        <v>0.0</v>
      </c>
      <c r="CA232" s="668">
        <v>0.0</v>
      </c>
      <c r="CB232" s="668">
        <v>0.0</v>
      </c>
      <c r="CC232" s="668">
        <v>0.0</v>
      </c>
      <c r="CD232" s="668">
        <v>0.0</v>
      </c>
      <c r="CE232" s="668">
        <v>0.0</v>
      </c>
      <c r="CF232" s="668">
        <v>0.0</v>
      </c>
      <c r="CG232" s="668">
        <v>0.0</v>
      </c>
      <c r="CH232" s="670">
        <v>0.0</v>
      </c>
      <c r="CI232" s="665">
        <f t="shared" si="3"/>
        <v>0</v>
      </c>
      <c r="CJ232" s="671">
        <f t="shared" si="4"/>
        <v>22</v>
      </c>
      <c r="CK232" s="668"/>
      <c r="CL232" s="891">
        <v>94.0</v>
      </c>
      <c r="CM232" s="668">
        <f t="shared" ref="CM232:CV232" si="715">BC232*$CL232</f>
        <v>188</v>
      </c>
      <c r="CN232" s="668">
        <f t="shared" si="715"/>
        <v>188</v>
      </c>
      <c r="CO232" s="668">
        <f t="shared" si="715"/>
        <v>188</v>
      </c>
      <c r="CP232" s="668">
        <f t="shared" si="715"/>
        <v>0</v>
      </c>
      <c r="CQ232" s="668">
        <f t="shared" si="715"/>
        <v>188</v>
      </c>
      <c r="CR232" s="668">
        <f t="shared" si="715"/>
        <v>564</v>
      </c>
      <c r="CS232" s="668">
        <f t="shared" si="715"/>
        <v>188</v>
      </c>
      <c r="CT232" s="668">
        <f t="shared" si="715"/>
        <v>188</v>
      </c>
      <c r="CU232" s="668">
        <f t="shared" si="715"/>
        <v>0</v>
      </c>
      <c r="CV232" s="668">
        <f t="shared" si="715"/>
        <v>376</v>
      </c>
      <c r="CW232" s="668">
        <f t="shared" si="21"/>
        <v>2068</v>
      </c>
      <c r="CX232" s="668">
        <f t="shared" ref="CX232:DG232" si="716">BN232*$CL232</f>
        <v>0</v>
      </c>
      <c r="CY232" s="668">
        <f t="shared" si="716"/>
        <v>0</v>
      </c>
      <c r="CZ232" s="668">
        <f t="shared" si="716"/>
        <v>0</v>
      </c>
      <c r="DA232" s="668">
        <f t="shared" si="716"/>
        <v>0</v>
      </c>
      <c r="DB232" s="668">
        <f t="shared" si="716"/>
        <v>0</v>
      </c>
      <c r="DC232" s="668">
        <f t="shared" si="716"/>
        <v>0</v>
      </c>
      <c r="DD232" s="668">
        <f t="shared" si="716"/>
        <v>0</v>
      </c>
      <c r="DE232" s="668">
        <f t="shared" si="716"/>
        <v>0</v>
      </c>
      <c r="DF232" s="668">
        <f t="shared" si="716"/>
        <v>0</v>
      </c>
      <c r="DG232" s="668">
        <f t="shared" si="716"/>
        <v>0</v>
      </c>
      <c r="DH232" s="668">
        <f t="shared" si="23"/>
        <v>0</v>
      </c>
      <c r="DI232" s="668">
        <f t="shared" ref="DI232:DR232" si="717">BY232*$CL232</f>
        <v>0</v>
      </c>
      <c r="DJ232" s="668">
        <f t="shared" si="717"/>
        <v>0</v>
      </c>
      <c r="DK232" s="668">
        <f t="shared" si="717"/>
        <v>0</v>
      </c>
      <c r="DL232" s="668">
        <f t="shared" si="717"/>
        <v>0</v>
      </c>
      <c r="DM232" s="668">
        <f t="shared" si="717"/>
        <v>0</v>
      </c>
      <c r="DN232" s="668">
        <f t="shared" si="717"/>
        <v>0</v>
      </c>
      <c r="DO232" s="668">
        <f t="shared" si="717"/>
        <v>0</v>
      </c>
      <c r="DP232" s="668">
        <f t="shared" si="717"/>
        <v>0</v>
      </c>
      <c r="DQ232" s="668">
        <f t="shared" si="717"/>
        <v>0</v>
      </c>
      <c r="DR232" s="668">
        <f t="shared" si="717"/>
        <v>0</v>
      </c>
      <c r="DS232" s="668">
        <f t="shared" si="25"/>
        <v>0</v>
      </c>
      <c r="DT232" s="668">
        <f t="shared" si="685"/>
        <v>2068</v>
      </c>
      <c r="DU232" s="866" t="s">
        <v>3424</v>
      </c>
      <c r="DV232" s="468" t="s">
        <v>3407</v>
      </c>
      <c r="DW232" s="698"/>
      <c r="DX232" s="698"/>
      <c r="DY232" s="698"/>
      <c r="DZ232" s="698"/>
      <c r="EA232" s="698"/>
      <c r="EB232" s="698"/>
      <c r="EC232" s="698"/>
      <c r="ED232" s="698"/>
      <c r="EE232" s="698"/>
      <c r="EF232" s="698"/>
      <c r="EG232" s="698"/>
      <c r="EH232" s="677">
        <f t="shared" si="699"/>
        <v>0</v>
      </c>
      <c r="EI232" s="678">
        <v>1.0</v>
      </c>
      <c r="EJ232" s="699"/>
      <c r="EK232" s="699"/>
    </row>
    <row r="233" ht="12.0" customHeight="1">
      <c r="A233" s="700" t="s">
        <v>3026</v>
      </c>
      <c r="B233" s="701">
        <v>2.0</v>
      </c>
      <c r="C233" s="562" t="s">
        <v>3027</v>
      </c>
      <c r="D233" s="571" t="s">
        <v>620</v>
      </c>
      <c r="E233" s="571" t="s">
        <v>2708</v>
      </c>
      <c r="F233" s="562" t="s">
        <v>1763</v>
      </c>
      <c r="G233" s="569" t="s">
        <v>2709</v>
      </c>
      <c r="H233" s="702" t="s">
        <v>3425</v>
      </c>
      <c r="I233" s="717" t="s">
        <v>2391</v>
      </c>
      <c r="J233" s="704" t="s">
        <v>1541</v>
      </c>
      <c r="K233" s="562" t="s">
        <v>25</v>
      </c>
      <c r="L233" s="562">
        <v>2024.0</v>
      </c>
      <c r="M233" s="562">
        <v>2024.0</v>
      </c>
      <c r="N233" s="562">
        <v>2024.0</v>
      </c>
      <c r="O233" s="562"/>
      <c r="P233" s="562"/>
      <c r="Q233" s="562"/>
      <c r="R233" s="562">
        <v>2024.0</v>
      </c>
      <c r="S233" s="562">
        <v>2024.0</v>
      </c>
      <c r="T233" s="562"/>
      <c r="U233" s="562">
        <v>2024.0</v>
      </c>
      <c r="V233" s="562"/>
      <c r="W233" s="562">
        <v>1.0</v>
      </c>
      <c r="X233" s="562">
        <v>1.0</v>
      </c>
      <c r="Y233" s="562">
        <v>1.0</v>
      </c>
      <c r="Z233" s="562"/>
      <c r="AA233" s="562"/>
      <c r="AB233" s="562"/>
      <c r="AC233" s="562">
        <v>1.0</v>
      </c>
      <c r="AD233" s="562">
        <v>1.0</v>
      </c>
      <c r="AE233" s="562"/>
      <c r="AF233" s="562">
        <v>1.0</v>
      </c>
      <c r="AG233" s="562"/>
      <c r="AH233" s="562"/>
      <c r="AI233" s="562"/>
      <c r="AJ233" s="562"/>
      <c r="AK233" s="562"/>
      <c r="AL233" s="562"/>
      <c r="AM233" s="562"/>
      <c r="AN233" s="562"/>
      <c r="AO233" s="562"/>
      <c r="AP233" s="562"/>
      <c r="AQ233" s="562"/>
      <c r="AR233" s="562">
        <v>-2024.0</v>
      </c>
      <c r="AS233" s="562">
        <v>-2024.0</v>
      </c>
      <c r="AT233" s="562">
        <v>-2024.0</v>
      </c>
      <c r="AU233" s="562">
        <v>0.0</v>
      </c>
      <c r="AV233" s="562">
        <v>0.0</v>
      </c>
      <c r="AW233" s="562">
        <v>0.0</v>
      </c>
      <c r="AX233" s="562">
        <v>-2024.0</v>
      </c>
      <c r="AY233" s="562">
        <v>-2024.0</v>
      </c>
      <c r="AZ233" s="562">
        <v>0.0</v>
      </c>
      <c r="BA233" s="562">
        <v>-2024.0</v>
      </c>
      <c r="BB233" s="562"/>
      <c r="BC233" s="562">
        <v>8.0</v>
      </c>
      <c r="BD233" s="570">
        <v>8.0</v>
      </c>
      <c r="BE233" s="562">
        <v>8.0</v>
      </c>
      <c r="BF233" s="562"/>
      <c r="BG233" s="554">
        <v>8.0</v>
      </c>
      <c r="BH233" s="701">
        <v>8.0</v>
      </c>
      <c r="BI233" s="562">
        <v>8.0</v>
      </c>
      <c r="BJ233" s="562">
        <v>8.0</v>
      </c>
      <c r="BK233" s="562"/>
      <c r="BL233" s="681">
        <v>8.0</v>
      </c>
      <c r="BM233" s="665">
        <f t="shared" si="1"/>
        <v>64</v>
      </c>
      <c r="BN233" s="682"/>
      <c r="BO233" s="683"/>
      <c r="BP233" s="683"/>
      <c r="BQ233" s="683"/>
      <c r="BR233" s="683"/>
      <c r="BS233" s="683"/>
      <c r="BT233" s="683"/>
      <c r="BU233" s="683"/>
      <c r="BV233" s="683"/>
      <c r="BW233" s="686"/>
      <c r="BX233" s="665">
        <f t="shared" si="2"/>
        <v>0</v>
      </c>
      <c r="BY233" s="682">
        <v>0.0</v>
      </c>
      <c r="BZ233" s="683">
        <v>0.0</v>
      </c>
      <c r="CA233" s="683">
        <v>0.0</v>
      </c>
      <c r="CB233" s="683">
        <v>0.0</v>
      </c>
      <c r="CC233" s="683">
        <v>0.0</v>
      </c>
      <c r="CD233" s="683">
        <v>0.0</v>
      </c>
      <c r="CE233" s="683">
        <v>0.0</v>
      </c>
      <c r="CF233" s="683">
        <v>0.0</v>
      </c>
      <c r="CG233" s="683">
        <v>0.0</v>
      </c>
      <c r="CH233" s="686">
        <v>0.0</v>
      </c>
      <c r="CI233" s="665">
        <f t="shared" si="3"/>
        <v>0</v>
      </c>
      <c r="CJ233" s="682">
        <f t="shared" si="4"/>
        <v>64</v>
      </c>
      <c r="CK233" s="706">
        <v>2.96</v>
      </c>
      <c r="CL233" s="683">
        <f>CK233*$CL$1</f>
        <v>20.6016</v>
      </c>
      <c r="CM233" s="683">
        <f t="shared" ref="CM233:CV233" si="718">BC233*$CL233</f>
        <v>164.8128</v>
      </c>
      <c r="CN233" s="683">
        <f t="shared" si="718"/>
        <v>164.8128</v>
      </c>
      <c r="CO233" s="683">
        <f t="shared" si="718"/>
        <v>164.8128</v>
      </c>
      <c r="CP233" s="683">
        <f t="shared" si="718"/>
        <v>0</v>
      </c>
      <c r="CQ233" s="683">
        <f t="shared" si="718"/>
        <v>164.8128</v>
      </c>
      <c r="CR233" s="683">
        <f t="shared" si="718"/>
        <v>164.8128</v>
      </c>
      <c r="CS233" s="683">
        <f t="shared" si="718"/>
        <v>164.8128</v>
      </c>
      <c r="CT233" s="683">
        <f t="shared" si="718"/>
        <v>164.8128</v>
      </c>
      <c r="CU233" s="683">
        <f t="shared" si="718"/>
        <v>0</v>
      </c>
      <c r="CV233" s="683">
        <f t="shared" si="718"/>
        <v>164.8128</v>
      </c>
      <c r="CW233" s="683">
        <f t="shared" si="21"/>
        <v>1318.5024</v>
      </c>
      <c r="CX233" s="683">
        <f t="shared" ref="CX233:DG233" si="719">BN233*$CL233</f>
        <v>0</v>
      </c>
      <c r="CY233" s="683">
        <f t="shared" si="719"/>
        <v>0</v>
      </c>
      <c r="CZ233" s="683">
        <f t="shared" si="719"/>
        <v>0</v>
      </c>
      <c r="DA233" s="683">
        <f t="shared" si="719"/>
        <v>0</v>
      </c>
      <c r="DB233" s="683">
        <f t="shared" si="719"/>
        <v>0</v>
      </c>
      <c r="DC233" s="683">
        <f t="shared" si="719"/>
        <v>0</v>
      </c>
      <c r="DD233" s="683">
        <f t="shared" si="719"/>
        <v>0</v>
      </c>
      <c r="DE233" s="683">
        <f t="shared" si="719"/>
        <v>0</v>
      </c>
      <c r="DF233" s="683">
        <f t="shared" si="719"/>
        <v>0</v>
      </c>
      <c r="DG233" s="683">
        <f t="shared" si="719"/>
        <v>0</v>
      </c>
      <c r="DH233" s="683">
        <f t="shared" si="23"/>
        <v>0</v>
      </c>
      <c r="DI233" s="683">
        <f t="shared" ref="DI233:DR233" si="720">BY233*$CL233</f>
        <v>0</v>
      </c>
      <c r="DJ233" s="683">
        <f t="shared" si="720"/>
        <v>0</v>
      </c>
      <c r="DK233" s="683">
        <f t="shared" si="720"/>
        <v>0</v>
      </c>
      <c r="DL233" s="683">
        <f t="shared" si="720"/>
        <v>0</v>
      </c>
      <c r="DM233" s="683">
        <f t="shared" si="720"/>
        <v>0</v>
      </c>
      <c r="DN233" s="683">
        <f t="shared" si="720"/>
        <v>0</v>
      </c>
      <c r="DO233" s="683">
        <f t="shared" si="720"/>
        <v>0</v>
      </c>
      <c r="DP233" s="683">
        <f t="shared" si="720"/>
        <v>0</v>
      </c>
      <c r="DQ233" s="683">
        <f t="shared" si="720"/>
        <v>0</v>
      </c>
      <c r="DR233" s="683">
        <f t="shared" si="720"/>
        <v>0</v>
      </c>
      <c r="DS233" s="683">
        <f t="shared" si="25"/>
        <v>0</v>
      </c>
      <c r="DT233" s="683">
        <f t="shared" si="685"/>
        <v>1318.5024</v>
      </c>
      <c r="DU233" s="504"/>
      <c r="DV233" s="486"/>
      <c r="DW233" s="688"/>
      <c r="DX233" s="688"/>
      <c r="DY233" s="688"/>
      <c r="DZ233" s="688"/>
      <c r="EA233" s="688"/>
      <c r="EB233" s="688"/>
      <c r="EC233" s="688"/>
      <c r="ED233" s="688"/>
      <c r="EE233" s="688"/>
      <c r="EF233" s="688"/>
      <c r="EG233" s="688"/>
      <c r="EH233" s="707" t="s">
        <v>1541</v>
      </c>
      <c r="EI233" s="708">
        <f>VLOOKUP(I233,CotizacionTDB,4,FALSE())</f>
        <v>2.96</v>
      </c>
      <c r="EJ233" s="708">
        <f>VLOOKUP(I233,CotizacionTDB,5,FALSE())</f>
        <v>2.52</v>
      </c>
      <c r="EK233" s="691"/>
    </row>
    <row r="234" ht="12.0" customHeight="1">
      <c r="A234" s="709" t="s">
        <v>3026</v>
      </c>
      <c r="B234" s="661">
        <v>40.0</v>
      </c>
      <c r="C234" s="567" t="s">
        <v>3027</v>
      </c>
      <c r="D234" s="567" t="s">
        <v>620</v>
      </c>
      <c r="E234" s="567" t="s">
        <v>2708</v>
      </c>
      <c r="F234" s="567" t="s">
        <v>1774</v>
      </c>
      <c r="G234" s="692" t="s">
        <v>2709</v>
      </c>
      <c r="H234" s="851" t="s">
        <v>3421</v>
      </c>
      <c r="I234" s="567"/>
      <c r="J234" s="568" t="s">
        <v>3426</v>
      </c>
      <c r="K234" s="567" t="s">
        <v>25</v>
      </c>
      <c r="L234" s="567">
        <v>2024.0</v>
      </c>
      <c r="M234" s="567">
        <v>2024.0</v>
      </c>
      <c r="N234" s="567">
        <v>2024.0</v>
      </c>
      <c r="O234" s="567">
        <v>2024.0</v>
      </c>
      <c r="P234" s="567">
        <v>2024.0</v>
      </c>
      <c r="Q234" s="567">
        <v>2024.0</v>
      </c>
      <c r="R234" s="567">
        <v>2024.0</v>
      </c>
      <c r="S234" s="567">
        <v>2024.0</v>
      </c>
      <c r="T234" s="567"/>
      <c r="U234" s="567">
        <v>2024.0</v>
      </c>
      <c r="V234" s="567"/>
      <c r="W234" s="567">
        <v>3.0</v>
      </c>
      <c r="X234" s="567">
        <v>3.0</v>
      </c>
      <c r="Y234" s="567">
        <v>3.0</v>
      </c>
      <c r="Z234" s="567">
        <v>3.0</v>
      </c>
      <c r="AA234" s="567">
        <v>3.0</v>
      </c>
      <c r="AB234" s="567">
        <v>3.0</v>
      </c>
      <c r="AC234" s="567">
        <v>5.0</v>
      </c>
      <c r="AD234" s="567">
        <v>5.0</v>
      </c>
      <c r="AE234" s="567"/>
      <c r="AF234" s="567">
        <v>5.0</v>
      </c>
      <c r="AG234" s="567"/>
      <c r="AH234" s="567"/>
      <c r="AI234" s="567"/>
      <c r="AJ234" s="567"/>
      <c r="AK234" s="567"/>
      <c r="AL234" s="567"/>
      <c r="AM234" s="567"/>
      <c r="AN234" s="567"/>
      <c r="AO234" s="567"/>
      <c r="AP234" s="567"/>
      <c r="AQ234" s="567"/>
      <c r="AR234" s="567">
        <v>-2024.0</v>
      </c>
      <c r="AS234" s="567">
        <v>-2024.0</v>
      </c>
      <c r="AT234" s="567">
        <v>-2024.0</v>
      </c>
      <c r="AU234" s="567">
        <v>-2024.0</v>
      </c>
      <c r="AV234" s="567">
        <v>-2024.0</v>
      </c>
      <c r="AW234" s="567">
        <v>-2024.0</v>
      </c>
      <c r="AX234" s="567">
        <v>-2024.0</v>
      </c>
      <c r="AY234" s="567">
        <v>-2024.0</v>
      </c>
      <c r="AZ234" s="567">
        <v>0.0</v>
      </c>
      <c r="BA234" s="567">
        <v>-2024.0</v>
      </c>
      <c r="BB234" s="567"/>
      <c r="BC234" s="567">
        <v>2.0</v>
      </c>
      <c r="BD234" s="567">
        <v>2.0</v>
      </c>
      <c r="BE234" s="567">
        <v>2.0</v>
      </c>
      <c r="BF234" s="567">
        <v>2.0</v>
      </c>
      <c r="BG234" s="567">
        <v>2.0</v>
      </c>
      <c r="BH234" s="567">
        <v>2.0</v>
      </c>
      <c r="BI234" s="567">
        <v>2.0</v>
      </c>
      <c r="BJ234" s="567">
        <v>2.0</v>
      </c>
      <c r="BK234" s="567"/>
      <c r="BL234" s="725">
        <v>2.0</v>
      </c>
      <c r="BM234" s="665">
        <f t="shared" si="1"/>
        <v>18</v>
      </c>
      <c r="BN234" s="671"/>
      <c r="BO234" s="668"/>
      <c r="BP234" s="668"/>
      <c r="BQ234" s="668"/>
      <c r="BR234" s="729"/>
      <c r="BS234" s="668"/>
      <c r="BT234" s="668"/>
      <c r="BU234" s="668"/>
      <c r="BV234" s="668"/>
      <c r="BW234" s="670"/>
      <c r="BX234" s="665">
        <f t="shared" si="2"/>
        <v>0</v>
      </c>
      <c r="BY234" s="671">
        <v>0.0</v>
      </c>
      <c r="BZ234" s="668">
        <v>0.0</v>
      </c>
      <c r="CA234" s="668">
        <v>0.0</v>
      </c>
      <c r="CB234" s="668">
        <v>0.0</v>
      </c>
      <c r="CC234" s="668">
        <v>0.0</v>
      </c>
      <c r="CD234" s="668">
        <v>0.0</v>
      </c>
      <c r="CE234" s="668">
        <v>0.0</v>
      </c>
      <c r="CF234" s="668">
        <v>0.0</v>
      </c>
      <c r="CG234" s="668">
        <v>0.0</v>
      </c>
      <c r="CH234" s="670">
        <v>0.0</v>
      </c>
      <c r="CI234" s="665">
        <f t="shared" si="3"/>
        <v>0</v>
      </c>
      <c r="CJ234" s="671">
        <f t="shared" si="4"/>
        <v>18</v>
      </c>
      <c r="CK234" s="668"/>
      <c r="CL234" s="798">
        <v>67.0</v>
      </c>
      <c r="CM234" s="668">
        <f t="shared" ref="CM234:CV234" si="721">BC234*$CL234</f>
        <v>134</v>
      </c>
      <c r="CN234" s="668">
        <f t="shared" si="721"/>
        <v>134</v>
      </c>
      <c r="CO234" s="668">
        <f t="shared" si="721"/>
        <v>134</v>
      </c>
      <c r="CP234" s="668">
        <f t="shared" si="721"/>
        <v>134</v>
      </c>
      <c r="CQ234" s="668">
        <f t="shared" si="721"/>
        <v>134</v>
      </c>
      <c r="CR234" s="668">
        <f t="shared" si="721"/>
        <v>134</v>
      </c>
      <c r="CS234" s="668">
        <f t="shared" si="721"/>
        <v>134</v>
      </c>
      <c r="CT234" s="668">
        <f t="shared" si="721"/>
        <v>134</v>
      </c>
      <c r="CU234" s="668">
        <f t="shared" si="721"/>
        <v>0</v>
      </c>
      <c r="CV234" s="668">
        <f t="shared" si="721"/>
        <v>134</v>
      </c>
      <c r="CW234" s="668">
        <f t="shared" si="21"/>
        <v>1206</v>
      </c>
      <c r="CX234" s="668">
        <f t="shared" ref="CX234:DG234" si="722">BN234*$CL234</f>
        <v>0</v>
      </c>
      <c r="CY234" s="668">
        <f t="shared" si="722"/>
        <v>0</v>
      </c>
      <c r="CZ234" s="668">
        <f t="shared" si="722"/>
        <v>0</v>
      </c>
      <c r="DA234" s="668">
        <f t="shared" si="722"/>
        <v>0</v>
      </c>
      <c r="DB234" s="668">
        <f t="shared" si="722"/>
        <v>0</v>
      </c>
      <c r="DC234" s="668">
        <f t="shared" si="722"/>
        <v>0</v>
      </c>
      <c r="DD234" s="668">
        <f t="shared" si="722"/>
        <v>0</v>
      </c>
      <c r="DE234" s="668">
        <f t="shared" si="722"/>
        <v>0</v>
      </c>
      <c r="DF234" s="668">
        <f t="shared" si="722"/>
        <v>0</v>
      </c>
      <c r="DG234" s="668">
        <f t="shared" si="722"/>
        <v>0</v>
      </c>
      <c r="DH234" s="668">
        <f t="shared" si="23"/>
        <v>0</v>
      </c>
      <c r="DI234" s="668">
        <f t="shared" ref="DI234:DR234" si="723">BY234*$CL234</f>
        <v>0</v>
      </c>
      <c r="DJ234" s="668">
        <f t="shared" si="723"/>
        <v>0</v>
      </c>
      <c r="DK234" s="668">
        <f t="shared" si="723"/>
        <v>0</v>
      </c>
      <c r="DL234" s="668">
        <f t="shared" si="723"/>
        <v>0</v>
      </c>
      <c r="DM234" s="668">
        <f t="shared" si="723"/>
        <v>0</v>
      </c>
      <c r="DN234" s="668">
        <f t="shared" si="723"/>
        <v>0</v>
      </c>
      <c r="DO234" s="668">
        <f t="shared" si="723"/>
        <v>0</v>
      </c>
      <c r="DP234" s="668">
        <f t="shared" si="723"/>
        <v>0</v>
      </c>
      <c r="DQ234" s="668">
        <f t="shared" si="723"/>
        <v>0</v>
      </c>
      <c r="DR234" s="668">
        <f t="shared" si="723"/>
        <v>0</v>
      </c>
      <c r="DS234" s="668">
        <f t="shared" si="25"/>
        <v>0</v>
      </c>
      <c r="DT234" s="668">
        <f t="shared" si="685"/>
        <v>1206</v>
      </c>
      <c r="DU234" s="538"/>
      <c r="DV234" s="468" t="s">
        <v>3407</v>
      </c>
      <c r="DW234" s="698"/>
      <c r="DX234" s="698"/>
      <c r="DY234" s="698"/>
      <c r="DZ234" s="698"/>
      <c r="EA234" s="698"/>
      <c r="EB234" s="698"/>
      <c r="EC234" s="698"/>
      <c r="ED234" s="698"/>
      <c r="EE234" s="698"/>
      <c r="EF234" s="698"/>
      <c r="EG234" s="698"/>
      <c r="EH234" s="677">
        <f>CK234*6.97</f>
        <v>0</v>
      </c>
      <c r="EI234" s="678">
        <v>1.0</v>
      </c>
      <c r="EJ234" s="699"/>
      <c r="EK234" s="699"/>
    </row>
    <row r="235" ht="12.0" customHeight="1">
      <c r="A235" s="700" t="s">
        <v>3026</v>
      </c>
      <c r="B235" s="701">
        <v>2.0</v>
      </c>
      <c r="C235" s="562" t="s">
        <v>3027</v>
      </c>
      <c r="D235" s="571" t="s">
        <v>620</v>
      </c>
      <c r="E235" s="571" t="s">
        <v>2708</v>
      </c>
      <c r="F235" s="562" t="s">
        <v>1763</v>
      </c>
      <c r="G235" s="569" t="s">
        <v>2709</v>
      </c>
      <c r="H235" s="737"/>
      <c r="I235" s="717" t="s">
        <v>2393</v>
      </c>
      <c r="J235" s="704" t="s">
        <v>1461</v>
      </c>
      <c r="K235" s="562" t="s">
        <v>25</v>
      </c>
      <c r="L235" s="562">
        <v>2024.0</v>
      </c>
      <c r="M235" s="562"/>
      <c r="N235" s="562">
        <v>2024.0</v>
      </c>
      <c r="O235" s="562"/>
      <c r="P235" s="562"/>
      <c r="Q235" s="562"/>
      <c r="R235" s="562"/>
      <c r="S235" s="562"/>
      <c r="T235" s="562"/>
      <c r="U235" s="562"/>
      <c r="V235" s="562"/>
      <c r="W235" s="562">
        <v>1.0</v>
      </c>
      <c r="X235" s="562"/>
      <c r="Y235" s="562">
        <v>1.0</v>
      </c>
      <c r="Z235" s="562"/>
      <c r="AA235" s="562"/>
      <c r="AB235" s="562"/>
      <c r="AC235" s="562"/>
      <c r="AD235" s="562"/>
      <c r="AE235" s="562"/>
      <c r="AF235" s="562"/>
      <c r="AG235" s="562"/>
      <c r="AH235" s="562"/>
      <c r="AI235" s="562"/>
      <c r="AJ235" s="562"/>
      <c r="AK235" s="562"/>
      <c r="AL235" s="562"/>
      <c r="AM235" s="562"/>
      <c r="AN235" s="562"/>
      <c r="AO235" s="562"/>
      <c r="AP235" s="562"/>
      <c r="AQ235" s="562"/>
      <c r="AR235" s="562">
        <v>-2024.0</v>
      </c>
      <c r="AS235" s="562">
        <v>0.0</v>
      </c>
      <c r="AT235" s="562">
        <v>-2024.0</v>
      </c>
      <c r="AU235" s="562">
        <v>0.0</v>
      </c>
      <c r="AV235" s="562">
        <v>0.0</v>
      </c>
      <c r="AW235" s="562">
        <v>0.0</v>
      </c>
      <c r="AX235" s="562">
        <v>0.0</v>
      </c>
      <c r="AY235" s="562">
        <v>0.0</v>
      </c>
      <c r="AZ235" s="562">
        <v>0.0</v>
      </c>
      <c r="BA235" s="562">
        <v>0.0</v>
      </c>
      <c r="BB235" s="562"/>
      <c r="BC235" s="562">
        <v>16.0</v>
      </c>
      <c r="BD235" s="562"/>
      <c r="BE235" s="562">
        <v>16.0</v>
      </c>
      <c r="BF235" s="562"/>
      <c r="BG235" s="562"/>
      <c r="BH235" s="701"/>
      <c r="BI235" s="562"/>
      <c r="BJ235" s="562"/>
      <c r="BK235" s="562"/>
      <c r="BL235" s="681"/>
      <c r="BM235" s="665">
        <f t="shared" si="1"/>
        <v>32</v>
      </c>
      <c r="BN235" s="682"/>
      <c r="BO235" s="683"/>
      <c r="BP235" s="683"/>
      <c r="BQ235" s="683"/>
      <c r="BR235" s="683"/>
      <c r="BS235" s="683"/>
      <c r="BT235" s="683"/>
      <c r="BU235" s="683"/>
      <c r="BV235" s="683"/>
      <c r="BW235" s="686"/>
      <c r="BX235" s="665">
        <f t="shared" si="2"/>
        <v>0</v>
      </c>
      <c r="BY235" s="682">
        <v>0.0</v>
      </c>
      <c r="BZ235" s="683">
        <v>0.0</v>
      </c>
      <c r="CA235" s="683">
        <v>0.0</v>
      </c>
      <c r="CB235" s="683">
        <v>0.0</v>
      </c>
      <c r="CC235" s="683">
        <v>0.0</v>
      </c>
      <c r="CD235" s="683">
        <v>0.0</v>
      </c>
      <c r="CE235" s="683">
        <v>0.0</v>
      </c>
      <c r="CF235" s="683">
        <v>0.0</v>
      </c>
      <c r="CG235" s="683">
        <v>0.0</v>
      </c>
      <c r="CH235" s="686">
        <v>0.0</v>
      </c>
      <c r="CI235" s="665">
        <f t="shared" si="3"/>
        <v>0</v>
      </c>
      <c r="CJ235" s="682">
        <f t="shared" si="4"/>
        <v>32</v>
      </c>
      <c r="CK235" s="706">
        <v>5.23</v>
      </c>
      <c r="CL235" s="683">
        <f>CK235*$CL$1</f>
        <v>36.4008</v>
      </c>
      <c r="CM235" s="683">
        <f t="shared" ref="CM235:CV235" si="724">BC235*$CL235</f>
        <v>582.4128</v>
      </c>
      <c r="CN235" s="683">
        <f t="shared" si="724"/>
        <v>0</v>
      </c>
      <c r="CO235" s="683">
        <f t="shared" si="724"/>
        <v>582.4128</v>
      </c>
      <c r="CP235" s="683">
        <f t="shared" si="724"/>
        <v>0</v>
      </c>
      <c r="CQ235" s="683">
        <f t="shared" si="724"/>
        <v>0</v>
      </c>
      <c r="CR235" s="683">
        <f t="shared" si="724"/>
        <v>0</v>
      </c>
      <c r="CS235" s="683">
        <f t="shared" si="724"/>
        <v>0</v>
      </c>
      <c r="CT235" s="683">
        <f t="shared" si="724"/>
        <v>0</v>
      </c>
      <c r="CU235" s="683">
        <f t="shared" si="724"/>
        <v>0</v>
      </c>
      <c r="CV235" s="683">
        <f t="shared" si="724"/>
        <v>0</v>
      </c>
      <c r="CW235" s="683">
        <f t="shared" si="21"/>
        <v>1164.8256</v>
      </c>
      <c r="CX235" s="683">
        <f t="shared" ref="CX235:DG235" si="725">BN235*$CL235</f>
        <v>0</v>
      </c>
      <c r="CY235" s="683">
        <f t="shared" si="725"/>
        <v>0</v>
      </c>
      <c r="CZ235" s="683">
        <f t="shared" si="725"/>
        <v>0</v>
      </c>
      <c r="DA235" s="683">
        <f t="shared" si="725"/>
        <v>0</v>
      </c>
      <c r="DB235" s="683">
        <f t="shared" si="725"/>
        <v>0</v>
      </c>
      <c r="DC235" s="683">
        <f t="shared" si="725"/>
        <v>0</v>
      </c>
      <c r="DD235" s="683">
        <f t="shared" si="725"/>
        <v>0</v>
      </c>
      <c r="DE235" s="683">
        <f t="shared" si="725"/>
        <v>0</v>
      </c>
      <c r="DF235" s="683">
        <f t="shared" si="725"/>
        <v>0</v>
      </c>
      <c r="DG235" s="683">
        <f t="shared" si="725"/>
        <v>0</v>
      </c>
      <c r="DH235" s="683">
        <f t="shared" si="23"/>
        <v>0</v>
      </c>
      <c r="DI235" s="683">
        <f t="shared" ref="DI235:DR235" si="726">BY235*$CL235</f>
        <v>0</v>
      </c>
      <c r="DJ235" s="683">
        <f t="shared" si="726"/>
        <v>0</v>
      </c>
      <c r="DK235" s="683">
        <f t="shared" si="726"/>
        <v>0</v>
      </c>
      <c r="DL235" s="683">
        <f t="shared" si="726"/>
        <v>0</v>
      </c>
      <c r="DM235" s="683">
        <f t="shared" si="726"/>
        <v>0</v>
      </c>
      <c r="DN235" s="683">
        <f t="shared" si="726"/>
        <v>0</v>
      </c>
      <c r="DO235" s="683">
        <f t="shared" si="726"/>
        <v>0</v>
      </c>
      <c r="DP235" s="683">
        <f t="shared" si="726"/>
        <v>0</v>
      </c>
      <c r="DQ235" s="683">
        <f t="shared" si="726"/>
        <v>0</v>
      </c>
      <c r="DR235" s="683">
        <f t="shared" si="726"/>
        <v>0</v>
      </c>
      <c r="DS235" s="683">
        <f t="shared" si="25"/>
        <v>0</v>
      </c>
      <c r="DT235" s="683">
        <f t="shared" si="685"/>
        <v>1164.8256</v>
      </c>
      <c r="DU235" s="504"/>
      <c r="DV235" s="486"/>
      <c r="DW235" s="688"/>
      <c r="DX235" s="688"/>
      <c r="DY235" s="688"/>
      <c r="DZ235" s="688"/>
      <c r="EA235" s="688"/>
      <c r="EB235" s="688"/>
      <c r="EC235" s="688"/>
      <c r="ED235" s="688"/>
      <c r="EE235" s="688"/>
      <c r="EF235" s="688"/>
      <c r="EG235" s="688"/>
      <c r="EH235" s="707" t="s">
        <v>3427</v>
      </c>
      <c r="EI235" s="708">
        <f>VLOOKUP(I235,CotizacionTDB,4,FALSE())</f>
        <v>5.23</v>
      </c>
      <c r="EJ235" s="708">
        <f>VLOOKUP(I235,CotizacionTDB,5,FALSE())</f>
        <v>4.45</v>
      </c>
      <c r="EK235" s="691"/>
    </row>
    <row r="236" ht="12.0" customHeight="1">
      <c r="A236" s="709" t="s">
        <v>3026</v>
      </c>
      <c r="B236" s="661">
        <v>40.0</v>
      </c>
      <c r="C236" s="567" t="s">
        <v>3027</v>
      </c>
      <c r="D236" s="567" t="s">
        <v>620</v>
      </c>
      <c r="E236" s="567" t="s">
        <v>2708</v>
      </c>
      <c r="F236" s="567" t="s">
        <v>1774</v>
      </c>
      <c r="G236" s="692" t="s">
        <v>2709</v>
      </c>
      <c r="H236" s="851" t="s">
        <v>3428</v>
      </c>
      <c r="I236" s="567"/>
      <c r="J236" s="568" t="s">
        <v>3429</v>
      </c>
      <c r="K236" s="567" t="s">
        <v>25</v>
      </c>
      <c r="L236" s="567">
        <v>2024.0</v>
      </c>
      <c r="M236" s="567">
        <v>2024.0</v>
      </c>
      <c r="N236" s="567">
        <v>2024.0</v>
      </c>
      <c r="O236" s="567">
        <v>2024.0</v>
      </c>
      <c r="P236" s="567">
        <v>2024.0</v>
      </c>
      <c r="Q236" s="567">
        <v>2024.0</v>
      </c>
      <c r="R236" s="567">
        <v>2024.0</v>
      </c>
      <c r="S236" s="567">
        <v>2024.0</v>
      </c>
      <c r="T236" s="567"/>
      <c r="U236" s="567">
        <v>2024.0</v>
      </c>
      <c r="V236" s="567"/>
      <c r="W236" s="567">
        <v>3.0</v>
      </c>
      <c r="X236" s="567">
        <v>3.0</v>
      </c>
      <c r="Y236" s="567">
        <v>3.0</v>
      </c>
      <c r="Z236" s="567">
        <v>3.0</v>
      </c>
      <c r="AA236" s="567">
        <v>3.0</v>
      </c>
      <c r="AB236" s="567">
        <v>3.0</v>
      </c>
      <c r="AC236" s="567">
        <v>5.0</v>
      </c>
      <c r="AD236" s="567">
        <v>5.0</v>
      </c>
      <c r="AE236" s="567"/>
      <c r="AF236" s="567">
        <v>5.0</v>
      </c>
      <c r="AG236" s="567"/>
      <c r="AH236" s="567"/>
      <c r="AI236" s="567"/>
      <c r="AJ236" s="567"/>
      <c r="AK236" s="567"/>
      <c r="AL236" s="567"/>
      <c r="AM236" s="567"/>
      <c r="AN236" s="567"/>
      <c r="AO236" s="567"/>
      <c r="AP236" s="567"/>
      <c r="AQ236" s="567"/>
      <c r="AR236" s="567">
        <v>-2024.0</v>
      </c>
      <c r="AS236" s="567">
        <v>-2024.0</v>
      </c>
      <c r="AT236" s="567">
        <v>-2024.0</v>
      </c>
      <c r="AU236" s="567">
        <v>-2024.0</v>
      </c>
      <c r="AV236" s="567">
        <v>-2024.0</v>
      </c>
      <c r="AW236" s="567">
        <v>-2024.0</v>
      </c>
      <c r="AX236" s="567">
        <v>-2024.0</v>
      </c>
      <c r="AY236" s="567">
        <v>-2024.0</v>
      </c>
      <c r="AZ236" s="567">
        <v>0.0</v>
      </c>
      <c r="BA236" s="567">
        <v>-2024.0</v>
      </c>
      <c r="BB236" s="567"/>
      <c r="BC236" s="567">
        <v>2.0</v>
      </c>
      <c r="BD236" s="567">
        <v>2.0</v>
      </c>
      <c r="BE236" s="567">
        <v>2.0</v>
      </c>
      <c r="BF236" s="567">
        <v>2.0</v>
      </c>
      <c r="BG236" s="567">
        <v>2.0</v>
      </c>
      <c r="BH236" s="567">
        <v>2.0</v>
      </c>
      <c r="BI236" s="567">
        <v>2.0</v>
      </c>
      <c r="BJ236" s="567">
        <v>2.0</v>
      </c>
      <c r="BK236" s="567"/>
      <c r="BL236" s="725">
        <v>2.0</v>
      </c>
      <c r="BM236" s="665">
        <f t="shared" si="1"/>
        <v>18</v>
      </c>
      <c r="BN236" s="671"/>
      <c r="BO236" s="668"/>
      <c r="BP236" s="668"/>
      <c r="BQ236" s="668"/>
      <c r="BR236" s="668"/>
      <c r="BS236" s="668"/>
      <c r="BT236" s="668"/>
      <c r="BU236" s="668"/>
      <c r="BV236" s="668"/>
      <c r="BW236" s="670"/>
      <c r="BX236" s="665">
        <f t="shared" si="2"/>
        <v>0</v>
      </c>
      <c r="BY236" s="671">
        <v>0.0</v>
      </c>
      <c r="BZ236" s="668">
        <v>0.0</v>
      </c>
      <c r="CA236" s="668">
        <v>0.0</v>
      </c>
      <c r="CB236" s="668">
        <v>0.0</v>
      </c>
      <c r="CC236" s="668">
        <v>0.0</v>
      </c>
      <c r="CD236" s="668">
        <v>0.0</v>
      </c>
      <c r="CE236" s="668">
        <v>0.0</v>
      </c>
      <c r="CF236" s="668">
        <v>0.0</v>
      </c>
      <c r="CG236" s="668">
        <v>0.0</v>
      </c>
      <c r="CH236" s="670">
        <v>0.0</v>
      </c>
      <c r="CI236" s="665">
        <f t="shared" si="3"/>
        <v>0</v>
      </c>
      <c r="CJ236" s="671">
        <f t="shared" si="4"/>
        <v>18</v>
      </c>
      <c r="CK236" s="674"/>
      <c r="CL236" s="798">
        <v>56.0</v>
      </c>
      <c r="CM236" s="668">
        <f t="shared" ref="CM236:CV236" si="727">BC236*$CL236</f>
        <v>112</v>
      </c>
      <c r="CN236" s="668">
        <f t="shared" si="727"/>
        <v>112</v>
      </c>
      <c r="CO236" s="668">
        <f t="shared" si="727"/>
        <v>112</v>
      </c>
      <c r="CP236" s="668">
        <f t="shared" si="727"/>
        <v>112</v>
      </c>
      <c r="CQ236" s="668">
        <f t="shared" si="727"/>
        <v>112</v>
      </c>
      <c r="CR236" s="668">
        <f t="shared" si="727"/>
        <v>112</v>
      </c>
      <c r="CS236" s="668">
        <f t="shared" si="727"/>
        <v>112</v>
      </c>
      <c r="CT236" s="668">
        <f t="shared" si="727"/>
        <v>112</v>
      </c>
      <c r="CU236" s="668">
        <f t="shared" si="727"/>
        <v>0</v>
      </c>
      <c r="CV236" s="668">
        <f t="shared" si="727"/>
        <v>112</v>
      </c>
      <c r="CW236" s="668">
        <f t="shared" si="21"/>
        <v>1008</v>
      </c>
      <c r="CX236" s="668">
        <f t="shared" ref="CX236:DG236" si="728">BN236*$CL236</f>
        <v>0</v>
      </c>
      <c r="CY236" s="668">
        <f t="shared" si="728"/>
        <v>0</v>
      </c>
      <c r="CZ236" s="668">
        <f t="shared" si="728"/>
        <v>0</v>
      </c>
      <c r="DA236" s="668">
        <f t="shared" si="728"/>
        <v>0</v>
      </c>
      <c r="DB236" s="668">
        <f t="shared" si="728"/>
        <v>0</v>
      </c>
      <c r="DC236" s="668">
        <f t="shared" si="728"/>
        <v>0</v>
      </c>
      <c r="DD236" s="668">
        <f t="shared" si="728"/>
        <v>0</v>
      </c>
      <c r="DE236" s="668">
        <f t="shared" si="728"/>
        <v>0</v>
      </c>
      <c r="DF236" s="668">
        <f t="shared" si="728"/>
        <v>0</v>
      </c>
      <c r="DG236" s="668">
        <f t="shared" si="728"/>
        <v>0</v>
      </c>
      <c r="DH236" s="668">
        <f t="shared" si="23"/>
        <v>0</v>
      </c>
      <c r="DI236" s="668">
        <f t="shared" ref="DI236:DR236" si="729">BY236*$CL236</f>
        <v>0</v>
      </c>
      <c r="DJ236" s="668">
        <f t="shared" si="729"/>
        <v>0</v>
      </c>
      <c r="DK236" s="668">
        <f t="shared" si="729"/>
        <v>0</v>
      </c>
      <c r="DL236" s="668">
        <f t="shared" si="729"/>
        <v>0</v>
      </c>
      <c r="DM236" s="668">
        <f t="shared" si="729"/>
        <v>0</v>
      </c>
      <c r="DN236" s="668">
        <f t="shared" si="729"/>
        <v>0</v>
      </c>
      <c r="DO236" s="668">
        <f t="shared" si="729"/>
        <v>0</v>
      </c>
      <c r="DP236" s="668">
        <f t="shared" si="729"/>
        <v>0</v>
      </c>
      <c r="DQ236" s="668">
        <f t="shared" si="729"/>
        <v>0</v>
      </c>
      <c r="DR236" s="668">
        <f t="shared" si="729"/>
        <v>0</v>
      </c>
      <c r="DS236" s="668">
        <f t="shared" si="25"/>
        <v>0</v>
      </c>
      <c r="DT236" s="668">
        <f t="shared" si="685"/>
        <v>1008</v>
      </c>
      <c r="DU236" s="792"/>
      <c r="DV236" s="675" t="s">
        <v>3311</v>
      </c>
      <c r="DW236" s="676"/>
      <c r="DX236" s="676"/>
      <c r="DY236" s="676"/>
      <c r="DZ236" s="676"/>
      <c r="EA236" s="676"/>
      <c r="EB236" s="676"/>
      <c r="EC236" s="676"/>
      <c r="ED236" s="676"/>
      <c r="EE236" s="676"/>
      <c r="EF236" s="676"/>
      <c r="EG236" s="676"/>
      <c r="EH236" s="677">
        <f t="shared" ref="EH236:EH237" si="733">CK236*6.97</f>
        <v>0</v>
      </c>
      <c r="EI236" s="678">
        <v>1.0</v>
      </c>
      <c r="EJ236" s="699"/>
      <c r="EK236" s="699"/>
    </row>
    <row r="237" ht="12.0" customHeight="1">
      <c r="A237" s="700" t="s">
        <v>3026</v>
      </c>
      <c r="B237" s="701">
        <v>47.0</v>
      </c>
      <c r="C237" s="562" t="s">
        <v>3027</v>
      </c>
      <c r="D237" s="562" t="s">
        <v>620</v>
      </c>
      <c r="E237" s="562" t="s">
        <v>2708</v>
      </c>
      <c r="F237" s="562" t="s">
        <v>1774</v>
      </c>
      <c r="G237" s="848" t="s">
        <v>2709</v>
      </c>
      <c r="H237" s="895" t="s">
        <v>3430</v>
      </c>
      <c r="I237" s="562"/>
      <c r="J237" s="895" t="s">
        <v>3431</v>
      </c>
      <c r="K237" s="562" t="s">
        <v>25</v>
      </c>
      <c r="L237" s="562">
        <v>2024.0</v>
      </c>
      <c r="M237" s="562">
        <v>2024.0</v>
      </c>
      <c r="N237" s="562">
        <v>2024.0</v>
      </c>
      <c r="O237" s="562">
        <v>2024.0</v>
      </c>
      <c r="P237" s="562">
        <v>2024.0</v>
      </c>
      <c r="Q237" s="562">
        <v>2024.0</v>
      </c>
      <c r="R237" s="562">
        <v>2024.0</v>
      </c>
      <c r="S237" s="562">
        <v>2024.0</v>
      </c>
      <c r="T237" s="562"/>
      <c r="U237" s="562">
        <v>2024.0</v>
      </c>
      <c r="V237" s="562"/>
      <c r="W237" s="562">
        <v>3.0</v>
      </c>
      <c r="X237" s="562">
        <v>3.0</v>
      </c>
      <c r="Y237" s="562">
        <v>3.0</v>
      </c>
      <c r="Z237" s="562">
        <v>3.0</v>
      </c>
      <c r="AA237" s="562">
        <v>3.0</v>
      </c>
      <c r="AB237" s="562">
        <v>3.0</v>
      </c>
      <c r="AC237" s="562">
        <v>5.0</v>
      </c>
      <c r="AD237" s="562">
        <v>5.0</v>
      </c>
      <c r="AE237" s="562"/>
      <c r="AF237" s="562">
        <v>4.0</v>
      </c>
      <c r="AG237" s="562"/>
      <c r="AH237" s="562"/>
      <c r="AI237" s="562"/>
      <c r="AJ237" s="562"/>
      <c r="AK237" s="562"/>
      <c r="AL237" s="562"/>
      <c r="AM237" s="562"/>
      <c r="AN237" s="562"/>
      <c r="AO237" s="562"/>
      <c r="AP237" s="562"/>
      <c r="AQ237" s="562"/>
      <c r="AR237" s="562">
        <v>-2024.0</v>
      </c>
      <c r="AS237" s="562">
        <v>-2024.0</v>
      </c>
      <c r="AT237" s="562">
        <v>-2024.0</v>
      </c>
      <c r="AU237" s="562">
        <v>-2024.0</v>
      </c>
      <c r="AV237" s="562">
        <v>-2024.0</v>
      </c>
      <c r="AW237" s="562">
        <v>-2024.0</v>
      </c>
      <c r="AX237" s="562">
        <v>-2024.0</v>
      </c>
      <c r="AY237" s="562">
        <v>-2024.0</v>
      </c>
      <c r="AZ237" s="562">
        <v>0.0</v>
      </c>
      <c r="BA237" s="562">
        <v>-2024.0</v>
      </c>
      <c r="BB237" s="562"/>
      <c r="BC237" s="562">
        <v>6.0</v>
      </c>
      <c r="BD237" s="570">
        <v>4.0</v>
      </c>
      <c r="BE237" s="562">
        <v>6.0</v>
      </c>
      <c r="BF237" s="570">
        <v>4.0</v>
      </c>
      <c r="BG237" s="570">
        <v>4.0</v>
      </c>
      <c r="BH237" s="570">
        <v>4.0</v>
      </c>
      <c r="BI237" s="562">
        <v>2.0</v>
      </c>
      <c r="BJ237" s="562">
        <v>2.0</v>
      </c>
      <c r="BK237" s="570"/>
      <c r="BL237" s="570">
        <v>10.0</v>
      </c>
      <c r="BM237" s="665">
        <f t="shared" si="1"/>
        <v>42</v>
      </c>
      <c r="BN237" s="683"/>
      <c r="BO237" s="786"/>
      <c r="BP237" s="683"/>
      <c r="BQ237" s="786"/>
      <c r="BR237" s="786"/>
      <c r="BS237" s="786"/>
      <c r="BT237" s="683"/>
      <c r="BU237" s="683"/>
      <c r="BV237" s="786"/>
      <c r="BW237" s="786"/>
      <c r="BX237" s="665">
        <f t="shared" si="2"/>
        <v>0</v>
      </c>
      <c r="BY237" s="682">
        <v>0.0</v>
      </c>
      <c r="BZ237" s="683">
        <v>0.0</v>
      </c>
      <c r="CA237" s="683">
        <v>0.0</v>
      </c>
      <c r="CB237" s="683">
        <v>0.0</v>
      </c>
      <c r="CC237" s="683">
        <v>0.0</v>
      </c>
      <c r="CD237" s="683">
        <v>0.0</v>
      </c>
      <c r="CE237" s="683">
        <v>0.0</v>
      </c>
      <c r="CF237" s="683">
        <v>0.0</v>
      </c>
      <c r="CG237" s="683">
        <v>0.0</v>
      </c>
      <c r="CH237" s="686">
        <v>0.0</v>
      </c>
      <c r="CI237" s="665">
        <f t="shared" si="3"/>
        <v>0</v>
      </c>
      <c r="CJ237" s="682">
        <f t="shared" si="4"/>
        <v>42</v>
      </c>
      <c r="CK237" s="687"/>
      <c r="CL237" s="896">
        <v>20.0</v>
      </c>
      <c r="CM237" s="683">
        <f t="shared" ref="CM237:CV237" si="730">BC237*$CL237</f>
        <v>120</v>
      </c>
      <c r="CN237" s="683">
        <f t="shared" si="730"/>
        <v>80</v>
      </c>
      <c r="CO237" s="683">
        <f t="shared" si="730"/>
        <v>120</v>
      </c>
      <c r="CP237" s="683">
        <f t="shared" si="730"/>
        <v>80</v>
      </c>
      <c r="CQ237" s="683">
        <f t="shared" si="730"/>
        <v>80</v>
      </c>
      <c r="CR237" s="683">
        <f t="shared" si="730"/>
        <v>80</v>
      </c>
      <c r="CS237" s="683">
        <f t="shared" si="730"/>
        <v>40</v>
      </c>
      <c r="CT237" s="683">
        <f t="shared" si="730"/>
        <v>40</v>
      </c>
      <c r="CU237" s="683">
        <f t="shared" si="730"/>
        <v>0</v>
      </c>
      <c r="CV237" s="683">
        <f t="shared" si="730"/>
        <v>200</v>
      </c>
      <c r="CW237" s="683">
        <f t="shared" si="21"/>
        <v>840</v>
      </c>
      <c r="CX237" s="683">
        <f t="shared" ref="CX237:DG237" si="731">BN237*$CL237</f>
        <v>0</v>
      </c>
      <c r="CY237" s="683">
        <f t="shared" si="731"/>
        <v>0</v>
      </c>
      <c r="CZ237" s="683">
        <f t="shared" si="731"/>
        <v>0</v>
      </c>
      <c r="DA237" s="683">
        <f t="shared" si="731"/>
        <v>0</v>
      </c>
      <c r="DB237" s="683">
        <f t="shared" si="731"/>
        <v>0</v>
      </c>
      <c r="DC237" s="683">
        <f t="shared" si="731"/>
        <v>0</v>
      </c>
      <c r="DD237" s="683">
        <f t="shared" si="731"/>
        <v>0</v>
      </c>
      <c r="DE237" s="683">
        <f t="shared" si="731"/>
        <v>0</v>
      </c>
      <c r="DF237" s="683">
        <f t="shared" si="731"/>
        <v>0</v>
      </c>
      <c r="DG237" s="683">
        <f t="shared" si="731"/>
        <v>0</v>
      </c>
      <c r="DH237" s="683">
        <f t="shared" si="23"/>
        <v>0</v>
      </c>
      <c r="DI237" s="683">
        <f t="shared" ref="DI237:DR237" si="732">BY237*$CL237</f>
        <v>0</v>
      </c>
      <c r="DJ237" s="683">
        <f t="shared" si="732"/>
        <v>0</v>
      </c>
      <c r="DK237" s="683">
        <f t="shared" si="732"/>
        <v>0</v>
      </c>
      <c r="DL237" s="683">
        <f t="shared" si="732"/>
        <v>0</v>
      </c>
      <c r="DM237" s="683">
        <f t="shared" si="732"/>
        <v>0</v>
      </c>
      <c r="DN237" s="683">
        <f t="shared" si="732"/>
        <v>0</v>
      </c>
      <c r="DO237" s="683">
        <f t="shared" si="732"/>
        <v>0</v>
      </c>
      <c r="DP237" s="683">
        <f t="shared" si="732"/>
        <v>0</v>
      </c>
      <c r="DQ237" s="683">
        <f t="shared" si="732"/>
        <v>0</v>
      </c>
      <c r="DR237" s="683">
        <f t="shared" si="732"/>
        <v>0</v>
      </c>
      <c r="DS237" s="683">
        <f t="shared" si="25"/>
        <v>0</v>
      </c>
      <c r="DT237" s="683">
        <f t="shared" si="685"/>
        <v>840</v>
      </c>
      <c r="DU237" s="897"/>
      <c r="DV237" s="893" t="s">
        <v>3432</v>
      </c>
      <c r="DW237" s="894"/>
      <c r="DX237" s="894"/>
      <c r="DY237" s="894"/>
      <c r="DZ237" s="894"/>
      <c r="EA237" s="894"/>
      <c r="EB237" s="894"/>
      <c r="EC237" s="894"/>
      <c r="ED237" s="894"/>
      <c r="EE237" s="894"/>
      <c r="EF237" s="894"/>
      <c r="EG237" s="894"/>
      <c r="EH237" s="689">
        <f t="shared" si="733"/>
        <v>0</v>
      </c>
      <c r="EI237" s="690">
        <v>1.0</v>
      </c>
      <c r="EJ237" s="691"/>
      <c r="EK237" s="691"/>
    </row>
    <row r="238" ht="12.0" customHeight="1">
      <c r="A238" s="709" t="s">
        <v>3026</v>
      </c>
      <c r="B238" s="661">
        <v>2.0</v>
      </c>
      <c r="C238" s="567" t="s">
        <v>3027</v>
      </c>
      <c r="D238" s="568" t="s">
        <v>620</v>
      </c>
      <c r="E238" s="568" t="s">
        <v>2708</v>
      </c>
      <c r="F238" s="567" t="s">
        <v>1763</v>
      </c>
      <c r="G238" s="569" t="s">
        <v>2709</v>
      </c>
      <c r="H238" s="657" t="s">
        <v>3433</v>
      </c>
      <c r="I238" s="710" t="s">
        <v>2392</v>
      </c>
      <c r="J238" s="711" t="s">
        <v>1715</v>
      </c>
      <c r="K238" s="567" t="s">
        <v>25</v>
      </c>
      <c r="L238" s="567"/>
      <c r="M238" s="567"/>
      <c r="N238" s="567"/>
      <c r="O238" s="567"/>
      <c r="P238" s="567"/>
      <c r="Q238" s="567"/>
      <c r="R238" s="567"/>
      <c r="S238" s="567">
        <v>2024.0</v>
      </c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>
        <v>1.0</v>
      </c>
      <c r="AE238" s="567"/>
      <c r="AF238" s="567"/>
      <c r="AG238" s="567"/>
      <c r="AH238" s="567"/>
      <c r="AI238" s="567"/>
      <c r="AJ238" s="567"/>
      <c r="AK238" s="567"/>
      <c r="AL238" s="567"/>
      <c r="AM238" s="567"/>
      <c r="AN238" s="567"/>
      <c r="AO238" s="567"/>
      <c r="AP238" s="567"/>
      <c r="AQ238" s="567"/>
      <c r="AR238" s="567">
        <v>0.0</v>
      </c>
      <c r="AS238" s="567">
        <v>0.0</v>
      </c>
      <c r="AT238" s="567">
        <v>0.0</v>
      </c>
      <c r="AU238" s="567">
        <v>0.0</v>
      </c>
      <c r="AV238" s="567">
        <v>0.0</v>
      </c>
      <c r="AW238" s="567">
        <v>0.0</v>
      </c>
      <c r="AX238" s="567">
        <v>0.0</v>
      </c>
      <c r="AY238" s="567">
        <v>-2024.0</v>
      </c>
      <c r="AZ238" s="567">
        <v>0.0</v>
      </c>
      <c r="BA238" s="567">
        <v>0.0</v>
      </c>
      <c r="BB238" s="567"/>
      <c r="BC238" s="567"/>
      <c r="BD238" s="567"/>
      <c r="BE238" s="567"/>
      <c r="BF238" s="567"/>
      <c r="BG238" s="661">
        <v>8.0</v>
      </c>
      <c r="BH238" s="661">
        <v>8.0</v>
      </c>
      <c r="BI238" s="567"/>
      <c r="BJ238" s="567">
        <v>8.0</v>
      </c>
      <c r="BK238" s="567"/>
      <c r="BL238" s="725"/>
      <c r="BM238" s="665">
        <f t="shared" si="1"/>
        <v>24</v>
      </c>
      <c r="BN238" s="671"/>
      <c r="BO238" s="668"/>
      <c r="BP238" s="668"/>
      <c r="BQ238" s="668"/>
      <c r="BR238" s="668"/>
      <c r="BS238" s="668"/>
      <c r="BT238" s="668"/>
      <c r="BU238" s="668"/>
      <c r="BV238" s="668"/>
      <c r="BW238" s="670"/>
      <c r="BX238" s="665">
        <f t="shared" si="2"/>
        <v>0</v>
      </c>
      <c r="BY238" s="671">
        <v>0.0</v>
      </c>
      <c r="BZ238" s="668">
        <v>0.0</v>
      </c>
      <c r="CA238" s="668">
        <v>0.0</v>
      </c>
      <c r="CB238" s="668">
        <v>0.0</v>
      </c>
      <c r="CC238" s="668">
        <v>0.0</v>
      </c>
      <c r="CD238" s="668">
        <v>0.0</v>
      </c>
      <c r="CE238" s="668">
        <v>0.0</v>
      </c>
      <c r="CF238" s="668">
        <v>0.0</v>
      </c>
      <c r="CG238" s="668">
        <v>0.0</v>
      </c>
      <c r="CH238" s="670">
        <v>0.0</v>
      </c>
      <c r="CI238" s="665">
        <f t="shared" si="3"/>
        <v>0</v>
      </c>
      <c r="CJ238" s="671">
        <f t="shared" si="4"/>
        <v>24</v>
      </c>
      <c r="CK238" s="715">
        <v>2.31</v>
      </c>
      <c r="CL238" s="668">
        <f t="shared" ref="CL238:CL239" si="737">CK238*$CL$1</f>
        <v>16.0776</v>
      </c>
      <c r="CM238" s="668">
        <f t="shared" ref="CM238:CV238" si="734">BC238*$CL238</f>
        <v>0</v>
      </c>
      <c r="CN238" s="668">
        <f t="shared" si="734"/>
        <v>0</v>
      </c>
      <c r="CO238" s="668">
        <f t="shared" si="734"/>
        <v>0</v>
      </c>
      <c r="CP238" s="668">
        <f t="shared" si="734"/>
        <v>0</v>
      </c>
      <c r="CQ238" s="668">
        <f t="shared" si="734"/>
        <v>128.6208</v>
      </c>
      <c r="CR238" s="668">
        <f t="shared" si="734"/>
        <v>128.6208</v>
      </c>
      <c r="CS238" s="668">
        <f t="shared" si="734"/>
        <v>0</v>
      </c>
      <c r="CT238" s="668">
        <f t="shared" si="734"/>
        <v>128.6208</v>
      </c>
      <c r="CU238" s="668">
        <f t="shared" si="734"/>
        <v>0</v>
      </c>
      <c r="CV238" s="668">
        <f t="shared" si="734"/>
        <v>0</v>
      </c>
      <c r="CW238" s="668">
        <f t="shared" si="21"/>
        <v>385.8624</v>
      </c>
      <c r="CX238" s="668">
        <f t="shared" ref="CX238:DG238" si="735">BN238*$CL238</f>
        <v>0</v>
      </c>
      <c r="CY238" s="668">
        <f t="shared" si="735"/>
        <v>0</v>
      </c>
      <c r="CZ238" s="668">
        <f t="shared" si="735"/>
        <v>0</v>
      </c>
      <c r="DA238" s="668">
        <f t="shared" si="735"/>
        <v>0</v>
      </c>
      <c r="DB238" s="668">
        <f t="shared" si="735"/>
        <v>0</v>
      </c>
      <c r="DC238" s="668">
        <f t="shared" si="735"/>
        <v>0</v>
      </c>
      <c r="DD238" s="668">
        <f t="shared" si="735"/>
        <v>0</v>
      </c>
      <c r="DE238" s="668">
        <f t="shared" si="735"/>
        <v>0</v>
      </c>
      <c r="DF238" s="668">
        <f t="shared" si="735"/>
        <v>0</v>
      </c>
      <c r="DG238" s="668">
        <f t="shared" si="735"/>
        <v>0</v>
      </c>
      <c r="DH238" s="668">
        <f t="shared" si="23"/>
        <v>0</v>
      </c>
      <c r="DI238" s="668">
        <f t="shared" ref="DI238:DR238" si="736">BY238*$CL238</f>
        <v>0</v>
      </c>
      <c r="DJ238" s="668">
        <f t="shared" si="736"/>
        <v>0</v>
      </c>
      <c r="DK238" s="668">
        <f t="shared" si="736"/>
        <v>0</v>
      </c>
      <c r="DL238" s="668">
        <f t="shared" si="736"/>
        <v>0</v>
      </c>
      <c r="DM238" s="668">
        <f t="shared" si="736"/>
        <v>0</v>
      </c>
      <c r="DN238" s="668">
        <f t="shared" si="736"/>
        <v>0</v>
      </c>
      <c r="DO238" s="668">
        <f t="shared" si="736"/>
        <v>0</v>
      </c>
      <c r="DP238" s="668">
        <f t="shared" si="736"/>
        <v>0</v>
      </c>
      <c r="DQ238" s="668">
        <f t="shared" si="736"/>
        <v>0</v>
      </c>
      <c r="DR238" s="668">
        <f t="shared" si="736"/>
        <v>0</v>
      </c>
      <c r="DS238" s="668">
        <f t="shared" si="25"/>
        <v>0</v>
      </c>
      <c r="DT238" s="668">
        <f t="shared" si="685"/>
        <v>385.8624</v>
      </c>
      <c r="DU238" s="538"/>
      <c r="DV238" s="468"/>
      <c r="DW238" s="698"/>
      <c r="DX238" s="698"/>
      <c r="DY238" s="698"/>
      <c r="DZ238" s="698"/>
      <c r="EA238" s="698"/>
      <c r="EB238" s="698"/>
      <c r="EC238" s="698"/>
      <c r="ED238" s="698"/>
      <c r="EE238" s="698"/>
      <c r="EF238" s="698"/>
      <c r="EG238" s="698"/>
      <c r="EH238" s="576" t="s">
        <v>1715</v>
      </c>
      <c r="EI238" s="716">
        <f>VLOOKUP(I238,CotizacionTDB,4,FALSE())</f>
        <v>2.31</v>
      </c>
      <c r="EJ238" s="716">
        <f>VLOOKUP(I238,CotizacionTDB,5,FALSE())</f>
        <v>1.96</v>
      </c>
      <c r="EK238" s="699"/>
    </row>
    <row r="239" ht="12.0" customHeight="1">
      <c r="A239" s="700" t="s">
        <v>3026</v>
      </c>
      <c r="B239" s="701">
        <v>2.0</v>
      </c>
      <c r="C239" s="562" t="s">
        <v>3027</v>
      </c>
      <c r="D239" s="571" t="s">
        <v>620</v>
      </c>
      <c r="E239" s="571" t="s">
        <v>2708</v>
      </c>
      <c r="F239" s="562" t="s">
        <v>1763</v>
      </c>
      <c r="G239" s="569" t="s">
        <v>2709</v>
      </c>
      <c r="H239" s="737"/>
      <c r="I239" s="717" t="s">
        <v>2390</v>
      </c>
      <c r="J239" s="704" t="s">
        <v>1687</v>
      </c>
      <c r="K239" s="562" t="s">
        <v>25</v>
      </c>
      <c r="L239" s="562"/>
      <c r="M239" s="562"/>
      <c r="N239" s="562"/>
      <c r="O239" s="562"/>
      <c r="P239" s="562"/>
      <c r="Q239" s="562"/>
      <c r="R239" s="562">
        <v>2024.0</v>
      </c>
      <c r="S239" s="562"/>
      <c r="T239" s="562">
        <v>2024.0</v>
      </c>
      <c r="U239" s="562"/>
      <c r="V239" s="562"/>
      <c r="W239" s="562"/>
      <c r="X239" s="562"/>
      <c r="Y239" s="562"/>
      <c r="Z239" s="562"/>
      <c r="AA239" s="562"/>
      <c r="AB239" s="562"/>
      <c r="AC239" s="562">
        <v>1.0</v>
      </c>
      <c r="AD239" s="562"/>
      <c r="AE239" s="562">
        <v>1.0</v>
      </c>
      <c r="AF239" s="562"/>
      <c r="AG239" s="562"/>
      <c r="AH239" s="562"/>
      <c r="AI239" s="562"/>
      <c r="AJ239" s="562"/>
      <c r="AK239" s="562"/>
      <c r="AL239" s="562"/>
      <c r="AM239" s="562"/>
      <c r="AN239" s="562"/>
      <c r="AO239" s="562"/>
      <c r="AP239" s="562"/>
      <c r="AQ239" s="562"/>
      <c r="AR239" s="562">
        <v>0.0</v>
      </c>
      <c r="AS239" s="562">
        <v>0.0</v>
      </c>
      <c r="AT239" s="562">
        <v>0.0</v>
      </c>
      <c r="AU239" s="562">
        <v>0.0</v>
      </c>
      <c r="AV239" s="562">
        <v>0.0</v>
      </c>
      <c r="AW239" s="562">
        <v>0.0</v>
      </c>
      <c r="AX239" s="562">
        <v>-2024.0</v>
      </c>
      <c r="AY239" s="562">
        <v>0.0</v>
      </c>
      <c r="AZ239" s="562">
        <v>-2024.0</v>
      </c>
      <c r="BA239" s="562">
        <v>0.0</v>
      </c>
      <c r="BB239" s="562"/>
      <c r="BC239" s="562"/>
      <c r="BD239" s="562"/>
      <c r="BE239" s="562"/>
      <c r="BF239" s="562"/>
      <c r="BG239" s="562"/>
      <c r="BH239" s="562"/>
      <c r="BI239" s="562">
        <v>8.0</v>
      </c>
      <c r="BJ239" s="562"/>
      <c r="BK239" s="562">
        <v>8.0</v>
      </c>
      <c r="BL239" s="681"/>
      <c r="BM239" s="665">
        <f t="shared" si="1"/>
        <v>16</v>
      </c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6"/>
      <c r="BX239" s="665">
        <f t="shared" si="2"/>
        <v>0</v>
      </c>
      <c r="BY239" s="682">
        <v>0.0</v>
      </c>
      <c r="BZ239" s="683">
        <v>0.0</v>
      </c>
      <c r="CA239" s="683">
        <v>0.0</v>
      </c>
      <c r="CB239" s="683">
        <v>0.0</v>
      </c>
      <c r="CC239" s="683">
        <v>0.0</v>
      </c>
      <c r="CD239" s="683">
        <v>0.0</v>
      </c>
      <c r="CE239" s="683">
        <v>0.0</v>
      </c>
      <c r="CF239" s="683">
        <v>0.0</v>
      </c>
      <c r="CG239" s="683">
        <v>0.0</v>
      </c>
      <c r="CH239" s="686">
        <v>0.0</v>
      </c>
      <c r="CI239" s="665">
        <f t="shared" si="3"/>
        <v>0</v>
      </c>
      <c r="CJ239" s="682">
        <f t="shared" si="4"/>
        <v>16</v>
      </c>
      <c r="CK239" s="706">
        <v>2.46</v>
      </c>
      <c r="CL239" s="683">
        <f t="shared" si="737"/>
        <v>17.1216</v>
      </c>
      <c r="CM239" s="683">
        <f t="shared" ref="CM239:CV239" si="738">BC239*$CL239</f>
        <v>0</v>
      </c>
      <c r="CN239" s="683">
        <f t="shared" si="738"/>
        <v>0</v>
      </c>
      <c r="CO239" s="683">
        <f t="shared" si="738"/>
        <v>0</v>
      </c>
      <c r="CP239" s="683">
        <f t="shared" si="738"/>
        <v>0</v>
      </c>
      <c r="CQ239" s="683">
        <f t="shared" si="738"/>
        <v>0</v>
      </c>
      <c r="CR239" s="683">
        <f t="shared" si="738"/>
        <v>0</v>
      </c>
      <c r="CS239" s="683">
        <f t="shared" si="738"/>
        <v>136.9728</v>
      </c>
      <c r="CT239" s="683">
        <f t="shared" si="738"/>
        <v>0</v>
      </c>
      <c r="CU239" s="683">
        <f t="shared" si="738"/>
        <v>136.9728</v>
      </c>
      <c r="CV239" s="683">
        <f t="shared" si="738"/>
        <v>0</v>
      </c>
      <c r="CW239" s="683">
        <f t="shared" si="21"/>
        <v>273.9456</v>
      </c>
      <c r="CX239" s="683">
        <f t="shared" ref="CX239:DG239" si="739">BN239*$CL239</f>
        <v>0</v>
      </c>
      <c r="CY239" s="683">
        <f t="shared" si="739"/>
        <v>0</v>
      </c>
      <c r="CZ239" s="683">
        <f t="shared" si="739"/>
        <v>0</v>
      </c>
      <c r="DA239" s="683">
        <f t="shared" si="739"/>
        <v>0</v>
      </c>
      <c r="DB239" s="683">
        <f t="shared" si="739"/>
        <v>0</v>
      </c>
      <c r="DC239" s="683">
        <f t="shared" si="739"/>
        <v>0</v>
      </c>
      <c r="DD239" s="683">
        <f t="shared" si="739"/>
        <v>0</v>
      </c>
      <c r="DE239" s="683">
        <f t="shared" si="739"/>
        <v>0</v>
      </c>
      <c r="DF239" s="683">
        <f t="shared" si="739"/>
        <v>0</v>
      </c>
      <c r="DG239" s="683">
        <f t="shared" si="739"/>
        <v>0</v>
      </c>
      <c r="DH239" s="683">
        <f t="shared" si="23"/>
        <v>0</v>
      </c>
      <c r="DI239" s="683">
        <f t="shared" ref="DI239:DR239" si="740">BY239*$CL239</f>
        <v>0</v>
      </c>
      <c r="DJ239" s="683">
        <f t="shared" si="740"/>
        <v>0</v>
      </c>
      <c r="DK239" s="683">
        <f t="shared" si="740"/>
        <v>0</v>
      </c>
      <c r="DL239" s="683">
        <f t="shared" si="740"/>
        <v>0</v>
      </c>
      <c r="DM239" s="683">
        <f t="shared" si="740"/>
        <v>0</v>
      </c>
      <c r="DN239" s="683">
        <f t="shared" si="740"/>
        <v>0</v>
      </c>
      <c r="DO239" s="683">
        <f t="shared" si="740"/>
        <v>0</v>
      </c>
      <c r="DP239" s="683">
        <f t="shared" si="740"/>
        <v>0</v>
      </c>
      <c r="DQ239" s="683">
        <f t="shared" si="740"/>
        <v>0</v>
      </c>
      <c r="DR239" s="683">
        <f t="shared" si="740"/>
        <v>0</v>
      </c>
      <c r="DS239" s="683">
        <f t="shared" si="25"/>
        <v>0</v>
      </c>
      <c r="DT239" s="683">
        <f t="shared" si="685"/>
        <v>273.9456</v>
      </c>
      <c r="DU239" s="504"/>
      <c r="DV239" s="486"/>
      <c r="DW239" s="688"/>
      <c r="DX239" s="688"/>
      <c r="DY239" s="688"/>
      <c r="DZ239" s="688"/>
      <c r="EA239" s="688"/>
      <c r="EB239" s="688"/>
      <c r="EC239" s="688"/>
      <c r="ED239" s="688"/>
      <c r="EE239" s="688"/>
      <c r="EF239" s="688"/>
      <c r="EG239" s="688"/>
      <c r="EH239" s="707" t="s">
        <v>1687</v>
      </c>
      <c r="EI239" s="708">
        <f>VLOOKUP(I239,CotizacionTDB,4,FALSE())</f>
        <v>2.46</v>
      </c>
      <c r="EJ239" s="708">
        <f>VLOOKUP(I239,CotizacionTDB,5,FALSE())</f>
        <v>2.09</v>
      </c>
      <c r="EK239" s="691"/>
    </row>
    <row r="240" ht="12.0" customHeight="1">
      <c r="A240" s="709" t="s">
        <v>3026</v>
      </c>
      <c r="B240" s="661">
        <v>40.0</v>
      </c>
      <c r="C240" s="567" t="s">
        <v>3027</v>
      </c>
      <c r="D240" s="567" t="s">
        <v>620</v>
      </c>
      <c r="E240" s="567" t="s">
        <v>2708</v>
      </c>
      <c r="F240" s="567" t="s">
        <v>1774</v>
      </c>
      <c r="G240" s="692" t="s">
        <v>2709</v>
      </c>
      <c r="H240" s="890" t="s">
        <v>3421</v>
      </c>
      <c r="I240" s="567"/>
      <c r="J240" s="568" t="s">
        <v>3434</v>
      </c>
      <c r="K240" s="567" t="s">
        <v>25</v>
      </c>
      <c r="L240" s="567"/>
      <c r="M240" s="567"/>
      <c r="N240" s="567"/>
      <c r="O240" s="567"/>
      <c r="P240" s="567"/>
      <c r="Q240" s="567"/>
      <c r="R240" s="567"/>
      <c r="S240" s="567"/>
      <c r="T240" s="567"/>
      <c r="U240" s="662">
        <v>2024.0</v>
      </c>
      <c r="V240" s="662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>
        <v>6.0</v>
      </c>
      <c r="AG240" s="662"/>
      <c r="AH240" s="567"/>
      <c r="AI240" s="567"/>
      <c r="AJ240" s="567"/>
      <c r="AK240" s="567"/>
      <c r="AL240" s="567"/>
      <c r="AM240" s="567"/>
      <c r="AN240" s="567"/>
      <c r="AO240" s="567"/>
      <c r="AP240" s="567"/>
      <c r="AQ240" s="567"/>
      <c r="AR240" s="567">
        <v>0.0</v>
      </c>
      <c r="AS240" s="567">
        <v>0.0</v>
      </c>
      <c r="AT240" s="567">
        <v>0.0</v>
      </c>
      <c r="AU240" s="567">
        <v>0.0</v>
      </c>
      <c r="AV240" s="567">
        <v>0.0</v>
      </c>
      <c r="AW240" s="567">
        <v>0.0</v>
      </c>
      <c r="AX240" s="567">
        <v>0.0</v>
      </c>
      <c r="AY240" s="567">
        <v>0.0</v>
      </c>
      <c r="AZ240" s="567">
        <v>0.0</v>
      </c>
      <c r="BA240" s="567">
        <v>-2024.0</v>
      </c>
      <c r="BB240" s="567"/>
      <c r="BC240" s="567"/>
      <c r="BD240" s="567"/>
      <c r="BE240" s="567"/>
      <c r="BF240" s="567"/>
      <c r="BG240" s="567"/>
      <c r="BH240" s="567"/>
      <c r="BI240" s="567"/>
      <c r="BJ240" s="567"/>
      <c r="BK240" s="567"/>
      <c r="BL240" s="725">
        <v>2.0</v>
      </c>
      <c r="BM240" s="665">
        <f t="shared" si="1"/>
        <v>2</v>
      </c>
      <c r="BN240" s="668"/>
      <c r="BO240" s="668"/>
      <c r="BP240" s="668"/>
      <c r="BQ240" s="668"/>
      <c r="BR240" s="668"/>
      <c r="BS240" s="668"/>
      <c r="BT240" s="668"/>
      <c r="BU240" s="668"/>
      <c r="BV240" s="668"/>
      <c r="BW240" s="670"/>
      <c r="BX240" s="665">
        <f t="shared" si="2"/>
        <v>0</v>
      </c>
      <c r="BY240" s="671">
        <v>0.0</v>
      </c>
      <c r="BZ240" s="668">
        <v>0.0</v>
      </c>
      <c r="CA240" s="668">
        <v>0.0</v>
      </c>
      <c r="CB240" s="668">
        <v>0.0</v>
      </c>
      <c r="CC240" s="668">
        <v>0.0</v>
      </c>
      <c r="CD240" s="668">
        <v>0.0</v>
      </c>
      <c r="CE240" s="668">
        <v>0.0</v>
      </c>
      <c r="CF240" s="668">
        <v>0.0</v>
      </c>
      <c r="CG240" s="668">
        <v>0.0</v>
      </c>
      <c r="CH240" s="670">
        <v>0.0</v>
      </c>
      <c r="CI240" s="665">
        <f t="shared" si="3"/>
        <v>0</v>
      </c>
      <c r="CJ240" s="671">
        <f t="shared" si="4"/>
        <v>2</v>
      </c>
      <c r="CK240" s="674"/>
      <c r="CL240" s="891">
        <v>72.0</v>
      </c>
      <c r="CM240" s="668">
        <f t="shared" ref="CM240:CV240" si="741">BC240*$CL240</f>
        <v>0</v>
      </c>
      <c r="CN240" s="668">
        <f t="shared" si="741"/>
        <v>0</v>
      </c>
      <c r="CO240" s="668">
        <f t="shared" si="741"/>
        <v>0</v>
      </c>
      <c r="CP240" s="668">
        <f t="shared" si="741"/>
        <v>0</v>
      </c>
      <c r="CQ240" s="668">
        <f t="shared" si="741"/>
        <v>0</v>
      </c>
      <c r="CR240" s="668">
        <f t="shared" si="741"/>
        <v>0</v>
      </c>
      <c r="CS240" s="668">
        <f t="shared" si="741"/>
        <v>0</v>
      </c>
      <c r="CT240" s="668">
        <f t="shared" si="741"/>
        <v>0</v>
      </c>
      <c r="CU240" s="668">
        <f t="shared" si="741"/>
        <v>0</v>
      </c>
      <c r="CV240" s="668">
        <f t="shared" si="741"/>
        <v>144</v>
      </c>
      <c r="CW240" s="668">
        <f t="shared" si="21"/>
        <v>144</v>
      </c>
      <c r="CX240" s="668">
        <f t="shared" ref="CX240:DG240" si="742">BN240*$CL240</f>
        <v>0</v>
      </c>
      <c r="CY240" s="668">
        <f t="shared" si="742"/>
        <v>0</v>
      </c>
      <c r="CZ240" s="668">
        <f t="shared" si="742"/>
        <v>0</v>
      </c>
      <c r="DA240" s="668">
        <f t="shared" si="742"/>
        <v>0</v>
      </c>
      <c r="DB240" s="668">
        <f t="shared" si="742"/>
        <v>0</v>
      </c>
      <c r="DC240" s="668">
        <f t="shared" si="742"/>
        <v>0</v>
      </c>
      <c r="DD240" s="668">
        <f t="shared" si="742"/>
        <v>0</v>
      </c>
      <c r="DE240" s="668">
        <f t="shared" si="742"/>
        <v>0</v>
      </c>
      <c r="DF240" s="668">
        <f t="shared" si="742"/>
        <v>0</v>
      </c>
      <c r="DG240" s="668">
        <f t="shared" si="742"/>
        <v>0</v>
      </c>
      <c r="DH240" s="668">
        <f t="shared" si="23"/>
        <v>0</v>
      </c>
      <c r="DI240" s="668">
        <f t="shared" ref="DI240:DR240" si="743">BY240*$CL240</f>
        <v>0</v>
      </c>
      <c r="DJ240" s="668">
        <f t="shared" si="743"/>
        <v>0</v>
      </c>
      <c r="DK240" s="668">
        <f t="shared" si="743"/>
        <v>0</v>
      </c>
      <c r="DL240" s="668">
        <f t="shared" si="743"/>
        <v>0</v>
      </c>
      <c r="DM240" s="668">
        <f t="shared" si="743"/>
        <v>0</v>
      </c>
      <c r="DN240" s="668">
        <f t="shared" si="743"/>
        <v>0</v>
      </c>
      <c r="DO240" s="668">
        <f t="shared" si="743"/>
        <v>0</v>
      </c>
      <c r="DP240" s="668">
        <f t="shared" si="743"/>
        <v>0</v>
      </c>
      <c r="DQ240" s="668">
        <f t="shared" si="743"/>
        <v>0</v>
      </c>
      <c r="DR240" s="668">
        <f t="shared" si="743"/>
        <v>0</v>
      </c>
      <c r="DS240" s="668">
        <f t="shared" si="25"/>
        <v>0</v>
      </c>
      <c r="DT240" s="668">
        <f t="shared" si="685"/>
        <v>144</v>
      </c>
      <c r="DU240" s="892" t="s">
        <v>3435</v>
      </c>
      <c r="DV240" s="893" t="s">
        <v>3436</v>
      </c>
      <c r="DW240" s="898"/>
      <c r="DX240" s="893"/>
      <c r="DY240" s="893"/>
      <c r="DZ240" s="894"/>
      <c r="EA240" s="894"/>
      <c r="EB240" s="894"/>
      <c r="EC240" s="894"/>
      <c r="ED240" s="894"/>
      <c r="EE240" s="894"/>
      <c r="EF240" s="894"/>
      <c r="EG240" s="894"/>
      <c r="EH240" s="677">
        <f t="shared" ref="EH240:EH242" si="747">CK240*6.97</f>
        <v>0</v>
      </c>
      <c r="EI240" s="678">
        <v>1.0</v>
      </c>
      <c r="EJ240" s="699"/>
      <c r="EK240" s="699"/>
    </row>
    <row r="241" ht="12.0" customHeight="1">
      <c r="A241" s="700" t="s">
        <v>3026</v>
      </c>
      <c r="B241" s="701">
        <v>40.0</v>
      </c>
      <c r="C241" s="562" t="s">
        <v>3027</v>
      </c>
      <c r="D241" s="562" t="s">
        <v>620</v>
      </c>
      <c r="E241" s="562" t="s">
        <v>2708</v>
      </c>
      <c r="F241" s="562" t="s">
        <v>1774</v>
      </c>
      <c r="G241" s="848" t="s">
        <v>2709</v>
      </c>
      <c r="H241" s="890" t="s">
        <v>3408</v>
      </c>
      <c r="I241" s="562"/>
      <c r="J241" s="571" t="s">
        <v>3437</v>
      </c>
      <c r="K241" s="562" t="s">
        <v>25</v>
      </c>
      <c r="L241" s="562"/>
      <c r="M241" s="562"/>
      <c r="N241" s="562"/>
      <c r="O241" s="562"/>
      <c r="P241" s="562"/>
      <c r="Q241" s="562"/>
      <c r="R241" s="562"/>
      <c r="S241" s="562"/>
      <c r="T241" s="562"/>
      <c r="U241" s="821">
        <v>2024.0</v>
      </c>
      <c r="V241" s="821"/>
      <c r="W241" s="562"/>
      <c r="X241" s="562"/>
      <c r="Y241" s="562"/>
      <c r="Z241" s="562"/>
      <c r="AA241" s="562"/>
      <c r="AB241" s="562"/>
      <c r="AC241" s="562"/>
      <c r="AD241" s="562"/>
      <c r="AE241" s="562"/>
      <c r="AF241" s="562">
        <v>6.0</v>
      </c>
      <c r="AG241" s="821"/>
      <c r="AH241" s="562"/>
      <c r="AI241" s="562"/>
      <c r="AJ241" s="562"/>
      <c r="AK241" s="562"/>
      <c r="AL241" s="562"/>
      <c r="AM241" s="562"/>
      <c r="AN241" s="562"/>
      <c r="AO241" s="562"/>
      <c r="AP241" s="562"/>
      <c r="AQ241" s="562"/>
      <c r="AR241" s="562">
        <v>0.0</v>
      </c>
      <c r="AS241" s="562">
        <v>0.0</v>
      </c>
      <c r="AT241" s="562">
        <v>0.0</v>
      </c>
      <c r="AU241" s="562">
        <v>0.0</v>
      </c>
      <c r="AV241" s="562">
        <v>0.0</v>
      </c>
      <c r="AW241" s="562">
        <v>0.0</v>
      </c>
      <c r="AX241" s="562">
        <v>0.0</v>
      </c>
      <c r="AY241" s="562">
        <v>0.0</v>
      </c>
      <c r="AZ241" s="562">
        <v>0.0</v>
      </c>
      <c r="BA241" s="562">
        <v>-2024.0</v>
      </c>
      <c r="BB241" s="562"/>
      <c r="BC241" s="562"/>
      <c r="BD241" s="562"/>
      <c r="BE241" s="562"/>
      <c r="BF241" s="562"/>
      <c r="BG241" s="562"/>
      <c r="BH241" s="562"/>
      <c r="BI241" s="562"/>
      <c r="BJ241" s="562"/>
      <c r="BK241" s="562"/>
      <c r="BL241" s="681">
        <v>2.0</v>
      </c>
      <c r="BM241" s="665">
        <f t="shared" si="1"/>
        <v>2</v>
      </c>
      <c r="BN241" s="682"/>
      <c r="BO241" s="683"/>
      <c r="BP241" s="683"/>
      <c r="BQ241" s="683"/>
      <c r="BR241" s="683"/>
      <c r="BS241" s="683"/>
      <c r="BT241" s="683"/>
      <c r="BU241" s="683"/>
      <c r="BV241" s="683"/>
      <c r="BW241" s="686"/>
      <c r="BX241" s="665">
        <f t="shared" si="2"/>
        <v>0</v>
      </c>
      <c r="BY241" s="682">
        <v>0.0</v>
      </c>
      <c r="BZ241" s="683">
        <v>0.0</v>
      </c>
      <c r="CA241" s="683">
        <v>0.0</v>
      </c>
      <c r="CB241" s="683">
        <v>0.0</v>
      </c>
      <c r="CC241" s="683">
        <v>0.0</v>
      </c>
      <c r="CD241" s="683">
        <v>0.0</v>
      </c>
      <c r="CE241" s="683">
        <v>0.0</v>
      </c>
      <c r="CF241" s="683">
        <v>0.0</v>
      </c>
      <c r="CG241" s="683">
        <v>0.0</v>
      </c>
      <c r="CH241" s="686">
        <v>0.0</v>
      </c>
      <c r="CI241" s="665">
        <f t="shared" si="3"/>
        <v>0</v>
      </c>
      <c r="CJ241" s="682">
        <f t="shared" si="4"/>
        <v>2</v>
      </c>
      <c r="CK241" s="687"/>
      <c r="CL241" s="899">
        <v>69.0</v>
      </c>
      <c r="CM241" s="683">
        <f t="shared" ref="CM241:CV241" si="744">BC241*$CL241</f>
        <v>0</v>
      </c>
      <c r="CN241" s="683">
        <f t="shared" si="744"/>
        <v>0</v>
      </c>
      <c r="CO241" s="683">
        <f t="shared" si="744"/>
        <v>0</v>
      </c>
      <c r="CP241" s="683">
        <f t="shared" si="744"/>
        <v>0</v>
      </c>
      <c r="CQ241" s="683">
        <f t="shared" si="744"/>
        <v>0</v>
      </c>
      <c r="CR241" s="683">
        <f t="shared" si="744"/>
        <v>0</v>
      </c>
      <c r="CS241" s="683">
        <f t="shared" si="744"/>
        <v>0</v>
      </c>
      <c r="CT241" s="683">
        <f t="shared" si="744"/>
        <v>0</v>
      </c>
      <c r="CU241" s="683">
        <f t="shared" si="744"/>
        <v>0</v>
      </c>
      <c r="CV241" s="683">
        <f t="shared" si="744"/>
        <v>138</v>
      </c>
      <c r="CW241" s="683">
        <f t="shared" si="21"/>
        <v>138</v>
      </c>
      <c r="CX241" s="683">
        <f t="shared" ref="CX241:DG241" si="745">BN241*$CL241</f>
        <v>0</v>
      </c>
      <c r="CY241" s="683">
        <f t="shared" si="745"/>
        <v>0</v>
      </c>
      <c r="CZ241" s="683">
        <f t="shared" si="745"/>
        <v>0</v>
      </c>
      <c r="DA241" s="683">
        <f t="shared" si="745"/>
        <v>0</v>
      </c>
      <c r="DB241" s="683">
        <f t="shared" si="745"/>
        <v>0</v>
      </c>
      <c r="DC241" s="683">
        <f t="shared" si="745"/>
        <v>0</v>
      </c>
      <c r="DD241" s="683">
        <f t="shared" si="745"/>
        <v>0</v>
      </c>
      <c r="DE241" s="683">
        <f t="shared" si="745"/>
        <v>0</v>
      </c>
      <c r="DF241" s="683">
        <f t="shared" si="745"/>
        <v>0</v>
      </c>
      <c r="DG241" s="683">
        <f t="shared" si="745"/>
        <v>0</v>
      </c>
      <c r="DH241" s="683">
        <f t="shared" si="23"/>
        <v>0</v>
      </c>
      <c r="DI241" s="683">
        <f t="shared" ref="DI241:DR241" si="746">BY241*$CL241</f>
        <v>0</v>
      </c>
      <c r="DJ241" s="683">
        <f t="shared" si="746"/>
        <v>0</v>
      </c>
      <c r="DK241" s="683">
        <f t="shared" si="746"/>
        <v>0</v>
      </c>
      <c r="DL241" s="683">
        <f t="shared" si="746"/>
        <v>0</v>
      </c>
      <c r="DM241" s="683">
        <f t="shared" si="746"/>
        <v>0</v>
      </c>
      <c r="DN241" s="683">
        <f t="shared" si="746"/>
        <v>0</v>
      </c>
      <c r="DO241" s="683">
        <f t="shared" si="746"/>
        <v>0</v>
      </c>
      <c r="DP241" s="683">
        <f t="shared" si="746"/>
        <v>0</v>
      </c>
      <c r="DQ241" s="683">
        <f t="shared" si="746"/>
        <v>0</v>
      </c>
      <c r="DR241" s="683">
        <f t="shared" si="746"/>
        <v>0</v>
      </c>
      <c r="DS241" s="683">
        <f t="shared" si="25"/>
        <v>0</v>
      </c>
      <c r="DT241" s="683">
        <f t="shared" si="685"/>
        <v>138</v>
      </c>
      <c r="DU241" s="897"/>
      <c r="DV241" s="893" t="s">
        <v>3438</v>
      </c>
      <c r="DW241" s="894"/>
      <c r="DX241" s="894"/>
      <c r="DY241" s="894"/>
      <c r="DZ241" s="894"/>
      <c r="EA241" s="894"/>
      <c r="EB241" s="894"/>
      <c r="EC241" s="894"/>
      <c r="ED241" s="894"/>
      <c r="EE241" s="894"/>
      <c r="EF241" s="894"/>
      <c r="EG241" s="894"/>
      <c r="EH241" s="689">
        <f t="shared" si="747"/>
        <v>0</v>
      </c>
      <c r="EI241" s="690">
        <v>1.0</v>
      </c>
      <c r="EJ241" s="691"/>
      <c r="EK241" s="691"/>
    </row>
    <row r="242" ht="12.0" customHeight="1">
      <c r="A242" s="709" t="s">
        <v>3026</v>
      </c>
      <c r="B242" s="567"/>
      <c r="C242" s="567" t="s">
        <v>3027</v>
      </c>
      <c r="D242" s="568" t="s">
        <v>620</v>
      </c>
      <c r="E242" s="568" t="s">
        <v>2708</v>
      </c>
      <c r="F242" s="661" t="s">
        <v>1774</v>
      </c>
      <c r="G242" s="657" t="s">
        <v>2723</v>
      </c>
      <c r="H242" s="658"/>
      <c r="I242" s="567"/>
      <c r="J242" s="900" t="s">
        <v>3439</v>
      </c>
      <c r="K242" s="567" t="s">
        <v>25</v>
      </c>
      <c r="L242" s="567"/>
      <c r="M242" s="567"/>
      <c r="N242" s="567"/>
      <c r="O242" s="567"/>
      <c r="P242" s="567"/>
      <c r="Q242" s="567">
        <v>2024.0</v>
      </c>
      <c r="R242" s="567"/>
      <c r="S242" s="567"/>
      <c r="T242" s="567"/>
      <c r="U242" s="567"/>
      <c r="V242" s="567"/>
      <c r="W242" s="567">
        <v>3.0</v>
      </c>
      <c r="X242" s="567"/>
      <c r="Y242" s="567"/>
      <c r="Z242" s="567"/>
      <c r="AA242" s="567"/>
      <c r="AB242" s="567">
        <v>5.0</v>
      </c>
      <c r="AC242" s="567"/>
      <c r="AD242" s="567"/>
      <c r="AE242" s="567"/>
      <c r="AF242" s="567"/>
      <c r="AG242" s="567"/>
      <c r="AH242" s="567"/>
      <c r="AI242" s="567"/>
      <c r="AJ242" s="567"/>
      <c r="AK242" s="567"/>
      <c r="AL242" s="567"/>
      <c r="AM242" s="567"/>
      <c r="AN242" s="567"/>
      <c r="AO242" s="567"/>
      <c r="AP242" s="567"/>
      <c r="AQ242" s="567"/>
      <c r="AR242" s="567">
        <v>0.0</v>
      </c>
      <c r="AS242" s="567">
        <v>0.0</v>
      </c>
      <c r="AT242" s="567">
        <v>0.0</v>
      </c>
      <c r="AU242" s="567">
        <v>0.0</v>
      </c>
      <c r="AV242" s="567">
        <v>0.0</v>
      </c>
      <c r="AW242" s="567">
        <v>-2024.0</v>
      </c>
      <c r="AX242" s="567">
        <v>0.0</v>
      </c>
      <c r="AY242" s="567">
        <v>0.0</v>
      </c>
      <c r="AZ242" s="567">
        <v>0.0</v>
      </c>
      <c r="BA242" s="567">
        <v>0.0</v>
      </c>
      <c r="BB242" s="567"/>
      <c r="BC242" s="567"/>
      <c r="BD242" s="567"/>
      <c r="BE242" s="567"/>
      <c r="BF242" s="567"/>
      <c r="BG242" s="567"/>
      <c r="BH242" s="498"/>
      <c r="BI242" s="567"/>
      <c r="BJ242" s="567"/>
      <c r="BK242" s="567"/>
      <c r="BL242" s="725"/>
      <c r="BM242" s="665">
        <f t="shared" si="1"/>
        <v>0</v>
      </c>
      <c r="BN242" s="671"/>
      <c r="BO242" s="668"/>
      <c r="BP242" s="668"/>
      <c r="BQ242" s="668"/>
      <c r="BR242" s="668"/>
      <c r="BS242" s="806">
        <v>1.0</v>
      </c>
      <c r="BT242" s="668"/>
      <c r="BU242" s="668"/>
      <c r="BV242" s="668"/>
      <c r="BW242" s="670"/>
      <c r="BX242" s="665">
        <f t="shared" si="2"/>
        <v>1</v>
      </c>
      <c r="BY242" s="671">
        <v>0.0</v>
      </c>
      <c r="BZ242" s="668">
        <v>0.0</v>
      </c>
      <c r="CA242" s="668">
        <v>0.0</v>
      </c>
      <c r="CB242" s="668">
        <v>0.0</v>
      </c>
      <c r="CC242" s="668">
        <v>0.0</v>
      </c>
      <c r="CD242" s="668">
        <v>0.0</v>
      </c>
      <c r="CE242" s="668">
        <v>0.0</v>
      </c>
      <c r="CF242" s="668">
        <v>0.0</v>
      </c>
      <c r="CG242" s="668">
        <v>0.0</v>
      </c>
      <c r="CH242" s="670">
        <v>0.0</v>
      </c>
      <c r="CI242" s="665">
        <f t="shared" si="3"/>
        <v>0</v>
      </c>
      <c r="CJ242" s="671">
        <f t="shared" si="4"/>
        <v>1</v>
      </c>
      <c r="CK242" s="674"/>
      <c r="CL242" s="668">
        <v>0.0</v>
      </c>
      <c r="CM242" s="668">
        <f t="shared" ref="CM242:CV242" si="748">BC242*$CL242</f>
        <v>0</v>
      </c>
      <c r="CN242" s="668">
        <f t="shared" si="748"/>
        <v>0</v>
      </c>
      <c r="CO242" s="668">
        <f t="shared" si="748"/>
        <v>0</v>
      </c>
      <c r="CP242" s="668">
        <f t="shared" si="748"/>
        <v>0</v>
      </c>
      <c r="CQ242" s="668">
        <f t="shared" si="748"/>
        <v>0</v>
      </c>
      <c r="CR242" s="668">
        <f t="shared" si="748"/>
        <v>0</v>
      </c>
      <c r="CS242" s="668">
        <f t="shared" si="748"/>
        <v>0</v>
      </c>
      <c r="CT242" s="668">
        <f t="shared" si="748"/>
        <v>0</v>
      </c>
      <c r="CU242" s="668">
        <f t="shared" si="748"/>
        <v>0</v>
      </c>
      <c r="CV242" s="668">
        <f t="shared" si="748"/>
        <v>0</v>
      </c>
      <c r="CW242" s="668">
        <f t="shared" si="21"/>
        <v>0</v>
      </c>
      <c r="CX242" s="668">
        <f t="shared" ref="CX242:DG242" si="749">BN242*$CL242</f>
        <v>0</v>
      </c>
      <c r="CY242" s="668">
        <f t="shared" si="749"/>
        <v>0</v>
      </c>
      <c r="CZ242" s="668">
        <f t="shared" si="749"/>
        <v>0</v>
      </c>
      <c r="DA242" s="668">
        <f t="shared" si="749"/>
        <v>0</v>
      </c>
      <c r="DB242" s="668">
        <f t="shared" si="749"/>
        <v>0</v>
      </c>
      <c r="DC242" s="668">
        <f t="shared" si="749"/>
        <v>0</v>
      </c>
      <c r="DD242" s="668">
        <f t="shared" si="749"/>
        <v>0</v>
      </c>
      <c r="DE242" s="668">
        <f t="shared" si="749"/>
        <v>0</v>
      </c>
      <c r="DF242" s="668">
        <f t="shared" si="749"/>
        <v>0</v>
      </c>
      <c r="DG242" s="668">
        <f t="shared" si="749"/>
        <v>0</v>
      </c>
      <c r="DH242" s="668">
        <f t="shared" si="23"/>
        <v>0</v>
      </c>
      <c r="DI242" s="668">
        <f t="shared" ref="DI242:DR242" si="750">BY242*$CL242</f>
        <v>0</v>
      </c>
      <c r="DJ242" s="668">
        <f t="shared" si="750"/>
        <v>0</v>
      </c>
      <c r="DK242" s="668">
        <f t="shared" si="750"/>
        <v>0</v>
      </c>
      <c r="DL242" s="668">
        <f t="shared" si="750"/>
        <v>0</v>
      </c>
      <c r="DM242" s="668">
        <f t="shared" si="750"/>
        <v>0</v>
      </c>
      <c r="DN242" s="668">
        <f t="shared" si="750"/>
        <v>0</v>
      </c>
      <c r="DO242" s="668">
        <f t="shared" si="750"/>
        <v>0</v>
      </c>
      <c r="DP242" s="668">
        <f t="shared" si="750"/>
        <v>0</v>
      </c>
      <c r="DQ242" s="668">
        <f t="shared" si="750"/>
        <v>0</v>
      </c>
      <c r="DR242" s="668">
        <f t="shared" si="750"/>
        <v>0</v>
      </c>
      <c r="DS242" s="668">
        <f t="shared" si="25"/>
        <v>0</v>
      </c>
      <c r="DT242" s="668">
        <f t="shared" si="685"/>
        <v>0</v>
      </c>
      <c r="DU242" s="792"/>
      <c r="DV242" s="675" t="s">
        <v>3440</v>
      </c>
      <c r="DW242" s="676"/>
      <c r="DX242" s="676"/>
      <c r="DY242" s="676"/>
      <c r="DZ242" s="676"/>
      <c r="EA242" s="676"/>
      <c r="EB242" s="676"/>
      <c r="EC242" s="676"/>
      <c r="ED242" s="676"/>
      <c r="EE242" s="676"/>
      <c r="EF242" s="676"/>
      <c r="EG242" s="676"/>
      <c r="EH242" s="677">
        <f t="shared" si="747"/>
        <v>0</v>
      </c>
      <c r="EI242" s="678">
        <v>1.0</v>
      </c>
      <c r="EJ242" s="699"/>
      <c r="EK242" s="699"/>
    </row>
    <row r="243" ht="12.0" customHeight="1">
      <c r="A243" s="700" t="s">
        <v>3026</v>
      </c>
      <c r="B243" s="701">
        <v>2.0</v>
      </c>
      <c r="C243" s="562" t="s">
        <v>3034</v>
      </c>
      <c r="D243" s="743" t="s">
        <v>52</v>
      </c>
      <c r="E243" s="571" t="s">
        <v>2708</v>
      </c>
      <c r="F243" s="562" t="s">
        <v>1763</v>
      </c>
      <c r="G243" s="569" t="s">
        <v>2709</v>
      </c>
      <c r="H243" s="569" t="s">
        <v>2874</v>
      </c>
      <c r="I243" s="717" t="s">
        <v>2098</v>
      </c>
      <c r="J243" s="704" t="s">
        <v>119</v>
      </c>
      <c r="K243" s="562" t="s">
        <v>25</v>
      </c>
      <c r="L243" s="562">
        <v>2024.0</v>
      </c>
      <c r="M243" s="562">
        <v>2024.0</v>
      </c>
      <c r="N243" s="562">
        <v>2024.0</v>
      </c>
      <c r="O243" s="562">
        <v>2024.0</v>
      </c>
      <c r="P243" s="562">
        <v>2025.0</v>
      </c>
      <c r="Q243" s="562">
        <v>2025.0</v>
      </c>
      <c r="R243" s="562"/>
      <c r="S243" s="562"/>
      <c r="T243" s="562"/>
      <c r="U243" s="562"/>
      <c r="V243" s="562"/>
      <c r="W243" s="562">
        <v>7.0</v>
      </c>
      <c r="X243" s="562">
        <v>7.0</v>
      </c>
      <c r="Y243" s="562">
        <v>7.0</v>
      </c>
      <c r="Z243" s="562">
        <v>8.0</v>
      </c>
      <c r="AA243" s="562">
        <v>8.0</v>
      </c>
      <c r="AB243" s="562">
        <v>8.0</v>
      </c>
      <c r="AC243" s="562"/>
      <c r="AD243" s="562"/>
      <c r="AE243" s="562"/>
      <c r="AF243" s="562"/>
      <c r="AG243" s="562"/>
      <c r="AH243" s="562"/>
      <c r="AI243" s="562"/>
      <c r="AJ243" s="562"/>
      <c r="AK243" s="562"/>
      <c r="AL243" s="562"/>
      <c r="AM243" s="562"/>
      <c r="AN243" s="562"/>
      <c r="AO243" s="562"/>
      <c r="AP243" s="562"/>
      <c r="AQ243" s="562"/>
      <c r="AR243" s="562">
        <v>-2024.0</v>
      </c>
      <c r="AS243" s="562">
        <v>-2024.0</v>
      </c>
      <c r="AT243" s="562">
        <v>-2024.0</v>
      </c>
      <c r="AU243" s="562">
        <v>-2024.0</v>
      </c>
      <c r="AV243" s="562">
        <v>-2025.0</v>
      </c>
      <c r="AW243" s="562">
        <v>-2025.0</v>
      </c>
      <c r="AX243" s="562">
        <v>0.0</v>
      </c>
      <c r="AY243" s="562">
        <v>0.0</v>
      </c>
      <c r="AZ243" s="562">
        <v>0.0</v>
      </c>
      <c r="BA243" s="562">
        <v>0.0</v>
      </c>
      <c r="BB243" s="562"/>
      <c r="BC243" s="562">
        <v>83.0</v>
      </c>
      <c r="BD243" s="562">
        <v>40.0</v>
      </c>
      <c r="BE243" s="562">
        <v>85.0</v>
      </c>
      <c r="BF243" s="562"/>
      <c r="BG243" s="562"/>
      <c r="BH243" s="562"/>
      <c r="BI243" s="701">
        <v>20.0</v>
      </c>
      <c r="BJ243" s="562"/>
      <c r="BK243" s="562"/>
      <c r="BL243" s="681"/>
      <c r="BM243" s="665">
        <f t="shared" si="1"/>
        <v>228</v>
      </c>
      <c r="BN243" s="682"/>
      <c r="BO243" s="683"/>
      <c r="BP243" s="683"/>
      <c r="BQ243" s="687">
        <v>90.0</v>
      </c>
      <c r="BR243" s="683">
        <v>126.0</v>
      </c>
      <c r="BS243" s="683">
        <v>208.0</v>
      </c>
      <c r="BT243" s="687">
        <v>20.0</v>
      </c>
      <c r="BU243" s="683"/>
      <c r="BV243" s="683"/>
      <c r="BW243" s="686"/>
      <c r="BX243" s="665">
        <f t="shared" si="2"/>
        <v>444</v>
      </c>
      <c r="BY243" s="682">
        <v>0.0</v>
      </c>
      <c r="BZ243" s="683">
        <v>0.0</v>
      </c>
      <c r="CA243" s="683">
        <v>0.0</v>
      </c>
      <c r="CB243" s="683">
        <v>0.0</v>
      </c>
      <c r="CC243" s="683">
        <v>0.0</v>
      </c>
      <c r="CD243" s="683">
        <v>0.0</v>
      </c>
      <c r="CE243" s="683">
        <v>0.0</v>
      </c>
      <c r="CF243" s="683">
        <v>0.0</v>
      </c>
      <c r="CG243" s="683">
        <v>0.0</v>
      </c>
      <c r="CH243" s="686">
        <v>0.0</v>
      </c>
      <c r="CI243" s="665">
        <f t="shared" si="3"/>
        <v>0</v>
      </c>
      <c r="CJ243" s="682">
        <f t="shared" si="4"/>
        <v>672</v>
      </c>
      <c r="CK243" s="706">
        <v>133.56</v>
      </c>
      <c r="CL243" s="683">
        <f t="shared" ref="CL243:CL268" si="754">CK243*$CL$1</f>
        <v>929.5776</v>
      </c>
      <c r="CM243" s="683">
        <f t="shared" ref="CM243:CV243" si="751">BC243*$CL243</f>
        <v>77154.9408</v>
      </c>
      <c r="CN243" s="683">
        <f t="shared" si="751"/>
        <v>37183.104</v>
      </c>
      <c r="CO243" s="683">
        <f t="shared" si="751"/>
        <v>79014.096</v>
      </c>
      <c r="CP243" s="683">
        <f t="shared" si="751"/>
        <v>0</v>
      </c>
      <c r="CQ243" s="683">
        <f t="shared" si="751"/>
        <v>0</v>
      </c>
      <c r="CR243" s="683">
        <f t="shared" si="751"/>
        <v>0</v>
      </c>
      <c r="CS243" s="683">
        <f t="shared" si="751"/>
        <v>18591.552</v>
      </c>
      <c r="CT243" s="683">
        <f t="shared" si="751"/>
        <v>0</v>
      </c>
      <c r="CU243" s="683">
        <f t="shared" si="751"/>
        <v>0</v>
      </c>
      <c r="CV243" s="683">
        <f t="shared" si="751"/>
        <v>0</v>
      </c>
      <c r="CW243" s="683">
        <f t="shared" si="21"/>
        <v>211943.6928</v>
      </c>
      <c r="CX243" s="683">
        <f t="shared" ref="CX243:DG243" si="752">BN243*$CL243</f>
        <v>0</v>
      </c>
      <c r="CY243" s="683">
        <f t="shared" si="752"/>
        <v>0</v>
      </c>
      <c r="CZ243" s="683">
        <f t="shared" si="752"/>
        <v>0</v>
      </c>
      <c r="DA243" s="683">
        <f t="shared" si="752"/>
        <v>83661.984</v>
      </c>
      <c r="DB243" s="683">
        <f t="shared" si="752"/>
        <v>117126.7776</v>
      </c>
      <c r="DC243" s="683">
        <f t="shared" si="752"/>
        <v>193352.1408</v>
      </c>
      <c r="DD243" s="683">
        <f t="shared" si="752"/>
        <v>18591.552</v>
      </c>
      <c r="DE243" s="683">
        <f t="shared" si="752"/>
        <v>0</v>
      </c>
      <c r="DF243" s="683">
        <f t="shared" si="752"/>
        <v>0</v>
      </c>
      <c r="DG243" s="683">
        <f t="shared" si="752"/>
        <v>0</v>
      </c>
      <c r="DH243" s="683">
        <f t="shared" si="23"/>
        <v>412732.4544</v>
      </c>
      <c r="DI243" s="683">
        <f t="shared" ref="DI243:DR243" si="753">BY243*$CL243</f>
        <v>0</v>
      </c>
      <c r="DJ243" s="683">
        <f t="shared" si="753"/>
        <v>0</v>
      </c>
      <c r="DK243" s="683">
        <f t="shared" si="753"/>
        <v>0</v>
      </c>
      <c r="DL243" s="683">
        <f t="shared" si="753"/>
        <v>0</v>
      </c>
      <c r="DM243" s="683">
        <f t="shared" si="753"/>
        <v>0</v>
      </c>
      <c r="DN243" s="683">
        <f t="shared" si="753"/>
        <v>0</v>
      </c>
      <c r="DO243" s="683">
        <f t="shared" si="753"/>
        <v>0</v>
      </c>
      <c r="DP243" s="683">
        <f t="shared" si="753"/>
        <v>0</v>
      </c>
      <c r="DQ243" s="683">
        <f t="shared" si="753"/>
        <v>0</v>
      </c>
      <c r="DR243" s="683">
        <f t="shared" si="753"/>
        <v>0</v>
      </c>
      <c r="DS243" s="683">
        <f t="shared" si="25"/>
        <v>0</v>
      </c>
      <c r="DT243" s="683">
        <f t="shared" si="685"/>
        <v>624676.1472</v>
      </c>
      <c r="DU243" s="504"/>
      <c r="DV243" s="486"/>
      <c r="DW243" s="688"/>
      <c r="DX243" s="688"/>
      <c r="DY243" s="688"/>
      <c r="DZ243" s="688"/>
      <c r="EA243" s="688"/>
      <c r="EB243" s="688"/>
      <c r="EC243" s="688"/>
      <c r="ED243" s="688"/>
      <c r="EE243" s="688"/>
      <c r="EF243" s="688"/>
      <c r="EG243" s="688"/>
      <c r="EH243" s="707" t="s">
        <v>3441</v>
      </c>
      <c r="EI243" s="708">
        <f>VLOOKUP(I243,CotizacionTDB,4,FALSE())</f>
        <v>133.56</v>
      </c>
      <c r="EJ243" s="708">
        <f>VLOOKUP(I243,CotizacionTDB,5,FALSE())</f>
        <v>113.53</v>
      </c>
      <c r="EK243" s="691"/>
    </row>
    <row r="244" ht="12.0" customHeight="1">
      <c r="A244" s="709" t="s">
        <v>3026</v>
      </c>
      <c r="B244" s="661">
        <v>2.0</v>
      </c>
      <c r="C244" s="567" t="s">
        <v>3034</v>
      </c>
      <c r="D244" s="742" t="s">
        <v>52</v>
      </c>
      <c r="E244" s="568" t="s">
        <v>2708</v>
      </c>
      <c r="F244" s="567" t="s">
        <v>1763</v>
      </c>
      <c r="G244" s="901" t="s">
        <v>2709</v>
      </c>
      <c r="H244" s="902"/>
      <c r="I244" s="710" t="s">
        <v>2378</v>
      </c>
      <c r="J244" s="711" t="s">
        <v>248</v>
      </c>
      <c r="K244" s="567" t="s">
        <v>25</v>
      </c>
      <c r="L244" s="567">
        <v>2025.0</v>
      </c>
      <c r="M244" s="567"/>
      <c r="N244" s="567"/>
      <c r="O244" s="567"/>
      <c r="P244" s="567"/>
      <c r="Q244" s="567"/>
      <c r="R244" s="567"/>
      <c r="S244" s="567">
        <v>2024.0</v>
      </c>
      <c r="T244" s="567"/>
      <c r="U244" s="567"/>
      <c r="V244" s="567"/>
      <c r="W244" s="567">
        <v>2.0</v>
      </c>
      <c r="X244" s="567"/>
      <c r="Y244" s="567"/>
      <c r="Z244" s="567"/>
      <c r="AA244" s="567"/>
      <c r="AB244" s="567"/>
      <c r="AC244" s="567"/>
      <c r="AD244" s="567">
        <v>2.0</v>
      </c>
      <c r="AE244" s="567"/>
      <c r="AF244" s="567"/>
      <c r="AG244" s="567"/>
      <c r="AH244" s="567"/>
      <c r="AI244" s="567"/>
      <c r="AJ244" s="567"/>
      <c r="AK244" s="567"/>
      <c r="AL244" s="567"/>
      <c r="AM244" s="567"/>
      <c r="AN244" s="567"/>
      <c r="AO244" s="567"/>
      <c r="AP244" s="567"/>
      <c r="AQ244" s="567"/>
      <c r="AR244" s="567">
        <v>-2025.0</v>
      </c>
      <c r="AS244" s="567">
        <v>0.0</v>
      </c>
      <c r="AT244" s="567">
        <v>0.0</v>
      </c>
      <c r="AU244" s="567">
        <v>0.0</v>
      </c>
      <c r="AV244" s="567">
        <v>0.0</v>
      </c>
      <c r="AW244" s="567">
        <v>0.0</v>
      </c>
      <c r="AX244" s="567">
        <v>0.0</v>
      </c>
      <c r="AY244" s="567">
        <v>-2024.0</v>
      </c>
      <c r="AZ244" s="567">
        <v>0.0</v>
      </c>
      <c r="BA244" s="567">
        <v>0.0</v>
      </c>
      <c r="BB244" s="567"/>
      <c r="BC244" s="567"/>
      <c r="BD244" s="567"/>
      <c r="BE244" s="567"/>
      <c r="BF244" s="567"/>
      <c r="BG244" s="567"/>
      <c r="BH244" s="567"/>
      <c r="BI244" s="567"/>
      <c r="BJ244" s="718"/>
      <c r="BK244" s="567"/>
      <c r="BL244" s="725"/>
      <c r="BM244" s="665">
        <f t="shared" si="1"/>
        <v>0</v>
      </c>
      <c r="BN244" s="671"/>
      <c r="BO244" s="668"/>
      <c r="BP244" s="668"/>
      <c r="BQ244" s="668"/>
      <c r="BR244" s="668"/>
      <c r="BS244" s="668"/>
      <c r="BT244" s="668"/>
      <c r="BU244" s="668"/>
      <c r="BV244" s="668"/>
      <c r="BW244" s="670"/>
      <c r="BX244" s="665">
        <f t="shared" si="2"/>
        <v>0</v>
      </c>
      <c r="BY244" s="671">
        <v>0.0</v>
      </c>
      <c r="BZ244" s="668">
        <v>0.0</v>
      </c>
      <c r="CA244" s="668">
        <v>0.0</v>
      </c>
      <c r="CB244" s="668">
        <v>0.0</v>
      </c>
      <c r="CC244" s="668">
        <v>0.0</v>
      </c>
      <c r="CD244" s="668">
        <v>0.0</v>
      </c>
      <c r="CE244" s="668">
        <v>0.0</v>
      </c>
      <c r="CF244" s="667">
        <v>156.0</v>
      </c>
      <c r="CG244" s="668">
        <v>0.0</v>
      </c>
      <c r="CH244" s="670">
        <v>0.0</v>
      </c>
      <c r="CI244" s="665">
        <f t="shared" si="3"/>
        <v>156</v>
      </c>
      <c r="CJ244" s="671">
        <f t="shared" si="4"/>
        <v>156</v>
      </c>
      <c r="CK244" s="715">
        <v>93.64</v>
      </c>
      <c r="CL244" s="668">
        <f t="shared" si="754"/>
        <v>651.7344</v>
      </c>
      <c r="CM244" s="668">
        <f t="shared" ref="CM244:CV244" si="755">BC244*$CL244</f>
        <v>0</v>
      </c>
      <c r="CN244" s="668">
        <f t="shared" si="755"/>
        <v>0</v>
      </c>
      <c r="CO244" s="668">
        <f t="shared" si="755"/>
        <v>0</v>
      </c>
      <c r="CP244" s="668">
        <f t="shared" si="755"/>
        <v>0</v>
      </c>
      <c r="CQ244" s="668">
        <f t="shared" si="755"/>
        <v>0</v>
      </c>
      <c r="CR244" s="668">
        <f t="shared" si="755"/>
        <v>0</v>
      </c>
      <c r="CS244" s="668">
        <f t="shared" si="755"/>
        <v>0</v>
      </c>
      <c r="CT244" s="668">
        <f t="shared" si="755"/>
        <v>0</v>
      </c>
      <c r="CU244" s="668">
        <f t="shared" si="755"/>
        <v>0</v>
      </c>
      <c r="CV244" s="668">
        <f t="shared" si="755"/>
        <v>0</v>
      </c>
      <c r="CW244" s="668">
        <f t="shared" si="21"/>
        <v>0</v>
      </c>
      <c r="CX244" s="668">
        <f t="shared" ref="CX244:DG244" si="756">BN244*$CL244</f>
        <v>0</v>
      </c>
      <c r="CY244" s="668">
        <f t="shared" si="756"/>
        <v>0</v>
      </c>
      <c r="CZ244" s="668">
        <f t="shared" si="756"/>
        <v>0</v>
      </c>
      <c r="DA244" s="668">
        <f t="shared" si="756"/>
        <v>0</v>
      </c>
      <c r="DB244" s="668">
        <f t="shared" si="756"/>
        <v>0</v>
      </c>
      <c r="DC244" s="668">
        <f t="shared" si="756"/>
        <v>0</v>
      </c>
      <c r="DD244" s="668">
        <f t="shared" si="756"/>
        <v>0</v>
      </c>
      <c r="DE244" s="668">
        <f t="shared" si="756"/>
        <v>0</v>
      </c>
      <c r="DF244" s="668">
        <f t="shared" si="756"/>
        <v>0</v>
      </c>
      <c r="DG244" s="668">
        <f t="shared" si="756"/>
        <v>0</v>
      </c>
      <c r="DH244" s="668">
        <f t="shared" si="23"/>
        <v>0</v>
      </c>
      <c r="DI244" s="668">
        <f t="shared" ref="DI244:DR244" si="757">BY244*$CL244</f>
        <v>0</v>
      </c>
      <c r="DJ244" s="668">
        <f t="shared" si="757"/>
        <v>0</v>
      </c>
      <c r="DK244" s="668">
        <f t="shared" si="757"/>
        <v>0</v>
      </c>
      <c r="DL244" s="668">
        <f t="shared" si="757"/>
        <v>0</v>
      </c>
      <c r="DM244" s="668">
        <f t="shared" si="757"/>
        <v>0</v>
      </c>
      <c r="DN244" s="668">
        <f t="shared" si="757"/>
        <v>0</v>
      </c>
      <c r="DO244" s="668">
        <f t="shared" si="757"/>
        <v>0</v>
      </c>
      <c r="DP244" s="668">
        <f t="shared" si="757"/>
        <v>101670.5664</v>
      </c>
      <c r="DQ244" s="668">
        <f t="shared" si="757"/>
        <v>0</v>
      </c>
      <c r="DR244" s="668">
        <f t="shared" si="757"/>
        <v>0</v>
      </c>
      <c r="DS244" s="668">
        <f t="shared" si="25"/>
        <v>101670.5664</v>
      </c>
      <c r="DT244" s="668">
        <f t="shared" si="685"/>
        <v>101670.5664</v>
      </c>
      <c r="DU244" s="792"/>
      <c r="DV244" s="792" t="s">
        <v>3442</v>
      </c>
      <c r="DW244" s="698"/>
      <c r="DX244" s="698"/>
      <c r="DY244" s="698"/>
      <c r="DZ244" s="698"/>
      <c r="EA244" s="698"/>
      <c r="EB244" s="698"/>
      <c r="EC244" s="698"/>
      <c r="ED244" s="698"/>
      <c r="EE244" s="698"/>
      <c r="EF244" s="698"/>
      <c r="EG244" s="698"/>
      <c r="EH244" s="576" t="s">
        <v>2892</v>
      </c>
      <c r="EI244" s="716">
        <f>VLOOKUP(I244,CotizacionTDB,4,FALSE())</f>
        <v>93.64</v>
      </c>
      <c r="EJ244" s="716">
        <f>VLOOKUP(I244,CotizacionTDB,5,FALSE())</f>
        <v>79.59</v>
      </c>
      <c r="EK244" s="699"/>
    </row>
    <row r="245" ht="12.0" customHeight="1">
      <c r="A245" s="700" t="s">
        <v>3026</v>
      </c>
      <c r="B245" s="701">
        <v>2.0</v>
      </c>
      <c r="C245" s="562" t="s">
        <v>3034</v>
      </c>
      <c r="D245" s="743" t="s">
        <v>52</v>
      </c>
      <c r="E245" s="571" t="s">
        <v>2708</v>
      </c>
      <c r="F245" s="562" t="s">
        <v>1763</v>
      </c>
      <c r="G245" s="569" t="s">
        <v>2709</v>
      </c>
      <c r="H245" s="702" t="s">
        <v>2859</v>
      </c>
      <c r="I245" s="717" t="s">
        <v>2177</v>
      </c>
      <c r="J245" s="704" t="s">
        <v>144</v>
      </c>
      <c r="K245" s="562" t="s">
        <v>25</v>
      </c>
      <c r="L245" s="562">
        <v>2024.0</v>
      </c>
      <c r="M245" s="562">
        <v>2024.0</v>
      </c>
      <c r="N245" s="562">
        <v>2024.0</v>
      </c>
      <c r="O245" s="562">
        <v>2025.0</v>
      </c>
      <c r="P245" s="562">
        <v>2025.0</v>
      </c>
      <c r="Q245" s="562">
        <v>2025.0</v>
      </c>
      <c r="R245" s="562"/>
      <c r="S245" s="562"/>
      <c r="T245" s="562"/>
      <c r="U245" s="562"/>
      <c r="V245" s="562"/>
      <c r="W245" s="562">
        <v>2.0</v>
      </c>
      <c r="X245" s="562">
        <v>2.0</v>
      </c>
      <c r="Y245" s="562">
        <v>2.0</v>
      </c>
      <c r="Z245" s="562">
        <v>2.0</v>
      </c>
      <c r="AA245" s="562">
        <v>2.0</v>
      </c>
      <c r="AB245" s="562">
        <v>2.0</v>
      </c>
      <c r="AC245" s="562"/>
      <c r="AD245" s="562"/>
      <c r="AE245" s="562"/>
      <c r="AF245" s="562"/>
      <c r="AG245" s="562"/>
      <c r="AH245" s="562"/>
      <c r="AI245" s="562"/>
      <c r="AJ245" s="562"/>
      <c r="AK245" s="562"/>
      <c r="AL245" s="562"/>
      <c r="AM245" s="562"/>
      <c r="AN245" s="562"/>
      <c r="AO245" s="562"/>
      <c r="AP245" s="562"/>
      <c r="AQ245" s="562"/>
      <c r="AR245" s="562">
        <v>-2024.0</v>
      </c>
      <c r="AS245" s="562">
        <v>-2024.0</v>
      </c>
      <c r="AT245" s="562">
        <v>-2024.0</v>
      </c>
      <c r="AU245" s="562">
        <v>-2025.0</v>
      </c>
      <c r="AV245" s="562">
        <v>-2025.0</v>
      </c>
      <c r="AW245" s="562">
        <v>-2025.0</v>
      </c>
      <c r="AX245" s="562">
        <v>0.0</v>
      </c>
      <c r="AY245" s="562">
        <v>0.0</v>
      </c>
      <c r="AZ245" s="562">
        <v>0.0</v>
      </c>
      <c r="BA245" s="562">
        <v>0.0</v>
      </c>
      <c r="BB245" s="562"/>
      <c r="BC245" s="701">
        <v>210.0</v>
      </c>
      <c r="BD245" s="701">
        <v>100.0</v>
      </c>
      <c r="BE245" s="701">
        <v>200.0</v>
      </c>
      <c r="BF245" s="562"/>
      <c r="BG245" s="562"/>
      <c r="BH245" s="562"/>
      <c r="BI245" s="701">
        <v>100.0</v>
      </c>
      <c r="BJ245" s="562"/>
      <c r="BK245" s="701">
        <v>30.0</v>
      </c>
      <c r="BL245" s="681"/>
      <c r="BM245" s="665">
        <f t="shared" si="1"/>
        <v>640</v>
      </c>
      <c r="BN245" s="733">
        <v>250.0</v>
      </c>
      <c r="BO245" s="687">
        <v>126.0</v>
      </c>
      <c r="BP245" s="687">
        <v>100.0</v>
      </c>
      <c r="BQ245" s="683">
        <v>200.0</v>
      </c>
      <c r="BR245" s="683">
        <v>200.0</v>
      </c>
      <c r="BS245" s="683">
        <v>300.0</v>
      </c>
      <c r="BT245" s="687">
        <v>100.0</v>
      </c>
      <c r="BU245" s="683"/>
      <c r="BV245" s="687">
        <v>30.0</v>
      </c>
      <c r="BW245" s="686"/>
      <c r="BX245" s="665">
        <f t="shared" si="2"/>
        <v>1306</v>
      </c>
      <c r="BY245" s="733">
        <v>200.0</v>
      </c>
      <c r="BZ245" s="683">
        <v>120.0</v>
      </c>
      <c r="CA245" s="687">
        <v>180.0</v>
      </c>
      <c r="CB245" s="683">
        <v>0.0</v>
      </c>
      <c r="CC245" s="683">
        <v>0.0</v>
      </c>
      <c r="CD245" s="683">
        <v>0.0</v>
      </c>
      <c r="CE245" s="683">
        <v>0.0</v>
      </c>
      <c r="CF245" s="683">
        <v>0.0</v>
      </c>
      <c r="CG245" s="683">
        <v>0.0</v>
      </c>
      <c r="CH245" s="686">
        <v>0.0</v>
      </c>
      <c r="CI245" s="665">
        <f t="shared" si="3"/>
        <v>500</v>
      </c>
      <c r="CJ245" s="682">
        <f t="shared" si="4"/>
        <v>2446</v>
      </c>
      <c r="CK245" s="706">
        <v>22.77</v>
      </c>
      <c r="CL245" s="683">
        <f t="shared" si="754"/>
        <v>158.4792</v>
      </c>
      <c r="CM245" s="683">
        <f t="shared" ref="CM245:CV245" si="758">BC245*$CL245</f>
        <v>33280.632</v>
      </c>
      <c r="CN245" s="683">
        <f t="shared" si="758"/>
        <v>15847.92</v>
      </c>
      <c r="CO245" s="683">
        <f t="shared" si="758"/>
        <v>31695.84</v>
      </c>
      <c r="CP245" s="683">
        <f t="shared" si="758"/>
        <v>0</v>
      </c>
      <c r="CQ245" s="683">
        <f t="shared" si="758"/>
        <v>0</v>
      </c>
      <c r="CR245" s="683">
        <f t="shared" si="758"/>
        <v>0</v>
      </c>
      <c r="CS245" s="683">
        <f t="shared" si="758"/>
        <v>15847.92</v>
      </c>
      <c r="CT245" s="683">
        <f t="shared" si="758"/>
        <v>0</v>
      </c>
      <c r="CU245" s="683">
        <f t="shared" si="758"/>
        <v>4754.376</v>
      </c>
      <c r="CV245" s="683">
        <f t="shared" si="758"/>
        <v>0</v>
      </c>
      <c r="CW245" s="683">
        <f t="shared" si="21"/>
        <v>101426.688</v>
      </c>
      <c r="CX245" s="683">
        <f t="shared" ref="CX245:DG245" si="759">BN245*$CL245</f>
        <v>39619.8</v>
      </c>
      <c r="CY245" s="683">
        <f t="shared" si="759"/>
        <v>19968.3792</v>
      </c>
      <c r="CZ245" s="683">
        <f t="shared" si="759"/>
        <v>15847.92</v>
      </c>
      <c r="DA245" s="683">
        <f t="shared" si="759"/>
        <v>31695.84</v>
      </c>
      <c r="DB245" s="683">
        <f t="shared" si="759"/>
        <v>31695.84</v>
      </c>
      <c r="DC245" s="683">
        <f t="shared" si="759"/>
        <v>47543.76</v>
      </c>
      <c r="DD245" s="683">
        <f t="shared" si="759"/>
        <v>15847.92</v>
      </c>
      <c r="DE245" s="683">
        <f t="shared" si="759"/>
        <v>0</v>
      </c>
      <c r="DF245" s="683">
        <f t="shared" si="759"/>
        <v>4754.376</v>
      </c>
      <c r="DG245" s="683">
        <f t="shared" si="759"/>
        <v>0</v>
      </c>
      <c r="DH245" s="683">
        <f t="shared" si="23"/>
        <v>206973.8352</v>
      </c>
      <c r="DI245" s="683">
        <f t="shared" ref="DI245:DR245" si="760">BY245*$CL245</f>
        <v>31695.84</v>
      </c>
      <c r="DJ245" s="683">
        <f t="shared" si="760"/>
        <v>19017.504</v>
      </c>
      <c r="DK245" s="683">
        <f t="shared" si="760"/>
        <v>28526.256</v>
      </c>
      <c r="DL245" s="683">
        <f t="shared" si="760"/>
        <v>0</v>
      </c>
      <c r="DM245" s="683">
        <f t="shared" si="760"/>
        <v>0</v>
      </c>
      <c r="DN245" s="683">
        <f t="shared" si="760"/>
        <v>0</v>
      </c>
      <c r="DO245" s="683">
        <f t="shared" si="760"/>
        <v>0</v>
      </c>
      <c r="DP245" s="683">
        <f t="shared" si="760"/>
        <v>0</v>
      </c>
      <c r="DQ245" s="683">
        <f t="shared" si="760"/>
        <v>0</v>
      </c>
      <c r="DR245" s="683">
        <f t="shared" si="760"/>
        <v>0</v>
      </c>
      <c r="DS245" s="683">
        <f t="shared" si="25"/>
        <v>79239.6</v>
      </c>
      <c r="DT245" s="683">
        <f t="shared" si="685"/>
        <v>387640.1232</v>
      </c>
      <c r="DU245" s="504"/>
      <c r="DV245" s="486"/>
      <c r="DW245" s="688"/>
      <c r="DX245" s="688"/>
      <c r="DY245" s="688"/>
      <c r="DZ245" s="688"/>
      <c r="EA245" s="688"/>
      <c r="EB245" s="688"/>
      <c r="EC245" s="688"/>
      <c r="ED245" s="688"/>
      <c r="EE245" s="688"/>
      <c r="EF245" s="688"/>
      <c r="EG245" s="688"/>
      <c r="EH245" s="707" t="s">
        <v>144</v>
      </c>
      <c r="EI245" s="708">
        <f>VLOOKUP(I245,CotizacionTDB,4,FALSE())</f>
        <v>22.77</v>
      </c>
      <c r="EJ245" s="708">
        <f>VLOOKUP(I245,CotizacionTDB,5,FALSE())</f>
        <v>19.35</v>
      </c>
      <c r="EK245" s="691"/>
    </row>
    <row r="246" ht="12.0" customHeight="1">
      <c r="A246" s="709" t="s">
        <v>3026</v>
      </c>
      <c r="B246" s="661">
        <v>2.0</v>
      </c>
      <c r="C246" s="567" t="s">
        <v>3034</v>
      </c>
      <c r="D246" s="742" t="s">
        <v>52</v>
      </c>
      <c r="E246" s="568" t="s">
        <v>2708</v>
      </c>
      <c r="F246" s="567" t="s">
        <v>1763</v>
      </c>
      <c r="G246" s="569" t="s">
        <v>2709</v>
      </c>
      <c r="H246" s="569" t="s">
        <v>2880</v>
      </c>
      <c r="I246" s="710" t="s">
        <v>2128</v>
      </c>
      <c r="J246" s="711" t="s">
        <v>265</v>
      </c>
      <c r="K246" s="567" t="s">
        <v>25</v>
      </c>
      <c r="L246" s="567">
        <v>2024.0</v>
      </c>
      <c r="M246" s="567">
        <v>2024.0</v>
      </c>
      <c r="N246" s="567">
        <v>2024.0</v>
      </c>
      <c r="O246" s="567">
        <v>2024.0</v>
      </c>
      <c r="P246" s="567">
        <v>2024.0</v>
      </c>
      <c r="Q246" s="567">
        <v>2024.0</v>
      </c>
      <c r="R246" s="567"/>
      <c r="S246" s="567"/>
      <c r="T246" s="567"/>
      <c r="U246" s="567"/>
      <c r="V246" s="567"/>
      <c r="W246" s="567">
        <v>3.0</v>
      </c>
      <c r="X246" s="567">
        <v>3.0</v>
      </c>
      <c r="Y246" s="567">
        <v>3.0</v>
      </c>
      <c r="Z246" s="567">
        <v>7.0</v>
      </c>
      <c r="AA246" s="567">
        <v>7.0</v>
      </c>
      <c r="AB246" s="567">
        <v>7.0</v>
      </c>
      <c r="AC246" s="567"/>
      <c r="AD246" s="567"/>
      <c r="AE246" s="567"/>
      <c r="AF246" s="567"/>
      <c r="AG246" s="567"/>
      <c r="AH246" s="567"/>
      <c r="AI246" s="567"/>
      <c r="AJ246" s="567"/>
      <c r="AK246" s="567"/>
      <c r="AL246" s="567"/>
      <c r="AM246" s="567"/>
      <c r="AN246" s="567"/>
      <c r="AO246" s="567"/>
      <c r="AP246" s="567"/>
      <c r="AQ246" s="567"/>
      <c r="AR246" s="567">
        <v>-2024.0</v>
      </c>
      <c r="AS246" s="567">
        <v>-2024.0</v>
      </c>
      <c r="AT246" s="567">
        <v>-2024.0</v>
      </c>
      <c r="AU246" s="567">
        <v>-2024.0</v>
      </c>
      <c r="AV246" s="567">
        <v>-2024.0</v>
      </c>
      <c r="AW246" s="567">
        <v>-2024.0</v>
      </c>
      <c r="AX246" s="567">
        <v>0.0</v>
      </c>
      <c r="AY246" s="567">
        <v>0.0</v>
      </c>
      <c r="AZ246" s="567">
        <v>0.0</v>
      </c>
      <c r="BA246" s="567">
        <v>0.0</v>
      </c>
      <c r="BB246" s="567"/>
      <c r="BC246" s="567">
        <v>100.0</v>
      </c>
      <c r="BD246" s="567">
        <v>15.0</v>
      </c>
      <c r="BE246" s="567">
        <v>200.0</v>
      </c>
      <c r="BF246" s="567"/>
      <c r="BG246" s="567"/>
      <c r="BH246" s="567"/>
      <c r="BI246" s="567"/>
      <c r="BJ246" s="567"/>
      <c r="BK246" s="567"/>
      <c r="BL246" s="725"/>
      <c r="BM246" s="665">
        <f t="shared" si="1"/>
        <v>315</v>
      </c>
      <c r="BN246" s="807">
        <v>60.0</v>
      </c>
      <c r="BO246" s="674">
        <v>20.0</v>
      </c>
      <c r="BP246" s="807"/>
      <c r="BQ246" s="674">
        <v>220.0</v>
      </c>
      <c r="BR246" s="674">
        <v>252.0</v>
      </c>
      <c r="BS246" s="674">
        <v>50.0</v>
      </c>
      <c r="BT246" s="668"/>
      <c r="BU246" s="668"/>
      <c r="BV246" s="668"/>
      <c r="BW246" s="670"/>
      <c r="BX246" s="665">
        <f t="shared" si="2"/>
        <v>602</v>
      </c>
      <c r="BY246" s="736">
        <v>100.0</v>
      </c>
      <c r="BZ246" s="674">
        <v>50.0</v>
      </c>
      <c r="CA246" s="674">
        <v>50.0</v>
      </c>
      <c r="CB246" s="668">
        <v>0.0</v>
      </c>
      <c r="CC246" s="668">
        <v>0.0</v>
      </c>
      <c r="CD246" s="668">
        <v>0.0</v>
      </c>
      <c r="CE246" s="668">
        <v>0.0</v>
      </c>
      <c r="CF246" s="668">
        <v>0.0</v>
      </c>
      <c r="CG246" s="668">
        <v>0.0</v>
      </c>
      <c r="CH246" s="670">
        <v>0.0</v>
      </c>
      <c r="CI246" s="665">
        <f t="shared" si="3"/>
        <v>200</v>
      </c>
      <c r="CJ246" s="671">
        <f t="shared" si="4"/>
        <v>1117</v>
      </c>
      <c r="CK246" s="715">
        <v>40.61</v>
      </c>
      <c r="CL246" s="668">
        <f t="shared" si="754"/>
        <v>282.6456</v>
      </c>
      <c r="CM246" s="668">
        <f t="shared" ref="CM246:CV246" si="761">BC246*$CL246</f>
        <v>28264.56</v>
      </c>
      <c r="CN246" s="668">
        <f t="shared" si="761"/>
        <v>4239.684</v>
      </c>
      <c r="CO246" s="668">
        <f t="shared" si="761"/>
        <v>56529.12</v>
      </c>
      <c r="CP246" s="668">
        <f t="shared" si="761"/>
        <v>0</v>
      </c>
      <c r="CQ246" s="668">
        <f t="shared" si="761"/>
        <v>0</v>
      </c>
      <c r="CR246" s="668">
        <f t="shared" si="761"/>
        <v>0</v>
      </c>
      <c r="CS246" s="668">
        <f t="shared" si="761"/>
        <v>0</v>
      </c>
      <c r="CT246" s="668">
        <f t="shared" si="761"/>
        <v>0</v>
      </c>
      <c r="CU246" s="668">
        <f t="shared" si="761"/>
        <v>0</v>
      </c>
      <c r="CV246" s="668">
        <f t="shared" si="761"/>
        <v>0</v>
      </c>
      <c r="CW246" s="668">
        <f t="shared" si="21"/>
        <v>89033.364</v>
      </c>
      <c r="CX246" s="668">
        <f t="shared" ref="CX246:DG246" si="762">BN246*$CL246</f>
        <v>16958.736</v>
      </c>
      <c r="CY246" s="668">
        <f t="shared" si="762"/>
        <v>5652.912</v>
      </c>
      <c r="CZ246" s="668">
        <f t="shared" si="762"/>
        <v>0</v>
      </c>
      <c r="DA246" s="668">
        <f t="shared" si="762"/>
        <v>62182.032</v>
      </c>
      <c r="DB246" s="668">
        <f t="shared" si="762"/>
        <v>71226.6912</v>
      </c>
      <c r="DC246" s="668">
        <f t="shared" si="762"/>
        <v>14132.28</v>
      </c>
      <c r="DD246" s="668">
        <f t="shared" si="762"/>
        <v>0</v>
      </c>
      <c r="DE246" s="668">
        <f t="shared" si="762"/>
        <v>0</v>
      </c>
      <c r="DF246" s="668">
        <f t="shared" si="762"/>
        <v>0</v>
      </c>
      <c r="DG246" s="668">
        <f t="shared" si="762"/>
        <v>0</v>
      </c>
      <c r="DH246" s="668">
        <f t="shared" si="23"/>
        <v>170152.6512</v>
      </c>
      <c r="DI246" s="668">
        <f t="shared" ref="DI246:DR246" si="763">BY246*$CL246</f>
        <v>28264.56</v>
      </c>
      <c r="DJ246" s="668">
        <f t="shared" si="763"/>
        <v>14132.28</v>
      </c>
      <c r="DK246" s="668">
        <f t="shared" si="763"/>
        <v>14132.28</v>
      </c>
      <c r="DL246" s="668">
        <f t="shared" si="763"/>
        <v>0</v>
      </c>
      <c r="DM246" s="668">
        <f t="shared" si="763"/>
        <v>0</v>
      </c>
      <c r="DN246" s="668">
        <f t="shared" si="763"/>
        <v>0</v>
      </c>
      <c r="DO246" s="668">
        <f t="shared" si="763"/>
        <v>0</v>
      </c>
      <c r="DP246" s="668">
        <f t="shared" si="763"/>
        <v>0</v>
      </c>
      <c r="DQ246" s="668">
        <f t="shared" si="763"/>
        <v>0</v>
      </c>
      <c r="DR246" s="668">
        <f t="shared" si="763"/>
        <v>0</v>
      </c>
      <c r="DS246" s="668">
        <f t="shared" si="25"/>
        <v>56529.12</v>
      </c>
      <c r="DT246" s="668">
        <f t="shared" si="685"/>
        <v>315715.1352</v>
      </c>
      <c r="DU246" s="538"/>
      <c r="DV246" s="468"/>
      <c r="DW246" s="698"/>
      <c r="DX246" s="698"/>
      <c r="DY246" s="698"/>
      <c r="DZ246" s="698"/>
      <c r="EA246" s="698"/>
      <c r="EB246" s="698"/>
      <c r="EC246" s="698"/>
      <c r="ED246" s="698"/>
      <c r="EE246" s="698"/>
      <c r="EF246" s="698"/>
      <c r="EG246" s="698"/>
      <c r="EH246" s="576" t="s">
        <v>265</v>
      </c>
      <c r="EI246" s="716">
        <f>VLOOKUP(I246,CotizacionTDB,4,FALSE())</f>
        <v>40.61</v>
      </c>
      <c r="EJ246" s="716">
        <f>VLOOKUP(I246,CotizacionTDB,5,FALSE())</f>
        <v>34.52</v>
      </c>
      <c r="EK246" s="699"/>
    </row>
    <row r="247" ht="12.0" customHeight="1">
      <c r="A247" s="700" t="s">
        <v>3026</v>
      </c>
      <c r="B247" s="701">
        <v>2.0</v>
      </c>
      <c r="C247" s="562" t="s">
        <v>3034</v>
      </c>
      <c r="D247" s="743" t="s">
        <v>52</v>
      </c>
      <c r="E247" s="571" t="s">
        <v>2708</v>
      </c>
      <c r="F247" s="562" t="s">
        <v>1763</v>
      </c>
      <c r="G247" s="569" t="s">
        <v>2709</v>
      </c>
      <c r="H247" s="569" t="s">
        <v>2860</v>
      </c>
      <c r="I247" s="717" t="s">
        <v>2027</v>
      </c>
      <c r="J247" s="704" t="s">
        <v>168</v>
      </c>
      <c r="K247" s="562" t="s">
        <v>25</v>
      </c>
      <c r="L247" s="562">
        <v>2024.0</v>
      </c>
      <c r="M247" s="562">
        <v>2024.0</v>
      </c>
      <c r="N247" s="562">
        <v>2024.0</v>
      </c>
      <c r="O247" s="562"/>
      <c r="P247" s="562">
        <v>2024.0</v>
      </c>
      <c r="Q247" s="562">
        <v>2024.0</v>
      </c>
      <c r="R247" s="562"/>
      <c r="S247" s="562"/>
      <c r="T247" s="562"/>
      <c r="U247" s="562"/>
      <c r="V247" s="562"/>
      <c r="W247" s="562">
        <v>7.0</v>
      </c>
      <c r="X247" s="562">
        <v>7.0</v>
      </c>
      <c r="Y247" s="562">
        <v>7.0</v>
      </c>
      <c r="Z247" s="562"/>
      <c r="AA247" s="562">
        <v>7.0</v>
      </c>
      <c r="AB247" s="562">
        <v>7.0</v>
      </c>
      <c r="AC247" s="562"/>
      <c r="AD247" s="562"/>
      <c r="AE247" s="562"/>
      <c r="AF247" s="562"/>
      <c r="AG247" s="562"/>
      <c r="AH247" s="562"/>
      <c r="AI247" s="562"/>
      <c r="AJ247" s="562"/>
      <c r="AK247" s="562"/>
      <c r="AL247" s="562"/>
      <c r="AM247" s="562"/>
      <c r="AN247" s="562"/>
      <c r="AO247" s="562"/>
      <c r="AP247" s="562"/>
      <c r="AQ247" s="562"/>
      <c r="AR247" s="562">
        <v>-2024.0</v>
      </c>
      <c r="AS247" s="562">
        <v>-2024.0</v>
      </c>
      <c r="AT247" s="562">
        <v>-2024.0</v>
      </c>
      <c r="AU247" s="562">
        <v>0.0</v>
      </c>
      <c r="AV247" s="562">
        <v>-2024.0</v>
      </c>
      <c r="AW247" s="562">
        <v>-2024.0</v>
      </c>
      <c r="AX247" s="562">
        <v>0.0</v>
      </c>
      <c r="AY247" s="562">
        <v>0.0</v>
      </c>
      <c r="AZ247" s="562">
        <v>0.0</v>
      </c>
      <c r="BA247" s="562">
        <v>0.0</v>
      </c>
      <c r="BB247" s="562"/>
      <c r="BC247" s="562">
        <v>50.0</v>
      </c>
      <c r="BD247" s="701">
        <v>60.0</v>
      </c>
      <c r="BE247" s="701">
        <v>192.0</v>
      </c>
      <c r="BF247" s="562"/>
      <c r="BG247" s="562"/>
      <c r="BH247" s="562"/>
      <c r="BI247" s="701">
        <v>50.0</v>
      </c>
      <c r="BJ247" s="562"/>
      <c r="BK247" s="562"/>
      <c r="BL247" s="562"/>
      <c r="BM247" s="665">
        <f t="shared" si="1"/>
        <v>352</v>
      </c>
      <c r="BN247" s="733">
        <v>50.0</v>
      </c>
      <c r="BO247" s="687">
        <v>30.0</v>
      </c>
      <c r="BP247" s="687">
        <v>138.0</v>
      </c>
      <c r="BQ247" s="683"/>
      <c r="BR247" s="687">
        <v>152.0</v>
      </c>
      <c r="BS247" s="687">
        <v>316.0</v>
      </c>
      <c r="BT247" s="687">
        <v>50.0</v>
      </c>
      <c r="BU247" s="683"/>
      <c r="BV247" s="683"/>
      <c r="BW247" s="686"/>
      <c r="BX247" s="665">
        <f t="shared" si="2"/>
        <v>736</v>
      </c>
      <c r="BY247" s="733">
        <v>100.0</v>
      </c>
      <c r="BZ247" s="687">
        <v>45.0</v>
      </c>
      <c r="CA247" s="687">
        <v>45.0</v>
      </c>
      <c r="CB247" s="683">
        <v>0.0</v>
      </c>
      <c r="CC247" s="683">
        <v>0.0</v>
      </c>
      <c r="CD247" s="683">
        <v>0.0</v>
      </c>
      <c r="CE247" s="683">
        <v>0.0</v>
      </c>
      <c r="CF247" s="683">
        <v>0.0</v>
      </c>
      <c r="CG247" s="683">
        <v>0.0</v>
      </c>
      <c r="CH247" s="686">
        <v>0.0</v>
      </c>
      <c r="CI247" s="665">
        <f t="shared" si="3"/>
        <v>190</v>
      </c>
      <c r="CJ247" s="682">
        <f t="shared" si="4"/>
        <v>1278</v>
      </c>
      <c r="CK247" s="706">
        <v>33.73</v>
      </c>
      <c r="CL247" s="683">
        <f t="shared" si="754"/>
        <v>234.7608</v>
      </c>
      <c r="CM247" s="683">
        <f t="shared" ref="CM247:CV247" si="764">BC247*$CL247</f>
        <v>11738.04</v>
      </c>
      <c r="CN247" s="683">
        <f t="shared" si="764"/>
        <v>14085.648</v>
      </c>
      <c r="CO247" s="683">
        <f t="shared" si="764"/>
        <v>45074.0736</v>
      </c>
      <c r="CP247" s="683">
        <f t="shared" si="764"/>
        <v>0</v>
      </c>
      <c r="CQ247" s="683">
        <f t="shared" si="764"/>
        <v>0</v>
      </c>
      <c r="CR247" s="683">
        <f t="shared" si="764"/>
        <v>0</v>
      </c>
      <c r="CS247" s="683">
        <f t="shared" si="764"/>
        <v>11738.04</v>
      </c>
      <c r="CT247" s="683">
        <f t="shared" si="764"/>
        <v>0</v>
      </c>
      <c r="CU247" s="683">
        <f t="shared" si="764"/>
        <v>0</v>
      </c>
      <c r="CV247" s="683">
        <f t="shared" si="764"/>
        <v>0</v>
      </c>
      <c r="CW247" s="683">
        <f t="shared" si="21"/>
        <v>82635.8016</v>
      </c>
      <c r="CX247" s="683">
        <f t="shared" ref="CX247:DG247" si="765">BN247*$CL247</f>
        <v>11738.04</v>
      </c>
      <c r="CY247" s="683">
        <f t="shared" si="765"/>
        <v>7042.824</v>
      </c>
      <c r="CZ247" s="683">
        <f t="shared" si="765"/>
        <v>32396.9904</v>
      </c>
      <c r="DA247" s="683">
        <f t="shared" si="765"/>
        <v>0</v>
      </c>
      <c r="DB247" s="683">
        <f t="shared" si="765"/>
        <v>35683.6416</v>
      </c>
      <c r="DC247" s="683">
        <f t="shared" si="765"/>
        <v>74184.4128</v>
      </c>
      <c r="DD247" s="683">
        <f t="shared" si="765"/>
        <v>11738.04</v>
      </c>
      <c r="DE247" s="683">
        <f t="shared" si="765"/>
        <v>0</v>
      </c>
      <c r="DF247" s="683">
        <f t="shared" si="765"/>
        <v>0</v>
      </c>
      <c r="DG247" s="683">
        <f t="shared" si="765"/>
        <v>0</v>
      </c>
      <c r="DH247" s="683">
        <f t="shared" si="23"/>
        <v>172783.9488</v>
      </c>
      <c r="DI247" s="683">
        <f t="shared" ref="DI247:DR247" si="766">BY247*$CL247</f>
        <v>23476.08</v>
      </c>
      <c r="DJ247" s="683">
        <f t="shared" si="766"/>
        <v>10564.236</v>
      </c>
      <c r="DK247" s="683">
        <f t="shared" si="766"/>
        <v>10564.236</v>
      </c>
      <c r="DL247" s="683">
        <f t="shared" si="766"/>
        <v>0</v>
      </c>
      <c r="DM247" s="683">
        <f t="shared" si="766"/>
        <v>0</v>
      </c>
      <c r="DN247" s="683">
        <f t="shared" si="766"/>
        <v>0</v>
      </c>
      <c r="DO247" s="683">
        <f t="shared" si="766"/>
        <v>0</v>
      </c>
      <c r="DP247" s="683">
        <f t="shared" si="766"/>
        <v>0</v>
      </c>
      <c r="DQ247" s="683">
        <f t="shared" si="766"/>
        <v>0</v>
      </c>
      <c r="DR247" s="683">
        <f t="shared" si="766"/>
        <v>0</v>
      </c>
      <c r="DS247" s="683">
        <f t="shared" si="25"/>
        <v>44604.552</v>
      </c>
      <c r="DT247" s="683">
        <f t="shared" si="685"/>
        <v>300024.3024</v>
      </c>
      <c r="DU247" s="504"/>
      <c r="DV247" s="486"/>
      <c r="DW247" s="688"/>
      <c r="DX247" s="688"/>
      <c r="DY247" s="688"/>
      <c r="DZ247" s="688"/>
      <c r="EA247" s="688"/>
      <c r="EB247" s="688"/>
      <c r="EC247" s="688"/>
      <c r="ED247" s="688"/>
      <c r="EE247" s="688"/>
      <c r="EF247" s="688"/>
      <c r="EG247" s="688"/>
      <c r="EH247" s="707" t="s">
        <v>168</v>
      </c>
      <c r="EI247" s="708">
        <f>VLOOKUP(I247,CotizacionTDB,4,FALSE())</f>
        <v>33.73</v>
      </c>
      <c r="EJ247" s="708">
        <f>VLOOKUP(I247,CotizacionTDB,5,FALSE())</f>
        <v>28.67</v>
      </c>
      <c r="EK247" s="691"/>
    </row>
    <row r="248" ht="12.0" customHeight="1">
      <c r="A248" s="709" t="s">
        <v>3026</v>
      </c>
      <c r="B248" s="661">
        <v>2.0</v>
      </c>
      <c r="C248" s="567" t="s">
        <v>3034</v>
      </c>
      <c r="D248" s="742" t="s">
        <v>52</v>
      </c>
      <c r="E248" s="568" t="s">
        <v>2708</v>
      </c>
      <c r="F248" s="567" t="s">
        <v>1763</v>
      </c>
      <c r="G248" s="569" t="s">
        <v>2709</v>
      </c>
      <c r="H248" s="657" t="s">
        <v>2879</v>
      </c>
      <c r="I248" s="827" t="s">
        <v>2427</v>
      </c>
      <c r="J248" s="711" t="s">
        <v>316</v>
      </c>
      <c r="K248" s="567" t="s">
        <v>25</v>
      </c>
      <c r="L248" s="567">
        <v>2024.0</v>
      </c>
      <c r="M248" s="567">
        <v>2024.0</v>
      </c>
      <c r="N248" s="567">
        <v>2024.0</v>
      </c>
      <c r="O248" s="567"/>
      <c r="P248" s="567"/>
      <c r="Q248" s="567"/>
      <c r="R248" s="567"/>
      <c r="S248" s="567"/>
      <c r="T248" s="567"/>
      <c r="U248" s="567"/>
      <c r="V248" s="567"/>
      <c r="W248" s="567">
        <v>2.0</v>
      </c>
      <c r="X248" s="567">
        <v>2.0</v>
      </c>
      <c r="Y248" s="567">
        <v>2.0</v>
      </c>
      <c r="Z248" s="567"/>
      <c r="AA248" s="567"/>
      <c r="AB248" s="567"/>
      <c r="AC248" s="567"/>
      <c r="AD248" s="567"/>
      <c r="AE248" s="567"/>
      <c r="AF248" s="567"/>
      <c r="AG248" s="567"/>
      <c r="AH248" s="567"/>
      <c r="AI248" s="567"/>
      <c r="AJ248" s="567"/>
      <c r="AK248" s="567"/>
      <c r="AL248" s="567"/>
      <c r="AM248" s="567"/>
      <c r="AN248" s="567"/>
      <c r="AO248" s="567"/>
      <c r="AP248" s="567"/>
      <c r="AQ248" s="567"/>
      <c r="AR248" s="567">
        <v>-2024.0</v>
      </c>
      <c r="AS248" s="567">
        <v>-2024.0</v>
      </c>
      <c r="AT248" s="567">
        <v>-2024.0</v>
      </c>
      <c r="AU248" s="567">
        <v>0.0</v>
      </c>
      <c r="AV248" s="567">
        <v>0.0</v>
      </c>
      <c r="AW248" s="567">
        <v>0.0</v>
      </c>
      <c r="AX248" s="567">
        <v>0.0</v>
      </c>
      <c r="AY248" s="567">
        <v>0.0</v>
      </c>
      <c r="AZ248" s="567">
        <v>0.0</v>
      </c>
      <c r="BA248" s="567">
        <v>0.0</v>
      </c>
      <c r="BB248" s="567"/>
      <c r="BC248" s="567">
        <v>20.0</v>
      </c>
      <c r="BD248" s="567">
        <v>5.0</v>
      </c>
      <c r="BE248" s="567">
        <v>10.0</v>
      </c>
      <c r="BF248" s="567"/>
      <c r="BG248" s="567"/>
      <c r="BH248" s="567"/>
      <c r="BI248" s="567"/>
      <c r="BJ248" s="567"/>
      <c r="BK248" s="567"/>
      <c r="BL248" s="725"/>
      <c r="BM248" s="665">
        <f t="shared" si="1"/>
        <v>35</v>
      </c>
      <c r="BN248" s="671"/>
      <c r="BO248" s="668"/>
      <c r="BP248" s="668"/>
      <c r="BQ248" s="668"/>
      <c r="BR248" s="668"/>
      <c r="BS248" s="668"/>
      <c r="BT248" s="668"/>
      <c r="BU248" s="668"/>
      <c r="BV248" s="668"/>
      <c r="BW248" s="670"/>
      <c r="BX248" s="665">
        <f t="shared" si="2"/>
        <v>0</v>
      </c>
      <c r="BY248" s="671">
        <v>20.0</v>
      </c>
      <c r="BZ248" s="668">
        <v>5.0</v>
      </c>
      <c r="CA248" s="668">
        <v>10.0</v>
      </c>
      <c r="CB248" s="668">
        <v>0.0</v>
      </c>
      <c r="CC248" s="668">
        <v>0.0</v>
      </c>
      <c r="CD248" s="668">
        <v>0.0</v>
      </c>
      <c r="CE248" s="668">
        <v>0.0</v>
      </c>
      <c r="CF248" s="668">
        <v>0.0</v>
      </c>
      <c r="CG248" s="668">
        <v>0.0</v>
      </c>
      <c r="CH248" s="670">
        <v>0.0</v>
      </c>
      <c r="CI248" s="665">
        <f t="shared" si="3"/>
        <v>35</v>
      </c>
      <c r="CJ248" s="671">
        <f t="shared" si="4"/>
        <v>70</v>
      </c>
      <c r="CK248" s="715">
        <v>302.61</v>
      </c>
      <c r="CL248" s="668">
        <f t="shared" si="754"/>
        <v>2106.1656</v>
      </c>
      <c r="CM248" s="668">
        <f t="shared" ref="CM248:CV248" si="767">BC248*$CL248</f>
        <v>42123.312</v>
      </c>
      <c r="CN248" s="668">
        <f t="shared" si="767"/>
        <v>10530.828</v>
      </c>
      <c r="CO248" s="668">
        <f t="shared" si="767"/>
        <v>21061.656</v>
      </c>
      <c r="CP248" s="668">
        <f t="shared" si="767"/>
        <v>0</v>
      </c>
      <c r="CQ248" s="668">
        <f t="shared" si="767"/>
        <v>0</v>
      </c>
      <c r="CR248" s="668">
        <f t="shared" si="767"/>
        <v>0</v>
      </c>
      <c r="CS248" s="668">
        <f t="shared" si="767"/>
        <v>0</v>
      </c>
      <c r="CT248" s="668">
        <f t="shared" si="767"/>
        <v>0</v>
      </c>
      <c r="CU248" s="668">
        <f t="shared" si="767"/>
        <v>0</v>
      </c>
      <c r="CV248" s="668">
        <f t="shared" si="767"/>
        <v>0</v>
      </c>
      <c r="CW248" s="668">
        <f t="shared" si="21"/>
        <v>73715.796</v>
      </c>
      <c r="CX248" s="668">
        <f t="shared" ref="CX248:DG248" si="768">BN248*$CL248</f>
        <v>0</v>
      </c>
      <c r="CY248" s="668">
        <f t="shared" si="768"/>
        <v>0</v>
      </c>
      <c r="CZ248" s="668">
        <f t="shared" si="768"/>
        <v>0</v>
      </c>
      <c r="DA248" s="668">
        <f t="shared" si="768"/>
        <v>0</v>
      </c>
      <c r="DB248" s="668">
        <f t="shared" si="768"/>
        <v>0</v>
      </c>
      <c r="DC248" s="668">
        <f t="shared" si="768"/>
        <v>0</v>
      </c>
      <c r="DD248" s="668">
        <f t="shared" si="768"/>
        <v>0</v>
      </c>
      <c r="DE248" s="668">
        <f t="shared" si="768"/>
        <v>0</v>
      </c>
      <c r="DF248" s="668">
        <f t="shared" si="768"/>
        <v>0</v>
      </c>
      <c r="DG248" s="668">
        <f t="shared" si="768"/>
        <v>0</v>
      </c>
      <c r="DH248" s="668">
        <f t="shared" si="23"/>
        <v>0</v>
      </c>
      <c r="DI248" s="668">
        <f t="shared" ref="DI248:DR248" si="769">BY248*$CL248</f>
        <v>42123.312</v>
      </c>
      <c r="DJ248" s="668">
        <f t="shared" si="769"/>
        <v>10530.828</v>
      </c>
      <c r="DK248" s="668">
        <f t="shared" si="769"/>
        <v>21061.656</v>
      </c>
      <c r="DL248" s="668">
        <f t="shared" si="769"/>
        <v>0</v>
      </c>
      <c r="DM248" s="668">
        <f t="shared" si="769"/>
        <v>0</v>
      </c>
      <c r="DN248" s="668">
        <f t="shared" si="769"/>
        <v>0</v>
      </c>
      <c r="DO248" s="668">
        <f t="shared" si="769"/>
        <v>0</v>
      </c>
      <c r="DP248" s="668">
        <f t="shared" si="769"/>
        <v>0</v>
      </c>
      <c r="DQ248" s="668">
        <f t="shared" si="769"/>
        <v>0</v>
      </c>
      <c r="DR248" s="668">
        <f t="shared" si="769"/>
        <v>0</v>
      </c>
      <c r="DS248" s="668">
        <f t="shared" si="25"/>
        <v>73715.796</v>
      </c>
      <c r="DT248" s="668">
        <f t="shared" si="685"/>
        <v>147431.592</v>
      </c>
      <c r="DU248" s="538"/>
      <c r="DV248" s="468"/>
      <c r="DW248" s="698"/>
      <c r="DX248" s="698"/>
      <c r="DY248" s="698"/>
      <c r="DZ248" s="698"/>
      <c r="EA248" s="698"/>
      <c r="EB248" s="698"/>
      <c r="EC248" s="698"/>
      <c r="ED248" s="698"/>
      <c r="EE248" s="698"/>
      <c r="EF248" s="698"/>
      <c r="EG248" s="698"/>
      <c r="EH248" s="576" t="s">
        <v>3443</v>
      </c>
      <c r="EI248" s="716">
        <f>VLOOKUP(I248,CotizacionTDB,4,FALSE())</f>
        <v>302.61</v>
      </c>
      <c r="EJ248" s="716">
        <f>VLOOKUP(I248,CotizacionTDB,5,FALSE())</f>
        <v>257.22</v>
      </c>
      <c r="EK248" s="699"/>
    </row>
    <row r="249" ht="12.0" customHeight="1">
      <c r="A249" s="700" t="s">
        <v>3026</v>
      </c>
      <c r="B249" s="701">
        <v>2.0</v>
      </c>
      <c r="C249" s="562" t="s">
        <v>3034</v>
      </c>
      <c r="D249" s="743" t="s">
        <v>52</v>
      </c>
      <c r="E249" s="571" t="s">
        <v>2708</v>
      </c>
      <c r="F249" s="562" t="s">
        <v>1763</v>
      </c>
      <c r="G249" s="569" t="s">
        <v>2709</v>
      </c>
      <c r="H249" s="702" t="s">
        <v>2864</v>
      </c>
      <c r="I249" s="717" t="s">
        <v>2124</v>
      </c>
      <c r="J249" s="704" t="s">
        <v>219</v>
      </c>
      <c r="K249" s="562" t="s">
        <v>25</v>
      </c>
      <c r="L249" s="562">
        <v>2024.0</v>
      </c>
      <c r="M249" s="562"/>
      <c r="N249" s="562">
        <v>2024.0</v>
      </c>
      <c r="O249" s="562"/>
      <c r="P249" s="562"/>
      <c r="Q249" s="562"/>
      <c r="R249" s="562"/>
      <c r="S249" s="562"/>
      <c r="T249" s="562"/>
      <c r="U249" s="562"/>
      <c r="V249" s="562"/>
      <c r="W249" s="562">
        <v>3.0</v>
      </c>
      <c r="X249" s="562"/>
      <c r="Y249" s="562">
        <v>3.0</v>
      </c>
      <c r="Z249" s="562"/>
      <c r="AA249" s="562"/>
      <c r="AB249" s="562"/>
      <c r="AC249" s="562"/>
      <c r="AD249" s="562"/>
      <c r="AE249" s="562"/>
      <c r="AF249" s="562"/>
      <c r="AG249" s="562"/>
      <c r="AH249" s="562"/>
      <c r="AI249" s="562"/>
      <c r="AJ249" s="562"/>
      <c r="AK249" s="562"/>
      <c r="AL249" s="562"/>
      <c r="AM249" s="562"/>
      <c r="AN249" s="562"/>
      <c r="AO249" s="562"/>
      <c r="AP249" s="562"/>
      <c r="AQ249" s="562"/>
      <c r="AR249" s="562">
        <v>-2024.0</v>
      </c>
      <c r="AS249" s="562">
        <v>0.0</v>
      </c>
      <c r="AT249" s="562">
        <v>-2024.0</v>
      </c>
      <c r="AU249" s="562">
        <v>0.0</v>
      </c>
      <c r="AV249" s="562">
        <v>0.0</v>
      </c>
      <c r="AW249" s="562">
        <v>0.0</v>
      </c>
      <c r="AX249" s="562">
        <v>0.0</v>
      </c>
      <c r="AY249" s="562">
        <v>0.0</v>
      </c>
      <c r="AZ249" s="562">
        <v>0.0</v>
      </c>
      <c r="BA249" s="562">
        <v>0.0</v>
      </c>
      <c r="BB249" s="562"/>
      <c r="BC249" s="562"/>
      <c r="BD249" s="562"/>
      <c r="BE249" s="562">
        <v>15.0</v>
      </c>
      <c r="BF249" s="562"/>
      <c r="BG249" s="562"/>
      <c r="BH249" s="562"/>
      <c r="BI249" s="701">
        <v>1.0</v>
      </c>
      <c r="BJ249" s="562"/>
      <c r="BK249" s="562"/>
      <c r="BL249" s="562"/>
      <c r="BM249" s="665">
        <f t="shared" si="1"/>
        <v>16</v>
      </c>
      <c r="BN249" s="733">
        <v>15.0</v>
      </c>
      <c r="BO249" s="687">
        <v>5.0</v>
      </c>
      <c r="BP249" s="683"/>
      <c r="BQ249" s="683"/>
      <c r="BR249" s="683"/>
      <c r="BS249" s="683"/>
      <c r="BT249" s="683"/>
      <c r="BU249" s="683"/>
      <c r="BV249" s="683"/>
      <c r="BW249" s="686"/>
      <c r="BX249" s="665">
        <f t="shared" si="2"/>
        <v>20</v>
      </c>
      <c r="BY249" s="733">
        <v>15.0</v>
      </c>
      <c r="BZ249" s="687">
        <v>5.0</v>
      </c>
      <c r="CA249" s="687">
        <v>15.0</v>
      </c>
      <c r="CB249" s="683">
        <v>0.0</v>
      </c>
      <c r="CC249" s="683">
        <v>0.0</v>
      </c>
      <c r="CD249" s="683">
        <v>0.0</v>
      </c>
      <c r="CE249" s="683">
        <v>0.0</v>
      </c>
      <c r="CF249" s="683">
        <v>0.0</v>
      </c>
      <c r="CG249" s="683">
        <v>0.0</v>
      </c>
      <c r="CH249" s="686">
        <v>0.0</v>
      </c>
      <c r="CI249" s="665">
        <f t="shared" si="3"/>
        <v>35</v>
      </c>
      <c r="CJ249" s="682">
        <f t="shared" si="4"/>
        <v>71</v>
      </c>
      <c r="CK249" s="706">
        <v>432.48</v>
      </c>
      <c r="CL249" s="683">
        <f t="shared" si="754"/>
        <v>3010.0608</v>
      </c>
      <c r="CM249" s="683">
        <f t="shared" ref="CM249:CV249" si="770">BC249*$CL249</f>
        <v>0</v>
      </c>
      <c r="CN249" s="683">
        <f t="shared" si="770"/>
        <v>0</v>
      </c>
      <c r="CO249" s="683">
        <f t="shared" si="770"/>
        <v>45150.912</v>
      </c>
      <c r="CP249" s="683">
        <f t="shared" si="770"/>
        <v>0</v>
      </c>
      <c r="CQ249" s="683">
        <f t="shared" si="770"/>
        <v>0</v>
      </c>
      <c r="CR249" s="683">
        <f t="shared" si="770"/>
        <v>0</v>
      </c>
      <c r="CS249" s="683">
        <f t="shared" si="770"/>
        <v>3010.0608</v>
      </c>
      <c r="CT249" s="683">
        <f t="shared" si="770"/>
        <v>0</v>
      </c>
      <c r="CU249" s="683">
        <f t="shared" si="770"/>
        <v>0</v>
      </c>
      <c r="CV249" s="683">
        <f t="shared" si="770"/>
        <v>0</v>
      </c>
      <c r="CW249" s="683">
        <f t="shared" si="21"/>
        <v>48160.9728</v>
      </c>
      <c r="CX249" s="683">
        <f t="shared" ref="CX249:DG249" si="771">BN249*$CL249</f>
        <v>45150.912</v>
      </c>
      <c r="CY249" s="683">
        <f t="shared" si="771"/>
        <v>15050.304</v>
      </c>
      <c r="CZ249" s="683">
        <f t="shared" si="771"/>
        <v>0</v>
      </c>
      <c r="DA249" s="683">
        <f t="shared" si="771"/>
        <v>0</v>
      </c>
      <c r="DB249" s="683">
        <f t="shared" si="771"/>
        <v>0</v>
      </c>
      <c r="DC249" s="683">
        <f t="shared" si="771"/>
        <v>0</v>
      </c>
      <c r="DD249" s="683">
        <f t="shared" si="771"/>
        <v>0</v>
      </c>
      <c r="DE249" s="683">
        <f t="shared" si="771"/>
        <v>0</v>
      </c>
      <c r="DF249" s="683">
        <f t="shared" si="771"/>
        <v>0</v>
      </c>
      <c r="DG249" s="683">
        <f t="shared" si="771"/>
        <v>0</v>
      </c>
      <c r="DH249" s="683">
        <f t="shared" si="23"/>
        <v>60201.216</v>
      </c>
      <c r="DI249" s="683">
        <f t="shared" ref="DI249:DR249" si="772">BY249*$CL249</f>
        <v>45150.912</v>
      </c>
      <c r="DJ249" s="683">
        <f t="shared" si="772"/>
        <v>15050.304</v>
      </c>
      <c r="DK249" s="683">
        <f t="shared" si="772"/>
        <v>45150.912</v>
      </c>
      <c r="DL249" s="683">
        <f t="shared" si="772"/>
        <v>0</v>
      </c>
      <c r="DM249" s="683">
        <f t="shared" si="772"/>
        <v>0</v>
      </c>
      <c r="DN249" s="683">
        <f t="shared" si="772"/>
        <v>0</v>
      </c>
      <c r="DO249" s="683">
        <f t="shared" si="772"/>
        <v>0</v>
      </c>
      <c r="DP249" s="683">
        <f t="shared" si="772"/>
        <v>0</v>
      </c>
      <c r="DQ249" s="683">
        <f t="shared" si="772"/>
        <v>0</v>
      </c>
      <c r="DR249" s="683">
        <f t="shared" si="772"/>
        <v>0</v>
      </c>
      <c r="DS249" s="683">
        <f t="shared" si="25"/>
        <v>105352.128</v>
      </c>
      <c r="DT249" s="683">
        <f t="shared" si="685"/>
        <v>213714.3168</v>
      </c>
      <c r="DU249" s="504"/>
      <c r="DV249" s="486"/>
      <c r="DW249" s="688"/>
      <c r="DX249" s="688"/>
      <c r="DY249" s="688"/>
      <c r="DZ249" s="688"/>
      <c r="EA249" s="688"/>
      <c r="EB249" s="688"/>
      <c r="EC249" s="688"/>
      <c r="ED249" s="486"/>
      <c r="EE249" s="688"/>
      <c r="EF249" s="688"/>
      <c r="EG249" s="688"/>
      <c r="EH249" s="707" t="s">
        <v>219</v>
      </c>
      <c r="EI249" s="708">
        <f>VLOOKUP(I249,CotizacionTDB,4,FALSE())</f>
        <v>432.48</v>
      </c>
      <c r="EJ249" s="708">
        <f>VLOOKUP(I249,CotizacionTDB,5,FALSE())</f>
        <v>367.61</v>
      </c>
      <c r="EK249" s="691"/>
    </row>
    <row r="250" ht="12.0" customHeight="1">
      <c r="A250" s="709" t="s">
        <v>3026</v>
      </c>
      <c r="B250" s="661">
        <v>2.0</v>
      </c>
      <c r="C250" s="567" t="s">
        <v>3034</v>
      </c>
      <c r="D250" s="742" t="s">
        <v>52</v>
      </c>
      <c r="E250" s="568" t="s">
        <v>2708</v>
      </c>
      <c r="F250" s="567" t="s">
        <v>1763</v>
      </c>
      <c r="G250" s="569" t="s">
        <v>2709</v>
      </c>
      <c r="H250" s="569" t="s">
        <v>2883</v>
      </c>
      <c r="I250" s="710" t="s">
        <v>2204</v>
      </c>
      <c r="J250" s="711" t="s">
        <v>492</v>
      </c>
      <c r="K250" s="567" t="s">
        <v>25</v>
      </c>
      <c r="L250" s="567">
        <v>2024.0</v>
      </c>
      <c r="M250" s="567">
        <v>2024.0</v>
      </c>
      <c r="N250" s="567">
        <v>2024.0</v>
      </c>
      <c r="O250" s="567"/>
      <c r="P250" s="567"/>
      <c r="Q250" s="567"/>
      <c r="R250" s="567"/>
      <c r="S250" s="567"/>
      <c r="T250" s="567"/>
      <c r="U250" s="567"/>
      <c r="V250" s="567"/>
      <c r="W250" s="567">
        <v>3.0</v>
      </c>
      <c r="X250" s="567">
        <v>3.0</v>
      </c>
      <c r="Y250" s="567">
        <v>3.0</v>
      </c>
      <c r="Z250" s="567"/>
      <c r="AA250" s="567"/>
      <c r="AB250" s="567"/>
      <c r="AC250" s="567"/>
      <c r="AD250" s="567"/>
      <c r="AE250" s="567"/>
      <c r="AF250" s="567"/>
      <c r="AG250" s="567"/>
      <c r="AH250" s="567"/>
      <c r="AI250" s="567"/>
      <c r="AJ250" s="567"/>
      <c r="AK250" s="567"/>
      <c r="AL250" s="567"/>
      <c r="AM250" s="567"/>
      <c r="AN250" s="567"/>
      <c r="AO250" s="567"/>
      <c r="AP250" s="567"/>
      <c r="AQ250" s="567"/>
      <c r="AR250" s="567">
        <v>-2024.0</v>
      </c>
      <c r="AS250" s="567">
        <v>-2024.0</v>
      </c>
      <c r="AT250" s="567">
        <v>-2024.0</v>
      </c>
      <c r="AU250" s="567">
        <v>0.0</v>
      </c>
      <c r="AV250" s="567">
        <v>0.0</v>
      </c>
      <c r="AW250" s="567">
        <v>0.0</v>
      </c>
      <c r="AX250" s="567">
        <v>0.0</v>
      </c>
      <c r="AY250" s="567">
        <v>0.0</v>
      </c>
      <c r="AZ250" s="567">
        <v>0.0</v>
      </c>
      <c r="BA250" s="567">
        <v>0.0</v>
      </c>
      <c r="BB250" s="567"/>
      <c r="BC250" s="661">
        <v>90.0</v>
      </c>
      <c r="BD250" s="661">
        <v>6.0</v>
      </c>
      <c r="BE250" s="567">
        <v>40.0</v>
      </c>
      <c r="BF250" s="567"/>
      <c r="BG250" s="567"/>
      <c r="BH250" s="567"/>
      <c r="BI250" s="567"/>
      <c r="BJ250" s="567"/>
      <c r="BK250" s="567"/>
      <c r="BL250" s="725"/>
      <c r="BM250" s="665">
        <f t="shared" si="1"/>
        <v>136</v>
      </c>
      <c r="BN250" s="736"/>
      <c r="BO250" s="668"/>
      <c r="BP250" s="668"/>
      <c r="BQ250" s="668"/>
      <c r="BR250" s="668"/>
      <c r="BS250" s="668"/>
      <c r="BT250" s="668"/>
      <c r="BU250" s="668"/>
      <c r="BV250" s="668"/>
      <c r="BW250" s="670"/>
      <c r="BX250" s="665">
        <f t="shared" si="2"/>
        <v>0</v>
      </c>
      <c r="BY250" s="736">
        <v>90.0</v>
      </c>
      <c r="BZ250" s="668">
        <v>0.0</v>
      </c>
      <c r="CA250" s="674">
        <v>2.0</v>
      </c>
      <c r="CB250" s="668">
        <v>0.0</v>
      </c>
      <c r="CC250" s="668">
        <v>0.0</v>
      </c>
      <c r="CD250" s="668">
        <v>0.0</v>
      </c>
      <c r="CE250" s="668">
        <v>0.0</v>
      </c>
      <c r="CF250" s="668">
        <v>0.0</v>
      </c>
      <c r="CG250" s="668">
        <v>0.0</v>
      </c>
      <c r="CH250" s="670">
        <v>0.0</v>
      </c>
      <c r="CI250" s="665">
        <f t="shared" si="3"/>
        <v>92</v>
      </c>
      <c r="CJ250" s="671">
        <f t="shared" si="4"/>
        <v>228</v>
      </c>
      <c r="CK250" s="715">
        <v>49.22</v>
      </c>
      <c r="CL250" s="668">
        <f t="shared" si="754"/>
        <v>342.5712</v>
      </c>
      <c r="CM250" s="668">
        <f t="shared" ref="CM250:CV250" si="773">BC250*$CL250</f>
        <v>30831.408</v>
      </c>
      <c r="CN250" s="668">
        <f t="shared" si="773"/>
        <v>2055.4272</v>
      </c>
      <c r="CO250" s="668">
        <f t="shared" si="773"/>
        <v>13702.848</v>
      </c>
      <c r="CP250" s="668">
        <f t="shared" si="773"/>
        <v>0</v>
      </c>
      <c r="CQ250" s="668">
        <f t="shared" si="773"/>
        <v>0</v>
      </c>
      <c r="CR250" s="668">
        <f t="shared" si="773"/>
        <v>0</v>
      </c>
      <c r="CS250" s="668">
        <f t="shared" si="773"/>
        <v>0</v>
      </c>
      <c r="CT250" s="668">
        <f t="shared" si="773"/>
        <v>0</v>
      </c>
      <c r="CU250" s="668">
        <f t="shared" si="773"/>
        <v>0</v>
      </c>
      <c r="CV250" s="668">
        <f t="shared" si="773"/>
        <v>0</v>
      </c>
      <c r="CW250" s="668">
        <f t="shared" si="21"/>
        <v>46589.6832</v>
      </c>
      <c r="CX250" s="668">
        <f t="shared" ref="CX250:DG250" si="774">BN250*$CL250</f>
        <v>0</v>
      </c>
      <c r="CY250" s="668">
        <f t="shared" si="774"/>
        <v>0</v>
      </c>
      <c r="CZ250" s="668">
        <f t="shared" si="774"/>
        <v>0</v>
      </c>
      <c r="DA250" s="668">
        <f t="shared" si="774"/>
        <v>0</v>
      </c>
      <c r="DB250" s="668">
        <f t="shared" si="774"/>
        <v>0</v>
      </c>
      <c r="DC250" s="668">
        <f t="shared" si="774"/>
        <v>0</v>
      </c>
      <c r="DD250" s="668">
        <f t="shared" si="774"/>
        <v>0</v>
      </c>
      <c r="DE250" s="668">
        <f t="shared" si="774"/>
        <v>0</v>
      </c>
      <c r="DF250" s="668">
        <f t="shared" si="774"/>
        <v>0</v>
      </c>
      <c r="DG250" s="668">
        <f t="shared" si="774"/>
        <v>0</v>
      </c>
      <c r="DH250" s="668">
        <f t="shared" si="23"/>
        <v>0</v>
      </c>
      <c r="DI250" s="668">
        <f t="shared" ref="DI250:DR250" si="775">BY250*$CL250</f>
        <v>30831.408</v>
      </c>
      <c r="DJ250" s="668">
        <f t="shared" si="775"/>
        <v>0</v>
      </c>
      <c r="DK250" s="668">
        <f t="shared" si="775"/>
        <v>685.1424</v>
      </c>
      <c r="DL250" s="668">
        <f t="shared" si="775"/>
        <v>0</v>
      </c>
      <c r="DM250" s="668">
        <f t="shared" si="775"/>
        <v>0</v>
      </c>
      <c r="DN250" s="668">
        <f t="shared" si="775"/>
        <v>0</v>
      </c>
      <c r="DO250" s="668">
        <f t="shared" si="775"/>
        <v>0</v>
      </c>
      <c r="DP250" s="668">
        <f t="shared" si="775"/>
        <v>0</v>
      </c>
      <c r="DQ250" s="668">
        <f t="shared" si="775"/>
        <v>0</v>
      </c>
      <c r="DR250" s="668">
        <f t="shared" si="775"/>
        <v>0</v>
      </c>
      <c r="DS250" s="668">
        <f t="shared" si="25"/>
        <v>31516.5504</v>
      </c>
      <c r="DT250" s="668">
        <f t="shared" si="685"/>
        <v>78106.2336</v>
      </c>
      <c r="DU250" s="538"/>
      <c r="DV250" s="468"/>
      <c r="DW250" s="698"/>
      <c r="DX250" s="698"/>
      <c r="DY250" s="698"/>
      <c r="DZ250" s="698"/>
      <c r="EA250" s="698"/>
      <c r="EB250" s="698"/>
      <c r="EC250" s="698"/>
      <c r="ED250" s="698"/>
      <c r="EE250" s="698"/>
      <c r="EF250" s="698"/>
      <c r="EG250" s="698"/>
      <c r="EH250" s="576" t="s">
        <v>492</v>
      </c>
      <c r="EI250" s="716">
        <f>VLOOKUP(I250,CotizacionTDB,4,FALSE())</f>
        <v>49.22</v>
      </c>
      <c r="EJ250" s="716">
        <f>VLOOKUP(I250,CotizacionTDB,5,FALSE())</f>
        <v>41.84</v>
      </c>
      <c r="EK250" s="699"/>
    </row>
    <row r="251" ht="12.0" customHeight="1">
      <c r="A251" s="700" t="s">
        <v>3026</v>
      </c>
      <c r="B251" s="701">
        <v>2.0</v>
      </c>
      <c r="C251" s="562" t="s">
        <v>3034</v>
      </c>
      <c r="D251" s="743" t="s">
        <v>52</v>
      </c>
      <c r="E251" s="571" t="s">
        <v>2708</v>
      </c>
      <c r="F251" s="562" t="s">
        <v>1763</v>
      </c>
      <c r="G251" s="569" t="s">
        <v>2709</v>
      </c>
      <c r="H251" s="737"/>
      <c r="I251" s="717" t="s">
        <v>2473</v>
      </c>
      <c r="J251" s="771" t="s">
        <v>353</v>
      </c>
      <c r="K251" s="562" t="s">
        <v>25</v>
      </c>
      <c r="L251" s="562">
        <v>2024.0</v>
      </c>
      <c r="M251" s="562">
        <v>2024.0</v>
      </c>
      <c r="N251" s="562">
        <v>2024.0</v>
      </c>
      <c r="O251" s="562"/>
      <c r="P251" s="562"/>
      <c r="Q251" s="562"/>
      <c r="R251" s="562"/>
      <c r="S251" s="562"/>
      <c r="T251" s="562"/>
      <c r="U251" s="562"/>
      <c r="V251" s="562"/>
      <c r="W251" s="562">
        <v>3.0</v>
      </c>
      <c r="X251" s="562"/>
      <c r="Y251" s="562">
        <v>3.0</v>
      </c>
      <c r="Z251" s="562"/>
      <c r="AA251" s="562"/>
      <c r="AB251" s="562"/>
      <c r="AC251" s="562"/>
      <c r="AD251" s="562"/>
      <c r="AE251" s="562"/>
      <c r="AF251" s="562"/>
      <c r="AG251" s="562"/>
      <c r="AH251" s="562"/>
      <c r="AI251" s="562"/>
      <c r="AJ251" s="562"/>
      <c r="AK251" s="562"/>
      <c r="AL251" s="562"/>
      <c r="AM251" s="562"/>
      <c r="AN251" s="562"/>
      <c r="AO251" s="562"/>
      <c r="AP251" s="562"/>
      <c r="AQ251" s="562"/>
      <c r="AR251" s="562">
        <v>-2024.0</v>
      </c>
      <c r="AS251" s="562">
        <v>-2024.0</v>
      </c>
      <c r="AT251" s="562">
        <v>-2024.0</v>
      </c>
      <c r="AU251" s="562">
        <v>0.0</v>
      </c>
      <c r="AV251" s="562">
        <v>0.0</v>
      </c>
      <c r="AW251" s="562">
        <v>0.0</v>
      </c>
      <c r="AX251" s="562">
        <v>0.0</v>
      </c>
      <c r="AY251" s="562">
        <v>0.0</v>
      </c>
      <c r="AZ251" s="562">
        <v>0.0</v>
      </c>
      <c r="BA251" s="562">
        <v>0.0</v>
      </c>
      <c r="BB251" s="562"/>
      <c r="BC251" s="562"/>
      <c r="BD251" s="562"/>
      <c r="BE251" s="701">
        <v>10.0</v>
      </c>
      <c r="BF251" s="562"/>
      <c r="BG251" s="562"/>
      <c r="BH251" s="562"/>
      <c r="BI251" s="701">
        <v>4.0</v>
      </c>
      <c r="BJ251" s="825">
        <v>1.0</v>
      </c>
      <c r="BK251" s="562"/>
      <c r="BL251" s="681"/>
      <c r="BM251" s="665">
        <f t="shared" si="1"/>
        <v>15</v>
      </c>
      <c r="BN251" s="733">
        <v>10.0</v>
      </c>
      <c r="BO251" s="683"/>
      <c r="BP251" s="687">
        <v>6.0</v>
      </c>
      <c r="BQ251" s="687">
        <v>2.0</v>
      </c>
      <c r="BR251" s="687">
        <v>2.0</v>
      </c>
      <c r="BS251" s="687">
        <v>2.0</v>
      </c>
      <c r="BT251" s="687">
        <v>1.0</v>
      </c>
      <c r="BU251" s="683"/>
      <c r="BV251" s="687">
        <v>1.0</v>
      </c>
      <c r="BW251" s="686"/>
      <c r="BX251" s="665">
        <f t="shared" si="2"/>
        <v>24</v>
      </c>
      <c r="BY251" s="733">
        <v>15.0</v>
      </c>
      <c r="BZ251" s="687">
        <v>6.0</v>
      </c>
      <c r="CA251" s="687">
        <v>2.0</v>
      </c>
      <c r="CB251" s="683">
        <v>0.0</v>
      </c>
      <c r="CC251" s="683">
        <v>0.0</v>
      </c>
      <c r="CD251" s="683">
        <v>0.0</v>
      </c>
      <c r="CE251" s="683">
        <v>0.0</v>
      </c>
      <c r="CF251" s="683">
        <v>0.0</v>
      </c>
      <c r="CG251" s="683">
        <v>0.0</v>
      </c>
      <c r="CH251" s="686">
        <v>0.0</v>
      </c>
      <c r="CI251" s="665">
        <f t="shared" si="3"/>
        <v>23</v>
      </c>
      <c r="CJ251" s="682">
        <f t="shared" si="4"/>
        <v>62</v>
      </c>
      <c r="CK251" s="706">
        <v>357.72</v>
      </c>
      <c r="CL251" s="683">
        <f t="shared" si="754"/>
        <v>2489.7312</v>
      </c>
      <c r="CM251" s="683">
        <f t="shared" ref="CM251:CV251" si="776">BC251*$CL251</f>
        <v>0</v>
      </c>
      <c r="CN251" s="683">
        <f t="shared" si="776"/>
        <v>0</v>
      </c>
      <c r="CO251" s="683">
        <f t="shared" si="776"/>
        <v>24897.312</v>
      </c>
      <c r="CP251" s="683">
        <f t="shared" si="776"/>
        <v>0</v>
      </c>
      <c r="CQ251" s="683">
        <f t="shared" si="776"/>
        <v>0</v>
      </c>
      <c r="CR251" s="683">
        <f t="shared" si="776"/>
        <v>0</v>
      </c>
      <c r="CS251" s="683">
        <f t="shared" si="776"/>
        <v>9958.9248</v>
      </c>
      <c r="CT251" s="683">
        <f t="shared" si="776"/>
        <v>2489.7312</v>
      </c>
      <c r="CU251" s="683">
        <f t="shared" si="776"/>
        <v>0</v>
      </c>
      <c r="CV251" s="683">
        <f t="shared" si="776"/>
        <v>0</v>
      </c>
      <c r="CW251" s="683">
        <f t="shared" si="21"/>
        <v>37345.968</v>
      </c>
      <c r="CX251" s="683">
        <f t="shared" ref="CX251:DG251" si="777">BN251*$CL251</f>
        <v>24897.312</v>
      </c>
      <c r="CY251" s="683">
        <f t="shared" si="777"/>
        <v>0</v>
      </c>
      <c r="CZ251" s="683">
        <f t="shared" si="777"/>
        <v>14938.3872</v>
      </c>
      <c r="DA251" s="683">
        <f t="shared" si="777"/>
        <v>4979.4624</v>
      </c>
      <c r="DB251" s="683">
        <f t="shared" si="777"/>
        <v>4979.4624</v>
      </c>
      <c r="DC251" s="683">
        <f t="shared" si="777"/>
        <v>4979.4624</v>
      </c>
      <c r="DD251" s="683">
        <f t="shared" si="777"/>
        <v>2489.7312</v>
      </c>
      <c r="DE251" s="683">
        <f t="shared" si="777"/>
        <v>0</v>
      </c>
      <c r="DF251" s="683">
        <f t="shared" si="777"/>
        <v>2489.7312</v>
      </c>
      <c r="DG251" s="683">
        <f t="shared" si="777"/>
        <v>0</v>
      </c>
      <c r="DH251" s="683">
        <f t="shared" si="23"/>
        <v>59753.5488</v>
      </c>
      <c r="DI251" s="683">
        <f t="shared" ref="DI251:DR251" si="778">BY251*$CL251</f>
        <v>37345.968</v>
      </c>
      <c r="DJ251" s="683">
        <f t="shared" si="778"/>
        <v>14938.3872</v>
      </c>
      <c r="DK251" s="683">
        <f t="shared" si="778"/>
        <v>4979.4624</v>
      </c>
      <c r="DL251" s="683">
        <f t="shared" si="778"/>
        <v>0</v>
      </c>
      <c r="DM251" s="683">
        <f t="shared" si="778"/>
        <v>0</v>
      </c>
      <c r="DN251" s="683">
        <f t="shared" si="778"/>
        <v>0</v>
      </c>
      <c r="DO251" s="683">
        <f t="shared" si="778"/>
        <v>0</v>
      </c>
      <c r="DP251" s="683">
        <f t="shared" si="778"/>
        <v>0</v>
      </c>
      <c r="DQ251" s="683">
        <f t="shared" si="778"/>
        <v>0</v>
      </c>
      <c r="DR251" s="683">
        <f t="shared" si="778"/>
        <v>0</v>
      </c>
      <c r="DS251" s="683">
        <f t="shared" si="25"/>
        <v>57263.8176</v>
      </c>
      <c r="DT251" s="683">
        <f t="shared" si="685"/>
        <v>154363.3344</v>
      </c>
      <c r="DU251" s="504"/>
      <c r="DV251" s="486"/>
      <c r="DW251" s="688"/>
      <c r="DX251" s="688"/>
      <c r="DY251" s="688"/>
      <c r="DZ251" s="688"/>
      <c r="EA251" s="688"/>
      <c r="EB251" s="688"/>
      <c r="EC251" s="688"/>
      <c r="ED251" s="688"/>
      <c r="EE251" s="688"/>
      <c r="EF251" s="688"/>
      <c r="EG251" s="688"/>
      <c r="EH251" s="707" t="s">
        <v>3444</v>
      </c>
      <c r="EI251" s="708">
        <f>VLOOKUP(I251,CotizacionTDB,4,FALSE())</f>
        <v>357.72</v>
      </c>
      <c r="EJ251" s="708">
        <f>VLOOKUP(I251,CotizacionTDB,5,FALSE())</f>
        <v>304.06</v>
      </c>
      <c r="EK251" s="691"/>
    </row>
    <row r="252" ht="12.0" customHeight="1">
      <c r="A252" s="709" t="s">
        <v>3026</v>
      </c>
      <c r="B252" s="661">
        <v>2.0</v>
      </c>
      <c r="C252" s="567" t="s">
        <v>3034</v>
      </c>
      <c r="D252" s="742" t="s">
        <v>52</v>
      </c>
      <c r="E252" s="568" t="s">
        <v>2708</v>
      </c>
      <c r="F252" s="567" t="s">
        <v>1763</v>
      </c>
      <c r="G252" s="569" t="s">
        <v>2709</v>
      </c>
      <c r="H252" s="569" t="s">
        <v>2889</v>
      </c>
      <c r="I252" s="710" t="s">
        <v>2020</v>
      </c>
      <c r="J252" s="711" t="s">
        <v>389</v>
      </c>
      <c r="K252" s="567" t="s">
        <v>25</v>
      </c>
      <c r="L252" s="567">
        <v>2024.0</v>
      </c>
      <c r="M252" s="567"/>
      <c r="N252" s="567">
        <v>2024.0</v>
      </c>
      <c r="O252" s="567"/>
      <c r="P252" s="567">
        <v>2024.0</v>
      </c>
      <c r="Q252" s="567">
        <v>2024.0</v>
      </c>
      <c r="R252" s="567">
        <v>2025.0</v>
      </c>
      <c r="S252" s="567">
        <v>2025.0</v>
      </c>
      <c r="T252" s="567">
        <v>2025.0</v>
      </c>
      <c r="U252" s="567"/>
      <c r="V252" s="567"/>
      <c r="W252" s="567">
        <v>6.0</v>
      </c>
      <c r="X252" s="567"/>
      <c r="Y252" s="567">
        <v>6.0</v>
      </c>
      <c r="Z252" s="567"/>
      <c r="AA252" s="567">
        <v>7.0</v>
      </c>
      <c r="AB252" s="567">
        <v>7.0</v>
      </c>
      <c r="AC252" s="567">
        <v>7.0</v>
      </c>
      <c r="AD252" s="567">
        <v>7.0</v>
      </c>
      <c r="AE252" s="567">
        <v>7.0</v>
      </c>
      <c r="AF252" s="567"/>
      <c r="AG252" s="567"/>
      <c r="AH252" s="567"/>
      <c r="AI252" s="567"/>
      <c r="AJ252" s="567"/>
      <c r="AK252" s="567"/>
      <c r="AL252" s="567"/>
      <c r="AM252" s="567"/>
      <c r="AN252" s="567"/>
      <c r="AO252" s="567"/>
      <c r="AP252" s="567"/>
      <c r="AQ252" s="567"/>
      <c r="AR252" s="567">
        <v>-2024.0</v>
      </c>
      <c r="AS252" s="567">
        <v>0.0</v>
      </c>
      <c r="AT252" s="567">
        <v>-2024.0</v>
      </c>
      <c r="AU252" s="567">
        <v>0.0</v>
      </c>
      <c r="AV252" s="567">
        <v>-2024.0</v>
      </c>
      <c r="AW252" s="567">
        <v>-2024.0</v>
      </c>
      <c r="AX252" s="567">
        <v>-2025.0</v>
      </c>
      <c r="AY252" s="567">
        <v>-2025.0</v>
      </c>
      <c r="AZ252" s="567">
        <v>-2025.0</v>
      </c>
      <c r="BA252" s="567">
        <v>0.0</v>
      </c>
      <c r="BB252" s="567"/>
      <c r="BC252" s="567"/>
      <c r="BD252" s="567"/>
      <c r="BE252" s="661">
        <v>50.0</v>
      </c>
      <c r="BF252" s="567"/>
      <c r="BG252" s="567">
        <v>252.0</v>
      </c>
      <c r="BH252" s="567">
        <v>416.0</v>
      </c>
      <c r="BI252" s="659"/>
      <c r="BJ252" s="659"/>
      <c r="BK252" s="659"/>
      <c r="BL252" s="725"/>
      <c r="BM252" s="665">
        <f t="shared" si="1"/>
        <v>718</v>
      </c>
      <c r="BN252" s="736"/>
      <c r="BO252" s="674">
        <v>30.0</v>
      </c>
      <c r="BP252" s="674">
        <v>50.0</v>
      </c>
      <c r="BQ252" s="668"/>
      <c r="BR252" s="668"/>
      <c r="BS252" s="668"/>
      <c r="BT252" s="668">
        <v>262.0</v>
      </c>
      <c r="BU252" s="668">
        <v>310.0</v>
      </c>
      <c r="BV252" s="668">
        <v>52.0</v>
      </c>
      <c r="BW252" s="670"/>
      <c r="BX252" s="665">
        <f t="shared" si="2"/>
        <v>704</v>
      </c>
      <c r="BY252" s="736">
        <v>234.0</v>
      </c>
      <c r="BZ252" s="668">
        <v>0.0</v>
      </c>
      <c r="CA252" s="668">
        <v>0.0</v>
      </c>
      <c r="CB252" s="668">
        <v>0.0</v>
      </c>
      <c r="CC252" s="668">
        <v>0.0</v>
      </c>
      <c r="CD252" s="668">
        <v>0.0</v>
      </c>
      <c r="CE252" s="668">
        <v>0.0</v>
      </c>
      <c r="CF252" s="668">
        <v>0.0</v>
      </c>
      <c r="CG252" s="668">
        <v>0.0</v>
      </c>
      <c r="CH252" s="670">
        <v>0.0</v>
      </c>
      <c r="CI252" s="665">
        <f t="shared" si="3"/>
        <v>234</v>
      </c>
      <c r="CJ252" s="671">
        <f t="shared" si="4"/>
        <v>1656</v>
      </c>
      <c r="CK252" s="715">
        <v>10.04</v>
      </c>
      <c r="CL252" s="668">
        <f t="shared" si="754"/>
        <v>69.8784</v>
      </c>
      <c r="CM252" s="668">
        <f t="shared" ref="CM252:CV252" si="779">BC252*$CL252</f>
        <v>0</v>
      </c>
      <c r="CN252" s="668">
        <f t="shared" si="779"/>
        <v>0</v>
      </c>
      <c r="CO252" s="668">
        <f t="shared" si="779"/>
        <v>3493.92</v>
      </c>
      <c r="CP252" s="668">
        <f t="shared" si="779"/>
        <v>0</v>
      </c>
      <c r="CQ252" s="668">
        <f t="shared" si="779"/>
        <v>17609.3568</v>
      </c>
      <c r="CR252" s="668">
        <f t="shared" si="779"/>
        <v>29069.4144</v>
      </c>
      <c r="CS252" s="668">
        <f t="shared" si="779"/>
        <v>0</v>
      </c>
      <c r="CT252" s="668">
        <f t="shared" si="779"/>
        <v>0</v>
      </c>
      <c r="CU252" s="668">
        <f t="shared" si="779"/>
        <v>0</v>
      </c>
      <c r="CV252" s="668">
        <f t="shared" si="779"/>
        <v>0</v>
      </c>
      <c r="CW252" s="668">
        <f t="shared" si="21"/>
        <v>50172.6912</v>
      </c>
      <c r="CX252" s="668">
        <f t="shared" ref="CX252:DG252" si="780">BN252*$CL252</f>
        <v>0</v>
      </c>
      <c r="CY252" s="668">
        <f t="shared" si="780"/>
        <v>2096.352</v>
      </c>
      <c r="CZ252" s="668">
        <f t="shared" si="780"/>
        <v>3493.92</v>
      </c>
      <c r="DA252" s="668">
        <f t="shared" si="780"/>
        <v>0</v>
      </c>
      <c r="DB252" s="668">
        <f t="shared" si="780"/>
        <v>0</v>
      </c>
      <c r="DC252" s="668">
        <f t="shared" si="780"/>
        <v>0</v>
      </c>
      <c r="DD252" s="668">
        <f t="shared" si="780"/>
        <v>18308.1408</v>
      </c>
      <c r="DE252" s="668">
        <f t="shared" si="780"/>
        <v>21662.304</v>
      </c>
      <c r="DF252" s="668">
        <f t="shared" si="780"/>
        <v>3633.6768</v>
      </c>
      <c r="DG252" s="668">
        <f t="shared" si="780"/>
        <v>0</v>
      </c>
      <c r="DH252" s="668">
        <f t="shared" si="23"/>
        <v>49194.3936</v>
      </c>
      <c r="DI252" s="668">
        <f t="shared" ref="DI252:DR252" si="781">BY252*$CL252</f>
        <v>16351.5456</v>
      </c>
      <c r="DJ252" s="668">
        <f t="shared" si="781"/>
        <v>0</v>
      </c>
      <c r="DK252" s="668">
        <f t="shared" si="781"/>
        <v>0</v>
      </c>
      <c r="DL252" s="668">
        <f t="shared" si="781"/>
        <v>0</v>
      </c>
      <c r="DM252" s="668">
        <f t="shared" si="781"/>
        <v>0</v>
      </c>
      <c r="DN252" s="668">
        <f t="shared" si="781"/>
        <v>0</v>
      </c>
      <c r="DO252" s="668">
        <f t="shared" si="781"/>
        <v>0</v>
      </c>
      <c r="DP252" s="668">
        <f t="shared" si="781"/>
        <v>0</v>
      </c>
      <c r="DQ252" s="668">
        <f t="shared" si="781"/>
        <v>0</v>
      </c>
      <c r="DR252" s="668">
        <f t="shared" si="781"/>
        <v>0</v>
      </c>
      <c r="DS252" s="668">
        <f t="shared" si="25"/>
        <v>16351.5456</v>
      </c>
      <c r="DT252" s="668">
        <f t="shared" si="685"/>
        <v>115718.6304</v>
      </c>
      <c r="DU252" s="538"/>
      <c r="DV252" s="468"/>
      <c r="DW252" s="698"/>
      <c r="DX252" s="698"/>
      <c r="DY252" s="698"/>
      <c r="DZ252" s="698"/>
      <c r="EA252" s="698"/>
      <c r="EB252" s="698"/>
      <c r="EC252" s="698"/>
      <c r="ED252" s="698"/>
      <c r="EE252" s="698"/>
      <c r="EF252" s="698"/>
      <c r="EG252" s="698"/>
      <c r="EH252" s="576" t="s">
        <v>389</v>
      </c>
      <c r="EI252" s="716">
        <f>VLOOKUP(I252,CotizacionTDB,4,FALSE())</f>
        <v>10.04</v>
      </c>
      <c r="EJ252" s="716">
        <f>VLOOKUP(I252,CotizacionTDB,5,FALSE())</f>
        <v>8.53</v>
      </c>
      <c r="EK252" s="699"/>
    </row>
    <row r="253" ht="12.0" customHeight="1">
      <c r="A253" s="700" t="s">
        <v>3026</v>
      </c>
      <c r="B253" s="701">
        <v>2.0</v>
      </c>
      <c r="C253" s="562" t="s">
        <v>3034</v>
      </c>
      <c r="D253" s="743" t="s">
        <v>52</v>
      </c>
      <c r="E253" s="571" t="s">
        <v>2708</v>
      </c>
      <c r="F253" s="562" t="s">
        <v>1763</v>
      </c>
      <c r="G253" s="569" t="s">
        <v>2709</v>
      </c>
      <c r="H253" s="569" t="s">
        <v>3445</v>
      </c>
      <c r="I253" s="703" t="s">
        <v>2185</v>
      </c>
      <c r="J253" s="704" t="s">
        <v>222</v>
      </c>
      <c r="K253" s="562" t="s">
        <v>25</v>
      </c>
      <c r="L253" s="562">
        <v>2024.0</v>
      </c>
      <c r="M253" s="562">
        <v>2024.0</v>
      </c>
      <c r="N253" s="562">
        <v>2024.0</v>
      </c>
      <c r="O253" s="562"/>
      <c r="P253" s="562"/>
      <c r="Q253" s="562"/>
      <c r="R253" s="562"/>
      <c r="S253" s="562"/>
      <c r="T253" s="562"/>
      <c r="U253" s="562"/>
      <c r="V253" s="562"/>
      <c r="W253" s="562">
        <v>3.0</v>
      </c>
      <c r="X253" s="562">
        <v>3.0</v>
      </c>
      <c r="Y253" s="562">
        <v>3.0</v>
      </c>
      <c r="Z253" s="562"/>
      <c r="AA253" s="562"/>
      <c r="AB253" s="562"/>
      <c r="AC253" s="562"/>
      <c r="AD253" s="562"/>
      <c r="AE253" s="562"/>
      <c r="AF253" s="562"/>
      <c r="AG253" s="562"/>
      <c r="AH253" s="562"/>
      <c r="AI253" s="562"/>
      <c r="AJ253" s="562"/>
      <c r="AK253" s="562"/>
      <c r="AL253" s="562"/>
      <c r="AM253" s="562"/>
      <c r="AN253" s="562"/>
      <c r="AO253" s="562"/>
      <c r="AP253" s="562"/>
      <c r="AQ253" s="562"/>
      <c r="AR253" s="562">
        <v>-2024.0</v>
      </c>
      <c r="AS253" s="562">
        <v>-2024.0</v>
      </c>
      <c r="AT253" s="562">
        <v>-2024.0</v>
      </c>
      <c r="AU253" s="562">
        <v>0.0</v>
      </c>
      <c r="AV253" s="562">
        <v>0.0</v>
      </c>
      <c r="AW253" s="562">
        <v>0.0</v>
      </c>
      <c r="AX253" s="562">
        <v>0.0</v>
      </c>
      <c r="AY253" s="562">
        <v>0.0</v>
      </c>
      <c r="AZ253" s="562">
        <v>0.0</v>
      </c>
      <c r="BA253" s="562">
        <v>0.0</v>
      </c>
      <c r="BB253" s="562"/>
      <c r="BC253" s="701"/>
      <c r="BD253" s="562">
        <v>5.0</v>
      </c>
      <c r="BE253" s="562">
        <v>15.0</v>
      </c>
      <c r="BF253" s="562"/>
      <c r="BG253" s="562"/>
      <c r="BH253" s="562"/>
      <c r="BI253" s="562"/>
      <c r="BJ253" s="562"/>
      <c r="BK253" s="562"/>
      <c r="BL253" s="681"/>
      <c r="BM253" s="665">
        <f t="shared" si="1"/>
        <v>20</v>
      </c>
      <c r="BN253" s="733">
        <v>5.0</v>
      </c>
      <c r="BO253" s="683"/>
      <c r="BP253" s="683"/>
      <c r="BQ253" s="683"/>
      <c r="BR253" s="683"/>
      <c r="BS253" s="683"/>
      <c r="BT253" s="683"/>
      <c r="BU253" s="683"/>
      <c r="BV253" s="683"/>
      <c r="BW253" s="686"/>
      <c r="BX253" s="665">
        <f t="shared" si="2"/>
        <v>5</v>
      </c>
      <c r="BY253" s="682">
        <v>0.0</v>
      </c>
      <c r="BZ253" s="683">
        <v>0.0</v>
      </c>
      <c r="CA253" s="683">
        <v>0.0</v>
      </c>
      <c r="CB253" s="683">
        <v>0.0</v>
      </c>
      <c r="CC253" s="683">
        <v>0.0</v>
      </c>
      <c r="CD253" s="683">
        <v>0.0</v>
      </c>
      <c r="CE253" s="683">
        <v>0.0</v>
      </c>
      <c r="CF253" s="683">
        <v>0.0</v>
      </c>
      <c r="CG253" s="683">
        <v>0.0</v>
      </c>
      <c r="CH253" s="686">
        <v>0.0</v>
      </c>
      <c r="CI253" s="665">
        <f t="shared" si="3"/>
        <v>0</v>
      </c>
      <c r="CJ253" s="682">
        <f t="shared" si="4"/>
        <v>25</v>
      </c>
      <c r="CK253" s="706">
        <v>194.51</v>
      </c>
      <c r="CL253" s="683">
        <f t="shared" si="754"/>
        <v>1353.7896</v>
      </c>
      <c r="CM253" s="683">
        <f t="shared" ref="CM253:CV253" si="782">BC253*$CL253</f>
        <v>0</v>
      </c>
      <c r="CN253" s="683">
        <f t="shared" si="782"/>
        <v>6768.948</v>
      </c>
      <c r="CO253" s="683">
        <f t="shared" si="782"/>
        <v>20306.844</v>
      </c>
      <c r="CP253" s="683">
        <f t="shared" si="782"/>
        <v>0</v>
      </c>
      <c r="CQ253" s="683">
        <f t="shared" si="782"/>
        <v>0</v>
      </c>
      <c r="CR253" s="683">
        <f t="shared" si="782"/>
        <v>0</v>
      </c>
      <c r="CS253" s="683">
        <f t="shared" si="782"/>
        <v>0</v>
      </c>
      <c r="CT253" s="683">
        <f t="shared" si="782"/>
        <v>0</v>
      </c>
      <c r="CU253" s="683">
        <f t="shared" si="782"/>
        <v>0</v>
      </c>
      <c r="CV253" s="683">
        <f t="shared" si="782"/>
        <v>0</v>
      </c>
      <c r="CW253" s="683">
        <f t="shared" si="21"/>
        <v>27075.792</v>
      </c>
      <c r="CX253" s="683">
        <f t="shared" ref="CX253:DG253" si="783">BN253*$CL253</f>
        <v>6768.948</v>
      </c>
      <c r="CY253" s="683">
        <f t="shared" si="783"/>
        <v>0</v>
      </c>
      <c r="CZ253" s="683">
        <f t="shared" si="783"/>
        <v>0</v>
      </c>
      <c r="DA253" s="683">
        <f t="shared" si="783"/>
        <v>0</v>
      </c>
      <c r="DB253" s="683">
        <f t="shared" si="783"/>
        <v>0</v>
      </c>
      <c r="DC253" s="683">
        <f t="shared" si="783"/>
        <v>0</v>
      </c>
      <c r="DD253" s="683">
        <f t="shared" si="783"/>
        <v>0</v>
      </c>
      <c r="DE253" s="683">
        <f t="shared" si="783"/>
        <v>0</v>
      </c>
      <c r="DF253" s="683">
        <f t="shared" si="783"/>
        <v>0</v>
      </c>
      <c r="DG253" s="683">
        <f t="shared" si="783"/>
        <v>0</v>
      </c>
      <c r="DH253" s="683">
        <f t="shared" si="23"/>
        <v>6768.948</v>
      </c>
      <c r="DI253" s="683">
        <f t="shared" ref="DI253:DR253" si="784">BY253*$CL253</f>
        <v>0</v>
      </c>
      <c r="DJ253" s="683">
        <f t="shared" si="784"/>
        <v>0</v>
      </c>
      <c r="DK253" s="683">
        <f t="shared" si="784"/>
        <v>0</v>
      </c>
      <c r="DL253" s="683">
        <f t="shared" si="784"/>
        <v>0</v>
      </c>
      <c r="DM253" s="683">
        <f t="shared" si="784"/>
        <v>0</v>
      </c>
      <c r="DN253" s="683">
        <f t="shared" si="784"/>
        <v>0</v>
      </c>
      <c r="DO253" s="683">
        <f t="shared" si="784"/>
        <v>0</v>
      </c>
      <c r="DP253" s="683">
        <f t="shared" si="784"/>
        <v>0</v>
      </c>
      <c r="DQ253" s="683">
        <f t="shared" si="784"/>
        <v>0</v>
      </c>
      <c r="DR253" s="683">
        <f t="shared" si="784"/>
        <v>0</v>
      </c>
      <c r="DS253" s="683">
        <f t="shared" si="25"/>
        <v>0</v>
      </c>
      <c r="DT253" s="683">
        <f t="shared" si="685"/>
        <v>33844.74</v>
      </c>
      <c r="DU253" s="504"/>
      <c r="DV253" s="486"/>
      <c r="DW253" s="688"/>
      <c r="DX253" s="688"/>
      <c r="DY253" s="688"/>
      <c r="DZ253" s="688"/>
      <c r="EA253" s="688"/>
      <c r="EB253" s="688"/>
      <c r="EC253" s="688"/>
      <c r="ED253" s="688"/>
      <c r="EE253" s="688"/>
      <c r="EF253" s="688"/>
      <c r="EG253" s="688"/>
      <c r="EH253" s="707" t="s">
        <v>222</v>
      </c>
      <c r="EI253" s="708">
        <f>VLOOKUP(I253,CotizacionTDB,4,FALSE())</f>
        <v>194.51</v>
      </c>
      <c r="EJ253" s="708">
        <f>VLOOKUP(I253,CotizacionTDB,5,FALSE())</f>
        <v>165.33</v>
      </c>
      <c r="EK253" s="691"/>
    </row>
    <row r="254" ht="12.0" customHeight="1">
      <c r="A254" s="709" t="s">
        <v>3026</v>
      </c>
      <c r="B254" s="661">
        <v>2.0</v>
      </c>
      <c r="C254" s="567" t="s">
        <v>3034</v>
      </c>
      <c r="D254" s="742" t="s">
        <v>52</v>
      </c>
      <c r="E254" s="568" t="s">
        <v>2708</v>
      </c>
      <c r="F254" s="567" t="s">
        <v>1763</v>
      </c>
      <c r="G254" s="569" t="s">
        <v>2709</v>
      </c>
      <c r="H254" s="569" t="s">
        <v>2915</v>
      </c>
      <c r="I254" s="827" t="s">
        <v>2184</v>
      </c>
      <c r="J254" s="711" t="s">
        <v>780</v>
      </c>
      <c r="K254" s="567" t="s">
        <v>25</v>
      </c>
      <c r="L254" s="567"/>
      <c r="M254" s="567"/>
      <c r="N254" s="567"/>
      <c r="O254" s="567">
        <v>2024.0</v>
      </c>
      <c r="P254" s="567">
        <v>2024.0</v>
      </c>
      <c r="Q254" s="567"/>
      <c r="R254" s="567"/>
      <c r="S254" s="567"/>
      <c r="T254" s="567"/>
      <c r="U254" s="567"/>
      <c r="V254" s="567"/>
      <c r="W254" s="567">
        <v>7.0</v>
      </c>
      <c r="X254" s="567"/>
      <c r="Y254" s="567"/>
      <c r="Z254" s="567">
        <v>7.0</v>
      </c>
      <c r="AA254" s="567">
        <v>7.0</v>
      </c>
      <c r="AB254" s="567"/>
      <c r="AC254" s="567"/>
      <c r="AD254" s="567"/>
      <c r="AE254" s="567"/>
      <c r="AF254" s="567"/>
      <c r="AG254" s="567"/>
      <c r="AH254" s="567"/>
      <c r="AI254" s="567"/>
      <c r="AJ254" s="567"/>
      <c r="AK254" s="567"/>
      <c r="AL254" s="567"/>
      <c r="AM254" s="567"/>
      <c r="AN254" s="567"/>
      <c r="AO254" s="567"/>
      <c r="AP254" s="567"/>
      <c r="AQ254" s="567"/>
      <c r="AR254" s="567">
        <v>0.0</v>
      </c>
      <c r="AS254" s="567">
        <v>0.0</v>
      </c>
      <c r="AT254" s="567">
        <v>0.0</v>
      </c>
      <c r="AU254" s="567">
        <v>-2024.0</v>
      </c>
      <c r="AV254" s="567">
        <v>-2024.0</v>
      </c>
      <c r="AW254" s="567">
        <v>0.0</v>
      </c>
      <c r="AX254" s="567">
        <v>0.0</v>
      </c>
      <c r="AY254" s="567">
        <v>0.0</v>
      </c>
      <c r="AZ254" s="567">
        <v>0.0</v>
      </c>
      <c r="BA254" s="567">
        <v>0.0</v>
      </c>
      <c r="BB254" s="567"/>
      <c r="BC254" s="567"/>
      <c r="BD254" s="567"/>
      <c r="BE254" s="661">
        <v>10.0</v>
      </c>
      <c r="BF254" s="567">
        <v>110.0</v>
      </c>
      <c r="BG254" s="567">
        <v>126.0</v>
      </c>
      <c r="BH254" s="567"/>
      <c r="BI254" s="567"/>
      <c r="BJ254" s="567"/>
      <c r="BK254" s="567"/>
      <c r="BL254" s="725"/>
      <c r="BM254" s="665">
        <f t="shared" si="1"/>
        <v>246</v>
      </c>
      <c r="BN254" s="671"/>
      <c r="BO254" s="668"/>
      <c r="BP254" s="668"/>
      <c r="BQ254" s="668"/>
      <c r="BR254" s="668"/>
      <c r="BS254" s="674">
        <v>168.0</v>
      </c>
      <c r="BT254" s="668"/>
      <c r="BU254" s="668"/>
      <c r="BV254" s="668"/>
      <c r="BW254" s="670"/>
      <c r="BX254" s="665">
        <f t="shared" si="2"/>
        <v>168</v>
      </c>
      <c r="BY254" s="671">
        <v>0.0</v>
      </c>
      <c r="BZ254" s="668">
        <v>0.0</v>
      </c>
      <c r="CA254" s="668">
        <v>0.0</v>
      </c>
      <c r="CB254" s="668">
        <v>0.0</v>
      </c>
      <c r="CC254" s="668">
        <v>0.0</v>
      </c>
      <c r="CD254" s="668">
        <v>0.0</v>
      </c>
      <c r="CE254" s="668">
        <v>0.0</v>
      </c>
      <c r="CF254" s="668">
        <v>0.0</v>
      </c>
      <c r="CG254" s="668">
        <v>0.0</v>
      </c>
      <c r="CH254" s="670">
        <v>0.0</v>
      </c>
      <c r="CI254" s="665">
        <f t="shared" si="3"/>
        <v>0</v>
      </c>
      <c r="CJ254" s="671">
        <f t="shared" si="4"/>
        <v>414</v>
      </c>
      <c r="CK254" s="715">
        <v>14.96</v>
      </c>
      <c r="CL254" s="668">
        <f t="shared" si="754"/>
        <v>104.1216</v>
      </c>
      <c r="CM254" s="668">
        <f t="shared" ref="CM254:CV254" si="785">BC254*$CL254</f>
        <v>0</v>
      </c>
      <c r="CN254" s="668">
        <f t="shared" si="785"/>
        <v>0</v>
      </c>
      <c r="CO254" s="668">
        <f t="shared" si="785"/>
        <v>1041.216</v>
      </c>
      <c r="CP254" s="668">
        <f t="shared" si="785"/>
        <v>11453.376</v>
      </c>
      <c r="CQ254" s="668">
        <f t="shared" si="785"/>
        <v>13119.3216</v>
      </c>
      <c r="CR254" s="668">
        <f t="shared" si="785"/>
        <v>0</v>
      </c>
      <c r="CS254" s="668">
        <f t="shared" si="785"/>
        <v>0</v>
      </c>
      <c r="CT254" s="668">
        <f t="shared" si="785"/>
        <v>0</v>
      </c>
      <c r="CU254" s="668">
        <f t="shared" si="785"/>
        <v>0</v>
      </c>
      <c r="CV254" s="668">
        <f t="shared" si="785"/>
        <v>0</v>
      </c>
      <c r="CW254" s="668">
        <f t="shared" si="21"/>
        <v>25613.9136</v>
      </c>
      <c r="CX254" s="668">
        <f t="shared" ref="CX254:DG254" si="786">BN254*$CL254</f>
        <v>0</v>
      </c>
      <c r="CY254" s="668">
        <f t="shared" si="786"/>
        <v>0</v>
      </c>
      <c r="CZ254" s="668">
        <f t="shared" si="786"/>
        <v>0</v>
      </c>
      <c r="DA254" s="668">
        <f t="shared" si="786"/>
        <v>0</v>
      </c>
      <c r="DB254" s="668">
        <f t="shared" si="786"/>
        <v>0</v>
      </c>
      <c r="DC254" s="668">
        <f t="shared" si="786"/>
        <v>17492.4288</v>
      </c>
      <c r="DD254" s="668">
        <f t="shared" si="786"/>
        <v>0</v>
      </c>
      <c r="DE254" s="668">
        <f t="shared" si="786"/>
        <v>0</v>
      </c>
      <c r="DF254" s="668">
        <f t="shared" si="786"/>
        <v>0</v>
      </c>
      <c r="DG254" s="668">
        <f t="shared" si="786"/>
        <v>0</v>
      </c>
      <c r="DH254" s="668">
        <f t="shared" si="23"/>
        <v>17492.4288</v>
      </c>
      <c r="DI254" s="668">
        <f t="shared" ref="DI254:DR254" si="787">BY254*$CL254</f>
        <v>0</v>
      </c>
      <c r="DJ254" s="668">
        <f t="shared" si="787"/>
        <v>0</v>
      </c>
      <c r="DK254" s="668">
        <f t="shared" si="787"/>
        <v>0</v>
      </c>
      <c r="DL254" s="668">
        <f t="shared" si="787"/>
        <v>0</v>
      </c>
      <c r="DM254" s="668">
        <f t="shared" si="787"/>
        <v>0</v>
      </c>
      <c r="DN254" s="668">
        <f t="shared" si="787"/>
        <v>0</v>
      </c>
      <c r="DO254" s="668">
        <f t="shared" si="787"/>
        <v>0</v>
      </c>
      <c r="DP254" s="668">
        <f t="shared" si="787"/>
        <v>0</v>
      </c>
      <c r="DQ254" s="668">
        <f t="shared" si="787"/>
        <v>0</v>
      </c>
      <c r="DR254" s="668">
        <f t="shared" si="787"/>
        <v>0</v>
      </c>
      <c r="DS254" s="668">
        <f t="shared" si="25"/>
        <v>0</v>
      </c>
      <c r="DT254" s="668">
        <f t="shared" si="685"/>
        <v>43106.3424</v>
      </c>
      <c r="DU254" s="538"/>
      <c r="DV254" s="468"/>
      <c r="DW254" s="698"/>
      <c r="DX254" s="698"/>
      <c r="DY254" s="698"/>
      <c r="DZ254" s="698"/>
      <c r="EA254" s="698"/>
      <c r="EB254" s="698"/>
      <c r="EC254" s="698"/>
      <c r="ED254" s="698"/>
      <c r="EE254" s="698"/>
      <c r="EF254" s="698"/>
      <c r="EG254" s="698"/>
      <c r="EH254" s="576" t="s">
        <v>780</v>
      </c>
      <c r="EI254" s="716">
        <f>VLOOKUP(I254,CotizacionTDB,4,FALSE())</f>
        <v>14.96</v>
      </c>
      <c r="EJ254" s="716">
        <f>VLOOKUP(I254,CotizacionTDB,5,FALSE())</f>
        <v>12.72</v>
      </c>
      <c r="EK254" s="699"/>
    </row>
    <row r="255" ht="12.0" customHeight="1">
      <c r="A255" s="700" t="s">
        <v>3026</v>
      </c>
      <c r="B255" s="701">
        <v>2.0</v>
      </c>
      <c r="C255" s="562" t="s">
        <v>3034</v>
      </c>
      <c r="D255" s="743" t="s">
        <v>52</v>
      </c>
      <c r="E255" s="571" t="s">
        <v>2708</v>
      </c>
      <c r="F255" s="562" t="s">
        <v>1763</v>
      </c>
      <c r="G255" s="569" t="s">
        <v>2709</v>
      </c>
      <c r="H255" s="569" t="s">
        <v>2882</v>
      </c>
      <c r="I255" s="717" t="s">
        <v>2126</v>
      </c>
      <c r="J255" s="704" t="s">
        <v>551</v>
      </c>
      <c r="K255" s="562" t="s">
        <v>25</v>
      </c>
      <c r="L255" s="562">
        <v>2024.0</v>
      </c>
      <c r="M255" s="562">
        <v>2024.0</v>
      </c>
      <c r="N255" s="562">
        <v>2024.0</v>
      </c>
      <c r="O255" s="562"/>
      <c r="P255" s="562"/>
      <c r="Q255" s="562"/>
      <c r="R255" s="562"/>
      <c r="S255" s="562"/>
      <c r="T255" s="562"/>
      <c r="U255" s="562"/>
      <c r="V255" s="562"/>
      <c r="W255" s="562">
        <v>3.0</v>
      </c>
      <c r="X255" s="562">
        <v>3.0</v>
      </c>
      <c r="Y255" s="562">
        <v>3.0</v>
      </c>
      <c r="Z255" s="562"/>
      <c r="AA255" s="562"/>
      <c r="AB255" s="562"/>
      <c r="AC255" s="562"/>
      <c r="AD255" s="562"/>
      <c r="AE255" s="562"/>
      <c r="AF255" s="562"/>
      <c r="AG255" s="562"/>
      <c r="AH255" s="562"/>
      <c r="AI255" s="562"/>
      <c r="AJ255" s="562"/>
      <c r="AK255" s="562"/>
      <c r="AL255" s="562"/>
      <c r="AM255" s="562"/>
      <c r="AN255" s="562"/>
      <c r="AO255" s="562"/>
      <c r="AP255" s="562"/>
      <c r="AQ255" s="562"/>
      <c r="AR255" s="562">
        <v>-2024.0</v>
      </c>
      <c r="AS255" s="562">
        <v>-2024.0</v>
      </c>
      <c r="AT255" s="562">
        <v>-2024.0</v>
      </c>
      <c r="AU255" s="562">
        <v>0.0</v>
      </c>
      <c r="AV255" s="562">
        <v>0.0</v>
      </c>
      <c r="AW255" s="562">
        <v>0.0</v>
      </c>
      <c r="AX255" s="562">
        <v>0.0</v>
      </c>
      <c r="AY255" s="562">
        <v>0.0</v>
      </c>
      <c r="AZ255" s="562">
        <v>0.0</v>
      </c>
      <c r="BA255" s="562">
        <v>0.0</v>
      </c>
      <c r="BB255" s="562"/>
      <c r="BC255" s="701">
        <v>20.0</v>
      </c>
      <c r="BD255" s="562">
        <v>4.0</v>
      </c>
      <c r="BE255" s="562">
        <v>10.0</v>
      </c>
      <c r="BF255" s="562"/>
      <c r="BG255" s="562"/>
      <c r="BH255" s="562"/>
      <c r="BI255" s="562"/>
      <c r="BJ255" s="562"/>
      <c r="BK255" s="562"/>
      <c r="BL255" s="681"/>
      <c r="BM255" s="665">
        <f t="shared" si="1"/>
        <v>34</v>
      </c>
      <c r="BN255" s="733">
        <v>20.0</v>
      </c>
      <c r="BO255" s="683"/>
      <c r="BP255" s="687">
        <v>10.0</v>
      </c>
      <c r="BQ255" s="683"/>
      <c r="BR255" s="683"/>
      <c r="BS255" s="683"/>
      <c r="BT255" s="683"/>
      <c r="BU255" s="683"/>
      <c r="BV255" s="683"/>
      <c r="BW255" s="686"/>
      <c r="BX255" s="665">
        <f t="shared" si="2"/>
        <v>30</v>
      </c>
      <c r="BY255" s="682">
        <v>0.0</v>
      </c>
      <c r="BZ255" s="683">
        <v>0.0</v>
      </c>
      <c r="CA255" s="683">
        <v>0.0</v>
      </c>
      <c r="CB255" s="683">
        <v>0.0</v>
      </c>
      <c r="CC255" s="683">
        <v>0.0</v>
      </c>
      <c r="CD255" s="683">
        <v>0.0</v>
      </c>
      <c r="CE255" s="683">
        <v>0.0</v>
      </c>
      <c r="CF255" s="683">
        <v>0.0</v>
      </c>
      <c r="CG255" s="683">
        <v>0.0</v>
      </c>
      <c r="CH255" s="686">
        <v>0.0</v>
      </c>
      <c r="CI255" s="665">
        <f t="shared" si="3"/>
        <v>0</v>
      </c>
      <c r="CJ255" s="682">
        <f t="shared" si="4"/>
        <v>64</v>
      </c>
      <c r="CK255" s="706">
        <v>90.49</v>
      </c>
      <c r="CL255" s="683">
        <f t="shared" si="754"/>
        <v>629.8104</v>
      </c>
      <c r="CM255" s="683">
        <f t="shared" ref="CM255:CV255" si="788">BC255*$CL255</f>
        <v>12596.208</v>
      </c>
      <c r="CN255" s="683">
        <f t="shared" si="788"/>
        <v>2519.2416</v>
      </c>
      <c r="CO255" s="683">
        <f t="shared" si="788"/>
        <v>6298.104</v>
      </c>
      <c r="CP255" s="683">
        <f t="shared" si="788"/>
        <v>0</v>
      </c>
      <c r="CQ255" s="683">
        <f t="shared" si="788"/>
        <v>0</v>
      </c>
      <c r="CR255" s="683">
        <f t="shared" si="788"/>
        <v>0</v>
      </c>
      <c r="CS255" s="683">
        <f t="shared" si="788"/>
        <v>0</v>
      </c>
      <c r="CT255" s="683">
        <f t="shared" si="788"/>
        <v>0</v>
      </c>
      <c r="CU255" s="683">
        <f t="shared" si="788"/>
        <v>0</v>
      </c>
      <c r="CV255" s="683">
        <f t="shared" si="788"/>
        <v>0</v>
      </c>
      <c r="CW255" s="683">
        <f t="shared" si="21"/>
        <v>21413.5536</v>
      </c>
      <c r="CX255" s="683">
        <f t="shared" ref="CX255:DG255" si="789">BN255*$CL255</f>
        <v>12596.208</v>
      </c>
      <c r="CY255" s="683">
        <f t="shared" si="789"/>
        <v>0</v>
      </c>
      <c r="CZ255" s="683">
        <f t="shared" si="789"/>
        <v>6298.104</v>
      </c>
      <c r="DA255" s="683">
        <f t="shared" si="789"/>
        <v>0</v>
      </c>
      <c r="DB255" s="683">
        <f t="shared" si="789"/>
        <v>0</v>
      </c>
      <c r="DC255" s="683">
        <f t="shared" si="789"/>
        <v>0</v>
      </c>
      <c r="DD255" s="683">
        <f t="shared" si="789"/>
        <v>0</v>
      </c>
      <c r="DE255" s="683">
        <f t="shared" si="789"/>
        <v>0</v>
      </c>
      <c r="DF255" s="683">
        <f t="shared" si="789"/>
        <v>0</v>
      </c>
      <c r="DG255" s="683">
        <f t="shared" si="789"/>
        <v>0</v>
      </c>
      <c r="DH255" s="683">
        <f t="shared" si="23"/>
        <v>18894.312</v>
      </c>
      <c r="DI255" s="683">
        <f t="shared" ref="DI255:DR255" si="790">BY255*$CL255</f>
        <v>0</v>
      </c>
      <c r="DJ255" s="683">
        <f t="shared" si="790"/>
        <v>0</v>
      </c>
      <c r="DK255" s="683">
        <f t="shared" si="790"/>
        <v>0</v>
      </c>
      <c r="DL255" s="683">
        <f t="shared" si="790"/>
        <v>0</v>
      </c>
      <c r="DM255" s="683">
        <f t="shared" si="790"/>
        <v>0</v>
      </c>
      <c r="DN255" s="683">
        <f t="shared" si="790"/>
        <v>0</v>
      </c>
      <c r="DO255" s="683">
        <f t="shared" si="790"/>
        <v>0</v>
      </c>
      <c r="DP255" s="683">
        <f t="shared" si="790"/>
        <v>0</v>
      </c>
      <c r="DQ255" s="683">
        <f t="shared" si="790"/>
        <v>0</v>
      </c>
      <c r="DR255" s="683">
        <f t="shared" si="790"/>
        <v>0</v>
      </c>
      <c r="DS255" s="683">
        <f t="shared" si="25"/>
        <v>0</v>
      </c>
      <c r="DT255" s="683">
        <f t="shared" si="685"/>
        <v>40307.8656</v>
      </c>
      <c r="DU255" s="504"/>
      <c r="DV255" s="486"/>
      <c r="DW255" s="688"/>
      <c r="DX255" s="688"/>
      <c r="DY255" s="688"/>
      <c r="DZ255" s="688"/>
      <c r="EA255" s="688"/>
      <c r="EB255" s="688"/>
      <c r="EC255" s="688"/>
      <c r="ED255" s="688"/>
      <c r="EE255" s="688"/>
      <c r="EF255" s="688"/>
      <c r="EG255" s="688"/>
      <c r="EH255" s="707" t="s">
        <v>551</v>
      </c>
      <c r="EI255" s="708">
        <f>VLOOKUP(I255,CotizacionTDB,4,FALSE())</f>
        <v>90.49</v>
      </c>
      <c r="EJ255" s="708">
        <f>VLOOKUP(I255,CotizacionTDB,5,FALSE())</f>
        <v>76.92</v>
      </c>
      <c r="EK255" s="691"/>
    </row>
    <row r="256" ht="12.0" customHeight="1">
      <c r="A256" s="709" t="s">
        <v>3026</v>
      </c>
      <c r="B256" s="661">
        <v>2.0</v>
      </c>
      <c r="C256" s="567" t="s">
        <v>3034</v>
      </c>
      <c r="D256" s="742" t="s">
        <v>52</v>
      </c>
      <c r="E256" s="568" t="s">
        <v>2708</v>
      </c>
      <c r="F256" s="567" t="s">
        <v>1763</v>
      </c>
      <c r="G256" s="901" t="s">
        <v>2709</v>
      </c>
      <c r="H256" s="901" t="s">
        <v>2904</v>
      </c>
      <c r="I256" s="710" t="s">
        <v>2479</v>
      </c>
      <c r="J256" s="711" t="s">
        <v>268</v>
      </c>
      <c r="K256" s="567" t="s">
        <v>25</v>
      </c>
      <c r="L256" s="567"/>
      <c r="M256" s="567"/>
      <c r="N256" s="567"/>
      <c r="O256" s="567">
        <v>2024.0</v>
      </c>
      <c r="P256" s="567">
        <v>2025.0</v>
      </c>
      <c r="Q256" s="567">
        <v>2024.0</v>
      </c>
      <c r="R256" s="567"/>
      <c r="S256" s="567"/>
      <c r="T256" s="567"/>
      <c r="U256" s="567"/>
      <c r="V256" s="567"/>
      <c r="W256" s="567">
        <v>5.0</v>
      </c>
      <c r="X256" s="567"/>
      <c r="Y256" s="567"/>
      <c r="Z256" s="567">
        <v>2.0</v>
      </c>
      <c r="AA256" s="567">
        <v>8.0</v>
      </c>
      <c r="AB256" s="567">
        <v>2.0</v>
      </c>
      <c r="AC256" s="567"/>
      <c r="AD256" s="567"/>
      <c r="AE256" s="567"/>
      <c r="AF256" s="567"/>
      <c r="AG256" s="567"/>
      <c r="AH256" s="567"/>
      <c r="AI256" s="567"/>
      <c r="AJ256" s="567"/>
      <c r="AK256" s="567"/>
      <c r="AL256" s="567"/>
      <c r="AM256" s="567"/>
      <c r="AN256" s="567"/>
      <c r="AO256" s="567"/>
      <c r="AP256" s="567"/>
      <c r="AQ256" s="567"/>
      <c r="AR256" s="567">
        <v>0.0</v>
      </c>
      <c r="AS256" s="567">
        <v>0.0</v>
      </c>
      <c r="AT256" s="567">
        <v>0.0</v>
      </c>
      <c r="AU256" s="567">
        <v>-2024.0</v>
      </c>
      <c r="AV256" s="567">
        <v>-2025.0</v>
      </c>
      <c r="AW256" s="567">
        <v>-2024.0</v>
      </c>
      <c r="AX256" s="567">
        <v>0.0</v>
      </c>
      <c r="AY256" s="567">
        <v>0.0</v>
      </c>
      <c r="AZ256" s="567">
        <v>0.0</v>
      </c>
      <c r="BA256" s="567">
        <v>0.0</v>
      </c>
      <c r="BB256" s="567"/>
      <c r="BC256" s="680"/>
      <c r="BD256" s="680"/>
      <c r="BE256" s="567"/>
      <c r="BF256" s="718"/>
      <c r="BG256" s="567"/>
      <c r="BH256" s="718"/>
      <c r="BI256" s="567"/>
      <c r="BJ256" s="567"/>
      <c r="BK256" s="567"/>
      <c r="BL256" s="725"/>
      <c r="BM256" s="665">
        <f t="shared" si="1"/>
        <v>0</v>
      </c>
      <c r="BN256" s="736">
        <v>40.0</v>
      </c>
      <c r="BO256" s="674">
        <v>40.0</v>
      </c>
      <c r="BP256" s="674">
        <v>50.0</v>
      </c>
      <c r="BQ256" s="668"/>
      <c r="BR256" s="668">
        <v>232.0</v>
      </c>
      <c r="BS256" s="668"/>
      <c r="BT256" s="668"/>
      <c r="BU256" s="668"/>
      <c r="BV256" s="668"/>
      <c r="BW256" s="670"/>
      <c r="BX256" s="665">
        <f t="shared" si="2"/>
        <v>362</v>
      </c>
      <c r="BY256" s="736">
        <v>30.0</v>
      </c>
      <c r="BZ256" s="674">
        <v>30.0</v>
      </c>
      <c r="CA256" s="668">
        <v>0.0</v>
      </c>
      <c r="CB256" s="668">
        <v>20.0</v>
      </c>
      <c r="CC256" s="668">
        <v>0.0</v>
      </c>
      <c r="CD256" s="668">
        <v>50.0</v>
      </c>
      <c r="CE256" s="668">
        <v>0.0</v>
      </c>
      <c r="CF256" s="668">
        <v>0.0</v>
      </c>
      <c r="CG256" s="668">
        <v>0.0</v>
      </c>
      <c r="CH256" s="670">
        <v>0.0</v>
      </c>
      <c r="CI256" s="665">
        <f t="shared" si="3"/>
        <v>130</v>
      </c>
      <c r="CJ256" s="671">
        <f t="shared" si="4"/>
        <v>492</v>
      </c>
      <c r="CK256" s="715">
        <v>65.03</v>
      </c>
      <c r="CL256" s="668">
        <f t="shared" si="754"/>
        <v>452.6088</v>
      </c>
      <c r="CM256" s="668">
        <f t="shared" ref="CM256:CV256" si="791">BC256*$CL256</f>
        <v>0</v>
      </c>
      <c r="CN256" s="668">
        <f t="shared" si="791"/>
        <v>0</v>
      </c>
      <c r="CO256" s="668">
        <f t="shared" si="791"/>
        <v>0</v>
      </c>
      <c r="CP256" s="668">
        <f t="shared" si="791"/>
        <v>0</v>
      </c>
      <c r="CQ256" s="668">
        <f t="shared" si="791"/>
        <v>0</v>
      </c>
      <c r="CR256" s="668">
        <f t="shared" si="791"/>
        <v>0</v>
      </c>
      <c r="CS256" s="668">
        <f t="shared" si="791"/>
        <v>0</v>
      </c>
      <c r="CT256" s="668">
        <f t="shared" si="791"/>
        <v>0</v>
      </c>
      <c r="CU256" s="668">
        <f t="shared" si="791"/>
        <v>0</v>
      </c>
      <c r="CV256" s="668">
        <f t="shared" si="791"/>
        <v>0</v>
      </c>
      <c r="CW256" s="668">
        <f t="shared" si="21"/>
        <v>0</v>
      </c>
      <c r="CX256" s="668">
        <f t="shared" ref="CX256:DG256" si="792">BN256*$CL256</f>
        <v>18104.352</v>
      </c>
      <c r="CY256" s="668">
        <f t="shared" si="792"/>
        <v>18104.352</v>
      </c>
      <c r="CZ256" s="668">
        <f t="shared" si="792"/>
        <v>22630.44</v>
      </c>
      <c r="DA256" s="668">
        <f t="shared" si="792"/>
        <v>0</v>
      </c>
      <c r="DB256" s="668">
        <f t="shared" si="792"/>
        <v>105005.2416</v>
      </c>
      <c r="DC256" s="668">
        <f t="shared" si="792"/>
        <v>0</v>
      </c>
      <c r="DD256" s="668">
        <f t="shared" si="792"/>
        <v>0</v>
      </c>
      <c r="DE256" s="668">
        <f t="shared" si="792"/>
        <v>0</v>
      </c>
      <c r="DF256" s="668">
        <f t="shared" si="792"/>
        <v>0</v>
      </c>
      <c r="DG256" s="668">
        <f t="shared" si="792"/>
        <v>0</v>
      </c>
      <c r="DH256" s="668">
        <f t="shared" si="23"/>
        <v>163844.3856</v>
      </c>
      <c r="DI256" s="668">
        <f t="shared" ref="DI256:DR256" si="793">BY256*$CL256</f>
        <v>13578.264</v>
      </c>
      <c r="DJ256" s="668">
        <f t="shared" si="793"/>
        <v>13578.264</v>
      </c>
      <c r="DK256" s="668">
        <f t="shared" si="793"/>
        <v>0</v>
      </c>
      <c r="DL256" s="668">
        <f t="shared" si="793"/>
        <v>9052.176</v>
      </c>
      <c r="DM256" s="668">
        <f t="shared" si="793"/>
        <v>0</v>
      </c>
      <c r="DN256" s="668">
        <f t="shared" si="793"/>
        <v>22630.44</v>
      </c>
      <c r="DO256" s="668">
        <f t="shared" si="793"/>
        <v>0</v>
      </c>
      <c r="DP256" s="668">
        <f t="shared" si="793"/>
        <v>0</v>
      </c>
      <c r="DQ256" s="668">
        <f t="shared" si="793"/>
        <v>0</v>
      </c>
      <c r="DR256" s="668">
        <f t="shared" si="793"/>
        <v>0</v>
      </c>
      <c r="DS256" s="668">
        <f t="shared" si="25"/>
        <v>58839.144</v>
      </c>
      <c r="DT256" s="668">
        <f t="shared" si="685"/>
        <v>222683.5296</v>
      </c>
      <c r="DU256" s="538"/>
      <c r="DV256" s="468"/>
      <c r="DW256" s="698"/>
      <c r="DX256" s="698"/>
      <c r="DY256" s="698"/>
      <c r="DZ256" s="698"/>
      <c r="EA256" s="698"/>
      <c r="EB256" s="698"/>
      <c r="EC256" s="698"/>
      <c r="ED256" s="698"/>
      <c r="EE256" s="698"/>
      <c r="EF256" s="698"/>
      <c r="EG256" s="698"/>
      <c r="EH256" s="576" t="s">
        <v>3446</v>
      </c>
      <c r="EI256" s="716">
        <f>VLOOKUP(I256,CotizacionTDB,4,FALSE())</f>
        <v>65.03</v>
      </c>
      <c r="EJ256" s="716">
        <f>VLOOKUP(I256,CotizacionTDB,5,FALSE())</f>
        <v>55.28</v>
      </c>
      <c r="EK256" s="699"/>
    </row>
    <row r="257" ht="12.0" customHeight="1">
      <c r="A257" s="700" t="s">
        <v>3026</v>
      </c>
      <c r="B257" s="701">
        <v>2.0</v>
      </c>
      <c r="C257" s="562" t="s">
        <v>3034</v>
      </c>
      <c r="D257" s="743" t="s">
        <v>52</v>
      </c>
      <c r="E257" s="571" t="s">
        <v>2708</v>
      </c>
      <c r="F257" s="562" t="s">
        <v>1763</v>
      </c>
      <c r="G257" s="569" t="s">
        <v>2709</v>
      </c>
      <c r="H257" s="702" t="s">
        <v>2876</v>
      </c>
      <c r="I257" s="717" t="s">
        <v>2022</v>
      </c>
      <c r="J257" s="704" t="s">
        <v>480</v>
      </c>
      <c r="K257" s="562" t="s">
        <v>25</v>
      </c>
      <c r="L257" s="562">
        <v>2024.0</v>
      </c>
      <c r="M257" s="562">
        <v>2024.0</v>
      </c>
      <c r="N257" s="562">
        <v>2024.0</v>
      </c>
      <c r="O257" s="562"/>
      <c r="P257" s="562"/>
      <c r="Q257" s="562"/>
      <c r="R257" s="562"/>
      <c r="S257" s="562"/>
      <c r="T257" s="562"/>
      <c r="U257" s="562"/>
      <c r="V257" s="562"/>
      <c r="W257" s="562">
        <v>3.0</v>
      </c>
      <c r="X257" s="562">
        <v>3.0</v>
      </c>
      <c r="Y257" s="562">
        <v>3.0</v>
      </c>
      <c r="Z257" s="562"/>
      <c r="AA257" s="562"/>
      <c r="AB257" s="562"/>
      <c r="AC257" s="562"/>
      <c r="AD257" s="562"/>
      <c r="AE257" s="562"/>
      <c r="AF257" s="562"/>
      <c r="AG257" s="562"/>
      <c r="AH257" s="562"/>
      <c r="AI257" s="562"/>
      <c r="AJ257" s="562"/>
      <c r="AK257" s="562"/>
      <c r="AL257" s="562"/>
      <c r="AM257" s="562"/>
      <c r="AN257" s="562"/>
      <c r="AO257" s="562"/>
      <c r="AP257" s="562"/>
      <c r="AQ257" s="562"/>
      <c r="AR257" s="562">
        <v>-2024.0</v>
      </c>
      <c r="AS257" s="562">
        <v>-2024.0</v>
      </c>
      <c r="AT257" s="562">
        <v>-2024.0</v>
      </c>
      <c r="AU257" s="562">
        <v>0.0</v>
      </c>
      <c r="AV257" s="562">
        <v>0.0</v>
      </c>
      <c r="AW257" s="562">
        <v>0.0</v>
      </c>
      <c r="AX257" s="562">
        <v>0.0</v>
      </c>
      <c r="AY257" s="562">
        <v>0.0</v>
      </c>
      <c r="AZ257" s="562">
        <v>0.0</v>
      </c>
      <c r="BA257" s="562">
        <v>0.0</v>
      </c>
      <c r="BB257" s="562"/>
      <c r="BC257" s="562">
        <v>50.0</v>
      </c>
      <c r="BD257" s="562">
        <v>40.0</v>
      </c>
      <c r="BE257" s="562">
        <v>80.0</v>
      </c>
      <c r="BF257" s="562"/>
      <c r="BG257" s="562"/>
      <c r="BH257" s="562"/>
      <c r="BI257" s="562"/>
      <c r="BJ257" s="562"/>
      <c r="BK257" s="562"/>
      <c r="BL257" s="681"/>
      <c r="BM257" s="665">
        <f t="shared" si="1"/>
        <v>170</v>
      </c>
      <c r="BN257" s="682"/>
      <c r="BO257" s="683"/>
      <c r="BP257" s="683"/>
      <c r="BQ257" s="683"/>
      <c r="BR257" s="683"/>
      <c r="BS257" s="683"/>
      <c r="BT257" s="683"/>
      <c r="BU257" s="683"/>
      <c r="BV257" s="683"/>
      <c r="BW257" s="686"/>
      <c r="BX257" s="665">
        <f t="shared" si="2"/>
        <v>0</v>
      </c>
      <c r="BY257" s="682">
        <v>0.0</v>
      </c>
      <c r="BZ257" s="683">
        <v>0.0</v>
      </c>
      <c r="CA257" s="683">
        <v>0.0</v>
      </c>
      <c r="CB257" s="683">
        <v>0.0</v>
      </c>
      <c r="CC257" s="683">
        <v>0.0</v>
      </c>
      <c r="CD257" s="683">
        <v>0.0</v>
      </c>
      <c r="CE257" s="683">
        <v>0.0</v>
      </c>
      <c r="CF257" s="683">
        <v>0.0</v>
      </c>
      <c r="CG257" s="683">
        <v>0.0</v>
      </c>
      <c r="CH257" s="686">
        <v>0.0</v>
      </c>
      <c r="CI257" s="665">
        <f t="shared" si="3"/>
        <v>0</v>
      </c>
      <c r="CJ257" s="682">
        <f t="shared" si="4"/>
        <v>170</v>
      </c>
      <c r="CK257" s="706">
        <v>15.65</v>
      </c>
      <c r="CL257" s="683">
        <f t="shared" si="754"/>
        <v>108.924</v>
      </c>
      <c r="CM257" s="683">
        <f t="shared" ref="CM257:CV257" si="794">BC257*$CL257</f>
        <v>5446.2</v>
      </c>
      <c r="CN257" s="683">
        <f t="shared" si="794"/>
        <v>4356.96</v>
      </c>
      <c r="CO257" s="683">
        <f t="shared" si="794"/>
        <v>8713.92</v>
      </c>
      <c r="CP257" s="683">
        <f t="shared" si="794"/>
        <v>0</v>
      </c>
      <c r="CQ257" s="683">
        <f t="shared" si="794"/>
        <v>0</v>
      </c>
      <c r="CR257" s="683">
        <f t="shared" si="794"/>
        <v>0</v>
      </c>
      <c r="CS257" s="683">
        <f t="shared" si="794"/>
        <v>0</v>
      </c>
      <c r="CT257" s="683">
        <f t="shared" si="794"/>
        <v>0</v>
      </c>
      <c r="CU257" s="683">
        <f t="shared" si="794"/>
        <v>0</v>
      </c>
      <c r="CV257" s="683">
        <f t="shared" si="794"/>
        <v>0</v>
      </c>
      <c r="CW257" s="683">
        <f t="shared" si="21"/>
        <v>18517.08</v>
      </c>
      <c r="CX257" s="683">
        <f t="shared" ref="CX257:DG257" si="795">BN257*$CL257</f>
        <v>0</v>
      </c>
      <c r="CY257" s="683">
        <f t="shared" si="795"/>
        <v>0</v>
      </c>
      <c r="CZ257" s="683">
        <f t="shared" si="795"/>
        <v>0</v>
      </c>
      <c r="DA257" s="683">
        <f t="shared" si="795"/>
        <v>0</v>
      </c>
      <c r="DB257" s="683">
        <f t="shared" si="795"/>
        <v>0</v>
      </c>
      <c r="DC257" s="683">
        <f t="shared" si="795"/>
        <v>0</v>
      </c>
      <c r="DD257" s="683">
        <f t="shared" si="795"/>
        <v>0</v>
      </c>
      <c r="DE257" s="683">
        <f t="shared" si="795"/>
        <v>0</v>
      </c>
      <c r="DF257" s="683">
        <f t="shared" si="795"/>
        <v>0</v>
      </c>
      <c r="DG257" s="683">
        <f t="shared" si="795"/>
        <v>0</v>
      </c>
      <c r="DH257" s="683">
        <f t="shared" si="23"/>
        <v>0</v>
      </c>
      <c r="DI257" s="683">
        <f t="shared" ref="DI257:DR257" si="796">BY257*$CL257</f>
        <v>0</v>
      </c>
      <c r="DJ257" s="683">
        <f t="shared" si="796"/>
        <v>0</v>
      </c>
      <c r="DK257" s="683">
        <f t="shared" si="796"/>
        <v>0</v>
      </c>
      <c r="DL257" s="683">
        <f t="shared" si="796"/>
        <v>0</v>
      </c>
      <c r="DM257" s="683">
        <f t="shared" si="796"/>
        <v>0</v>
      </c>
      <c r="DN257" s="683">
        <f t="shared" si="796"/>
        <v>0</v>
      </c>
      <c r="DO257" s="683">
        <f t="shared" si="796"/>
        <v>0</v>
      </c>
      <c r="DP257" s="683">
        <f t="shared" si="796"/>
        <v>0</v>
      </c>
      <c r="DQ257" s="683">
        <f t="shared" si="796"/>
        <v>0</v>
      </c>
      <c r="DR257" s="683">
        <f t="shared" si="796"/>
        <v>0</v>
      </c>
      <c r="DS257" s="683">
        <f t="shared" si="25"/>
        <v>0</v>
      </c>
      <c r="DT257" s="683">
        <f t="shared" si="685"/>
        <v>18517.08</v>
      </c>
      <c r="DU257" s="504"/>
      <c r="DV257" s="486"/>
      <c r="DW257" s="688"/>
      <c r="DX257" s="688"/>
      <c r="DY257" s="688"/>
      <c r="DZ257" s="688"/>
      <c r="EA257" s="688"/>
      <c r="EB257" s="688"/>
      <c r="EC257" s="688"/>
      <c r="ED257" s="688"/>
      <c r="EE257" s="688"/>
      <c r="EF257" s="688"/>
      <c r="EG257" s="688"/>
      <c r="EH257" s="707" t="s">
        <v>3447</v>
      </c>
      <c r="EI257" s="708">
        <f>VLOOKUP(I257,CotizacionTDB,4,FALSE())</f>
        <v>15.65</v>
      </c>
      <c r="EJ257" s="708">
        <f>VLOOKUP(I257,CotizacionTDB,5,FALSE())</f>
        <v>13.3</v>
      </c>
      <c r="EK257" s="691"/>
    </row>
    <row r="258" ht="12.0" customHeight="1">
      <c r="A258" s="709" t="s">
        <v>3026</v>
      </c>
      <c r="B258" s="661">
        <v>2.0</v>
      </c>
      <c r="C258" s="567" t="s">
        <v>3034</v>
      </c>
      <c r="D258" s="742" t="s">
        <v>52</v>
      </c>
      <c r="E258" s="568" t="s">
        <v>2708</v>
      </c>
      <c r="F258" s="567" t="s">
        <v>1763</v>
      </c>
      <c r="G258" s="569" t="s">
        <v>2709</v>
      </c>
      <c r="H258" s="569" t="s">
        <v>2769</v>
      </c>
      <c r="I258" s="710" t="s">
        <v>2215</v>
      </c>
      <c r="J258" s="740" t="s">
        <v>812</v>
      </c>
      <c r="K258" s="567" t="s">
        <v>25</v>
      </c>
      <c r="L258" s="567">
        <v>2024.0</v>
      </c>
      <c r="M258" s="567">
        <v>2024.0</v>
      </c>
      <c r="N258" s="567">
        <v>2024.0</v>
      </c>
      <c r="O258" s="567"/>
      <c r="P258" s="567"/>
      <c r="Q258" s="567"/>
      <c r="R258" s="567"/>
      <c r="S258" s="567"/>
      <c r="T258" s="567"/>
      <c r="U258" s="567"/>
      <c r="V258" s="567"/>
      <c r="W258" s="567">
        <v>3.0</v>
      </c>
      <c r="X258" s="567">
        <v>3.0</v>
      </c>
      <c r="Y258" s="567">
        <v>3.0</v>
      </c>
      <c r="Z258" s="567"/>
      <c r="AA258" s="567"/>
      <c r="AB258" s="567"/>
      <c r="AC258" s="567"/>
      <c r="AD258" s="567"/>
      <c r="AE258" s="567"/>
      <c r="AF258" s="567"/>
      <c r="AG258" s="567"/>
      <c r="AH258" s="567"/>
      <c r="AI258" s="567"/>
      <c r="AJ258" s="567"/>
      <c r="AK258" s="567"/>
      <c r="AL258" s="567"/>
      <c r="AM258" s="567"/>
      <c r="AN258" s="567"/>
      <c r="AO258" s="567"/>
      <c r="AP258" s="567"/>
      <c r="AQ258" s="567"/>
      <c r="AR258" s="567">
        <v>-2024.0</v>
      </c>
      <c r="AS258" s="567">
        <v>-2024.0</v>
      </c>
      <c r="AT258" s="567">
        <v>-2024.0</v>
      </c>
      <c r="AU258" s="567">
        <v>0.0</v>
      </c>
      <c r="AV258" s="567">
        <v>0.0</v>
      </c>
      <c r="AW258" s="567">
        <v>0.0</v>
      </c>
      <c r="AX258" s="567">
        <v>0.0</v>
      </c>
      <c r="AY258" s="567">
        <v>0.0</v>
      </c>
      <c r="AZ258" s="567">
        <v>0.0</v>
      </c>
      <c r="BA258" s="567">
        <v>0.0</v>
      </c>
      <c r="BB258" s="567"/>
      <c r="BC258" s="567">
        <v>200.0</v>
      </c>
      <c r="BD258" s="567">
        <v>120.0</v>
      </c>
      <c r="BE258" s="567">
        <v>200.0</v>
      </c>
      <c r="BF258" s="661">
        <v>110.0</v>
      </c>
      <c r="BG258" s="661">
        <v>126.0</v>
      </c>
      <c r="BH258" s="661">
        <v>208.0</v>
      </c>
      <c r="BI258" s="567"/>
      <c r="BJ258" s="567"/>
      <c r="BK258" s="567"/>
      <c r="BL258" s="741">
        <v>10.0</v>
      </c>
      <c r="BM258" s="665">
        <f t="shared" si="1"/>
        <v>974</v>
      </c>
      <c r="BN258" s="671"/>
      <c r="BO258" s="668"/>
      <c r="BP258" s="668"/>
      <c r="BQ258" s="668"/>
      <c r="BR258" s="668"/>
      <c r="BS258" s="668"/>
      <c r="BT258" s="668"/>
      <c r="BU258" s="668"/>
      <c r="BV258" s="668"/>
      <c r="BW258" s="670"/>
      <c r="BX258" s="665">
        <f t="shared" si="2"/>
        <v>0</v>
      </c>
      <c r="BY258" s="671">
        <v>0.0</v>
      </c>
      <c r="BZ258" s="668">
        <v>0.0</v>
      </c>
      <c r="CA258" s="668">
        <v>0.0</v>
      </c>
      <c r="CB258" s="668">
        <v>0.0</v>
      </c>
      <c r="CC258" s="668">
        <v>0.0</v>
      </c>
      <c r="CD258" s="668">
        <v>0.0</v>
      </c>
      <c r="CE258" s="668">
        <v>0.0</v>
      </c>
      <c r="CF258" s="668">
        <v>0.0</v>
      </c>
      <c r="CG258" s="668">
        <v>0.0</v>
      </c>
      <c r="CH258" s="670">
        <v>0.0</v>
      </c>
      <c r="CI258" s="665">
        <f t="shared" si="3"/>
        <v>0</v>
      </c>
      <c r="CJ258" s="671">
        <f t="shared" si="4"/>
        <v>974</v>
      </c>
      <c r="CK258" s="715">
        <v>2.11</v>
      </c>
      <c r="CL258" s="668">
        <f t="shared" si="754"/>
        <v>14.6856</v>
      </c>
      <c r="CM258" s="668">
        <f t="shared" ref="CM258:CV258" si="797">BC258*$CL258</f>
        <v>2937.12</v>
      </c>
      <c r="CN258" s="668">
        <f t="shared" si="797"/>
        <v>1762.272</v>
      </c>
      <c r="CO258" s="668">
        <f t="shared" si="797"/>
        <v>2937.12</v>
      </c>
      <c r="CP258" s="668">
        <f t="shared" si="797"/>
        <v>1615.416</v>
      </c>
      <c r="CQ258" s="668">
        <f t="shared" si="797"/>
        <v>1850.3856</v>
      </c>
      <c r="CR258" s="668">
        <f t="shared" si="797"/>
        <v>3054.6048</v>
      </c>
      <c r="CS258" s="668">
        <f t="shared" si="797"/>
        <v>0</v>
      </c>
      <c r="CT258" s="668">
        <f t="shared" si="797"/>
        <v>0</v>
      </c>
      <c r="CU258" s="668">
        <f t="shared" si="797"/>
        <v>0</v>
      </c>
      <c r="CV258" s="668">
        <f t="shared" si="797"/>
        <v>146.856</v>
      </c>
      <c r="CW258" s="668">
        <f t="shared" si="21"/>
        <v>14303.7744</v>
      </c>
      <c r="CX258" s="668">
        <f t="shared" ref="CX258:DG258" si="798">BN258*$CL258</f>
        <v>0</v>
      </c>
      <c r="CY258" s="668">
        <f t="shared" si="798"/>
        <v>0</v>
      </c>
      <c r="CZ258" s="668">
        <f t="shared" si="798"/>
        <v>0</v>
      </c>
      <c r="DA258" s="668">
        <f t="shared" si="798"/>
        <v>0</v>
      </c>
      <c r="DB258" s="668">
        <f t="shared" si="798"/>
        <v>0</v>
      </c>
      <c r="DC258" s="668">
        <f t="shared" si="798"/>
        <v>0</v>
      </c>
      <c r="DD258" s="668">
        <f t="shared" si="798"/>
        <v>0</v>
      </c>
      <c r="DE258" s="668">
        <f t="shared" si="798"/>
        <v>0</v>
      </c>
      <c r="DF258" s="668">
        <f t="shared" si="798"/>
        <v>0</v>
      </c>
      <c r="DG258" s="668">
        <f t="shared" si="798"/>
        <v>0</v>
      </c>
      <c r="DH258" s="668">
        <f t="shared" si="23"/>
        <v>0</v>
      </c>
      <c r="DI258" s="668">
        <f t="shared" ref="DI258:DR258" si="799">BY258*$CL258</f>
        <v>0</v>
      </c>
      <c r="DJ258" s="668">
        <f t="shared" si="799"/>
        <v>0</v>
      </c>
      <c r="DK258" s="668">
        <f t="shared" si="799"/>
        <v>0</v>
      </c>
      <c r="DL258" s="668">
        <f t="shared" si="799"/>
        <v>0</v>
      </c>
      <c r="DM258" s="668">
        <f t="shared" si="799"/>
        <v>0</v>
      </c>
      <c r="DN258" s="668">
        <f t="shared" si="799"/>
        <v>0</v>
      </c>
      <c r="DO258" s="668">
        <f t="shared" si="799"/>
        <v>0</v>
      </c>
      <c r="DP258" s="668">
        <f t="shared" si="799"/>
        <v>0</v>
      </c>
      <c r="DQ258" s="668">
        <f t="shared" si="799"/>
        <v>0</v>
      </c>
      <c r="DR258" s="668">
        <f t="shared" si="799"/>
        <v>0</v>
      </c>
      <c r="DS258" s="668">
        <f t="shared" si="25"/>
        <v>0</v>
      </c>
      <c r="DT258" s="668">
        <f t="shared" si="685"/>
        <v>14303.7744</v>
      </c>
      <c r="DU258" s="538"/>
      <c r="DV258" s="468" t="s">
        <v>3448</v>
      </c>
      <c r="DW258" s="698"/>
      <c r="DX258" s="698"/>
      <c r="DY258" s="698"/>
      <c r="DZ258" s="698"/>
      <c r="EA258" s="698"/>
      <c r="EB258" s="698"/>
      <c r="EC258" s="698"/>
      <c r="ED258" s="698"/>
      <c r="EE258" s="698"/>
      <c r="EF258" s="698"/>
      <c r="EG258" s="698"/>
      <c r="EH258" s="576" t="s">
        <v>3054</v>
      </c>
      <c r="EI258" s="716">
        <f>VLOOKUP(I258,CotizacionTDB,4,FALSE())</f>
        <v>2.11</v>
      </c>
      <c r="EJ258" s="716">
        <f>VLOOKUP(I258,CotizacionTDB,5,FALSE())</f>
        <v>1.79</v>
      </c>
      <c r="EK258" s="699"/>
    </row>
    <row r="259" ht="12.0" customHeight="1">
      <c r="A259" s="700" t="s">
        <v>3026</v>
      </c>
      <c r="B259" s="701">
        <v>2.0</v>
      </c>
      <c r="C259" s="562" t="s">
        <v>3034</v>
      </c>
      <c r="D259" s="743" t="s">
        <v>52</v>
      </c>
      <c r="E259" s="571" t="s">
        <v>2708</v>
      </c>
      <c r="F259" s="562" t="s">
        <v>1763</v>
      </c>
      <c r="G259" s="569" t="s">
        <v>2709</v>
      </c>
      <c r="H259" s="569" t="s">
        <v>3449</v>
      </c>
      <c r="I259" s="717" t="s">
        <v>2023</v>
      </c>
      <c r="J259" s="704" t="s">
        <v>564</v>
      </c>
      <c r="K259" s="562" t="s">
        <v>25</v>
      </c>
      <c r="L259" s="562">
        <v>2024.0</v>
      </c>
      <c r="M259" s="562">
        <v>2024.0</v>
      </c>
      <c r="N259" s="562">
        <v>2024.0</v>
      </c>
      <c r="O259" s="562"/>
      <c r="P259" s="562"/>
      <c r="Q259" s="562"/>
      <c r="R259" s="562"/>
      <c r="S259" s="562"/>
      <c r="T259" s="562"/>
      <c r="U259" s="562"/>
      <c r="V259" s="562"/>
      <c r="W259" s="562">
        <v>3.0</v>
      </c>
      <c r="X259" s="562">
        <v>3.0</v>
      </c>
      <c r="Y259" s="562">
        <v>3.0</v>
      </c>
      <c r="Z259" s="562"/>
      <c r="AA259" s="562"/>
      <c r="AB259" s="562"/>
      <c r="AC259" s="562"/>
      <c r="AD259" s="562"/>
      <c r="AE259" s="562"/>
      <c r="AF259" s="562"/>
      <c r="AG259" s="562"/>
      <c r="AH259" s="562"/>
      <c r="AI259" s="562"/>
      <c r="AJ259" s="562"/>
      <c r="AK259" s="562"/>
      <c r="AL259" s="562"/>
      <c r="AM259" s="562"/>
      <c r="AN259" s="562"/>
      <c r="AO259" s="562"/>
      <c r="AP259" s="562"/>
      <c r="AQ259" s="562"/>
      <c r="AR259" s="562">
        <v>-2024.0</v>
      </c>
      <c r="AS259" s="562">
        <v>-2024.0</v>
      </c>
      <c r="AT259" s="562">
        <v>-2024.0</v>
      </c>
      <c r="AU259" s="562">
        <v>0.0</v>
      </c>
      <c r="AV259" s="562">
        <v>0.0</v>
      </c>
      <c r="AW259" s="562">
        <v>0.0</v>
      </c>
      <c r="AX259" s="562">
        <v>0.0</v>
      </c>
      <c r="AY259" s="562">
        <v>0.0</v>
      </c>
      <c r="AZ259" s="562">
        <v>0.0</v>
      </c>
      <c r="BA259" s="562">
        <v>0.0</v>
      </c>
      <c r="BB259" s="562"/>
      <c r="BC259" s="562">
        <v>50.0</v>
      </c>
      <c r="BD259" s="562">
        <v>30.0</v>
      </c>
      <c r="BE259" s="562">
        <v>80.0</v>
      </c>
      <c r="BF259" s="562"/>
      <c r="BG259" s="562"/>
      <c r="BH259" s="562"/>
      <c r="BI259" s="562"/>
      <c r="BJ259" s="562"/>
      <c r="BK259" s="562"/>
      <c r="BL259" s="681"/>
      <c r="BM259" s="665">
        <f t="shared" si="1"/>
        <v>160</v>
      </c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6"/>
      <c r="BX259" s="665">
        <f t="shared" si="2"/>
        <v>0</v>
      </c>
      <c r="BY259" s="682">
        <v>0.0</v>
      </c>
      <c r="BZ259" s="683">
        <v>0.0</v>
      </c>
      <c r="CA259" s="683">
        <v>0.0</v>
      </c>
      <c r="CB259" s="683">
        <v>0.0</v>
      </c>
      <c r="CC259" s="683">
        <v>0.0</v>
      </c>
      <c r="CD259" s="683">
        <v>0.0</v>
      </c>
      <c r="CE259" s="683">
        <v>0.0</v>
      </c>
      <c r="CF259" s="683">
        <v>0.0</v>
      </c>
      <c r="CG259" s="683">
        <v>0.0</v>
      </c>
      <c r="CH259" s="686">
        <v>0.0</v>
      </c>
      <c r="CI259" s="665">
        <f t="shared" si="3"/>
        <v>0</v>
      </c>
      <c r="CJ259" s="682">
        <f t="shared" si="4"/>
        <v>160</v>
      </c>
      <c r="CK259" s="706">
        <v>11.81</v>
      </c>
      <c r="CL259" s="683">
        <f t="shared" si="754"/>
        <v>82.1976</v>
      </c>
      <c r="CM259" s="683">
        <f t="shared" ref="CM259:CV259" si="800">BC259*$CL259</f>
        <v>4109.88</v>
      </c>
      <c r="CN259" s="683">
        <f t="shared" si="800"/>
        <v>2465.928</v>
      </c>
      <c r="CO259" s="683">
        <f t="shared" si="800"/>
        <v>6575.808</v>
      </c>
      <c r="CP259" s="683">
        <f t="shared" si="800"/>
        <v>0</v>
      </c>
      <c r="CQ259" s="683">
        <f t="shared" si="800"/>
        <v>0</v>
      </c>
      <c r="CR259" s="683">
        <f t="shared" si="800"/>
        <v>0</v>
      </c>
      <c r="CS259" s="683">
        <f t="shared" si="800"/>
        <v>0</v>
      </c>
      <c r="CT259" s="683">
        <f t="shared" si="800"/>
        <v>0</v>
      </c>
      <c r="CU259" s="683">
        <f t="shared" si="800"/>
        <v>0</v>
      </c>
      <c r="CV259" s="683">
        <f t="shared" si="800"/>
        <v>0</v>
      </c>
      <c r="CW259" s="683">
        <f t="shared" si="21"/>
        <v>13151.616</v>
      </c>
      <c r="CX259" s="683">
        <f t="shared" ref="CX259:DG259" si="801">BN259*$CL259</f>
        <v>0</v>
      </c>
      <c r="CY259" s="683">
        <f t="shared" si="801"/>
        <v>0</v>
      </c>
      <c r="CZ259" s="683">
        <f t="shared" si="801"/>
        <v>0</v>
      </c>
      <c r="DA259" s="683">
        <f t="shared" si="801"/>
        <v>0</v>
      </c>
      <c r="DB259" s="683">
        <f t="shared" si="801"/>
        <v>0</v>
      </c>
      <c r="DC259" s="683">
        <f t="shared" si="801"/>
        <v>0</v>
      </c>
      <c r="DD259" s="683">
        <f t="shared" si="801"/>
        <v>0</v>
      </c>
      <c r="DE259" s="683">
        <f t="shared" si="801"/>
        <v>0</v>
      </c>
      <c r="DF259" s="683">
        <f t="shared" si="801"/>
        <v>0</v>
      </c>
      <c r="DG259" s="683">
        <f t="shared" si="801"/>
        <v>0</v>
      </c>
      <c r="DH259" s="683">
        <f t="shared" si="23"/>
        <v>0</v>
      </c>
      <c r="DI259" s="683">
        <f t="shared" ref="DI259:DR259" si="802">BY259*$CL259</f>
        <v>0</v>
      </c>
      <c r="DJ259" s="683">
        <f t="shared" si="802"/>
        <v>0</v>
      </c>
      <c r="DK259" s="683">
        <f t="shared" si="802"/>
        <v>0</v>
      </c>
      <c r="DL259" s="683">
        <f t="shared" si="802"/>
        <v>0</v>
      </c>
      <c r="DM259" s="683">
        <f t="shared" si="802"/>
        <v>0</v>
      </c>
      <c r="DN259" s="683">
        <f t="shared" si="802"/>
        <v>0</v>
      </c>
      <c r="DO259" s="683">
        <f t="shared" si="802"/>
        <v>0</v>
      </c>
      <c r="DP259" s="683">
        <f t="shared" si="802"/>
        <v>0</v>
      </c>
      <c r="DQ259" s="683">
        <f t="shared" si="802"/>
        <v>0</v>
      </c>
      <c r="DR259" s="683">
        <f t="shared" si="802"/>
        <v>0</v>
      </c>
      <c r="DS259" s="683">
        <f t="shared" si="25"/>
        <v>0</v>
      </c>
      <c r="DT259" s="683">
        <f t="shared" si="685"/>
        <v>13151.616</v>
      </c>
      <c r="DU259" s="504"/>
      <c r="DV259" s="486"/>
      <c r="DW259" s="688"/>
      <c r="DX259" s="688"/>
      <c r="DY259" s="688"/>
      <c r="DZ259" s="688"/>
      <c r="EA259" s="688"/>
      <c r="EB259" s="688"/>
      <c r="EC259" s="688"/>
      <c r="ED259" s="688"/>
      <c r="EE259" s="688"/>
      <c r="EF259" s="688"/>
      <c r="EG259" s="688"/>
      <c r="EH259" s="707" t="s">
        <v>3450</v>
      </c>
      <c r="EI259" s="708">
        <f>VLOOKUP(I259,CotizacionTDB,4,FALSE())</f>
        <v>11.81</v>
      </c>
      <c r="EJ259" s="708">
        <f>VLOOKUP(I259,CotizacionTDB,5,FALSE())</f>
        <v>10.04</v>
      </c>
      <c r="EK259" s="691"/>
    </row>
    <row r="260" ht="12.0" customHeight="1">
      <c r="A260" s="709" t="s">
        <v>3026</v>
      </c>
      <c r="B260" s="661">
        <v>2.0</v>
      </c>
      <c r="C260" s="567" t="s">
        <v>3034</v>
      </c>
      <c r="D260" s="742" t="s">
        <v>52</v>
      </c>
      <c r="E260" s="568" t="s">
        <v>2708</v>
      </c>
      <c r="F260" s="567" t="s">
        <v>1763</v>
      </c>
      <c r="G260" s="569" t="s">
        <v>2709</v>
      </c>
      <c r="H260" s="569" t="s">
        <v>2900</v>
      </c>
      <c r="I260" s="710" t="s">
        <v>2018</v>
      </c>
      <c r="J260" s="711" t="s">
        <v>726</v>
      </c>
      <c r="K260" s="567" t="s">
        <v>25</v>
      </c>
      <c r="L260" s="567">
        <v>2024.0</v>
      </c>
      <c r="M260" s="567">
        <v>2024.0</v>
      </c>
      <c r="N260" s="567">
        <v>2024.0</v>
      </c>
      <c r="O260" s="567">
        <v>2024.0</v>
      </c>
      <c r="P260" s="567">
        <v>2024.0</v>
      </c>
      <c r="Q260" s="567"/>
      <c r="R260" s="567">
        <v>2024.0</v>
      </c>
      <c r="S260" s="567">
        <v>2024.0</v>
      </c>
      <c r="T260" s="567">
        <v>2024.0</v>
      </c>
      <c r="U260" s="567">
        <v>2024.0</v>
      </c>
      <c r="V260" s="567"/>
      <c r="W260" s="567">
        <v>5.0</v>
      </c>
      <c r="X260" s="567">
        <v>5.0</v>
      </c>
      <c r="Y260" s="567">
        <v>5.0</v>
      </c>
      <c r="Z260" s="567">
        <v>4.0</v>
      </c>
      <c r="AA260" s="567">
        <v>4.0</v>
      </c>
      <c r="AB260" s="567"/>
      <c r="AC260" s="567">
        <v>3.0</v>
      </c>
      <c r="AD260" s="567">
        <v>4.0</v>
      </c>
      <c r="AE260" s="567">
        <v>4.0</v>
      </c>
      <c r="AF260" s="567">
        <v>4.0</v>
      </c>
      <c r="AG260" s="567"/>
      <c r="AH260" s="567"/>
      <c r="AI260" s="567"/>
      <c r="AJ260" s="567"/>
      <c r="AK260" s="567"/>
      <c r="AL260" s="567"/>
      <c r="AM260" s="567"/>
      <c r="AN260" s="567"/>
      <c r="AO260" s="567"/>
      <c r="AP260" s="567"/>
      <c r="AQ260" s="567"/>
      <c r="AR260" s="567">
        <v>-2024.0</v>
      </c>
      <c r="AS260" s="567">
        <v>-2024.0</v>
      </c>
      <c r="AT260" s="567">
        <v>-2024.0</v>
      </c>
      <c r="AU260" s="567">
        <v>-2024.0</v>
      </c>
      <c r="AV260" s="567">
        <v>-2024.0</v>
      </c>
      <c r="AW260" s="567">
        <v>0.0</v>
      </c>
      <c r="AX260" s="567">
        <v>-2024.0</v>
      </c>
      <c r="AY260" s="567">
        <v>-2024.0</v>
      </c>
      <c r="AZ260" s="567">
        <v>-2024.0</v>
      </c>
      <c r="BA260" s="567">
        <v>-2024.0</v>
      </c>
      <c r="BB260" s="567"/>
      <c r="BC260" s="567">
        <v>45.0</v>
      </c>
      <c r="BD260" s="567">
        <v>15.0</v>
      </c>
      <c r="BE260" s="661">
        <v>50.0</v>
      </c>
      <c r="BF260" s="567">
        <v>220.0</v>
      </c>
      <c r="BG260" s="567">
        <v>227.0</v>
      </c>
      <c r="BH260" s="567"/>
      <c r="BI260" s="659">
        <v>15.0</v>
      </c>
      <c r="BJ260" s="659">
        <v>15.0</v>
      </c>
      <c r="BK260" s="659">
        <v>8.0</v>
      </c>
      <c r="BL260" s="741">
        <v>10.0</v>
      </c>
      <c r="BM260" s="665">
        <f t="shared" si="1"/>
        <v>605</v>
      </c>
      <c r="BN260" s="668"/>
      <c r="BO260" s="668"/>
      <c r="BP260" s="668"/>
      <c r="BQ260" s="668"/>
      <c r="BR260" s="668"/>
      <c r="BS260" s="668"/>
      <c r="BT260" s="668"/>
      <c r="BU260" s="668"/>
      <c r="BV260" s="668"/>
      <c r="BW260" s="670"/>
      <c r="BX260" s="665">
        <f t="shared" si="2"/>
        <v>0</v>
      </c>
      <c r="BY260" s="736">
        <v>20.0</v>
      </c>
      <c r="BZ260" s="674">
        <v>10.0</v>
      </c>
      <c r="CA260" s="674">
        <v>20.0</v>
      </c>
      <c r="CB260" s="668">
        <v>0.0</v>
      </c>
      <c r="CC260" s="668">
        <v>0.0</v>
      </c>
      <c r="CD260" s="668">
        <v>0.0</v>
      </c>
      <c r="CE260" s="668">
        <v>0.0</v>
      </c>
      <c r="CF260" s="668">
        <v>0.0</v>
      </c>
      <c r="CG260" s="668">
        <v>0.0</v>
      </c>
      <c r="CH260" s="670">
        <v>0.0</v>
      </c>
      <c r="CI260" s="665">
        <f t="shared" si="3"/>
        <v>50</v>
      </c>
      <c r="CJ260" s="671">
        <f t="shared" si="4"/>
        <v>655</v>
      </c>
      <c r="CK260" s="715">
        <v>3.81</v>
      </c>
      <c r="CL260" s="668">
        <f t="shared" si="754"/>
        <v>26.5176</v>
      </c>
      <c r="CM260" s="668">
        <f t="shared" ref="CM260:CV260" si="803">BC260*$CL260</f>
        <v>1193.292</v>
      </c>
      <c r="CN260" s="668">
        <f t="shared" si="803"/>
        <v>397.764</v>
      </c>
      <c r="CO260" s="668">
        <f t="shared" si="803"/>
        <v>1325.88</v>
      </c>
      <c r="CP260" s="668">
        <f t="shared" si="803"/>
        <v>5833.872</v>
      </c>
      <c r="CQ260" s="668">
        <f t="shared" si="803"/>
        <v>6019.4952</v>
      </c>
      <c r="CR260" s="668">
        <f t="shared" si="803"/>
        <v>0</v>
      </c>
      <c r="CS260" s="668">
        <f t="shared" si="803"/>
        <v>397.764</v>
      </c>
      <c r="CT260" s="668">
        <f t="shared" si="803"/>
        <v>397.764</v>
      </c>
      <c r="CU260" s="668">
        <f t="shared" si="803"/>
        <v>212.1408</v>
      </c>
      <c r="CV260" s="668">
        <f t="shared" si="803"/>
        <v>265.176</v>
      </c>
      <c r="CW260" s="668">
        <f t="shared" si="21"/>
        <v>16043.148</v>
      </c>
      <c r="CX260" s="668">
        <f t="shared" ref="CX260:DG260" si="804">BN260*$CL260</f>
        <v>0</v>
      </c>
      <c r="CY260" s="668">
        <f t="shared" si="804"/>
        <v>0</v>
      </c>
      <c r="CZ260" s="668">
        <f t="shared" si="804"/>
        <v>0</v>
      </c>
      <c r="DA260" s="668">
        <f t="shared" si="804"/>
        <v>0</v>
      </c>
      <c r="DB260" s="668">
        <f t="shared" si="804"/>
        <v>0</v>
      </c>
      <c r="DC260" s="668">
        <f t="shared" si="804"/>
        <v>0</v>
      </c>
      <c r="DD260" s="668">
        <f t="shared" si="804"/>
        <v>0</v>
      </c>
      <c r="DE260" s="668">
        <f t="shared" si="804"/>
        <v>0</v>
      </c>
      <c r="DF260" s="668">
        <f t="shared" si="804"/>
        <v>0</v>
      </c>
      <c r="DG260" s="668">
        <f t="shared" si="804"/>
        <v>0</v>
      </c>
      <c r="DH260" s="668">
        <f t="shared" si="23"/>
        <v>0</v>
      </c>
      <c r="DI260" s="668">
        <f t="shared" ref="DI260:DR260" si="805">BY260*$CL260</f>
        <v>530.352</v>
      </c>
      <c r="DJ260" s="668">
        <f t="shared" si="805"/>
        <v>265.176</v>
      </c>
      <c r="DK260" s="668">
        <f t="shared" si="805"/>
        <v>530.352</v>
      </c>
      <c r="DL260" s="668">
        <f t="shared" si="805"/>
        <v>0</v>
      </c>
      <c r="DM260" s="668">
        <f t="shared" si="805"/>
        <v>0</v>
      </c>
      <c r="DN260" s="668">
        <f t="shared" si="805"/>
        <v>0</v>
      </c>
      <c r="DO260" s="668">
        <f t="shared" si="805"/>
        <v>0</v>
      </c>
      <c r="DP260" s="668">
        <f t="shared" si="805"/>
        <v>0</v>
      </c>
      <c r="DQ260" s="668">
        <f t="shared" si="805"/>
        <v>0</v>
      </c>
      <c r="DR260" s="668">
        <f t="shared" si="805"/>
        <v>0</v>
      </c>
      <c r="DS260" s="668">
        <f t="shared" si="25"/>
        <v>1325.88</v>
      </c>
      <c r="DT260" s="668">
        <f t="shared" si="685"/>
        <v>17369.028</v>
      </c>
      <c r="DU260" s="538"/>
      <c r="DV260" s="468"/>
      <c r="DW260" s="698"/>
      <c r="DX260" s="698"/>
      <c r="DY260" s="698"/>
      <c r="DZ260" s="698"/>
      <c r="EA260" s="698"/>
      <c r="EB260" s="698"/>
      <c r="EC260" s="698"/>
      <c r="ED260" s="698"/>
      <c r="EE260" s="698"/>
      <c r="EF260" s="698"/>
      <c r="EG260" s="698"/>
      <c r="EH260" s="576" t="s">
        <v>726</v>
      </c>
      <c r="EI260" s="716">
        <f>VLOOKUP(I260,CotizacionTDB,4,FALSE())</f>
        <v>3.81</v>
      </c>
      <c r="EJ260" s="716">
        <f>VLOOKUP(I260,CotizacionTDB,5,FALSE())</f>
        <v>3.24</v>
      </c>
      <c r="EK260" s="699"/>
    </row>
    <row r="261" ht="12.0" customHeight="1">
      <c r="A261" s="700" t="s">
        <v>3026</v>
      </c>
      <c r="B261" s="701">
        <v>2.0</v>
      </c>
      <c r="C261" s="562" t="s">
        <v>3034</v>
      </c>
      <c r="D261" s="743" t="s">
        <v>52</v>
      </c>
      <c r="E261" s="571" t="s">
        <v>2708</v>
      </c>
      <c r="F261" s="562" t="s">
        <v>1763</v>
      </c>
      <c r="G261" s="569" t="s">
        <v>2709</v>
      </c>
      <c r="H261" s="569" t="s">
        <v>2888</v>
      </c>
      <c r="I261" s="717" t="s">
        <v>1956</v>
      </c>
      <c r="J261" s="704" t="s">
        <v>328</v>
      </c>
      <c r="K261" s="562" t="s">
        <v>25</v>
      </c>
      <c r="L261" s="562">
        <v>2024.0</v>
      </c>
      <c r="M261" s="562">
        <v>2024.0</v>
      </c>
      <c r="N261" s="562">
        <v>2024.0</v>
      </c>
      <c r="O261" s="562"/>
      <c r="P261" s="562">
        <v>2024.0</v>
      </c>
      <c r="Q261" s="562">
        <v>2024.0</v>
      </c>
      <c r="R261" s="562">
        <v>2025.0</v>
      </c>
      <c r="S261" s="562">
        <v>2025.0</v>
      </c>
      <c r="T261" s="562">
        <v>2025.0</v>
      </c>
      <c r="U261" s="562"/>
      <c r="V261" s="562"/>
      <c r="W261" s="562">
        <v>5.0</v>
      </c>
      <c r="X261" s="562">
        <v>5.0</v>
      </c>
      <c r="Y261" s="562">
        <v>5.0</v>
      </c>
      <c r="Z261" s="562"/>
      <c r="AA261" s="562">
        <v>7.0</v>
      </c>
      <c r="AB261" s="562">
        <v>7.0</v>
      </c>
      <c r="AC261" s="562">
        <v>7.0</v>
      </c>
      <c r="AD261" s="562">
        <v>7.0</v>
      </c>
      <c r="AE261" s="562">
        <v>7.0</v>
      </c>
      <c r="AF261" s="562"/>
      <c r="AG261" s="562"/>
      <c r="AH261" s="562"/>
      <c r="AI261" s="562"/>
      <c r="AJ261" s="562"/>
      <c r="AK261" s="562"/>
      <c r="AL261" s="562"/>
      <c r="AM261" s="562"/>
      <c r="AN261" s="562"/>
      <c r="AO261" s="562"/>
      <c r="AP261" s="562"/>
      <c r="AQ261" s="562"/>
      <c r="AR261" s="562">
        <v>-2024.0</v>
      </c>
      <c r="AS261" s="562">
        <v>-2024.0</v>
      </c>
      <c r="AT261" s="562">
        <v>-2024.0</v>
      </c>
      <c r="AU261" s="562">
        <v>0.0</v>
      </c>
      <c r="AV261" s="562">
        <v>-2024.0</v>
      </c>
      <c r="AW261" s="562">
        <v>-2024.0</v>
      </c>
      <c r="AX261" s="562">
        <v>-2025.0</v>
      </c>
      <c r="AY261" s="562">
        <v>-2025.0</v>
      </c>
      <c r="AZ261" s="562">
        <v>-2025.0</v>
      </c>
      <c r="BA261" s="562">
        <v>0.0</v>
      </c>
      <c r="BB261" s="562"/>
      <c r="BC261" s="701"/>
      <c r="BD261" s="701">
        <v>20.0</v>
      </c>
      <c r="BE261" s="701">
        <v>50.0</v>
      </c>
      <c r="BF261" s="562"/>
      <c r="BG261" s="562"/>
      <c r="BH261" s="562"/>
      <c r="BI261" s="768"/>
      <c r="BJ261" s="768"/>
      <c r="BK261" s="768"/>
      <c r="BL261" s="681"/>
      <c r="BM261" s="665">
        <f t="shared" si="1"/>
        <v>70</v>
      </c>
      <c r="BN261" s="733">
        <v>30.0</v>
      </c>
      <c r="BO261" s="687">
        <v>10.0</v>
      </c>
      <c r="BP261" s="687">
        <v>30.0</v>
      </c>
      <c r="BQ261" s="683"/>
      <c r="BR261" s="687">
        <v>252.0</v>
      </c>
      <c r="BS261" s="687">
        <v>416.0</v>
      </c>
      <c r="BT261" s="683">
        <v>262.0</v>
      </c>
      <c r="BU261" s="683">
        <v>310.0</v>
      </c>
      <c r="BV261" s="683">
        <v>52.0</v>
      </c>
      <c r="BW261" s="686"/>
      <c r="BX261" s="665">
        <f t="shared" si="2"/>
        <v>1362</v>
      </c>
      <c r="BY261" s="733">
        <v>224.0</v>
      </c>
      <c r="BZ261" s="683">
        <v>0.0</v>
      </c>
      <c r="CA261" s="687">
        <v>30.0</v>
      </c>
      <c r="CB261" s="683">
        <v>0.0</v>
      </c>
      <c r="CC261" s="683">
        <v>0.0</v>
      </c>
      <c r="CD261" s="683">
        <v>0.0</v>
      </c>
      <c r="CE261" s="683">
        <v>0.0</v>
      </c>
      <c r="CF261" s="683">
        <v>0.0</v>
      </c>
      <c r="CG261" s="683">
        <v>0.0</v>
      </c>
      <c r="CH261" s="686">
        <v>0.0</v>
      </c>
      <c r="CI261" s="665">
        <f t="shared" si="3"/>
        <v>254</v>
      </c>
      <c r="CJ261" s="682">
        <f t="shared" si="4"/>
        <v>1686</v>
      </c>
      <c r="CK261" s="706">
        <v>13.42</v>
      </c>
      <c r="CL261" s="683">
        <f t="shared" si="754"/>
        <v>93.4032</v>
      </c>
      <c r="CM261" s="683">
        <f t="shared" ref="CM261:CV261" si="806">BC261*$CL261</f>
        <v>0</v>
      </c>
      <c r="CN261" s="683">
        <f t="shared" si="806"/>
        <v>1868.064</v>
      </c>
      <c r="CO261" s="683">
        <f t="shared" si="806"/>
        <v>4670.16</v>
      </c>
      <c r="CP261" s="683">
        <f t="shared" si="806"/>
        <v>0</v>
      </c>
      <c r="CQ261" s="683">
        <f t="shared" si="806"/>
        <v>0</v>
      </c>
      <c r="CR261" s="683">
        <f t="shared" si="806"/>
        <v>0</v>
      </c>
      <c r="CS261" s="683">
        <f t="shared" si="806"/>
        <v>0</v>
      </c>
      <c r="CT261" s="683">
        <f t="shared" si="806"/>
        <v>0</v>
      </c>
      <c r="CU261" s="683">
        <f t="shared" si="806"/>
        <v>0</v>
      </c>
      <c r="CV261" s="683">
        <f t="shared" si="806"/>
        <v>0</v>
      </c>
      <c r="CW261" s="683">
        <f t="shared" si="21"/>
        <v>6538.224</v>
      </c>
      <c r="CX261" s="683">
        <f t="shared" ref="CX261:DG261" si="807">BN261*$CL261</f>
        <v>2802.096</v>
      </c>
      <c r="CY261" s="683">
        <f t="shared" si="807"/>
        <v>934.032</v>
      </c>
      <c r="CZ261" s="683">
        <f t="shared" si="807"/>
        <v>2802.096</v>
      </c>
      <c r="DA261" s="683">
        <f t="shared" si="807"/>
        <v>0</v>
      </c>
      <c r="DB261" s="683">
        <f t="shared" si="807"/>
        <v>23537.6064</v>
      </c>
      <c r="DC261" s="683">
        <f t="shared" si="807"/>
        <v>38855.7312</v>
      </c>
      <c r="DD261" s="683">
        <f t="shared" si="807"/>
        <v>24471.6384</v>
      </c>
      <c r="DE261" s="683">
        <f t="shared" si="807"/>
        <v>28954.992</v>
      </c>
      <c r="DF261" s="683">
        <f t="shared" si="807"/>
        <v>4856.9664</v>
      </c>
      <c r="DG261" s="683">
        <f t="shared" si="807"/>
        <v>0</v>
      </c>
      <c r="DH261" s="683">
        <f t="shared" si="23"/>
        <v>127215.1584</v>
      </c>
      <c r="DI261" s="683">
        <f t="shared" ref="DI261:DR261" si="808">BY261*$CL261</f>
        <v>20922.3168</v>
      </c>
      <c r="DJ261" s="683">
        <f t="shared" si="808"/>
        <v>0</v>
      </c>
      <c r="DK261" s="683">
        <f t="shared" si="808"/>
        <v>2802.096</v>
      </c>
      <c r="DL261" s="683">
        <f t="shared" si="808"/>
        <v>0</v>
      </c>
      <c r="DM261" s="683">
        <f t="shared" si="808"/>
        <v>0</v>
      </c>
      <c r="DN261" s="683">
        <f t="shared" si="808"/>
        <v>0</v>
      </c>
      <c r="DO261" s="683">
        <f t="shared" si="808"/>
        <v>0</v>
      </c>
      <c r="DP261" s="683">
        <f t="shared" si="808"/>
        <v>0</v>
      </c>
      <c r="DQ261" s="683">
        <f t="shared" si="808"/>
        <v>0</v>
      </c>
      <c r="DR261" s="683">
        <f t="shared" si="808"/>
        <v>0</v>
      </c>
      <c r="DS261" s="683">
        <f t="shared" si="25"/>
        <v>23724.4128</v>
      </c>
      <c r="DT261" s="683">
        <f t="shared" si="685"/>
        <v>157477.7952</v>
      </c>
      <c r="DU261" s="504"/>
      <c r="DV261" s="486"/>
      <c r="DW261" s="688"/>
      <c r="DX261" s="688"/>
      <c r="DY261" s="688"/>
      <c r="DZ261" s="688"/>
      <c r="EA261" s="688"/>
      <c r="EB261" s="688"/>
      <c r="EC261" s="688"/>
      <c r="ED261" s="688"/>
      <c r="EE261" s="688"/>
      <c r="EF261" s="688"/>
      <c r="EG261" s="688"/>
      <c r="EH261" s="707" t="s">
        <v>328</v>
      </c>
      <c r="EI261" s="708">
        <f>VLOOKUP(I261,CotizacionTDB,4,FALSE())</f>
        <v>13.42</v>
      </c>
      <c r="EJ261" s="708">
        <f>VLOOKUP(I261,CotizacionTDB,5,FALSE())</f>
        <v>11.41</v>
      </c>
      <c r="EK261" s="691"/>
    </row>
    <row r="262" ht="12.0" customHeight="1">
      <c r="A262" s="709" t="s">
        <v>3026</v>
      </c>
      <c r="B262" s="661">
        <v>2.0</v>
      </c>
      <c r="C262" s="567" t="s">
        <v>3034</v>
      </c>
      <c r="D262" s="742" t="s">
        <v>52</v>
      </c>
      <c r="E262" s="568" t="s">
        <v>2708</v>
      </c>
      <c r="F262" s="567" t="s">
        <v>1763</v>
      </c>
      <c r="G262" s="569" t="s">
        <v>2709</v>
      </c>
      <c r="H262" s="569" t="s">
        <v>2905</v>
      </c>
      <c r="I262" s="710" t="s">
        <v>2192</v>
      </c>
      <c r="J262" s="711" t="s">
        <v>885</v>
      </c>
      <c r="K262" s="567" t="s">
        <v>25</v>
      </c>
      <c r="L262" s="567">
        <v>2024.0</v>
      </c>
      <c r="M262" s="567">
        <v>2024.0</v>
      </c>
      <c r="N262" s="567">
        <v>2024.0</v>
      </c>
      <c r="O262" s="567"/>
      <c r="P262" s="567"/>
      <c r="Q262" s="567"/>
      <c r="R262" s="567"/>
      <c r="S262" s="567"/>
      <c r="T262" s="567"/>
      <c r="U262" s="567"/>
      <c r="V262" s="567"/>
      <c r="W262" s="567">
        <v>2.0</v>
      </c>
      <c r="X262" s="567">
        <v>2.0</v>
      </c>
      <c r="Y262" s="567">
        <v>2.0</v>
      </c>
      <c r="Z262" s="567"/>
      <c r="AA262" s="567"/>
      <c r="AB262" s="567"/>
      <c r="AC262" s="567"/>
      <c r="AD262" s="567"/>
      <c r="AE262" s="567"/>
      <c r="AF262" s="567"/>
      <c r="AG262" s="567"/>
      <c r="AH262" s="567"/>
      <c r="AI262" s="567"/>
      <c r="AJ262" s="567"/>
      <c r="AK262" s="567"/>
      <c r="AL262" s="567"/>
      <c r="AM262" s="567"/>
      <c r="AN262" s="567"/>
      <c r="AO262" s="567"/>
      <c r="AP262" s="567"/>
      <c r="AQ262" s="567"/>
      <c r="AR262" s="567">
        <v>-2024.0</v>
      </c>
      <c r="AS262" s="567">
        <v>-2024.0</v>
      </c>
      <c r="AT262" s="567">
        <v>-2024.0</v>
      </c>
      <c r="AU262" s="567">
        <v>0.0</v>
      </c>
      <c r="AV262" s="567">
        <v>0.0</v>
      </c>
      <c r="AW262" s="567">
        <v>0.0</v>
      </c>
      <c r="AX262" s="567">
        <v>0.0</v>
      </c>
      <c r="AY262" s="567">
        <v>0.0</v>
      </c>
      <c r="AZ262" s="567">
        <v>0.0</v>
      </c>
      <c r="BA262" s="567">
        <v>0.0</v>
      </c>
      <c r="BB262" s="567"/>
      <c r="BC262" s="567">
        <v>5.0</v>
      </c>
      <c r="BD262" s="567">
        <v>2.0</v>
      </c>
      <c r="BE262" s="567">
        <v>10.0</v>
      </c>
      <c r="BF262" s="567"/>
      <c r="BG262" s="567"/>
      <c r="BH262" s="567"/>
      <c r="BI262" s="567"/>
      <c r="BJ262" s="567"/>
      <c r="BK262" s="567"/>
      <c r="BL262" s="725"/>
      <c r="BM262" s="665">
        <f t="shared" si="1"/>
        <v>17</v>
      </c>
      <c r="BN262" s="668"/>
      <c r="BO262" s="668"/>
      <c r="BP262" s="668"/>
      <c r="BQ262" s="668"/>
      <c r="BR262" s="668"/>
      <c r="BS262" s="668"/>
      <c r="BT262" s="668"/>
      <c r="BU262" s="668"/>
      <c r="BV262" s="668"/>
      <c r="BW262" s="670"/>
      <c r="BX262" s="665">
        <f t="shared" si="2"/>
        <v>0</v>
      </c>
      <c r="BY262" s="671">
        <v>5.0</v>
      </c>
      <c r="BZ262" s="668">
        <v>2.0</v>
      </c>
      <c r="CA262" s="668">
        <v>10.0</v>
      </c>
      <c r="CB262" s="668">
        <v>0.0</v>
      </c>
      <c r="CC262" s="668">
        <v>0.0</v>
      </c>
      <c r="CD262" s="668">
        <v>0.0</v>
      </c>
      <c r="CE262" s="668">
        <v>0.0</v>
      </c>
      <c r="CF262" s="668">
        <v>0.0</v>
      </c>
      <c r="CG262" s="668">
        <v>0.0</v>
      </c>
      <c r="CH262" s="670">
        <v>0.0</v>
      </c>
      <c r="CI262" s="665">
        <f t="shared" si="3"/>
        <v>17</v>
      </c>
      <c r="CJ262" s="671">
        <f t="shared" si="4"/>
        <v>34</v>
      </c>
      <c r="CK262" s="715">
        <v>33.92</v>
      </c>
      <c r="CL262" s="668">
        <f t="shared" si="754"/>
        <v>236.0832</v>
      </c>
      <c r="CM262" s="668">
        <f t="shared" ref="CM262:CV262" si="809">BC262*$CL262</f>
        <v>1180.416</v>
      </c>
      <c r="CN262" s="668">
        <f t="shared" si="809"/>
        <v>472.1664</v>
      </c>
      <c r="CO262" s="668">
        <f t="shared" si="809"/>
        <v>2360.832</v>
      </c>
      <c r="CP262" s="668">
        <f t="shared" si="809"/>
        <v>0</v>
      </c>
      <c r="CQ262" s="668">
        <f t="shared" si="809"/>
        <v>0</v>
      </c>
      <c r="CR262" s="668">
        <f t="shared" si="809"/>
        <v>0</v>
      </c>
      <c r="CS262" s="668">
        <f t="shared" si="809"/>
        <v>0</v>
      </c>
      <c r="CT262" s="668">
        <f t="shared" si="809"/>
        <v>0</v>
      </c>
      <c r="CU262" s="668">
        <f t="shared" si="809"/>
        <v>0</v>
      </c>
      <c r="CV262" s="668">
        <f t="shared" si="809"/>
        <v>0</v>
      </c>
      <c r="CW262" s="668">
        <f t="shared" si="21"/>
        <v>4013.4144</v>
      </c>
      <c r="CX262" s="668">
        <f t="shared" ref="CX262:DG262" si="810">BN262*$CL262</f>
        <v>0</v>
      </c>
      <c r="CY262" s="668">
        <f t="shared" si="810"/>
        <v>0</v>
      </c>
      <c r="CZ262" s="668">
        <f t="shared" si="810"/>
        <v>0</v>
      </c>
      <c r="DA262" s="668">
        <f t="shared" si="810"/>
        <v>0</v>
      </c>
      <c r="DB262" s="668">
        <f t="shared" si="810"/>
        <v>0</v>
      </c>
      <c r="DC262" s="668">
        <f t="shared" si="810"/>
        <v>0</v>
      </c>
      <c r="DD262" s="668">
        <f t="shared" si="810"/>
        <v>0</v>
      </c>
      <c r="DE262" s="668">
        <f t="shared" si="810"/>
        <v>0</v>
      </c>
      <c r="DF262" s="668">
        <f t="shared" si="810"/>
        <v>0</v>
      </c>
      <c r="DG262" s="668">
        <f t="shared" si="810"/>
        <v>0</v>
      </c>
      <c r="DH262" s="668">
        <f t="shared" si="23"/>
        <v>0</v>
      </c>
      <c r="DI262" s="668">
        <f t="shared" ref="DI262:DR262" si="811">BY262*$CL262</f>
        <v>1180.416</v>
      </c>
      <c r="DJ262" s="668">
        <f t="shared" si="811"/>
        <v>472.1664</v>
      </c>
      <c r="DK262" s="668">
        <f t="shared" si="811"/>
        <v>2360.832</v>
      </c>
      <c r="DL262" s="668">
        <f t="shared" si="811"/>
        <v>0</v>
      </c>
      <c r="DM262" s="668">
        <f t="shared" si="811"/>
        <v>0</v>
      </c>
      <c r="DN262" s="668">
        <f t="shared" si="811"/>
        <v>0</v>
      </c>
      <c r="DO262" s="668">
        <f t="shared" si="811"/>
        <v>0</v>
      </c>
      <c r="DP262" s="668">
        <f t="shared" si="811"/>
        <v>0</v>
      </c>
      <c r="DQ262" s="668">
        <f t="shared" si="811"/>
        <v>0</v>
      </c>
      <c r="DR262" s="668">
        <f t="shared" si="811"/>
        <v>0</v>
      </c>
      <c r="DS262" s="668">
        <f t="shared" si="25"/>
        <v>4013.4144</v>
      </c>
      <c r="DT262" s="668">
        <f t="shared" si="685"/>
        <v>8026.8288</v>
      </c>
      <c r="DU262" s="538"/>
      <c r="DV262" s="468"/>
      <c r="DW262" s="698"/>
      <c r="DX262" s="698"/>
      <c r="DY262" s="698"/>
      <c r="DZ262" s="698"/>
      <c r="EA262" s="698"/>
      <c r="EB262" s="698"/>
      <c r="EC262" s="698"/>
      <c r="ED262" s="698"/>
      <c r="EE262" s="698"/>
      <c r="EF262" s="698"/>
      <c r="EG262" s="698"/>
      <c r="EH262" s="576" t="s">
        <v>3451</v>
      </c>
      <c r="EI262" s="716">
        <f>VLOOKUP(I262,CotizacionTDB,4,FALSE())</f>
        <v>33.92</v>
      </c>
      <c r="EJ262" s="716">
        <f>VLOOKUP(I262,CotizacionTDB,5,FALSE())</f>
        <v>28.83</v>
      </c>
      <c r="EK262" s="699"/>
    </row>
    <row r="263" ht="12.0" customHeight="1">
      <c r="A263" s="700" t="s">
        <v>3026</v>
      </c>
      <c r="B263" s="701">
        <v>2.0</v>
      </c>
      <c r="C263" s="562" t="s">
        <v>3034</v>
      </c>
      <c r="D263" s="743" t="s">
        <v>52</v>
      </c>
      <c r="E263" s="571" t="s">
        <v>2708</v>
      </c>
      <c r="F263" s="562" t="s">
        <v>1763</v>
      </c>
      <c r="G263" s="569" t="s">
        <v>2709</v>
      </c>
      <c r="H263" s="737"/>
      <c r="I263" s="717" t="s">
        <v>2130</v>
      </c>
      <c r="J263" s="704" t="s">
        <v>1057</v>
      </c>
      <c r="K263" s="562" t="s">
        <v>25</v>
      </c>
      <c r="L263" s="562">
        <v>2024.0</v>
      </c>
      <c r="M263" s="562">
        <v>2024.0</v>
      </c>
      <c r="N263" s="562">
        <v>2024.0</v>
      </c>
      <c r="O263" s="562"/>
      <c r="P263" s="562"/>
      <c r="Q263" s="562"/>
      <c r="R263" s="562"/>
      <c r="S263" s="562"/>
      <c r="T263" s="562"/>
      <c r="U263" s="562"/>
      <c r="V263" s="562"/>
      <c r="W263" s="562"/>
      <c r="X263" s="562"/>
      <c r="Y263" s="562">
        <v>4.0</v>
      </c>
      <c r="Z263" s="562"/>
      <c r="AA263" s="562"/>
      <c r="AB263" s="562"/>
      <c r="AC263" s="562"/>
      <c r="AD263" s="562"/>
      <c r="AE263" s="562"/>
      <c r="AF263" s="562"/>
      <c r="AG263" s="562"/>
      <c r="AH263" s="562"/>
      <c r="AI263" s="562"/>
      <c r="AJ263" s="562"/>
      <c r="AK263" s="562"/>
      <c r="AL263" s="562"/>
      <c r="AM263" s="562"/>
      <c r="AN263" s="562"/>
      <c r="AO263" s="562"/>
      <c r="AP263" s="562"/>
      <c r="AQ263" s="562"/>
      <c r="AR263" s="562">
        <v>-2024.0</v>
      </c>
      <c r="AS263" s="562">
        <v>-2024.0</v>
      </c>
      <c r="AT263" s="562">
        <v>-2024.0</v>
      </c>
      <c r="AU263" s="562">
        <v>0.0</v>
      </c>
      <c r="AV263" s="562">
        <v>0.0</v>
      </c>
      <c r="AW263" s="562">
        <v>0.0</v>
      </c>
      <c r="AX263" s="562">
        <v>0.0</v>
      </c>
      <c r="AY263" s="562">
        <v>0.0</v>
      </c>
      <c r="AZ263" s="562">
        <v>0.0</v>
      </c>
      <c r="BA263" s="562">
        <v>0.0</v>
      </c>
      <c r="BB263" s="562"/>
      <c r="BC263" s="701">
        <v>4.0</v>
      </c>
      <c r="BD263" s="562"/>
      <c r="BE263" s="701">
        <v>5.0</v>
      </c>
      <c r="BF263" s="562"/>
      <c r="BG263" s="562"/>
      <c r="BH263" s="562"/>
      <c r="BI263" s="562"/>
      <c r="BJ263" s="562"/>
      <c r="BK263" s="562"/>
      <c r="BL263" s="562"/>
      <c r="BM263" s="665">
        <f t="shared" si="1"/>
        <v>9</v>
      </c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745">
        <v>1.0</v>
      </c>
      <c r="BX263" s="665">
        <f t="shared" si="2"/>
        <v>1</v>
      </c>
      <c r="BY263" s="682">
        <v>0.0</v>
      </c>
      <c r="BZ263" s="683">
        <v>0.0</v>
      </c>
      <c r="CA263" s="683">
        <v>0.0</v>
      </c>
      <c r="CB263" s="683">
        <v>0.0</v>
      </c>
      <c r="CC263" s="683">
        <v>0.0</v>
      </c>
      <c r="CD263" s="683">
        <v>0.0</v>
      </c>
      <c r="CE263" s="683">
        <v>0.0</v>
      </c>
      <c r="CF263" s="683">
        <v>0.0</v>
      </c>
      <c r="CG263" s="683">
        <v>0.0</v>
      </c>
      <c r="CH263" s="686">
        <v>0.0</v>
      </c>
      <c r="CI263" s="665">
        <f t="shared" si="3"/>
        <v>0</v>
      </c>
      <c r="CJ263" s="682">
        <f t="shared" si="4"/>
        <v>10</v>
      </c>
      <c r="CK263" s="706">
        <v>40.65</v>
      </c>
      <c r="CL263" s="683">
        <f t="shared" si="754"/>
        <v>282.924</v>
      </c>
      <c r="CM263" s="683">
        <f t="shared" ref="CM263:CV263" si="812">BC263*$CL263</f>
        <v>1131.696</v>
      </c>
      <c r="CN263" s="683">
        <f t="shared" si="812"/>
        <v>0</v>
      </c>
      <c r="CO263" s="683">
        <f t="shared" si="812"/>
        <v>1414.62</v>
      </c>
      <c r="CP263" s="683">
        <f t="shared" si="812"/>
        <v>0</v>
      </c>
      <c r="CQ263" s="683">
        <f t="shared" si="812"/>
        <v>0</v>
      </c>
      <c r="CR263" s="683">
        <f t="shared" si="812"/>
        <v>0</v>
      </c>
      <c r="CS263" s="683">
        <f t="shared" si="812"/>
        <v>0</v>
      </c>
      <c r="CT263" s="683">
        <f t="shared" si="812"/>
        <v>0</v>
      </c>
      <c r="CU263" s="683">
        <f t="shared" si="812"/>
        <v>0</v>
      </c>
      <c r="CV263" s="683">
        <f t="shared" si="812"/>
        <v>0</v>
      </c>
      <c r="CW263" s="683">
        <f t="shared" si="21"/>
        <v>2546.316</v>
      </c>
      <c r="CX263" s="683">
        <f t="shared" ref="CX263:DG263" si="813">BN263*$CL263</f>
        <v>0</v>
      </c>
      <c r="CY263" s="683">
        <f t="shared" si="813"/>
        <v>0</v>
      </c>
      <c r="CZ263" s="683">
        <f t="shared" si="813"/>
        <v>0</v>
      </c>
      <c r="DA263" s="683">
        <f t="shared" si="813"/>
        <v>0</v>
      </c>
      <c r="DB263" s="683">
        <f t="shared" si="813"/>
        <v>0</v>
      </c>
      <c r="DC263" s="683">
        <f t="shared" si="813"/>
        <v>0</v>
      </c>
      <c r="DD263" s="683">
        <f t="shared" si="813"/>
        <v>0</v>
      </c>
      <c r="DE263" s="683">
        <f t="shared" si="813"/>
        <v>0</v>
      </c>
      <c r="DF263" s="683">
        <f t="shared" si="813"/>
        <v>0</v>
      </c>
      <c r="DG263" s="683">
        <f t="shared" si="813"/>
        <v>282.924</v>
      </c>
      <c r="DH263" s="683">
        <f t="shared" si="23"/>
        <v>282.924</v>
      </c>
      <c r="DI263" s="683">
        <f t="shared" ref="DI263:DR263" si="814">BY263*$CL263</f>
        <v>0</v>
      </c>
      <c r="DJ263" s="683">
        <f t="shared" si="814"/>
        <v>0</v>
      </c>
      <c r="DK263" s="683">
        <f t="shared" si="814"/>
        <v>0</v>
      </c>
      <c r="DL263" s="683">
        <f t="shared" si="814"/>
        <v>0</v>
      </c>
      <c r="DM263" s="683">
        <f t="shared" si="814"/>
        <v>0</v>
      </c>
      <c r="DN263" s="683">
        <f t="shared" si="814"/>
        <v>0</v>
      </c>
      <c r="DO263" s="683">
        <f t="shared" si="814"/>
        <v>0</v>
      </c>
      <c r="DP263" s="683">
        <f t="shared" si="814"/>
        <v>0</v>
      </c>
      <c r="DQ263" s="683">
        <f t="shared" si="814"/>
        <v>0</v>
      </c>
      <c r="DR263" s="683">
        <f t="shared" si="814"/>
        <v>0</v>
      </c>
      <c r="DS263" s="683">
        <f t="shared" si="25"/>
        <v>0</v>
      </c>
      <c r="DT263" s="683">
        <f t="shared" si="685"/>
        <v>2829.24</v>
      </c>
      <c r="DU263" s="504"/>
      <c r="DV263" s="486"/>
      <c r="DW263" s="688"/>
      <c r="DX263" s="688"/>
      <c r="DY263" s="688"/>
      <c r="DZ263" s="688"/>
      <c r="EA263" s="688"/>
      <c r="EB263" s="688"/>
      <c r="EC263" s="688"/>
      <c r="ED263" s="688"/>
      <c r="EE263" s="688"/>
      <c r="EF263" s="688"/>
      <c r="EG263" s="688"/>
      <c r="EH263" s="707" t="s">
        <v>3452</v>
      </c>
      <c r="EI263" s="708">
        <f>VLOOKUP(I263,CotizacionTDB,4,FALSE())</f>
        <v>40.65</v>
      </c>
      <c r="EJ263" s="708">
        <f>VLOOKUP(I263,CotizacionTDB,5,FALSE())</f>
        <v>34.55</v>
      </c>
      <c r="EK263" s="691"/>
    </row>
    <row r="264" ht="12.0" customHeight="1">
      <c r="A264" s="709" t="s">
        <v>3026</v>
      </c>
      <c r="B264" s="661">
        <v>2.0</v>
      </c>
      <c r="C264" s="567" t="s">
        <v>3034</v>
      </c>
      <c r="D264" s="742" t="s">
        <v>52</v>
      </c>
      <c r="E264" s="568" t="s">
        <v>2708</v>
      </c>
      <c r="F264" s="567" t="s">
        <v>1763</v>
      </c>
      <c r="G264" s="569" t="s">
        <v>2709</v>
      </c>
      <c r="H264" s="657" t="s">
        <v>2936</v>
      </c>
      <c r="I264" s="710" t="s">
        <v>2359</v>
      </c>
      <c r="J264" s="711" t="s">
        <v>2360</v>
      </c>
      <c r="K264" s="567" t="s">
        <v>25</v>
      </c>
      <c r="L264" s="567">
        <v>2024.0</v>
      </c>
      <c r="M264" s="567">
        <v>2024.0</v>
      </c>
      <c r="N264" s="567">
        <v>2024.0</v>
      </c>
      <c r="O264" s="567"/>
      <c r="P264" s="567"/>
      <c r="Q264" s="567"/>
      <c r="R264" s="567"/>
      <c r="S264" s="567"/>
      <c r="T264" s="567"/>
      <c r="U264" s="567"/>
      <c r="V264" s="567"/>
      <c r="W264" s="567">
        <v>2.0</v>
      </c>
      <c r="X264" s="567">
        <v>2.0</v>
      </c>
      <c r="Y264" s="567">
        <v>2.0</v>
      </c>
      <c r="Z264" s="567"/>
      <c r="AA264" s="567"/>
      <c r="AB264" s="567"/>
      <c r="AC264" s="567"/>
      <c r="AD264" s="567"/>
      <c r="AE264" s="567"/>
      <c r="AF264" s="567"/>
      <c r="AG264" s="567"/>
      <c r="AH264" s="567"/>
      <c r="AI264" s="567"/>
      <c r="AJ264" s="567"/>
      <c r="AK264" s="567"/>
      <c r="AL264" s="567"/>
      <c r="AM264" s="567"/>
      <c r="AN264" s="567"/>
      <c r="AO264" s="567"/>
      <c r="AP264" s="567"/>
      <c r="AQ264" s="567"/>
      <c r="AR264" s="567">
        <v>-2024.0</v>
      </c>
      <c r="AS264" s="567">
        <v>-2024.0</v>
      </c>
      <c r="AT264" s="567">
        <v>-2024.0</v>
      </c>
      <c r="AU264" s="567">
        <v>0.0</v>
      </c>
      <c r="AV264" s="567">
        <v>0.0</v>
      </c>
      <c r="AW264" s="567">
        <v>0.0</v>
      </c>
      <c r="AX264" s="567">
        <v>0.0</v>
      </c>
      <c r="AY264" s="567">
        <v>0.0</v>
      </c>
      <c r="AZ264" s="567">
        <v>0.0</v>
      </c>
      <c r="BA264" s="567">
        <v>0.0</v>
      </c>
      <c r="BB264" s="567"/>
      <c r="BC264" s="661">
        <v>200.0</v>
      </c>
      <c r="BD264" s="567"/>
      <c r="BE264" s="661">
        <v>300.0</v>
      </c>
      <c r="BF264" s="567"/>
      <c r="BG264" s="567"/>
      <c r="BH264" s="567"/>
      <c r="BI264" s="567"/>
      <c r="BJ264" s="567"/>
      <c r="BK264" s="567"/>
      <c r="BL264" s="567"/>
      <c r="BM264" s="665">
        <f t="shared" si="1"/>
        <v>500</v>
      </c>
      <c r="BN264" s="674">
        <v>200.0</v>
      </c>
      <c r="BO264" s="674">
        <v>120.0</v>
      </c>
      <c r="BP264" s="674">
        <v>300.0</v>
      </c>
      <c r="BQ264" s="668"/>
      <c r="BR264" s="668"/>
      <c r="BS264" s="668"/>
      <c r="BT264" s="668"/>
      <c r="BU264" s="668"/>
      <c r="BV264" s="668"/>
      <c r="BW264" s="668"/>
      <c r="BX264" s="665">
        <f t="shared" si="2"/>
        <v>620</v>
      </c>
      <c r="BY264" s="671">
        <v>200.0</v>
      </c>
      <c r="BZ264" s="668">
        <v>120.0</v>
      </c>
      <c r="CA264" s="674">
        <v>300.0</v>
      </c>
      <c r="CB264" s="668">
        <v>0.0</v>
      </c>
      <c r="CC264" s="668">
        <v>0.0</v>
      </c>
      <c r="CD264" s="668">
        <v>0.0</v>
      </c>
      <c r="CE264" s="668">
        <v>0.0</v>
      </c>
      <c r="CF264" s="668">
        <v>0.0</v>
      </c>
      <c r="CG264" s="668">
        <v>0.0</v>
      </c>
      <c r="CH264" s="670">
        <v>0.0</v>
      </c>
      <c r="CI264" s="665">
        <f t="shared" si="3"/>
        <v>620</v>
      </c>
      <c r="CJ264" s="671">
        <f t="shared" si="4"/>
        <v>1740</v>
      </c>
      <c r="CK264" s="715">
        <v>0.73</v>
      </c>
      <c r="CL264" s="668">
        <f t="shared" si="754"/>
        <v>5.0808</v>
      </c>
      <c r="CM264" s="668">
        <f t="shared" ref="CM264:CV264" si="815">BC264*$CL264</f>
        <v>1016.16</v>
      </c>
      <c r="CN264" s="668">
        <f t="shared" si="815"/>
        <v>0</v>
      </c>
      <c r="CO264" s="668">
        <f t="shared" si="815"/>
        <v>1524.24</v>
      </c>
      <c r="CP264" s="668">
        <f t="shared" si="815"/>
        <v>0</v>
      </c>
      <c r="CQ264" s="668">
        <f t="shared" si="815"/>
        <v>0</v>
      </c>
      <c r="CR264" s="668">
        <f t="shared" si="815"/>
        <v>0</v>
      </c>
      <c r="CS264" s="668">
        <f t="shared" si="815"/>
        <v>0</v>
      </c>
      <c r="CT264" s="668">
        <f t="shared" si="815"/>
        <v>0</v>
      </c>
      <c r="CU264" s="668">
        <f t="shared" si="815"/>
        <v>0</v>
      </c>
      <c r="CV264" s="668">
        <f t="shared" si="815"/>
        <v>0</v>
      </c>
      <c r="CW264" s="668">
        <f t="shared" si="21"/>
        <v>2540.4</v>
      </c>
      <c r="CX264" s="668">
        <f t="shared" ref="CX264:DG264" si="816">BN264*$CL264</f>
        <v>1016.16</v>
      </c>
      <c r="CY264" s="668">
        <f t="shared" si="816"/>
        <v>609.696</v>
      </c>
      <c r="CZ264" s="668">
        <f t="shared" si="816"/>
        <v>1524.24</v>
      </c>
      <c r="DA264" s="668">
        <f t="shared" si="816"/>
        <v>0</v>
      </c>
      <c r="DB264" s="668">
        <f t="shared" si="816"/>
        <v>0</v>
      </c>
      <c r="DC264" s="668">
        <f t="shared" si="816"/>
        <v>0</v>
      </c>
      <c r="DD264" s="668">
        <f t="shared" si="816"/>
        <v>0</v>
      </c>
      <c r="DE264" s="668">
        <f t="shared" si="816"/>
        <v>0</v>
      </c>
      <c r="DF264" s="668">
        <f t="shared" si="816"/>
        <v>0</v>
      </c>
      <c r="DG264" s="668">
        <f t="shared" si="816"/>
        <v>0</v>
      </c>
      <c r="DH264" s="668">
        <f t="shared" si="23"/>
        <v>3150.096</v>
      </c>
      <c r="DI264" s="668">
        <f t="shared" ref="DI264:DR264" si="817">BY264*$CL264</f>
        <v>1016.16</v>
      </c>
      <c r="DJ264" s="668">
        <f t="shared" si="817"/>
        <v>609.696</v>
      </c>
      <c r="DK264" s="668">
        <f t="shared" si="817"/>
        <v>1524.24</v>
      </c>
      <c r="DL264" s="668">
        <f t="shared" si="817"/>
        <v>0</v>
      </c>
      <c r="DM264" s="668">
        <f t="shared" si="817"/>
        <v>0</v>
      </c>
      <c r="DN264" s="668">
        <f t="shared" si="817"/>
        <v>0</v>
      </c>
      <c r="DO264" s="668">
        <f t="shared" si="817"/>
        <v>0</v>
      </c>
      <c r="DP264" s="668">
        <f t="shared" si="817"/>
        <v>0</v>
      </c>
      <c r="DQ264" s="668">
        <f t="shared" si="817"/>
        <v>0</v>
      </c>
      <c r="DR264" s="668">
        <f t="shared" si="817"/>
        <v>0</v>
      </c>
      <c r="DS264" s="668">
        <f t="shared" si="25"/>
        <v>3150.096</v>
      </c>
      <c r="DT264" s="668">
        <f t="shared" si="685"/>
        <v>8840.592</v>
      </c>
      <c r="DU264" s="538"/>
      <c r="DV264" s="468"/>
      <c r="DW264" s="698"/>
      <c r="DX264" s="698"/>
      <c r="DY264" s="698"/>
      <c r="DZ264" s="698"/>
      <c r="EA264" s="698"/>
      <c r="EB264" s="698"/>
      <c r="EC264" s="698"/>
      <c r="ED264" s="698"/>
      <c r="EE264" s="698"/>
      <c r="EF264" s="698"/>
      <c r="EG264" s="698"/>
      <c r="EH264" s="576" t="s">
        <v>3453</v>
      </c>
      <c r="EI264" s="716">
        <f>VLOOKUP(I264,CotizacionTDB,4,FALSE())</f>
        <v>0.73</v>
      </c>
      <c r="EJ264" s="716">
        <f>VLOOKUP(I264,CotizacionTDB,5,FALSE())</f>
        <v>0.62</v>
      </c>
      <c r="EK264" s="699"/>
    </row>
    <row r="265" ht="12.0" customHeight="1">
      <c r="A265" s="700" t="s">
        <v>3026</v>
      </c>
      <c r="B265" s="701">
        <v>2.0</v>
      </c>
      <c r="C265" s="562" t="s">
        <v>3034</v>
      </c>
      <c r="D265" s="743" t="s">
        <v>52</v>
      </c>
      <c r="E265" s="571" t="s">
        <v>2708</v>
      </c>
      <c r="F265" s="562" t="s">
        <v>1763</v>
      </c>
      <c r="G265" s="569" t="s">
        <v>2709</v>
      </c>
      <c r="H265" s="702" t="s">
        <v>2928</v>
      </c>
      <c r="I265" s="717" t="s">
        <v>2034</v>
      </c>
      <c r="J265" s="704" t="s">
        <v>1329</v>
      </c>
      <c r="K265" s="562" t="s">
        <v>25</v>
      </c>
      <c r="L265" s="562">
        <v>2024.0</v>
      </c>
      <c r="M265" s="562">
        <v>2024.0</v>
      </c>
      <c r="N265" s="562">
        <v>2024.0</v>
      </c>
      <c r="O265" s="562"/>
      <c r="P265" s="562"/>
      <c r="Q265" s="562"/>
      <c r="R265" s="562"/>
      <c r="S265" s="562"/>
      <c r="T265" s="562"/>
      <c r="U265" s="562"/>
      <c r="V265" s="562"/>
      <c r="W265" s="562">
        <v>7.0</v>
      </c>
      <c r="X265" s="562"/>
      <c r="Y265" s="562">
        <v>7.0</v>
      </c>
      <c r="Z265" s="562"/>
      <c r="AA265" s="562"/>
      <c r="AB265" s="562"/>
      <c r="AC265" s="562"/>
      <c r="AD265" s="562"/>
      <c r="AE265" s="562"/>
      <c r="AF265" s="562"/>
      <c r="AG265" s="562"/>
      <c r="AH265" s="562"/>
      <c r="AI265" s="562"/>
      <c r="AJ265" s="562"/>
      <c r="AK265" s="562"/>
      <c r="AL265" s="562"/>
      <c r="AM265" s="562"/>
      <c r="AN265" s="562"/>
      <c r="AO265" s="562"/>
      <c r="AP265" s="562"/>
      <c r="AQ265" s="562"/>
      <c r="AR265" s="562">
        <v>-2024.0</v>
      </c>
      <c r="AS265" s="562">
        <v>-2024.0</v>
      </c>
      <c r="AT265" s="562">
        <v>-2024.0</v>
      </c>
      <c r="AU265" s="562">
        <v>0.0</v>
      </c>
      <c r="AV265" s="562">
        <v>0.0</v>
      </c>
      <c r="AW265" s="562">
        <v>0.0</v>
      </c>
      <c r="AX265" s="562">
        <v>0.0</v>
      </c>
      <c r="AY265" s="562">
        <v>0.0</v>
      </c>
      <c r="AZ265" s="562">
        <v>0.0</v>
      </c>
      <c r="BA265" s="562">
        <v>0.0</v>
      </c>
      <c r="BB265" s="562"/>
      <c r="BC265" s="562">
        <v>10.0</v>
      </c>
      <c r="BD265" s="562"/>
      <c r="BE265" s="562">
        <v>5.0</v>
      </c>
      <c r="BF265" s="562"/>
      <c r="BG265" s="562"/>
      <c r="BH265" s="562"/>
      <c r="BI265" s="562"/>
      <c r="BJ265" s="562"/>
      <c r="BK265" s="562"/>
      <c r="BL265" s="562"/>
      <c r="BM265" s="665">
        <f t="shared" si="1"/>
        <v>15</v>
      </c>
      <c r="BN265" s="683"/>
      <c r="BO265" s="683"/>
      <c r="BP265" s="683"/>
      <c r="BQ265" s="683"/>
      <c r="BR265" s="683"/>
      <c r="BS265" s="683"/>
      <c r="BT265" s="683"/>
      <c r="BU265" s="683"/>
      <c r="BV265" s="683"/>
      <c r="BW265" s="683"/>
      <c r="BX265" s="665">
        <f t="shared" si="2"/>
        <v>0</v>
      </c>
      <c r="BY265" s="682">
        <v>0.0</v>
      </c>
      <c r="BZ265" s="683">
        <v>0.0</v>
      </c>
      <c r="CA265" s="683">
        <v>0.0</v>
      </c>
      <c r="CB265" s="683">
        <v>0.0</v>
      </c>
      <c r="CC265" s="683">
        <v>0.0</v>
      </c>
      <c r="CD265" s="683">
        <v>0.0</v>
      </c>
      <c r="CE265" s="683">
        <v>0.0</v>
      </c>
      <c r="CF265" s="683">
        <v>0.0</v>
      </c>
      <c r="CG265" s="683">
        <v>0.0</v>
      </c>
      <c r="CH265" s="686">
        <v>0.0</v>
      </c>
      <c r="CI265" s="665">
        <f t="shared" si="3"/>
        <v>0</v>
      </c>
      <c r="CJ265" s="682">
        <f t="shared" si="4"/>
        <v>15</v>
      </c>
      <c r="CK265" s="706">
        <v>10.96</v>
      </c>
      <c r="CL265" s="683">
        <f t="shared" si="754"/>
        <v>76.2816</v>
      </c>
      <c r="CM265" s="683">
        <f t="shared" ref="CM265:CV265" si="818">BC265*$CL265</f>
        <v>762.816</v>
      </c>
      <c r="CN265" s="683">
        <f t="shared" si="818"/>
        <v>0</v>
      </c>
      <c r="CO265" s="683">
        <f t="shared" si="818"/>
        <v>381.408</v>
      </c>
      <c r="CP265" s="683">
        <f t="shared" si="818"/>
        <v>0</v>
      </c>
      <c r="CQ265" s="683">
        <f t="shared" si="818"/>
        <v>0</v>
      </c>
      <c r="CR265" s="683">
        <f t="shared" si="818"/>
        <v>0</v>
      </c>
      <c r="CS265" s="683">
        <f t="shared" si="818"/>
        <v>0</v>
      </c>
      <c r="CT265" s="683">
        <f t="shared" si="818"/>
        <v>0</v>
      </c>
      <c r="CU265" s="683">
        <f t="shared" si="818"/>
        <v>0</v>
      </c>
      <c r="CV265" s="683">
        <f t="shared" si="818"/>
        <v>0</v>
      </c>
      <c r="CW265" s="683">
        <f t="shared" si="21"/>
        <v>1144.224</v>
      </c>
      <c r="CX265" s="683">
        <f t="shared" ref="CX265:DG265" si="819">BN265*$CL265</f>
        <v>0</v>
      </c>
      <c r="CY265" s="683">
        <f t="shared" si="819"/>
        <v>0</v>
      </c>
      <c r="CZ265" s="683">
        <f t="shared" si="819"/>
        <v>0</v>
      </c>
      <c r="DA265" s="683">
        <f t="shared" si="819"/>
        <v>0</v>
      </c>
      <c r="DB265" s="683">
        <f t="shared" si="819"/>
        <v>0</v>
      </c>
      <c r="DC265" s="683">
        <f t="shared" si="819"/>
        <v>0</v>
      </c>
      <c r="DD265" s="683">
        <f t="shared" si="819"/>
        <v>0</v>
      </c>
      <c r="DE265" s="683">
        <f t="shared" si="819"/>
        <v>0</v>
      </c>
      <c r="DF265" s="683">
        <f t="shared" si="819"/>
        <v>0</v>
      </c>
      <c r="DG265" s="683">
        <f t="shared" si="819"/>
        <v>0</v>
      </c>
      <c r="DH265" s="683">
        <f t="shared" si="23"/>
        <v>0</v>
      </c>
      <c r="DI265" s="683">
        <f t="shared" ref="DI265:DR265" si="820">BY265*$CL265</f>
        <v>0</v>
      </c>
      <c r="DJ265" s="683">
        <f t="shared" si="820"/>
        <v>0</v>
      </c>
      <c r="DK265" s="683">
        <f t="shared" si="820"/>
        <v>0</v>
      </c>
      <c r="DL265" s="683">
        <f t="shared" si="820"/>
        <v>0</v>
      </c>
      <c r="DM265" s="683">
        <f t="shared" si="820"/>
        <v>0</v>
      </c>
      <c r="DN265" s="683">
        <f t="shared" si="820"/>
        <v>0</v>
      </c>
      <c r="DO265" s="683">
        <f t="shared" si="820"/>
        <v>0</v>
      </c>
      <c r="DP265" s="683">
        <f t="shared" si="820"/>
        <v>0</v>
      </c>
      <c r="DQ265" s="683">
        <f t="shared" si="820"/>
        <v>0</v>
      </c>
      <c r="DR265" s="683">
        <f t="shared" si="820"/>
        <v>0</v>
      </c>
      <c r="DS265" s="683">
        <f t="shared" si="25"/>
        <v>0</v>
      </c>
      <c r="DT265" s="683">
        <f t="shared" si="685"/>
        <v>1144.224</v>
      </c>
      <c r="DU265" s="504"/>
      <c r="DV265" s="486"/>
      <c r="DW265" s="688"/>
      <c r="DX265" s="688"/>
      <c r="DY265" s="688"/>
      <c r="DZ265" s="688"/>
      <c r="EA265" s="688"/>
      <c r="EB265" s="688"/>
      <c r="EC265" s="688"/>
      <c r="ED265" s="688"/>
      <c r="EE265" s="688"/>
      <c r="EF265" s="688"/>
      <c r="EG265" s="688"/>
      <c r="EH265" s="707" t="s">
        <v>3454</v>
      </c>
      <c r="EI265" s="708">
        <f>VLOOKUP(I265,CotizacionTDB,4,FALSE())</f>
        <v>10.96</v>
      </c>
      <c r="EJ265" s="708">
        <f>VLOOKUP(I265,CotizacionTDB,5,FALSE())</f>
        <v>9.32</v>
      </c>
      <c r="EK265" s="691"/>
    </row>
    <row r="266" ht="12.0" customHeight="1">
      <c r="A266" s="709" t="s">
        <v>3026</v>
      </c>
      <c r="B266" s="661">
        <v>2.0</v>
      </c>
      <c r="C266" s="567" t="s">
        <v>3034</v>
      </c>
      <c r="D266" s="742" t="s">
        <v>52</v>
      </c>
      <c r="E266" s="568" t="s">
        <v>2708</v>
      </c>
      <c r="F266" s="567" t="s">
        <v>1763</v>
      </c>
      <c r="G266" s="569" t="s">
        <v>2709</v>
      </c>
      <c r="H266" s="657" t="s">
        <v>2924</v>
      </c>
      <c r="I266" s="710" t="s">
        <v>1854</v>
      </c>
      <c r="J266" s="740" t="s">
        <v>1106</v>
      </c>
      <c r="K266" s="567" t="s">
        <v>25</v>
      </c>
      <c r="L266" s="567">
        <v>2024.0</v>
      </c>
      <c r="M266" s="567">
        <v>2024.0</v>
      </c>
      <c r="N266" s="567">
        <v>2024.0</v>
      </c>
      <c r="O266" s="567">
        <v>2024.0</v>
      </c>
      <c r="P266" s="567">
        <v>2024.0</v>
      </c>
      <c r="Q266" s="567">
        <v>2024.0</v>
      </c>
      <c r="R266" s="567"/>
      <c r="S266" s="567"/>
      <c r="T266" s="567"/>
      <c r="U266" s="567"/>
      <c r="V266" s="567"/>
      <c r="W266" s="567">
        <v>7.0</v>
      </c>
      <c r="X266" s="567">
        <v>7.0</v>
      </c>
      <c r="Y266" s="567">
        <v>7.0</v>
      </c>
      <c r="Z266" s="567">
        <v>7.0</v>
      </c>
      <c r="AA266" s="567">
        <v>7.0</v>
      </c>
      <c r="AB266" s="567">
        <v>7.0</v>
      </c>
      <c r="AC266" s="567"/>
      <c r="AD266" s="567"/>
      <c r="AE266" s="567"/>
      <c r="AF266" s="567"/>
      <c r="AG266" s="567"/>
      <c r="AH266" s="567"/>
      <c r="AI266" s="567"/>
      <c r="AJ266" s="567"/>
      <c r="AK266" s="567"/>
      <c r="AL266" s="567"/>
      <c r="AM266" s="567"/>
      <c r="AN266" s="567"/>
      <c r="AO266" s="567"/>
      <c r="AP266" s="567"/>
      <c r="AQ266" s="567"/>
      <c r="AR266" s="567">
        <v>-2024.0</v>
      </c>
      <c r="AS266" s="567">
        <v>-2024.0</v>
      </c>
      <c r="AT266" s="567">
        <v>-2024.0</v>
      </c>
      <c r="AU266" s="567">
        <v>-2024.0</v>
      </c>
      <c r="AV266" s="567">
        <v>-2024.0</v>
      </c>
      <c r="AW266" s="567">
        <v>-2024.0</v>
      </c>
      <c r="AX266" s="567">
        <v>0.0</v>
      </c>
      <c r="AY266" s="567">
        <v>0.0</v>
      </c>
      <c r="AZ266" s="567">
        <v>0.0</v>
      </c>
      <c r="BA266" s="567">
        <v>0.0</v>
      </c>
      <c r="BB266" s="567"/>
      <c r="BC266" s="567">
        <v>80.0</v>
      </c>
      <c r="BD266" s="567">
        <v>60.0</v>
      </c>
      <c r="BE266" s="567">
        <v>80.0</v>
      </c>
      <c r="BF266" s="567">
        <v>360.0</v>
      </c>
      <c r="BG266" s="680">
        <v>0.0</v>
      </c>
      <c r="BH266" s="680">
        <v>0.0</v>
      </c>
      <c r="BI266" s="567"/>
      <c r="BJ266" s="567"/>
      <c r="BK266" s="567"/>
      <c r="BL266" s="567"/>
      <c r="BM266" s="665">
        <f t="shared" si="1"/>
        <v>580</v>
      </c>
      <c r="BN266" s="668"/>
      <c r="BO266" s="668"/>
      <c r="BP266" s="668"/>
      <c r="BQ266" s="668"/>
      <c r="BR266" s="668"/>
      <c r="BS266" s="668"/>
      <c r="BT266" s="668"/>
      <c r="BU266" s="668"/>
      <c r="BV266" s="668"/>
      <c r="BW266" s="668"/>
      <c r="BX266" s="665">
        <f t="shared" si="2"/>
        <v>0</v>
      </c>
      <c r="BY266" s="671">
        <v>0.0</v>
      </c>
      <c r="BZ266" s="668">
        <v>0.0</v>
      </c>
      <c r="CA266" s="668">
        <v>0.0</v>
      </c>
      <c r="CB266" s="668">
        <v>0.0</v>
      </c>
      <c r="CC266" s="668">
        <v>0.0</v>
      </c>
      <c r="CD266" s="668">
        <v>0.0</v>
      </c>
      <c r="CE266" s="668">
        <v>0.0</v>
      </c>
      <c r="CF266" s="668">
        <v>0.0</v>
      </c>
      <c r="CG266" s="668">
        <v>0.0</v>
      </c>
      <c r="CH266" s="670">
        <v>0.0</v>
      </c>
      <c r="CI266" s="665">
        <f t="shared" si="3"/>
        <v>0</v>
      </c>
      <c r="CJ266" s="671">
        <f t="shared" si="4"/>
        <v>580</v>
      </c>
      <c r="CK266" s="715">
        <v>0.23</v>
      </c>
      <c r="CL266" s="668">
        <f t="shared" si="754"/>
        <v>1.6008</v>
      </c>
      <c r="CM266" s="668">
        <f t="shared" ref="CM266:CV266" si="821">BC266*$CL266</f>
        <v>128.064</v>
      </c>
      <c r="CN266" s="668">
        <f t="shared" si="821"/>
        <v>96.048</v>
      </c>
      <c r="CO266" s="668">
        <f t="shared" si="821"/>
        <v>128.064</v>
      </c>
      <c r="CP266" s="668">
        <f t="shared" si="821"/>
        <v>576.288</v>
      </c>
      <c r="CQ266" s="668">
        <f t="shared" si="821"/>
        <v>0</v>
      </c>
      <c r="CR266" s="668">
        <f t="shared" si="821"/>
        <v>0</v>
      </c>
      <c r="CS266" s="668">
        <f t="shared" si="821"/>
        <v>0</v>
      </c>
      <c r="CT266" s="668">
        <f t="shared" si="821"/>
        <v>0</v>
      </c>
      <c r="CU266" s="668">
        <f t="shared" si="821"/>
        <v>0</v>
      </c>
      <c r="CV266" s="668">
        <f t="shared" si="821"/>
        <v>0</v>
      </c>
      <c r="CW266" s="668">
        <f t="shared" si="21"/>
        <v>928.464</v>
      </c>
      <c r="CX266" s="668">
        <f t="shared" ref="CX266:DG266" si="822">BN266*$CL266</f>
        <v>0</v>
      </c>
      <c r="CY266" s="668">
        <f t="shared" si="822"/>
        <v>0</v>
      </c>
      <c r="CZ266" s="668">
        <f t="shared" si="822"/>
        <v>0</v>
      </c>
      <c r="DA266" s="668">
        <f t="shared" si="822"/>
        <v>0</v>
      </c>
      <c r="DB266" s="668">
        <f t="shared" si="822"/>
        <v>0</v>
      </c>
      <c r="DC266" s="668">
        <f t="shared" si="822"/>
        <v>0</v>
      </c>
      <c r="DD266" s="668">
        <f t="shared" si="822"/>
        <v>0</v>
      </c>
      <c r="DE266" s="668">
        <f t="shared" si="822"/>
        <v>0</v>
      </c>
      <c r="DF266" s="668">
        <f t="shared" si="822"/>
        <v>0</v>
      </c>
      <c r="DG266" s="668">
        <f t="shared" si="822"/>
        <v>0</v>
      </c>
      <c r="DH266" s="668">
        <f t="shared" si="23"/>
        <v>0</v>
      </c>
      <c r="DI266" s="668">
        <f t="shared" ref="DI266:DR266" si="823">BY266*$CL266</f>
        <v>0</v>
      </c>
      <c r="DJ266" s="668">
        <f t="shared" si="823"/>
        <v>0</v>
      </c>
      <c r="DK266" s="668">
        <f t="shared" si="823"/>
        <v>0</v>
      </c>
      <c r="DL266" s="668">
        <f t="shared" si="823"/>
        <v>0</v>
      </c>
      <c r="DM266" s="668">
        <f t="shared" si="823"/>
        <v>0</v>
      </c>
      <c r="DN266" s="668">
        <f t="shared" si="823"/>
        <v>0</v>
      </c>
      <c r="DO266" s="668">
        <f t="shared" si="823"/>
        <v>0</v>
      </c>
      <c r="DP266" s="668">
        <f t="shared" si="823"/>
        <v>0</v>
      </c>
      <c r="DQ266" s="668">
        <f t="shared" si="823"/>
        <v>0</v>
      </c>
      <c r="DR266" s="668">
        <f t="shared" si="823"/>
        <v>0</v>
      </c>
      <c r="DS266" s="668">
        <f t="shared" si="25"/>
        <v>0</v>
      </c>
      <c r="DT266" s="668">
        <f t="shared" si="685"/>
        <v>928.464</v>
      </c>
      <c r="DU266" s="538"/>
      <c r="DV266" s="468"/>
      <c r="DW266" s="698"/>
      <c r="DX266" s="698"/>
      <c r="DY266" s="698"/>
      <c r="DZ266" s="698"/>
      <c r="EA266" s="698"/>
      <c r="EB266" s="698"/>
      <c r="EC266" s="698"/>
      <c r="ED266" s="698"/>
      <c r="EE266" s="698"/>
      <c r="EF266" s="698"/>
      <c r="EG266" s="698"/>
      <c r="EH266" s="576" t="s">
        <v>1106</v>
      </c>
      <c r="EI266" s="716">
        <f>VLOOKUP(I266,CotizacionTDB,4,FALSE())</f>
        <v>0.23</v>
      </c>
      <c r="EJ266" s="716">
        <f>VLOOKUP(I266,CotizacionTDB,5,FALSE())</f>
        <v>0.2</v>
      </c>
      <c r="EK266" s="699"/>
    </row>
    <row r="267" ht="12.0" customHeight="1">
      <c r="A267" s="700" t="s">
        <v>3026</v>
      </c>
      <c r="B267" s="701">
        <v>2.0</v>
      </c>
      <c r="C267" s="562" t="s">
        <v>3034</v>
      </c>
      <c r="D267" s="743" t="s">
        <v>52</v>
      </c>
      <c r="E267" s="571" t="s">
        <v>2708</v>
      </c>
      <c r="F267" s="562" t="s">
        <v>1763</v>
      </c>
      <c r="G267" s="569" t="s">
        <v>2709</v>
      </c>
      <c r="H267" s="702" t="s">
        <v>2925</v>
      </c>
      <c r="I267" s="717" t="s">
        <v>1897</v>
      </c>
      <c r="J267" s="704" t="s">
        <v>1283</v>
      </c>
      <c r="K267" s="562" t="s">
        <v>25</v>
      </c>
      <c r="L267" s="562">
        <v>2024.0</v>
      </c>
      <c r="M267" s="562">
        <v>2024.0</v>
      </c>
      <c r="N267" s="562">
        <v>2024.0</v>
      </c>
      <c r="O267" s="562"/>
      <c r="P267" s="562"/>
      <c r="Q267" s="562"/>
      <c r="R267" s="562"/>
      <c r="S267" s="562"/>
      <c r="T267" s="562"/>
      <c r="U267" s="562"/>
      <c r="V267" s="562"/>
      <c r="W267" s="562">
        <v>3.0</v>
      </c>
      <c r="X267" s="562">
        <v>3.0</v>
      </c>
      <c r="Y267" s="562"/>
      <c r="Z267" s="562"/>
      <c r="AA267" s="562"/>
      <c r="AB267" s="562"/>
      <c r="AC267" s="562"/>
      <c r="AD267" s="562"/>
      <c r="AE267" s="562"/>
      <c r="AF267" s="562"/>
      <c r="AG267" s="562"/>
      <c r="AH267" s="562"/>
      <c r="AI267" s="562"/>
      <c r="AJ267" s="562"/>
      <c r="AK267" s="562"/>
      <c r="AL267" s="562"/>
      <c r="AM267" s="562"/>
      <c r="AN267" s="562"/>
      <c r="AO267" s="562"/>
      <c r="AP267" s="562"/>
      <c r="AQ267" s="562"/>
      <c r="AR267" s="562">
        <v>-2024.0</v>
      </c>
      <c r="AS267" s="562">
        <v>-2024.0</v>
      </c>
      <c r="AT267" s="562">
        <v>-2024.0</v>
      </c>
      <c r="AU267" s="562">
        <v>0.0</v>
      </c>
      <c r="AV267" s="562">
        <v>0.0</v>
      </c>
      <c r="AW267" s="562">
        <v>0.0</v>
      </c>
      <c r="AX267" s="562">
        <v>0.0</v>
      </c>
      <c r="AY267" s="562">
        <v>0.0</v>
      </c>
      <c r="AZ267" s="562">
        <v>0.0</v>
      </c>
      <c r="BA267" s="562">
        <v>0.0</v>
      </c>
      <c r="BB267" s="562"/>
      <c r="BC267" s="562">
        <v>120.0</v>
      </c>
      <c r="BD267" s="701">
        <v>50.0</v>
      </c>
      <c r="BE267" s="701">
        <v>110.0</v>
      </c>
      <c r="BF267" s="562"/>
      <c r="BG267" s="562"/>
      <c r="BH267" s="562"/>
      <c r="BI267" s="701">
        <v>10.0</v>
      </c>
      <c r="BJ267" s="562"/>
      <c r="BK267" s="562"/>
      <c r="BL267" s="681"/>
      <c r="BM267" s="665">
        <f t="shared" si="1"/>
        <v>290</v>
      </c>
      <c r="BN267" s="733">
        <v>200.0</v>
      </c>
      <c r="BO267" s="687">
        <v>100.0</v>
      </c>
      <c r="BP267" s="687">
        <v>40.0</v>
      </c>
      <c r="BQ267" s="683"/>
      <c r="BR267" s="683"/>
      <c r="BS267" s="683"/>
      <c r="BT267" s="683"/>
      <c r="BU267" s="683"/>
      <c r="BV267" s="687">
        <v>5.0</v>
      </c>
      <c r="BW267" s="686"/>
      <c r="BX267" s="665">
        <f t="shared" si="2"/>
        <v>345</v>
      </c>
      <c r="BY267" s="733">
        <v>120.0</v>
      </c>
      <c r="BZ267" s="687">
        <v>100.0</v>
      </c>
      <c r="CA267" s="687">
        <v>80.0</v>
      </c>
      <c r="CB267" s="683">
        <v>0.0</v>
      </c>
      <c r="CC267" s="683">
        <v>0.0</v>
      </c>
      <c r="CD267" s="683">
        <v>0.0</v>
      </c>
      <c r="CE267" s="683">
        <v>0.0</v>
      </c>
      <c r="CF267" s="683">
        <v>0.0</v>
      </c>
      <c r="CG267" s="683">
        <v>0.0</v>
      </c>
      <c r="CH267" s="686">
        <v>0.0</v>
      </c>
      <c r="CI267" s="665">
        <f t="shared" si="3"/>
        <v>300</v>
      </c>
      <c r="CJ267" s="682">
        <f t="shared" si="4"/>
        <v>935</v>
      </c>
      <c r="CK267" s="706">
        <v>0.31</v>
      </c>
      <c r="CL267" s="683">
        <f t="shared" si="754"/>
        <v>2.1576</v>
      </c>
      <c r="CM267" s="683">
        <f t="shared" ref="CM267:CV267" si="824">BC267*$CL267</f>
        <v>258.912</v>
      </c>
      <c r="CN267" s="683">
        <f t="shared" si="824"/>
        <v>107.88</v>
      </c>
      <c r="CO267" s="683">
        <f t="shared" si="824"/>
        <v>237.336</v>
      </c>
      <c r="CP267" s="683">
        <f t="shared" si="824"/>
        <v>0</v>
      </c>
      <c r="CQ267" s="683">
        <f t="shared" si="824"/>
        <v>0</v>
      </c>
      <c r="CR267" s="683">
        <f t="shared" si="824"/>
        <v>0</v>
      </c>
      <c r="CS267" s="683">
        <f t="shared" si="824"/>
        <v>21.576</v>
      </c>
      <c r="CT267" s="683">
        <f t="shared" si="824"/>
        <v>0</v>
      </c>
      <c r="CU267" s="683">
        <f t="shared" si="824"/>
        <v>0</v>
      </c>
      <c r="CV267" s="683">
        <f t="shared" si="824"/>
        <v>0</v>
      </c>
      <c r="CW267" s="683">
        <f t="shared" si="21"/>
        <v>625.704</v>
      </c>
      <c r="CX267" s="683">
        <f t="shared" ref="CX267:DG267" si="825">BN267*$CL267</f>
        <v>431.52</v>
      </c>
      <c r="CY267" s="683">
        <f t="shared" si="825"/>
        <v>215.76</v>
      </c>
      <c r="CZ267" s="683">
        <f t="shared" si="825"/>
        <v>86.304</v>
      </c>
      <c r="DA267" s="683">
        <f t="shared" si="825"/>
        <v>0</v>
      </c>
      <c r="DB267" s="683">
        <f t="shared" si="825"/>
        <v>0</v>
      </c>
      <c r="DC267" s="683">
        <f t="shared" si="825"/>
        <v>0</v>
      </c>
      <c r="DD267" s="683">
        <f t="shared" si="825"/>
        <v>0</v>
      </c>
      <c r="DE267" s="683">
        <f t="shared" si="825"/>
        <v>0</v>
      </c>
      <c r="DF267" s="683">
        <f t="shared" si="825"/>
        <v>10.788</v>
      </c>
      <c r="DG267" s="683">
        <f t="shared" si="825"/>
        <v>0</v>
      </c>
      <c r="DH267" s="683">
        <f t="shared" si="23"/>
        <v>744.372</v>
      </c>
      <c r="DI267" s="683">
        <f t="shared" ref="DI267:DR267" si="826">BY267*$CL267</f>
        <v>258.912</v>
      </c>
      <c r="DJ267" s="683">
        <f t="shared" si="826"/>
        <v>215.76</v>
      </c>
      <c r="DK267" s="683">
        <f t="shared" si="826"/>
        <v>172.608</v>
      </c>
      <c r="DL267" s="683">
        <f t="shared" si="826"/>
        <v>0</v>
      </c>
      <c r="DM267" s="683">
        <f t="shared" si="826"/>
        <v>0</v>
      </c>
      <c r="DN267" s="683">
        <f t="shared" si="826"/>
        <v>0</v>
      </c>
      <c r="DO267" s="683">
        <f t="shared" si="826"/>
        <v>0</v>
      </c>
      <c r="DP267" s="683">
        <f t="shared" si="826"/>
        <v>0</v>
      </c>
      <c r="DQ267" s="683">
        <f t="shared" si="826"/>
        <v>0</v>
      </c>
      <c r="DR267" s="683">
        <f t="shared" si="826"/>
        <v>0</v>
      </c>
      <c r="DS267" s="683">
        <f t="shared" si="25"/>
        <v>647.28</v>
      </c>
      <c r="DT267" s="683">
        <f t="shared" si="685"/>
        <v>2017.356</v>
      </c>
      <c r="DU267" s="504"/>
      <c r="DV267" s="486"/>
      <c r="DW267" s="688"/>
      <c r="DX267" s="688"/>
      <c r="DY267" s="688"/>
      <c r="DZ267" s="688"/>
      <c r="EA267" s="688"/>
      <c r="EB267" s="688"/>
      <c r="EC267" s="688"/>
      <c r="ED267" s="688"/>
      <c r="EE267" s="688"/>
      <c r="EF267" s="688"/>
      <c r="EG267" s="688"/>
      <c r="EH267" s="707" t="s">
        <v>1283</v>
      </c>
      <c r="EI267" s="708">
        <f>VLOOKUP(I267,CotizacionTDB,4,FALSE())</f>
        <v>0.31</v>
      </c>
      <c r="EJ267" s="708">
        <f>VLOOKUP(I267,CotizacionTDB,5,FALSE())</f>
        <v>0.26</v>
      </c>
      <c r="EK267" s="691"/>
    </row>
    <row r="268" ht="12.0" customHeight="1">
      <c r="A268" s="709" t="s">
        <v>3026</v>
      </c>
      <c r="B268" s="661">
        <v>2.0</v>
      </c>
      <c r="C268" s="567" t="s">
        <v>3034</v>
      </c>
      <c r="D268" s="742" t="s">
        <v>52</v>
      </c>
      <c r="E268" s="568" t="s">
        <v>2708</v>
      </c>
      <c r="F268" s="567" t="s">
        <v>1763</v>
      </c>
      <c r="G268" s="569" t="s">
        <v>2709</v>
      </c>
      <c r="H268" s="569" t="s">
        <v>2940</v>
      </c>
      <c r="I268" s="710" t="s">
        <v>2310</v>
      </c>
      <c r="J268" s="711" t="s">
        <v>1166</v>
      </c>
      <c r="K268" s="567" t="s">
        <v>25</v>
      </c>
      <c r="L268" s="567">
        <v>2025.0</v>
      </c>
      <c r="M268" s="567">
        <v>2024.0</v>
      </c>
      <c r="N268" s="567"/>
      <c r="O268" s="567">
        <v>2025.0</v>
      </c>
      <c r="P268" s="567">
        <v>2025.0</v>
      </c>
      <c r="Q268" s="567">
        <v>2025.0</v>
      </c>
      <c r="R268" s="567">
        <v>2026.0</v>
      </c>
      <c r="S268" s="567">
        <v>2026.0</v>
      </c>
      <c r="T268" s="567">
        <v>2026.0</v>
      </c>
      <c r="U268" s="567">
        <v>2024.0</v>
      </c>
      <c r="V268" s="567"/>
      <c r="W268" s="567">
        <v>7.0</v>
      </c>
      <c r="X268" s="567">
        <v>7.0</v>
      </c>
      <c r="Y268" s="567"/>
      <c r="Z268" s="567">
        <v>7.0</v>
      </c>
      <c r="AA268" s="567">
        <v>7.0</v>
      </c>
      <c r="AB268" s="567">
        <v>7.0</v>
      </c>
      <c r="AC268" s="567">
        <v>8.0</v>
      </c>
      <c r="AD268" s="567">
        <v>8.0</v>
      </c>
      <c r="AE268" s="567">
        <v>8.0</v>
      </c>
      <c r="AF268" s="567">
        <v>8.0</v>
      </c>
      <c r="AG268" s="567"/>
      <c r="AH268" s="567"/>
      <c r="AI268" s="567"/>
      <c r="AJ268" s="567"/>
      <c r="AK268" s="567"/>
      <c r="AL268" s="567"/>
      <c r="AM268" s="567"/>
      <c r="AN268" s="567"/>
      <c r="AO268" s="567"/>
      <c r="AP268" s="567"/>
      <c r="AQ268" s="567"/>
      <c r="AR268" s="567">
        <v>-2025.0</v>
      </c>
      <c r="AS268" s="567">
        <v>-2024.0</v>
      </c>
      <c r="AT268" s="567">
        <v>0.0</v>
      </c>
      <c r="AU268" s="567">
        <v>-2025.0</v>
      </c>
      <c r="AV268" s="567">
        <v>-2025.0</v>
      </c>
      <c r="AW268" s="567">
        <v>-2025.0</v>
      </c>
      <c r="AX268" s="567">
        <v>-2026.0</v>
      </c>
      <c r="AY268" s="567">
        <v>-2026.0</v>
      </c>
      <c r="AZ268" s="567">
        <v>-2026.0</v>
      </c>
      <c r="BA268" s="567">
        <v>-2024.0</v>
      </c>
      <c r="BB268" s="567"/>
      <c r="BC268" s="567"/>
      <c r="BD268" s="567">
        <v>50.0</v>
      </c>
      <c r="BE268" s="567"/>
      <c r="BF268" s="567"/>
      <c r="BG268" s="567"/>
      <c r="BH268" s="567"/>
      <c r="BI268" s="567"/>
      <c r="BJ268" s="567"/>
      <c r="BK268" s="567"/>
      <c r="BL268" s="873">
        <v>0.0</v>
      </c>
      <c r="BM268" s="665">
        <f t="shared" si="1"/>
        <v>50</v>
      </c>
      <c r="BN268" s="671">
        <v>120.0</v>
      </c>
      <c r="BO268" s="668"/>
      <c r="BP268" s="668"/>
      <c r="BQ268" s="668">
        <v>220.0</v>
      </c>
      <c r="BR268" s="668">
        <v>252.0</v>
      </c>
      <c r="BS268" s="668">
        <v>416.0</v>
      </c>
      <c r="BT268" s="744">
        <v>262.0</v>
      </c>
      <c r="BU268" s="668"/>
      <c r="BV268" s="744">
        <v>52.0</v>
      </c>
      <c r="BW268" s="903">
        <v>330.0</v>
      </c>
      <c r="BX268" s="665">
        <f t="shared" si="2"/>
        <v>1652</v>
      </c>
      <c r="BY268" s="671">
        <v>0.0</v>
      </c>
      <c r="BZ268" s="668">
        <v>0.0</v>
      </c>
      <c r="CA268" s="668">
        <v>0.0</v>
      </c>
      <c r="CB268" s="668">
        <v>0.0</v>
      </c>
      <c r="CC268" s="668">
        <v>0.0</v>
      </c>
      <c r="CD268" s="668">
        <v>0.0</v>
      </c>
      <c r="CE268" s="730">
        <v>0.0</v>
      </c>
      <c r="CF268" s="668">
        <v>310.0</v>
      </c>
      <c r="CG268" s="730">
        <v>0.0</v>
      </c>
      <c r="CH268" s="670">
        <v>0.0</v>
      </c>
      <c r="CI268" s="665">
        <f t="shared" si="3"/>
        <v>310</v>
      </c>
      <c r="CJ268" s="671">
        <f t="shared" si="4"/>
        <v>2012</v>
      </c>
      <c r="CK268" s="715">
        <v>0.39</v>
      </c>
      <c r="CL268" s="668">
        <f t="shared" si="754"/>
        <v>2.7144</v>
      </c>
      <c r="CM268" s="668">
        <f t="shared" ref="CM268:CV268" si="827">BC268*$CL268</f>
        <v>0</v>
      </c>
      <c r="CN268" s="668">
        <f t="shared" si="827"/>
        <v>135.72</v>
      </c>
      <c r="CO268" s="668">
        <f t="shared" si="827"/>
        <v>0</v>
      </c>
      <c r="CP268" s="668">
        <f t="shared" si="827"/>
        <v>0</v>
      </c>
      <c r="CQ268" s="668">
        <f t="shared" si="827"/>
        <v>0</v>
      </c>
      <c r="CR268" s="668">
        <f t="shared" si="827"/>
        <v>0</v>
      </c>
      <c r="CS268" s="668">
        <f t="shared" si="827"/>
        <v>0</v>
      </c>
      <c r="CT268" s="668">
        <f t="shared" si="827"/>
        <v>0</v>
      </c>
      <c r="CU268" s="668">
        <f t="shared" si="827"/>
        <v>0</v>
      </c>
      <c r="CV268" s="668">
        <f t="shared" si="827"/>
        <v>0</v>
      </c>
      <c r="CW268" s="668">
        <f t="shared" si="21"/>
        <v>135.72</v>
      </c>
      <c r="CX268" s="668">
        <f t="shared" ref="CX268:DG268" si="828">BN268*$CL268</f>
        <v>325.728</v>
      </c>
      <c r="CY268" s="668">
        <f t="shared" si="828"/>
        <v>0</v>
      </c>
      <c r="CZ268" s="668">
        <f t="shared" si="828"/>
        <v>0</v>
      </c>
      <c r="DA268" s="668">
        <f t="shared" si="828"/>
        <v>597.168</v>
      </c>
      <c r="DB268" s="668">
        <f t="shared" si="828"/>
        <v>684.0288</v>
      </c>
      <c r="DC268" s="668">
        <f t="shared" si="828"/>
        <v>1129.1904</v>
      </c>
      <c r="DD268" s="668">
        <f t="shared" si="828"/>
        <v>711.1728</v>
      </c>
      <c r="DE268" s="668">
        <f t="shared" si="828"/>
        <v>0</v>
      </c>
      <c r="DF268" s="668">
        <f t="shared" si="828"/>
        <v>141.1488</v>
      </c>
      <c r="DG268" s="668">
        <f t="shared" si="828"/>
        <v>895.752</v>
      </c>
      <c r="DH268" s="668">
        <f t="shared" si="23"/>
        <v>4484.1888</v>
      </c>
      <c r="DI268" s="668">
        <f t="shared" ref="DI268:DR268" si="829">BY268*$CL268</f>
        <v>0</v>
      </c>
      <c r="DJ268" s="668">
        <f t="shared" si="829"/>
        <v>0</v>
      </c>
      <c r="DK268" s="668">
        <f t="shared" si="829"/>
        <v>0</v>
      </c>
      <c r="DL268" s="668">
        <f t="shared" si="829"/>
        <v>0</v>
      </c>
      <c r="DM268" s="668">
        <f t="shared" si="829"/>
        <v>0</v>
      </c>
      <c r="DN268" s="668">
        <f t="shared" si="829"/>
        <v>0</v>
      </c>
      <c r="DO268" s="668">
        <f t="shared" si="829"/>
        <v>0</v>
      </c>
      <c r="DP268" s="668">
        <f t="shared" si="829"/>
        <v>841.464</v>
      </c>
      <c r="DQ268" s="668">
        <f t="shared" si="829"/>
        <v>0</v>
      </c>
      <c r="DR268" s="668">
        <f t="shared" si="829"/>
        <v>0</v>
      </c>
      <c r="DS268" s="668">
        <f t="shared" si="25"/>
        <v>841.464</v>
      </c>
      <c r="DT268" s="668">
        <f t="shared" si="685"/>
        <v>5461.3728</v>
      </c>
      <c r="DU268" s="538"/>
      <c r="DV268" s="468"/>
      <c r="DW268" s="698"/>
      <c r="DX268" s="698"/>
      <c r="DY268" s="698"/>
      <c r="DZ268" s="698"/>
      <c r="EA268" s="698"/>
      <c r="EB268" s="698"/>
      <c r="EC268" s="698"/>
      <c r="ED268" s="698"/>
      <c r="EE268" s="698"/>
      <c r="EF268" s="698"/>
      <c r="EG268" s="698"/>
      <c r="EH268" s="576" t="s">
        <v>3455</v>
      </c>
      <c r="EI268" s="716">
        <f>VLOOKUP(I268,CotizacionTDB,4,FALSE())</f>
        <v>0.39</v>
      </c>
      <c r="EJ268" s="716">
        <f>VLOOKUP(I268,CotizacionTDB,5,FALSE())</f>
        <v>0.33</v>
      </c>
      <c r="EK268" s="699"/>
    </row>
    <row r="269" ht="12.0" customHeight="1">
      <c r="A269" s="700" t="s">
        <v>3026</v>
      </c>
      <c r="B269" s="701"/>
      <c r="C269" s="562" t="s">
        <v>3034</v>
      </c>
      <c r="D269" s="743" t="s">
        <v>52</v>
      </c>
      <c r="E269" s="571" t="s">
        <v>2708</v>
      </c>
      <c r="F269" s="562" t="s">
        <v>1763</v>
      </c>
      <c r="G269" s="569" t="s">
        <v>2709</v>
      </c>
      <c r="H269" s="569" t="s">
        <v>2906</v>
      </c>
      <c r="I269" s="768">
        <v>1.0488571E7</v>
      </c>
      <c r="J269" s="571" t="s">
        <v>764</v>
      </c>
      <c r="K269" s="562" t="s">
        <v>25</v>
      </c>
      <c r="L269" s="562"/>
      <c r="M269" s="562"/>
      <c r="N269" s="562"/>
      <c r="O269" s="562"/>
      <c r="P269" s="562"/>
      <c r="Q269" s="562"/>
      <c r="R269" s="562"/>
      <c r="S269" s="562"/>
      <c r="T269" s="562"/>
      <c r="U269" s="562">
        <v>2024.0</v>
      </c>
      <c r="V269" s="562"/>
      <c r="W269" s="562"/>
      <c r="X269" s="562"/>
      <c r="Y269" s="562"/>
      <c r="Z269" s="562"/>
      <c r="AA269" s="562"/>
      <c r="AB269" s="562"/>
      <c r="AC269" s="562"/>
      <c r="AD269" s="562"/>
      <c r="AE269" s="562"/>
      <c r="AF269" s="562">
        <v>8.0</v>
      </c>
      <c r="AG269" s="562"/>
      <c r="AH269" s="562"/>
      <c r="AI269" s="562"/>
      <c r="AJ269" s="562"/>
      <c r="AK269" s="562"/>
      <c r="AL269" s="562"/>
      <c r="AM269" s="562"/>
      <c r="AN269" s="562"/>
      <c r="AO269" s="562"/>
      <c r="AP269" s="562"/>
      <c r="AQ269" s="562"/>
      <c r="AR269" s="562">
        <v>0.0</v>
      </c>
      <c r="AS269" s="562">
        <v>0.0</v>
      </c>
      <c r="AT269" s="562">
        <v>0.0</v>
      </c>
      <c r="AU269" s="562">
        <v>0.0</v>
      </c>
      <c r="AV269" s="562">
        <v>0.0</v>
      </c>
      <c r="AW269" s="562">
        <v>0.0</v>
      </c>
      <c r="AX269" s="562">
        <v>0.0</v>
      </c>
      <c r="AY269" s="562">
        <v>0.0</v>
      </c>
      <c r="AZ269" s="562">
        <v>0.0</v>
      </c>
      <c r="BA269" s="562">
        <v>-2024.0</v>
      </c>
      <c r="BB269" s="562"/>
      <c r="BC269" s="562"/>
      <c r="BD269" s="562"/>
      <c r="BE269" s="562"/>
      <c r="BF269" s="562"/>
      <c r="BG269" s="562"/>
      <c r="BH269" s="562"/>
      <c r="BI269" s="562"/>
      <c r="BJ269" s="562"/>
      <c r="BK269" s="562"/>
      <c r="BL269" s="873">
        <v>0.0</v>
      </c>
      <c r="BM269" s="665">
        <f t="shared" si="1"/>
        <v>0</v>
      </c>
      <c r="BN269" s="682"/>
      <c r="BO269" s="683"/>
      <c r="BP269" s="683"/>
      <c r="BQ269" s="683"/>
      <c r="BR269" s="683"/>
      <c r="BS269" s="683"/>
      <c r="BT269" s="683"/>
      <c r="BU269" s="683"/>
      <c r="BV269" s="683"/>
      <c r="BW269" s="686"/>
      <c r="BX269" s="665">
        <f t="shared" si="2"/>
        <v>0</v>
      </c>
      <c r="BY269" s="682">
        <v>0.0</v>
      </c>
      <c r="BZ269" s="683">
        <v>0.0</v>
      </c>
      <c r="CA269" s="683">
        <v>0.0</v>
      </c>
      <c r="CB269" s="683">
        <v>0.0</v>
      </c>
      <c r="CC269" s="683">
        <v>0.0</v>
      </c>
      <c r="CD269" s="683">
        <v>0.0</v>
      </c>
      <c r="CE269" s="683">
        <v>0.0</v>
      </c>
      <c r="CF269" s="683">
        <v>0.0</v>
      </c>
      <c r="CG269" s="683">
        <v>0.0</v>
      </c>
      <c r="CH269" s="686">
        <v>0.0</v>
      </c>
      <c r="CI269" s="665">
        <f t="shared" si="3"/>
        <v>0</v>
      </c>
      <c r="CJ269" s="682">
        <f t="shared" si="4"/>
        <v>0</v>
      </c>
      <c r="CK269" s="687">
        <v>11.11</v>
      </c>
      <c r="CL269" s="683">
        <v>77.43669999999999</v>
      </c>
      <c r="CM269" s="683">
        <f t="shared" ref="CM269:CV269" si="830">BC269*$CL269</f>
        <v>0</v>
      </c>
      <c r="CN269" s="683">
        <f t="shared" si="830"/>
        <v>0</v>
      </c>
      <c r="CO269" s="683">
        <f t="shared" si="830"/>
        <v>0</v>
      </c>
      <c r="CP269" s="683">
        <f t="shared" si="830"/>
        <v>0</v>
      </c>
      <c r="CQ269" s="683">
        <f t="shared" si="830"/>
        <v>0</v>
      </c>
      <c r="CR269" s="683">
        <f t="shared" si="830"/>
        <v>0</v>
      </c>
      <c r="CS269" s="683">
        <f t="shared" si="830"/>
        <v>0</v>
      </c>
      <c r="CT269" s="683">
        <f t="shared" si="830"/>
        <v>0</v>
      </c>
      <c r="CU269" s="683">
        <f t="shared" si="830"/>
        <v>0</v>
      </c>
      <c r="CV269" s="683">
        <f t="shared" si="830"/>
        <v>0</v>
      </c>
      <c r="CW269" s="683">
        <f t="shared" si="21"/>
        <v>0</v>
      </c>
      <c r="CX269" s="683">
        <f t="shared" ref="CX269:DG269" si="831">BN269*$CL269</f>
        <v>0</v>
      </c>
      <c r="CY269" s="683">
        <f t="shared" si="831"/>
        <v>0</v>
      </c>
      <c r="CZ269" s="683">
        <f t="shared" si="831"/>
        <v>0</v>
      </c>
      <c r="DA269" s="683">
        <f t="shared" si="831"/>
        <v>0</v>
      </c>
      <c r="DB269" s="683">
        <f t="shared" si="831"/>
        <v>0</v>
      </c>
      <c r="DC269" s="683">
        <f t="shared" si="831"/>
        <v>0</v>
      </c>
      <c r="DD269" s="683">
        <f t="shared" si="831"/>
        <v>0</v>
      </c>
      <c r="DE269" s="683">
        <f t="shared" si="831"/>
        <v>0</v>
      </c>
      <c r="DF269" s="683">
        <f t="shared" si="831"/>
        <v>0</v>
      </c>
      <c r="DG269" s="683">
        <f t="shared" si="831"/>
        <v>0</v>
      </c>
      <c r="DH269" s="683">
        <f t="shared" si="23"/>
        <v>0</v>
      </c>
      <c r="DI269" s="683">
        <f t="shared" ref="DI269:DR269" si="832">BY269*$CL269</f>
        <v>0</v>
      </c>
      <c r="DJ269" s="683">
        <f t="shared" si="832"/>
        <v>0</v>
      </c>
      <c r="DK269" s="683">
        <f t="shared" si="832"/>
        <v>0</v>
      </c>
      <c r="DL269" s="683">
        <f t="shared" si="832"/>
        <v>0</v>
      </c>
      <c r="DM269" s="683">
        <f t="shared" si="832"/>
        <v>0</v>
      </c>
      <c r="DN269" s="683">
        <f t="shared" si="832"/>
        <v>0</v>
      </c>
      <c r="DO269" s="683">
        <f t="shared" si="832"/>
        <v>0</v>
      </c>
      <c r="DP269" s="683">
        <f t="shared" si="832"/>
        <v>0</v>
      </c>
      <c r="DQ269" s="683">
        <f t="shared" si="832"/>
        <v>0</v>
      </c>
      <c r="DR269" s="683">
        <f t="shared" si="832"/>
        <v>0</v>
      </c>
      <c r="DS269" s="683">
        <f t="shared" si="25"/>
        <v>0</v>
      </c>
      <c r="DT269" s="683">
        <f t="shared" si="685"/>
        <v>0</v>
      </c>
      <c r="DU269" s="504"/>
      <c r="DV269" s="486"/>
      <c r="DW269" s="688"/>
      <c r="DX269" s="688"/>
      <c r="DY269" s="688"/>
      <c r="DZ269" s="688"/>
      <c r="EA269" s="688"/>
      <c r="EB269" s="688"/>
      <c r="EC269" s="688"/>
      <c r="ED269" s="688"/>
      <c r="EE269" s="688"/>
      <c r="EF269" s="688"/>
      <c r="EG269" s="688"/>
      <c r="EH269" s="689">
        <f t="shared" ref="EH269:EH270" si="836">CK269*6.97</f>
        <v>77.4367</v>
      </c>
      <c r="EI269" s="690">
        <v>1.0</v>
      </c>
      <c r="EJ269" s="691"/>
      <c r="EK269" s="691"/>
    </row>
    <row r="270" ht="12.0" customHeight="1">
      <c r="A270" s="709" t="s">
        <v>3026</v>
      </c>
      <c r="B270" s="567"/>
      <c r="C270" s="567" t="s">
        <v>3034</v>
      </c>
      <c r="D270" s="742" t="s">
        <v>52</v>
      </c>
      <c r="E270" s="568" t="s">
        <v>2708</v>
      </c>
      <c r="F270" s="680" t="s">
        <v>1774</v>
      </c>
      <c r="G270" s="569" t="s">
        <v>2709</v>
      </c>
      <c r="H270" s="658"/>
      <c r="I270" s="567">
        <v>1.1982756E7</v>
      </c>
      <c r="J270" s="568" t="s">
        <v>2897</v>
      </c>
      <c r="K270" s="567" t="s">
        <v>25</v>
      </c>
      <c r="L270" s="567">
        <v>2024.0</v>
      </c>
      <c r="M270" s="567">
        <v>2024.0</v>
      </c>
      <c r="N270" s="567">
        <v>2024.0</v>
      </c>
      <c r="O270" s="567">
        <v>2025.0</v>
      </c>
      <c r="P270" s="567">
        <v>2025.0</v>
      </c>
      <c r="Q270" s="567">
        <v>2025.0</v>
      </c>
      <c r="R270" s="567"/>
      <c r="S270" s="567"/>
      <c r="T270" s="567"/>
      <c r="U270" s="567"/>
      <c r="V270" s="567"/>
      <c r="W270" s="567">
        <v>2.0</v>
      </c>
      <c r="X270" s="567">
        <v>2.0</v>
      </c>
      <c r="Y270" s="567">
        <v>2.0</v>
      </c>
      <c r="Z270" s="567">
        <v>2.0</v>
      </c>
      <c r="AA270" s="567">
        <v>2.0</v>
      </c>
      <c r="AB270" s="567">
        <v>2.0</v>
      </c>
      <c r="AC270" s="567"/>
      <c r="AD270" s="567"/>
      <c r="AE270" s="567"/>
      <c r="AF270" s="567"/>
      <c r="AG270" s="567"/>
      <c r="AH270" s="567"/>
      <c r="AI270" s="567"/>
      <c r="AJ270" s="567"/>
      <c r="AK270" s="567"/>
      <c r="AL270" s="567"/>
      <c r="AM270" s="567"/>
      <c r="AN270" s="567"/>
      <c r="AO270" s="567"/>
      <c r="AP270" s="567"/>
      <c r="AQ270" s="567"/>
      <c r="AR270" s="567">
        <v>-2024.0</v>
      </c>
      <c r="AS270" s="567">
        <v>-2024.0</v>
      </c>
      <c r="AT270" s="567">
        <v>-2024.0</v>
      </c>
      <c r="AU270" s="567">
        <v>-2025.0</v>
      </c>
      <c r="AV270" s="567">
        <v>-2025.0</v>
      </c>
      <c r="AW270" s="567">
        <v>-2025.0</v>
      </c>
      <c r="AX270" s="567">
        <v>0.0</v>
      </c>
      <c r="AY270" s="567">
        <v>0.0</v>
      </c>
      <c r="AZ270" s="567">
        <v>0.0</v>
      </c>
      <c r="BA270" s="567">
        <v>0.0</v>
      </c>
      <c r="BB270" s="567"/>
      <c r="BC270" s="828">
        <v>0.0</v>
      </c>
      <c r="BD270" s="828">
        <v>0.0</v>
      </c>
      <c r="BE270" s="828">
        <v>0.0</v>
      </c>
      <c r="BF270" s="567"/>
      <c r="BG270" s="567"/>
      <c r="BH270" s="567"/>
      <c r="BI270" s="828">
        <v>0.0</v>
      </c>
      <c r="BJ270" s="567"/>
      <c r="BK270" s="567"/>
      <c r="BL270" s="725"/>
      <c r="BM270" s="665">
        <f t="shared" si="1"/>
        <v>0</v>
      </c>
      <c r="BN270" s="736">
        <v>60.0</v>
      </c>
      <c r="BO270" s="674">
        <v>25.0</v>
      </c>
      <c r="BP270" s="674">
        <v>20.0</v>
      </c>
      <c r="BQ270" s="668">
        <v>60.0</v>
      </c>
      <c r="BR270" s="668">
        <v>60.0</v>
      </c>
      <c r="BS270" s="668">
        <v>100.0</v>
      </c>
      <c r="BT270" s="674">
        <v>50.0</v>
      </c>
      <c r="BU270" s="668"/>
      <c r="BV270" s="668"/>
      <c r="BW270" s="670"/>
      <c r="BX270" s="665">
        <f t="shared" si="2"/>
        <v>375</v>
      </c>
      <c r="BY270" s="671">
        <v>60.0</v>
      </c>
      <c r="BZ270" s="668">
        <v>25.0</v>
      </c>
      <c r="CA270" s="668">
        <v>20.0</v>
      </c>
      <c r="CB270" s="668">
        <v>0.0</v>
      </c>
      <c r="CC270" s="668">
        <v>0.0</v>
      </c>
      <c r="CD270" s="668">
        <v>0.0</v>
      </c>
      <c r="CE270" s="668">
        <v>0.0</v>
      </c>
      <c r="CF270" s="668">
        <v>0.0</v>
      </c>
      <c r="CG270" s="668">
        <v>0.0</v>
      </c>
      <c r="CH270" s="670">
        <v>0.0</v>
      </c>
      <c r="CI270" s="665">
        <f t="shared" si="3"/>
        <v>105</v>
      </c>
      <c r="CJ270" s="671">
        <f t="shared" si="4"/>
        <v>480</v>
      </c>
      <c r="CK270" s="674">
        <v>439.02</v>
      </c>
      <c r="CL270" s="668">
        <v>3059.9694</v>
      </c>
      <c r="CM270" s="668">
        <f t="shared" ref="CM270:CV270" si="833">BC270*$CL270</f>
        <v>0</v>
      </c>
      <c r="CN270" s="668">
        <f t="shared" si="833"/>
        <v>0</v>
      </c>
      <c r="CO270" s="668">
        <f t="shared" si="833"/>
        <v>0</v>
      </c>
      <c r="CP270" s="668">
        <f t="shared" si="833"/>
        <v>0</v>
      </c>
      <c r="CQ270" s="668">
        <f t="shared" si="833"/>
        <v>0</v>
      </c>
      <c r="CR270" s="668">
        <f t="shared" si="833"/>
        <v>0</v>
      </c>
      <c r="CS270" s="668">
        <f t="shared" si="833"/>
        <v>0</v>
      </c>
      <c r="CT270" s="668">
        <f t="shared" si="833"/>
        <v>0</v>
      </c>
      <c r="CU270" s="668">
        <f t="shared" si="833"/>
        <v>0</v>
      </c>
      <c r="CV270" s="668">
        <f t="shared" si="833"/>
        <v>0</v>
      </c>
      <c r="CW270" s="668">
        <f t="shared" si="21"/>
        <v>0</v>
      </c>
      <c r="CX270" s="668">
        <f t="shared" ref="CX270:DG270" si="834">BN270*$CL270</f>
        <v>183598.164</v>
      </c>
      <c r="CY270" s="668">
        <f t="shared" si="834"/>
        <v>76499.235</v>
      </c>
      <c r="CZ270" s="668">
        <f t="shared" si="834"/>
        <v>61199.388</v>
      </c>
      <c r="DA270" s="668">
        <f t="shared" si="834"/>
        <v>183598.164</v>
      </c>
      <c r="DB270" s="668">
        <f t="shared" si="834"/>
        <v>183598.164</v>
      </c>
      <c r="DC270" s="668">
        <f t="shared" si="834"/>
        <v>305996.94</v>
      </c>
      <c r="DD270" s="668">
        <f t="shared" si="834"/>
        <v>152998.47</v>
      </c>
      <c r="DE270" s="668">
        <f t="shared" si="834"/>
        <v>0</v>
      </c>
      <c r="DF270" s="668">
        <f t="shared" si="834"/>
        <v>0</v>
      </c>
      <c r="DG270" s="668">
        <f t="shared" si="834"/>
        <v>0</v>
      </c>
      <c r="DH270" s="668">
        <f t="shared" si="23"/>
        <v>1147488.525</v>
      </c>
      <c r="DI270" s="668">
        <f t="shared" ref="DI270:DR270" si="835">BY270*$CL270</f>
        <v>183598.164</v>
      </c>
      <c r="DJ270" s="668">
        <f t="shared" si="835"/>
        <v>76499.235</v>
      </c>
      <c r="DK270" s="668">
        <f t="shared" si="835"/>
        <v>61199.388</v>
      </c>
      <c r="DL270" s="668">
        <f t="shared" si="835"/>
        <v>0</v>
      </c>
      <c r="DM270" s="668">
        <f t="shared" si="835"/>
        <v>0</v>
      </c>
      <c r="DN270" s="668">
        <f t="shared" si="835"/>
        <v>0</v>
      </c>
      <c r="DO270" s="668">
        <f t="shared" si="835"/>
        <v>0</v>
      </c>
      <c r="DP270" s="668">
        <f t="shared" si="835"/>
        <v>0</v>
      </c>
      <c r="DQ270" s="668">
        <f t="shared" si="835"/>
        <v>0</v>
      </c>
      <c r="DR270" s="668">
        <f t="shared" si="835"/>
        <v>0</v>
      </c>
      <c r="DS270" s="668">
        <f t="shared" si="25"/>
        <v>321296.787</v>
      </c>
      <c r="DT270" s="668">
        <f t="shared" si="685"/>
        <v>1468785.312</v>
      </c>
      <c r="DU270" s="538"/>
      <c r="DV270" s="468"/>
      <c r="DW270" s="698"/>
      <c r="DX270" s="698"/>
      <c r="DY270" s="698"/>
      <c r="DZ270" s="698"/>
      <c r="EA270" s="698"/>
      <c r="EB270" s="698"/>
      <c r="EC270" s="698"/>
      <c r="ED270" s="698"/>
      <c r="EE270" s="698"/>
      <c r="EF270" s="698"/>
      <c r="EG270" s="698"/>
      <c r="EH270" s="677">
        <f t="shared" si="836"/>
        <v>3059.9694</v>
      </c>
      <c r="EI270" s="678">
        <v>1.0</v>
      </c>
      <c r="EJ270" s="699"/>
      <c r="EK270" s="699"/>
    </row>
    <row r="271" ht="12.0" customHeight="1">
      <c r="A271" s="700" t="s">
        <v>3026</v>
      </c>
      <c r="B271" s="562"/>
      <c r="C271" s="701" t="s">
        <v>2707</v>
      </c>
      <c r="D271" s="743" t="s">
        <v>1828</v>
      </c>
      <c r="E271" s="743" t="s">
        <v>3456</v>
      </c>
      <c r="F271" s="680" t="s">
        <v>1774</v>
      </c>
      <c r="G271" s="569" t="s">
        <v>2723</v>
      </c>
      <c r="H271" s="569" t="s">
        <v>3457</v>
      </c>
      <c r="I271" s="562"/>
      <c r="J271" s="743" t="s">
        <v>3458</v>
      </c>
      <c r="K271" s="701" t="s">
        <v>25</v>
      </c>
      <c r="L271" s="562"/>
      <c r="M271" s="562"/>
      <c r="N271" s="562"/>
      <c r="O271" s="562"/>
      <c r="P271" s="562"/>
      <c r="Q271" s="562"/>
      <c r="R271" s="562"/>
      <c r="S271" s="562"/>
      <c r="T271" s="562"/>
      <c r="U271" s="562"/>
      <c r="V271" s="562"/>
      <c r="W271" s="562"/>
      <c r="X271" s="562"/>
      <c r="Y271" s="562"/>
      <c r="Z271" s="562"/>
      <c r="AA271" s="562"/>
      <c r="AB271" s="562"/>
      <c r="AC271" s="562"/>
      <c r="AD271" s="562"/>
      <c r="AE271" s="562"/>
      <c r="AF271" s="562"/>
      <c r="AG271" s="562"/>
      <c r="AH271" s="562"/>
      <c r="AI271" s="562"/>
      <c r="AJ271" s="562"/>
      <c r="AK271" s="562"/>
      <c r="AL271" s="562"/>
      <c r="AM271" s="562"/>
      <c r="AN271" s="562"/>
      <c r="AO271" s="562"/>
      <c r="AP271" s="562"/>
      <c r="AQ271" s="562"/>
      <c r="AR271" s="562"/>
      <c r="AS271" s="562"/>
      <c r="AT271" s="562"/>
      <c r="AU271" s="562"/>
      <c r="AV271" s="562"/>
      <c r="AW271" s="562"/>
      <c r="AX271" s="562"/>
      <c r="AY271" s="562"/>
      <c r="AZ271" s="562"/>
      <c r="BA271" s="562"/>
      <c r="BB271" s="562"/>
      <c r="BC271" s="701">
        <v>10.0</v>
      </c>
      <c r="BD271" s="701">
        <v>0.0</v>
      </c>
      <c r="BE271" s="701">
        <v>0.0</v>
      </c>
      <c r="BF271" s="701">
        <v>0.0</v>
      </c>
      <c r="BG271" s="701">
        <v>6.0</v>
      </c>
      <c r="BH271" s="701">
        <v>13.0</v>
      </c>
      <c r="BI271" s="701">
        <v>11.0</v>
      </c>
      <c r="BJ271" s="701">
        <v>4.0</v>
      </c>
      <c r="BK271" s="701">
        <v>3.0</v>
      </c>
      <c r="BL271" s="723">
        <v>0.0</v>
      </c>
      <c r="BM271" s="665">
        <f t="shared" si="1"/>
        <v>47</v>
      </c>
      <c r="BN271" s="733"/>
      <c r="BO271" s="687"/>
      <c r="BP271" s="683"/>
      <c r="BQ271" s="683"/>
      <c r="BR271" s="683"/>
      <c r="BS271" s="683"/>
      <c r="BT271" s="683"/>
      <c r="BU271" s="683"/>
      <c r="BV271" s="683"/>
      <c r="BW271" s="686"/>
      <c r="BX271" s="665"/>
      <c r="BY271" s="682"/>
      <c r="BZ271" s="683"/>
      <c r="CA271" s="683"/>
      <c r="CB271" s="683"/>
      <c r="CC271" s="683"/>
      <c r="CD271" s="683"/>
      <c r="CE271" s="683"/>
      <c r="CF271" s="683"/>
      <c r="CG271" s="683"/>
      <c r="CH271" s="686"/>
      <c r="CI271" s="665"/>
      <c r="CJ271" s="682">
        <f t="shared" si="4"/>
        <v>47</v>
      </c>
      <c r="CK271" s="687"/>
      <c r="CL271" s="687">
        <v>2262.69</v>
      </c>
      <c r="CM271" s="683"/>
      <c r="CN271" s="683"/>
      <c r="CO271" s="683"/>
      <c r="CP271" s="683"/>
      <c r="CQ271" s="683"/>
      <c r="CR271" s="683"/>
      <c r="CS271" s="683"/>
      <c r="CT271" s="683"/>
      <c r="CU271" s="683"/>
      <c r="CV271" s="683"/>
      <c r="CW271" s="683">
        <f t="shared" si="21"/>
        <v>106346.43</v>
      </c>
      <c r="CX271" s="683"/>
      <c r="CY271" s="683"/>
      <c r="CZ271" s="683"/>
      <c r="DA271" s="683"/>
      <c r="DB271" s="683"/>
      <c r="DC271" s="683"/>
      <c r="DD271" s="683"/>
      <c r="DE271" s="683"/>
      <c r="DF271" s="683"/>
      <c r="DG271" s="683"/>
      <c r="DH271" s="683">
        <f t="shared" si="23"/>
        <v>0</v>
      </c>
      <c r="DI271" s="683"/>
      <c r="DJ271" s="683"/>
      <c r="DK271" s="683"/>
      <c r="DL271" s="683"/>
      <c r="DM271" s="683"/>
      <c r="DN271" s="683"/>
      <c r="DO271" s="683"/>
      <c r="DP271" s="683"/>
      <c r="DQ271" s="683"/>
      <c r="DR271" s="683"/>
      <c r="DS271" s="683">
        <f t="shared" si="25"/>
        <v>0</v>
      </c>
      <c r="DT271" s="683">
        <f t="shared" si="685"/>
        <v>106346.43</v>
      </c>
      <c r="DU271" s="504"/>
      <c r="DV271" s="486"/>
      <c r="DW271" s="688"/>
      <c r="DX271" s="688"/>
      <c r="DY271" s="688"/>
      <c r="DZ271" s="688"/>
      <c r="EA271" s="688"/>
      <c r="EB271" s="688"/>
      <c r="EC271" s="688"/>
      <c r="ED271" s="688"/>
      <c r="EE271" s="688"/>
      <c r="EF271" s="688"/>
      <c r="EG271" s="688"/>
      <c r="EH271" s="689"/>
      <c r="EI271" s="690"/>
      <c r="EJ271" s="691"/>
      <c r="EK271" s="691"/>
    </row>
    <row r="272" ht="12.0" customHeight="1">
      <c r="A272" s="709" t="s">
        <v>3026</v>
      </c>
      <c r="B272" s="567"/>
      <c r="C272" s="661" t="s">
        <v>2707</v>
      </c>
      <c r="D272" s="742" t="s">
        <v>1828</v>
      </c>
      <c r="E272" s="742" t="s">
        <v>3456</v>
      </c>
      <c r="F272" s="680" t="s">
        <v>1774</v>
      </c>
      <c r="G272" s="569" t="s">
        <v>2723</v>
      </c>
      <c r="H272" s="569" t="s">
        <v>3457</v>
      </c>
      <c r="I272" s="567"/>
      <c r="J272" s="742" t="s">
        <v>3459</v>
      </c>
      <c r="K272" s="661" t="s">
        <v>25</v>
      </c>
      <c r="L272" s="567"/>
      <c r="M272" s="567"/>
      <c r="N272" s="567"/>
      <c r="O272" s="567"/>
      <c r="P272" s="567"/>
      <c r="Q272" s="567"/>
      <c r="R272" s="567"/>
      <c r="S272" s="567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7"/>
      <c r="AH272" s="567"/>
      <c r="AI272" s="567"/>
      <c r="AJ272" s="567"/>
      <c r="AK272" s="567"/>
      <c r="AL272" s="567"/>
      <c r="AM272" s="567"/>
      <c r="AN272" s="567"/>
      <c r="AO272" s="567"/>
      <c r="AP272" s="567"/>
      <c r="AQ272" s="567"/>
      <c r="AR272" s="567"/>
      <c r="AS272" s="567"/>
      <c r="AT272" s="567"/>
      <c r="AU272" s="567"/>
      <c r="AV272" s="567"/>
      <c r="AW272" s="567"/>
      <c r="AX272" s="567"/>
      <c r="AY272" s="567"/>
      <c r="AZ272" s="567"/>
      <c r="BA272" s="567"/>
      <c r="BB272" s="567"/>
      <c r="BC272" s="661">
        <v>10.0</v>
      </c>
      <c r="BD272" s="661">
        <v>0.0</v>
      </c>
      <c r="BE272" s="661">
        <v>2.0</v>
      </c>
      <c r="BF272" s="661">
        <v>3.0</v>
      </c>
      <c r="BG272" s="661">
        <v>5.0</v>
      </c>
      <c r="BH272" s="661">
        <v>9.0</v>
      </c>
      <c r="BI272" s="661">
        <v>11.0</v>
      </c>
      <c r="BJ272" s="661">
        <v>4.0</v>
      </c>
      <c r="BK272" s="661">
        <v>2.0</v>
      </c>
      <c r="BL272" s="712">
        <v>9.0</v>
      </c>
      <c r="BM272" s="665">
        <f t="shared" si="1"/>
        <v>55</v>
      </c>
      <c r="BN272" s="736"/>
      <c r="BO272" s="674"/>
      <c r="BP272" s="668"/>
      <c r="BQ272" s="668"/>
      <c r="BR272" s="668"/>
      <c r="BS272" s="668"/>
      <c r="BT272" s="668"/>
      <c r="BU272" s="668"/>
      <c r="BV272" s="668"/>
      <c r="BW272" s="670"/>
      <c r="BX272" s="665"/>
      <c r="BY272" s="671"/>
      <c r="BZ272" s="668"/>
      <c r="CA272" s="668"/>
      <c r="CB272" s="668"/>
      <c r="CC272" s="668"/>
      <c r="CD272" s="668"/>
      <c r="CE272" s="668"/>
      <c r="CF272" s="668"/>
      <c r="CG272" s="668"/>
      <c r="CH272" s="670"/>
      <c r="CI272" s="665"/>
      <c r="CJ272" s="671">
        <f t="shared" si="4"/>
        <v>55</v>
      </c>
      <c r="CK272" s="674"/>
      <c r="CL272" s="674">
        <v>424.5</v>
      </c>
      <c r="CM272" s="668"/>
      <c r="CN272" s="668"/>
      <c r="CO272" s="668"/>
      <c r="CP272" s="668"/>
      <c r="CQ272" s="668"/>
      <c r="CR272" s="668"/>
      <c r="CS272" s="668"/>
      <c r="CT272" s="668"/>
      <c r="CU272" s="668"/>
      <c r="CV272" s="668"/>
      <c r="CW272" s="668">
        <f t="shared" si="21"/>
        <v>23347.5</v>
      </c>
      <c r="CX272" s="668"/>
      <c r="CY272" s="668"/>
      <c r="CZ272" s="668"/>
      <c r="DA272" s="668"/>
      <c r="DB272" s="668"/>
      <c r="DC272" s="668"/>
      <c r="DD272" s="668"/>
      <c r="DE272" s="668"/>
      <c r="DF272" s="668"/>
      <c r="DG272" s="668"/>
      <c r="DH272" s="668">
        <f t="shared" si="23"/>
        <v>0</v>
      </c>
      <c r="DI272" s="668"/>
      <c r="DJ272" s="668"/>
      <c r="DK272" s="668"/>
      <c r="DL272" s="668"/>
      <c r="DM272" s="668"/>
      <c r="DN272" s="668"/>
      <c r="DO272" s="668"/>
      <c r="DP272" s="668"/>
      <c r="DQ272" s="668"/>
      <c r="DR272" s="668"/>
      <c r="DS272" s="668">
        <f t="shared" si="25"/>
        <v>0</v>
      </c>
      <c r="DT272" s="668">
        <f t="shared" si="685"/>
        <v>23347.5</v>
      </c>
      <c r="DU272" s="538"/>
      <c r="DV272" s="468"/>
      <c r="DW272" s="698"/>
      <c r="DX272" s="698"/>
      <c r="DY272" s="698"/>
      <c r="DZ272" s="698"/>
      <c r="EA272" s="698"/>
      <c r="EB272" s="698"/>
      <c r="EC272" s="698"/>
      <c r="ED272" s="698"/>
      <c r="EE272" s="698"/>
      <c r="EF272" s="698"/>
      <c r="EG272" s="698"/>
      <c r="EH272" s="677"/>
      <c r="EI272" s="678"/>
      <c r="EJ272" s="699"/>
      <c r="EK272" s="699"/>
    </row>
    <row r="273" ht="12.0" customHeight="1">
      <c r="A273" s="700" t="s">
        <v>3026</v>
      </c>
      <c r="B273" s="562"/>
      <c r="C273" s="701" t="s">
        <v>2707</v>
      </c>
      <c r="D273" s="743" t="s">
        <v>1828</v>
      </c>
      <c r="E273" s="743" t="s">
        <v>3456</v>
      </c>
      <c r="F273" s="680" t="s">
        <v>1774</v>
      </c>
      <c r="G273" s="569" t="s">
        <v>2723</v>
      </c>
      <c r="H273" s="569" t="s">
        <v>3457</v>
      </c>
      <c r="I273" s="562"/>
      <c r="J273" s="743" t="s">
        <v>3460</v>
      </c>
      <c r="K273" s="701" t="s">
        <v>25</v>
      </c>
      <c r="L273" s="562"/>
      <c r="M273" s="562"/>
      <c r="N273" s="562"/>
      <c r="O273" s="562"/>
      <c r="P273" s="562"/>
      <c r="Q273" s="562"/>
      <c r="R273" s="562"/>
      <c r="S273" s="562"/>
      <c r="T273" s="562"/>
      <c r="U273" s="562"/>
      <c r="V273" s="562"/>
      <c r="W273" s="562"/>
      <c r="X273" s="562"/>
      <c r="Y273" s="562"/>
      <c r="Z273" s="562"/>
      <c r="AA273" s="562"/>
      <c r="AB273" s="562"/>
      <c r="AC273" s="562"/>
      <c r="AD273" s="562"/>
      <c r="AE273" s="562"/>
      <c r="AF273" s="562"/>
      <c r="AG273" s="562"/>
      <c r="AH273" s="562"/>
      <c r="AI273" s="562"/>
      <c r="AJ273" s="562"/>
      <c r="AK273" s="562"/>
      <c r="AL273" s="562"/>
      <c r="AM273" s="562"/>
      <c r="AN273" s="562"/>
      <c r="AO273" s="562"/>
      <c r="AP273" s="562"/>
      <c r="AQ273" s="562"/>
      <c r="AR273" s="562"/>
      <c r="AS273" s="562"/>
      <c r="AT273" s="562"/>
      <c r="AU273" s="562"/>
      <c r="AV273" s="562"/>
      <c r="AW273" s="562"/>
      <c r="AX273" s="562"/>
      <c r="AY273" s="562"/>
      <c r="AZ273" s="562"/>
      <c r="BA273" s="562"/>
      <c r="BB273" s="562"/>
      <c r="BC273" s="701">
        <v>10.0</v>
      </c>
      <c r="BD273" s="701">
        <v>1.0</v>
      </c>
      <c r="BE273" s="701">
        <v>2.0</v>
      </c>
      <c r="BF273" s="701">
        <v>3.0</v>
      </c>
      <c r="BG273" s="701">
        <v>9.0</v>
      </c>
      <c r="BH273" s="701">
        <v>9.0</v>
      </c>
      <c r="BI273" s="701">
        <v>12.0</v>
      </c>
      <c r="BJ273" s="701">
        <v>4.0</v>
      </c>
      <c r="BK273" s="701">
        <v>2.0</v>
      </c>
      <c r="BL273" s="723">
        <v>9.0</v>
      </c>
      <c r="BM273" s="665">
        <f t="shared" si="1"/>
        <v>61</v>
      </c>
      <c r="BN273" s="733"/>
      <c r="BO273" s="687"/>
      <c r="BP273" s="683"/>
      <c r="BQ273" s="683"/>
      <c r="BR273" s="683"/>
      <c r="BS273" s="683"/>
      <c r="BT273" s="683"/>
      <c r="BU273" s="683"/>
      <c r="BV273" s="683"/>
      <c r="BW273" s="686"/>
      <c r="BX273" s="665"/>
      <c r="BY273" s="682"/>
      <c r="BZ273" s="683"/>
      <c r="CA273" s="683"/>
      <c r="CB273" s="683"/>
      <c r="CC273" s="683"/>
      <c r="CD273" s="683"/>
      <c r="CE273" s="683"/>
      <c r="CF273" s="683"/>
      <c r="CG273" s="683"/>
      <c r="CH273" s="686"/>
      <c r="CI273" s="665"/>
      <c r="CJ273" s="682">
        <f t="shared" si="4"/>
        <v>61</v>
      </c>
      <c r="CK273" s="687"/>
      <c r="CL273" s="687">
        <v>47.3</v>
      </c>
      <c r="CM273" s="683"/>
      <c r="CN273" s="683"/>
      <c r="CO273" s="683"/>
      <c r="CP273" s="683"/>
      <c r="CQ273" s="683"/>
      <c r="CR273" s="683"/>
      <c r="CS273" s="683"/>
      <c r="CT273" s="683"/>
      <c r="CU273" s="683"/>
      <c r="CV273" s="683"/>
      <c r="CW273" s="683">
        <f t="shared" si="21"/>
        <v>2885.3</v>
      </c>
      <c r="CX273" s="683"/>
      <c r="CY273" s="683"/>
      <c r="CZ273" s="683"/>
      <c r="DA273" s="683"/>
      <c r="DB273" s="683"/>
      <c r="DC273" s="683"/>
      <c r="DD273" s="683"/>
      <c r="DE273" s="683"/>
      <c r="DF273" s="683"/>
      <c r="DG273" s="683"/>
      <c r="DH273" s="683">
        <f t="shared" si="23"/>
        <v>0</v>
      </c>
      <c r="DI273" s="683"/>
      <c r="DJ273" s="683"/>
      <c r="DK273" s="683"/>
      <c r="DL273" s="683"/>
      <c r="DM273" s="683"/>
      <c r="DN273" s="683"/>
      <c r="DO273" s="683"/>
      <c r="DP273" s="683"/>
      <c r="DQ273" s="683"/>
      <c r="DR273" s="683"/>
      <c r="DS273" s="683">
        <f t="shared" si="25"/>
        <v>0</v>
      </c>
      <c r="DT273" s="683">
        <f t="shared" si="685"/>
        <v>2885.3</v>
      </c>
      <c r="DU273" s="504"/>
      <c r="DV273" s="486"/>
      <c r="DW273" s="688"/>
      <c r="DX273" s="688"/>
      <c r="DY273" s="688"/>
      <c r="DZ273" s="688"/>
      <c r="EA273" s="688"/>
      <c r="EB273" s="688"/>
      <c r="EC273" s="688"/>
      <c r="ED273" s="688"/>
      <c r="EE273" s="688"/>
      <c r="EF273" s="688"/>
      <c r="EG273" s="688"/>
      <c r="EH273" s="689"/>
      <c r="EI273" s="690"/>
      <c r="EJ273" s="691"/>
      <c r="EK273" s="691"/>
    </row>
    <row r="274" ht="12.0" customHeight="1">
      <c r="A274" s="709" t="s">
        <v>3026</v>
      </c>
      <c r="B274" s="567"/>
      <c r="C274" s="567" t="s">
        <v>3034</v>
      </c>
      <c r="D274" s="742" t="s">
        <v>52</v>
      </c>
      <c r="E274" s="568" t="s">
        <v>2708</v>
      </c>
      <c r="F274" s="680" t="s">
        <v>1774</v>
      </c>
      <c r="G274" s="569" t="s">
        <v>2709</v>
      </c>
      <c r="H274" s="569" t="s">
        <v>2868</v>
      </c>
      <c r="I274" s="567">
        <v>1.0488086E7</v>
      </c>
      <c r="J274" s="568" t="s">
        <v>96</v>
      </c>
      <c r="K274" s="567" t="s">
        <v>25</v>
      </c>
      <c r="L274" s="567">
        <v>2024.0</v>
      </c>
      <c r="M274" s="567">
        <v>2024.0</v>
      </c>
      <c r="N274" s="567">
        <v>2024.0</v>
      </c>
      <c r="O274" s="567">
        <v>2025.0</v>
      </c>
      <c r="P274" s="567">
        <v>2025.0</v>
      </c>
      <c r="Q274" s="567">
        <v>2025.0</v>
      </c>
      <c r="R274" s="567"/>
      <c r="S274" s="567"/>
      <c r="T274" s="567"/>
      <c r="U274" s="567"/>
      <c r="V274" s="567"/>
      <c r="W274" s="567">
        <v>3.0</v>
      </c>
      <c r="X274" s="567">
        <v>3.0</v>
      </c>
      <c r="Y274" s="567">
        <v>3.0</v>
      </c>
      <c r="Z274" s="567">
        <v>3.0</v>
      </c>
      <c r="AA274" s="567">
        <v>3.0</v>
      </c>
      <c r="AB274" s="567">
        <v>3.0</v>
      </c>
      <c r="AC274" s="567"/>
      <c r="AD274" s="567"/>
      <c r="AE274" s="567"/>
      <c r="AF274" s="567"/>
      <c r="AG274" s="567"/>
      <c r="AH274" s="567"/>
      <c r="AI274" s="567"/>
      <c r="AJ274" s="567"/>
      <c r="AK274" s="567"/>
      <c r="AL274" s="567"/>
      <c r="AM274" s="567"/>
      <c r="AN274" s="567"/>
      <c r="AO274" s="567"/>
      <c r="AP274" s="567"/>
      <c r="AQ274" s="567"/>
      <c r="AR274" s="567">
        <v>-2024.0</v>
      </c>
      <c r="AS274" s="567">
        <v>-2024.0</v>
      </c>
      <c r="AT274" s="567">
        <v>-2024.0</v>
      </c>
      <c r="AU274" s="567">
        <v>-2025.0</v>
      </c>
      <c r="AV274" s="567">
        <v>-2025.0</v>
      </c>
      <c r="AW274" s="567">
        <v>-2025.0</v>
      </c>
      <c r="AX274" s="567">
        <v>0.0</v>
      </c>
      <c r="AY274" s="567">
        <v>0.0</v>
      </c>
      <c r="AZ274" s="567">
        <v>0.0</v>
      </c>
      <c r="BA274" s="567">
        <v>0.0</v>
      </c>
      <c r="BB274" s="567"/>
      <c r="BC274" s="661"/>
      <c r="BD274" s="567"/>
      <c r="BE274" s="661">
        <v>0.0</v>
      </c>
      <c r="BF274" s="567"/>
      <c r="BG274" s="567"/>
      <c r="BH274" s="567"/>
      <c r="BI274" s="567"/>
      <c r="BJ274" s="567"/>
      <c r="BK274" s="567"/>
      <c r="BL274" s="725"/>
      <c r="BM274" s="665">
        <f t="shared" si="1"/>
        <v>0</v>
      </c>
      <c r="BN274" s="736">
        <v>40.0</v>
      </c>
      <c r="BO274" s="674">
        <v>25.0</v>
      </c>
      <c r="BP274" s="668"/>
      <c r="BQ274" s="668">
        <v>40.0</v>
      </c>
      <c r="BR274" s="668">
        <v>40.0</v>
      </c>
      <c r="BS274" s="668">
        <v>50.0</v>
      </c>
      <c r="BT274" s="668"/>
      <c r="BU274" s="668"/>
      <c r="BV274" s="668"/>
      <c r="BW274" s="670"/>
      <c r="BX274" s="665">
        <f t="shared" ref="BX274:BX379" si="840">ROUNDUP( SUM(BN274:BW274))</f>
        <v>195</v>
      </c>
      <c r="BY274" s="671">
        <v>0.0</v>
      </c>
      <c r="BZ274" s="668">
        <v>0.0</v>
      </c>
      <c r="CA274" s="668">
        <v>0.0</v>
      </c>
      <c r="CB274" s="668">
        <v>0.0</v>
      </c>
      <c r="CC274" s="668">
        <v>0.0</v>
      </c>
      <c r="CD274" s="668">
        <v>0.0</v>
      </c>
      <c r="CE274" s="668">
        <v>0.0</v>
      </c>
      <c r="CF274" s="668">
        <v>0.0</v>
      </c>
      <c r="CG274" s="668">
        <v>0.0</v>
      </c>
      <c r="CH274" s="670">
        <v>0.0</v>
      </c>
      <c r="CI274" s="665">
        <f t="shared" ref="CI274:CI379" si="841">ROUNDUP( SUM(BY274:CH274))</f>
        <v>0</v>
      </c>
      <c r="CJ274" s="671">
        <f t="shared" si="4"/>
        <v>195</v>
      </c>
      <c r="CK274" s="674">
        <v>261.0</v>
      </c>
      <c r="CL274" s="668">
        <v>1819.1699999999998</v>
      </c>
      <c r="CM274" s="668">
        <f t="shared" ref="CM274:CV274" si="837">BC274*$CL274</f>
        <v>0</v>
      </c>
      <c r="CN274" s="668">
        <f t="shared" si="837"/>
        <v>0</v>
      </c>
      <c r="CO274" s="668">
        <f t="shared" si="837"/>
        <v>0</v>
      </c>
      <c r="CP274" s="668">
        <f t="shared" si="837"/>
        <v>0</v>
      </c>
      <c r="CQ274" s="668">
        <f t="shared" si="837"/>
        <v>0</v>
      </c>
      <c r="CR274" s="668">
        <f t="shared" si="837"/>
        <v>0</v>
      </c>
      <c r="CS274" s="668">
        <f t="shared" si="837"/>
        <v>0</v>
      </c>
      <c r="CT274" s="668">
        <f t="shared" si="837"/>
        <v>0</v>
      </c>
      <c r="CU274" s="668">
        <f t="shared" si="837"/>
        <v>0</v>
      </c>
      <c r="CV274" s="668">
        <f t="shared" si="837"/>
        <v>0</v>
      </c>
      <c r="CW274" s="668">
        <f t="shared" si="21"/>
        <v>0</v>
      </c>
      <c r="CX274" s="668">
        <f t="shared" ref="CX274:DG274" si="838">BN274*$CL274</f>
        <v>72766.8</v>
      </c>
      <c r="CY274" s="668">
        <f t="shared" si="838"/>
        <v>45479.25</v>
      </c>
      <c r="CZ274" s="668">
        <f t="shared" si="838"/>
        <v>0</v>
      </c>
      <c r="DA274" s="668">
        <f t="shared" si="838"/>
        <v>72766.8</v>
      </c>
      <c r="DB274" s="668">
        <f t="shared" si="838"/>
        <v>72766.8</v>
      </c>
      <c r="DC274" s="668">
        <f t="shared" si="838"/>
        <v>90958.5</v>
      </c>
      <c r="DD274" s="668">
        <f t="shared" si="838"/>
        <v>0</v>
      </c>
      <c r="DE274" s="668">
        <f t="shared" si="838"/>
        <v>0</v>
      </c>
      <c r="DF274" s="668">
        <f t="shared" si="838"/>
        <v>0</v>
      </c>
      <c r="DG274" s="668">
        <f t="shared" si="838"/>
        <v>0</v>
      </c>
      <c r="DH274" s="668">
        <f t="shared" si="23"/>
        <v>354738.15</v>
      </c>
      <c r="DI274" s="668">
        <f t="shared" ref="DI274:DR274" si="839">BY274*$CL274</f>
        <v>0</v>
      </c>
      <c r="DJ274" s="668">
        <f t="shared" si="839"/>
        <v>0</v>
      </c>
      <c r="DK274" s="668">
        <f t="shared" si="839"/>
        <v>0</v>
      </c>
      <c r="DL274" s="668">
        <f t="shared" si="839"/>
        <v>0</v>
      </c>
      <c r="DM274" s="668">
        <f t="shared" si="839"/>
        <v>0</v>
      </c>
      <c r="DN274" s="668">
        <f t="shared" si="839"/>
        <v>0</v>
      </c>
      <c r="DO274" s="668">
        <f t="shared" si="839"/>
        <v>0</v>
      </c>
      <c r="DP274" s="668">
        <f t="shared" si="839"/>
        <v>0</v>
      </c>
      <c r="DQ274" s="668">
        <f t="shared" si="839"/>
        <v>0</v>
      </c>
      <c r="DR274" s="668">
        <f t="shared" si="839"/>
        <v>0</v>
      </c>
      <c r="DS274" s="668">
        <f t="shared" si="25"/>
        <v>0</v>
      </c>
      <c r="DT274" s="668">
        <f t="shared" si="685"/>
        <v>354738.15</v>
      </c>
      <c r="DU274" s="538"/>
      <c r="DV274" s="468"/>
      <c r="DW274" s="698"/>
      <c r="DX274" s="698"/>
      <c r="DY274" s="698"/>
      <c r="DZ274" s="698"/>
      <c r="EA274" s="698"/>
      <c r="EB274" s="698"/>
      <c r="EC274" s="698"/>
      <c r="ED274" s="698"/>
      <c r="EE274" s="698"/>
      <c r="EF274" s="698"/>
      <c r="EG274" s="698"/>
      <c r="EH274" s="677">
        <f>CK274*6.97</f>
        <v>1819.17</v>
      </c>
      <c r="EI274" s="678">
        <v>1.0</v>
      </c>
      <c r="EJ274" s="699"/>
      <c r="EK274" s="699"/>
    </row>
    <row r="275" ht="12.0" customHeight="1">
      <c r="A275" s="700" t="s">
        <v>3026</v>
      </c>
      <c r="B275" s="701">
        <v>2.0</v>
      </c>
      <c r="C275" s="562" t="s">
        <v>3027</v>
      </c>
      <c r="D275" s="571" t="s">
        <v>633</v>
      </c>
      <c r="E275" s="571" t="s">
        <v>2708</v>
      </c>
      <c r="F275" s="562" t="s">
        <v>1763</v>
      </c>
      <c r="G275" s="569" t="s">
        <v>2709</v>
      </c>
      <c r="H275" s="569" t="s">
        <v>3461</v>
      </c>
      <c r="I275" s="703" t="s">
        <v>2148</v>
      </c>
      <c r="J275" s="704" t="s">
        <v>73</v>
      </c>
      <c r="K275" s="562" t="s">
        <v>25</v>
      </c>
      <c r="L275" s="562">
        <v>2024.0</v>
      </c>
      <c r="M275" s="562">
        <v>2024.0</v>
      </c>
      <c r="N275" s="562">
        <v>2024.0</v>
      </c>
      <c r="O275" s="562"/>
      <c r="P275" s="562">
        <v>2024.0</v>
      </c>
      <c r="Q275" s="562">
        <v>2024.0</v>
      </c>
      <c r="R275" s="562"/>
      <c r="S275" s="562"/>
      <c r="T275" s="562"/>
      <c r="U275" s="562">
        <v>2024.0</v>
      </c>
      <c r="V275" s="562"/>
      <c r="W275" s="562">
        <v>3.0</v>
      </c>
      <c r="X275" s="562">
        <v>3.0</v>
      </c>
      <c r="Y275" s="562">
        <v>3.0</v>
      </c>
      <c r="Z275" s="562"/>
      <c r="AA275" s="562">
        <v>5.0</v>
      </c>
      <c r="AB275" s="562">
        <v>5.0</v>
      </c>
      <c r="AC275" s="562"/>
      <c r="AD275" s="562"/>
      <c r="AE275" s="562"/>
      <c r="AF275" s="562">
        <v>7.0</v>
      </c>
      <c r="AG275" s="562"/>
      <c r="AH275" s="562"/>
      <c r="AI275" s="562"/>
      <c r="AJ275" s="562"/>
      <c r="AK275" s="562"/>
      <c r="AL275" s="562"/>
      <c r="AM275" s="562"/>
      <c r="AN275" s="562"/>
      <c r="AO275" s="562"/>
      <c r="AP275" s="562"/>
      <c r="AQ275" s="562"/>
      <c r="AR275" s="562">
        <v>-2024.0</v>
      </c>
      <c r="AS275" s="562">
        <v>-2024.0</v>
      </c>
      <c r="AT275" s="562">
        <v>-2024.0</v>
      </c>
      <c r="AU275" s="562">
        <v>0.0</v>
      </c>
      <c r="AV275" s="562">
        <v>-2024.0</v>
      </c>
      <c r="AW275" s="562">
        <v>-2024.0</v>
      </c>
      <c r="AX275" s="562">
        <v>0.0</v>
      </c>
      <c r="AY275" s="562">
        <v>0.0</v>
      </c>
      <c r="AZ275" s="562">
        <v>0.0</v>
      </c>
      <c r="BA275" s="562">
        <v>-2024.0</v>
      </c>
      <c r="BB275" s="562"/>
      <c r="BC275" s="828">
        <v>50.0</v>
      </c>
      <c r="BD275" s="828">
        <v>30.0</v>
      </c>
      <c r="BE275" s="828">
        <v>70.0</v>
      </c>
      <c r="BF275" s="562"/>
      <c r="BG275" s="701">
        <v>0.0</v>
      </c>
      <c r="BH275" s="701">
        <v>0.0</v>
      </c>
      <c r="BI275" s="562"/>
      <c r="BJ275" s="562"/>
      <c r="BK275" s="562"/>
      <c r="BL275" s="809">
        <v>30.0</v>
      </c>
      <c r="BM275" s="665">
        <f t="shared" si="1"/>
        <v>180</v>
      </c>
      <c r="BN275" s="904">
        <v>70.0</v>
      </c>
      <c r="BO275" s="904">
        <v>40.0</v>
      </c>
      <c r="BP275" s="904">
        <v>90.0</v>
      </c>
      <c r="BQ275" s="488"/>
      <c r="BR275" s="905">
        <v>160.0</v>
      </c>
      <c r="BS275" s="905">
        <v>80.0</v>
      </c>
      <c r="BT275" s="824">
        <v>10.0</v>
      </c>
      <c r="BU275" s="488"/>
      <c r="BV275" s="488"/>
      <c r="BW275" s="720">
        <v>30.0</v>
      </c>
      <c r="BX275" s="665">
        <f t="shared" si="840"/>
        <v>480</v>
      </c>
      <c r="BY275" s="682">
        <v>0.0</v>
      </c>
      <c r="BZ275" s="683">
        <v>0.0</v>
      </c>
      <c r="CA275" s="683">
        <v>0.0</v>
      </c>
      <c r="CB275" s="683">
        <v>0.0</v>
      </c>
      <c r="CC275" s="683">
        <v>0.0</v>
      </c>
      <c r="CD275" s="683">
        <v>0.0</v>
      </c>
      <c r="CE275" s="683">
        <v>0.0</v>
      </c>
      <c r="CF275" s="683">
        <v>0.0</v>
      </c>
      <c r="CG275" s="683">
        <v>0.0</v>
      </c>
      <c r="CH275" s="686">
        <v>0.0</v>
      </c>
      <c r="CI275" s="665">
        <f t="shared" si="841"/>
        <v>0</v>
      </c>
      <c r="CJ275" s="682">
        <f t="shared" si="4"/>
        <v>660</v>
      </c>
      <c r="CK275" s="706">
        <v>205.63</v>
      </c>
      <c r="CL275" s="683">
        <f t="shared" ref="CL275:CL295" si="845">CK275*$CL$1</f>
        <v>1431.1848</v>
      </c>
      <c r="CM275" s="683">
        <f t="shared" ref="CM275:CV275" si="842">BC275*$CL275</f>
        <v>71559.24</v>
      </c>
      <c r="CN275" s="683">
        <f t="shared" si="842"/>
        <v>42935.544</v>
      </c>
      <c r="CO275" s="683">
        <f t="shared" si="842"/>
        <v>100182.936</v>
      </c>
      <c r="CP275" s="683">
        <f t="shared" si="842"/>
        <v>0</v>
      </c>
      <c r="CQ275" s="683">
        <f t="shared" si="842"/>
        <v>0</v>
      </c>
      <c r="CR275" s="683">
        <f t="shared" si="842"/>
        <v>0</v>
      </c>
      <c r="CS275" s="683">
        <f t="shared" si="842"/>
        <v>0</v>
      </c>
      <c r="CT275" s="683">
        <f t="shared" si="842"/>
        <v>0</v>
      </c>
      <c r="CU275" s="683">
        <f t="shared" si="842"/>
        <v>0</v>
      </c>
      <c r="CV275" s="683">
        <f t="shared" si="842"/>
        <v>42935.544</v>
      </c>
      <c r="CW275" s="683">
        <f t="shared" si="21"/>
        <v>257613.264</v>
      </c>
      <c r="CX275" s="683">
        <f t="shared" ref="CX275:DG275" si="843">BN275*$CL275</f>
        <v>100182.936</v>
      </c>
      <c r="CY275" s="683">
        <f t="shared" si="843"/>
        <v>57247.392</v>
      </c>
      <c r="CZ275" s="683">
        <f t="shared" si="843"/>
        <v>128806.632</v>
      </c>
      <c r="DA275" s="683">
        <f t="shared" si="843"/>
        <v>0</v>
      </c>
      <c r="DB275" s="683">
        <f t="shared" si="843"/>
        <v>228989.568</v>
      </c>
      <c r="DC275" s="683">
        <f t="shared" si="843"/>
        <v>114494.784</v>
      </c>
      <c r="DD275" s="683">
        <f t="shared" si="843"/>
        <v>14311.848</v>
      </c>
      <c r="DE275" s="683">
        <f t="shared" si="843"/>
        <v>0</v>
      </c>
      <c r="DF275" s="683">
        <f t="shared" si="843"/>
        <v>0</v>
      </c>
      <c r="DG275" s="683">
        <f t="shared" si="843"/>
        <v>42935.544</v>
      </c>
      <c r="DH275" s="683">
        <f t="shared" si="23"/>
        <v>686968.704</v>
      </c>
      <c r="DI275" s="683">
        <f t="shared" ref="DI275:DR275" si="844">BY275*$CL275</f>
        <v>0</v>
      </c>
      <c r="DJ275" s="683">
        <f t="shared" si="844"/>
        <v>0</v>
      </c>
      <c r="DK275" s="683">
        <f t="shared" si="844"/>
        <v>0</v>
      </c>
      <c r="DL275" s="683">
        <f t="shared" si="844"/>
        <v>0</v>
      </c>
      <c r="DM275" s="683">
        <f t="shared" si="844"/>
        <v>0</v>
      </c>
      <c r="DN275" s="683">
        <f t="shared" si="844"/>
        <v>0</v>
      </c>
      <c r="DO275" s="683">
        <f t="shared" si="844"/>
        <v>0</v>
      </c>
      <c r="DP275" s="683">
        <f t="shared" si="844"/>
        <v>0</v>
      </c>
      <c r="DQ275" s="683">
        <f t="shared" si="844"/>
        <v>0</v>
      </c>
      <c r="DR275" s="683">
        <f t="shared" si="844"/>
        <v>0</v>
      </c>
      <c r="DS275" s="683">
        <f t="shared" si="25"/>
        <v>0</v>
      </c>
      <c r="DT275" s="683">
        <f t="shared" si="685"/>
        <v>944581.968</v>
      </c>
      <c r="DU275" s="504"/>
      <c r="DV275" s="486"/>
      <c r="DW275" s="688"/>
      <c r="DX275" s="688"/>
      <c r="DY275" s="688"/>
      <c r="DZ275" s="688"/>
      <c r="EA275" s="688"/>
      <c r="EB275" s="688"/>
      <c r="EC275" s="688"/>
      <c r="ED275" s="688"/>
      <c r="EE275" s="688"/>
      <c r="EF275" s="688"/>
      <c r="EG275" s="688"/>
      <c r="EH275" s="707" t="s">
        <v>73</v>
      </c>
      <c r="EI275" s="708">
        <f>VLOOKUP(I275,CotizacionTDB,4,FALSE())</f>
        <v>205.63</v>
      </c>
      <c r="EJ275" s="708">
        <f>VLOOKUP(I275,CotizacionTDB,5,FALSE())</f>
        <v>174.79</v>
      </c>
      <c r="EK275" s="691"/>
    </row>
    <row r="276" ht="12.0" customHeight="1">
      <c r="A276" s="709" t="s">
        <v>3026</v>
      </c>
      <c r="B276" s="661">
        <v>2.0</v>
      </c>
      <c r="C276" s="567" t="s">
        <v>3027</v>
      </c>
      <c r="D276" s="568" t="s">
        <v>633</v>
      </c>
      <c r="E276" s="568" t="s">
        <v>2708</v>
      </c>
      <c r="F276" s="567" t="s">
        <v>1763</v>
      </c>
      <c r="G276" s="569" t="s">
        <v>2709</v>
      </c>
      <c r="H276" s="569" t="s">
        <v>3462</v>
      </c>
      <c r="I276" s="721" t="s">
        <v>2191</v>
      </c>
      <c r="J276" s="711" t="s">
        <v>375</v>
      </c>
      <c r="K276" s="567" t="s">
        <v>25</v>
      </c>
      <c r="L276" s="567">
        <v>2024.0</v>
      </c>
      <c r="M276" s="567">
        <v>2024.0</v>
      </c>
      <c r="N276" s="567">
        <v>2024.0</v>
      </c>
      <c r="O276" s="567"/>
      <c r="P276" s="567">
        <v>2024.0</v>
      </c>
      <c r="Q276" s="567">
        <v>2024.0</v>
      </c>
      <c r="R276" s="567"/>
      <c r="S276" s="567"/>
      <c r="T276" s="567"/>
      <c r="U276" s="567"/>
      <c r="V276" s="567"/>
      <c r="W276" s="567">
        <v>2.0</v>
      </c>
      <c r="X276" s="567">
        <v>3.0</v>
      </c>
      <c r="Y276" s="567">
        <v>2.0</v>
      </c>
      <c r="Z276" s="567"/>
      <c r="AA276" s="567">
        <v>3.0</v>
      </c>
      <c r="AB276" s="567">
        <v>3.0</v>
      </c>
      <c r="AC276" s="567"/>
      <c r="AD276" s="567"/>
      <c r="AE276" s="567"/>
      <c r="AF276" s="567"/>
      <c r="AG276" s="567"/>
      <c r="AH276" s="567"/>
      <c r="AI276" s="567"/>
      <c r="AJ276" s="567"/>
      <c r="AK276" s="567"/>
      <c r="AL276" s="567"/>
      <c r="AM276" s="567"/>
      <c r="AN276" s="567"/>
      <c r="AO276" s="567"/>
      <c r="AP276" s="567"/>
      <c r="AQ276" s="567"/>
      <c r="AR276" s="567">
        <v>-2024.0</v>
      </c>
      <c r="AS276" s="567">
        <v>-2024.0</v>
      </c>
      <c r="AT276" s="567">
        <v>-2024.0</v>
      </c>
      <c r="AU276" s="567">
        <v>0.0</v>
      </c>
      <c r="AV276" s="567">
        <v>-2024.0</v>
      </c>
      <c r="AW276" s="567">
        <v>-2024.0</v>
      </c>
      <c r="AX276" s="567">
        <v>0.0</v>
      </c>
      <c r="AY276" s="567">
        <v>0.0</v>
      </c>
      <c r="AZ276" s="567">
        <v>0.0</v>
      </c>
      <c r="BA276" s="567">
        <v>0.0</v>
      </c>
      <c r="BB276" s="567"/>
      <c r="BC276" s="680">
        <v>0.0</v>
      </c>
      <c r="BD276" s="718">
        <v>10.0</v>
      </c>
      <c r="BE276" s="718"/>
      <c r="BF276" s="567"/>
      <c r="BG276" s="718"/>
      <c r="BH276" s="718"/>
      <c r="BI276" s="567"/>
      <c r="BJ276" s="567"/>
      <c r="BK276" s="567"/>
      <c r="BL276" s="725"/>
      <c r="BM276" s="665">
        <f t="shared" si="1"/>
        <v>10</v>
      </c>
      <c r="BN276" s="671"/>
      <c r="BO276" s="668">
        <v>30.0</v>
      </c>
      <c r="BP276" s="684">
        <v>110.0</v>
      </c>
      <c r="BQ276" s="668"/>
      <c r="BR276" s="684">
        <v>100.0</v>
      </c>
      <c r="BS276" s="684">
        <v>75.0</v>
      </c>
      <c r="BT276" s="668"/>
      <c r="BU276" s="668"/>
      <c r="BV276" s="668"/>
      <c r="BW276" s="811">
        <v>30.0</v>
      </c>
      <c r="BX276" s="665">
        <f t="shared" si="840"/>
        <v>345</v>
      </c>
      <c r="BY276" s="671">
        <v>110.0</v>
      </c>
      <c r="BZ276" s="668">
        <v>0.0</v>
      </c>
      <c r="CA276" s="668">
        <v>110.0</v>
      </c>
      <c r="CB276" s="668">
        <v>0.0</v>
      </c>
      <c r="CC276" s="668">
        <v>0.0</v>
      </c>
      <c r="CD276" s="668">
        <v>0.0</v>
      </c>
      <c r="CE276" s="668">
        <v>0.0</v>
      </c>
      <c r="CF276" s="668">
        <v>0.0</v>
      </c>
      <c r="CG276" s="668">
        <v>0.0</v>
      </c>
      <c r="CH276" s="670">
        <v>0.0</v>
      </c>
      <c r="CI276" s="665">
        <f t="shared" si="841"/>
        <v>220</v>
      </c>
      <c r="CJ276" s="671">
        <f t="shared" si="4"/>
        <v>575</v>
      </c>
      <c r="CK276" s="715">
        <v>35.34</v>
      </c>
      <c r="CL276" s="668">
        <f t="shared" si="845"/>
        <v>245.9664</v>
      </c>
      <c r="CM276" s="668">
        <f t="shared" ref="CM276:CV276" si="846">BC276*$CL276</f>
        <v>0</v>
      </c>
      <c r="CN276" s="668">
        <f t="shared" si="846"/>
        <v>2459.664</v>
      </c>
      <c r="CO276" s="668">
        <f t="shared" si="846"/>
        <v>0</v>
      </c>
      <c r="CP276" s="668">
        <f t="shared" si="846"/>
        <v>0</v>
      </c>
      <c r="CQ276" s="668">
        <f t="shared" si="846"/>
        <v>0</v>
      </c>
      <c r="CR276" s="668">
        <f t="shared" si="846"/>
        <v>0</v>
      </c>
      <c r="CS276" s="668">
        <f t="shared" si="846"/>
        <v>0</v>
      </c>
      <c r="CT276" s="668">
        <f t="shared" si="846"/>
        <v>0</v>
      </c>
      <c r="CU276" s="668">
        <f t="shared" si="846"/>
        <v>0</v>
      </c>
      <c r="CV276" s="668">
        <f t="shared" si="846"/>
        <v>0</v>
      </c>
      <c r="CW276" s="668">
        <f t="shared" si="21"/>
        <v>2459.664</v>
      </c>
      <c r="CX276" s="668">
        <f t="shared" ref="CX276:DG276" si="847">BN276*$CL276</f>
        <v>0</v>
      </c>
      <c r="CY276" s="668">
        <f t="shared" si="847"/>
        <v>7378.992</v>
      </c>
      <c r="CZ276" s="668">
        <f t="shared" si="847"/>
        <v>27056.304</v>
      </c>
      <c r="DA276" s="668">
        <f t="shared" si="847"/>
        <v>0</v>
      </c>
      <c r="DB276" s="668">
        <f t="shared" si="847"/>
        <v>24596.64</v>
      </c>
      <c r="DC276" s="668">
        <f t="shared" si="847"/>
        <v>18447.48</v>
      </c>
      <c r="DD276" s="668">
        <f t="shared" si="847"/>
        <v>0</v>
      </c>
      <c r="DE276" s="668">
        <f t="shared" si="847"/>
        <v>0</v>
      </c>
      <c r="DF276" s="668">
        <f t="shared" si="847"/>
        <v>0</v>
      </c>
      <c r="DG276" s="668">
        <f t="shared" si="847"/>
        <v>7378.992</v>
      </c>
      <c r="DH276" s="668">
        <f t="shared" si="23"/>
        <v>84858.408</v>
      </c>
      <c r="DI276" s="668">
        <f t="shared" ref="DI276:DR276" si="848">BY276*$CL276</f>
        <v>27056.304</v>
      </c>
      <c r="DJ276" s="668">
        <f t="shared" si="848"/>
        <v>0</v>
      </c>
      <c r="DK276" s="668">
        <f t="shared" si="848"/>
        <v>27056.304</v>
      </c>
      <c r="DL276" s="668">
        <f t="shared" si="848"/>
        <v>0</v>
      </c>
      <c r="DM276" s="668">
        <f t="shared" si="848"/>
        <v>0</v>
      </c>
      <c r="DN276" s="668">
        <f t="shared" si="848"/>
        <v>0</v>
      </c>
      <c r="DO276" s="668">
        <f t="shared" si="848"/>
        <v>0</v>
      </c>
      <c r="DP276" s="668">
        <f t="shared" si="848"/>
        <v>0</v>
      </c>
      <c r="DQ276" s="668">
        <f t="shared" si="848"/>
        <v>0</v>
      </c>
      <c r="DR276" s="668">
        <f t="shared" si="848"/>
        <v>0</v>
      </c>
      <c r="DS276" s="668">
        <f t="shared" si="25"/>
        <v>54112.608</v>
      </c>
      <c r="DT276" s="668">
        <f t="shared" si="685"/>
        <v>141430.68</v>
      </c>
      <c r="DU276" s="792"/>
      <c r="DV276" s="792" t="s">
        <v>3463</v>
      </c>
      <c r="DW276" s="698"/>
      <c r="DX276" s="698"/>
      <c r="DY276" s="698"/>
      <c r="DZ276" s="698"/>
      <c r="EA276" s="698"/>
      <c r="EB276" s="698"/>
      <c r="EC276" s="698"/>
      <c r="ED276" s="698"/>
      <c r="EE276" s="698"/>
      <c r="EF276" s="698"/>
      <c r="EG276" s="698"/>
      <c r="EH276" s="576" t="s">
        <v>3464</v>
      </c>
      <c r="EI276" s="716">
        <f>VLOOKUP(I276,CotizacionTDB,4,FALSE())</f>
        <v>35.34</v>
      </c>
      <c r="EJ276" s="716">
        <f>VLOOKUP(I276,CotizacionTDB,5,FALSE())</f>
        <v>30.04</v>
      </c>
      <c r="EK276" s="699"/>
    </row>
    <row r="277" ht="12.0" customHeight="1">
      <c r="A277" s="700" t="s">
        <v>3026</v>
      </c>
      <c r="B277" s="701">
        <v>2.0</v>
      </c>
      <c r="C277" s="562" t="s">
        <v>3027</v>
      </c>
      <c r="D277" s="571" t="s">
        <v>633</v>
      </c>
      <c r="E277" s="571" t="s">
        <v>2708</v>
      </c>
      <c r="F277" s="562" t="s">
        <v>1763</v>
      </c>
      <c r="G277" s="569" t="s">
        <v>2709</v>
      </c>
      <c r="H277" s="569" t="s">
        <v>3465</v>
      </c>
      <c r="I277" s="703" t="s">
        <v>2029</v>
      </c>
      <c r="J277" s="704" t="s">
        <v>260</v>
      </c>
      <c r="K277" s="562" t="s">
        <v>25</v>
      </c>
      <c r="L277" s="562">
        <v>2024.0</v>
      </c>
      <c r="M277" s="562">
        <v>2024.0</v>
      </c>
      <c r="N277" s="562">
        <v>2024.0</v>
      </c>
      <c r="O277" s="562">
        <v>2026.0</v>
      </c>
      <c r="P277" s="562">
        <v>2024.0</v>
      </c>
      <c r="Q277" s="562">
        <v>2024.0</v>
      </c>
      <c r="R277" s="562"/>
      <c r="S277" s="562"/>
      <c r="T277" s="562"/>
      <c r="U277" s="562"/>
      <c r="V277" s="562"/>
      <c r="W277" s="562">
        <v>2.0</v>
      </c>
      <c r="X277" s="562">
        <v>3.0</v>
      </c>
      <c r="Y277" s="562">
        <v>2.0</v>
      </c>
      <c r="Z277" s="562">
        <v>3.0</v>
      </c>
      <c r="AA277" s="562">
        <v>3.0</v>
      </c>
      <c r="AB277" s="562">
        <v>3.0</v>
      </c>
      <c r="AC277" s="562"/>
      <c r="AD277" s="562"/>
      <c r="AE277" s="562"/>
      <c r="AF277" s="562"/>
      <c r="AG277" s="562"/>
      <c r="AH277" s="562"/>
      <c r="AI277" s="562"/>
      <c r="AJ277" s="562"/>
      <c r="AK277" s="562"/>
      <c r="AL277" s="562"/>
      <c r="AM277" s="562"/>
      <c r="AN277" s="562"/>
      <c r="AO277" s="562"/>
      <c r="AP277" s="562"/>
      <c r="AQ277" s="562"/>
      <c r="AR277" s="562">
        <v>-2024.0</v>
      </c>
      <c r="AS277" s="562">
        <v>-2024.0</v>
      </c>
      <c r="AT277" s="562">
        <v>-2024.0</v>
      </c>
      <c r="AU277" s="562">
        <v>-2026.0</v>
      </c>
      <c r="AV277" s="562">
        <v>-2024.0</v>
      </c>
      <c r="AW277" s="562">
        <v>-2024.0</v>
      </c>
      <c r="AX277" s="562">
        <v>0.0</v>
      </c>
      <c r="AY277" s="562">
        <v>0.0</v>
      </c>
      <c r="AZ277" s="562">
        <v>0.0</v>
      </c>
      <c r="BA277" s="562">
        <v>0.0</v>
      </c>
      <c r="BB277" s="562"/>
      <c r="BC277" s="562"/>
      <c r="BD277" s="701">
        <v>9.0</v>
      </c>
      <c r="BE277" s="562">
        <v>10.0</v>
      </c>
      <c r="BF277" s="562"/>
      <c r="BG277" s="562">
        <v>12.0</v>
      </c>
      <c r="BH277" s="562">
        <v>18.0</v>
      </c>
      <c r="BI277" s="562"/>
      <c r="BJ277" s="562"/>
      <c r="BK277" s="562"/>
      <c r="BL277" s="681"/>
      <c r="BM277" s="665">
        <f t="shared" si="1"/>
        <v>49</v>
      </c>
      <c r="BN277" s="682"/>
      <c r="BO277" s="683"/>
      <c r="BP277" s="683"/>
      <c r="BQ277" s="683"/>
      <c r="BR277" s="683"/>
      <c r="BS277" s="683"/>
      <c r="BT277" s="683"/>
      <c r="BU277" s="683"/>
      <c r="BV277" s="683"/>
      <c r="BW277" s="686"/>
      <c r="BX277" s="665">
        <f t="shared" si="840"/>
        <v>0</v>
      </c>
      <c r="BY277" s="682">
        <v>20.0</v>
      </c>
      <c r="BZ277" s="683">
        <v>0.0</v>
      </c>
      <c r="CA277" s="683">
        <v>10.0</v>
      </c>
      <c r="CB277" s="683">
        <v>12.0</v>
      </c>
      <c r="CC277" s="683">
        <v>0.0</v>
      </c>
      <c r="CD277" s="683">
        <v>0.0</v>
      </c>
      <c r="CE277" s="683">
        <v>0.0</v>
      </c>
      <c r="CF277" s="683">
        <v>0.0</v>
      </c>
      <c r="CG277" s="683">
        <v>0.0</v>
      </c>
      <c r="CH277" s="686">
        <v>0.0</v>
      </c>
      <c r="CI277" s="665">
        <f t="shared" si="841"/>
        <v>42</v>
      </c>
      <c r="CJ277" s="682">
        <f t="shared" si="4"/>
        <v>91</v>
      </c>
      <c r="CK277" s="706">
        <v>274.62</v>
      </c>
      <c r="CL277" s="683">
        <f t="shared" si="845"/>
        <v>1911.3552</v>
      </c>
      <c r="CM277" s="683">
        <f t="shared" ref="CM277:CV277" si="849">BC277*$CL277</f>
        <v>0</v>
      </c>
      <c r="CN277" s="683">
        <f t="shared" si="849"/>
        <v>17202.1968</v>
      </c>
      <c r="CO277" s="683">
        <f t="shared" si="849"/>
        <v>19113.552</v>
      </c>
      <c r="CP277" s="683">
        <f t="shared" si="849"/>
        <v>0</v>
      </c>
      <c r="CQ277" s="683">
        <f t="shared" si="849"/>
        <v>22936.2624</v>
      </c>
      <c r="CR277" s="683">
        <f t="shared" si="849"/>
        <v>34404.3936</v>
      </c>
      <c r="CS277" s="683">
        <f t="shared" si="849"/>
        <v>0</v>
      </c>
      <c r="CT277" s="683">
        <f t="shared" si="849"/>
        <v>0</v>
      </c>
      <c r="CU277" s="683">
        <f t="shared" si="849"/>
        <v>0</v>
      </c>
      <c r="CV277" s="683">
        <f t="shared" si="849"/>
        <v>0</v>
      </c>
      <c r="CW277" s="683">
        <f t="shared" si="21"/>
        <v>93656.4048</v>
      </c>
      <c r="CX277" s="683">
        <f t="shared" ref="CX277:DG277" si="850">BN277*$CL277</f>
        <v>0</v>
      </c>
      <c r="CY277" s="683">
        <f t="shared" si="850"/>
        <v>0</v>
      </c>
      <c r="CZ277" s="683">
        <f t="shared" si="850"/>
        <v>0</v>
      </c>
      <c r="DA277" s="683">
        <f t="shared" si="850"/>
        <v>0</v>
      </c>
      <c r="DB277" s="683">
        <f t="shared" si="850"/>
        <v>0</v>
      </c>
      <c r="DC277" s="683">
        <f t="shared" si="850"/>
        <v>0</v>
      </c>
      <c r="DD277" s="683">
        <f t="shared" si="850"/>
        <v>0</v>
      </c>
      <c r="DE277" s="683">
        <f t="shared" si="850"/>
        <v>0</v>
      </c>
      <c r="DF277" s="683">
        <f t="shared" si="850"/>
        <v>0</v>
      </c>
      <c r="DG277" s="683">
        <f t="shared" si="850"/>
        <v>0</v>
      </c>
      <c r="DH277" s="683">
        <f t="shared" si="23"/>
        <v>0</v>
      </c>
      <c r="DI277" s="683">
        <f t="shared" ref="DI277:DR277" si="851">BY277*$CL277</f>
        <v>38227.104</v>
      </c>
      <c r="DJ277" s="683">
        <f t="shared" si="851"/>
        <v>0</v>
      </c>
      <c r="DK277" s="683">
        <f t="shared" si="851"/>
        <v>19113.552</v>
      </c>
      <c r="DL277" s="683">
        <f t="shared" si="851"/>
        <v>22936.2624</v>
      </c>
      <c r="DM277" s="683">
        <f t="shared" si="851"/>
        <v>0</v>
      </c>
      <c r="DN277" s="683">
        <f t="shared" si="851"/>
        <v>0</v>
      </c>
      <c r="DO277" s="683">
        <f t="shared" si="851"/>
        <v>0</v>
      </c>
      <c r="DP277" s="683">
        <f t="shared" si="851"/>
        <v>0</v>
      </c>
      <c r="DQ277" s="683">
        <f t="shared" si="851"/>
        <v>0</v>
      </c>
      <c r="DR277" s="683">
        <f t="shared" si="851"/>
        <v>0</v>
      </c>
      <c r="DS277" s="683">
        <f t="shared" si="25"/>
        <v>80276.9184</v>
      </c>
      <c r="DT277" s="683">
        <f t="shared" si="685"/>
        <v>173933.3232</v>
      </c>
      <c r="DU277" s="504"/>
      <c r="DV277" s="486"/>
      <c r="DW277" s="688"/>
      <c r="DX277" s="688"/>
      <c r="DY277" s="688"/>
      <c r="DZ277" s="688"/>
      <c r="EA277" s="688"/>
      <c r="EB277" s="688"/>
      <c r="EC277" s="688"/>
      <c r="ED277" s="688"/>
      <c r="EE277" s="688"/>
      <c r="EF277" s="688"/>
      <c r="EG277" s="688"/>
      <c r="EH277" s="707" t="s">
        <v>3466</v>
      </c>
      <c r="EI277" s="708">
        <f>VLOOKUP(I277,CotizacionTDB,4,FALSE())</f>
        <v>274.62</v>
      </c>
      <c r="EJ277" s="708">
        <f>VLOOKUP(I277,CotizacionTDB,5,FALSE())</f>
        <v>233.43</v>
      </c>
      <c r="EK277" s="691"/>
    </row>
    <row r="278" ht="12.0" customHeight="1">
      <c r="A278" s="709" t="s">
        <v>3026</v>
      </c>
      <c r="B278" s="661">
        <v>2.0</v>
      </c>
      <c r="C278" s="567" t="s">
        <v>3027</v>
      </c>
      <c r="D278" s="568" t="s">
        <v>633</v>
      </c>
      <c r="E278" s="568" t="s">
        <v>2708</v>
      </c>
      <c r="F278" s="567" t="s">
        <v>1763</v>
      </c>
      <c r="G278" s="569" t="s">
        <v>2709</v>
      </c>
      <c r="H278" s="569" t="s">
        <v>3467</v>
      </c>
      <c r="I278" s="721" t="s">
        <v>2055</v>
      </c>
      <c r="J278" s="711" t="s">
        <v>292</v>
      </c>
      <c r="K278" s="567" t="s">
        <v>25</v>
      </c>
      <c r="L278" s="567">
        <v>2024.0</v>
      </c>
      <c r="M278" s="567">
        <v>2024.0</v>
      </c>
      <c r="N278" s="567">
        <v>2024.0</v>
      </c>
      <c r="O278" s="567">
        <v>2024.0</v>
      </c>
      <c r="P278" s="567">
        <v>2024.0</v>
      </c>
      <c r="Q278" s="567">
        <v>2024.0</v>
      </c>
      <c r="R278" s="567"/>
      <c r="S278" s="567"/>
      <c r="T278" s="567"/>
      <c r="U278" s="567"/>
      <c r="V278" s="567"/>
      <c r="W278" s="567">
        <v>3.0</v>
      </c>
      <c r="X278" s="567">
        <v>3.0</v>
      </c>
      <c r="Y278" s="567">
        <v>3.0</v>
      </c>
      <c r="Z278" s="567">
        <v>3.0</v>
      </c>
      <c r="AA278" s="567">
        <v>2.0</v>
      </c>
      <c r="AB278" s="567">
        <v>2.0</v>
      </c>
      <c r="AC278" s="567"/>
      <c r="AD278" s="567"/>
      <c r="AE278" s="567"/>
      <c r="AF278" s="567"/>
      <c r="AG278" s="567"/>
      <c r="AH278" s="567"/>
      <c r="AI278" s="567"/>
      <c r="AJ278" s="567"/>
      <c r="AK278" s="567"/>
      <c r="AL278" s="567"/>
      <c r="AM278" s="567"/>
      <c r="AN278" s="567"/>
      <c r="AO278" s="567"/>
      <c r="AP278" s="567"/>
      <c r="AQ278" s="567"/>
      <c r="AR278" s="567">
        <v>-2024.0</v>
      </c>
      <c r="AS278" s="567">
        <v>-2024.0</v>
      </c>
      <c r="AT278" s="567">
        <v>-2024.0</v>
      </c>
      <c r="AU278" s="567">
        <v>-2024.0</v>
      </c>
      <c r="AV278" s="567">
        <v>-2024.0</v>
      </c>
      <c r="AW278" s="567">
        <v>-2024.0</v>
      </c>
      <c r="AX278" s="567">
        <v>0.0</v>
      </c>
      <c r="AY278" s="567">
        <v>0.0</v>
      </c>
      <c r="AZ278" s="567">
        <v>0.0</v>
      </c>
      <c r="BA278" s="567">
        <v>0.0</v>
      </c>
      <c r="BB278" s="567"/>
      <c r="BC278" s="567"/>
      <c r="BD278" s="567">
        <v>10.0</v>
      </c>
      <c r="BE278" s="567">
        <v>50.0</v>
      </c>
      <c r="BF278" s="661">
        <v>111.0</v>
      </c>
      <c r="BG278" s="567"/>
      <c r="BH278" s="567"/>
      <c r="BI278" s="567"/>
      <c r="BJ278" s="567"/>
      <c r="BK278" s="567"/>
      <c r="BL278" s="725"/>
      <c r="BM278" s="665">
        <f t="shared" si="1"/>
        <v>171</v>
      </c>
      <c r="BN278" s="668"/>
      <c r="BO278" s="668"/>
      <c r="BP278" s="668"/>
      <c r="BQ278" s="674">
        <v>111.0</v>
      </c>
      <c r="BR278" s="674">
        <v>50.0</v>
      </c>
      <c r="BS278" s="674">
        <v>50.0</v>
      </c>
      <c r="BT278" s="668"/>
      <c r="BU278" s="668"/>
      <c r="BV278" s="668"/>
      <c r="BW278" s="670"/>
      <c r="BX278" s="665">
        <f t="shared" si="840"/>
        <v>211</v>
      </c>
      <c r="BY278" s="728">
        <v>80.0</v>
      </c>
      <c r="BZ278" s="668">
        <v>0.0</v>
      </c>
      <c r="CA278" s="668">
        <v>0.0</v>
      </c>
      <c r="CB278" s="668">
        <v>0.0</v>
      </c>
      <c r="CC278" s="668">
        <v>50.0</v>
      </c>
      <c r="CD278" s="668">
        <v>50.0</v>
      </c>
      <c r="CE278" s="668">
        <v>0.0</v>
      </c>
      <c r="CF278" s="668">
        <v>0.0</v>
      </c>
      <c r="CG278" s="668">
        <v>0.0</v>
      </c>
      <c r="CH278" s="670">
        <v>0.0</v>
      </c>
      <c r="CI278" s="665">
        <f t="shared" si="841"/>
        <v>180</v>
      </c>
      <c r="CJ278" s="671">
        <f t="shared" si="4"/>
        <v>562</v>
      </c>
      <c r="CK278" s="715">
        <v>41.53</v>
      </c>
      <c r="CL278" s="668">
        <f t="shared" si="845"/>
        <v>289.0488</v>
      </c>
      <c r="CM278" s="668">
        <f t="shared" ref="CM278:CV278" si="852">BC278*$CL278</f>
        <v>0</v>
      </c>
      <c r="CN278" s="668">
        <f t="shared" si="852"/>
        <v>2890.488</v>
      </c>
      <c r="CO278" s="668">
        <f t="shared" si="852"/>
        <v>14452.44</v>
      </c>
      <c r="CP278" s="668">
        <f t="shared" si="852"/>
        <v>32084.4168</v>
      </c>
      <c r="CQ278" s="668">
        <f t="shared" si="852"/>
        <v>0</v>
      </c>
      <c r="CR278" s="668">
        <f t="shared" si="852"/>
        <v>0</v>
      </c>
      <c r="CS278" s="668">
        <f t="shared" si="852"/>
        <v>0</v>
      </c>
      <c r="CT278" s="668">
        <f t="shared" si="852"/>
        <v>0</v>
      </c>
      <c r="CU278" s="668">
        <f t="shared" si="852"/>
        <v>0</v>
      </c>
      <c r="CV278" s="668">
        <f t="shared" si="852"/>
        <v>0</v>
      </c>
      <c r="CW278" s="668">
        <f t="shared" si="21"/>
        <v>49427.3448</v>
      </c>
      <c r="CX278" s="668">
        <f t="shared" ref="CX278:DG278" si="853">BN278*$CL278</f>
        <v>0</v>
      </c>
      <c r="CY278" s="668">
        <f t="shared" si="853"/>
        <v>0</v>
      </c>
      <c r="CZ278" s="668">
        <f t="shared" si="853"/>
        <v>0</v>
      </c>
      <c r="DA278" s="668">
        <f t="shared" si="853"/>
        <v>32084.4168</v>
      </c>
      <c r="DB278" s="668">
        <f t="shared" si="853"/>
        <v>14452.44</v>
      </c>
      <c r="DC278" s="668">
        <f t="shared" si="853"/>
        <v>14452.44</v>
      </c>
      <c r="DD278" s="668">
        <f t="shared" si="853"/>
        <v>0</v>
      </c>
      <c r="DE278" s="668">
        <f t="shared" si="853"/>
        <v>0</v>
      </c>
      <c r="DF278" s="668">
        <f t="shared" si="853"/>
        <v>0</v>
      </c>
      <c r="DG278" s="668">
        <f t="shared" si="853"/>
        <v>0</v>
      </c>
      <c r="DH278" s="668">
        <f t="shared" si="23"/>
        <v>60989.2968</v>
      </c>
      <c r="DI278" s="668">
        <f t="shared" ref="DI278:DR278" si="854">BY278*$CL278</f>
        <v>23123.904</v>
      </c>
      <c r="DJ278" s="668">
        <f t="shared" si="854"/>
        <v>0</v>
      </c>
      <c r="DK278" s="668">
        <f t="shared" si="854"/>
        <v>0</v>
      </c>
      <c r="DL278" s="668">
        <f t="shared" si="854"/>
        <v>0</v>
      </c>
      <c r="DM278" s="668">
        <f t="shared" si="854"/>
        <v>14452.44</v>
      </c>
      <c r="DN278" s="668">
        <f t="shared" si="854"/>
        <v>14452.44</v>
      </c>
      <c r="DO278" s="668">
        <f t="shared" si="854"/>
        <v>0</v>
      </c>
      <c r="DP278" s="668">
        <f t="shared" si="854"/>
        <v>0</v>
      </c>
      <c r="DQ278" s="668">
        <f t="shared" si="854"/>
        <v>0</v>
      </c>
      <c r="DR278" s="668">
        <f t="shared" si="854"/>
        <v>0</v>
      </c>
      <c r="DS278" s="668">
        <f t="shared" si="25"/>
        <v>52028.784</v>
      </c>
      <c r="DT278" s="668">
        <f t="shared" si="685"/>
        <v>162445.4256</v>
      </c>
      <c r="DU278" s="538"/>
      <c r="DV278" s="468"/>
      <c r="DW278" s="698"/>
      <c r="DX278" s="698"/>
      <c r="DY278" s="698"/>
      <c r="DZ278" s="698"/>
      <c r="EA278" s="698"/>
      <c r="EB278" s="698"/>
      <c r="EC278" s="698"/>
      <c r="ED278" s="698"/>
      <c r="EE278" s="698"/>
      <c r="EF278" s="698"/>
      <c r="EG278" s="698"/>
      <c r="EH278" s="576" t="s">
        <v>3468</v>
      </c>
      <c r="EI278" s="716">
        <f>VLOOKUP(I278,CotizacionTDB,4,FALSE())</f>
        <v>41.53</v>
      </c>
      <c r="EJ278" s="716">
        <f>VLOOKUP(I278,CotizacionTDB,5,FALSE())</f>
        <v>35.3</v>
      </c>
      <c r="EK278" s="699"/>
    </row>
    <row r="279" ht="12.0" customHeight="1">
      <c r="A279" s="700" t="s">
        <v>3026</v>
      </c>
      <c r="B279" s="701">
        <v>2.0</v>
      </c>
      <c r="C279" s="562" t="s">
        <v>3027</v>
      </c>
      <c r="D279" s="571" t="s">
        <v>633</v>
      </c>
      <c r="E279" s="571" t="s">
        <v>2708</v>
      </c>
      <c r="F279" s="562" t="s">
        <v>1763</v>
      </c>
      <c r="G279" s="702" t="s">
        <v>2709</v>
      </c>
      <c r="H279" s="569" t="s">
        <v>2863</v>
      </c>
      <c r="I279" s="703" t="s">
        <v>1952</v>
      </c>
      <c r="J279" s="704" t="s">
        <v>99</v>
      </c>
      <c r="K279" s="562" t="s">
        <v>25</v>
      </c>
      <c r="L279" s="562">
        <v>2024.0</v>
      </c>
      <c r="M279" s="562">
        <v>2024.0</v>
      </c>
      <c r="N279" s="562">
        <v>2024.0</v>
      </c>
      <c r="O279" s="562"/>
      <c r="P279" s="562"/>
      <c r="Q279" s="562"/>
      <c r="R279" s="562"/>
      <c r="S279" s="562"/>
      <c r="T279" s="562"/>
      <c r="U279" s="562"/>
      <c r="V279" s="562"/>
      <c r="W279" s="562">
        <v>2.0</v>
      </c>
      <c r="X279" s="562">
        <v>3.0</v>
      </c>
      <c r="Y279" s="562">
        <v>2.0</v>
      </c>
      <c r="Z279" s="562"/>
      <c r="AA279" s="562"/>
      <c r="AB279" s="562"/>
      <c r="AC279" s="562"/>
      <c r="AD279" s="562"/>
      <c r="AE279" s="562"/>
      <c r="AF279" s="562"/>
      <c r="AG279" s="562"/>
      <c r="AH279" s="562"/>
      <c r="AI279" s="562"/>
      <c r="AJ279" s="562"/>
      <c r="AK279" s="562"/>
      <c r="AL279" s="562"/>
      <c r="AM279" s="562"/>
      <c r="AN279" s="562"/>
      <c r="AO279" s="562"/>
      <c r="AP279" s="562"/>
      <c r="AQ279" s="562"/>
      <c r="AR279" s="562">
        <v>-2024.0</v>
      </c>
      <c r="AS279" s="562">
        <v>-2024.0</v>
      </c>
      <c r="AT279" s="562">
        <v>-2024.0</v>
      </c>
      <c r="AU279" s="562">
        <v>0.0</v>
      </c>
      <c r="AV279" s="562">
        <v>0.0</v>
      </c>
      <c r="AW279" s="562">
        <v>0.0</v>
      </c>
      <c r="AX279" s="562">
        <v>0.0</v>
      </c>
      <c r="AY279" s="562">
        <v>0.0</v>
      </c>
      <c r="AZ279" s="562">
        <v>0.0</v>
      </c>
      <c r="BA279" s="562">
        <v>0.0</v>
      </c>
      <c r="BB279" s="562"/>
      <c r="BC279" s="562"/>
      <c r="BD279" s="562">
        <v>42.0</v>
      </c>
      <c r="BE279" s="562">
        <v>84.0</v>
      </c>
      <c r="BF279" s="562"/>
      <c r="BG279" s="562"/>
      <c r="BH279" s="562"/>
      <c r="BI279" s="562"/>
      <c r="BJ279" s="562"/>
      <c r="BK279" s="562"/>
      <c r="BL279" s="681"/>
      <c r="BM279" s="665">
        <f t="shared" si="1"/>
        <v>126</v>
      </c>
      <c r="BN279" s="682"/>
      <c r="BO279" s="683"/>
      <c r="BP279" s="683"/>
      <c r="BQ279" s="687">
        <v>186.0</v>
      </c>
      <c r="BR279" s="687">
        <v>292.0</v>
      </c>
      <c r="BS279" s="687">
        <v>372.0</v>
      </c>
      <c r="BT279" s="683"/>
      <c r="BU279" s="683"/>
      <c r="BV279" s="683"/>
      <c r="BW279" s="686"/>
      <c r="BX279" s="665">
        <f t="shared" si="840"/>
        <v>850</v>
      </c>
      <c r="BY279" s="728">
        <v>172.0</v>
      </c>
      <c r="BZ279" s="683">
        <v>0.0</v>
      </c>
      <c r="CA279" s="683">
        <v>84.0</v>
      </c>
      <c r="CB279" s="683">
        <v>0.0</v>
      </c>
      <c r="CC279" s="683">
        <v>0.0</v>
      </c>
      <c r="CD279" s="683">
        <v>0.0</v>
      </c>
      <c r="CE279" s="683">
        <v>0.0</v>
      </c>
      <c r="CF279" s="683">
        <v>0.0</v>
      </c>
      <c r="CG279" s="683">
        <v>0.0</v>
      </c>
      <c r="CH279" s="724">
        <v>120.0</v>
      </c>
      <c r="CI279" s="665">
        <f t="shared" si="841"/>
        <v>376</v>
      </c>
      <c r="CJ279" s="682">
        <f t="shared" si="4"/>
        <v>1352</v>
      </c>
      <c r="CK279" s="706">
        <v>55.84</v>
      </c>
      <c r="CL279" s="683">
        <f t="shared" si="845"/>
        <v>388.6464</v>
      </c>
      <c r="CM279" s="683">
        <f t="shared" ref="CM279:CV279" si="855">BC279*$CL279</f>
        <v>0</v>
      </c>
      <c r="CN279" s="683">
        <f t="shared" si="855"/>
        <v>16323.1488</v>
      </c>
      <c r="CO279" s="683">
        <f t="shared" si="855"/>
        <v>32646.2976</v>
      </c>
      <c r="CP279" s="683">
        <f t="shared" si="855"/>
        <v>0</v>
      </c>
      <c r="CQ279" s="683">
        <f t="shared" si="855"/>
        <v>0</v>
      </c>
      <c r="CR279" s="683">
        <f t="shared" si="855"/>
        <v>0</v>
      </c>
      <c r="CS279" s="683">
        <f t="shared" si="855"/>
        <v>0</v>
      </c>
      <c r="CT279" s="683">
        <f t="shared" si="855"/>
        <v>0</v>
      </c>
      <c r="CU279" s="683">
        <f t="shared" si="855"/>
        <v>0</v>
      </c>
      <c r="CV279" s="683">
        <f t="shared" si="855"/>
        <v>0</v>
      </c>
      <c r="CW279" s="683">
        <f t="shared" si="21"/>
        <v>48969.4464</v>
      </c>
      <c r="CX279" s="683">
        <f t="shared" ref="CX279:DG279" si="856">BN279*$CL279</f>
        <v>0</v>
      </c>
      <c r="CY279" s="683">
        <f t="shared" si="856"/>
        <v>0</v>
      </c>
      <c r="CZ279" s="683">
        <f t="shared" si="856"/>
        <v>0</v>
      </c>
      <c r="DA279" s="683">
        <f t="shared" si="856"/>
        <v>72288.2304</v>
      </c>
      <c r="DB279" s="683">
        <f t="shared" si="856"/>
        <v>113484.7488</v>
      </c>
      <c r="DC279" s="683">
        <f t="shared" si="856"/>
        <v>144576.4608</v>
      </c>
      <c r="DD279" s="683">
        <f t="shared" si="856"/>
        <v>0</v>
      </c>
      <c r="DE279" s="683">
        <f t="shared" si="856"/>
        <v>0</v>
      </c>
      <c r="DF279" s="683">
        <f t="shared" si="856"/>
        <v>0</v>
      </c>
      <c r="DG279" s="683">
        <f t="shared" si="856"/>
        <v>0</v>
      </c>
      <c r="DH279" s="683">
        <f t="shared" si="23"/>
        <v>330349.44</v>
      </c>
      <c r="DI279" s="683">
        <f t="shared" ref="DI279:DR279" si="857">BY279*$CL279</f>
        <v>66847.1808</v>
      </c>
      <c r="DJ279" s="683">
        <f t="shared" si="857"/>
        <v>0</v>
      </c>
      <c r="DK279" s="683">
        <f t="shared" si="857"/>
        <v>32646.2976</v>
      </c>
      <c r="DL279" s="683">
        <f t="shared" si="857"/>
        <v>0</v>
      </c>
      <c r="DM279" s="683">
        <f t="shared" si="857"/>
        <v>0</v>
      </c>
      <c r="DN279" s="683">
        <f t="shared" si="857"/>
        <v>0</v>
      </c>
      <c r="DO279" s="683">
        <f t="shared" si="857"/>
        <v>0</v>
      </c>
      <c r="DP279" s="683">
        <f t="shared" si="857"/>
        <v>0</v>
      </c>
      <c r="DQ279" s="683">
        <f t="shared" si="857"/>
        <v>0</v>
      </c>
      <c r="DR279" s="683">
        <f t="shared" si="857"/>
        <v>46637.568</v>
      </c>
      <c r="DS279" s="683">
        <f t="shared" si="25"/>
        <v>146131.0464</v>
      </c>
      <c r="DT279" s="683">
        <f t="shared" si="685"/>
        <v>525449.9328</v>
      </c>
      <c r="DU279" s="504"/>
      <c r="DV279" s="486"/>
      <c r="DW279" s="688"/>
      <c r="DX279" s="688"/>
      <c r="DY279" s="688"/>
      <c r="DZ279" s="688"/>
      <c r="EA279" s="688"/>
      <c r="EB279" s="688"/>
      <c r="EC279" s="688"/>
      <c r="ED279" s="688"/>
      <c r="EE279" s="688"/>
      <c r="EF279" s="688"/>
      <c r="EG279" s="688"/>
      <c r="EH279" s="707" t="s">
        <v>99</v>
      </c>
      <c r="EI279" s="708">
        <f>VLOOKUP(I279,CotizacionTDB,4,FALSE())</f>
        <v>55.84</v>
      </c>
      <c r="EJ279" s="708">
        <f>VLOOKUP(I279,CotizacionTDB,5,FALSE())</f>
        <v>47.46</v>
      </c>
      <c r="EK279" s="691"/>
    </row>
    <row r="280" ht="12.0" customHeight="1">
      <c r="A280" s="709" t="s">
        <v>3026</v>
      </c>
      <c r="B280" s="661">
        <v>2.0</v>
      </c>
      <c r="C280" s="567" t="s">
        <v>3027</v>
      </c>
      <c r="D280" s="568" t="s">
        <v>633</v>
      </c>
      <c r="E280" s="568" t="s">
        <v>2708</v>
      </c>
      <c r="F280" s="567" t="s">
        <v>1763</v>
      </c>
      <c r="G280" s="569" t="s">
        <v>2709</v>
      </c>
      <c r="H280" s="569" t="s">
        <v>2858</v>
      </c>
      <c r="I280" s="721" t="s">
        <v>2000</v>
      </c>
      <c r="J280" s="711" t="s">
        <v>571</v>
      </c>
      <c r="K280" s="567" t="s">
        <v>25</v>
      </c>
      <c r="L280" s="567">
        <v>2024.0</v>
      </c>
      <c r="M280" s="567">
        <v>2024.0</v>
      </c>
      <c r="N280" s="567">
        <v>2024.0</v>
      </c>
      <c r="O280" s="567">
        <v>2024.0</v>
      </c>
      <c r="P280" s="567">
        <v>2024.0</v>
      </c>
      <c r="Q280" s="567">
        <v>2024.0</v>
      </c>
      <c r="R280" s="567"/>
      <c r="S280" s="567"/>
      <c r="T280" s="567"/>
      <c r="U280" s="567"/>
      <c r="V280" s="567"/>
      <c r="W280" s="567">
        <v>3.0</v>
      </c>
      <c r="X280" s="567">
        <v>3.0</v>
      </c>
      <c r="Y280" s="567">
        <v>2.0</v>
      </c>
      <c r="Z280" s="567">
        <v>3.0</v>
      </c>
      <c r="AA280" s="567">
        <v>3.0</v>
      </c>
      <c r="AB280" s="567">
        <v>3.0</v>
      </c>
      <c r="AC280" s="567"/>
      <c r="AD280" s="567"/>
      <c r="AE280" s="567"/>
      <c r="AF280" s="567"/>
      <c r="AG280" s="567"/>
      <c r="AH280" s="567"/>
      <c r="AI280" s="567"/>
      <c r="AJ280" s="567"/>
      <c r="AK280" s="567"/>
      <c r="AL280" s="567"/>
      <c r="AM280" s="567"/>
      <c r="AN280" s="567"/>
      <c r="AO280" s="567"/>
      <c r="AP280" s="567"/>
      <c r="AQ280" s="567"/>
      <c r="AR280" s="567">
        <v>-2024.0</v>
      </c>
      <c r="AS280" s="567">
        <v>-2024.0</v>
      </c>
      <c r="AT280" s="567">
        <v>-2024.0</v>
      </c>
      <c r="AU280" s="567">
        <v>-2024.0</v>
      </c>
      <c r="AV280" s="567">
        <v>-2024.0</v>
      </c>
      <c r="AW280" s="567">
        <v>-2024.0</v>
      </c>
      <c r="AX280" s="567">
        <v>0.0</v>
      </c>
      <c r="AY280" s="567">
        <v>0.0</v>
      </c>
      <c r="AZ280" s="567">
        <v>0.0</v>
      </c>
      <c r="BA280" s="567">
        <v>0.0</v>
      </c>
      <c r="BB280" s="567"/>
      <c r="BC280" s="906">
        <v>10.0</v>
      </c>
      <c r="BD280" s="567">
        <v>5.0</v>
      </c>
      <c r="BE280" s="567">
        <v>9.0</v>
      </c>
      <c r="BF280" s="567">
        <v>10.0</v>
      </c>
      <c r="BG280" s="567">
        <v>18.0</v>
      </c>
      <c r="BH280" s="567">
        <v>18.0</v>
      </c>
      <c r="BI280" s="567"/>
      <c r="BJ280" s="567"/>
      <c r="BK280" s="567"/>
      <c r="BL280" s="725"/>
      <c r="BM280" s="665">
        <f t="shared" si="1"/>
        <v>70</v>
      </c>
      <c r="BN280" s="671"/>
      <c r="BO280" s="668"/>
      <c r="BP280" s="668"/>
      <c r="BQ280" s="668"/>
      <c r="BR280" s="668"/>
      <c r="BS280" s="668"/>
      <c r="BT280" s="668"/>
      <c r="BU280" s="668"/>
      <c r="BV280" s="668"/>
      <c r="BW280" s="670"/>
      <c r="BX280" s="665">
        <f t="shared" si="840"/>
        <v>0</v>
      </c>
      <c r="BY280" s="671">
        <v>0.0</v>
      </c>
      <c r="BZ280" s="668">
        <v>0.0</v>
      </c>
      <c r="CA280" s="668">
        <v>9.0</v>
      </c>
      <c r="CB280" s="668">
        <v>0.0</v>
      </c>
      <c r="CC280" s="668">
        <v>0.0</v>
      </c>
      <c r="CD280" s="668">
        <v>0.0</v>
      </c>
      <c r="CE280" s="668">
        <v>0.0</v>
      </c>
      <c r="CF280" s="668">
        <v>0.0</v>
      </c>
      <c r="CG280" s="668">
        <v>0.0</v>
      </c>
      <c r="CH280" s="670">
        <v>0.0</v>
      </c>
      <c r="CI280" s="665">
        <f t="shared" si="841"/>
        <v>9</v>
      </c>
      <c r="CJ280" s="671">
        <f t="shared" si="4"/>
        <v>79</v>
      </c>
      <c r="CK280" s="715">
        <v>92.68</v>
      </c>
      <c r="CL280" s="668">
        <f t="shared" si="845"/>
        <v>645.0528</v>
      </c>
      <c r="CM280" s="668">
        <f t="shared" ref="CM280:CV280" si="858">BC280*$CL280</f>
        <v>6450.528</v>
      </c>
      <c r="CN280" s="668">
        <f t="shared" si="858"/>
        <v>3225.264</v>
      </c>
      <c r="CO280" s="668">
        <f t="shared" si="858"/>
        <v>5805.4752</v>
      </c>
      <c r="CP280" s="668">
        <f t="shared" si="858"/>
        <v>6450.528</v>
      </c>
      <c r="CQ280" s="668">
        <f t="shared" si="858"/>
        <v>11610.9504</v>
      </c>
      <c r="CR280" s="668">
        <f t="shared" si="858"/>
        <v>11610.9504</v>
      </c>
      <c r="CS280" s="668">
        <f t="shared" si="858"/>
        <v>0</v>
      </c>
      <c r="CT280" s="668">
        <f t="shared" si="858"/>
        <v>0</v>
      </c>
      <c r="CU280" s="668">
        <f t="shared" si="858"/>
        <v>0</v>
      </c>
      <c r="CV280" s="668">
        <f t="shared" si="858"/>
        <v>0</v>
      </c>
      <c r="CW280" s="668">
        <f t="shared" si="21"/>
        <v>45153.696</v>
      </c>
      <c r="CX280" s="668">
        <f t="shared" ref="CX280:DG280" si="859">BN280*$CL280</f>
        <v>0</v>
      </c>
      <c r="CY280" s="668">
        <f t="shared" si="859"/>
        <v>0</v>
      </c>
      <c r="CZ280" s="668">
        <f t="shared" si="859"/>
        <v>0</v>
      </c>
      <c r="DA280" s="668">
        <f t="shared" si="859"/>
        <v>0</v>
      </c>
      <c r="DB280" s="668">
        <f t="shared" si="859"/>
        <v>0</v>
      </c>
      <c r="DC280" s="668">
        <f t="shared" si="859"/>
        <v>0</v>
      </c>
      <c r="DD280" s="668">
        <f t="shared" si="859"/>
        <v>0</v>
      </c>
      <c r="DE280" s="668">
        <f t="shared" si="859"/>
        <v>0</v>
      </c>
      <c r="DF280" s="668">
        <f t="shared" si="859"/>
        <v>0</v>
      </c>
      <c r="DG280" s="668">
        <f t="shared" si="859"/>
        <v>0</v>
      </c>
      <c r="DH280" s="668">
        <f t="shared" si="23"/>
        <v>0</v>
      </c>
      <c r="DI280" s="668">
        <f t="shared" ref="DI280:DR280" si="860">BY280*$CL280</f>
        <v>0</v>
      </c>
      <c r="DJ280" s="668">
        <f t="shared" si="860"/>
        <v>0</v>
      </c>
      <c r="DK280" s="668">
        <f t="shared" si="860"/>
        <v>5805.4752</v>
      </c>
      <c r="DL280" s="668">
        <f t="shared" si="860"/>
        <v>0</v>
      </c>
      <c r="DM280" s="668">
        <f t="shared" si="860"/>
        <v>0</v>
      </c>
      <c r="DN280" s="668">
        <f t="shared" si="860"/>
        <v>0</v>
      </c>
      <c r="DO280" s="668">
        <f t="shared" si="860"/>
        <v>0</v>
      </c>
      <c r="DP280" s="668">
        <f t="shared" si="860"/>
        <v>0</v>
      </c>
      <c r="DQ280" s="668">
        <f t="shared" si="860"/>
        <v>0</v>
      </c>
      <c r="DR280" s="668">
        <f t="shared" si="860"/>
        <v>0</v>
      </c>
      <c r="DS280" s="668">
        <f t="shared" si="25"/>
        <v>5805.4752</v>
      </c>
      <c r="DT280" s="668">
        <f t="shared" si="685"/>
        <v>50959.1712</v>
      </c>
      <c r="DU280" s="538"/>
      <c r="DV280" s="468"/>
      <c r="DW280" s="698"/>
      <c r="DX280" s="698"/>
      <c r="DY280" s="698"/>
      <c r="DZ280" s="698"/>
      <c r="EA280" s="698"/>
      <c r="EB280" s="698"/>
      <c r="EC280" s="698"/>
      <c r="ED280" s="698"/>
      <c r="EE280" s="698"/>
      <c r="EF280" s="698"/>
      <c r="EG280" s="698"/>
      <c r="EH280" s="576" t="s">
        <v>571</v>
      </c>
      <c r="EI280" s="716">
        <f>VLOOKUP(I280,CotizacionTDB,4,FALSE())</f>
        <v>92.68</v>
      </c>
      <c r="EJ280" s="716">
        <f>VLOOKUP(I280,CotizacionTDB,5,FALSE())</f>
        <v>78.78</v>
      </c>
      <c r="EK280" s="699"/>
    </row>
    <row r="281" ht="12.0" customHeight="1">
      <c r="A281" s="700" t="s">
        <v>3026</v>
      </c>
      <c r="B281" s="701">
        <v>2.0</v>
      </c>
      <c r="C281" s="562" t="s">
        <v>3027</v>
      </c>
      <c r="D281" s="571" t="s">
        <v>633</v>
      </c>
      <c r="E281" s="571" t="s">
        <v>2708</v>
      </c>
      <c r="F281" s="562" t="s">
        <v>1763</v>
      </c>
      <c r="G281" s="702" t="s">
        <v>2709</v>
      </c>
      <c r="H281" s="569" t="s">
        <v>3469</v>
      </c>
      <c r="I281" s="703" t="s">
        <v>1902</v>
      </c>
      <c r="J281" s="704" t="s">
        <v>615</v>
      </c>
      <c r="K281" s="562" t="s">
        <v>25</v>
      </c>
      <c r="L281" s="562">
        <v>2024.0</v>
      </c>
      <c r="M281" s="562">
        <v>2024.0</v>
      </c>
      <c r="N281" s="562">
        <v>2024.0</v>
      </c>
      <c r="O281" s="562"/>
      <c r="P281" s="562"/>
      <c r="Q281" s="562"/>
      <c r="R281" s="562"/>
      <c r="S281" s="562"/>
      <c r="T281" s="562"/>
      <c r="U281" s="562">
        <v>2024.0</v>
      </c>
      <c r="V281" s="562"/>
      <c r="W281" s="562">
        <v>3.0</v>
      </c>
      <c r="X281" s="562">
        <v>3.0</v>
      </c>
      <c r="Y281" s="562">
        <v>3.0</v>
      </c>
      <c r="Z281" s="562"/>
      <c r="AA281" s="562"/>
      <c r="AB281" s="562"/>
      <c r="AC281" s="562"/>
      <c r="AD281" s="562"/>
      <c r="AE281" s="562"/>
      <c r="AF281" s="562">
        <v>7.0</v>
      </c>
      <c r="AG281" s="562"/>
      <c r="AH281" s="562"/>
      <c r="AI281" s="562"/>
      <c r="AJ281" s="562"/>
      <c r="AK281" s="562"/>
      <c r="AL281" s="562"/>
      <c r="AM281" s="562"/>
      <c r="AN281" s="562"/>
      <c r="AO281" s="562"/>
      <c r="AP281" s="562"/>
      <c r="AQ281" s="562"/>
      <c r="AR281" s="562">
        <v>-2024.0</v>
      </c>
      <c r="AS281" s="562">
        <v>-2024.0</v>
      </c>
      <c r="AT281" s="562">
        <v>-2024.0</v>
      </c>
      <c r="AU281" s="562">
        <v>0.0</v>
      </c>
      <c r="AV281" s="562">
        <v>0.0</v>
      </c>
      <c r="AW281" s="562">
        <v>0.0</v>
      </c>
      <c r="AX281" s="562">
        <v>0.0</v>
      </c>
      <c r="AY281" s="562">
        <v>0.0</v>
      </c>
      <c r="AZ281" s="562">
        <v>0.0</v>
      </c>
      <c r="BA281" s="562">
        <v>-2024.0</v>
      </c>
      <c r="BB281" s="562"/>
      <c r="BC281" s="562"/>
      <c r="BD281" s="562"/>
      <c r="BE281" s="562">
        <v>50.0</v>
      </c>
      <c r="BF281" s="562"/>
      <c r="BG281" s="562"/>
      <c r="BH281" s="562"/>
      <c r="BI281" s="562"/>
      <c r="BJ281" s="562"/>
      <c r="BK281" s="562"/>
      <c r="BL281" s="907">
        <v>60.0</v>
      </c>
      <c r="BM281" s="665">
        <f t="shared" si="1"/>
        <v>110</v>
      </c>
      <c r="BN281" s="778">
        <v>50.0</v>
      </c>
      <c r="BO281" s="908">
        <v>30.0</v>
      </c>
      <c r="BP281" s="683"/>
      <c r="BQ281" s="683"/>
      <c r="BR281" s="683"/>
      <c r="BS281" s="683"/>
      <c r="BT281" s="683"/>
      <c r="BU281" s="683"/>
      <c r="BV281" s="683"/>
      <c r="BW281" s="811">
        <v>60.0</v>
      </c>
      <c r="BX281" s="665">
        <f t="shared" si="840"/>
        <v>140</v>
      </c>
      <c r="BY281" s="682">
        <v>0.0</v>
      </c>
      <c r="BZ281" s="683">
        <v>0.0</v>
      </c>
      <c r="CA281" s="683">
        <v>0.0</v>
      </c>
      <c r="CB281" s="683">
        <v>0.0</v>
      </c>
      <c r="CC281" s="683">
        <v>0.0</v>
      </c>
      <c r="CD281" s="683">
        <v>0.0</v>
      </c>
      <c r="CE281" s="683">
        <v>0.0</v>
      </c>
      <c r="CF281" s="683">
        <v>0.0</v>
      </c>
      <c r="CG281" s="683">
        <v>0.0</v>
      </c>
      <c r="CH281" s="686">
        <v>0.0</v>
      </c>
      <c r="CI281" s="665">
        <f t="shared" si="841"/>
        <v>0</v>
      </c>
      <c r="CJ281" s="682">
        <f t="shared" si="4"/>
        <v>250</v>
      </c>
      <c r="CK281" s="706">
        <v>19.07</v>
      </c>
      <c r="CL281" s="683">
        <f t="shared" si="845"/>
        <v>132.7272</v>
      </c>
      <c r="CM281" s="683">
        <f t="shared" ref="CM281:CV281" si="861">BC281*$CL281</f>
        <v>0</v>
      </c>
      <c r="CN281" s="683">
        <f t="shared" si="861"/>
        <v>0</v>
      </c>
      <c r="CO281" s="683">
        <f t="shared" si="861"/>
        <v>6636.36</v>
      </c>
      <c r="CP281" s="683">
        <f t="shared" si="861"/>
        <v>0</v>
      </c>
      <c r="CQ281" s="683">
        <f t="shared" si="861"/>
        <v>0</v>
      </c>
      <c r="CR281" s="683">
        <f t="shared" si="861"/>
        <v>0</v>
      </c>
      <c r="CS281" s="683">
        <f t="shared" si="861"/>
        <v>0</v>
      </c>
      <c r="CT281" s="683">
        <f t="shared" si="861"/>
        <v>0</v>
      </c>
      <c r="CU281" s="683">
        <f t="shared" si="861"/>
        <v>0</v>
      </c>
      <c r="CV281" s="683">
        <f t="shared" si="861"/>
        <v>7963.632</v>
      </c>
      <c r="CW281" s="683">
        <f t="shared" si="21"/>
        <v>14599.992</v>
      </c>
      <c r="CX281" s="683">
        <f t="shared" ref="CX281:DG281" si="862">BN281*$CL281</f>
        <v>6636.36</v>
      </c>
      <c r="CY281" s="683">
        <f t="shared" si="862"/>
        <v>3981.816</v>
      </c>
      <c r="CZ281" s="683">
        <f t="shared" si="862"/>
        <v>0</v>
      </c>
      <c r="DA281" s="683">
        <f t="shared" si="862"/>
        <v>0</v>
      </c>
      <c r="DB281" s="683">
        <f t="shared" si="862"/>
        <v>0</v>
      </c>
      <c r="DC281" s="683">
        <f t="shared" si="862"/>
        <v>0</v>
      </c>
      <c r="DD281" s="683">
        <f t="shared" si="862"/>
        <v>0</v>
      </c>
      <c r="DE281" s="683">
        <f t="shared" si="862"/>
        <v>0</v>
      </c>
      <c r="DF281" s="683">
        <f t="shared" si="862"/>
        <v>0</v>
      </c>
      <c r="DG281" s="683">
        <f t="shared" si="862"/>
        <v>7963.632</v>
      </c>
      <c r="DH281" s="683">
        <f t="shared" si="23"/>
        <v>18581.808</v>
      </c>
      <c r="DI281" s="683">
        <f t="shared" ref="DI281:DR281" si="863">BY281*$CL281</f>
        <v>0</v>
      </c>
      <c r="DJ281" s="683">
        <f t="shared" si="863"/>
        <v>0</v>
      </c>
      <c r="DK281" s="683">
        <f t="shared" si="863"/>
        <v>0</v>
      </c>
      <c r="DL281" s="683">
        <f t="shared" si="863"/>
        <v>0</v>
      </c>
      <c r="DM281" s="683">
        <f t="shared" si="863"/>
        <v>0</v>
      </c>
      <c r="DN281" s="683">
        <f t="shared" si="863"/>
        <v>0</v>
      </c>
      <c r="DO281" s="683">
        <f t="shared" si="863"/>
        <v>0</v>
      </c>
      <c r="DP281" s="683">
        <f t="shared" si="863"/>
        <v>0</v>
      </c>
      <c r="DQ281" s="683">
        <f t="shared" si="863"/>
        <v>0</v>
      </c>
      <c r="DR281" s="683">
        <f t="shared" si="863"/>
        <v>0</v>
      </c>
      <c r="DS281" s="683">
        <f t="shared" si="25"/>
        <v>0</v>
      </c>
      <c r="DT281" s="683">
        <f t="shared" si="685"/>
        <v>33181.8</v>
      </c>
      <c r="DU281" s="504"/>
      <c r="DV281" s="486"/>
      <c r="DW281" s="688"/>
      <c r="DX281" s="688"/>
      <c r="DY281" s="688"/>
      <c r="DZ281" s="688"/>
      <c r="EA281" s="688"/>
      <c r="EB281" s="688"/>
      <c r="EC281" s="688"/>
      <c r="ED281" s="688"/>
      <c r="EE281" s="688"/>
      <c r="EF281" s="688"/>
      <c r="EG281" s="688"/>
      <c r="EH281" s="707" t="s">
        <v>615</v>
      </c>
      <c r="EI281" s="708">
        <f>VLOOKUP(I281,CotizacionTDB,4,FALSE())</f>
        <v>19.07</v>
      </c>
      <c r="EJ281" s="708">
        <f>VLOOKUP(I281,CotizacionTDB,5,FALSE())</f>
        <v>16.21</v>
      </c>
      <c r="EK281" s="691"/>
    </row>
    <row r="282" ht="12.0" customHeight="1">
      <c r="A282" s="709" t="s">
        <v>3026</v>
      </c>
      <c r="B282" s="661">
        <v>2.0</v>
      </c>
      <c r="C282" s="567" t="s">
        <v>3027</v>
      </c>
      <c r="D282" s="568" t="s">
        <v>633</v>
      </c>
      <c r="E282" s="568" t="s">
        <v>2708</v>
      </c>
      <c r="F282" s="567" t="s">
        <v>1763</v>
      </c>
      <c r="G282" s="657" t="s">
        <v>2709</v>
      </c>
      <c r="H282" s="569" t="s">
        <v>3470</v>
      </c>
      <c r="I282" s="721" t="s">
        <v>2207</v>
      </c>
      <c r="J282" s="820" t="s">
        <v>463</v>
      </c>
      <c r="K282" s="567" t="s">
        <v>25</v>
      </c>
      <c r="L282" s="567">
        <v>2024.0</v>
      </c>
      <c r="M282" s="567">
        <v>2025.0</v>
      </c>
      <c r="N282" s="567">
        <v>2024.0</v>
      </c>
      <c r="O282" s="567"/>
      <c r="P282" s="567"/>
      <c r="Q282" s="567"/>
      <c r="R282" s="567"/>
      <c r="S282" s="567"/>
      <c r="T282" s="567"/>
      <c r="U282" s="567">
        <v>2024.0</v>
      </c>
      <c r="V282" s="567"/>
      <c r="W282" s="567">
        <v>7.0</v>
      </c>
      <c r="X282" s="567">
        <v>7.0</v>
      </c>
      <c r="Y282" s="567">
        <v>8.0</v>
      </c>
      <c r="Z282" s="567"/>
      <c r="AA282" s="567"/>
      <c r="AB282" s="567"/>
      <c r="AC282" s="567"/>
      <c r="AD282" s="567"/>
      <c r="AE282" s="567"/>
      <c r="AF282" s="567">
        <v>10.0</v>
      </c>
      <c r="AG282" s="567"/>
      <c r="AH282" s="567"/>
      <c r="AI282" s="567"/>
      <c r="AJ282" s="567"/>
      <c r="AK282" s="567"/>
      <c r="AL282" s="567"/>
      <c r="AM282" s="567"/>
      <c r="AN282" s="567"/>
      <c r="AO282" s="567"/>
      <c r="AP282" s="567"/>
      <c r="AQ282" s="567"/>
      <c r="AR282" s="567">
        <v>-2024.0</v>
      </c>
      <c r="AS282" s="567">
        <v>-2025.0</v>
      </c>
      <c r="AT282" s="567">
        <v>-2024.0</v>
      </c>
      <c r="AU282" s="567">
        <v>0.0</v>
      </c>
      <c r="AV282" s="567">
        <v>0.0</v>
      </c>
      <c r="AW282" s="567">
        <v>0.0</v>
      </c>
      <c r="AX282" s="567">
        <v>0.0</v>
      </c>
      <c r="AY282" s="567">
        <v>0.0</v>
      </c>
      <c r="AZ282" s="567">
        <v>0.0</v>
      </c>
      <c r="BA282" s="567">
        <v>-2024.0</v>
      </c>
      <c r="BB282" s="567"/>
      <c r="BC282" s="567">
        <v>30.0</v>
      </c>
      <c r="BD282" s="567"/>
      <c r="BE282" s="567">
        <v>30.0</v>
      </c>
      <c r="BF282" s="567"/>
      <c r="BG282" s="567"/>
      <c r="BH282" s="567"/>
      <c r="BI282" s="567"/>
      <c r="BJ282" s="567"/>
      <c r="BK282" s="567"/>
      <c r="BL282" s="567"/>
      <c r="BM282" s="665">
        <f t="shared" si="1"/>
        <v>60</v>
      </c>
      <c r="BN282" s="671"/>
      <c r="BO282" s="668">
        <v>30.0</v>
      </c>
      <c r="BP282" s="668"/>
      <c r="BQ282" s="668"/>
      <c r="BR282" s="668"/>
      <c r="BS282" s="668"/>
      <c r="BT282" s="668"/>
      <c r="BU282" s="668"/>
      <c r="BV282" s="668"/>
      <c r="BW282" s="705">
        <v>20.0</v>
      </c>
      <c r="BX282" s="665">
        <f t="shared" si="840"/>
        <v>50</v>
      </c>
      <c r="BY282" s="671">
        <v>0.0</v>
      </c>
      <c r="BZ282" s="668">
        <v>0.0</v>
      </c>
      <c r="CA282" s="668">
        <v>0.0</v>
      </c>
      <c r="CB282" s="668">
        <v>0.0</v>
      </c>
      <c r="CC282" s="668">
        <v>0.0</v>
      </c>
      <c r="CD282" s="668">
        <v>0.0</v>
      </c>
      <c r="CE282" s="668">
        <v>0.0</v>
      </c>
      <c r="CF282" s="668">
        <v>0.0</v>
      </c>
      <c r="CG282" s="668">
        <v>0.0</v>
      </c>
      <c r="CH282" s="670">
        <v>0.0</v>
      </c>
      <c r="CI282" s="665">
        <f t="shared" si="841"/>
        <v>0</v>
      </c>
      <c r="CJ282" s="671">
        <f t="shared" si="4"/>
        <v>110</v>
      </c>
      <c r="CK282" s="715">
        <v>102.95</v>
      </c>
      <c r="CL282" s="668">
        <f t="shared" si="845"/>
        <v>716.532</v>
      </c>
      <c r="CM282" s="668">
        <f t="shared" ref="CM282:CV282" si="864">BC282*$CL282</f>
        <v>21495.96</v>
      </c>
      <c r="CN282" s="668">
        <f t="shared" si="864"/>
        <v>0</v>
      </c>
      <c r="CO282" s="668">
        <f t="shared" si="864"/>
        <v>21495.96</v>
      </c>
      <c r="CP282" s="668">
        <f t="shared" si="864"/>
        <v>0</v>
      </c>
      <c r="CQ282" s="668">
        <f t="shared" si="864"/>
        <v>0</v>
      </c>
      <c r="CR282" s="668">
        <f t="shared" si="864"/>
        <v>0</v>
      </c>
      <c r="CS282" s="668">
        <f t="shared" si="864"/>
        <v>0</v>
      </c>
      <c r="CT282" s="668">
        <f t="shared" si="864"/>
        <v>0</v>
      </c>
      <c r="CU282" s="668">
        <f t="shared" si="864"/>
        <v>0</v>
      </c>
      <c r="CV282" s="668">
        <f t="shared" si="864"/>
        <v>0</v>
      </c>
      <c r="CW282" s="668">
        <f t="shared" si="21"/>
        <v>42991.92</v>
      </c>
      <c r="CX282" s="668">
        <f t="shared" ref="CX282:DG282" si="865">BN282*$CL282</f>
        <v>0</v>
      </c>
      <c r="CY282" s="668">
        <f t="shared" si="865"/>
        <v>21495.96</v>
      </c>
      <c r="CZ282" s="668">
        <f t="shared" si="865"/>
        <v>0</v>
      </c>
      <c r="DA282" s="668">
        <f t="shared" si="865"/>
        <v>0</v>
      </c>
      <c r="DB282" s="668">
        <f t="shared" si="865"/>
        <v>0</v>
      </c>
      <c r="DC282" s="668">
        <f t="shared" si="865"/>
        <v>0</v>
      </c>
      <c r="DD282" s="668">
        <f t="shared" si="865"/>
        <v>0</v>
      </c>
      <c r="DE282" s="668">
        <f t="shared" si="865"/>
        <v>0</v>
      </c>
      <c r="DF282" s="668">
        <f t="shared" si="865"/>
        <v>0</v>
      </c>
      <c r="DG282" s="668">
        <f t="shared" si="865"/>
        <v>14330.64</v>
      </c>
      <c r="DH282" s="668">
        <f t="shared" si="23"/>
        <v>35826.6</v>
      </c>
      <c r="DI282" s="668">
        <f t="shared" ref="DI282:DR282" si="866">BY282*$CL282</f>
        <v>0</v>
      </c>
      <c r="DJ282" s="668">
        <f t="shared" si="866"/>
        <v>0</v>
      </c>
      <c r="DK282" s="668">
        <f t="shared" si="866"/>
        <v>0</v>
      </c>
      <c r="DL282" s="668">
        <f t="shared" si="866"/>
        <v>0</v>
      </c>
      <c r="DM282" s="668">
        <f t="shared" si="866"/>
        <v>0</v>
      </c>
      <c r="DN282" s="668">
        <f t="shared" si="866"/>
        <v>0</v>
      </c>
      <c r="DO282" s="668">
        <f t="shared" si="866"/>
        <v>0</v>
      </c>
      <c r="DP282" s="668">
        <f t="shared" si="866"/>
        <v>0</v>
      </c>
      <c r="DQ282" s="668">
        <f t="shared" si="866"/>
        <v>0</v>
      </c>
      <c r="DR282" s="668">
        <f t="shared" si="866"/>
        <v>0</v>
      </c>
      <c r="DS282" s="668">
        <f t="shared" si="25"/>
        <v>0</v>
      </c>
      <c r="DT282" s="668">
        <f t="shared" si="685"/>
        <v>78818.52</v>
      </c>
      <c r="DU282" s="538"/>
      <c r="DV282" s="468"/>
      <c r="DW282" s="698"/>
      <c r="DX282" s="698"/>
      <c r="DY282" s="698"/>
      <c r="DZ282" s="698"/>
      <c r="EA282" s="698"/>
      <c r="EB282" s="698"/>
      <c r="EC282" s="698"/>
      <c r="ED282" s="698"/>
      <c r="EE282" s="698"/>
      <c r="EF282" s="698"/>
      <c r="EG282" s="698"/>
      <c r="EH282" s="576" t="s">
        <v>463</v>
      </c>
      <c r="EI282" s="716">
        <f>VLOOKUP(I282,CotizacionTDB,4,FALSE())</f>
        <v>102.95</v>
      </c>
      <c r="EJ282" s="716">
        <f>VLOOKUP(I282,CotizacionTDB,5,FALSE())</f>
        <v>87.51</v>
      </c>
      <c r="EK282" s="699"/>
    </row>
    <row r="283" ht="12.0" customHeight="1">
      <c r="A283" s="700" t="s">
        <v>3026</v>
      </c>
      <c r="B283" s="701">
        <v>2.0</v>
      </c>
      <c r="C283" s="562" t="s">
        <v>3027</v>
      </c>
      <c r="D283" s="571" t="s">
        <v>633</v>
      </c>
      <c r="E283" s="571" t="s">
        <v>2708</v>
      </c>
      <c r="F283" s="562" t="s">
        <v>1763</v>
      </c>
      <c r="G283" s="569" t="s">
        <v>2709</v>
      </c>
      <c r="H283" s="737"/>
      <c r="I283" s="703" t="s">
        <v>2475</v>
      </c>
      <c r="J283" s="704" t="s">
        <v>729</v>
      </c>
      <c r="K283" s="562" t="s">
        <v>25</v>
      </c>
      <c r="L283" s="562"/>
      <c r="M283" s="562"/>
      <c r="N283" s="562"/>
      <c r="O283" s="562">
        <v>2024.0</v>
      </c>
      <c r="P283" s="562">
        <v>2024.0</v>
      </c>
      <c r="Q283" s="562">
        <v>2024.0</v>
      </c>
      <c r="R283" s="562"/>
      <c r="S283" s="562"/>
      <c r="T283" s="562"/>
      <c r="U283" s="562"/>
      <c r="V283" s="562"/>
      <c r="W283" s="562">
        <v>3.0</v>
      </c>
      <c r="X283" s="562"/>
      <c r="Y283" s="562"/>
      <c r="Z283" s="562">
        <v>3.0</v>
      </c>
      <c r="AA283" s="562">
        <v>3.0</v>
      </c>
      <c r="AB283" s="562">
        <v>3.0</v>
      </c>
      <c r="AC283" s="562"/>
      <c r="AD283" s="562"/>
      <c r="AE283" s="562"/>
      <c r="AF283" s="562"/>
      <c r="AG283" s="562"/>
      <c r="AH283" s="562"/>
      <c r="AI283" s="562"/>
      <c r="AJ283" s="562"/>
      <c r="AK283" s="562"/>
      <c r="AL283" s="562"/>
      <c r="AM283" s="562"/>
      <c r="AN283" s="562"/>
      <c r="AO283" s="562"/>
      <c r="AP283" s="562"/>
      <c r="AQ283" s="562"/>
      <c r="AR283" s="562">
        <v>0.0</v>
      </c>
      <c r="AS283" s="562">
        <v>0.0</v>
      </c>
      <c r="AT283" s="562">
        <v>0.0</v>
      </c>
      <c r="AU283" s="562">
        <v>-2024.0</v>
      </c>
      <c r="AV283" s="562">
        <v>-2024.0</v>
      </c>
      <c r="AW283" s="562">
        <v>-2024.0</v>
      </c>
      <c r="AX283" s="562">
        <v>0.0</v>
      </c>
      <c r="AY283" s="562">
        <v>0.0</v>
      </c>
      <c r="AZ283" s="562">
        <v>0.0</v>
      </c>
      <c r="BA283" s="562">
        <v>0.0</v>
      </c>
      <c r="BB283" s="562"/>
      <c r="BC283" s="562"/>
      <c r="BD283" s="562"/>
      <c r="BE283" s="562"/>
      <c r="BF283" s="562">
        <v>8.0</v>
      </c>
      <c r="BG283" s="562">
        <v>2.0</v>
      </c>
      <c r="BH283" s="562">
        <v>5.0</v>
      </c>
      <c r="BI283" s="562"/>
      <c r="BJ283" s="562"/>
      <c r="BK283" s="562"/>
      <c r="BL283" s="681"/>
      <c r="BM283" s="665">
        <f t="shared" si="1"/>
        <v>15</v>
      </c>
      <c r="BN283" s="682"/>
      <c r="BO283" s="683"/>
      <c r="BP283" s="683"/>
      <c r="BQ283" s="683"/>
      <c r="BR283" s="683"/>
      <c r="BS283" s="683"/>
      <c r="BT283" s="683"/>
      <c r="BU283" s="683"/>
      <c r="BV283" s="683"/>
      <c r="BW283" s="686"/>
      <c r="BX283" s="665">
        <f t="shared" si="840"/>
        <v>0</v>
      </c>
      <c r="BY283" s="682">
        <v>0.0</v>
      </c>
      <c r="BZ283" s="683">
        <v>0.0</v>
      </c>
      <c r="CA283" s="683">
        <v>0.0</v>
      </c>
      <c r="CB283" s="683">
        <v>0.0</v>
      </c>
      <c r="CC283" s="683">
        <v>0.0</v>
      </c>
      <c r="CD283" s="683">
        <v>0.0</v>
      </c>
      <c r="CE283" s="683">
        <v>0.0</v>
      </c>
      <c r="CF283" s="683">
        <v>0.0</v>
      </c>
      <c r="CG283" s="683">
        <v>0.0</v>
      </c>
      <c r="CH283" s="686">
        <v>0.0</v>
      </c>
      <c r="CI283" s="665">
        <f t="shared" si="841"/>
        <v>0</v>
      </c>
      <c r="CJ283" s="682">
        <f t="shared" si="4"/>
        <v>15</v>
      </c>
      <c r="CK283" s="706">
        <v>280.08</v>
      </c>
      <c r="CL283" s="683">
        <f t="shared" si="845"/>
        <v>1949.3568</v>
      </c>
      <c r="CM283" s="683">
        <f t="shared" ref="CM283:CV283" si="867">BC283*$CL283</f>
        <v>0</v>
      </c>
      <c r="CN283" s="683">
        <f t="shared" si="867"/>
        <v>0</v>
      </c>
      <c r="CO283" s="683">
        <f t="shared" si="867"/>
        <v>0</v>
      </c>
      <c r="CP283" s="683">
        <f t="shared" si="867"/>
        <v>15594.8544</v>
      </c>
      <c r="CQ283" s="683">
        <f t="shared" si="867"/>
        <v>3898.7136</v>
      </c>
      <c r="CR283" s="683">
        <f t="shared" si="867"/>
        <v>9746.784</v>
      </c>
      <c r="CS283" s="683">
        <f t="shared" si="867"/>
        <v>0</v>
      </c>
      <c r="CT283" s="683">
        <f t="shared" si="867"/>
        <v>0</v>
      </c>
      <c r="CU283" s="683">
        <f t="shared" si="867"/>
        <v>0</v>
      </c>
      <c r="CV283" s="683">
        <f t="shared" si="867"/>
        <v>0</v>
      </c>
      <c r="CW283" s="683">
        <f t="shared" si="21"/>
        <v>29240.352</v>
      </c>
      <c r="CX283" s="683">
        <f t="shared" ref="CX283:DG283" si="868">BN283*$CL283</f>
        <v>0</v>
      </c>
      <c r="CY283" s="683">
        <f t="shared" si="868"/>
        <v>0</v>
      </c>
      <c r="CZ283" s="683">
        <f t="shared" si="868"/>
        <v>0</v>
      </c>
      <c r="DA283" s="683">
        <f t="shared" si="868"/>
        <v>0</v>
      </c>
      <c r="DB283" s="683">
        <f t="shared" si="868"/>
        <v>0</v>
      </c>
      <c r="DC283" s="683">
        <f t="shared" si="868"/>
        <v>0</v>
      </c>
      <c r="DD283" s="683">
        <f t="shared" si="868"/>
        <v>0</v>
      </c>
      <c r="DE283" s="683">
        <f t="shared" si="868"/>
        <v>0</v>
      </c>
      <c r="DF283" s="683">
        <f t="shared" si="868"/>
        <v>0</v>
      </c>
      <c r="DG283" s="683">
        <f t="shared" si="868"/>
        <v>0</v>
      </c>
      <c r="DH283" s="683">
        <f t="shared" si="23"/>
        <v>0</v>
      </c>
      <c r="DI283" s="683">
        <f t="shared" ref="DI283:DR283" si="869">BY283*$CL283</f>
        <v>0</v>
      </c>
      <c r="DJ283" s="683">
        <f t="shared" si="869"/>
        <v>0</v>
      </c>
      <c r="DK283" s="683">
        <f t="shared" si="869"/>
        <v>0</v>
      </c>
      <c r="DL283" s="683">
        <f t="shared" si="869"/>
        <v>0</v>
      </c>
      <c r="DM283" s="683">
        <f t="shared" si="869"/>
        <v>0</v>
      </c>
      <c r="DN283" s="683">
        <f t="shared" si="869"/>
        <v>0</v>
      </c>
      <c r="DO283" s="683">
        <f t="shared" si="869"/>
        <v>0</v>
      </c>
      <c r="DP283" s="683">
        <f t="shared" si="869"/>
        <v>0</v>
      </c>
      <c r="DQ283" s="683">
        <f t="shared" si="869"/>
        <v>0</v>
      </c>
      <c r="DR283" s="683">
        <f t="shared" si="869"/>
        <v>0</v>
      </c>
      <c r="DS283" s="683">
        <f t="shared" si="25"/>
        <v>0</v>
      </c>
      <c r="DT283" s="683">
        <f t="shared" si="685"/>
        <v>29240.352</v>
      </c>
      <c r="DU283" s="504"/>
      <c r="DV283" s="486"/>
      <c r="DW283" s="688"/>
      <c r="DX283" s="688"/>
      <c r="DY283" s="688"/>
      <c r="DZ283" s="688"/>
      <c r="EA283" s="688"/>
      <c r="EB283" s="688"/>
      <c r="EC283" s="688"/>
      <c r="ED283" s="688"/>
      <c r="EE283" s="688"/>
      <c r="EF283" s="688"/>
      <c r="EG283" s="688"/>
      <c r="EH283" s="707" t="s">
        <v>3471</v>
      </c>
      <c r="EI283" s="708">
        <f>VLOOKUP(I283,CotizacionTDB,4,FALSE())</f>
        <v>280.08</v>
      </c>
      <c r="EJ283" s="708">
        <f>VLOOKUP(I283,CotizacionTDB,5,FALSE())</f>
        <v>238.07</v>
      </c>
      <c r="EK283" s="691"/>
    </row>
    <row r="284" ht="12.0" customHeight="1">
      <c r="A284" s="709" t="s">
        <v>3026</v>
      </c>
      <c r="B284" s="661">
        <v>2.0</v>
      </c>
      <c r="C284" s="567" t="s">
        <v>3027</v>
      </c>
      <c r="D284" s="568" t="s">
        <v>633</v>
      </c>
      <c r="E284" s="568" t="s">
        <v>2708</v>
      </c>
      <c r="F284" s="567" t="s">
        <v>1763</v>
      </c>
      <c r="G284" s="569" t="s">
        <v>2709</v>
      </c>
      <c r="H284" s="569" t="s">
        <v>2920</v>
      </c>
      <c r="I284" s="721" t="s">
        <v>2072</v>
      </c>
      <c r="J284" s="711" t="s">
        <v>630</v>
      </c>
      <c r="K284" s="567" t="s">
        <v>25</v>
      </c>
      <c r="L284" s="567">
        <v>2024.0</v>
      </c>
      <c r="M284" s="567">
        <v>2024.0</v>
      </c>
      <c r="N284" s="567">
        <v>2024.0</v>
      </c>
      <c r="O284" s="567"/>
      <c r="P284" s="567"/>
      <c r="Q284" s="567"/>
      <c r="R284" s="567"/>
      <c r="S284" s="567"/>
      <c r="T284" s="567"/>
      <c r="U284" s="567"/>
      <c r="V284" s="567"/>
      <c r="W284" s="567">
        <v>2.0</v>
      </c>
      <c r="X284" s="567">
        <v>3.0</v>
      </c>
      <c r="Y284" s="567">
        <v>2.0</v>
      </c>
      <c r="Z284" s="567"/>
      <c r="AA284" s="567"/>
      <c r="AB284" s="567"/>
      <c r="AC284" s="567"/>
      <c r="AD284" s="567"/>
      <c r="AE284" s="567"/>
      <c r="AF284" s="567"/>
      <c r="AG284" s="567"/>
      <c r="AH284" s="567"/>
      <c r="AI284" s="567"/>
      <c r="AJ284" s="567"/>
      <c r="AK284" s="567"/>
      <c r="AL284" s="567"/>
      <c r="AM284" s="567"/>
      <c r="AN284" s="567"/>
      <c r="AO284" s="567"/>
      <c r="AP284" s="567"/>
      <c r="AQ284" s="567"/>
      <c r="AR284" s="567">
        <v>-2024.0</v>
      </c>
      <c r="AS284" s="567">
        <v>-2024.0</v>
      </c>
      <c r="AT284" s="567">
        <v>-2024.0</v>
      </c>
      <c r="AU284" s="567">
        <v>0.0</v>
      </c>
      <c r="AV284" s="567">
        <v>0.0</v>
      </c>
      <c r="AW284" s="567">
        <v>0.0</v>
      </c>
      <c r="AX284" s="567">
        <v>0.0</v>
      </c>
      <c r="AY284" s="567">
        <v>0.0</v>
      </c>
      <c r="AZ284" s="567">
        <v>0.0</v>
      </c>
      <c r="BA284" s="567">
        <v>0.0</v>
      </c>
      <c r="BB284" s="567"/>
      <c r="BC284" s="791">
        <v>10.0</v>
      </c>
      <c r="BD284" s="567">
        <v>5.0</v>
      </c>
      <c r="BE284" s="567">
        <v>10.0</v>
      </c>
      <c r="BF284" s="567"/>
      <c r="BG284" s="567"/>
      <c r="BH284" s="567"/>
      <c r="BI284" s="567"/>
      <c r="BJ284" s="567"/>
      <c r="BK284" s="567"/>
      <c r="BL284" s="567"/>
      <c r="BM284" s="665">
        <f t="shared" si="1"/>
        <v>25</v>
      </c>
      <c r="BN284" s="668"/>
      <c r="BO284" s="668"/>
      <c r="BP284" s="668"/>
      <c r="BQ284" s="668"/>
      <c r="BR284" s="668"/>
      <c r="BS284" s="668"/>
      <c r="BT284" s="668"/>
      <c r="BU284" s="668"/>
      <c r="BV284" s="668"/>
      <c r="BW284" s="668"/>
      <c r="BX284" s="665">
        <f t="shared" si="840"/>
        <v>0</v>
      </c>
      <c r="BY284" s="671">
        <v>10.0</v>
      </c>
      <c r="BZ284" s="668">
        <v>0.0</v>
      </c>
      <c r="CA284" s="668">
        <v>10.0</v>
      </c>
      <c r="CB284" s="668">
        <v>0.0</v>
      </c>
      <c r="CC284" s="668">
        <v>0.0</v>
      </c>
      <c r="CD284" s="668">
        <v>0.0</v>
      </c>
      <c r="CE284" s="668">
        <v>0.0</v>
      </c>
      <c r="CF284" s="668">
        <v>0.0</v>
      </c>
      <c r="CG284" s="668">
        <v>0.0</v>
      </c>
      <c r="CH284" s="670">
        <v>0.0</v>
      </c>
      <c r="CI284" s="665">
        <f t="shared" si="841"/>
        <v>20</v>
      </c>
      <c r="CJ284" s="671">
        <f t="shared" si="4"/>
        <v>45</v>
      </c>
      <c r="CK284" s="715">
        <v>100.29</v>
      </c>
      <c r="CL284" s="668">
        <f t="shared" si="845"/>
        <v>698.0184</v>
      </c>
      <c r="CM284" s="668">
        <f t="shared" ref="CM284:CV284" si="870">BC284*$CL284</f>
        <v>6980.184</v>
      </c>
      <c r="CN284" s="668">
        <f t="shared" si="870"/>
        <v>3490.092</v>
      </c>
      <c r="CO284" s="668">
        <f t="shared" si="870"/>
        <v>6980.184</v>
      </c>
      <c r="CP284" s="668">
        <f t="shared" si="870"/>
        <v>0</v>
      </c>
      <c r="CQ284" s="668">
        <f t="shared" si="870"/>
        <v>0</v>
      </c>
      <c r="CR284" s="668">
        <f t="shared" si="870"/>
        <v>0</v>
      </c>
      <c r="CS284" s="668">
        <f t="shared" si="870"/>
        <v>0</v>
      </c>
      <c r="CT284" s="668">
        <f t="shared" si="870"/>
        <v>0</v>
      </c>
      <c r="CU284" s="668">
        <f t="shared" si="870"/>
        <v>0</v>
      </c>
      <c r="CV284" s="668">
        <f t="shared" si="870"/>
        <v>0</v>
      </c>
      <c r="CW284" s="668">
        <f t="shared" si="21"/>
        <v>17450.46</v>
      </c>
      <c r="CX284" s="668">
        <f t="shared" ref="CX284:DG284" si="871">BN284*$CL284</f>
        <v>0</v>
      </c>
      <c r="CY284" s="668">
        <f t="shared" si="871"/>
        <v>0</v>
      </c>
      <c r="CZ284" s="668">
        <f t="shared" si="871"/>
        <v>0</v>
      </c>
      <c r="DA284" s="668">
        <f t="shared" si="871"/>
        <v>0</v>
      </c>
      <c r="DB284" s="668">
        <f t="shared" si="871"/>
        <v>0</v>
      </c>
      <c r="DC284" s="668">
        <f t="shared" si="871"/>
        <v>0</v>
      </c>
      <c r="DD284" s="668">
        <f t="shared" si="871"/>
        <v>0</v>
      </c>
      <c r="DE284" s="668">
        <f t="shared" si="871"/>
        <v>0</v>
      </c>
      <c r="DF284" s="668">
        <f t="shared" si="871"/>
        <v>0</v>
      </c>
      <c r="DG284" s="668">
        <f t="shared" si="871"/>
        <v>0</v>
      </c>
      <c r="DH284" s="668">
        <f t="shared" si="23"/>
        <v>0</v>
      </c>
      <c r="DI284" s="668">
        <f t="shared" ref="DI284:DR284" si="872">BY284*$CL284</f>
        <v>6980.184</v>
      </c>
      <c r="DJ284" s="668">
        <f t="shared" si="872"/>
        <v>0</v>
      </c>
      <c r="DK284" s="668">
        <f t="shared" si="872"/>
        <v>6980.184</v>
      </c>
      <c r="DL284" s="668">
        <f t="shared" si="872"/>
        <v>0</v>
      </c>
      <c r="DM284" s="668">
        <f t="shared" si="872"/>
        <v>0</v>
      </c>
      <c r="DN284" s="668">
        <f t="shared" si="872"/>
        <v>0</v>
      </c>
      <c r="DO284" s="668">
        <f t="shared" si="872"/>
        <v>0</v>
      </c>
      <c r="DP284" s="668">
        <f t="shared" si="872"/>
        <v>0</v>
      </c>
      <c r="DQ284" s="668">
        <f t="shared" si="872"/>
        <v>0</v>
      </c>
      <c r="DR284" s="668">
        <f t="shared" si="872"/>
        <v>0</v>
      </c>
      <c r="DS284" s="668">
        <f t="shared" si="25"/>
        <v>13960.368</v>
      </c>
      <c r="DT284" s="668">
        <f t="shared" si="685"/>
        <v>31410.828</v>
      </c>
      <c r="DU284" s="538"/>
      <c r="DV284" s="468"/>
      <c r="DW284" s="698"/>
      <c r="DX284" s="698"/>
      <c r="DY284" s="698"/>
      <c r="DZ284" s="698"/>
      <c r="EA284" s="698"/>
      <c r="EB284" s="698"/>
      <c r="EC284" s="468"/>
      <c r="ED284" s="468"/>
      <c r="EE284" s="468"/>
      <c r="EF284" s="909"/>
      <c r="EG284" s="698"/>
      <c r="EH284" s="576" t="s">
        <v>630</v>
      </c>
      <c r="EI284" s="716">
        <f>VLOOKUP(I284,CotizacionTDB,4,FALSE())</f>
        <v>100.29</v>
      </c>
      <c r="EJ284" s="716">
        <f>VLOOKUP(I284,CotizacionTDB,5,FALSE())</f>
        <v>85.25</v>
      </c>
      <c r="EK284" s="699"/>
    </row>
    <row r="285" ht="12.0" customHeight="1">
      <c r="A285" s="700" t="s">
        <v>3026</v>
      </c>
      <c r="B285" s="701">
        <v>2.0</v>
      </c>
      <c r="C285" s="562" t="s">
        <v>3027</v>
      </c>
      <c r="D285" s="571" t="s">
        <v>633</v>
      </c>
      <c r="E285" s="571" t="s">
        <v>2708</v>
      </c>
      <c r="F285" s="562" t="s">
        <v>1763</v>
      </c>
      <c r="G285" s="569" t="s">
        <v>2709</v>
      </c>
      <c r="H285" s="569" t="s">
        <v>3472</v>
      </c>
      <c r="I285" s="717" t="s">
        <v>2206</v>
      </c>
      <c r="J285" s="704" t="s">
        <v>745</v>
      </c>
      <c r="K285" s="562" t="s">
        <v>25</v>
      </c>
      <c r="L285" s="562">
        <v>2024.0</v>
      </c>
      <c r="M285" s="562">
        <v>2025.0</v>
      </c>
      <c r="N285" s="562">
        <v>2024.0</v>
      </c>
      <c r="O285" s="562"/>
      <c r="P285" s="562"/>
      <c r="Q285" s="562"/>
      <c r="R285" s="562"/>
      <c r="S285" s="562"/>
      <c r="T285" s="562"/>
      <c r="U285" s="562">
        <v>2024.0</v>
      </c>
      <c r="V285" s="562"/>
      <c r="W285" s="562">
        <v>7.0</v>
      </c>
      <c r="X285" s="562">
        <v>7.0</v>
      </c>
      <c r="Y285" s="562">
        <v>8.0</v>
      </c>
      <c r="Z285" s="562"/>
      <c r="AA285" s="562"/>
      <c r="AB285" s="562"/>
      <c r="AC285" s="562"/>
      <c r="AD285" s="562"/>
      <c r="AE285" s="562"/>
      <c r="AF285" s="562">
        <v>10.0</v>
      </c>
      <c r="AG285" s="562"/>
      <c r="AH285" s="562"/>
      <c r="AI285" s="562"/>
      <c r="AJ285" s="562"/>
      <c r="AK285" s="562"/>
      <c r="AL285" s="562"/>
      <c r="AM285" s="562"/>
      <c r="AN285" s="562"/>
      <c r="AO285" s="562"/>
      <c r="AP285" s="562"/>
      <c r="AQ285" s="562"/>
      <c r="AR285" s="562">
        <v>-2024.0</v>
      </c>
      <c r="AS285" s="562">
        <v>-2025.0</v>
      </c>
      <c r="AT285" s="562">
        <v>-2024.0</v>
      </c>
      <c r="AU285" s="562">
        <v>0.0</v>
      </c>
      <c r="AV285" s="562">
        <v>0.0</v>
      </c>
      <c r="AW285" s="562">
        <v>0.0</v>
      </c>
      <c r="AX285" s="562">
        <v>0.0</v>
      </c>
      <c r="AY285" s="562">
        <v>0.0</v>
      </c>
      <c r="AZ285" s="562">
        <v>0.0</v>
      </c>
      <c r="BA285" s="562">
        <v>-2024.0</v>
      </c>
      <c r="BB285" s="562"/>
      <c r="BC285" s="562">
        <v>30.0</v>
      </c>
      <c r="BD285" s="562"/>
      <c r="BE285" s="562">
        <v>30.0</v>
      </c>
      <c r="BF285" s="562"/>
      <c r="BG285" s="562"/>
      <c r="BH285" s="562"/>
      <c r="BI285" s="562"/>
      <c r="BJ285" s="562"/>
      <c r="BK285" s="562"/>
      <c r="BL285" s="562"/>
      <c r="BM285" s="665">
        <f t="shared" si="1"/>
        <v>60</v>
      </c>
      <c r="BN285" s="683"/>
      <c r="BO285" s="683">
        <v>30.0</v>
      </c>
      <c r="BP285" s="683"/>
      <c r="BQ285" s="683"/>
      <c r="BR285" s="683"/>
      <c r="BS285" s="683"/>
      <c r="BT285" s="683"/>
      <c r="BU285" s="683"/>
      <c r="BV285" s="683"/>
      <c r="BW285" s="910">
        <v>20.0</v>
      </c>
      <c r="BX285" s="665">
        <f t="shared" si="840"/>
        <v>50</v>
      </c>
      <c r="BY285" s="682">
        <v>0.0</v>
      </c>
      <c r="BZ285" s="683">
        <v>0.0</v>
      </c>
      <c r="CA285" s="683">
        <v>0.0</v>
      </c>
      <c r="CB285" s="683">
        <v>0.0</v>
      </c>
      <c r="CC285" s="683">
        <v>0.0</v>
      </c>
      <c r="CD285" s="683">
        <v>0.0</v>
      </c>
      <c r="CE285" s="683">
        <v>0.0</v>
      </c>
      <c r="CF285" s="683">
        <v>0.0</v>
      </c>
      <c r="CG285" s="683">
        <v>0.0</v>
      </c>
      <c r="CH285" s="686">
        <v>0.0</v>
      </c>
      <c r="CI285" s="665">
        <f t="shared" si="841"/>
        <v>0</v>
      </c>
      <c r="CJ285" s="682">
        <f t="shared" si="4"/>
        <v>110</v>
      </c>
      <c r="CK285" s="706">
        <v>36.46</v>
      </c>
      <c r="CL285" s="683">
        <f t="shared" si="845"/>
        <v>253.7616</v>
      </c>
      <c r="CM285" s="683">
        <f t="shared" ref="CM285:CV285" si="873">BC285*$CL285</f>
        <v>7612.848</v>
      </c>
      <c r="CN285" s="683">
        <f t="shared" si="873"/>
        <v>0</v>
      </c>
      <c r="CO285" s="683">
        <f t="shared" si="873"/>
        <v>7612.848</v>
      </c>
      <c r="CP285" s="683">
        <f t="shared" si="873"/>
        <v>0</v>
      </c>
      <c r="CQ285" s="683">
        <f t="shared" si="873"/>
        <v>0</v>
      </c>
      <c r="CR285" s="683">
        <f t="shared" si="873"/>
        <v>0</v>
      </c>
      <c r="CS285" s="683">
        <f t="shared" si="873"/>
        <v>0</v>
      </c>
      <c r="CT285" s="683">
        <f t="shared" si="873"/>
        <v>0</v>
      </c>
      <c r="CU285" s="683">
        <f t="shared" si="873"/>
        <v>0</v>
      </c>
      <c r="CV285" s="683">
        <f t="shared" si="873"/>
        <v>0</v>
      </c>
      <c r="CW285" s="683">
        <f t="shared" si="21"/>
        <v>15225.696</v>
      </c>
      <c r="CX285" s="683">
        <f t="shared" ref="CX285:DG285" si="874">BN285*$CL285</f>
        <v>0</v>
      </c>
      <c r="CY285" s="683">
        <f t="shared" si="874"/>
        <v>7612.848</v>
      </c>
      <c r="CZ285" s="683">
        <f t="shared" si="874"/>
        <v>0</v>
      </c>
      <c r="DA285" s="683">
        <f t="shared" si="874"/>
        <v>0</v>
      </c>
      <c r="DB285" s="683">
        <f t="shared" si="874"/>
        <v>0</v>
      </c>
      <c r="DC285" s="683">
        <f t="shared" si="874"/>
        <v>0</v>
      </c>
      <c r="DD285" s="683">
        <f t="shared" si="874"/>
        <v>0</v>
      </c>
      <c r="DE285" s="683">
        <f t="shared" si="874"/>
        <v>0</v>
      </c>
      <c r="DF285" s="683">
        <f t="shared" si="874"/>
        <v>0</v>
      </c>
      <c r="DG285" s="683">
        <f t="shared" si="874"/>
        <v>5075.232</v>
      </c>
      <c r="DH285" s="683">
        <f t="shared" si="23"/>
        <v>12688.08</v>
      </c>
      <c r="DI285" s="683">
        <f t="shared" ref="DI285:DR285" si="875">BY285*$CL285</f>
        <v>0</v>
      </c>
      <c r="DJ285" s="683">
        <f t="shared" si="875"/>
        <v>0</v>
      </c>
      <c r="DK285" s="683">
        <f t="shared" si="875"/>
        <v>0</v>
      </c>
      <c r="DL285" s="683">
        <f t="shared" si="875"/>
        <v>0</v>
      </c>
      <c r="DM285" s="683">
        <f t="shared" si="875"/>
        <v>0</v>
      </c>
      <c r="DN285" s="683">
        <f t="shared" si="875"/>
        <v>0</v>
      </c>
      <c r="DO285" s="683">
        <f t="shared" si="875"/>
        <v>0</v>
      </c>
      <c r="DP285" s="683">
        <f t="shared" si="875"/>
        <v>0</v>
      </c>
      <c r="DQ285" s="683">
        <f t="shared" si="875"/>
        <v>0</v>
      </c>
      <c r="DR285" s="683">
        <f t="shared" si="875"/>
        <v>0</v>
      </c>
      <c r="DS285" s="683">
        <f t="shared" si="25"/>
        <v>0</v>
      </c>
      <c r="DT285" s="683">
        <f t="shared" si="685"/>
        <v>27913.776</v>
      </c>
      <c r="DU285" s="504"/>
      <c r="DV285" s="486"/>
      <c r="DW285" s="688"/>
      <c r="DX285" s="688"/>
      <c r="DY285" s="688"/>
      <c r="DZ285" s="688"/>
      <c r="EA285" s="688"/>
      <c r="EB285" s="688"/>
      <c r="EC285" s="486"/>
      <c r="ED285" s="486"/>
      <c r="EE285" s="486"/>
      <c r="EF285" s="833"/>
      <c r="EG285" s="688"/>
      <c r="EH285" s="707" t="s">
        <v>745</v>
      </c>
      <c r="EI285" s="708">
        <f>VLOOKUP(I285,CotizacionTDB,4,FALSE())</f>
        <v>36.46</v>
      </c>
      <c r="EJ285" s="708">
        <f>VLOOKUP(I285,CotizacionTDB,5,FALSE())</f>
        <v>30.99</v>
      </c>
      <c r="EK285" s="691"/>
    </row>
    <row r="286" ht="12.0" customHeight="1">
      <c r="A286" s="709" t="s">
        <v>3026</v>
      </c>
      <c r="B286" s="661">
        <v>2.0</v>
      </c>
      <c r="C286" s="567" t="s">
        <v>3027</v>
      </c>
      <c r="D286" s="568" t="s">
        <v>633</v>
      </c>
      <c r="E286" s="568" t="s">
        <v>2708</v>
      </c>
      <c r="F286" s="567" t="s">
        <v>1763</v>
      </c>
      <c r="G286" s="569" t="s">
        <v>2709</v>
      </c>
      <c r="H286" s="569" t="s">
        <v>2872</v>
      </c>
      <c r="I286" s="721" t="s">
        <v>2077</v>
      </c>
      <c r="J286" s="711" t="s">
        <v>507</v>
      </c>
      <c r="K286" s="567" t="s">
        <v>25</v>
      </c>
      <c r="L286" s="567">
        <v>2024.0</v>
      </c>
      <c r="M286" s="567">
        <v>2024.0</v>
      </c>
      <c r="N286" s="567">
        <v>2024.0</v>
      </c>
      <c r="O286" s="567"/>
      <c r="P286" s="567"/>
      <c r="Q286" s="567"/>
      <c r="R286" s="567"/>
      <c r="S286" s="567"/>
      <c r="T286" s="567"/>
      <c r="U286" s="567"/>
      <c r="V286" s="567"/>
      <c r="W286" s="567">
        <v>2.0</v>
      </c>
      <c r="X286" s="567">
        <v>3.0</v>
      </c>
      <c r="Y286" s="567">
        <v>2.0</v>
      </c>
      <c r="Z286" s="567"/>
      <c r="AA286" s="567"/>
      <c r="AB286" s="567"/>
      <c r="AC286" s="567"/>
      <c r="AD286" s="567"/>
      <c r="AE286" s="567"/>
      <c r="AF286" s="567"/>
      <c r="AG286" s="567"/>
      <c r="AH286" s="567"/>
      <c r="AI286" s="567"/>
      <c r="AJ286" s="567"/>
      <c r="AK286" s="567"/>
      <c r="AL286" s="567"/>
      <c r="AM286" s="567"/>
      <c r="AN286" s="567"/>
      <c r="AO286" s="567"/>
      <c r="AP286" s="567"/>
      <c r="AQ286" s="567"/>
      <c r="AR286" s="567">
        <v>-2024.0</v>
      </c>
      <c r="AS286" s="567">
        <v>-2024.0</v>
      </c>
      <c r="AT286" s="567">
        <v>-2024.0</v>
      </c>
      <c r="AU286" s="567">
        <v>0.0</v>
      </c>
      <c r="AV286" s="567">
        <v>0.0</v>
      </c>
      <c r="AW286" s="567">
        <v>0.0</v>
      </c>
      <c r="AX286" s="567">
        <v>0.0</v>
      </c>
      <c r="AY286" s="567">
        <v>0.0</v>
      </c>
      <c r="AZ286" s="567">
        <v>0.0</v>
      </c>
      <c r="BA286" s="567">
        <v>0.0</v>
      </c>
      <c r="BB286" s="567"/>
      <c r="BC286" s="906">
        <v>10.0</v>
      </c>
      <c r="BD286" s="567">
        <v>3.0</v>
      </c>
      <c r="BE286" s="567">
        <v>10.0</v>
      </c>
      <c r="BF286" s="567"/>
      <c r="BG286" s="567"/>
      <c r="BH286" s="567"/>
      <c r="BI286" s="567"/>
      <c r="BJ286" s="567"/>
      <c r="BK286" s="567"/>
      <c r="BL286" s="725"/>
      <c r="BM286" s="665">
        <f t="shared" si="1"/>
        <v>23</v>
      </c>
      <c r="BN286" s="668"/>
      <c r="BO286" s="668"/>
      <c r="BP286" s="668"/>
      <c r="BQ286" s="668"/>
      <c r="BR286" s="668"/>
      <c r="BS286" s="668"/>
      <c r="BT286" s="668"/>
      <c r="BU286" s="668"/>
      <c r="BV286" s="668"/>
      <c r="BW286" s="670"/>
      <c r="BX286" s="665">
        <f t="shared" si="840"/>
        <v>0</v>
      </c>
      <c r="BY286" s="671">
        <v>10.0</v>
      </c>
      <c r="BZ286" s="668">
        <v>0.0</v>
      </c>
      <c r="CA286" s="668">
        <v>10.0</v>
      </c>
      <c r="CB286" s="668">
        <v>0.0</v>
      </c>
      <c r="CC286" s="668">
        <v>0.0</v>
      </c>
      <c r="CD286" s="668">
        <v>0.0</v>
      </c>
      <c r="CE286" s="668">
        <v>0.0</v>
      </c>
      <c r="CF286" s="668">
        <v>0.0</v>
      </c>
      <c r="CG286" s="668">
        <v>0.0</v>
      </c>
      <c r="CH286" s="670">
        <v>0.0</v>
      </c>
      <c r="CI286" s="665">
        <f t="shared" si="841"/>
        <v>20</v>
      </c>
      <c r="CJ286" s="671">
        <f t="shared" si="4"/>
        <v>43</v>
      </c>
      <c r="CK286" s="715">
        <v>86.76</v>
      </c>
      <c r="CL286" s="668">
        <f t="shared" si="845"/>
        <v>603.8496</v>
      </c>
      <c r="CM286" s="668">
        <f t="shared" ref="CM286:CV286" si="876">BC286*$CL286</f>
        <v>6038.496</v>
      </c>
      <c r="CN286" s="668">
        <f t="shared" si="876"/>
        <v>1811.5488</v>
      </c>
      <c r="CO286" s="668">
        <f t="shared" si="876"/>
        <v>6038.496</v>
      </c>
      <c r="CP286" s="668">
        <f t="shared" si="876"/>
        <v>0</v>
      </c>
      <c r="CQ286" s="668">
        <f t="shared" si="876"/>
        <v>0</v>
      </c>
      <c r="CR286" s="668">
        <f t="shared" si="876"/>
        <v>0</v>
      </c>
      <c r="CS286" s="668">
        <f t="shared" si="876"/>
        <v>0</v>
      </c>
      <c r="CT286" s="668">
        <f t="shared" si="876"/>
        <v>0</v>
      </c>
      <c r="CU286" s="668">
        <f t="shared" si="876"/>
        <v>0</v>
      </c>
      <c r="CV286" s="668">
        <f t="shared" si="876"/>
        <v>0</v>
      </c>
      <c r="CW286" s="668">
        <f t="shared" si="21"/>
        <v>13888.5408</v>
      </c>
      <c r="CX286" s="668">
        <f t="shared" ref="CX286:DG286" si="877">BN286*$CL286</f>
        <v>0</v>
      </c>
      <c r="CY286" s="668">
        <f t="shared" si="877"/>
        <v>0</v>
      </c>
      <c r="CZ286" s="668">
        <f t="shared" si="877"/>
        <v>0</v>
      </c>
      <c r="DA286" s="668">
        <f t="shared" si="877"/>
        <v>0</v>
      </c>
      <c r="DB286" s="668">
        <f t="shared" si="877"/>
        <v>0</v>
      </c>
      <c r="DC286" s="668">
        <f t="shared" si="877"/>
        <v>0</v>
      </c>
      <c r="DD286" s="668">
        <f t="shared" si="877"/>
        <v>0</v>
      </c>
      <c r="DE286" s="668">
        <f t="shared" si="877"/>
        <v>0</v>
      </c>
      <c r="DF286" s="668">
        <f t="shared" si="877"/>
        <v>0</v>
      </c>
      <c r="DG286" s="668">
        <f t="shared" si="877"/>
        <v>0</v>
      </c>
      <c r="DH286" s="668">
        <f t="shared" si="23"/>
        <v>0</v>
      </c>
      <c r="DI286" s="668">
        <f t="shared" ref="DI286:DR286" si="878">BY286*$CL286</f>
        <v>6038.496</v>
      </c>
      <c r="DJ286" s="668">
        <f t="shared" si="878"/>
        <v>0</v>
      </c>
      <c r="DK286" s="668">
        <f t="shared" si="878"/>
        <v>6038.496</v>
      </c>
      <c r="DL286" s="668">
        <f t="shared" si="878"/>
        <v>0</v>
      </c>
      <c r="DM286" s="668">
        <f t="shared" si="878"/>
        <v>0</v>
      </c>
      <c r="DN286" s="668">
        <f t="shared" si="878"/>
        <v>0</v>
      </c>
      <c r="DO286" s="668">
        <f t="shared" si="878"/>
        <v>0</v>
      </c>
      <c r="DP286" s="668">
        <f t="shared" si="878"/>
        <v>0</v>
      </c>
      <c r="DQ286" s="668">
        <f t="shared" si="878"/>
        <v>0</v>
      </c>
      <c r="DR286" s="668">
        <f t="shared" si="878"/>
        <v>0</v>
      </c>
      <c r="DS286" s="668">
        <f t="shared" si="25"/>
        <v>12076.992</v>
      </c>
      <c r="DT286" s="668">
        <f t="shared" si="685"/>
        <v>25965.5328</v>
      </c>
      <c r="DU286" s="538"/>
      <c r="DV286" s="468"/>
      <c r="DW286" s="698"/>
      <c r="DX286" s="698"/>
      <c r="DY286" s="698"/>
      <c r="DZ286" s="698"/>
      <c r="EA286" s="698"/>
      <c r="EB286" s="698"/>
      <c r="EC286" s="468"/>
      <c r="ED286" s="468"/>
      <c r="EE286" s="468"/>
      <c r="EF286" s="909"/>
      <c r="EG286" s="698"/>
      <c r="EH286" s="576" t="s">
        <v>507</v>
      </c>
      <c r="EI286" s="716">
        <f>VLOOKUP(I286,CotizacionTDB,4,FALSE())</f>
        <v>86.76</v>
      </c>
      <c r="EJ286" s="716">
        <f>VLOOKUP(I286,CotizacionTDB,5,FALSE())</f>
        <v>73.75</v>
      </c>
      <c r="EK286" s="699"/>
    </row>
    <row r="287" ht="12.0" customHeight="1">
      <c r="A287" s="700" t="s">
        <v>3026</v>
      </c>
      <c r="B287" s="701">
        <v>2.0</v>
      </c>
      <c r="C287" s="562" t="s">
        <v>3027</v>
      </c>
      <c r="D287" s="571" t="s">
        <v>633</v>
      </c>
      <c r="E287" s="571" t="s">
        <v>2708</v>
      </c>
      <c r="F287" s="562" t="s">
        <v>1763</v>
      </c>
      <c r="G287" s="569" t="s">
        <v>2709</v>
      </c>
      <c r="H287" s="569" t="s">
        <v>2891</v>
      </c>
      <c r="I287" s="703" t="s">
        <v>2003</v>
      </c>
      <c r="J287" s="704" t="s">
        <v>732</v>
      </c>
      <c r="K287" s="562" t="s">
        <v>25</v>
      </c>
      <c r="L287" s="562">
        <v>2024.0</v>
      </c>
      <c r="M287" s="562">
        <v>2024.0</v>
      </c>
      <c r="N287" s="562">
        <v>2024.0</v>
      </c>
      <c r="O287" s="562"/>
      <c r="P287" s="562"/>
      <c r="Q287" s="562"/>
      <c r="R287" s="562"/>
      <c r="S287" s="562"/>
      <c r="T287" s="562"/>
      <c r="U287" s="562"/>
      <c r="V287" s="562"/>
      <c r="W287" s="562">
        <v>2.0</v>
      </c>
      <c r="X287" s="562">
        <v>3.0</v>
      </c>
      <c r="Y287" s="562">
        <v>2.0</v>
      </c>
      <c r="Z287" s="562"/>
      <c r="AA287" s="562"/>
      <c r="AB287" s="562"/>
      <c r="AC287" s="562"/>
      <c r="AD287" s="562"/>
      <c r="AE287" s="562"/>
      <c r="AF287" s="562"/>
      <c r="AG287" s="562"/>
      <c r="AH287" s="562"/>
      <c r="AI287" s="562"/>
      <c r="AJ287" s="562"/>
      <c r="AK287" s="562"/>
      <c r="AL287" s="562"/>
      <c r="AM287" s="562"/>
      <c r="AN287" s="562"/>
      <c r="AO287" s="562"/>
      <c r="AP287" s="562"/>
      <c r="AQ287" s="562"/>
      <c r="AR287" s="562">
        <v>-2024.0</v>
      </c>
      <c r="AS287" s="562">
        <v>-2024.0</v>
      </c>
      <c r="AT287" s="562">
        <v>-2024.0</v>
      </c>
      <c r="AU287" s="562">
        <v>0.0</v>
      </c>
      <c r="AV287" s="562">
        <v>0.0</v>
      </c>
      <c r="AW287" s="562">
        <v>0.0</v>
      </c>
      <c r="AX287" s="562">
        <v>0.0</v>
      </c>
      <c r="AY287" s="562">
        <v>0.0</v>
      </c>
      <c r="AZ287" s="562">
        <v>0.0</v>
      </c>
      <c r="BA287" s="562">
        <v>0.0</v>
      </c>
      <c r="BB287" s="562"/>
      <c r="BC287" s="562"/>
      <c r="BD287" s="562"/>
      <c r="BE287" s="562">
        <v>8.0</v>
      </c>
      <c r="BF287" s="562"/>
      <c r="BG287" s="562"/>
      <c r="BH287" s="562"/>
      <c r="BI287" s="562"/>
      <c r="BJ287" s="562"/>
      <c r="BK287" s="562"/>
      <c r="BL287" s="681"/>
      <c r="BM287" s="665">
        <f t="shared" si="1"/>
        <v>8</v>
      </c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6"/>
      <c r="BX287" s="665">
        <f t="shared" si="840"/>
        <v>0</v>
      </c>
      <c r="BY287" s="683">
        <v>10.0</v>
      </c>
      <c r="BZ287" s="849">
        <v>7.0</v>
      </c>
      <c r="CA287" s="683">
        <v>8.0</v>
      </c>
      <c r="CB287" s="683">
        <v>0.0</v>
      </c>
      <c r="CC287" s="683">
        <v>0.0</v>
      </c>
      <c r="CD287" s="683">
        <v>0.0</v>
      </c>
      <c r="CE287" s="683">
        <v>0.0</v>
      </c>
      <c r="CF287" s="683">
        <v>0.0</v>
      </c>
      <c r="CG287" s="683">
        <v>0.0</v>
      </c>
      <c r="CH287" s="686">
        <v>0.0</v>
      </c>
      <c r="CI287" s="665">
        <f t="shared" si="841"/>
        <v>25</v>
      </c>
      <c r="CJ287" s="682">
        <f t="shared" si="4"/>
        <v>33</v>
      </c>
      <c r="CK287" s="706">
        <v>83.87</v>
      </c>
      <c r="CL287" s="683">
        <f t="shared" si="845"/>
        <v>583.7352</v>
      </c>
      <c r="CM287" s="683">
        <f t="shared" ref="CM287:CV287" si="879">BC287*$CL287</f>
        <v>0</v>
      </c>
      <c r="CN287" s="683">
        <f t="shared" si="879"/>
        <v>0</v>
      </c>
      <c r="CO287" s="683">
        <f t="shared" si="879"/>
        <v>4669.8816</v>
      </c>
      <c r="CP287" s="683">
        <f t="shared" si="879"/>
        <v>0</v>
      </c>
      <c r="CQ287" s="683">
        <f t="shared" si="879"/>
        <v>0</v>
      </c>
      <c r="CR287" s="683">
        <f t="shared" si="879"/>
        <v>0</v>
      </c>
      <c r="CS287" s="683">
        <f t="shared" si="879"/>
        <v>0</v>
      </c>
      <c r="CT287" s="683">
        <f t="shared" si="879"/>
        <v>0</v>
      </c>
      <c r="CU287" s="683">
        <f t="shared" si="879"/>
        <v>0</v>
      </c>
      <c r="CV287" s="683">
        <f t="shared" si="879"/>
        <v>0</v>
      </c>
      <c r="CW287" s="683">
        <f t="shared" si="21"/>
        <v>4669.8816</v>
      </c>
      <c r="CX287" s="683">
        <f t="shared" ref="CX287:DG287" si="880">BN287*$CL287</f>
        <v>0</v>
      </c>
      <c r="CY287" s="683">
        <f t="shared" si="880"/>
        <v>0</v>
      </c>
      <c r="CZ287" s="683">
        <f t="shared" si="880"/>
        <v>0</v>
      </c>
      <c r="DA287" s="683">
        <f t="shared" si="880"/>
        <v>0</v>
      </c>
      <c r="DB287" s="683">
        <f t="shared" si="880"/>
        <v>0</v>
      </c>
      <c r="DC287" s="683">
        <f t="shared" si="880"/>
        <v>0</v>
      </c>
      <c r="DD287" s="683">
        <f t="shared" si="880"/>
        <v>0</v>
      </c>
      <c r="DE287" s="683">
        <f t="shared" si="880"/>
        <v>0</v>
      </c>
      <c r="DF287" s="683">
        <f t="shared" si="880"/>
        <v>0</v>
      </c>
      <c r="DG287" s="683">
        <f t="shared" si="880"/>
        <v>0</v>
      </c>
      <c r="DH287" s="683">
        <f t="shared" si="23"/>
        <v>0</v>
      </c>
      <c r="DI287" s="683">
        <f t="shared" ref="DI287:DR287" si="881">BY287*$CL287</f>
        <v>5837.352</v>
      </c>
      <c r="DJ287" s="683">
        <f t="shared" si="881"/>
        <v>4086.1464</v>
      </c>
      <c r="DK287" s="683">
        <f t="shared" si="881"/>
        <v>4669.8816</v>
      </c>
      <c r="DL287" s="683">
        <f t="shared" si="881"/>
        <v>0</v>
      </c>
      <c r="DM287" s="683">
        <f t="shared" si="881"/>
        <v>0</v>
      </c>
      <c r="DN287" s="683">
        <f t="shared" si="881"/>
        <v>0</v>
      </c>
      <c r="DO287" s="683">
        <f t="shared" si="881"/>
        <v>0</v>
      </c>
      <c r="DP287" s="683">
        <f t="shared" si="881"/>
        <v>0</v>
      </c>
      <c r="DQ287" s="683">
        <f t="shared" si="881"/>
        <v>0</v>
      </c>
      <c r="DR287" s="683">
        <f t="shared" si="881"/>
        <v>0</v>
      </c>
      <c r="DS287" s="683">
        <f t="shared" si="25"/>
        <v>14593.38</v>
      </c>
      <c r="DT287" s="683">
        <f t="shared" si="685"/>
        <v>19263.2616</v>
      </c>
      <c r="DU287" s="504"/>
      <c r="DV287" s="486"/>
      <c r="DW287" s="688"/>
      <c r="DX287" s="688"/>
      <c r="DY287" s="688"/>
      <c r="DZ287" s="688"/>
      <c r="EA287" s="688"/>
      <c r="EB287" s="688"/>
      <c r="EC287" s="688"/>
      <c r="ED287" s="688"/>
      <c r="EE287" s="688"/>
      <c r="EF287" s="688"/>
      <c r="EG287" s="688"/>
      <c r="EH287" s="707" t="s">
        <v>732</v>
      </c>
      <c r="EI287" s="708">
        <f>VLOOKUP(I287,CotizacionTDB,4,FALSE())</f>
        <v>83.87</v>
      </c>
      <c r="EJ287" s="708">
        <f>VLOOKUP(I287,CotizacionTDB,5,FALSE())</f>
        <v>71.29</v>
      </c>
      <c r="EK287" s="691"/>
    </row>
    <row r="288" ht="12.0" customHeight="1">
      <c r="A288" s="709" t="s">
        <v>3026</v>
      </c>
      <c r="B288" s="661">
        <v>2.0</v>
      </c>
      <c r="C288" s="567" t="s">
        <v>3027</v>
      </c>
      <c r="D288" s="568" t="s">
        <v>633</v>
      </c>
      <c r="E288" s="568" t="s">
        <v>2708</v>
      </c>
      <c r="F288" s="567" t="s">
        <v>1763</v>
      </c>
      <c r="G288" s="569" t="s">
        <v>2709</v>
      </c>
      <c r="H288" s="657" t="s">
        <v>2902</v>
      </c>
      <c r="I288" s="710" t="s">
        <v>2063</v>
      </c>
      <c r="J288" s="711" t="s">
        <v>882</v>
      </c>
      <c r="K288" s="567" t="s">
        <v>25</v>
      </c>
      <c r="L288" s="567">
        <v>2024.0</v>
      </c>
      <c r="M288" s="567">
        <v>2024.0</v>
      </c>
      <c r="N288" s="567">
        <v>2024.0</v>
      </c>
      <c r="O288" s="567"/>
      <c r="P288" s="567"/>
      <c r="Q288" s="567"/>
      <c r="R288" s="567"/>
      <c r="S288" s="567"/>
      <c r="T288" s="567"/>
      <c r="U288" s="567"/>
      <c r="V288" s="567"/>
      <c r="W288" s="567">
        <v>2.0</v>
      </c>
      <c r="X288" s="567">
        <v>3.0</v>
      </c>
      <c r="Y288" s="567">
        <v>2.0</v>
      </c>
      <c r="Z288" s="567"/>
      <c r="AA288" s="567"/>
      <c r="AB288" s="567"/>
      <c r="AC288" s="567"/>
      <c r="AD288" s="567"/>
      <c r="AE288" s="567"/>
      <c r="AF288" s="567"/>
      <c r="AG288" s="567"/>
      <c r="AH288" s="567"/>
      <c r="AI288" s="567"/>
      <c r="AJ288" s="567"/>
      <c r="AK288" s="567"/>
      <c r="AL288" s="567"/>
      <c r="AM288" s="567"/>
      <c r="AN288" s="567"/>
      <c r="AO288" s="567"/>
      <c r="AP288" s="567"/>
      <c r="AQ288" s="567"/>
      <c r="AR288" s="567">
        <v>-2024.0</v>
      </c>
      <c r="AS288" s="567">
        <v>-2024.0</v>
      </c>
      <c r="AT288" s="567">
        <v>-2024.0</v>
      </c>
      <c r="AU288" s="567">
        <v>0.0</v>
      </c>
      <c r="AV288" s="567">
        <v>0.0</v>
      </c>
      <c r="AW288" s="567">
        <v>0.0</v>
      </c>
      <c r="AX288" s="567">
        <v>0.0</v>
      </c>
      <c r="AY288" s="567">
        <v>0.0</v>
      </c>
      <c r="AZ288" s="567">
        <v>0.0</v>
      </c>
      <c r="BA288" s="567">
        <v>0.0</v>
      </c>
      <c r="BB288" s="567"/>
      <c r="BC288" s="567"/>
      <c r="BD288" s="567">
        <v>5.0</v>
      </c>
      <c r="BE288" s="567">
        <v>5.0</v>
      </c>
      <c r="BF288" s="567"/>
      <c r="BG288" s="567"/>
      <c r="BH288" s="567"/>
      <c r="BI288" s="567"/>
      <c r="BJ288" s="567"/>
      <c r="BK288" s="567"/>
      <c r="BL288" s="725"/>
      <c r="BM288" s="665">
        <f t="shared" si="1"/>
        <v>10</v>
      </c>
      <c r="BN288" s="671">
        <v>5.0</v>
      </c>
      <c r="BO288" s="668"/>
      <c r="BP288" s="668"/>
      <c r="BQ288" s="668"/>
      <c r="BR288" s="668"/>
      <c r="BS288" s="668"/>
      <c r="BT288" s="668"/>
      <c r="BU288" s="668"/>
      <c r="BV288" s="668"/>
      <c r="BW288" s="670"/>
      <c r="BX288" s="665">
        <f t="shared" si="840"/>
        <v>5</v>
      </c>
      <c r="BY288" s="671">
        <v>5.0</v>
      </c>
      <c r="BZ288" s="668">
        <v>0.0</v>
      </c>
      <c r="CA288" s="668">
        <v>5.0</v>
      </c>
      <c r="CB288" s="668">
        <v>0.0</v>
      </c>
      <c r="CC288" s="668">
        <v>0.0</v>
      </c>
      <c r="CD288" s="668">
        <v>0.0</v>
      </c>
      <c r="CE288" s="668">
        <v>0.0</v>
      </c>
      <c r="CF288" s="668">
        <v>0.0</v>
      </c>
      <c r="CG288" s="668">
        <v>0.0</v>
      </c>
      <c r="CH288" s="670">
        <v>0.0</v>
      </c>
      <c r="CI288" s="665">
        <f t="shared" si="841"/>
        <v>10</v>
      </c>
      <c r="CJ288" s="671">
        <f t="shared" si="4"/>
        <v>25</v>
      </c>
      <c r="CK288" s="715">
        <v>64.26</v>
      </c>
      <c r="CL288" s="668">
        <f t="shared" si="845"/>
        <v>447.2496</v>
      </c>
      <c r="CM288" s="668">
        <f t="shared" ref="CM288:CV288" si="882">BC288*$CL288</f>
        <v>0</v>
      </c>
      <c r="CN288" s="668">
        <f t="shared" si="882"/>
        <v>2236.248</v>
      </c>
      <c r="CO288" s="668">
        <f t="shared" si="882"/>
        <v>2236.248</v>
      </c>
      <c r="CP288" s="668">
        <f t="shared" si="882"/>
        <v>0</v>
      </c>
      <c r="CQ288" s="668">
        <f t="shared" si="882"/>
        <v>0</v>
      </c>
      <c r="CR288" s="668">
        <f t="shared" si="882"/>
        <v>0</v>
      </c>
      <c r="CS288" s="668">
        <f t="shared" si="882"/>
        <v>0</v>
      </c>
      <c r="CT288" s="668">
        <f t="shared" si="882"/>
        <v>0</v>
      </c>
      <c r="CU288" s="668">
        <f t="shared" si="882"/>
        <v>0</v>
      </c>
      <c r="CV288" s="668">
        <f t="shared" si="882"/>
        <v>0</v>
      </c>
      <c r="CW288" s="668">
        <f t="shared" si="21"/>
        <v>4472.496</v>
      </c>
      <c r="CX288" s="668">
        <f t="shared" ref="CX288:DG288" si="883">BN288*$CL288</f>
        <v>2236.248</v>
      </c>
      <c r="CY288" s="668">
        <f t="shared" si="883"/>
        <v>0</v>
      </c>
      <c r="CZ288" s="668">
        <f t="shared" si="883"/>
        <v>0</v>
      </c>
      <c r="DA288" s="668">
        <f t="shared" si="883"/>
        <v>0</v>
      </c>
      <c r="DB288" s="668">
        <f t="shared" si="883"/>
        <v>0</v>
      </c>
      <c r="DC288" s="668">
        <f t="shared" si="883"/>
        <v>0</v>
      </c>
      <c r="DD288" s="668">
        <f t="shared" si="883"/>
        <v>0</v>
      </c>
      <c r="DE288" s="668">
        <f t="shared" si="883"/>
        <v>0</v>
      </c>
      <c r="DF288" s="668">
        <f t="shared" si="883"/>
        <v>0</v>
      </c>
      <c r="DG288" s="668">
        <f t="shared" si="883"/>
        <v>0</v>
      </c>
      <c r="DH288" s="668">
        <f t="shared" si="23"/>
        <v>2236.248</v>
      </c>
      <c r="DI288" s="668">
        <f t="shared" ref="DI288:DR288" si="884">BY288*$CL288</f>
        <v>2236.248</v>
      </c>
      <c r="DJ288" s="668">
        <f t="shared" si="884"/>
        <v>0</v>
      </c>
      <c r="DK288" s="668">
        <f t="shared" si="884"/>
        <v>2236.248</v>
      </c>
      <c r="DL288" s="668">
        <f t="shared" si="884"/>
        <v>0</v>
      </c>
      <c r="DM288" s="668">
        <f t="shared" si="884"/>
        <v>0</v>
      </c>
      <c r="DN288" s="668">
        <f t="shared" si="884"/>
        <v>0</v>
      </c>
      <c r="DO288" s="668">
        <f t="shared" si="884"/>
        <v>0</v>
      </c>
      <c r="DP288" s="668">
        <f t="shared" si="884"/>
        <v>0</v>
      </c>
      <c r="DQ288" s="668">
        <f t="shared" si="884"/>
        <v>0</v>
      </c>
      <c r="DR288" s="668">
        <f t="shared" si="884"/>
        <v>0</v>
      </c>
      <c r="DS288" s="668">
        <f t="shared" si="25"/>
        <v>4472.496</v>
      </c>
      <c r="DT288" s="668">
        <f t="shared" si="685"/>
        <v>11181.24</v>
      </c>
      <c r="DU288" s="538"/>
      <c r="DV288" s="468"/>
      <c r="DW288" s="698"/>
      <c r="DX288" s="698"/>
      <c r="DY288" s="698"/>
      <c r="DZ288" s="698"/>
      <c r="EA288" s="698"/>
      <c r="EB288" s="698"/>
      <c r="EC288" s="698"/>
      <c r="ED288" s="698"/>
      <c r="EE288" s="698"/>
      <c r="EF288" s="698"/>
      <c r="EG288" s="698"/>
      <c r="EH288" s="576" t="s">
        <v>882</v>
      </c>
      <c r="EI288" s="716">
        <f>VLOOKUP(I288,CotizacionTDB,4,FALSE())</f>
        <v>64.26</v>
      </c>
      <c r="EJ288" s="716">
        <f>VLOOKUP(I288,CotizacionTDB,5,FALSE())</f>
        <v>54.62</v>
      </c>
      <c r="EK288" s="699"/>
    </row>
    <row r="289" ht="12.0" customHeight="1">
      <c r="A289" s="700" t="s">
        <v>3026</v>
      </c>
      <c r="B289" s="701">
        <v>2.0</v>
      </c>
      <c r="C289" s="562" t="s">
        <v>3027</v>
      </c>
      <c r="D289" s="571" t="s">
        <v>633</v>
      </c>
      <c r="E289" s="571" t="s">
        <v>2708</v>
      </c>
      <c r="F289" s="562" t="s">
        <v>1763</v>
      </c>
      <c r="G289" s="569" t="s">
        <v>2709</v>
      </c>
      <c r="H289" s="569" t="s">
        <v>3473</v>
      </c>
      <c r="I289" s="717" t="s">
        <v>2076</v>
      </c>
      <c r="J289" s="704" t="s">
        <v>921</v>
      </c>
      <c r="K289" s="562" t="s">
        <v>25</v>
      </c>
      <c r="L289" s="562">
        <v>2024.0</v>
      </c>
      <c r="M289" s="562">
        <v>2024.0</v>
      </c>
      <c r="N289" s="562">
        <v>2024.0</v>
      </c>
      <c r="O289" s="562"/>
      <c r="P289" s="562"/>
      <c r="Q289" s="562"/>
      <c r="R289" s="562"/>
      <c r="S289" s="562"/>
      <c r="T289" s="562"/>
      <c r="U289" s="562"/>
      <c r="V289" s="562"/>
      <c r="W289" s="562">
        <v>2.0</v>
      </c>
      <c r="X289" s="562">
        <v>3.0</v>
      </c>
      <c r="Y289" s="562">
        <v>2.0</v>
      </c>
      <c r="Z289" s="562"/>
      <c r="AA289" s="562"/>
      <c r="AB289" s="562"/>
      <c r="AC289" s="562"/>
      <c r="AD289" s="562"/>
      <c r="AE289" s="562"/>
      <c r="AF289" s="562"/>
      <c r="AG289" s="562"/>
      <c r="AH289" s="562"/>
      <c r="AI289" s="562"/>
      <c r="AJ289" s="562"/>
      <c r="AK289" s="562"/>
      <c r="AL289" s="562"/>
      <c r="AM289" s="562"/>
      <c r="AN289" s="562"/>
      <c r="AO289" s="562"/>
      <c r="AP289" s="562"/>
      <c r="AQ289" s="562"/>
      <c r="AR289" s="562">
        <v>-2024.0</v>
      </c>
      <c r="AS289" s="562">
        <v>-2024.0</v>
      </c>
      <c r="AT289" s="562">
        <v>-2024.0</v>
      </c>
      <c r="AU289" s="562">
        <v>0.0</v>
      </c>
      <c r="AV289" s="562">
        <v>0.0</v>
      </c>
      <c r="AW289" s="562">
        <v>0.0</v>
      </c>
      <c r="AX289" s="562">
        <v>0.0</v>
      </c>
      <c r="AY289" s="562">
        <v>0.0</v>
      </c>
      <c r="AZ289" s="562">
        <v>0.0</v>
      </c>
      <c r="BA289" s="562">
        <v>0.0</v>
      </c>
      <c r="BB289" s="562"/>
      <c r="BC289" s="562"/>
      <c r="BD289" s="562">
        <v>1.0</v>
      </c>
      <c r="BE289" s="562">
        <v>5.0</v>
      </c>
      <c r="BF289" s="562"/>
      <c r="BG289" s="562"/>
      <c r="BH289" s="562"/>
      <c r="BI289" s="562"/>
      <c r="BJ289" s="562"/>
      <c r="BK289" s="562"/>
      <c r="BL289" s="681"/>
      <c r="BM289" s="665">
        <f t="shared" si="1"/>
        <v>6</v>
      </c>
      <c r="BN289" s="682">
        <v>5.0</v>
      </c>
      <c r="BO289" s="683"/>
      <c r="BP289" s="683"/>
      <c r="BQ289" s="683"/>
      <c r="BR289" s="683"/>
      <c r="BS289" s="683"/>
      <c r="BT289" s="683"/>
      <c r="BU289" s="683"/>
      <c r="BV289" s="683"/>
      <c r="BW289" s="686"/>
      <c r="BX289" s="665">
        <f t="shared" si="840"/>
        <v>5</v>
      </c>
      <c r="BY289" s="682">
        <v>5.0</v>
      </c>
      <c r="BZ289" s="683">
        <v>0.0</v>
      </c>
      <c r="CA289" s="683">
        <v>5.0</v>
      </c>
      <c r="CB289" s="683">
        <v>0.0</v>
      </c>
      <c r="CC289" s="683">
        <v>0.0</v>
      </c>
      <c r="CD289" s="683">
        <v>0.0</v>
      </c>
      <c r="CE289" s="683">
        <v>0.0</v>
      </c>
      <c r="CF289" s="683">
        <v>0.0</v>
      </c>
      <c r="CG289" s="683">
        <v>0.0</v>
      </c>
      <c r="CH289" s="686">
        <v>0.0</v>
      </c>
      <c r="CI289" s="665">
        <f t="shared" si="841"/>
        <v>10</v>
      </c>
      <c r="CJ289" s="682">
        <f t="shared" si="4"/>
        <v>21</v>
      </c>
      <c r="CK289" s="706">
        <v>94.95</v>
      </c>
      <c r="CL289" s="683">
        <f t="shared" si="845"/>
        <v>660.852</v>
      </c>
      <c r="CM289" s="683">
        <f t="shared" ref="CM289:CV289" si="885">BC289*$CL289</f>
        <v>0</v>
      </c>
      <c r="CN289" s="683">
        <f t="shared" si="885"/>
        <v>660.852</v>
      </c>
      <c r="CO289" s="683">
        <f t="shared" si="885"/>
        <v>3304.26</v>
      </c>
      <c r="CP289" s="683">
        <f t="shared" si="885"/>
        <v>0</v>
      </c>
      <c r="CQ289" s="683">
        <f t="shared" si="885"/>
        <v>0</v>
      </c>
      <c r="CR289" s="683">
        <f t="shared" si="885"/>
        <v>0</v>
      </c>
      <c r="CS289" s="683">
        <f t="shared" si="885"/>
        <v>0</v>
      </c>
      <c r="CT289" s="683">
        <f t="shared" si="885"/>
        <v>0</v>
      </c>
      <c r="CU289" s="683">
        <f t="shared" si="885"/>
        <v>0</v>
      </c>
      <c r="CV289" s="683">
        <f t="shared" si="885"/>
        <v>0</v>
      </c>
      <c r="CW289" s="683">
        <f t="shared" si="21"/>
        <v>3965.112</v>
      </c>
      <c r="CX289" s="683">
        <f t="shared" ref="CX289:DG289" si="886">BN289*$CL289</f>
        <v>3304.26</v>
      </c>
      <c r="CY289" s="683">
        <f t="shared" si="886"/>
        <v>0</v>
      </c>
      <c r="CZ289" s="683">
        <f t="shared" si="886"/>
        <v>0</v>
      </c>
      <c r="DA289" s="683">
        <f t="shared" si="886"/>
        <v>0</v>
      </c>
      <c r="DB289" s="683">
        <f t="shared" si="886"/>
        <v>0</v>
      </c>
      <c r="DC289" s="683">
        <f t="shared" si="886"/>
        <v>0</v>
      </c>
      <c r="DD289" s="683">
        <f t="shared" si="886"/>
        <v>0</v>
      </c>
      <c r="DE289" s="683">
        <f t="shared" si="886"/>
        <v>0</v>
      </c>
      <c r="DF289" s="683">
        <f t="shared" si="886"/>
        <v>0</v>
      </c>
      <c r="DG289" s="683">
        <f t="shared" si="886"/>
        <v>0</v>
      </c>
      <c r="DH289" s="683">
        <f t="shared" si="23"/>
        <v>3304.26</v>
      </c>
      <c r="DI289" s="683">
        <f t="shared" ref="DI289:DR289" si="887">BY289*$CL289</f>
        <v>3304.26</v>
      </c>
      <c r="DJ289" s="683">
        <f t="shared" si="887"/>
        <v>0</v>
      </c>
      <c r="DK289" s="683">
        <f t="shared" si="887"/>
        <v>3304.26</v>
      </c>
      <c r="DL289" s="683">
        <f t="shared" si="887"/>
        <v>0</v>
      </c>
      <c r="DM289" s="683">
        <f t="shared" si="887"/>
        <v>0</v>
      </c>
      <c r="DN289" s="683">
        <f t="shared" si="887"/>
        <v>0</v>
      </c>
      <c r="DO289" s="683">
        <f t="shared" si="887"/>
        <v>0</v>
      </c>
      <c r="DP289" s="683">
        <f t="shared" si="887"/>
        <v>0</v>
      </c>
      <c r="DQ289" s="683">
        <f t="shared" si="887"/>
        <v>0</v>
      </c>
      <c r="DR289" s="683">
        <f t="shared" si="887"/>
        <v>0</v>
      </c>
      <c r="DS289" s="683">
        <f t="shared" si="25"/>
        <v>6608.52</v>
      </c>
      <c r="DT289" s="683">
        <f t="shared" si="685"/>
        <v>13877.892</v>
      </c>
      <c r="DU289" s="504"/>
      <c r="DV289" s="486"/>
      <c r="DW289" s="688"/>
      <c r="DX289" s="688"/>
      <c r="DY289" s="688"/>
      <c r="DZ289" s="688"/>
      <c r="EA289" s="688"/>
      <c r="EB289" s="688"/>
      <c r="EC289" s="688"/>
      <c r="ED289" s="688"/>
      <c r="EE289" s="688"/>
      <c r="EF289" s="688"/>
      <c r="EG289" s="688"/>
      <c r="EH289" s="707" t="s">
        <v>921</v>
      </c>
      <c r="EI289" s="708">
        <f>VLOOKUP(I289,CotizacionTDB,4,FALSE())</f>
        <v>94.95</v>
      </c>
      <c r="EJ289" s="708">
        <f>VLOOKUP(I289,CotizacionTDB,5,FALSE())</f>
        <v>80.71</v>
      </c>
      <c r="EK289" s="691"/>
    </row>
    <row r="290" ht="12.0" customHeight="1">
      <c r="A290" s="709" t="s">
        <v>3026</v>
      </c>
      <c r="B290" s="661">
        <v>2.0</v>
      </c>
      <c r="C290" s="567" t="s">
        <v>3027</v>
      </c>
      <c r="D290" s="568" t="s">
        <v>633</v>
      </c>
      <c r="E290" s="568" t="s">
        <v>2708</v>
      </c>
      <c r="F290" s="567" t="s">
        <v>1763</v>
      </c>
      <c r="G290" s="569" t="s">
        <v>2709</v>
      </c>
      <c r="H290" s="569" t="s">
        <v>3474</v>
      </c>
      <c r="I290" s="710" t="s">
        <v>2171</v>
      </c>
      <c r="J290" s="711" t="s">
        <v>904</v>
      </c>
      <c r="K290" s="567" t="s">
        <v>25</v>
      </c>
      <c r="L290" s="567">
        <v>2024.0</v>
      </c>
      <c r="M290" s="567">
        <v>2024.0</v>
      </c>
      <c r="N290" s="567">
        <v>2024.0</v>
      </c>
      <c r="O290" s="567"/>
      <c r="P290" s="567"/>
      <c r="Q290" s="567"/>
      <c r="R290" s="567"/>
      <c r="S290" s="567"/>
      <c r="T290" s="567"/>
      <c r="U290" s="567"/>
      <c r="V290" s="567"/>
      <c r="W290" s="567">
        <v>2.0</v>
      </c>
      <c r="X290" s="567">
        <v>3.0</v>
      </c>
      <c r="Y290" s="567">
        <v>2.0</v>
      </c>
      <c r="Z290" s="567"/>
      <c r="AA290" s="567"/>
      <c r="AB290" s="567"/>
      <c r="AC290" s="567"/>
      <c r="AD290" s="567"/>
      <c r="AE290" s="567"/>
      <c r="AF290" s="567"/>
      <c r="AG290" s="567"/>
      <c r="AH290" s="567"/>
      <c r="AI290" s="567"/>
      <c r="AJ290" s="567"/>
      <c r="AK290" s="567"/>
      <c r="AL290" s="567"/>
      <c r="AM290" s="567"/>
      <c r="AN290" s="567"/>
      <c r="AO290" s="567"/>
      <c r="AP290" s="567"/>
      <c r="AQ290" s="567"/>
      <c r="AR290" s="567">
        <v>-2024.0</v>
      </c>
      <c r="AS290" s="567">
        <v>-2024.0</v>
      </c>
      <c r="AT290" s="567">
        <v>-2024.0</v>
      </c>
      <c r="AU290" s="567">
        <v>0.0</v>
      </c>
      <c r="AV290" s="567">
        <v>0.0</v>
      </c>
      <c r="AW290" s="567">
        <v>0.0</v>
      </c>
      <c r="AX290" s="567">
        <v>0.0</v>
      </c>
      <c r="AY290" s="567">
        <v>0.0</v>
      </c>
      <c r="AZ290" s="567">
        <v>0.0</v>
      </c>
      <c r="BA290" s="567">
        <v>0.0</v>
      </c>
      <c r="BB290" s="567"/>
      <c r="BC290" s="567"/>
      <c r="BD290" s="567">
        <v>2.0</v>
      </c>
      <c r="BE290" s="567">
        <v>4.0</v>
      </c>
      <c r="BF290" s="567"/>
      <c r="BG290" s="567"/>
      <c r="BH290" s="567"/>
      <c r="BI290" s="567"/>
      <c r="BJ290" s="567"/>
      <c r="BK290" s="567"/>
      <c r="BL290" s="725"/>
      <c r="BM290" s="665">
        <f t="shared" si="1"/>
        <v>6</v>
      </c>
      <c r="BN290" s="671">
        <v>6.0</v>
      </c>
      <c r="BO290" s="668"/>
      <c r="BP290" s="668"/>
      <c r="BQ290" s="668"/>
      <c r="BR290" s="668"/>
      <c r="BS290" s="668"/>
      <c r="BT290" s="668"/>
      <c r="BU290" s="668"/>
      <c r="BV290" s="668"/>
      <c r="BW290" s="670"/>
      <c r="BX290" s="665">
        <f t="shared" si="840"/>
        <v>6</v>
      </c>
      <c r="BY290" s="671">
        <v>6.0</v>
      </c>
      <c r="BZ290" s="668">
        <v>0.0</v>
      </c>
      <c r="CA290" s="668">
        <v>4.0</v>
      </c>
      <c r="CB290" s="668">
        <v>0.0</v>
      </c>
      <c r="CC290" s="668">
        <v>0.0</v>
      </c>
      <c r="CD290" s="668">
        <v>0.0</v>
      </c>
      <c r="CE290" s="668">
        <v>0.0</v>
      </c>
      <c r="CF290" s="668">
        <v>0.0</v>
      </c>
      <c r="CG290" s="668">
        <v>0.0</v>
      </c>
      <c r="CH290" s="670">
        <v>0.0</v>
      </c>
      <c r="CI290" s="665">
        <f t="shared" si="841"/>
        <v>10</v>
      </c>
      <c r="CJ290" s="671">
        <f t="shared" si="4"/>
        <v>22</v>
      </c>
      <c r="CK290" s="715">
        <v>94.87</v>
      </c>
      <c r="CL290" s="668">
        <f t="shared" si="845"/>
        <v>660.2952</v>
      </c>
      <c r="CM290" s="668">
        <f t="shared" ref="CM290:CV290" si="888">BC290*$CL290</f>
        <v>0</v>
      </c>
      <c r="CN290" s="668">
        <f t="shared" si="888"/>
        <v>1320.5904</v>
      </c>
      <c r="CO290" s="668">
        <f t="shared" si="888"/>
        <v>2641.1808</v>
      </c>
      <c r="CP290" s="668">
        <f t="shared" si="888"/>
        <v>0</v>
      </c>
      <c r="CQ290" s="668">
        <f t="shared" si="888"/>
        <v>0</v>
      </c>
      <c r="CR290" s="668">
        <f t="shared" si="888"/>
        <v>0</v>
      </c>
      <c r="CS290" s="668">
        <f t="shared" si="888"/>
        <v>0</v>
      </c>
      <c r="CT290" s="668">
        <f t="shared" si="888"/>
        <v>0</v>
      </c>
      <c r="CU290" s="668">
        <f t="shared" si="888"/>
        <v>0</v>
      </c>
      <c r="CV290" s="668">
        <f t="shared" si="888"/>
        <v>0</v>
      </c>
      <c r="CW290" s="668">
        <f t="shared" si="21"/>
        <v>3961.7712</v>
      </c>
      <c r="CX290" s="668">
        <f t="shared" ref="CX290:DG290" si="889">BN290*$CL290</f>
        <v>3961.7712</v>
      </c>
      <c r="CY290" s="668">
        <f t="shared" si="889"/>
        <v>0</v>
      </c>
      <c r="CZ290" s="668">
        <f t="shared" si="889"/>
        <v>0</v>
      </c>
      <c r="DA290" s="668">
        <f t="shared" si="889"/>
        <v>0</v>
      </c>
      <c r="DB290" s="668">
        <f t="shared" si="889"/>
        <v>0</v>
      </c>
      <c r="DC290" s="668">
        <f t="shared" si="889"/>
        <v>0</v>
      </c>
      <c r="DD290" s="668">
        <f t="shared" si="889"/>
        <v>0</v>
      </c>
      <c r="DE290" s="668">
        <f t="shared" si="889"/>
        <v>0</v>
      </c>
      <c r="DF290" s="668">
        <f t="shared" si="889"/>
        <v>0</v>
      </c>
      <c r="DG290" s="668">
        <f t="shared" si="889"/>
        <v>0</v>
      </c>
      <c r="DH290" s="668">
        <f t="shared" si="23"/>
        <v>3961.7712</v>
      </c>
      <c r="DI290" s="668">
        <f t="shared" ref="DI290:DR290" si="890">BY290*$CL290</f>
        <v>3961.7712</v>
      </c>
      <c r="DJ290" s="668">
        <f t="shared" si="890"/>
        <v>0</v>
      </c>
      <c r="DK290" s="668">
        <f t="shared" si="890"/>
        <v>2641.1808</v>
      </c>
      <c r="DL290" s="668">
        <f t="shared" si="890"/>
        <v>0</v>
      </c>
      <c r="DM290" s="668">
        <f t="shared" si="890"/>
        <v>0</v>
      </c>
      <c r="DN290" s="668">
        <f t="shared" si="890"/>
        <v>0</v>
      </c>
      <c r="DO290" s="668">
        <f t="shared" si="890"/>
        <v>0</v>
      </c>
      <c r="DP290" s="668">
        <f t="shared" si="890"/>
        <v>0</v>
      </c>
      <c r="DQ290" s="668">
        <f t="shared" si="890"/>
        <v>0</v>
      </c>
      <c r="DR290" s="668">
        <f t="shared" si="890"/>
        <v>0</v>
      </c>
      <c r="DS290" s="668">
        <f t="shared" si="25"/>
        <v>6602.952</v>
      </c>
      <c r="DT290" s="668">
        <f t="shared" si="685"/>
        <v>14526.4944</v>
      </c>
      <c r="DU290" s="538"/>
      <c r="DV290" s="468"/>
      <c r="DW290" s="698"/>
      <c r="DX290" s="698"/>
      <c r="DY290" s="698"/>
      <c r="DZ290" s="698"/>
      <c r="EA290" s="698"/>
      <c r="EB290" s="698"/>
      <c r="EC290" s="698"/>
      <c r="ED290" s="698"/>
      <c r="EE290" s="698"/>
      <c r="EF290" s="698"/>
      <c r="EG290" s="698"/>
      <c r="EH290" s="576" t="s">
        <v>904</v>
      </c>
      <c r="EI290" s="716">
        <f>VLOOKUP(I290,CotizacionTDB,4,FALSE())</f>
        <v>94.87</v>
      </c>
      <c r="EJ290" s="716">
        <f>VLOOKUP(I290,CotizacionTDB,5,FALSE())</f>
        <v>80.64</v>
      </c>
      <c r="EK290" s="699"/>
    </row>
    <row r="291" ht="12.0" customHeight="1">
      <c r="A291" s="700" t="s">
        <v>3026</v>
      </c>
      <c r="B291" s="701">
        <v>2.0</v>
      </c>
      <c r="C291" s="562" t="s">
        <v>3027</v>
      </c>
      <c r="D291" s="571" t="s">
        <v>633</v>
      </c>
      <c r="E291" s="571" t="s">
        <v>2708</v>
      </c>
      <c r="F291" s="562" t="s">
        <v>1763</v>
      </c>
      <c r="G291" s="569" t="s">
        <v>2709</v>
      </c>
      <c r="H291" s="569" t="s">
        <v>2779</v>
      </c>
      <c r="I291" s="717" t="s">
        <v>2269</v>
      </c>
      <c r="J291" s="704" t="s">
        <v>1274</v>
      </c>
      <c r="K291" s="562" t="s">
        <v>25</v>
      </c>
      <c r="L291" s="562">
        <v>2024.0</v>
      </c>
      <c r="M291" s="562">
        <v>2024.0</v>
      </c>
      <c r="N291" s="562">
        <v>2024.0</v>
      </c>
      <c r="O291" s="562">
        <v>2024.0</v>
      </c>
      <c r="P291" s="562">
        <v>2024.0</v>
      </c>
      <c r="Q291" s="562">
        <v>2024.0</v>
      </c>
      <c r="R291" s="562"/>
      <c r="S291" s="562"/>
      <c r="T291" s="562"/>
      <c r="U291" s="562"/>
      <c r="V291" s="562"/>
      <c r="W291" s="562">
        <v>3.0</v>
      </c>
      <c r="X291" s="562">
        <v>3.0</v>
      </c>
      <c r="Y291" s="562">
        <v>3.0</v>
      </c>
      <c r="Z291" s="562">
        <v>2.0</v>
      </c>
      <c r="AA291" s="562">
        <v>2.0</v>
      </c>
      <c r="AB291" s="562">
        <v>2.0</v>
      </c>
      <c r="AC291" s="562"/>
      <c r="AD291" s="562"/>
      <c r="AE291" s="562"/>
      <c r="AF291" s="562"/>
      <c r="AG291" s="562"/>
      <c r="AH291" s="562"/>
      <c r="AI291" s="562"/>
      <c r="AJ291" s="562"/>
      <c r="AK291" s="562"/>
      <c r="AL291" s="562"/>
      <c r="AM291" s="562"/>
      <c r="AN291" s="562"/>
      <c r="AO291" s="562"/>
      <c r="AP291" s="562"/>
      <c r="AQ291" s="562"/>
      <c r="AR291" s="562">
        <v>-2024.0</v>
      </c>
      <c r="AS291" s="562">
        <v>-2024.0</v>
      </c>
      <c r="AT291" s="562">
        <v>-2024.0</v>
      </c>
      <c r="AU291" s="562">
        <v>-2024.0</v>
      </c>
      <c r="AV291" s="562">
        <v>-2024.0</v>
      </c>
      <c r="AW291" s="562">
        <v>-2024.0</v>
      </c>
      <c r="AX291" s="562">
        <v>0.0</v>
      </c>
      <c r="AY291" s="562">
        <v>0.0</v>
      </c>
      <c r="AZ291" s="562">
        <v>0.0</v>
      </c>
      <c r="BA291" s="562">
        <v>0.0</v>
      </c>
      <c r="BB291" s="562"/>
      <c r="BC291" s="681">
        <v>80.0</v>
      </c>
      <c r="BD291" s="681">
        <v>10.0</v>
      </c>
      <c r="BE291" s="681">
        <v>50.0</v>
      </c>
      <c r="BF291" s="681">
        <v>222.0</v>
      </c>
      <c r="BG291" s="681">
        <v>50.0</v>
      </c>
      <c r="BH291" s="681">
        <v>54.0</v>
      </c>
      <c r="BI291" s="562"/>
      <c r="BJ291" s="562"/>
      <c r="BK291" s="681"/>
      <c r="BL291" s="681"/>
      <c r="BM291" s="665">
        <f t="shared" si="1"/>
        <v>466</v>
      </c>
      <c r="BN291" s="686"/>
      <c r="BO291" s="686"/>
      <c r="BP291" s="686"/>
      <c r="BQ291" s="686"/>
      <c r="BR291" s="686"/>
      <c r="BS291" s="686"/>
      <c r="BT291" s="683"/>
      <c r="BU291" s="683"/>
      <c r="BV291" s="686"/>
      <c r="BW291" s="686"/>
      <c r="BX291" s="665">
        <f t="shared" si="840"/>
        <v>0</v>
      </c>
      <c r="BY291" s="682">
        <v>0.0</v>
      </c>
      <c r="BZ291" s="683">
        <v>0.0</v>
      </c>
      <c r="CA291" s="683">
        <v>0.0</v>
      </c>
      <c r="CB291" s="683">
        <v>222.0</v>
      </c>
      <c r="CC291" s="683">
        <v>50.0</v>
      </c>
      <c r="CD291" s="683">
        <v>54.0</v>
      </c>
      <c r="CE291" s="683">
        <v>0.0</v>
      </c>
      <c r="CF291" s="683">
        <v>0.0</v>
      </c>
      <c r="CG291" s="683">
        <v>0.0</v>
      </c>
      <c r="CH291" s="686">
        <v>0.0</v>
      </c>
      <c r="CI291" s="665">
        <f t="shared" si="841"/>
        <v>326</v>
      </c>
      <c r="CJ291" s="682">
        <f t="shared" si="4"/>
        <v>792</v>
      </c>
      <c r="CK291" s="706">
        <v>0.65</v>
      </c>
      <c r="CL291" s="683">
        <f t="shared" si="845"/>
        <v>4.524</v>
      </c>
      <c r="CM291" s="683">
        <f t="shared" ref="CM291:CV291" si="891">BC291*$CL291</f>
        <v>361.92</v>
      </c>
      <c r="CN291" s="683">
        <f t="shared" si="891"/>
        <v>45.24</v>
      </c>
      <c r="CO291" s="683">
        <f t="shared" si="891"/>
        <v>226.2</v>
      </c>
      <c r="CP291" s="683">
        <f t="shared" si="891"/>
        <v>1004.328</v>
      </c>
      <c r="CQ291" s="683">
        <f t="shared" si="891"/>
        <v>226.2</v>
      </c>
      <c r="CR291" s="683">
        <f t="shared" si="891"/>
        <v>244.296</v>
      </c>
      <c r="CS291" s="683">
        <f t="shared" si="891"/>
        <v>0</v>
      </c>
      <c r="CT291" s="683">
        <f t="shared" si="891"/>
        <v>0</v>
      </c>
      <c r="CU291" s="683">
        <f t="shared" si="891"/>
        <v>0</v>
      </c>
      <c r="CV291" s="683">
        <f t="shared" si="891"/>
        <v>0</v>
      </c>
      <c r="CW291" s="683">
        <f t="shared" si="21"/>
        <v>2108.184</v>
      </c>
      <c r="CX291" s="683">
        <f t="shared" ref="CX291:DG291" si="892">BN291*$CL291</f>
        <v>0</v>
      </c>
      <c r="CY291" s="683">
        <f t="shared" si="892"/>
        <v>0</v>
      </c>
      <c r="CZ291" s="683">
        <f t="shared" si="892"/>
        <v>0</v>
      </c>
      <c r="DA291" s="683">
        <f t="shared" si="892"/>
        <v>0</v>
      </c>
      <c r="DB291" s="683">
        <f t="shared" si="892"/>
        <v>0</v>
      </c>
      <c r="DC291" s="683">
        <f t="shared" si="892"/>
        <v>0</v>
      </c>
      <c r="DD291" s="683">
        <f t="shared" si="892"/>
        <v>0</v>
      </c>
      <c r="DE291" s="683">
        <f t="shared" si="892"/>
        <v>0</v>
      </c>
      <c r="DF291" s="683">
        <f t="shared" si="892"/>
        <v>0</v>
      </c>
      <c r="DG291" s="683">
        <f t="shared" si="892"/>
        <v>0</v>
      </c>
      <c r="DH291" s="683">
        <f t="shared" si="23"/>
        <v>0</v>
      </c>
      <c r="DI291" s="683">
        <f t="shared" ref="DI291:DR291" si="893">BY291*$CL291</f>
        <v>0</v>
      </c>
      <c r="DJ291" s="683">
        <f t="shared" si="893"/>
        <v>0</v>
      </c>
      <c r="DK291" s="683">
        <f t="shared" si="893"/>
        <v>0</v>
      </c>
      <c r="DL291" s="683">
        <f t="shared" si="893"/>
        <v>1004.328</v>
      </c>
      <c r="DM291" s="683">
        <f t="shared" si="893"/>
        <v>226.2</v>
      </c>
      <c r="DN291" s="683">
        <f t="shared" si="893"/>
        <v>244.296</v>
      </c>
      <c r="DO291" s="683">
        <f t="shared" si="893"/>
        <v>0</v>
      </c>
      <c r="DP291" s="683">
        <f t="shared" si="893"/>
        <v>0</v>
      </c>
      <c r="DQ291" s="683">
        <f t="shared" si="893"/>
        <v>0</v>
      </c>
      <c r="DR291" s="683">
        <f t="shared" si="893"/>
        <v>0</v>
      </c>
      <c r="DS291" s="683">
        <f t="shared" si="25"/>
        <v>1474.824</v>
      </c>
      <c r="DT291" s="683">
        <f t="shared" si="685"/>
        <v>3583.008</v>
      </c>
      <c r="DU291" s="504"/>
      <c r="DV291" s="486"/>
      <c r="DW291" s="911"/>
      <c r="DX291" s="486"/>
      <c r="DY291" s="486"/>
      <c r="DZ291" s="486"/>
      <c r="EA291" s="486"/>
      <c r="EB291" s="486"/>
      <c r="EC291" s="486"/>
      <c r="ED291" s="486"/>
      <c r="EE291" s="486"/>
      <c r="EF291" s="833"/>
      <c r="EG291" s="688"/>
      <c r="EH291" s="707" t="s">
        <v>3475</v>
      </c>
      <c r="EI291" s="708">
        <f>VLOOKUP(I291,CotizacionTDB,4,FALSE())</f>
        <v>0.65</v>
      </c>
      <c r="EJ291" s="708">
        <f>VLOOKUP(I291,CotizacionTDB,5,FALSE())</f>
        <v>0.55</v>
      </c>
      <c r="EK291" s="691"/>
    </row>
    <row r="292" ht="12.0" customHeight="1">
      <c r="A292" s="709" t="s">
        <v>3026</v>
      </c>
      <c r="B292" s="661">
        <v>2.0</v>
      </c>
      <c r="C292" s="567" t="s">
        <v>3027</v>
      </c>
      <c r="D292" s="568" t="s">
        <v>633</v>
      </c>
      <c r="E292" s="568" t="s">
        <v>2708</v>
      </c>
      <c r="F292" s="567" t="s">
        <v>1763</v>
      </c>
      <c r="G292" s="569" t="s">
        <v>2709</v>
      </c>
      <c r="H292" s="657" t="s">
        <v>3476</v>
      </c>
      <c r="I292" s="710" t="s">
        <v>2186</v>
      </c>
      <c r="J292" s="711" t="s">
        <v>859</v>
      </c>
      <c r="K292" s="567" t="s">
        <v>25</v>
      </c>
      <c r="L292" s="567"/>
      <c r="M292" s="567"/>
      <c r="N292" s="567"/>
      <c r="O292" s="567">
        <v>2024.0</v>
      </c>
      <c r="P292" s="567">
        <v>2024.0</v>
      </c>
      <c r="Q292" s="567">
        <v>2024.0</v>
      </c>
      <c r="R292" s="567"/>
      <c r="S292" s="567"/>
      <c r="T292" s="567"/>
      <c r="U292" s="567"/>
      <c r="V292" s="567"/>
      <c r="W292" s="567">
        <v>3.0</v>
      </c>
      <c r="X292" s="567"/>
      <c r="Y292" s="567"/>
      <c r="Z292" s="567">
        <v>10.0</v>
      </c>
      <c r="AA292" s="567">
        <v>2.0</v>
      </c>
      <c r="AB292" s="567">
        <v>2.0</v>
      </c>
      <c r="AC292" s="567"/>
      <c r="AD292" s="567"/>
      <c r="AE292" s="567"/>
      <c r="AF292" s="567"/>
      <c r="AG292" s="567"/>
      <c r="AH292" s="567"/>
      <c r="AI292" s="567"/>
      <c r="AJ292" s="567"/>
      <c r="AK292" s="567"/>
      <c r="AL292" s="567"/>
      <c r="AM292" s="567"/>
      <c r="AN292" s="567"/>
      <c r="AO292" s="567"/>
      <c r="AP292" s="567"/>
      <c r="AQ292" s="567"/>
      <c r="AR292" s="567">
        <v>0.0</v>
      </c>
      <c r="AS292" s="567">
        <v>0.0</v>
      </c>
      <c r="AT292" s="567">
        <v>0.0</v>
      </c>
      <c r="AU292" s="567">
        <v>-2024.0</v>
      </c>
      <c r="AV292" s="567">
        <v>-2024.0</v>
      </c>
      <c r="AW292" s="567">
        <v>-2024.0</v>
      </c>
      <c r="AX292" s="567">
        <v>0.0</v>
      </c>
      <c r="AY292" s="567">
        <v>0.0</v>
      </c>
      <c r="AZ292" s="567">
        <v>0.0</v>
      </c>
      <c r="BA292" s="567">
        <v>0.0</v>
      </c>
      <c r="BB292" s="567"/>
      <c r="BC292" s="567"/>
      <c r="BD292" s="567"/>
      <c r="BE292" s="661">
        <v>200.0</v>
      </c>
      <c r="BF292" s="567"/>
      <c r="BG292" s="567"/>
      <c r="BH292" s="567"/>
      <c r="BI292" s="567"/>
      <c r="BJ292" s="567"/>
      <c r="BK292" s="567"/>
      <c r="BL292" s="725"/>
      <c r="BM292" s="665">
        <f t="shared" si="1"/>
        <v>200</v>
      </c>
      <c r="BN292" s="668"/>
      <c r="BO292" s="668"/>
      <c r="BP292" s="674">
        <v>200.0</v>
      </c>
      <c r="BQ292" s="674">
        <v>1776.0</v>
      </c>
      <c r="BR292" s="674">
        <v>200.0</v>
      </c>
      <c r="BS292" s="674">
        <v>200.0</v>
      </c>
      <c r="BT292" s="668"/>
      <c r="BU292" s="668"/>
      <c r="BV292" s="668"/>
      <c r="BW292" s="670"/>
      <c r="BX292" s="665">
        <f t="shared" si="840"/>
        <v>2376</v>
      </c>
      <c r="BY292" s="674">
        <v>150.0</v>
      </c>
      <c r="BZ292" s="674">
        <v>50.0</v>
      </c>
      <c r="CA292" s="674">
        <v>200.0</v>
      </c>
      <c r="CB292" s="668">
        <v>0.0</v>
      </c>
      <c r="CC292" s="668">
        <v>200.0</v>
      </c>
      <c r="CD292" s="668">
        <v>200.0</v>
      </c>
      <c r="CE292" s="668">
        <v>0.0</v>
      </c>
      <c r="CF292" s="668">
        <v>0.0</v>
      </c>
      <c r="CG292" s="668">
        <v>0.0</v>
      </c>
      <c r="CH292" s="670">
        <v>0.0</v>
      </c>
      <c r="CI292" s="665">
        <f t="shared" si="841"/>
        <v>800</v>
      </c>
      <c r="CJ292" s="671">
        <f t="shared" si="4"/>
        <v>3376</v>
      </c>
      <c r="CK292" s="715">
        <v>1.0</v>
      </c>
      <c r="CL292" s="668">
        <f t="shared" si="845"/>
        <v>6.96</v>
      </c>
      <c r="CM292" s="668">
        <f t="shared" ref="CM292:CV292" si="894">BC292*$CL292</f>
        <v>0</v>
      </c>
      <c r="CN292" s="668">
        <f t="shared" si="894"/>
        <v>0</v>
      </c>
      <c r="CO292" s="668">
        <f t="shared" si="894"/>
        <v>1392</v>
      </c>
      <c r="CP292" s="668">
        <f t="shared" si="894"/>
        <v>0</v>
      </c>
      <c r="CQ292" s="668">
        <f t="shared" si="894"/>
        <v>0</v>
      </c>
      <c r="CR292" s="668">
        <f t="shared" si="894"/>
        <v>0</v>
      </c>
      <c r="CS292" s="668">
        <f t="shared" si="894"/>
        <v>0</v>
      </c>
      <c r="CT292" s="668">
        <f t="shared" si="894"/>
        <v>0</v>
      </c>
      <c r="CU292" s="668">
        <f t="shared" si="894"/>
        <v>0</v>
      </c>
      <c r="CV292" s="668">
        <f t="shared" si="894"/>
        <v>0</v>
      </c>
      <c r="CW292" s="668">
        <f t="shared" si="21"/>
        <v>1392</v>
      </c>
      <c r="CX292" s="668">
        <f t="shared" ref="CX292:DG292" si="895">BN292*$CL292</f>
        <v>0</v>
      </c>
      <c r="CY292" s="668">
        <f t="shared" si="895"/>
        <v>0</v>
      </c>
      <c r="CZ292" s="668">
        <f t="shared" si="895"/>
        <v>1392</v>
      </c>
      <c r="DA292" s="668">
        <f t="shared" si="895"/>
        <v>12360.96</v>
      </c>
      <c r="DB292" s="668">
        <f t="shared" si="895"/>
        <v>1392</v>
      </c>
      <c r="DC292" s="668">
        <f t="shared" si="895"/>
        <v>1392</v>
      </c>
      <c r="DD292" s="668">
        <f t="shared" si="895"/>
        <v>0</v>
      </c>
      <c r="DE292" s="668">
        <f t="shared" si="895"/>
        <v>0</v>
      </c>
      <c r="DF292" s="668">
        <f t="shared" si="895"/>
        <v>0</v>
      </c>
      <c r="DG292" s="668">
        <f t="shared" si="895"/>
        <v>0</v>
      </c>
      <c r="DH292" s="668">
        <f t="shared" si="23"/>
        <v>16536.96</v>
      </c>
      <c r="DI292" s="668">
        <f t="shared" ref="DI292:DR292" si="896">BY292*$CL292</f>
        <v>1044</v>
      </c>
      <c r="DJ292" s="668">
        <f t="shared" si="896"/>
        <v>348</v>
      </c>
      <c r="DK292" s="668">
        <f t="shared" si="896"/>
        <v>1392</v>
      </c>
      <c r="DL292" s="668">
        <f t="shared" si="896"/>
        <v>0</v>
      </c>
      <c r="DM292" s="668">
        <f t="shared" si="896"/>
        <v>1392</v>
      </c>
      <c r="DN292" s="668">
        <f t="shared" si="896"/>
        <v>1392</v>
      </c>
      <c r="DO292" s="668">
        <f t="shared" si="896"/>
        <v>0</v>
      </c>
      <c r="DP292" s="668">
        <f t="shared" si="896"/>
        <v>0</v>
      </c>
      <c r="DQ292" s="668">
        <f t="shared" si="896"/>
        <v>0</v>
      </c>
      <c r="DR292" s="668">
        <f t="shared" si="896"/>
        <v>0</v>
      </c>
      <c r="DS292" s="668">
        <f t="shared" si="25"/>
        <v>5568</v>
      </c>
      <c r="DT292" s="668">
        <f t="shared" si="685"/>
        <v>23496.96</v>
      </c>
      <c r="DU292" s="538"/>
      <c r="DV292" s="468"/>
      <c r="DW292" s="842"/>
      <c r="DX292" s="468"/>
      <c r="DY292" s="468"/>
      <c r="DZ292" s="468"/>
      <c r="EA292" s="468"/>
      <c r="EB292" s="468"/>
      <c r="EC292" s="468"/>
      <c r="ED292" s="468"/>
      <c r="EE292" s="468"/>
      <c r="EF292" s="909"/>
      <c r="EG292" s="698"/>
      <c r="EH292" s="576" t="s">
        <v>3477</v>
      </c>
      <c r="EI292" s="716">
        <f>VLOOKUP(I292,CotizacionTDB,4,FALSE())</f>
        <v>1</v>
      </c>
      <c r="EJ292" s="716">
        <f>VLOOKUP(I292,CotizacionTDB,5,FALSE())</f>
        <v>0.85</v>
      </c>
      <c r="EK292" s="699"/>
    </row>
    <row r="293" ht="12.0" customHeight="1">
      <c r="A293" s="700" t="s">
        <v>3026</v>
      </c>
      <c r="B293" s="701">
        <v>2.0</v>
      </c>
      <c r="C293" s="562" t="s">
        <v>3027</v>
      </c>
      <c r="D293" s="571" t="s">
        <v>633</v>
      </c>
      <c r="E293" s="571" t="s">
        <v>2708</v>
      </c>
      <c r="F293" s="562" t="s">
        <v>1763</v>
      </c>
      <c r="G293" s="569" t="s">
        <v>2709</v>
      </c>
      <c r="H293" s="569" t="s">
        <v>3478</v>
      </c>
      <c r="I293" s="717" t="s">
        <v>1869</v>
      </c>
      <c r="J293" s="704" t="s">
        <v>1445</v>
      </c>
      <c r="K293" s="562" t="s">
        <v>25</v>
      </c>
      <c r="L293" s="562"/>
      <c r="M293" s="562"/>
      <c r="N293" s="562"/>
      <c r="O293" s="562">
        <v>2024.0</v>
      </c>
      <c r="P293" s="562">
        <v>2024.0</v>
      </c>
      <c r="Q293" s="562">
        <v>2024.0</v>
      </c>
      <c r="R293" s="562"/>
      <c r="S293" s="562"/>
      <c r="T293" s="562"/>
      <c r="U293" s="562"/>
      <c r="V293" s="562"/>
      <c r="W293" s="562">
        <v>3.0</v>
      </c>
      <c r="X293" s="562"/>
      <c r="Y293" s="562"/>
      <c r="Z293" s="562">
        <v>5.0</v>
      </c>
      <c r="AA293" s="562">
        <v>5.0</v>
      </c>
      <c r="AB293" s="562">
        <v>5.0</v>
      </c>
      <c r="AC293" s="562"/>
      <c r="AD293" s="562"/>
      <c r="AE293" s="562"/>
      <c r="AF293" s="562"/>
      <c r="AG293" s="562"/>
      <c r="AH293" s="562"/>
      <c r="AI293" s="562"/>
      <c r="AJ293" s="562"/>
      <c r="AK293" s="562"/>
      <c r="AL293" s="562"/>
      <c r="AM293" s="562"/>
      <c r="AN293" s="562"/>
      <c r="AO293" s="562"/>
      <c r="AP293" s="562"/>
      <c r="AQ293" s="562"/>
      <c r="AR293" s="562">
        <v>0.0</v>
      </c>
      <c r="AS293" s="562">
        <v>0.0</v>
      </c>
      <c r="AT293" s="562">
        <v>0.0</v>
      </c>
      <c r="AU293" s="562">
        <v>-2024.0</v>
      </c>
      <c r="AV293" s="562">
        <v>-2024.0</v>
      </c>
      <c r="AW293" s="562">
        <v>-2024.0</v>
      </c>
      <c r="AX293" s="562">
        <v>0.0</v>
      </c>
      <c r="AY293" s="562">
        <v>0.0</v>
      </c>
      <c r="AZ293" s="562">
        <v>0.0</v>
      </c>
      <c r="BA293" s="562">
        <v>0.0</v>
      </c>
      <c r="BB293" s="562"/>
      <c r="BC293" s="723">
        <v>2.0</v>
      </c>
      <c r="BD293" s="723">
        <v>1.0</v>
      </c>
      <c r="BE293" s="723">
        <v>2.0</v>
      </c>
      <c r="BF293" s="681">
        <v>20.0</v>
      </c>
      <c r="BG293" s="681">
        <v>50.0</v>
      </c>
      <c r="BH293" s="681">
        <v>50.0</v>
      </c>
      <c r="BI293" s="681"/>
      <c r="BJ293" s="681"/>
      <c r="BK293" s="681"/>
      <c r="BL293" s="681"/>
      <c r="BM293" s="665">
        <f t="shared" si="1"/>
        <v>125</v>
      </c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  <c r="BX293" s="665">
        <f t="shared" si="840"/>
        <v>0</v>
      </c>
      <c r="BY293" s="683">
        <v>0.0</v>
      </c>
      <c r="BZ293" s="683">
        <v>0.0</v>
      </c>
      <c r="CA293" s="683">
        <v>0.0</v>
      </c>
      <c r="CB293" s="683">
        <v>0.0</v>
      </c>
      <c r="CC293" s="683">
        <v>0.0</v>
      </c>
      <c r="CD293" s="683">
        <v>0.0</v>
      </c>
      <c r="CE293" s="683">
        <v>0.0</v>
      </c>
      <c r="CF293" s="683">
        <v>0.0</v>
      </c>
      <c r="CG293" s="683">
        <v>0.0</v>
      </c>
      <c r="CH293" s="686">
        <v>0.0</v>
      </c>
      <c r="CI293" s="665">
        <f t="shared" si="841"/>
        <v>0</v>
      </c>
      <c r="CJ293" s="682">
        <f t="shared" si="4"/>
        <v>125</v>
      </c>
      <c r="CK293" s="706">
        <v>1.5</v>
      </c>
      <c r="CL293" s="683">
        <f t="shared" si="845"/>
        <v>10.44</v>
      </c>
      <c r="CM293" s="683">
        <f t="shared" ref="CM293:CV293" si="897">BC293*$CL293</f>
        <v>20.88</v>
      </c>
      <c r="CN293" s="683">
        <f t="shared" si="897"/>
        <v>10.44</v>
      </c>
      <c r="CO293" s="683">
        <f t="shared" si="897"/>
        <v>20.88</v>
      </c>
      <c r="CP293" s="683">
        <f t="shared" si="897"/>
        <v>208.8</v>
      </c>
      <c r="CQ293" s="683">
        <f t="shared" si="897"/>
        <v>522</v>
      </c>
      <c r="CR293" s="683">
        <f t="shared" si="897"/>
        <v>522</v>
      </c>
      <c r="CS293" s="683">
        <f t="shared" si="897"/>
        <v>0</v>
      </c>
      <c r="CT293" s="683">
        <f t="shared" si="897"/>
        <v>0</v>
      </c>
      <c r="CU293" s="683">
        <f t="shared" si="897"/>
        <v>0</v>
      </c>
      <c r="CV293" s="683">
        <f t="shared" si="897"/>
        <v>0</v>
      </c>
      <c r="CW293" s="683">
        <f t="shared" si="21"/>
        <v>1305</v>
      </c>
      <c r="CX293" s="683">
        <f t="shared" ref="CX293:DG293" si="898">BN293*$CL293</f>
        <v>0</v>
      </c>
      <c r="CY293" s="683">
        <f t="shared" si="898"/>
        <v>0</v>
      </c>
      <c r="CZ293" s="683">
        <f t="shared" si="898"/>
        <v>0</v>
      </c>
      <c r="DA293" s="683">
        <f t="shared" si="898"/>
        <v>0</v>
      </c>
      <c r="DB293" s="683">
        <f t="shared" si="898"/>
        <v>0</v>
      </c>
      <c r="DC293" s="683">
        <f t="shared" si="898"/>
        <v>0</v>
      </c>
      <c r="DD293" s="683">
        <f t="shared" si="898"/>
        <v>0</v>
      </c>
      <c r="DE293" s="683">
        <f t="shared" si="898"/>
        <v>0</v>
      </c>
      <c r="DF293" s="683">
        <f t="shared" si="898"/>
        <v>0</v>
      </c>
      <c r="DG293" s="683">
        <f t="shared" si="898"/>
        <v>0</v>
      </c>
      <c r="DH293" s="683">
        <f t="shared" si="23"/>
        <v>0</v>
      </c>
      <c r="DI293" s="683">
        <f t="shared" ref="DI293:DR293" si="899">BY293*$CL293</f>
        <v>0</v>
      </c>
      <c r="DJ293" s="683">
        <f t="shared" si="899"/>
        <v>0</v>
      </c>
      <c r="DK293" s="683">
        <f t="shared" si="899"/>
        <v>0</v>
      </c>
      <c r="DL293" s="683">
        <f t="shared" si="899"/>
        <v>0</v>
      </c>
      <c r="DM293" s="683">
        <f t="shared" si="899"/>
        <v>0</v>
      </c>
      <c r="DN293" s="683">
        <f t="shared" si="899"/>
        <v>0</v>
      </c>
      <c r="DO293" s="683">
        <f t="shared" si="899"/>
        <v>0</v>
      </c>
      <c r="DP293" s="683">
        <f t="shared" si="899"/>
        <v>0</v>
      </c>
      <c r="DQ293" s="683">
        <f t="shared" si="899"/>
        <v>0</v>
      </c>
      <c r="DR293" s="683">
        <f t="shared" si="899"/>
        <v>0</v>
      </c>
      <c r="DS293" s="683">
        <f t="shared" si="25"/>
        <v>0</v>
      </c>
      <c r="DT293" s="683">
        <f t="shared" si="685"/>
        <v>1305</v>
      </c>
      <c r="DU293" s="504"/>
      <c r="DV293" s="486"/>
      <c r="DW293" s="911"/>
      <c r="DX293" s="486"/>
      <c r="DY293" s="486"/>
      <c r="DZ293" s="486"/>
      <c r="EA293" s="486"/>
      <c r="EB293" s="486"/>
      <c r="EC293" s="486"/>
      <c r="ED293" s="486"/>
      <c r="EE293" s="486"/>
      <c r="EF293" s="833"/>
      <c r="EG293" s="688"/>
      <c r="EH293" s="707" t="s">
        <v>1445</v>
      </c>
      <c r="EI293" s="708">
        <f>VLOOKUP(I293,CotizacionTDB,4,FALSE())</f>
        <v>1.5</v>
      </c>
      <c r="EJ293" s="708">
        <f>VLOOKUP(I293,CotizacionTDB,5,FALSE())</f>
        <v>1.28</v>
      </c>
      <c r="EK293" s="691"/>
    </row>
    <row r="294" ht="12.0" customHeight="1">
      <c r="A294" s="709" t="s">
        <v>3026</v>
      </c>
      <c r="B294" s="661">
        <v>2.0</v>
      </c>
      <c r="C294" s="567" t="s">
        <v>3027</v>
      </c>
      <c r="D294" s="568" t="s">
        <v>633</v>
      </c>
      <c r="E294" s="568" t="s">
        <v>2708</v>
      </c>
      <c r="F294" s="567" t="s">
        <v>1763</v>
      </c>
      <c r="G294" s="569" t="s">
        <v>2709</v>
      </c>
      <c r="H294" s="569" t="s">
        <v>3085</v>
      </c>
      <c r="I294" s="710" t="s">
        <v>2264</v>
      </c>
      <c r="J294" s="711" t="s">
        <v>1647</v>
      </c>
      <c r="K294" s="567" t="s">
        <v>25</v>
      </c>
      <c r="L294" s="567"/>
      <c r="M294" s="567"/>
      <c r="N294" s="567"/>
      <c r="O294" s="567">
        <v>2024.0</v>
      </c>
      <c r="P294" s="567">
        <v>2024.0</v>
      </c>
      <c r="Q294" s="567">
        <v>2024.0</v>
      </c>
      <c r="R294" s="567"/>
      <c r="S294" s="567"/>
      <c r="T294" s="567"/>
      <c r="U294" s="567"/>
      <c r="V294" s="567"/>
      <c r="W294" s="567">
        <v>3.0</v>
      </c>
      <c r="X294" s="567"/>
      <c r="Y294" s="567"/>
      <c r="Z294" s="567">
        <v>10.0</v>
      </c>
      <c r="AA294" s="567">
        <v>3.0</v>
      </c>
      <c r="AB294" s="567">
        <v>3.0</v>
      </c>
      <c r="AC294" s="567"/>
      <c r="AD294" s="567"/>
      <c r="AE294" s="567"/>
      <c r="AF294" s="567"/>
      <c r="AG294" s="567"/>
      <c r="AH294" s="567"/>
      <c r="AI294" s="567"/>
      <c r="AJ294" s="567"/>
      <c r="AK294" s="567"/>
      <c r="AL294" s="567"/>
      <c r="AM294" s="567"/>
      <c r="AN294" s="567"/>
      <c r="AO294" s="567"/>
      <c r="AP294" s="567"/>
      <c r="AQ294" s="567"/>
      <c r="AR294" s="567">
        <v>0.0</v>
      </c>
      <c r="AS294" s="567">
        <v>0.0</v>
      </c>
      <c r="AT294" s="567">
        <v>0.0</v>
      </c>
      <c r="AU294" s="567">
        <v>-2024.0</v>
      </c>
      <c r="AV294" s="567">
        <v>-2024.0</v>
      </c>
      <c r="AW294" s="567">
        <v>-2024.0</v>
      </c>
      <c r="AX294" s="567">
        <v>0.0</v>
      </c>
      <c r="AY294" s="567">
        <v>0.0</v>
      </c>
      <c r="AZ294" s="567">
        <v>0.0</v>
      </c>
      <c r="BA294" s="567">
        <v>0.0</v>
      </c>
      <c r="BB294" s="567"/>
      <c r="BC294" s="712">
        <v>4.0</v>
      </c>
      <c r="BD294" s="725"/>
      <c r="BE294" s="712">
        <v>4.0</v>
      </c>
      <c r="BF294" s="725">
        <v>50.0</v>
      </c>
      <c r="BG294" s="725">
        <v>50.0</v>
      </c>
      <c r="BH294" s="725">
        <v>50.0</v>
      </c>
      <c r="BI294" s="725"/>
      <c r="BJ294" s="725"/>
      <c r="BK294" s="725"/>
      <c r="BL294" s="725"/>
      <c r="BM294" s="665">
        <f t="shared" si="1"/>
        <v>158</v>
      </c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  <c r="BX294" s="665">
        <f t="shared" si="840"/>
        <v>0</v>
      </c>
      <c r="BY294" s="668">
        <v>0.0</v>
      </c>
      <c r="BZ294" s="668">
        <v>0.0</v>
      </c>
      <c r="CA294" s="668">
        <v>0.0</v>
      </c>
      <c r="CB294" s="668">
        <v>0.0</v>
      </c>
      <c r="CC294" s="668">
        <v>0.0</v>
      </c>
      <c r="CD294" s="668">
        <v>0.0</v>
      </c>
      <c r="CE294" s="668">
        <v>0.0</v>
      </c>
      <c r="CF294" s="668">
        <v>0.0</v>
      </c>
      <c r="CG294" s="668">
        <v>0.0</v>
      </c>
      <c r="CH294" s="670">
        <v>0.0</v>
      </c>
      <c r="CI294" s="665">
        <f t="shared" si="841"/>
        <v>0</v>
      </c>
      <c r="CJ294" s="671">
        <f t="shared" si="4"/>
        <v>158</v>
      </c>
      <c r="CK294" s="715">
        <v>0.23</v>
      </c>
      <c r="CL294" s="668">
        <f t="shared" si="845"/>
        <v>1.6008</v>
      </c>
      <c r="CM294" s="668">
        <f t="shared" ref="CM294:CV294" si="900">BC294*$CL294</f>
        <v>6.4032</v>
      </c>
      <c r="CN294" s="668">
        <f t="shared" si="900"/>
        <v>0</v>
      </c>
      <c r="CO294" s="668">
        <f t="shared" si="900"/>
        <v>6.4032</v>
      </c>
      <c r="CP294" s="668">
        <f t="shared" si="900"/>
        <v>80.04</v>
      </c>
      <c r="CQ294" s="668">
        <f t="shared" si="900"/>
        <v>80.04</v>
      </c>
      <c r="CR294" s="668">
        <f t="shared" si="900"/>
        <v>80.04</v>
      </c>
      <c r="CS294" s="668">
        <f t="shared" si="900"/>
        <v>0</v>
      </c>
      <c r="CT294" s="668">
        <f t="shared" si="900"/>
        <v>0</v>
      </c>
      <c r="CU294" s="668">
        <f t="shared" si="900"/>
        <v>0</v>
      </c>
      <c r="CV294" s="668">
        <f t="shared" si="900"/>
        <v>0</v>
      </c>
      <c r="CW294" s="668">
        <f t="shared" si="21"/>
        <v>252.9264</v>
      </c>
      <c r="CX294" s="668">
        <f t="shared" ref="CX294:DG294" si="901">BN294*$CL294</f>
        <v>0</v>
      </c>
      <c r="CY294" s="668">
        <f t="shared" si="901"/>
        <v>0</v>
      </c>
      <c r="CZ294" s="668">
        <f t="shared" si="901"/>
        <v>0</v>
      </c>
      <c r="DA294" s="668">
        <f t="shared" si="901"/>
        <v>0</v>
      </c>
      <c r="DB294" s="668">
        <f t="shared" si="901"/>
        <v>0</v>
      </c>
      <c r="DC294" s="668">
        <f t="shared" si="901"/>
        <v>0</v>
      </c>
      <c r="DD294" s="668">
        <f t="shared" si="901"/>
        <v>0</v>
      </c>
      <c r="DE294" s="668">
        <f t="shared" si="901"/>
        <v>0</v>
      </c>
      <c r="DF294" s="668">
        <f t="shared" si="901"/>
        <v>0</v>
      </c>
      <c r="DG294" s="668">
        <f t="shared" si="901"/>
        <v>0</v>
      </c>
      <c r="DH294" s="668">
        <f t="shared" si="23"/>
        <v>0</v>
      </c>
      <c r="DI294" s="668">
        <f t="shared" ref="DI294:DR294" si="902">BY294*$CL294</f>
        <v>0</v>
      </c>
      <c r="DJ294" s="668">
        <f t="shared" si="902"/>
        <v>0</v>
      </c>
      <c r="DK294" s="668">
        <f t="shared" si="902"/>
        <v>0</v>
      </c>
      <c r="DL294" s="668">
        <f t="shared" si="902"/>
        <v>0</v>
      </c>
      <c r="DM294" s="668">
        <f t="shared" si="902"/>
        <v>0</v>
      </c>
      <c r="DN294" s="668">
        <f t="shared" si="902"/>
        <v>0</v>
      </c>
      <c r="DO294" s="668">
        <f t="shared" si="902"/>
        <v>0</v>
      </c>
      <c r="DP294" s="668">
        <f t="shared" si="902"/>
        <v>0</v>
      </c>
      <c r="DQ294" s="668">
        <f t="shared" si="902"/>
        <v>0</v>
      </c>
      <c r="DR294" s="668">
        <f t="shared" si="902"/>
        <v>0</v>
      </c>
      <c r="DS294" s="668">
        <f t="shared" si="25"/>
        <v>0</v>
      </c>
      <c r="DT294" s="668">
        <f t="shared" si="685"/>
        <v>252.9264</v>
      </c>
      <c r="DU294" s="538"/>
      <c r="DV294" s="468"/>
      <c r="DW294" s="842"/>
      <c r="DX294" s="468"/>
      <c r="DY294" s="468"/>
      <c r="DZ294" s="468"/>
      <c r="EA294" s="468"/>
      <c r="EB294" s="468"/>
      <c r="EC294" s="468"/>
      <c r="ED294" s="468"/>
      <c r="EE294" s="468"/>
      <c r="EF294" s="909"/>
      <c r="EG294" s="698"/>
      <c r="EH294" s="576" t="s">
        <v>3479</v>
      </c>
      <c r="EI294" s="716">
        <f>VLOOKUP(I294,CotizacionTDB,4,FALSE())</f>
        <v>0.23</v>
      </c>
      <c r="EJ294" s="716">
        <f>VLOOKUP(I294,CotizacionTDB,5,FALSE())</f>
        <v>0.2</v>
      </c>
      <c r="EK294" s="699"/>
    </row>
    <row r="295" ht="12.0" customHeight="1">
      <c r="A295" s="700" t="s">
        <v>3026</v>
      </c>
      <c r="B295" s="701">
        <v>2.0</v>
      </c>
      <c r="C295" s="562" t="s">
        <v>3027</v>
      </c>
      <c r="D295" s="571" t="s">
        <v>633</v>
      </c>
      <c r="E295" s="571" t="s">
        <v>2708</v>
      </c>
      <c r="F295" s="562" t="s">
        <v>1763</v>
      </c>
      <c r="G295" s="702" t="s">
        <v>2709</v>
      </c>
      <c r="H295" s="569" t="s">
        <v>3480</v>
      </c>
      <c r="I295" s="703" t="s">
        <v>1857</v>
      </c>
      <c r="J295" s="704" t="s">
        <v>1219</v>
      </c>
      <c r="K295" s="562" t="s">
        <v>25</v>
      </c>
      <c r="L295" s="562">
        <v>2024.0</v>
      </c>
      <c r="M295" s="562">
        <v>2024.0</v>
      </c>
      <c r="N295" s="562">
        <v>2024.0</v>
      </c>
      <c r="O295" s="562">
        <v>2024.0</v>
      </c>
      <c r="P295" s="562">
        <v>2024.0</v>
      </c>
      <c r="Q295" s="562">
        <v>2024.0</v>
      </c>
      <c r="R295" s="562"/>
      <c r="S295" s="562"/>
      <c r="T295" s="562"/>
      <c r="U295" s="562"/>
      <c r="V295" s="562"/>
      <c r="W295" s="562">
        <v>3.0</v>
      </c>
      <c r="X295" s="562">
        <v>3.0</v>
      </c>
      <c r="Y295" s="562">
        <v>3.0</v>
      </c>
      <c r="Z295" s="562">
        <v>2.0</v>
      </c>
      <c r="AA295" s="562">
        <v>2.0</v>
      </c>
      <c r="AB295" s="562">
        <v>2.0</v>
      </c>
      <c r="AC295" s="562"/>
      <c r="AD295" s="562"/>
      <c r="AE295" s="562"/>
      <c r="AF295" s="562"/>
      <c r="AG295" s="562"/>
      <c r="AH295" s="562"/>
      <c r="AI295" s="562"/>
      <c r="AJ295" s="562"/>
      <c r="AK295" s="562"/>
      <c r="AL295" s="562"/>
      <c r="AM295" s="562"/>
      <c r="AN295" s="562"/>
      <c r="AO295" s="562"/>
      <c r="AP295" s="562"/>
      <c r="AQ295" s="562"/>
      <c r="AR295" s="562">
        <v>-2024.0</v>
      </c>
      <c r="AS295" s="562">
        <v>-2024.0</v>
      </c>
      <c r="AT295" s="562">
        <v>-2024.0</v>
      </c>
      <c r="AU295" s="562">
        <v>-2024.0</v>
      </c>
      <c r="AV295" s="562">
        <v>-2024.0</v>
      </c>
      <c r="AW295" s="562">
        <v>-2024.0</v>
      </c>
      <c r="AX295" s="562">
        <v>0.0</v>
      </c>
      <c r="AY295" s="562">
        <v>0.0</v>
      </c>
      <c r="AZ295" s="562">
        <v>0.0</v>
      </c>
      <c r="BA295" s="562">
        <v>0.0</v>
      </c>
      <c r="BB295" s="562"/>
      <c r="BC295" s="723">
        <v>0.0</v>
      </c>
      <c r="BD295" s="681"/>
      <c r="BE295" s="762"/>
      <c r="BF295" s="762"/>
      <c r="BG295" s="762"/>
      <c r="BH295" s="762"/>
      <c r="BI295" s="681"/>
      <c r="BJ295" s="681"/>
      <c r="BK295" s="681"/>
      <c r="BL295" s="741"/>
      <c r="BM295" s="665">
        <f t="shared" si="1"/>
        <v>0</v>
      </c>
      <c r="BN295" s="912">
        <v>80.0</v>
      </c>
      <c r="BO295" s="912">
        <v>20.0</v>
      </c>
      <c r="BP295" s="763">
        <v>50.0</v>
      </c>
      <c r="BQ295" s="763">
        <v>222.0</v>
      </c>
      <c r="BR295" s="763">
        <v>50.0</v>
      </c>
      <c r="BS295" s="763">
        <v>50.0</v>
      </c>
      <c r="BT295" s="686"/>
      <c r="BU295" s="686"/>
      <c r="BV295" s="686"/>
      <c r="BW295" s="686"/>
      <c r="BX295" s="665">
        <f t="shared" si="840"/>
        <v>472</v>
      </c>
      <c r="BY295" s="683">
        <v>0.0</v>
      </c>
      <c r="BZ295" s="687"/>
      <c r="CA295" s="683">
        <v>0.0</v>
      </c>
      <c r="CB295" s="683">
        <v>222.0</v>
      </c>
      <c r="CC295" s="683">
        <v>50.0</v>
      </c>
      <c r="CD295" s="786">
        <v>50.0</v>
      </c>
      <c r="CE295" s="683">
        <v>0.0</v>
      </c>
      <c r="CF295" s="683">
        <v>0.0</v>
      </c>
      <c r="CG295" s="683">
        <v>0.0</v>
      </c>
      <c r="CH295" s="724">
        <v>20.0</v>
      </c>
      <c r="CI295" s="665">
        <f t="shared" si="841"/>
        <v>342</v>
      </c>
      <c r="CJ295" s="682">
        <f t="shared" si="4"/>
        <v>814</v>
      </c>
      <c r="CK295" s="706">
        <v>1.89</v>
      </c>
      <c r="CL295" s="683">
        <f t="shared" si="845"/>
        <v>13.1544</v>
      </c>
      <c r="CM295" s="683">
        <f t="shared" ref="CM295:CV295" si="903">BC295*$CL295</f>
        <v>0</v>
      </c>
      <c r="CN295" s="683">
        <f t="shared" si="903"/>
        <v>0</v>
      </c>
      <c r="CO295" s="683">
        <f t="shared" si="903"/>
        <v>0</v>
      </c>
      <c r="CP295" s="683">
        <f t="shared" si="903"/>
        <v>0</v>
      </c>
      <c r="CQ295" s="683">
        <f t="shared" si="903"/>
        <v>0</v>
      </c>
      <c r="CR295" s="683">
        <f t="shared" si="903"/>
        <v>0</v>
      </c>
      <c r="CS295" s="683">
        <f t="shared" si="903"/>
        <v>0</v>
      </c>
      <c r="CT295" s="683">
        <f t="shared" si="903"/>
        <v>0</v>
      </c>
      <c r="CU295" s="683">
        <f t="shared" si="903"/>
        <v>0</v>
      </c>
      <c r="CV295" s="683">
        <f t="shared" si="903"/>
        <v>0</v>
      </c>
      <c r="CW295" s="683">
        <f t="shared" si="21"/>
        <v>0</v>
      </c>
      <c r="CX295" s="683">
        <f t="shared" ref="CX295:DG295" si="904">BN295*$CL295</f>
        <v>1052.352</v>
      </c>
      <c r="CY295" s="683">
        <f t="shared" si="904"/>
        <v>263.088</v>
      </c>
      <c r="CZ295" s="683">
        <f t="shared" si="904"/>
        <v>657.72</v>
      </c>
      <c r="DA295" s="683">
        <f t="shared" si="904"/>
        <v>2920.2768</v>
      </c>
      <c r="DB295" s="683">
        <f t="shared" si="904"/>
        <v>657.72</v>
      </c>
      <c r="DC295" s="683">
        <f t="shared" si="904"/>
        <v>657.72</v>
      </c>
      <c r="DD295" s="683">
        <f t="shared" si="904"/>
        <v>0</v>
      </c>
      <c r="DE295" s="683">
        <f t="shared" si="904"/>
        <v>0</v>
      </c>
      <c r="DF295" s="683">
        <f t="shared" si="904"/>
        <v>0</v>
      </c>
      <c r="DG295" s="683">
        <f t="shared" si="904"/>
        <v>0</v>
      </c>
      <c r="DH295" s="683">
        <f t="shared" si="23"/>
        <v>6208.8768</v>
      </c>
      <c r="DI295" s="683">
        <f t="shared" ref="DI295:DR295" si="905">BY295*$CL295</f>
        <v>0</v>
      </c>
      <c r="DJ295" s="683">
        <f t="shared" si="905"/>
        <v>0</v>
      </c>
      <c r="DK295" s="683">
        <f t="shared" si="905"/>
        <v>0</v>
      </c>
      <c r="DL295" s="683">
        <f t="shared" si="905"/>
        <v>2920.2768</v>
      </c>
      <c r="DM295" s="683">
        <f t="shared" si="905"/>
        <v>657.72</v>
      </c>
      <c r="DN295" s="683">
        <f t="shared" si="905"/>
        <v>657.72</v>
      </c>
      <c r="DO295" s="683">
        <f t="shared" si="905"/>
        <v>0</v>
      </c>
      <c r="DP295" s="683">
        <f t="shared" si="905"/>
        <v>0</v>
      </c>
      <c r="DQ295" s="683">
        <f t="shared" si="905"/>
        <v>0</v>
      </c>
      <c r="DR295" s="683">
        <f t="shared" si="905"/>
        <v>263.088</v>
      </c>
      <c r="DS295" s="683">
        <f t="shared" si="25"/>
        <v>4498.8048</v>
      </c>
      <c r="DT295" s="683">
        <f t="shared" si="685"/>
        <v>10707.6816</v>
      </c>
      <c r="DU295" s="504"/>
      <c r="DV295" s="486"/>
      <c r="DW295" s="911"/>
      <c r="DX295" s="486"/>
      <c r="DY295" s="486"/>
      <c r="DZ295" s="486"/>
      <c r="EA295" s="486"/>
      <c r="EB295" s="486"/>
      <c r="EC295" s="486"/>
      <c r="ED295" s="486"/>
      <c r="EE295" s="486"/>
      <c r="EF295" s="833"/>
      <c r="EG295" s="688"/>
      <c r="EH295" s="707" t="s">
        <v>3481</v>
      </c>
      <c r="EI295" s="708">
        <f>VLOOKUP(I295,CotizacionTDB,4,FALSE())</f>
        <v>1.89</v>
      </c>
      <c r="EJ295" s="708">
        <f>VLOOKUP(I295,CotizacionTDB,5,FALSE())</f>
        <v>1.61</v>
      </c>
      <c r="EK295" s="691"/>
    </row>
    <row r="296" ht="12.0" customHeight="1">
      <c r="A296" s="709" t="s">
        <v>3026</v>
      </c>
      <c r="B296" s="661"/>
      <c r="C296" s="567" t="s">
        <v>3027</v>
      </c>
      <c r="D296" s="568" t="s">
        <v>633</v>
      </c>
      <c r="E296" s="568" t="s">
        <v>2708</v>
      </c>
      <c r="F296" s="567" t="s">
        <v>1763</v>
      </c>
      <c r="G296" s="569" t="s">
        <v>2709</v>
      </c>
      <c r="H296" s="569" t="s">
        <v>3482</v>
      </c>
      <c r="I296" s="659">
        <v>1.0413477E7</v>
      </c>
      <c r="J296" s="568" t="s">
        <v>3483</v>
      </c>
      <c r="K296" s="567" t="s">
        <v>25</v>
      </c>
      <c r="L296" s="567">
        <v>2024.0</v>
      </c>
      <c r="M296" s="662">
        <v>2025.0</v>
      </c>
      <c r="N296" s="567">
        <v>2024.0</v>
      </c>
      <c r="O296" s="567"/>
      <c r="P296" s="567"/>
      <c r="Q296" s="567"/>
      <c r="R296" s="567"/>
      <c r="S296" s="567"/>
      <c r="T296" s="567"/>
      <c r="U296" s="567"/>
      <c r="V296" s="567"/>
      <c r="W296" s="567">
        <v>3.0</v>
      </c>
      <c r="X296" s="567">
        <v>3.0</v>
      </c>
      <c r="Y296" s="567">
        <v>3.0</v>
      </c>
      <c r="Z296" s="567"/>
      <c r="AA296" s="567"/>
      <c r="AB296" s="567"/>
      <c r="AC296" s="567"/>
      <c r="AD296" s="567"/>
      <c r="AE296" s="567"/>
      <c r="AF296" s="567"/>
      <c r="AG296" s="567"/>
      <c r="AH296" s="567"/>
      <c r="AI296" s="567"/>
      <c r="AJ296" s="567"/>
      <c r="AK296" s="567"/>
      <c r="AL296" s="567"/>
      <c r="AM296" s="567"/>
      <c r="AN296" s="567"/>
      <c r="AO296" s="567"/>
      <c r="AP296" s="567"/>
      <c r="AQ296" s="567"/>
      <c r="AR296" s="567">
        <v>-2024.0</v>
      </c>
      <c r="AS296" s="567">
        <v>-2025.0</v>
      </c>
      <c r="AT296" s="567">
        <v>-2024.0</v>
      </c>
      <c r="AU296" s="567">
        <v>0.0</v>
      </c>
      <c r="AV296" s="567">
        <v>0.0</v>
      </c>
      <c r="AW296" s="567">
        <v>0.0</v>
      </c>
      <c r="AX296" s="567">
        <v>0.0</v>
      </c>
      <c r="AY296" s="567">
        <v>0.0</v>
      </c>
      <c r="AZ296" s="567">
        <v>0.0</v>
      </c>
      <c r="BA296" s="567">
        <v>0.0</v>
      </c>
      <c r="BB296" s="567"/>
      <c r="BC296" s="725"/>
      <c r="BD296" s="725"/>
      <c r="BE296" s="712"/>
      <c r="BF296" s="725"/>
      <c r="BG296" s="725"/>
      <c r="BH296" s="725"/>
      <c r="BI296" s="725"/>
      <c r="BJ296" s="725"/>
      <c r="BK296" s="725"/>
      <c r="BL296" s="695"/>
      <c r="BM296" s="665">
        <f t="shared" si="1"/>
        <v>0</v>
      </c>
      <c r="BN296" s="697"/>
      <c r="BO296" s="697"/>
      <c r="BP296" s="697"/>
      <c r="BQ296" s="697"/>
      <c r="BR296" s="697"/>
      <c r="BS296" s="697"/>
      <c r="BT296" s="697"/>
      <c r="BU296" s="697"/>
      <c r="BV296" s="697"/>
      <c r="BW296" s="697"/>
      <c r="BX296" s="665">
        <f t="shared" si="840"/>
        <v>0</v>
      </c>
      <c r="BY296" s="668">
        <v>0.0</v>
      </c>
      <c r="BZ296" s="668">
        <v>0.0</v>
      </c>
      <c r="CA296" s="668">
        <v>0.0</v>
      </c>
      <c r="CB296" s="668">
        <v>0.0</v>
      </c>
      <c r="CC296" s="668">
        <v>0.0</v>
      </c>
      <c r="CD296" s="668">
        <v>0.0</v>
      </c>
      <c r="CE296" s="668">
        <v>0.0</v>
      </c>
      <c r="CF296" s="668">
        <v>0.0</v>
      </c>
      <c r="CG296" s="668">
        <v>0.0</v>
      </c>
      <c r="CH296" s="670">
        <v>0.0</v>
      </c>
      <c r="CI296" s="665">
        <f t="shared" si="841"/>
        <v>0</v>
      </c>
      <c r="CJ296" s="671">
        <f t="shared" si="4"/>
        <v>0</v>
      </c>
      <c r="CK296" s="668"/>
      <c r="CL296" s="668">
        <v>8665.7313</v>
      </c>
      <c r="CM296" s="668">
        <f t="shared" ref="CM296:CV296" si="906">BC296*$CL296</f>
        <v>0</v>
      </c>
      <c r="CN296" s="668">
        <f t="shared" si="906"/>
        <v>0</v>
      </c>
      <c r="CO296" s="668">
        <f t="shared" si="906"/>
        <v>0</v>
      </c>
      <c r="CP296" s="668">
        <f t="shared" si="906"/>
        <v>0</v>
      </c>
      <c r="CQ296" s="668">
        <f t="shared" si="906"/>
        <v>0</v>
      </c>
      <c r="CR296" s="668">
        <f t="shared" si="906"/>
        <v>0</v>
      </c>
      <c r="CS296" s="668">
        <f t="shared" si="906"/>
        <v>0</v>
      </c>
      <c r="CT296" s="668">
        <f t="shared" si="906"/>
        <v>0</v>
      </c>
      <c r="CU296" s="668">
        <f t="shared" si="906"/>
        <v>0</v>
      </c>
      <c r="CV296" s="668">
        <f t="shared" si="906"/>
        <v>0</v>
      </c>
      <c r="CW296" s="668">
        <f t="shared" si="21"/>
        <v>0</v>
      </c>
      <c r="CX296" s="668">
        <f t="shared" ref="CX296:DG296" si="907">BN296*$CL296</f>
        <v>0</v>
      </c>
      <c r="CY296" s="668">
        <f t="shared" si="907"/>
        <v>0</v>
      </c>
      <c r="CZ296" s="668">
        <f t="shared" si="907"/>
        <v>0</v>
      </c>
      <c r="DA296" s="668">
        <f t="shared" si="907"/>
        <v>0</v>
      </c>
      <c r="DB296" s="668">
        <f t="shared" si="907"/>
        <v>0</v>
      </c>
      <c r="DC296" s="668">
        <f t="shared" si="907"/>
        <v>0</v>
      </c>
      <c r="DD296" s="668">
        <f t="shared" si="907"/>
        <v>0</v>
      </c>
      <c r="DE296" s="668">
        <f t="shared" si="907"/>
        <v>0</v>
      </c>
      <c r="DF296" s="668">
        <f t="shared" si="907"/>
        <v>0</v>
      </c>
      <c r="DG296" s="668">
        <f t="shared" si="907"/>
        <v>0</v>
      </c>
      <c r="DH296" s="668">
        <f t="shared" si="23"/>
        <v>0</v>
      </c>
      <c r="DI296" s="668">
        <f t="shared" ref="DI296:DR296" si="908">BY296*$CL296</f>
        <v>0</v>
      </c>
      <c r="DJ296" s="668">
        <f t="shared" si="908"/>
        <v>0</v>
      </c>
      <c r="DK296" s="668">
        <f t="shared" si="908"/>
        <v>0</v>
      </c>
      <c r="DL296" s="668">
        <f t="shared" si="908"/>
        <v>0</v>
      </c>
      <c r="DM296" s="668">
        <f t="shared" si="908"/>
        <v>0</v>
      </c>
      <c r="DN296" s="668">
        <f t="shared" si="908"/>
        <v>0</v>
      </c>
      <c r="DO296" s="668">
        <f t="shared" si="908"/>
        <v>0</v>
      </c>
      <c r="DP296" s="668">
        <f t="shared" si="908"/>
        <v>0</v>
      </c>
      <c r="DQ296" s="668">
        <f t="shared" si="908"/>
        <v>0</v>
      </c>
      <c r="DR296" s="668">
        <f t="shared" si="908"/>
        <v>0</v>
      </c>
      <c r="DS296" s="668">
        <f t="shared" si="25"/>
        <v>0</v>
      </c>
      <c r="DT296" s="668">
        <f t="shared" si="685"/>
        <v>0</v>
      </c>
      <c r="DU296" s="538"/>
      <c r="DV296" s="468"/>
      <c r="DW296" s="842"/>
      <c r="DX296" s="468"/>
      <c r="DY296" s="468"/>
      <c r="DZ296" s="468"/>
      <c r="EA296" s="468"/>
      <c r="EB296" s="468"/>
      <c r="EC296" s="468"/>
      <c r="ED296" s="468"/>
      <c r="EE296" s="468"/>
      <c r="EF296" s="909"/>
      <c r="EG296" s="698"/>
      <c r="EH296" s="677">
        <f>CK296*6.97</f>
        <v>0</v>
      </c>
      <c r="EI296" s="678">
        <v>1.0</v>
      </c>
      <c r="EJ296" s="699"/>
      <c r="EK296" s="699"/>
    </row>
    <row r="297" ht="12.0" customHeight="1">
      <c r="A297" s="700" t="s">
        <v>3026</v>
      </c>
      <c r="B297" s="701">
        <v>2.0</v>
      </c>
      <c r="C297" s="562" t="s">
        <v>3027</v>
      </c>
      <c r="D297" s="571" t="s">
        <v>633</v>
      </c>
      <c r="E297" s="571" t="s">
        <v>3059</v>
      </c>
      <c r="F297" s="562" t="s">
        <v>1763</v>
      </c>
      <c r="G297" s="569" t="s">
        <v>3060</v>
      </c>
      <c r="H297" s="569" t="s">
        <v>3484</v>
      </c>
      <c r="I297" s="703" t="s">
        <v>2197</v>
      </c>
      <c r="J297" s="704" t="s">
        <v>670</v>
      </c>
      <c r="K297" s="562" t="s">
        <v>25</v>
      </c>
      <c r="L297" s="562"/>
      <c r="M297" s="562"/>
      <c r="N297" s="562">
        <v>2024.0</v>
      </c>
      <c r="O297" s="562"/>
      <c r="P297" s="562"/>
      <c r="Q297" s="562"/>
      <c r="R297" s="562"/>
      <c r="S297" s="562"/>
      <c r="T297" s="562"/>
      <c r="U297" s="562"/>
      <c r="V297" s="562"/>
      <c r="W297" s="562"/>
      <c r="X297" s="562"/>
      <c r="Y297" s="562">
        <v>6.0</v>
      </c>
      <c r="Z297" s="562"/>
      <c r="AA297" s="562"/>
      <c r="AB297" s="562"/>
      <c r="AC297" s="562"/>
      <c r="AD297" s="562"/>
      <c r="AE297" s="562"/>
      <c r="AF297" s="562"/>
      <c r="AG297" s="562"/>
      <c r="AH297" s="562"/>
      <c r="AI297" s="562"/>
      <c r="AJ297" s="562"/>
      <c r="AK297" s="562"/>
      <c r="AL297" s="562"/>
      <c r="AM297" s="562"/>
      <c r="AN297" s="562"/>
      <c r="AO297" s="562"/>
      <c r="AP297" s="562"/>
      <c r="AQ297" s="562"/>
      <c r="AR297" s="562">
        <v>0.0</v>
      </c>
      <c r="AS297" s="562">
        <v>0.0</v>
      </c>
      <c r="AT297" s="562">
        <v>-2024.0</v>
      </c>
      <c r="AU297" s="562">
        <v>0.0</v>
      </c>
      <c r="AV297" s="562">
        <v>0.0</v>
      </c>
      <c r="AW297" s="562">
        <v>0.0</v>
      </c>
      <c r="AX297" s="562">
        <v>0.0</v>
      </c>
      <c r="AY297" s="562">
        <v>0.0</v>
      </c>
      <c r="AZ297" s="562">
        <v>0.0</v>
      </c>
      <c r="BA297" s="562">
        <v>0.0</v>
      </c>
      <c r="BB297" s="562"/>
      <c r="BC297" s="681"/>
      <c r="BD297" s="681"/>
      <c r="BE297" s="913">
        <v>0.0</v>
      </c>
      <c r="BF297" s="681"/>
      <c r="BG297" s="681"/>
      <c r="BH297" s="681"/>
      <c r="BI297" s="562"/>
      <c r="BJ297" s="562"/>
      <c r="BK297" s="681"/>
      <c r="BL297" s="681"/>
      <c r="BM297" s="665">
        <f t="shared" si="1"/>
        <v>0</v>
      </c>
      <c r="BN297" s="686"/>
      <c r="BO297" s="686"/>
      <c r="BP297" s="875">
        <v>1.0</v>
      </c>
      <c r="BQ297" s="686"/>
      <c r="BR297" s="686"/>
      <c r="BS297" s="686"/>
      <c r="BT297" s="683"/>
      <c r="BU297" s="683"/>
      <c r="BV297" s="686"/>
      <c r="BW297" s="686"/>
      <c r="BX297" s="665">
        <f t="shared" si="840"/>
        <v>1</v>
      </c>
      <c r="BY297" s="682">
        <v>0.0</v>
      </c>
      <c r="BZ297" s="683">
        <v>0.0</v>
      </c>
      <c r="CA297" s="683">
        <v>0.0</v>
      </c>
      <c r="CB297" s="683">
        <v>0.0</v>
      </c>
      <c r="CC297" s="683">
        <v>0.0</v>
      </c>
      <c r="CD297" s="683">
        <v>0.0</v>
      </c>
      <c r="CE297" s="683">
        <v>0.0</v>
      </c>
      <c r="CF297" s="683">
        <v>0.0</v>
      </c>
      <c r="CG297" s="683">
        <v>0.0</v>
      </c>
      <c r="CH297" s="686">
        <v>0.0</v>
      </c>
      <c r="CI297" s="665">
        <f t="shared" si="841"/>
        <v>0</v>
      </c>
      <c r="CJ297" s="682">
        <f t="shared" si="4"/>
        <v>1</v>
      </c>
      <c r="CK297" s="706">
        <v>4972.78</v>
      </c>
      <c r="CL297" s="683">
        <f t="shared" ref="CL297:CL343" si="912">CK297*$CL$1</f>
        <v>34610.5488</v>
      </c>
      <c r="CM297" s="683">
        <f t="shared" ref="CM297:CV297" si="909">BC297*$CL297</f>
        <v>0</v>
      </c>
      <c r="CN297" s="683">
        <f t="shared" si="909"/>
        <v>0</v>
      </c>
      <c r="CO297" s="683">
        <f t="shared" si="909"/>
        <v>0</v>
      </c>
      <c r="CP297" s="683">
        <f t="shared" si="909"/>
        <v>0</v>
      </c>
      <c r="CQ297" s="683">
        <f t="shared" si="909"/>
        <v>0</v>
      </c>
      <c r="CR297" s="683">
        <f t="shared" si="909"/>
        <v>0</v>
      </c>
      <c r="CS297" s="683">
        <f t="shared" si="909"/>
        <v>0</v>
      </c>
      <c r="CT297" s="683">
        <f t="shared" si="909"/>
        <v>0</v>
      </c>
      <c r="CU297" s="683">
        <f t="shared" si="909"/>
        <v>0</v>
      </c>
      <c r="CV297" s="683">
        <f t="shared" si="909"/>
        <v>0</v>
      </c>
      <c r="CW297" s="683">
        <f t="shared" si="21"/>
        <v>0</v>
      </c>
      <c r="CX297" s="683">
        <f t="shared" ref="CX297:DG297" si="910">BN297*$CL297</f>
        <v>0</v>
      </c>
      <c r="CY297" s="683">
        <f t="shared" si="910"/>
        <v>0</v>
      </c>
      <c r="CZ297" s="683">
        <f t="shared" si="910"/>
        <v>34610.5488</v>
      </c>
      <c r="DA297" s="683">
        <f t="shared" si="910"/>
        <v>0</v>
      </c>
      <c r="DB297" s="683">
        <f t="shared" si="910"/>
        <v>0</v>
      </c>
      <c r="DC297" s="683">
        <f t="shared" si="910"/>
        <v>0</v>
      </c>
      <c r="DD297" s="683">
        <f t="shared" si="910"/>
        <v>0</v>
      </c>
      <c r="DE297" s="683">
        <f t="shared" si="910"/>
        <v>0</v>
      </c>
      <c r="DF297" s="683">
        <f t="shared" si="910"/>
        <v>0</v>
      </c>
      <c r="DG297" s="683">
        <f t="shared" si="910"/>
        <v>0</v>
      </c>
      <c r="DH297" s="683">
        <f t="shared" si="23"/>
        <v>34610.5488</v>
      </c>
      <c r="DI297" s="683">
        <f t="shared" ref="DI297:DR297" si="911">BY297*$CL297</f>
        <v>0</v>
      </c>
      <c r="DJ297" s="683">
        <f t="shared" si="911"/>
        <v>0</v>
      </c>
      <c r="DK297" s="683">
        <f t="shared" si="911"/>
        <v>0</v>
      </c>
      <c r="DL297" s="683">
        <f t="shared" si="911"/>
        <v>0</v>
      </c>
      <c r="DM297" s="683">
        <f t="shared" si="911"/>
        <v>0</v>
      </c>
      <c r="DN297" s="683">
        <f t="shared" si="911"/>
        <v>0</v>
      </c>
      <c r="DO297" s="683">
        <f t="shared" si="911"/>
        <v>0</v>
      </c>
      <c r="DP297" s="683">
        <f t="shared" si="911"/>
        <v>0</v>
      </c>
      <c r="DQ297" s="683">
        <f t="shared" si="911"/>
        <v>0</v>
      </c>
      <c r="DR297" s="683">
        <f t="shared" si="911"/>
        <v>0</v>
      </c>
      <c r="DS297" s="683">
        <f t="shared" si="25"/>
        <v>0</v>
      </c>
      <c r="DT297" s="683">
        <f t="shared" si="685"/>
        <v>34610.5488</v>
      </c>
      <c r="DU297" s="504"/>
      <c r="DV297" s="486"/>
      <c r="DW297" s="911"/>
      <c r="DX297" s="486"/>
      <c r="DY297" s="486"/>
      <c r="DZ297" s="486"/>
      <c r="EA297" s="486"/>
      <c r="EB297" s="486"/>
      <c r="EC297" s="486"/>
      <c r="ED297" s="486"/>
      <c r="EE297" s="486"/>
      <c r="EF297" s="833"/>
      <c r="EG297" s="688"/>
      <c r="EH297" s="707" t="s">
        <v>3485</v>
      </c>
      <c r="EI297" s="708">
        <f>VLOOKUP(I297,CotizacionTDB,4,FALSE())</f>
        <v>4972.78</v>
      </c>
      <c r="EJ297" s="708">
        <f>VLOOKUP(I297,CotizacionTDB,5,FALSE())</f>
        <v>4226.86</v>
      </c>
      <c r="EK297" s="691"/>
    </row>
    <row r="298" ht="12.0" customHeight="1">
      <c r="A298" s="709" t="s">
        <v>3026</v>
      </c>
      <c r="B298" s="661">
        <v>2.0</v>
      </c>
      <c r="C298" s="567" t="s">
        <v>3027</v>
      </c>
      <c r="D298" s="568" t="s">
        <v>633</v>
      </c>
      <c r="E298" s="568" t="s">
        <v>2708</v>
      </c>
      <c r="F298" s="567" t="s">
        <v>1763</v>
      </c>
      <c r="G298" s="569" t="s">
        <v>2709</v>
      </c>
      <c r="H298" s="658"/>
      <c r="I298" s="710" t="s">
        <v>2345</v>
      </c>
      <c r="J298" s="711" t="s">
        <v>192</v>
      </c>
      <c r="K298" s="567" t="s">
        <v>25</v>
      </c>
      <c r="L298" s="567">
        <v>2024.0</v>
      </c>
      <c r="M298" s="567"/>
      <c r="N298" s="567">
        <v>2024.0</v>
      </c>
      <c r="O298" s="567">
        <v>2025.0</v>
      </c>
      <c r="P298" s="567"/>
      <c r="Q298" s="567">
        <v>2025.0</v>
      </c>
      <c r="R298" s="567"/>
      <c r="S298" s="567"/>
      <c r="T298" s="567"/>
      <c r="U298" s="567"/>
      <c r="V298" s="567"/>
      <c r="W298" s="567">
        <v>3.0</v>
      </c>
      <c r="X298" s="567"/>
      <c r="Y298" s="567">
        <v>3.0</v>
      </c>
      <c r="Z298" s="567">
        <v>5.0</v>
      </c>
      <c r="AA298" s="567"/>
      <c r="AB298" s="567">
        <v>2.0</v>
      </c>
      <c r="AC298" s="567"/>
      <c r="AD298" s="567"/>
      <c r="AE298" s="567"/>
      <c r="AF298" s="567"/>
      <c r="AG298" s="567"/>
      <c r="AH298" s="567"/>
      <c r="AI298" s="567"/>
      <c r="AJ298" s="567"/>
      <c r="AK298" s="567"/>
      <c r="AL298" s="567"/>
      <c r="AM298" s="567"/>
      <c r="AN298" s="567"/>
      <c r="AO298" s="567"/>
      <c r="AP298" s="567"/>
      <c r="AQ298" s="567"/>
      <c r="AR298" s="567">
        <v>-2024.0</v>
      </c>
      <c r="AS298" s="567">
        <v>0.0</v>
      </c>
      <c r="AT298" s="567">
        <v>-2024.0</v>
      </c>
      <c r="AU298" s="567">
        <v>-2025.0</v>
      </c>
      <c r="AV298" s="567">
        <v>0.0</v>
      </c>
      <c r="AW298" s="567">
        <v>-2025.0</v>
      </c>
      <c r="AX298" s="567">
        <v>0.0</v>
      </c>
      <c r="AY298" s="567">
        <v>0.0</v>
      </c>
      <c r="AZ298" s="567">
        <v>0.0</v>
      </c>
      <c r="BA298" s="567">
        <v>0.0</v>
      </c>
      <c r="BB298" s="567"/>
      <c r="BC298" s="725"/>
      <c r="BD298" s="725"/>
      <c r="BE298" s="725"/>
      <c r="BF298" s="725"/>
      <c r="BG298" s="725"/>
      <c r="BH298" s="725"/>
      <c r="BI298" s="725"/>
      <c r="BJ298" s="567"/>
      <c r="BK298" s="725"/>
      <c r="BL298" s="725"/>
      <c r="BM298" s="665">
        <f t="shared" si="1"/>
        <v>0</v>
      </c>
      <c r="BN298" s="670"/>
      <c r="BO298" s="670"/>
      <c r="BP298" s="670"/>
      <c r="BQ298" s="670">
        <v>22.0</v>
      </c>
      <c r="BR298" s="670"/>
      <c r="BS298" s="670">
        <v>5.0</v>
      </c>
      <c r="BT298" s="670"/>
      <c r="BU298" s="668"/>
      <c r="BV298" s="670"/>
      <c r="BW298" s="670"/>
      <c r="BX298" s="665">
        <f t="shared" si="840"/>
        <v>27</v>
      </c>
      <c r="BY298" s="671">
        <v>0.0</v>
      </c>
      <c r="BZ298" s="668">
        <v>0.0</v>
      </c>
      <c r="CA298" s="668">
        <v>0.0</v>
      </c>
      <c r="CB298" s="668">
        <v>0.0</v>
      </c>
      <c r="CC298" s="668">
        <v>0.0</v>
      </c>
      <c r="CD298" s="668">
        <v>0.0</v>
      </c>
      <c r="CE298" s="668">
        <v>0.0</v>
      </c>
      <c r="CF298" s="668">
        <v>0.0</v>
      </c>
      <c r="CG298" s="668">
        <v>0.0</v>
      </c>
      <c r="CH298" s="670">
        <v>0.0</v>
      </c>
      <c r="CI298" s="665">
        <f t="shared" si="841"/>
        <v>0</v>
      </c>
      <c r="CJ298" s="671">
        <f t="shared" si="4"/>
        <v>27</v>
      </c>
      <c r="CK298" s="715">
        <v>999.86</v>
      </c>
      <c r="CL298" s="668">
        <f t="shared" si="912"/>
        <v>6959.0256</v>
      </c>
      <c r="CM298" s="668">
        <f t="shared" ref="CM298:CV298" si="913">BC298*$CL298</f>
        <v>0</v>
      </c>
      <c r="CN298" s="668">
        <f t="shared" si="913"/>
        <v>0</v>
      </c>
      <c r="CO298" s="668">
        <f t="shared" si="913"/>
        <v>0</v>
      </c>
      <c r="CP298" s="668">
        <f t="shared" si="913"/>
        <v>0</v>
      </c>
      <c r="CQ298" s="668">
        <f t="shared" si="913"/>
        <v>0</v>
      </c>
      <c r="CR298" s="668">
        <f t="shared" si="913"/>
        <v>0</v>
      </c>
      <c r="CS298" s="668">
        <f t="shared" si="913"/>
        <v>0</v>
      </c>
      <c r="CT298" s="668">
        <f t="shared" si="913"/>
        <v>0</v>
      </c>
      <c r="CU298" s="668">
        <f t="shared" si="913"/>
        <v>0</v>
      </c>
      <c r="CV298" s="668">
        <f t="shared" si="913"/>
        <v>0</v>
      </c>
      <c r="CW298" s="668">
        <f t="shared" si="21"/>
        <v>0</v>
      </c>
      <c r="CX298" s="668">
        <f t="shared" ref="CX298:DG298" si="914">BN298*$CL298</f>
        <v>0</v>
      </c>
      <c r="CY298" s="668">
        <f t="shared" si="914"/>
        <v>0</v>
      </c>
      <c r="CZ298" s="668">
        <f t="shared" si="914"/>
        <v>0</v>
      </c>
      <c r="DA298" s="668">
        <f t="shared" si="914"/>
        <v>153098.5632</v>
      </c>
      <c r="DB298" s="668">
        <f t="shared" si="914"/>
        <v>0</v>
      </c>
      <c r="DC298" s="668">
        <f t="shared" si="914"/>
        <v>34795.128</v>
      </c>
      <c r="DD298" s="668">
        <f t="shared" si="914"/>
        <v>0</v>
      </c>
      <c r="DE298" s="668">
        <f t="shared" si="914"/>
        <v>0</v>
      </c>
      <c r="DF298" s="668">
        <f t="shared" si="914"/>
        <v>0</v>
      </c>
      <c r="DG298" s="668">
        <f t="shared" si="914"/>
        <v>0</v>
      </c>
      <c r="DH298" s="668">
        <f t="shared" si="23"/>
        <v>187893.6912</v>
      </c>
      <c r="DI298" s="668">
        <f t="shared" ref="DI298:DR298" si="915">BY298*$CL298</f>
        <v>0</v>
      </c>
      <c r="DJ298" s="668">
        <f t="shared" si="915"/>
        <v>0</v>
      </c>
      <c r="DK298" s="668">
        <f t="shared" si="915"/>
        <v>0</v>
      </c>
      <c r="DL298" s="668">
        <f t="shared" si="915"/>
        <v>0</v>
      </c>
      <c r="DM298" s="668">
        <f t="shared" si="915"/>
        <v>0</v>
      </c>
      <c r="DN298" s="668">
        <f t="shared" si="915"/>
        <v>0</v>
      </c>
      <c r="DO298" s="668">
        <f t="shared" si="915"/>
        <v>0</v>
      </c>
      <c r="DP298" s="668">
        <f t="shared" si="915"/>
        <v>0</v>
      </c>
      <c r="DQ298" s="668">
        <f t="shared" si="915"/>
        <v>0</v>
      </c>
      <c r="DR298" s="668">
        <f t="shared" si="915"/>
        <v>0</v>
      </c>
      <c r="DS298" s="668">
        <f t="shared" si="25"/>
        <v>0</v>
      </c>
      <c r="DT298" s="668">
        <f t="shared" si="685"/>
        <v>187893.6912</v>
      </c>
      <c r="DU298" s="538"/>
      <c r="DV298" s="468"/>
      <c r="DW298" s="842"/>
      <c r="DX298" s="468"/>
      <c r="DY298" s="468"/>
      <c r="DZ298" s="468"/>
      <c r="EA298" s="468"/>
      <c r="EB298" s="468"/>
      <c r="EC298" s="468"/>
      <c r="ED298" s="468"/>
      <c r="EE298" s="468"/>
      <c r="EF298" s="909"/>
      <c r="EG298" s="698"/>
      <c r="EH298" s="576" t="s">
        <v>3486</v>
      </c>
      <c r="EI298" s="716">
        <f>VLOOKUP(I298,CotizacionTDB,4,FALSE())</f>
        <v>999.86</v>
      </c>
      <c r="EJ298" s="716">
        <f>VLOOKUP(I298,CotizacionTDB,5,FALSE())</f>
        <v>849.88</v>
      </c>
      <c r="EK298" s="699"/>
    </row>
    <row r="299" ht="12.0" customHeight="1">
      <c r="A299" s="700" t="s">
        <v>3026</v>
      </c>
      <c r="B299" s="701">
        <v>2.0</v>
      </c>
      <c r="C299" s="562" t="s">
        <v>3034</v>
      </c>
      <c r="D299" s="571" t="s">
        <v>738</v>
      </c>
      <c r="E299" s="571" t="s">
        <v>2708</v>
      </c>
      <c r="F299" s="562" t="s">
        <v>1763</v>
      </c>
      <c r="G299" s="569" t="s">
        <v>2709</v>
      </c>
      <c r="H299" s="569" t="s">
        <v>3487</v>
      </c>
      <c r="I299" s="703" t="s">
        <v>2275</v>
      </c>
      <c r="J299" s="704" t="s">
        <v>466</v>
      </c>
      <c r="K299" s="562" t="s">
        <v>25</v>
      </c>
      <c r="L299" s="562">
        <v>2024.0</v>
      </c>
      <c r="M299" s="562">
        <v>2024.0</v>
      </c>
      <c r="N299" s="562">
        <v>2024.0</v>
      </c>
      <c r="O299" s="562"/>
      <c r="P299" s="562"/>
      <c r="Q299" s="562"/>
      <c r="R299" s="562">
        <v>2024.0</v>
      </c>
      <c r="S299" s="562">
        <v>2024.0</v>
      </c>
      <c r="T299" s="562"/>
      <c r="U299" s="821">
        <v>2024.0</v>
      </c>
      <c r="V299" s="821"/>
      <c r="W299" s="562">
        <v>8.0</v>
      </c>
      <c r="X299" s="562">
        <v>8.0</v>
      </c>
      <c r="Y299" s="562">
        <v>8.0</v>
      </c>
      <c r="Z299" s="562"/>
      <c r="AA299" s="562"/>
      <c r="AB299" s="562"/>
      <c r="AC299" s="562">
        <v>3.0</v>
      </c>
      <c r="AD299" s="562">
        <v>3.0</v>
      </c>
      <c r="AE299" s="562"/>
      <c r="AF299" s="562">
        <v>4.0</v>
      </c>
      <c r="AG299" s="821"/>
      <c r="AH299" s="562"/>
      <c r="AI299" s="562"/>
      <c r="AJ299" s="562"/>
      <c r="AK299" s="562"/>
      <c r="AL299" s="562"/>
      <c r="AM299" s="562"/>
      <c r="AN299" s="562"/>
      <c r="AO299" s="562"/>
      <c r="AP299" s="562"/>
      <c r="AQ299" s="562"/>
      <c r="AR299" s="562">
        <v>-2024.0</v>
      </c>
      <c r="AS299" s="562">
        <v>-2024.0</v>
      </c>
      <c r="AT299" s="562">
        <v>-2024.0</v>
      </c>
      <c r="AU299" s="562">
        <v>0.0</v>
      </c>
      <c r="AV299" s="562">
        <v>0.0</v>
      </c>
      <c r="AW299" s="562">
        <v>0.0</v>
      </c>
      <c r="AX299" s="562">
        <v>-2024.0</v>
      </c>
      <c r="AY299" s="562">
        <v>-2024.0</v>
      </c>
      <c r="AZ299" s="562">
        <v>0.0</v>
      </c>
      <c r="BA299" s="562">
        <v>-2024.0</v>
      </c>
      <c r="BB299" s="562"/>
      <c r="BC299" s="681">
        <v>4.0</v>
      </c>
      <c r="BD299" s="681">
        <v>2.0</v>
      </c>
      <c r="BE299" s="681">
        <v>6.0</v>
      </c>
      <c r="BF299" s="681"/>
      <c r="BG299" s="681"/>
      <c r="BH299" s="681"/>
      <c r="BI299" s="562">
        <v>1.0</v>
      </c>
      <c r="BJ299" s="562">
        <v>1.0</v>
      </c>
      <c r="BK299" s="681"/>
      <c r="BL299" s="809">
        <v>6.0</v>
      </c>
      <c r="BM299" s="665">
        <f t="shared" si="1"/>
        <v>20</v>
      </c>
      <c r="BN299" s="837"/>
      <c r="BO299" s="837"/>
      <c r="BP299" s="837"/>
      <c r="BQ299" s="837"/>
      <c r="BR299" s="837"/>
      <c r="BS299" s="837"/>
      <c r="BT299" s="488"/>
      <c r="BU299" s="488"/>
      <c r="BV299" s="724"/>
      <c r="BW299" s="914">
        <v>9.0</v>
      </c>
      <c r="BX299" s="665">
        <f t="shared" si="840"/>
        <v>9</v>
      </c>
      <c r="BY299" s="682">
        <v>0.0</v>
      </c>
      <c r="BZ299" s="683">
        <v>0.0</v>
      </c>
      <c r="CA299" s="683">
        <v>0.0</v>
      </c>
      <c r="CB299" s="683">
        <v>0.0</v>
      </c>
      <c r="CC299" s="683">
        <v>0.0</v>
      </c>
      <c r="CD299" s="683">
        <v>0.0</v>
      </c>
      <c r="CE299" s="683">
        <v>0.0</v>
      </c>
      <c r="CF299" s="683">
        <v>0.0</v>
      </c>
      <c r="CG299" s="683">
        <v>0.0</v>
      </c>
      <c r="CH299" s="686">
        <v>0.0</v>
      </c>
      <c r="CI299" s="665">
        <f t="shared" si="841"/>
        <v>0</v>
      </c>
      <c r="CJ299" s="682">
        <f t="shared" si="4"/>
        <v>29</v>
      </c>
      <c r="CK299" s="706">
        <v>532.66</v>
      </c>
      <c r="CL299" s="683">
        <f t="shared" si="912"/>
        <v>3707.3136</v>
      </c>
      <c r="CM299" s="683">
        <f t="shared" ref="CM299:CV299" si="916">BC299*$CL299</f>
        <v>14829.2544</v>
      </c>
      <c r="CN299" s="683">
        <f t="shared" si="916"/>
        <v>7414.6272</v>
      </c>
      <c r="CO299" s="683">
        <f t="shared" si="916"/>
        <v>22243.8816</v>
      </c>
      <c r="CP299" s="683">
        <f t="shared" si="916"/>
        <v>0</v>
      </c>
      <c r="CQ299" s="683">
        <f t="shared" si="916"/>
        <v>0</v>
      </c>
      <c r="CR299" s="683">
        <f t="shared" si="916"/>
        <v>0</v>
      </c>
      <c r="CS299" s="683">
        <f t="shared" si="916"/>
        <v>3707.3136</v>
      </c>
      <c r="CT299" s="683">
        <f t="shared" si="916"/>
        <v>3707.3136</v>
      </c>
      <c r="CU299" s="683">
        <f t="shared" si="916"/>
        <v>0</v>
      </c>
      <c r="CV299" s="683">
        <f t="shared" si="916"/>
        <v>22243.8816</v>
      </c>
      <c r="CW299" s="683">
        <f t="shared" si="21"/>
        <v>74146.272</v>
      </c>
      <c r="CX299" s="683">
        <f t="shared" ref="CX299:DG299" si="917">BN299*$CL299</f>
        <v>0</v>
      </c>
      <c r="CY299" s="683">
        <f t="shared" si="917"/>
        <v>0</v>
      </c>
      <c r="CZ299" s="683">
        <f t="shared" si="917"/>
        <v>0</v>
      </c>
      <c r="DA299" s="683">
        <f t="shared" si="917"/>
        <v>0</v>
      </c>
      <c r="DB299" s="683">
        <f t="shared" si="917"/>
        <v>0</v>
      </c>
      <c r="DC299" s="683">
        <f t="shared" si="917"/>
        <v>0</v>
      </c>
      <c r="DD299" s="683">
        <f t="shared" si="917"/>
        <v>0</v>
      </c>
      <c r="DE299" s="683">
        <f t="shared" si="917"/>
        <v>0</v>
      </c>
      <c r="DF299" s="683">
        <f t="shared" si="917"/>
        <v>0</v>
      </c>
      <c r="DG299" s="683">
        <f t="shared" si="917"/>
        <v>33365.8224</v>
      </c>
      <c r="DH299" s="683">
        <f t="shared" si="23"/>
        <v>33365.8224</v>
      </c>
      <c r="DI299" s="683">
        <f t="shared" ref="DI299:DR299" si="918">BY299*$CL299</f>
        <v>0</v>
      </c>
      <c r="DJ299" s="683">
        <f t="shared" si="918"/>
        <v>0</v>
      </c>
      <c r="DK299" s="683">
        <f t="shared" si="918"/>
        <v>0</v>
      </c>
      <c r="DL299" s="683">
        <f t="shared" si="918"/>
        <v>0</v>
      </c>
      <c r="DM299" s="683">
        <f t="shared" si="918"/>
        <v>0</v>
      </c>
      <c r="DN299" s="683">
        <f t="shared" si="918"/>
        <v>0</v>
      </c>
      <c r="DO299" s="683">
        <f t="shared" si="918"/>
        <v>0</v>
      </c>
      <c r="DP299" s="683">
        <f t="shared" si="918"/>
        <v>0</v>
      </c>
      <c r="DQ299" s="683">
        <f t="shared" si="918"/>
        <v>0</v>
      </c>
      <c r="DR299" s="683">
        <f t="shared" si="918"/>
        <v>0</v>
      </c>
      <c r="DS299" s="683">
        <f t="shared" si="25"/>
        <v>0</v>
      </c>
      <c r="DT299" s="683">
        <f t="shared" si="685"/>
        <v>107512.0944</v>
      </c>
      <c r="DU299" s="504"/>
      <c r="DV299" s="486"/>
      <c r="DW299" s="911"/>
      <c r="DX299" s="486"/>
      <c r="DY299" s="486"/>
      <c r="DZ299" s="486"/>
      <c r="EA299" s="486"/>
      <c r="EB299" s="486"/>
      <c r="EC299" s="486"/>
      <c r="ED299" s="486"/>
      <c r="EE299" s="486"/>
      <c r="EF299" s="833"/>
      <c r="EG299" s="688"/>
      <c r="EH299" s="707" t="s">
        <v>3488</v>
      </c>
      <c r="EI299" s="708">
        <f>VLOOKUP(I299,CotizacionTDB,4,FALSE())</f>
        <v>532.66</v>
      </c>
      <c r="EJ299" s="708">
        <f>VLOOKUP(I299,CotizacionTDB,5,FALSE())</f>
        <v>452.76</v>
      </c>
      <c r="EK299" s="691"/>
    </row>
    <row r="300" ht="12.0" customHeight="1">
      <c r="A300" s="709" t="s">
        <v>3026</v>
      </c>
      <c r="B300" s="661">
        <v>2.0</v>
      </c>
      <c r="C300" s="567" t="s">
        <v>3034</v>
      </c>
      <c r="D300" s="568" t="s">
        <v>738</v>
      </c>
      <c r="E300" s="568" t="s">
        <v>2708</v>
      </c>
      <c r="F300" s="567" t="s">
        <v>1763</v>
      </c>
      <c r="G300" s="569" t="s">
        <v>2709</v>
      </c>
      <c r="H300" s="569" t="s">
        <v>3489</v>
      </c>
      <c r="I300" s="710" t="s">
        <v>2173</v>
      </c>
      <c r="J300" s="711" t="s">
        <v>310</v>
      </c>
      <c r="K300" s="567" t="s">
        <v>25</v>
      </c>
      <c r="L300" s="567">
        <v>2024.0</v>
      </c>
      <c r="M300" s="567"/>
      <c r="N300" s="567"/>
      <c r="O300" s="567"/>
      <c r="P300" s="567"/>
      <c r="Q300" s="567"/>
      <c r="R300" s="567"/>
      <c r="S300" s="567"/>
      <c r="T300" s="567"/>
      <c r="U300" s="567"/>
      <c r="V300" s="567"/>
      <c r="W300" s="567">
        <v>4.0</v>
      </c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7"/>
      <c r="AH300" s="567"/>
      <c r="AI300" s="567"/>
      <c r="AJ300" s="567"/>
      <c r="AK300" s="567"/>
      <c r="AL300" s="567"/>
      <c r="AM300" s="567"/>
      <c r="AN300" s="567"/>
      <c r="AO300" s="567"/>
      <c r="AP300" s="567"/>
      <c r="AQ300" s="567"/>
      <c r="AR300" s="567">
        <v>-2024.0</v>
      </c>
      <c r="AS300" s="567">
        <v>0.0</v>
      </c>
      <c r="AT300" s="567">
        <v>0.0</v>
      </c>
      <c r="AU300" s="567">
        <v>0.0</v>
      </c>
      <c r="AV300" s="567">
        <v>0.0</v>
      </c>
      <c r="AW300" s="567">
        <v>0.0</v>
      </c>
      <c r="AX300" s="567">
        <v>0.0</v>
      </c>
      <c r="AY300" s="567">
        <v>0.0</v>
      </c>
      <c r="AZ300" s="567">
        <v>0.0</v>
      </c>
      <c r="BA300" s="567">
        <v>0.0</v>
      </c>
      <c r="BB300" s="567"/>
      <c r="BC300" s="661">
        <v>5.0</v>
      </c>
      <c r="BD300" s="567"/>
      <c r="BE300" s="567"/>
      <c r="BF300" s="567"/>
      <c r="BG300" s="567"/>
      <c r="BH300" s="567"/>
      <c r="BI300" s="567"/>
      <c r="BJ300" s="567"/>
      <c r="BK300" s="567"/>
      <c r="BL300" s="725"/>
      <c r="BM300" s="665">
        <f t="shared" si="1"/>
        <v>5</v>
      </c>
      <c r="BN300" s="671"/>
      <c r="BO300" s="668"/>
      <c r="BP300" s="668"/>
      <c r="BQ300" s="668"/>
      <c r="BR300" s="668"/>
      <c r="BS300" s="668"/>
      <c r="BT300" s="668"/>
      <c r="BU300" s="668"/>
      <c r="BV300" s="668"/>
      <c r="BW300" s="670"/>
      <c r="BX300" s="665">
        <f t="shared" si="840"/>
        <v>0</v>
      </c>
      <c r="BY300" s="671">
        <v>0.0</v>
      </c>
      <c r="BZ300" s="668">
        <v>0.0</v>
      </c>
      <c r="CA300" s="668">
        <v>0.0</v>
      </c>
      <c r="CB300" s="668">
        <v>0.0</v>
      </c>
      <c r="CC300" s="668">
        <v>0.0</v>
      </c>
      <c r="CD300" s="668">
        <v>0.0</v>
      </c>
      <c r="CE300" s="668">
        <v>0.0</v>
      </c>
      <c r="CF300" s="668">
        <v>0.0</v>
      </c>
      <c r="CG300" s="668">
        <v>0.0</v>
      </c>
      <c r="CH300" s="670">
        <v>0.0</v>
      </c>
      <c r="CI300" s="665">
        <f t="shared" si="841"/>
        <v>0</v>
      </c>
      <c r="CJ300" s="671">
        <f t="shared" si="4"/>
        <v>5</v>
      </c>
      <c r="CK300" s="715">
        <v>81.41</v>
      </c>
      <c r="CL300" s="668">
        <f t="shared" si="912"/>
        <v>566.6136</v>
      </c>
      <c r="CM300" s="668">
        <f t="shared" ref="CM300:CV300" si="919">BC300*$CL300</f>
        <v>2833.068</v>
      </c>
      <c r="CN300" s="668">
        <f t="shared" si="919"/>
        <v>0</v>
      </c>
      <c r="CO300" s="668">
        <f t="shared" si="919"/>
        <v>0</v>
      </c>
      <c r="CP300" s="668">
        <f t="shared" si="919"/>
        <v>0</v>
      </c>
      <c r="CQ300" s="668">
        <f t="shared" si="919"/>
        <v>0</v>
      </c>
      <c r="CR300" s="668">
        <f t="shared" si="919"/>
        <v>0</v>
      </c>
      <c r="CS300" s="668">
        <f t="shared" si="919"/>
        <v>0</v>
      </c>
      <c r="CT300" s="668">
        <f t="shared" si="919"/>
        <v>0</v>
      </c>
      <c r="CU300" s="668">
        <f t="shared" si="919"/>
        <v>0</v>
      </c>
      <c r="CV300" s="668">
        <f t="shared" si="919"/>
        <v>0</v>
      </c>
      <c r="CW300" s="668">
        <f t="shared" si="21"/>
        <v>2833.068</v>
      </c>
      <c r="CX300" s="668">
        <f t="shared" ref="CX300:DG300" si="920">BN300*$CL300</f>
        <v>0</v>
      </c>
      <c r="CY300" s="668">
        <f t="shared" si="920"/>
        <v>0</v>
      </c>
      <c r="CZ300" s="668">
        <f t="shared" si="920"/>
        <v>0</v>
      </c>
      <c r="DA300" s="668">
        <f t="shared" si="920"/>
        <v>0</v>
      </c>
      <c r="DB300" s="668">
        <f t="shared" si="920"/>
        <v>0</v>
      </c>
      <c r="DC300" s="668">
        <f t="shared" si="920"/>
        <v>0</v>
      </c>
      <c r="DD300" s="668">
        <f t="shared" si="920"/>
        <v>0</v>
      </c>
      <c r="DE300" s="668">
        <f t="shared" si="920"/>
        <v>0</v>
      </c>
      <c r="DF300" s="668">
        <f t="shared" si="920"/>
        <v>0</v>
      </c>
      <c r="DG300" s="668">
        <f t="shared" si="920"/>
        <v>0</v>
      </c>
      <c r="DH300" s="668">
        <f t="shared" si="23"/>
        <v>0</v>
      </c>
      <c r="DI300" s="668">
        <f t="shared" ref="DI300:DR300" si="921">BY300*$CL300</f>
        <v>0</v>
      </c>
      <c r="DJ300" s="668">
        <f t="shared" si="921"/>
        <v>0</v>
      </c>
      <c r="DK300" s="668">
        <f t="shared" si="921"/>
        <v>0</v>
      </c>
      <c r="DL300" s="668">
        <f t="shared" si="921"/>
        <v>0</v>
      </c>
      <c r="DM300" s="668">
        <f t="shared" si="921"/>
        <v>0</v>
      </c>
      <c r="DN300" s="668">
        <f t="shared" si="921"/>
        <v>0</v>
      </c>
      <c r="DO300" s="668">
        <f t="shared" si="921"/>
        <v>0</v>
      </c>
      <c r="DP300" s="668">
        <f t="shared" si="921"/>
        <v>0</v>
      </c>
      <c r="DQ300" s="668">
        <f t="shared" si="921"/>
        <v>0</v>
      </c>
      <c r="DR300" s="668">
        <f t="shared" si="921"/>
        <v>0</v>
      </c>
      <c r="DS300" s="668">
        <f t="shared" si="25"/>
        <v>0</v>
      </c>
      <c r="DT300" s="668">
        <f t="shared" si="685"/>
        <v>2833.068</v>
      </c>
      <c r="DU300" s="538"/>
      <c r="DV300" s="468"/>
      <c r="DW300" s="698"/>
      <c r="DX300" s="698"/>
      <c r="DY300" s="698"/>
      <c r="DZ300" s="698"/>
      <c r="EA300" s="698"/>
      <c r="EB300" s="698"/>
      <c r="EC300" s="698"/>
      <c r="ED300" s="698"/>
      <c r="EE300" s="698"/>
      <c r="EF300" s="698"/>
      <c r="EG300" s="698"/>
      <c r="EH300" s="576" t="s">
        <v>3490</v>
      </c>
      <c r="EI300" s="716">
        <f>VLOOKUP(I300,CotizacionTDB,4,FALSE())</f>
        <v>81.41</v>
      </c>
      <c r="EJ300" s="716">
        <f>VLOOKUP(I300,CotizacionTDB,5,FALSE())</f>
        <v>69.2</v>
      </c>
      <c r="EK300" s="699"/>
    </row>
    <row r="301" ht="12.0" customHeight="1">
      <c r="A301" s="700" t="s">
        <v>3026</v>
      </c>
      <c r="B301" s="701">
        <v>2.0</v>
      </c>
      <c r="C301" s="562" t="s">
        <v>3034</v>
      </c>
      <c r="D301" s="571" t="s">
        <v>738</v>
      </c>
      <c r="E301" s="571" t="s">
        <v>2708</v>
      </c>
      <c r="F301" s="562" t="s">
        <v>1763</v>
      </c>
      <c r="G301" s="569" t="s">
        <v>2709</v>
      </c>
      <c r="H301" s="569" t="s">
        <v>3491</v>
      </c>
      <c r="I301" s="717" t="s">
        <v>2167</v>
      </c>
      <c r="J301" s="704" t="s">
        <v>414</v>
      </c>
      <c r="K301" s="562" t="s">
        <v>25</v>
      </c>
      <c r="L301" s="562">
        <v>2024.0</v>
      </c>
      <c r="M301" s="562"/>
      <c r="N301" s="562"/>
      <c r="O301" s="562"/>
      <c r="P301" s="562"/>
      <c r="Q301" s="562"/>
      <c r="R301" s="562"/>
      <c r="S301" s="562"/>
      <c r="T301" s="562"/>
      <c r="U301" s="562"/>
      <c r="V301" s="562"/>
      <c r="W301" s="562">
        <v>4.0</v>
      </c>
      <c r="X301" s="562"/>
      <c r="Y301" s="562"/>
      <c r="Z301" s="562"/>
      <c r="AA301" s="562"/>
      <c r="AB301" s="562"/>
      <c r="AC301" s="562"/>
      <c r="AD301" s="562"/>
      <c r="AE301" s="562"/>
      <c r="AF301" s="562"/>
      <c r="AG301" s="562"/>
      <c r="AH301" s="562"/>
      <c r="AI301" s="562"/>
      <c r="AJ301" s="562"/>
      <c r="AK301" s="562"/>
      <c r="AL301" s="562"/>
      <c r="AM301" s="562"/>
      <c r="AN301" s="562"/>
      <c r="AO301" s="562"/>
      <c r="AP301" s="562"/>
      <c r="AQ301" s="562"/>
      <c r="AR301" s="562">
        <v>-2024.0</v>
      </c>
      <c r="AS301" s="562">
        <v>0.0</v>
      </c>
      <c r="AT301" s="562">
        <v>0.0</v>
      </c>
      <c r="AU301" s="562">
        <v>0.0</v>
      </c>
      <c r="AV301" s="562">
        <v>0.0</v>
      </c>
      <c r="AW301" s="562">
        <v>0.0</v>
      </c>
      <c r="AX301" s="562">
        <v>0.0</v>
      </c>
      <c r="AY301" s="562">
        <v>0.0</v>
      </c>
      <c r="AZ301" s="562">
        <v>0.0</v>
      </c>
      <c r="BA301" s="562">
        <v>0.0</v>
      </c>
      <c r="BB301" s="562"/>
      <c r="BC301" s="701">
        <v>7.0</v>
      </c>
      <c r="BD301" s="562"/>
      <c r="BE301" s="562"/>
      <c r="BF301" s="562"/>
      <c r="BG301" s="562"/>
      <c r="BH301" s="562"/>
      <c r="BI301" s="562"/>
      <c r="BJ301" s="562"/>
      <c r="BK301" s="562"/>
      <c r="BL301" s="681"/>
      <c r="BM301" s="665">
        <f t="shared" si="1"/>
        <v>7</v>
      </c>
      <c r="BN301" s="682"/>
      <c r="BO301" s="683"/>
      <c r="BP301" s="683"/>
      <c r="BQ301" s="683"/>
      <c r="BR301" s="683"/>
      <c r="BS301" s="683"/>
      <c r="BT301" s="683"/>
      <c r="BU301" s="683"/>
      <c r="BV301" s="683"/>
      <c r="BW301" s="686"/>
      <c r="BX301" s="665">
        <f t="shared" si="840"/>
        <v>0</v>
      </c>
      <c r="BY301" s="682">
        <v>0.0</v>
      </c>
      <c r="BZ301" s="683">
        <v>0.0</v>
      </c>
      <c r="CA301" s="683">
        <v>0.0</v>
      </c>
      <c r="CB301" s="683">
        <v>0.0</v>
      </c>
      <c r="CC301" s="683">
        <v>0.0</v>
      </c>
      <c r="CD301" s="683">
        <v>0.0</v>
      </c>
      <c r="CE301" s="683">
        <v>0.0</v>
      </c>
      <c r="CF301" s="683">
        <v>0.0</v>
      </c>
      <c r="CG301" s="683">
        <v>0.0</v>
      </c>
      <c r="CH301" s="686">
        <v>0.0</v>
      </c>
      <c r="CI301" s="665">
        <f t="shared" si="841"/>
        <v>0</v>
      </c>
      <c r="CJ301" s="682">
        <f t="shared" si="4"/>
        <v>7</v>
      </c>
      <c r="CK301" s="706">
        <v>50.42</v>
      </c>
      <c r="CL301" s="683">
        <f t="shared" si="912"/>
        <v>350.9232</v>
      </c>
      <c r="CM301" s="683">
        <f t="shared" ref="CM301:CV301" si="922">BC301*$CL301</f>
        <v>2456.4624</v>
      </c>
      <c r="CN301" s="683">
        <f t="shared" si="922"/>
        <v>0</v>
      </c>
      <c r="CO301" s="683">
        <f t="shared" si="922"/>
        <v>0</v>
      </c>
      <c r="CP301" s="683">
        <f t="shared" si="922"/>
        <v>0</v>
      </c>
      <c r="CQ301" s="683">
        <f t="shared" si="922"/>
        <v>0</v>
      </c>
      <c r="CR301" s="683">
        <f t="shared" si="922"/>
        <v>0</v>
      </c>
      <c r="CS301" s="683">
        <f t="shared" si="922"/>
        <v>0</v>
      </c>
      <c r="CT301" s="683">
        <f t="shared" si="922"/>
        <v>0</v>
      </c>
      <c r="CU301" s="683">
        <f t="shared" si="922"/>
        <v>0</v>
      </c>
      <c r="CV301" s="683">
        <f t="shared" si="922"/>
        <v>0</v>
      </c>
      <c r="CW301" s="683">
        <f t="shared" si="21"/>
        <v>2456.4624</v>
      </c>
      <c r="CX301" s="683">
        <f t="shared" ref="CX301:DG301" si="923">BN301*$CL301</f>
        <v>0</v>
      </c>
      <c r="CY301" s="683">
        <f t="shared" si="923"/>
        <v>0</v>
      </c>
      <c r="CZ301" s="683">
        <f t="shared" si="923"/>
        <v>0</v>
      </c>
      <c r="DA301" s="683">
        <f t="shared" si="923"/>
        <v>0</v>
      </c>
      <c r="DB301" s="683">
        <f t="shared" si="923"/>
        <v>0</v>
      </c>
      <c r="DC301" s="683">
        <f t="shared" si="923"/>
        <v>0</v>
      </c>
      <c r="DD301" s="683">
        <f t="shared" si="923"/>
        <v>0</v>
      </c>
      <c r="DE301" s="683">
        <f t="shared" si="923"/>
        <v>0</v>
      </c>
      <c r="DF301" s="683">
        <f t="shared" si="923"/>
        <v>0</v>
      </c>
      <c r="DG301" s="683">
        <f t="shared" si="923"/>
        <v>0</v>
      </c>
      <c r="DH301" s="683">
        <f t="shared" si="23"/>
        <v>0</v>
      </c>
      <c r="DI301" s="683">
        <f t="shared" ref="DI301:DR301" si="924">BY301*$CL301</f>
        <v>0</v>
      </c>
      <c r="DJ301" s="683">
        <f t="shared" si="924"/>
        <v>0</v>
      </c>
      <c r="DK301" s="683">
        <f t="shared" si="924"/>
        <v>0</v>
      </c>
      <c r="DL301" s="683">
        <f t="shared" si="924"/>
        <v>0</v>
      </c>
      <c r="DM301" s="683">
        <f t="shared" si="924"/>
        <v>0</v>
      </c>
      <c r="DN301" s="683">
        <f t="shared" si="924"/>
        <v>0</v>
      </c>
      <c r="DO301" s="683">
        <f t="shared" si="924"/>
        <v>0</v>
      </c>
      <c r="DP301" s="683">
        <f t="shared" si="924"/>
        <v>0</v>
      </c>
      <c r="DQ301" s="683">
        <f t="shared" si="924"/>
        <v>0</v>
      </c>
      <c r="DR301" s="683">
        <f t="shared" si="924"/>
        <v>0</v>
      </c>
      <c r="DS301" s="683">
        <f t="shared" si="25"/>
        <v>0</v>
      </c>
      <c r="DT301" s="683">
        <f t="shared" si="685"/>
        <v>2456.4624</v>
      </c>
      <c r="DU301" s="504"/>
      <c r="DV301" s="486"/>
      <c r="DW301" s="688"/>
      <c r="DX301" s="688"/>
      <c r="DY301" s="688"/>
      <c r="DZ301" s="688"/>
      <c r="EA301" s="688"/>
      <c r="EB301" s="688"/>
      <c r="EC301" s="688"/>
      <c r="ED301" s="688"/>
      <c r="EE301" s="688"/>
      <c r="EF301" s="688"/>
      <c r="EG301" s="688"/>
      <c r="EH301" s="707" t="s">
        <v>3492</v>
      </c>
      <c r="EI301" s="708">
        <f>VLOOKUP(I301,CotizacionTDB,4,FALSE())</f>
        <v>50.42</v>
      </c>
      <c r="EJ301" s="708">
        <f>VLOOKUP(I301,CotizacionTDB,5,FALSE())</f>
        <v>42.86</v>
      </c>
      <c r="EK301" s="691"/>
    </row>
    <row r="302" ht="12.0" customHeight="1">
      <c r="A302" s="709" t="s">
        <v>3026</v>
      </c>
      <c r="B302" s="661">
        <v>2.0</v>
      </c>
      <c r="C302" s="567" t="s">
        <v>3034</v>
      </c>
      <c r="D302" s="568" t="s">
        <v>738</v>
      </c>
      <c r="E302" s="568" t="s">
        <v>2708</v>
      </c>
      <c r="F302" s="567" t="s">
        <v>1763</v>
      </c>
      <c r="G302" s="569" t="s">
        <v>2709</v>
      </c>
      <c r="H302" s="569" t="s">
        <v>3493</v>
      </c>
      <c r="I302" s="710" t="s">
        <v>2067</v>
      </c>
      <c r="J302" s="711" t="s">
        <v>504</v>
      </c>
      <c r="K302" s="567" t="s">
        <v>25</v>
      </c>
      <c r="L302" s="567">
        <v>2024.0</v>
      </c>
      <c r="M302" s="567"/>
      <c r="N302" s="567"/>
      <c r="O302" s="567"/>
      <c r="P302" s="567"/>
      <c r="Q302" s="567"/>
      <c r="R302" s="567"/>
      <c r="S302" s="567"/>
      <c r="T302" s="567"/>
      <c r="U302" s="567"/>
      <c r="V302" s="567"/>
      <c r="W302" s="567">
        <v>4.0</v>
      </c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7"/>
      <c r="AH302" s="567"/>
      <c r="AI302" s="567"/>
      <c r="AJ302" s="567"/>
      <c r="AK302" s="567"/>
      <c r="AL302" s="567"/>
      <c r="AM302" s="567"/>
      <c r="AN302" s="567"/>
      <c r="AO302" s="567"/>
      <c r="AP302" s="567"/>
      <c r="AQ302" s="567"/>
      <c r="AR302" s="567">
        <v>-2024.0</v>
      </c>
      <c r="AS302" s="567">
        <v>0.0</v>
      </c>
      <c r="AT302" s="567">
        <v>0.0</v>
      </c>
      <c r="AU302" s="567">
        <v>0.0</v>
      </c>
      <c r="AV302" s="567">
        <v>0.0</v>
      </c>
      <c r="AW302" s="567">
        <v>0.0</v>
      </c>
      <c r="AX302" s="567">
        <v>0.0</v>
      </c>
      <c r="AY302" s="567">
        <v>0.0</v>
      </c>
      <c r="AZ302" s="567">
        <v>0.0</v>
      </c>
      <c r="BA302" s="567">
        <v>0.0</v>
      </c>
      <c r="BB302" s="567"/>
      <c r="BC302" s="567">
        <v>5.0</v>
      </c>
      <c r="BD302" s="567"/>
      <c r="BE302" s="567"/>
      <c r="BF302" s="567"/>
      <c r="BG302" s="567"/>
      <c r="BH302" s="567"/>
      <c r="BI302" s="567"/>
      <c r="BJ302" s="567"/>
      <c r="BK302" s="567"/>
      <c r="BL302" s="725"/>
      <c r="BM302" s="665">
        <f t="shared" si="1"/>
        <v>5</v>
      </c>
      <c r="BN302" s="671"/>
      <c r="BO302" s="668"/>
      <c r="BP302" s="668"/>
      <c r="BQ302" s="668"/>
      <c r="BR302" s="668"/>
      <c r="BS302" s="668"/>
      <c r="BT302" s="668"/>
      <c r="BU302" s="668"/>
      <c r="BV302" s="668"/>
      <c r="BW302" s="670"/>
      <c r="BX302" s="665">
        <f t="shared" si="840"/>
        <v>0</v>
      </c>
      <c r="BY302" s="671">
        <v>0.0</v>
      </c>
      <c r="BZ302" s="668">
        <v>0.0</v>
      </c>
      <c r="CA302" s="668">
        <v>0.0</v>
      </c>
      <c r="CB302" s="668">
        <v>0.0</v>
      </c>
      <c r="CC302" s="668">
        <v>0.0</v>
      </c>
      <c r="CD302" s="668">
        <v>0.0</v>
      </c>
      <c r="CE302" s="668">
        <v>0.0</v>
      </c>
      <c r="CF302" s="668">
        <v>0.0</v>
      </c>
      <c r="CG302" s="668">
        <v>0.0</v>
      </c>
      <c r="CH302" s="670">
        <v>0.0</v>
      </c>
      <c r="CI302" s="665">
        <f t="shared" si="841"/>
        <v>0</v>
      </c>
      <c r="CJ302" s="671">
        <f t="shared" si="4"/>
        <v>5</v>
      </c>
      <c r="CK302" s="715">
        <v>35.53</v>
      </c>
      <c r="CL302" s="668">
        <f t="shared" si="912"/>
        <v>247.2888</v>
      </c>
      <c r="CM302" s="668">
        <f t="shared" ref="CM302:CV302" si="925">BC302*$CL302</f>
        <v>1236.444</v>
      </c>
      <c r="CN302" s="668">
        <f t="shared" si="925"/>
        <v>0</v>
      </c>
      <c r="CO302" s="668">
        <f t="shared" si="925"/>
        <v>0</v>
      </c>
      <c r="CP302" s="668">
        <f t="shared" si="925"/>
        <v>0</v>
      </c>
      <c r="CQ302" s="668">
        <f t="shared" si="925"/>
        <v>0</v>
      </c>
      <c r="CR302" s="668">
        <f t="shared" si="925"/>
        <v>0</v>
      </c>
      <c r="CS302" s="668">
        <f t="shared" si="925"/>
        <v>0</v>
      </c>
      <c r="CT302" s="668">
        <f t="shared" si="925"/>
        <v>0</v>
      </c>
      <c r="CU302" s="668">
        <f t="shared" si="925"/>
        <v>0</v>
      </c>
      <c r="CV302" s="668">
        <f t="shared" si="925"/>
        <v>0</v>
      </c>
      <c r="CW302" s="668">
        <f t="shared" si="21"/>
        <v>1236.444</v>
      </c>
      <c r="CX302" s="668">
        <f t="shared" ref="CX302:DG302" si="926">BN302*$CL302</f>
        <v>0</v>
      </c>
      <c r="CY302" s="668">
        <f t="shared" si="926"/>
        <v>0</v>
      </c>
      <c r="CZ302" s="668">
        <f t="shared" si="926"/>
        <v>0</v>
      </c>
      <c r="DA302" s="668">
        <f t="shared" si="926"/>
        <v>0</v>
      </c>
      <c r="DB302" s="668">
        <f t="shared" si="926"/>
        <v>0</v>
      </c>
      <c r="DC302" s="668">
        <f t="shared" si="926"/>
        <v>0</v>
      </c>
      <c r="DD302" s="668">
        <f t="shared" si="926"/>
        <v>0</v>
      </c>
      <c r="DE302" s="668">
        <f t="shared" si="926"/>
        <v>0</v>
      </c>
      <c r="DF302" s="668">
        <f t="shared" si="926"/>
        <v>0</v>
      </c>
      <c r="DG302" s="668">
        <f t="shared" si="926"/>
        <v>0</v>
      </c>
      <c r="DH302" s="668">
        <f t="shared" si="23"/>
        <v>0</v>
      </c>
      <c r="DI302" s="668">
        <f t="shared" ref="DI302:DR302" si="927">BY302*$CL302</f>
        <v>0</v>
      </c>
      <c r="DJ302" s="668">
        <f t="shared" si="927"/>
        <v>0</v>
      </c>
      <c r="DK302" s="668">
        <f t="shared" si="927"/>
        <v>0</v>
      </c>
      <c r="DL302" s="668">
        <f t="shared" si="927"/>
        <v>0</v>
      </c>
      <c r="DM302" s="668">
        <f t="shared" si="927"/>
        <v>0</v>
      </c>
      <c r="DN302" s="668">
        <f t="shared" si="927"/>
        <v>0</v>
      </c>
      <c r="DO302" s="668">
        <f t="shared" si="927"/>
        <v>0</v>
      </c>
      <c r="DP302" s="668">
        <f t="shared" si="927"/>
        <v>0</v>
      </c>
      <c r="DQ302" s="668">
        <f t="shared" si="927"/>
        <v>0</v>
      </c>
      <c r="DR302" s="668">
        <f t="shared" si="927"/>
        <v>0</v>
      </c>
      <c r="DS302" s="668">
        <f t="shared" si="25"/>
        <v>0</v>
      </c>
      <c r="DT302" s="668">
        <f t="shared" si="685"/>
        <v>1236.444</v>
      </c>
      <c r="DU302" s="538"/>
      <c r="DV302" s="468"/>
      <c r="DW302" s="698"/>
      <c r="DX302" s="698"/>
      <c r="DY302" s="698"/>
      <c r="DZ302" s="698"/>
      <c r="EA302" s="698"/>
      <c r="EB302" s="698"/>
      <c r="EC302" s="698"/>
      <c r="ED302" s="698"/>
      <c r="EE302" s="698"/>
      <c r="EF302" s="698"/>
      <c r="EG302" s="698"/>
      <c r="EH302" s="576" t="s">
        <v>3494</v>
      </c>
      <c r="EI302" s="716">
        <f>VLOOKUP(I302,CotizacionTDB,4,FALSE())</f>
        <v>35.53</v>
      </c>
      <c r="EJ302" s="716">
        <f>VLOOKUP(I302,CotizacionTDB,5,FALSE())</f>
        <v>30.2</v>
      </c>
      <c r="EK302" s="699"/>
    </row>
    <row r="303" ht="12.0" customHeight="1">
      <c r="A303" s="700" t="s">
        <v>3026</v>
      </c>
      <c r="B303" s="701">
        <v>2.0</v>
      </c>
      <c r="C303" s="562" t="s">
        <v>3034</v>
      </c>
      <c r="D303" s="571" t="s">
        <v>738</v>
      </c>
      <c r="E303" s="571" t="s">
        <v>2708</v>
      </c>
      <c r="F303" s="562" t="s">
        <v>1763</v>
      </c>
      <c r="G303" s="569" t="s">
        <v>2709</v>
      </c>
      <c r="H303" s="737"/>
      <c r="I303" s="717" t="s">
        <v>2358</v>
      </c>
      <c r="J303" s="704" t="s">
        <v>1544</v>
      </c>
      <c r="K303" s="562" t="s">
        <v>25</v>
      </c>
      <c r="L303" s="562">
        <v>2024.0</v>
      </c>
      <c r="M303" s="562"/>
      <c r="N303" s="562"/>
      <c r="O303" s="562"/>
      <c r="P303" s="562"/>
      <c r="Q303" s="562"/>
      <c r="R303" s="562"/>
      <c r="S303" s="562"/>
      <c r="T303" s="562"/>
      <c r="U303" s="562"/>
      <c r="V303" s="562"/>
      <c r="W303" s="562">
        <v>4.0</v>
      </c>
      <c r="X303" s="562"/>
      <c r="Y303" s="562"/>
      <c r="Z303" s="562"/>
      <c r="AA303" s="562"/>
      <c r="AB303" s="562"/>
      <c r="AC303" s="562"/>
      <c r="AD303" s="562"/>
      <c r="AE303" s="562"/>
      <c r="AF303" s="562"/>
      <c r="AG303" s="562"/>
      <c r="AH303" s="562"/>
      <c r="AI303" s="562"/>
      <c r="AJ303" s="562"/>
      <c r="AK303" s="562"/>
      <c r="AL303" s="562"/>
      <c r="AM303" s="562"/>
      <c r="AN303" s="562"/>
      <c r="AO303" s="562"/>
      <c r="AP303" s="562"/>
      <c r="AQ303" s="562"/>
      <c r="AR303" s="562">
        <v>-2024.0</v>
      </c>
      <c r="AS303" s="562">
        <v>0.0</v>
      </c>
      <c r="AT303" s="562">
        <v>0.0</v>
      </c>
      <c r="AU303" s="562">
        <v>0.0</v>
      </c>
      <c r="AV303" s="562">
        <v>0.0</v>
      </c>
      <c r="AW303" s="562">
        <v>0.0</v>
      </c>
      <c r="AX303" s="562">
        <v>0.0</v>
      </c>
      <c r="AY303" s="562">
        <v>0.0</v>
      </c>
      <c r="AZ303" s="562">
        <v>0.0</v>
      </c>
      <c r="BA303" s="562">
        <v>0.0</v>
      </c>
      <c r="BB303" s="562"/>
      <c r="BC303" s="562">
        <v>5.0</v>
      </c>
      <c r="BD303" s="562"/>
      <c r="BE303" s="562"/>
      <c r="BF303" s="562"/>
      <c r="BG303" s="562"/>
      <c r="BH303" s="562"/>
      <c r="BI303" s="562"/>
      <c r="BJ303" s="562"/>
      <c r="BK303" s="562"/>
      <c r="BL303" s="681"/>
      <c r="BM303" s="665">
        <f t="shared" si="1"/>
        <v>5</v>
      </c>
      <c r="BN303" s="682"/>
      <c r="BO303" s="683"/>
      <c r="BP303" s="683"/>
      <c r="BQ303" s="683"/>
      <c r="BR303" s="683"/>
      <c r="BS303" s="683"/>
      <c r="BT303" s="683"/>
      <c r="BU303" s="683"/>
      <c r="BV303" s="683"/>
      <c r="BW303" s="686"/>
      <c r="BX303" s="665">
        <f t="shared" si="840"/>
        <v>0</v>
      </c>
      <c r="BY303" s="682">
        <v>0.0</v>
      </c>
      <c r="BZ303" s="683">
        <v>0.0</v>
      </c>
      <c r="CA303" s="683">
        <v>0.0</v>
      </c>
      <c r="CB303" s="683">
        <v>0.0</v>
      </c>
      <c r="CC303" s="683">
        <v>0.0</v>
      </c>
      <c r="CD303" s="683">
        <v>0.0</v>
      </c>
      <c r="CE303" s="683">
        <v>0.0</v>
      </c>
      <c r="CF303" s="683">
        <v>0.0</v>
      </c>
      <c r="CG303" s="683">
        <v>0.0</v>
      </c>
      <c r="CH303" s="686">
        <v>0.0</v>
      </c>
      <c r="CI303" s="665">
        <f t="shared" si="841"/>
        <v>0</v>
      </c>
      <c r="CJ303" s="682">
        <f t="shared" si="4"/>
        <v>5</v>
      </c>
      <c r="CK303" s="706">
        <v>35.26</v>
      </c>
      <c r="CL303" s="683">
        <f t="shared" si="912"/>
        <v>245.4096</v>
      </c>
      <c r="CM303" s="683">
        <f t="shared" ref="CM303:CV303" si="928">BC303*$CL303</f>
        <v>1227.048</v>
      </c>
      <c r="CN303" s="683">
        <f t="shared" si="928"/>
        <v>0</v>
      </c>
      <c r="CO303" s="683">
        <f t="shared" si="928"/>
        <v>0</v>
      </c>
      <c r="CP303" s="683">
        <f t="shared" si="928"/>
        <v>0</v>
      </c>
      <c r="CQ303" s="683">
        <f t="shared" si="928"/>
        <v>0</v>
      </c>
      <c r="CR303" s="683">
        <f t="shared" si="928"/>
        <v>0</v>
      </c>
      <c r="CS303" s="683">
        <f t="shared" si="928"/>
        <v>0</v>
      </c>
      <c r="CT303" s="683">
        <f t="shared" si="928"/>
        <v>0</v>
      </c>
      <c r="CU303" s="683">
        <f t="shared" si="928"/>
        <v>0</v>
      </c>
      <c r="CV303" s="683">
        <f t="shared" si="928"/>
        <v>0</v>
      </c>
      <c r="CW303" s="683">
        <f t="shared" si="21"/>
        <v>1227.048</v>
      </c>
      <c r="CX303" s="683">
        <f t="shared" ref="CX303:DG303" si="929">BN303*$CL303</f>
        <v>0</v>
      </c>
      <c r="CY303" s="683">
        <f t="shared" si="929"/>
        <v>0</v>
      </c>
      <c r="CZ303" s="683">
        <f t="shared" si="929"/>
        <v>0</v>
      </c>
      <c r="DA303" s="683">
        <f t="shared" si="929"/>
        <v>0</v>
      </c>
      <c r="DB303" s="683">
        <f t="shared" si="929"/>
        <v>0</v>
      </c>
      <c r="DC303" s="683">
        <f t="shared" si="929"/>
        <v>0</v>
      </c>
      <c r="DD303" s="683">
        <f t="shared" si="929"/>
        <v>0</v>
      </c>
      <c r="DE303" s="683">
        <f t="shared" si="929"/>
        <v>0</v>
      </c>
      <c r="DF303" s="683">
        <f t="shared" si="929"/>
        <v>0</v>
      </c>
      <c r="DG303" s="683">
        <f t="shared" si="929"/>
        <v>0</v>
      </c>
      <c r="DH303" s="683">
        <f t="shared" si="23"/>
        <v>0</v>
      </c>
      <c r="DI303" s="683">
        <f t="shared" ref="DI303:DR303" si="930">BY303*$CL303</f>
        <v>0</v>
      </c>
      <c r="DJ303" s="683">
        <f t="shared" si="930"/>
        <v>0</v>
      </c>
      <c r="DK303" s="683">
        <f t="shared" si="930"/>
        <v>0</v>
      </c>
      <c r="DL303" s="683">
        <f t="shared" si="930"/>
        <v>0</v>
      </c>
      <c r="DM303" s="683">
        <f t="shared" si="930"/>
        <v>0</v>
      </c>
      <c r="DN303" s="683">
        <f t="shared" si="930"/>
        <v>0</v>
      </c>
      <c r="DO303" s="683">
        <f t="shared" si="930"/>
        <v>0</v>
      </c>
      <c r="DP303" s="683">
        <f t="shared" si="930"/>
        <v>0</v>
      </c>
      <c r="DQ303" s="683">
        <f t="shared" si="930"/>
        <v>0</v>
      </c>
      <c r="DR303" s="683">
        <f t="shared" si="930"/>
        <v>0</v>
      </c>
      <c r="DS303" s="683">
        <f t="shared" si="25"/>
        <v>0</v>
      </c>
      <c r="DT303" s="683">
        <f t="shared" si="685"/>
        <v>1227.048</v>
      </c>
      <c r="DU303" s="504"/>
      <c r="DV303" s="486"/>
      <c r="DW303" s="688"/>
      <c r="DX303" s="688"/>
      <c r="DY303" s="688"/>
      <c r="DZ303" s="688"/>
      <c r="EA303" s="688"/>
      <c r="EB303" s="688"/>
      <c r="EC303" s="688"/>
      <c r="ED303" s="688"/>
      <c r="EE303" s="688"/>
      <c r="EF303" s="688"/>
      <c r="EG303" s="688"/>
      <c r="EH303" s="707" t="s">
        <v>3495</v>
      </c>
      <c r="EI303" s="708">
        <f>VLOOKUP(I303,CotizacionTDB,4,FALSE())</f>
        <v>35.26</v>
      </c>
      <c r="EJ303" s="708">
        <f>VLOOKUP(I303,CotizacionTDB,5,FALSE())</f>
        <v>29.97</v>
      </c>
      <c r="EK303" s="691"/>
    </row>
    <row r="304" ht="12.0" customHeight="1">
      <c r="A304" s="709" t="s">
        <v>3026</v>
      </c>
      <c r="B304" s="661">
        <v>2.0</v>
      </c>
      <c r="C304" s="567" t="s">
        <v>3034</v>
      </c>
      <c r="D304" s="568" t="s">
        <v>738</v>
      </c>
      <c r="E304" s="568" t="s">
        <v>2708</v>
      </c>
      <c r="F304" s="567" t="s">
        <v>1763</v>
      </c>
      <c r="G304" s="569" t="s">
        <v>2709</v>
      </c>
      <c r="H304" s="657" t="s">
        <v>3496</v>
      </c>
      <c r="I304" s="710" t="s">
        <v>2080</v>
      </c>
      <c r="J304" s="711" t="s">
        <v>1095</v>
      </c>
      <c r="K304" s="567" t="s">
        <v>25</v>
      </c>
      <c r="L304" s="567">
        <v>2024.0</v>
      </c>
      <c r="M304" s="567"/>
      <c r="N304" s="567"/>
      <c r="O304" s="567"/>
      <c r="P304" s="567"/>
      <c r="Q304" s="567"/>
      <c r="R304" s="567">
        <v>2024.0</v>
      </c>
      <c r="S304" s="567">
        <v>2024.0</v>
      </c>
      <c r="T304" s="567"/>
      <c r="U304" s="567">
        <v>2024.0</v>
      </c>
      <c r="V304" s="567"/>
      <c r="W304" s="567">
        <v>4.0</v>
      </c>
      <c r="X304" s="567"/>
      <c r="Y304" s="567"/>
      <c r="Z304" s="567"/>
      <c r="AA304" s="567"/>
      <c r="AB304" s="567"/>
      <c r="AC304" s="567">
        <v>3.0</v>
      </c>
      <c r="AD304" s="567">
        <v>3.0</v>
      </c>
      <c r="AE304" s="567"/>
      <c r="AF304" s="567">
        <v>3.0</v>
      </c>
      <c r="AG304" s="567"/>
      <c r="AH304" s="567"/>
      <c r="AI304" s="567"/>
      <c r="AJ304" s="567"/>
      <c r="AK304" s="567"/>
      <c r="AL304" s="567"/>
      <c r="AM304" s="567"/>
      <c r="AN304" s="567"/>
      <c r="AO304" s="567"/>
      <c r="AP304" s="567"/>
      <c r="AQ304" s="567"/>
      <c r="AR304" s="567">
        <v>-2024.0</v>
      </c>
      <c r="AS304" s="567">
        <v>0.0</v>
      </c>
      <c r="AT304" s="567">
        <v>0.0</v>
      </c>
      <c r="AU304" s="567">
        <v>0.0</v>
      </c>
      <c r="AV304" s="567">
        <v>0.0</v>
      </c>
      <c r="AW304" s="567">
        <v>0.0</v>
      </c>
      <c r="AX304" s="567">
        <v>-2024.0</v>
      </c>
      <c r="AY304" s="567">
        <v>-2024.0</v>
      </c>
      <c r="AZ304" s="567">
        <v>0.0</v>
      </c>
      <c r="BA304" s="567">
        <v>-2024.0</v>
      </c>
      <c r="BB304" s="567"/>
      <c r="BC304" s="567">
        <v>5.0</v>
      </c>
      <c r="BD304" s="567"/>
      <c r="BE304" s="567"/>
      <c r="BF304" s="567"/>
      <c r="BG304" s="567"/>
      <c r="BH304" s="567"/>
      <c r="BI304" s="567">
        <v>5.0</v>
      </c>
      <c r="BJ304" s="567">
        <v>5.0</v>
      </c>
      <c r="BK304" s="567"/>
      <c r="BL304" s="741">
        <v>0.0</v>
      </c>
      <c r="BM304" s="665">
        <f t="shared" si="1"/>
        <v>15</v>
      </c>
      <c r="BN304" s="671"/>
      <c r="BO304" s="668"/>
      <c r="BP304" s="668"/>
      <c r="BQ304" s="668"/>
      <c r="BR304" s="668"/>
      <c r="BS304" s="668"/>
      <c r="BT304" s="668"/>
      <c r="BU304" s="668"/>
      <c r="BV304" s="668"/>
      <c r="BW304" s="670"/>
      <c r="BX304" s="665">
        <f t="shared" si="840"/>
        <v>0</v>
      </c>
      <c r="BY304" s="671">
        <v>0.0</v>
      </c>
      <c r="BZ304" s="668">
        <v>0.0</v>
      </c>
      <c r="CA304" s="668">
        <v>0.0</v>
      </c>
      <c r="CB304" s="668">
        <v>0.0</v>
      </c>
      <c r="CC304" s="668">
        <v>0.0</v>
      </c>
      <c r="CD304" s="668">
        <v>0.0</v>
      </c>
      <c r="CE304" s="668">
        <v>0.0</v>
      </c>
      <c r="CF304" s="668">
        <v>0.0</v>
      </c>
      <c r="CG304" s="668">
        <v>0.0</v>
      </c>
      <c r="CH304" s="670">
        <v>0.0</v>
      </c>
      <c r="CI304" s="665">
        <f t="shared" si="841"/>
        <v>0</v>
      </c>
      <c r="CJ304" s="671">
        <f t="shared" si="4"/>
        <v>15</v>
      </c>
      <c r="CK304" s="715">
        <v>4.0</v>
      </c>
      <c r="CL304" s="668">
        <f t="shared" si="912"/>
        <v>27.84</v>
      </c>
      <c r="CM304" s="668">
        <f t="shared" ref="CM304:CV304" si="931">BC304*$CL304</f>
        <v>139.2</v>
      </c>
      <c r="CN304" s="668">
        <f t="shared" si="931"/>
        <v>0</v>
      </c>
      <c r="CO304" s="668">
        <f t="shared" si="931"/>
        <v>0</v>
      </c>
      <c r="CP304" s="668">
        <f t="shared" si="931"/>
        <v>0</v>
      </c>
      <c r="CQ304" s="668">
        <f t="shared" si="931"/>
        <v>0</v>
      </c>
      <c r="CR304" s="668">
        <f t="shared" si="931"/>
        <v>0</v>
      </c>
      <c r="CS304" s="668">
        <f t="shared" si="931"/>
        <v>139.2</v>
      </c>
      <c r="CT304" s="668">
        <f t="shared" si="931"/>
        <v>139.2</v>
      </c>
      <c r="CU304" s="668">
        <f t="shared" si="931"/>
        <v>0</v>
      </c>
      <c r="CV304" s="668">
        <f t="shared" si="931"/>
        <v>0</v>
      </c>
      <c r="CW304" s="668">
        <f t="shared" si="21"/>
        <v>417.6</v>
      </c>
      <c r="CX304" s="668">
        <f t="shared" ref="CX304:DG304" si="932">BN304*$CL304</f>
        <v>0</v>
      </c>
      <c r="CY304" s="668">
        <f t="shared" si="932"/>
        <v>0</v>
      </c>
      <c r="CZ304" s="668">
        <f t="shared" si="932"/>
        <v>0</v>
      </c>
      <c r="DA304" s="668">
        <f t="shared" si="932"/>
        <v>0</v>
      </c>
      <c r="DB304" s="668">
        <f t="shared" si="932"/>
        <v>0</v>
      </c>
      <c r="DC304" s="668">
        <f t="shared" si="932"/>
        <v>0</v>
      </c>
      <c r="DD304" s="668">
        <f t="shared" si="932"/>
        <v>0</v>
      </c>
      <c r="DE304" s="668">
        <f t="shared" si="932"/>
        <v>0</v>
      </c>
      <c r="DF304" s="668">
        <f t="shared" si="932"/>
        <v>0</v>
      </c>
      <c r="DG304" s="668">
        <f t="shared" si="932"/>
        <v>0</v>
      </c>
      <c r="DH304" s="668">
        <f t="shared" si="23"/>
        <v>0</v>
      </c>
      <c r="DI304" s="668">
        <f t="shared" ref="DI304:DR304" si="933">BY304*$CL304</f>
        <v>0</v>
      </c>
      <c r="DJ304" s="668">
        <f t="shared" si="933"/>
        <v>0</v>
      </c>
      <c r="DK304" s="668">
        <f t="shared" si="933"/>
        <v>0</v>
      </c>
      <c r="DL304" s="668">
        <f t="shared" si="933"/>
        <v>0</v>
      </c>
      <c r="DM304" s="668">
        <f t="shared" si="933"/>
        <v>0</v>
      </c>
      <c r="DN304" s="668">
        <f t="shared" si="933"/>
        <v>0</v>
      </c>
      <c r="DO304" s="668">
        <f t="shared" si="933"/>
        <v>0</v>
      </c>
      <c r="DP304" s="668">
        <f t="shared" si="933"/>
        <v>0</v>
      </c>
      <c r="DQ304" s="668">
        <f t="shared" si="933"/>
        <v>0</v>
      </c>
      <c r="DR304" s="668">
        <f t="shared" si="933"/>
        <v>0</v>
      </c>
      <c r="DS304" s="668">
        <f t="shared" si="25"/>
        <v>0</v>
      </c>
      <c r="DT304" s="668">
        <f t="shared" si="685"/>
        <v>417.6</v>
      </c>
      <c r="DU304" s="538"/>
      <c r="DV304" s="468"/>
      <c r="DW304" s="698"/>
      <c r="DX304" s="698"/>
      <c r="DY304" s="698"/>
      <c r="DZ304" s="698"/>
      <c r="EA304" s="698"/>
      <c r="EB304" s="698"/>
      <c r="EC304" s="698"/>
      <c r="ED304" s="698"/>
      <c r="EE304" s="698"/>
      <c r="EF304" s="698"/>
      <c r="EG304" s="698"/>
      <c r="EH304" s="576" t="s">
        <v>3497</v>
      </c>
      <c r="EI304" s="716">
        <f>VLOOKUP(I304,CotizacionTDB,4,FALSE())</f>
        <v>4</v>
      </c>
      <c r="EJ304" s="716">
        <f>VLOOKUP(I304,CotizacionTDB,5,FALSE())</f>
        <v>3.4</v>
      </c>
      <c r="EK304" s="699"/>
    </row>
    <row r="305" ht="12.0" customHeight="1">
      <c r="A305" s="700" t="s">
        <v>3026</v>
      </c>
      <c r="B305" s="701">
        <v>2.0</v>
      </c>
      <c r="C305" s="562" t="s">
        <v>3034</v>
      </c>
      <c r="D305" s="571" t="s">
        <v>738</v>
      </c>
      <c r="E305" s="571" t="s">
        <v>2708</v>
      </c>
      <c r="F305" s="562" t="s">
        <v>1763</v>
      </c>
      <c r="G305" s="569" t="s">
        <v>2709</v>
      </c>
      <c r="H305" s="569" t="s">
        <v>3090</v>
      </c>
      <c r="I305" s="703" t="s">
        <v>2266</v>
      </c>
      <c r="J305" s="704" t="s">
        <v>1475</v>
      </c>
      <c r="K305" s="562" t="s">
        <v>25</v>
      </c>
      <c r="L305" s="562"/>
      <c r="M305" s="562"/>
      <c r="N305" s="562">
        <v>2024.0</v>
      </c>
      <c r="O305" s="562"/>
      <c r="P305" s="562"/>
      <c r="Q305" s="562"/>
      <c r="R305" s="562"/>
      <c r="S305" s="562"/>
      <c r="T305" s="562"/>
      <c r="U305" s="562">
        <v>2024.0</v>
      </c>
      <c r="V305" s="562"/>
      <c r="W305" s="562"/>
      <c r="X305" s="562"/>
      <c r="Y305" s="562">
        <v>3.0</v>
      </c>
      <c r="Z305" s="562"/>
      <c r="AA305" s="562"/>
      <c r="AB305" s="562"/>
      <c r="AC305" s="562"/>
      <c r="AD305" s="562"/>
      <c r="AE305" s="562"/>
      <c r="AF305" s="562">
        <v>3.0</v>
      </c>
      <c r="AG305" s="562"/>
      <c r="AH305" s="562"/>
      <c r="AI305" s="562"/>
      <c r="AJ305" s="562"/>
      <c r="AK305" s="562"/>
      <c r="AL305" s="562"/>
      <c r="AM305" s="562"/>
      <c r="AN305" s="562"/>
      <c r="AO305" s="562"/>
      <c r="AP305" s="562"/>
      <c r="AQ305" s="562"/>
      <c r="AR305" s="562">
        <v>0.0</v>
      </c>
      <c r="AS305" s="562">
        <v>0.0</v>
      </c>
      <c r="AT305" s="562">
        <v>-2024.0</v>
      </c>
      <c r="AU305" s="562">
        <v>0.0</v>
      </c>
      <c r="AV305" s="562">
        <v>0.0</v>
      </c>
      <c r="AW305" s="562">
        <v>0.0</v>
      </c>
      <c r="AX305" s="562">
        <v>0.0</v>
      </c>
      <c r="AY305" s="562">
        <v>0.0</v>
      </c>
      <c r="AZ305" s="562">
        <v>0.0</v>
      </c>
      <c r="BA305" s="562">
        <v>-2024.0</v>
      </c>
      <c r="BB305" s="562"/>
      <c r="BC305" s="562"/>
      <c r="BD305" s="562"/>
      <c r="BE305" s="562">
        <v>20.0</v>
      </c>
      <c r="BF305" s="562"/>
      <c r="BG305" s="562"/>
      <c r="BH305" s="562"/>
      <c r="BI305" s="562"/>
      <c r="BJ305" s="562"/>
      <c r="BK305" s="562"/>
      <c r="BL305" s="719">
        <v>20.0</v>
      </c>
      <c r="BM305" s="665">
        <f t="shared" si="1"/>
        <v>40</v>
      </c>
      <c r="BN305" s="860"/>
      <c r="BO305" s="488"/>
      <c r="BP305" s="488"/>
      <c r="BQ305" s="488"/>
      <c r="BR305" s="488"/>
      <c r="BS305" s="488"/>
      <c r="BT305" s="488"/>
      <c r="BU305" s="488"/>
      <c r="BV305" s="488"/>
      <c r="BW305" s="837"/>
      <c r="BX305" s="665">
        <f t="shared" si="840"/>
        <v>0</v>
      </c>
      <c r="BY305" s="682">
        <v>0.0</v>
      </c>
      <c r="BZ305" s="683">
        <v>0.0</v>
      </c>
      <c r="CA305" s="683">
        <v>0.0</v>
      </c>
      <c r="CB305" s="683">
        <v>0.0</v>
      </c>
      <c r="CC305" s="683">
        <v>0.0</v>
      </c>
      <c r="CD305" s="683">
        <v>0.0</v>
      </c>
      <c r="CE305" s="683">
        <v>0.0</v>
      </c>
      <c r="CF305" s="683">
        <v>0.0</v>
      </c>
      <c r="CG305" s="683">
        <v>0.0</v>
      </c>
      <c r="CH305" s="686">
        <v>0.0</v>
      </c>
      <c r="CI305" s="665">
        <f t="shared" si="841"/>
        <v>0</v>
      </c>
      <c r="CJ305" s="682">
        <f t="shared" si="4"/>
        <v>40</v>
      </c>
      <c r="CK305" s="706">
        <v>0.46</v>
      </c>
      <c r="CL305" s="683">
        <f t="shared" si="912"/>
        <v>3.2016</v>
      </c>
      <c r="CM305" s="683">
        <f t="shared" ref="CM305:CV305" si="934">BC305*$CL305</f>
        <v>0</v>
      </c>
      <c r="CN305" s="683">
        <f t="shared" si="934"/>
        <v>0</v>
      </c>
      <c r="CO305" s="683">
        <f t="shared" si="934"/>
        <v>64.032</v>
      </c>
      <c r="CP305" s="683">
        <f t="shared" si="934"/>
        <v>0</v>
      </c>
      <c r="CQ305" s="683">
        <f t="shared" si="934"/>
        <v>0</v>
      </c>
      <c r="CR305" s="683">
        <f t="shared" si="934"/>
        <v>0</v>
      </c>
      <c r="CS305" s="683">
        <f t="shared" si="934"/>
        <v>0</v>
      </c>
      <c r="CT305" s="683">
        <f t="shared" si="934"/>
        <v>0</v>
      </c>
      <c r="CU305" s="683">
        <f t="shared" si="934"/>
        <v>0</v>
      </c>
      <c r="CV305" s="683">
        <f t="shared" si="934"/>
        <v>64.032</v>
      </c>
      <c r="CW305" s="683">
        <f t="shared" si="21"/>
        <v>128.064</v>
      </c>
      <c r="CX305" s="683">
        <f t="shared" ref="CX305:DG305" si="935">BN305*$CL305</f>
        <v>0</v>
      </c>
      <c r="CY305" s="683">
        <f t="shared" si="935"/>
        <v>0</v>
      </c>
      <c r="CZ305" s="683">
        <f t="shared" si="935"/>
        <v>0</v>
      </c>
      <c r="DA305" s="683">
        <f t="shared" si="935"/>
        <v>0</v>
      </c>
      <c r="DB305" s="683">
        <f t="shared" si="935"/>
        <v>0</v>
      </c>
      <c r="DC305" s="683">
        <f t="shared" si="935"/>
        <v>0</v>
      </c>
      <c r="DD305" s="683">
        <f t="shared" si="935"/>
        <v>0</v>
      </c>
      <c r="DE305" s="683">
        <f t="shared" si="935"/>
        <v>0</v>
      </c>
      <c r="DF305" s="683">
        <f t="shared" si="935"/>
        <v>0</v>
      </c>
      <c r="DG305" s="683">
        <f t="shared" si="935"/>
        <v>0</v>
      </c>
      <c r="DH305" s="683">
        <f t="shared" si="23"/>
        <v>0</v>
      </c>
      <c r="DI305" s="683">
        <f t="shared" ref="DI305:DR305" si="936">BY305*$CL305</f>
        <v>0</v>
      </c>
      <c r="DJ305" s="683">
        <f t="shared" si="936"/>
        <v>0</v>
      </c>
      <c r="DK305" s="683">
        <f t="shared" si="936"/>
        <v>0</v>
      </c>
      <c r="DL305" s="683">
        <f t="shared" si="936"/>
        <v>0</v>
      </c>
      <c r="DM305" s="683">
        <f t="shared" si="936"/>
        <v>0</v>
      </c>
      <c r="DN305" s="683">
        <f t="shared" si="936"/>
        <v>0</v>
      </c>
      <c r="DO305" s="683">
        <f t="shared" si="936"/>
        <v>0</v>
      </c>
      <c r="DP305" s="683">
        <f t="shared" si="936"/>
        <v>0</v>
      </c>
      <c r="DQ305" s="683">
        <f t="shared" si="936"/>
        <v>0</v>
      </c>
      <c r="DR305" s="683">
        <f t="shared" si="936"/>
        <v>0</v>
      </c>
      <c r="DS305" s="683">
        <f t="shared" si="25"/>
        <v>0</v>
      </c>
      <c r="DT305" s="683">
        <f t="shared" si="685"/>
        <v>128.064</v>
      </c>
      <c r="DU305" s="504"/>
      <c r="DV305" s="486"/>
      <c r="DW305" s="688"/>
      <c r="DX305" s="688"/>
      <c r="DY305" s="688"/>
      <c r="DZ305" s="688"/>
      <c r="EA305" s="688"/>
      <c r="EB305" s="688"/>
      <c r="EC305" s="688"/>
      <c r="ED305" s="688"/>
      <c r="EE305" s="688"/>
      <c r="EF305" s="688"/>
      <c r="EG305" s="688"/>
      <c r="EH305" s="707" t="s">
        <v>3498</v>
      </c>
      <c r="EI305" s="708">
        <f>VLOOKUP(I305,CotizacionTDB,4,FALSE())</f>
        <v>0.46</v>
      </c>
      <c r="EJ305" s="708">
        <f>VLOOKUP(I305,CotizacionTDB,5,FALSE())</f>
        <v>0.39</v>
      </c>
      <c r="EK305" s="691"/>
    </row>
    <row r="306" ht="12.0" customHeight="1">
      <c r="A306" s="709" t="s">
        <v>3026</v>
      </c>
      <c r="B306" s="661">
        <v>2.0</v>
      </c>
      <c r="C306" s="567" t="s">
        <v>3034</v>
      </c>
      <c r="D306" s="568" t="s">
        <v>738</v>
      </c>
      <c r="E306" s="568" t="s">
        <v>2708</v>
      </c>
      <c r="F306" s="567" t="s">
        <v>1763</v>
      </c>
      <c r="G306" s="569" t="s">
        <v>2709</v>
      </c>
      <c r="H306" s="657" t="s">
        <v>3499</v>
      </c>
      <c r="I306" s="710" t="s">
        <v>1860</v>
      </c>
      <c r="J306" s="711" t="s">
        <v>1404</v>
      </c>
      <c r="K306" s="567" t="s">
        <v>25</v>
      </c>
      <c r="L306" s="567">
        <v>2024.0</v>
      </c>
      <c r="M306" s="567"/>
      <c r="N306" s="567"/>
      <c r="O306" s="567"/>
      <c r="P306" s="567"/>
      <c r="Q306" s="567"/>
      <c r="R306" s="567"/>
      <c r="S306" s="567"/>
      <c r="T306" s="567"/>
      <c r="U306" s="567"/>
      <c r="V306" s="567"/>
      <c r="W306" s="567">
        <v>4.0</v>
      </c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7"/>
      <c r="AH306" s="567"/>
      <c r="AI306" s="567"/>
      <c r="AJ306" s="567"/>
      <c r="AK306" s="567"/>
      <c r="AL306" s="567"/>
      <c r="AM306" s="567"/>
      <c r="AN306" s="567"/>
      <c r="AO306" s="567"/>
      <c r="AP306" s="567"/>
      <c r="AQ306" s="567"/>
      <c r="AR306" s="567">
        <v>-2024.0</v>
      </c>
      <c r="AS306" s="567">
        <v>0.0</v>
      </c>
      <c r="AT306" s="567">
        <v>0.0</v>
      </c>
      <c r="AU306" s="567">
        <v>0.0</v>
      </c>
      <c r="AV306" s="567">
        <v>0.0</v>
      </c>
      <c r="AW306" s="567">
        <v>0.0</v>
      </c>
      <c r="AX306" s="567">
        <v>0.0</v>
      </c>
      <c r="AY306" s="567">
        <v>0.0</v>
      </c>
      <c r="AZ306" s="567">
        <v>0.0</v>
      </c>
      <c r="BA306" s="567">
        <v>0.0</v>
      </c>
      <c r="BB306" s="567"/>
      <c r="BC306" s="567">
        <v>10.0</v>
      </c>
      <c r="BD306" s="567"/>
      <c r="BE306" s="567"/>
      <c r="BF306" s="567"/>
      <c r="BG306" s="567"/>
      <c r="BH306" s="567"/>
      <c r="BI306" s="567"/>
      <c r="BJ306" s="567"/>
      <c r="BK306" s="567"/>
      <c r="BL306" s="567"/>
      <c r="BM306" s="665">
        <f t="shared" si="1"/>
        <v>10</v>
      </c>
      <c r="BN306" s="668"/>
      <c r="BO306" s="668"/>
      <c r="BP306" s="668"/>
      <c r="BQ306" s="668"/>
      <c r="BR306" s="668"/>
      <c r="BS306" s="668"/>
      <c r="BT306" s="668"/>
      <c r="BU306" s="668"/>
      <c r="BV306" s="668"/>
      <c r="BW306" s="670"/>
      <c r="BX306" s="665">
        <f t="shared" si="840"/>
        <v>0</v>
      </c>
      <c r="BY306" s="671">
        <v>0.0</v>
      </c>
      <c r="BZ306" s="668">
        <v>0.0</v>
      </c>
      <c r="CA306" s="668">
        <v>0.0</v>
      </c>
      <c r="CB306" s="668">
        <v>0.0</v>
      </c>
      <c r="CC306" s="668">
        <v>0.0</v>
      </c>
      <c r="CD306" s="668">
        <v>0.0</v>
      </c>
      <c r="CE306" s="668">
        <v>0.0</v>
      </c>
      <c r="CF306" s="668">
        <v>0.0</v>
      </c>
      <c r="CG306" s="668">
        <v>0.0</v>
      </c>
      <c r="CH306" s="670">
        <v>0.0</v>
      </c>
      <c r="CI306" s="665">
        <f t="shared" si="841"/>
        <v>0</v>
      </c>
      <c r="CJ306" s="671">
        <f t="shared" si="4"/>
        <v>10</v>
      </c>
      <c r="CK306" s="715">
        <v>0.89</v>
      </c>
      <c r="CL306" s="668">
        <f t="shared" si="912"/>
        <v>6.1944</v>
      </c>
      <c r="CM306" s="668">
        <f t="shared" ref="CM306:CV306" si="937">BC306*$CL306</f>
        <v>61.944</v>
      </c>
      <c r="CN306" s="668">
        <f t="shared" si="937"/>
        <v>0</v>
      </c>
      <c r="CO306" s="668">
        <f t="shared" si="937"/>
        <v>0</v>
      </c>
      <c r="CP306" s="668">
        <f t="shared" si="937"/>
        <v>0</v>
      </c>
      <c r="CQ306" s="668">
        <f t="shared" si="937"/>
        <v>0</v>
      </c>
      <c r="CR306" s="668">
        <f t="shared" si="937"/>
        <v>0</v>
      </c>
      <c r="CS306" s="668">
        <f t="shared" si="937"/>
        <v>0</v>
      </c>
      <c r="CT306" s="668">
        <f t="shared" si="937"/>
        <v>0</v>
      </c>
      <c r="CU306" s="668">
        <f t="shared" si="937"/>
        <v>0</v>
      </c>
      <c r="CV306" s="668">
        <f t="shared" si="937"/>
        <v>0</v>
      </c>
      <c r="CW306" s="668">
        <f t="shared" si="21"/>
        <v>61.944</v>
      </c>
      <c r="CX306" s="668">
        <f t="shared" ref="CX306:DG306" si="938">BN306*$CL306</f>
        <v>0</v>
      </c>
      <c r="CY306" s="668">
        <f t="shared" si="938"/>
        <v>0</v>
      </c>
      <c r="CZ306" s="668">
        <f t="shared" si="938"/>
        <v>0</v>
      </c>
      <c r="DA306" s="668">
        <f t="shared" si="938"/>
        <v>0</v>
      </c>
      <c r="DB306" s="668">
        <f t="shared" si="938"/>
        <v>0</v>
      </c>
      <c r="DC306" s="668">
        <f t="shared" si="938"/>
        <v>0</v>
      </c>
      <c r="DD306" s="668">
        <f t="shared" si="938"/>
        <v>0</v>
      </c>
      <c r="DE306" s="668">
        <f t="shared" si="938"/>
        <v>0</v>
      </c>
      <c r="DF306" s="668">
        <f t="shared" si="938"/>
        <v>0</v>
      </c>
      <c r="DG306" s="668">
        <f t="shared" si="938"/>
        <v>0</v>
      </c>
      <c r="DH306" s="668">
        <f t="shared" si="23"/>
        <v>0</v>
      </c>
      <c r="DI306" s="668">
        <f t="shared" ref="DI306:DR306" si="939">BY306*$CL306</f>
        <v>0</v>
      </c>
      <c r="DJ306" s="668">
        <f t="shared" si="939"/>
        <v>0</v>
      </c>
      <c r="DK306" s="668">
        <f t="shared" si="939"/>
        <v>0</v>
      </c>
      <c r="DL306" s="668">
        <f t="shared" si="939"/>
        <v>0</v>
      </c>
      <c r="DM306" s="668">
        <f t="shared" si="939"/>
        <v>0</v>
      </c>
      <c r="DN306" s="668">
        <f t="shared" si="939"/>
        <v>0</v>
      </c>
      <c r="DO306" s="668">
        <f t="shared" si="939"/>
        <v>0</v>
      </c>
      <c r="DP306" s="668">
        <f t="shared" si="939"/>
        <v>0</v>
      </c>
      <c r="DQ306" s="668">
        <f t="shared" si="939"/>
        <v>0</v>
      </c>
      <c r="DR306" s="668">
        <f t="shared" si="939"/>
        <v>0</v>
      </c>
      <c r="DS306" s="668">
        <f t="shared" si="25"/>
        <v>0</v>
      </c>
      <c r="DT306" s="668">
        <f t="shared" si="685"/>
        <v>61.944</v>
      </c>
      <c r="DU306" s="538"/>
      <c r="DV306" s="468"/>
      <c r="DW306" s="842"/>
      <c r="DX306" s="468"/>
      <c r="DY306" s="468"/>
      <c r="DZ306" s="698"/>
      <c r="EA306" s="698"/>
      <c r="EB306" s="698"/>
      <c r="EC306" s="698"/>
      <c r="ED306" s="698"/>
      <c r="EE306" s="698"/>
      <c r="EF306" s="698"/>
      <c r="EG306" s="698"/>
      <c r="EH306" s="576" t="s">
        <v>3500</v>
      </c>
      <c r="EI306" s="716">
        <f>VLOOKUP(I306,CotizacionTDB,4,FALSE())</f>
        <v>0.89</v>
      </c>
      <c r="EJ306" s="716">
        <f>VLOOKUP(I306,CotizacionTDB,5,FALSE())</f>
        <v>0.76</v>
      </c>
      <c r="EK306" s="699"/>
    </row>
    <row r="307" ht="12.0" customHeight="1">
      <c r="A307" s="700" t="s">
        <v>3026</v>
      </c>
      <c r="B307" s="701">
        <v>2.0</v>
      </c>
      <c r="C307" s="562" t="s">
        <v>3034</v>
      </c>
      <c r="D307" s="571" t="s">
        <v>738</v>
      </c>
      <c r="E307" s="571" t="s">
        <v>2708</v>
      </c>
      <c r="F307" s="562" t="s">
        <v>1763</v>
      </c>
      <c r="G307" s="569" t="s">
        <v>2709</v>
      </c>
      <c r="H307" s="737"/>
      <c r="I307" s="717" t="s">
        <v>2468</v>
      </c>
      <c r="J307" s="704" t="s">
        <v>682</v>
      </c>
      <c r="K307" s="562" t="s">
        <v>25</v>
      </c>
      <c r="L307" s="562">
        <v>2024.0</v>
      </c>
      <c r="M307" s="562"/>
      <c r="N307" s="562"/>
      <c r="O307" s="562"/>
      <c r="P307" s="562"/>
      <c r="Q307" s="562"/>
      <c r="R307" s="562"/>
      <c r="S307" s="562"/>
      <c r="T307" s="562"/>
      <c r="U307" s="562"/>
      <c r="V307" s="562"/>
      <c r="W307" s="562">
        <v>4.0</v>
      </c>
      <c r="X307" s="562"/>
      <c r="Y307" s="562"/>
      <c r="Z307" s="562"/>
      <c r="AA307" s="562"/>
      <c r="AB307" s="562"/>
      <c r="AC307" s="562"/>
      <c r="AD307" s="562"/>
      <c r="AE307" s="562"/>
      <c r="AF307" s="562"/>
      <c r="AG307" s="562"/>
      <c r="AH307" s="562"/>
      <c r="AI307" s="562"/>
      <c r="AJ307" s="562"/>
      <c r="AK307" s="562"/>
      <c r="AL307" s="562"/>
      <c r="AM307" s="562"/>
      <c r="AN307" s="562"/>
      <c r="AO307" s="562"/>
      <c r="AP307" s="562"/>
      <c r="AQ307" s="562"/>
      <c r="AR307" s="562">
        <v>-2024.0</v>
      </c>
      <c r="AS307" s="562">
        <v>0.0</v>
      </c>
      <c r="AT307" s="562">
        <v>0.0</v>
      </c>
      <c r="AU307" s="562">
        <v>0.0</v>
      </c>
      <c r="AV307" s="562">
        <v>0.0</v>
      </c>
      <c r="AW307" s="562">
        <v>0.0</v>
      </c>
      <c r="AX307" s="562">
        <v>0.0</v>
      </c>
      <c r="AY307" s="562">
        <v>0.0</v>
      </c>
      <c r="AZ307" s="562">
        <v>0.0</v>
      </c>
      <c r="BA307" s="562">
        <v>0.0</v>
      </c>
      <c r="BB307" s="562"/>
      <c r="BC307" s="562"/>
      <c r="BD307" s="562"/>
      <c r="BE307" s="562"/>
      <c r="BF307" s="562"/>
      <c r="BG307" s="562"/>
      <c r="BH307" s="562"/>
      <c r="BI307" s="562"/>
      <c r="BJ307" s="562"/>
      <c r="BK307" s="562"/>
      <c r="BL307" s="681"/>
      <c r="BM307" s="665">
        <f t="shared" si="1"/>
        <v>0</v>
      </c>
      <c r="BN307" s="733">
        <v>6.0</v>
      </c>
      <c r="BO307" s="683"/>
      <c r="BP307" s="683"/>
      <c r="BQ307" s="683"/>
      <c r="BR307" s="683"/>
      <c r="BS307" s="683"/>
      <c r="BT307" s="683"/>
      <c r="BU307" s="683"/>
      <c r="BV307" s="683"/>
      <c r="BW307" s="686"/>
      <c r="BX307" s="665">
        <f t="shared" si="840"/>
        <v>6</v>
      </c>
      <c r="BY307" s="682">
        <v>0.0</v>
      </c>
      <c r="BZ307" s="683">
        <v>0.0</v>
      </c>
      <c r="CA307" s="683">
        <v>0.0</v>
      </c>
      <c r="CB307" s="683">
        <v>0.0</v>
      </c>
      <c r="CC307" s="683">
        <v>0.0</v>
      </c>
      <c r="CD307" s="683">
        <v>0.0</v>
      </c>
      <c r="CE307" s="683">
        <v>0.0</v>
      </c>
      <c r="CF307" s="683">
        <v>0.0</v>
      </c>
      <c r="CG307" s="683">
        <v>0.0</v>
      </c>
      <c r="CH307" s="686">
        <v>0.0</v>
      </c>
      <c r="CI307" s="665">
        <f t="shared" si="841"/>
        <v>0</v>
      </c>
      <c r="CJ307" s="682">
        <f t="shared" si="4"/>
        <v>6</v>
      </c>
      <c r="CK307" s="706">
        <v>37.07</v>
      </c>
      <c r="CL307" s="683">
        <f t="shared" si="912"/>
        <v>258.0072</v>
      </c>
      <c r="CM307" s="683">
        <f t="shared" ref="CM307:CV307" si="940">BC307*$CL307</f>
        <v>0</v>
      </c>
      <c r="CN307" s="683">
        <f t="shared" si="940"/>
        <v>0</v>
      </c>
      <c r="CO307" s="683">
        <f t="shared" si="940"/>
        <v>0</v>
      </c>
      <c r="CP307" s="683">
        <f t="shared" si="940"/>
        <v>0</v>
      </c>
      <c r="CQ307" s="683">
        <f t="shared" si="940"/>
        <v>0</v>
      </c>
      <c r="CR307" s="683">
        <f t="shared" si="940"/>
        <v>0</v>
      </c>
      <c r="CS307" s="683">
        <f t="shared" si="940"/>
        <v>0</v>
      </c>
      <c r="CT307" s="683">
        <f t="shared" si="940"/>
        <v>0</v>
      </c>
      <c r="CU307" s="683">
        <f t="shared" si="940"/>
        <v>0</v>
      </c>
      <c r="CV307" s="683">
        <f t="shared" si="940"/>
        <v>0</v>
      </c>
      <c r="CW307" s="683">
        <f t="shared" si="21"/>
        <v>0</v>
      </c>
      <c r="CX307" s="683">
        <f t="shared" ref="CX307:DG307" si="941">BN307*$CL307</f>
        <v>1548.0432</v>
      </c>
      <c r="CY307" s="683">
        <f t="shared" si="941"/>
        <v>0</v>
      </c>
      <c r="CZ307" s="683">
        <f t="shared" si="941"/>
        <v>0</v>
      </c>
      <c r="DA307" s="683">
        <f t="shared" si="941"/>
        <v>0</v>
      </c>
      <c r="DB307" s="683">
        <f t="shared" si="941"/>
        <v>0</v>
      </c>
      <c r="DC307" s="683">
        <f t="shared" si="941"/>
        <v>0</v>
      </c>
      <c r="DD307" s="683">
        <f t="shared" si="941"/>
        <v>0</v>
      </c>
      <c r="DE307" s="683">
        <f t="shared" si="941"/>
        <v>0</v>
      </c>
      <c r="DF307" s="683">
        <f t="shared" si="941"/>
        <v>0</v>
      </c>
      <c r="DG307" s="683">
        <f t="shared" si="941"/>
        <v>0</v>
      </c>
      <c r="DH307" s="683">
        <f t="shared" si="23"/>
        <v>1548.0432</v>
      </c>
      <c r="DI307" s="683">
        <f t="shared" ref="DI307:DR307" si="942">BY307*$CL307</f>
        <v>0</v>
      </c>
      <c r="DJ307" s="683">
        <f t="shared" si="942"/>
        <v>0</v>
      </c>
      <c r="DK307" s="683">
        <f t="shared" si="942"/>
        <v>0</v>
      </c>
      <c r="DL307" s="683">
        <f t="shared" si="942"/>
        <v>0</v>
      </c>
      <c r="DM307" s="683">
        <f t="shared" si="942"/>
        <v>0</v>
      </c>
      <c r="DN307" s="683">
        <f t="shared" si="942"/>
        <v>0</v>
      </c>
      <c r="DO307" s="683">
        <f t="shared" si="942"/>
        <v>0</v>
      </c>
      <c r="DP307" s="683">
        <f t="shared" si="942"/>
        <v>0</v>
      </c>
      <c r="DQ307" s="683">
        <f t="shared" si="942"/>
        <v>0</v>
      </c>
      <c r="DR307" s="683">
        <f t="shared" si="942"/>
        <v>0</v>
      </c>
      <c r="DS307" s="683">
        <f t="shared" si="25"/>
        <v>0</v>
      </c>
      <c r="DT307" s="683">
        <f t="shared" si="685"/>
        <v>1548.0432</v>
      </c>
      <c r="DU307" s="504"/>
      <c r="DV307" s="486"/>
      <c r="DW307" s="688"/>
      <c r="DX307" s="688"/>
      <c r="DY307" s="688"/>
      <c r="DZ307" s="688"/>
      <c r="EA307" s="688"/>
      <c r="EB307" s="688"/>
      <c r="EC307" s="688"/>
      <c r="ED307" s="688"/>
      <c r="EE307" s="688"/>
      <c r="EF307" s="688"/>
      <c r="EG307" s="688"/>
      <c r="EH307" s="707" t="s">
        <v>3501</v>
      </c>
      <c r="EI307" s="708">
        <f>VLOOKUP(I307,CotizacionTDB,4,FALSE())</f>
        <v>37.07</v>
      </c>
      <c r="EJ307" s="708">
        <f>VLOOKUP(I307,CotizacionTDB,5,FALSE())</f>
        <v>31.51</v>
      </c>
      <c r="EK307" s="691"/>
    </row>
    <row r="308" ht="12.0" customHeight="1">
      <c r="A308" s="709" t="s">
        <v>3026</v>
      </c>
      <c r="B308" s="661">
        <v>2.0</v>
      </c>
      <c r="C308" s="567" t="s">
        <v>3034</v>
      </c>
      <c r="D308" s="568" t="s">
        <v>738</v>
      </c>
      <c r="E308" s="568" t="s">
        <v>2708</v>
      </c>
      <c r="F308" s="567" t="s">
        <v>1763</v>
      </c>
      <c r="G308" s="569" t="s">
        <v>2709</v>
      </c>
      <c r="H308" s="569" t="s">
        <v>3502</v>
      </c>
      <c r="I308" s="710" t="s">
        <v>2467</v>
      </c>
      <c r="J308" s="711" t="s">
        <v>792</v>
      </c>
      <c r="K308" s="567" t="s">
        <v>25</v>
      </c>
      <c r="L308" s="567">
        <v>2024.0</v>
      </c>
      <c r="M308" s="567"/>
      <c r="N308" s="567"/>
      <c r="O308" s="567"/>
      <c r="P308" s="567"/>
      <c r="Q308" s="567"/>
      <c r="R308" s="567"/>
      <c r="S308" s="567"/>
      <c r="T308" s="567"/>
      <c r="U308" s="567"/>
      <c r="V308" s="567"/>
      <c r="W308" s="567">
        <v>4.0</v>
      </c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7"/>
      <c r="AH308" s="567"/>
      <c r="AI308" s="567"/>
      <c r="AJ308" s="567"/>
      <c r="AK308" s="567"/>
      <c r="AL308" s="567"/>
      <c r="AM308" s="567"/>
      <c r="AN308" s="567"/>
      <c r="AO308" s="567"/>
      <c r="AP308" s="567"/>
      <c r="AQ308" s="567"/>
      <c r="AR308" s="567">
        <v>-2024.0</v>
      </c>
      <c r="AS308" s="567">
        <v>0.0</v>
      </c>
      <c r="AT308" s="567">
        <v>0.0</v>
      </c>
      <c r="AU308" s="567">
        <v>0.0</v>
      </c>
      <c r="AV308" s="567">
        <v>0.0</v>
      </c>
      <c r="AW308" s="567">
        <v>0.0</v>
      </c>
      <c r="AX308" s="567">
        <v>0.0</v>
      </c>
      <c r="AY308" s="567">
        <v>0.0</v>
      </c>
      <c r="AZ308" s="567">
        <v>0.0</v>
      </c>
      <c r="BA308" s="567">
        <v>0.0</v>
      </c>
      <c r="BB308" s="567"/>
      <c r="BC308" s="567"/>
      <c r="BD308" s="567"/>
      <c r="BE308" s="567"/>
      <c r="BF308" s="567"/>
      <c r="BG308" s="567"/>
      <c r="BH308" s="567"/>
      <c r="BI308" s="567"/>
      <c r="BJ308" s="567"/>
      <c r="BK308" s="567"/>
      <c r="BL308" s="725"/>
      <c r="BM308" s="665">
        <f t="shared" si="1"/>
        <v>0</v>
      </c>
      <c r="BN308" s="736">
        <v>6.0</v>
      </c>
      <c r="BO308" s="668"/>
      <c r="BP308" s="668"/>
      <c r="BQ308" s="668"/>
      <c r="BR308" s="668"/>
      <c r="BS308" s="668"/>
      <c r="BT308" s="668"/>
      <c r="BU308" s="668"/>
      <c r="BV308" s="668"/>
      <c r="BW308" s="670"/>
      <c r="BX308" s="665">
        <f t="shared" si="840"/>
        <v>6</v>
      </c>
      <c r="BY308" s="671">
        <v>0.0</v>
      </c>
      <c r="BZ308" s="668">
        <v>0.0</v>
      </c>
      <c r="CA308" s="668">
        <v>0.0</v>
      </c>
      <c r="CB308" s="668">
        <v>0.0</v>
      </c>
      <c r="CC308" s="668">
        <v>0.0</v>
      </c>
      <c r="CD308" s="668">
        <v>0.0</v>
      </c>
      <c r="CE308" s="668">
        <v>0.0</v>
      </c>
      <c r="CF308" s="668">
        <v>0.0</v>
      </c>
      <c r="CG308" s="668">
        <v>0.0</v>
      </c>
      <c r="CH308" s="670">
        <v>0.0</v>
      </c>
      <c r="CI308" s="665">
        <f t="shared" si="841"/>
        <v>0</v>
      </c>
      <c r="CJ308" s="671">
        <f t="shared" si="4"/>
        <v>6</v>
      </c>
      <c r="CK308" s="715">
        <v>26.23</v>
      </c>
      <c r="CL308" s="668">
        <f t="shared" si="912"/>
        <v>182.5608</v>
      </c>
      <c r="CM308" s="668">
        <f t="shared" ref="CM308:CV308" si="943">BC308*$CL308</f>
        <v>0</v>
      </c>
      <c r="CN308" s="668">
        <f t="shared" si="943"/>
        <v>0</v>
      </c>
      <c r="CO308" s="668">
        <f t="shared" si="943"/>
        <v>0</v>
      </c>
      <c r="CP308" s="668">
        <f t="shared" si="943"/>
        <v>0</v>
      </c>
      <c r="CQ308" s="668">
        <f t="shared" si="943"/>
        <v>0</v>
      </c>
      <c r="CR308" s="668">
        <f t="shared" si="943"/>
        <v>0</v>
      </c>
      <c r="CS308" s="668">
        <f t="shared" si="943"/>
        <v>0</v>
      </c>
      <c r="CT308" s="668">
        <f t="shared" si="943"/>
        <v>0</v>
      </c>
      <c r="CU308" s="668">
        <f t="shared" si="943"/>
        <v>0</v>
      </c>
      <c r="CV308" s="668">
        <f t="shared" si="943"/>
        <v>0</v>
      </c>
      <c r="CW308" s="668">
        <f t="shared" si="21"/>
        <v>0</v>
      </c>
      <c r="CX308" s="668">
        <f t="shared" ref="CX308:DG308" si="944">BN308*$CL308</f>
        <v>1095.3648</v>
      </c>
      <c r="CY308" s="668">
        <f t="shared" si="944"/>
        <v>0</v>
      </c>
      <c r="CZ308" s="668">
        <f t="shared" si="944"/>
        <v>0</v>
      </c>
      <c r="DA308" s="668">
        <f t="shared" si="944"/>
        <v>0</v>
      </c>
      <c r="DB308" s="668">
        <f t="shared" si="944"/>
        <v>0</v>
      </c>
      <c r="DC308" s="668">
        <f t="shared" si="944"/>
        <v>0</v>
      </c>
      <c r="DD308" s="668">
        <f t="shared" si="944"/>
        <v>0</v>
      </c>
      <c r="DE308" s="668">
        <f t="shared" si="944"/>
        <v>0</v>
      </c>
      <c r="DF308" s="668">
        <f t="shared" si="944"/>
        <v>0</v>
      </c>
      <c r="DG308" s="668">
        <f t="shared" si="944"/>
        <v>0</v>
      </c>
      <c r="DH308" s="668">
        <f t="shared" si="23"/>
        <v>1095.3648</v>
      </c>
      <c r="DI308" s="668">
        <f t="shared" ref="DI308:DR308" si="945">BY308*$CL308</f>
        <v>0</v>
      </c>
      <c r="DJ308" s="668">
        <f t="shared" si="945"/>
        <v>0</v>
      </c>
      <c r="DK308" s="668">
        <f t="shared" si="945"/>
        <v>0</v>
      </c>
      <c r="DL308" s="668">
        <f t="shared" si="945"/>
        <v>0</v>
      </c>
      <c r="DM308" s="668">
        <f t="shared" si="945"/>
        <v>0</v>
      </c>
      <c r="DN308" s="668">
        <f t="shared" si="945"/>
        <v>0</v>
      </c>
      <c r="DO308" s="668">
        <f t="shared" si="945"/>
        <v>0</v>
      </c>
      <c r="DP308" s="668">
        <f t="shared" si="945"/>
        <v>0</v>
      </c>
      <c r="DQ308" s="668">
        <f t="shared" si="945"/>
        <v>0</v>
      </c>
      <c r="DR308" s="668">
        <f t="shared" si="945"/>
        <v>0</v>
      </c>
      <c r="DS308" s="668">
        <f t="shared" si="25"/>
        <v>0</v>
      </c>
      <c r="DT308" s="668">
        <f t="shared" si="685"/>
        <v>1095.3648</v>
      </c>
      <c r="DU308" s="538"/>
      <c r="DV308" s="468"/>
      <c r="DW308" s="698"/>
      <c r="DX308" s="698"/>
      <c r="DY308" s="698"/>
      <c r="DZ308" s="698"/>
      <c r="EA308" s="698"/>
      <c r="EB308" s="698"/>
      <c r="EC308" s="698"/>
      <c r="ED308" s="698"/>
      <c r="EE308" s="698"/>
      <c r="EF308" s="698"/>
      <c r="EG308" s="698"/>
      <c r="EH308" s="576" t="s">
        <v>3503</v>
      </c>
      <c r="EI308" s="716">
        <f>VLOOKUP(I308,CotizacionTDB,4,FALSE())</f>
        <v>26.23</v>
      </c>
      <c r="EJ308" s="716">
        <f>VLOOKUP(I308,CotizacionTDB,5,FALSE())</f>
        <v>22.3</v>
      </c>
      <c r="EK308" s="699"/>
    </row>
    <row r="309" ht="12.0" customHeight="1">
      <c r="A309" s="700" t="s">
        <v>3026</v>
      </c>
      <c r="B309" s="701">
        <v>2.0</v>
      </c>
      <c r="C309" s="562" t="s">
        <v>3027</v>
      </c>
      <c r="D309" s="571" t="s">
        <v>544</v>
      </c>
      <c r="E309" s="571" t="s">
        <v>2708</v>
      </c>
      <c r="F309" s="562" t="s">
        <v>1763</v>
      </c>
      <c r="G309" s="569" t="s">
        <v>2709</v>
      </c>
      <c r="H309" s="737"/>
      <c r="I309" s="703" t="s">
        <v>2308</v>
      </c>
      <c r="J309" s="704" t="s">
        <v>335</v>
      </c>
      <c r="K309" s="562" t="s">
        <v>25</v>
      </c>
      <c r="L309" s="562"/>
      <c r="M309" s="562"/>
      <c r="N309" s="562">
        <v>2024.0</v>
      </c>
      <c r="O309" s="562">
        <v>2024.0</v>
      </c>
      <c r="P309" s="562"/>
      <c r="Q309" s="562"/>
      <c r="R309" s="562"/>
      <c r="S309" s="562"/>
      <c r="T309" s="562"/>
      <c r="U309" s="562">
        <v>2024.0</v>
      </c>
      <c r="V309" s="562"/>
      <c r="W309" s="562">
        <v>3.0</v>
      </c>
      <c r="X309" s="562"/>
      <c r="Y309" s="562">
        <v>5.0</v>
      </c>
      <c r="Z309" s="562">
        <v>5.0</v>
      </c>
      <c r="AA309" s="562"/>
      <c r="AB309" s="562"/>
      <c r="AC309" s="562"/>
      <c r="AD309" s="562"/>
      <c r="AE309" s="562"/>
      <c r="AF309" s="562">
        <v>5.0</v>
      </c>
      <c r="AG309" s="562"/>
      <c r="AH309" s="562"/>
      <c r="AI309" s="562"/>
      <c r="AJ309" s="562"/>
      <c r="AK309" s="562"/>
      <c r="AL309" s="562"/>
      <c r="AM309" s="562"/>
      <c r="AN309" s="562"/>
      <c r="AO309" s="562"/>
      <c r="AP309" s="562"/>
      <c r="AQ309" s="562"/>
      <c r="AR309" s="562">
        <v>0.0</v>
      </c>
      <c r="AS309" s="562">
        <v>0.0</v>
      </c>
      <c r="AT309" s="562">
        <v>-2024.0</v>
      </c>
      <c r="AU309" s="562">
        <v>-2024.0</v>
      </c>
      <c r="AV309" s="562">
        <v>0.0</v>
      </c>
      <c r="AW309" s="562">
        <v>0.0</v>
      </c>
      <c r="AX309" s="562">
        <v>0.0</v>
      </c>
      <c r="AY309" s="562">
        <v>0.0</v>
      </c>
      <c r="AZ309" s="562">
        <v>0.0</v>
      </c>
      <c r="BA309" s="562">
        <v>-2024.0</v>
      </c>
      <c r="BB309" s="562"/>
      <c r="BC309" s="562"/>
      <c r="BD309" s="562"/>
      <c r="BE309" s="562"/>
      <c r="BF309" s="680">
        <v>1.0</v>
      </c>
      <c r="BG309" s="562"/>
      <c r="BH309" s="562"/>
      <c r="BI309" s="562"/>
      <c r="BJ309" s="562"/>
      <c r="BK309" s="562"/>
      <c r="BL309" s="731"/>
      <c r="BM309" s="665">
        <f t="shared" si="1"/>
        <v>1</v>
      </c>
      <c r="BN309" s="682"/>
      <c r="BO309" s="683"/>
      <c r="BP309" s="683"/>
      <c r="BQ309" s="684">
        <v>1.0</v>
      </c>
      <c r="BR309" s="683"/>
      <c r="BS309" s="683"/>
      <c r="BT309" s="683"/>
      <c r="BU309" s="683"/>
      <c r="BV309" s="683"/>
      <c r="BW309" s="732">
        <v>4.0</v>
      </c>
      <c r="BX309" s="665">
        <f t="shared" si="840"/>
        <v>5</v>
      </c>
      <c r="BY309" s="682">
        <v>0.0</v>
      </c>
      <c r="BZ309" s="683">
        <v>0.0</v>
      </c>
      <c r="CA309" s="683">
        <v>0.0</v>
      </c>
      <c r="CB309" s="683">
        <v>0.0</v>
      </c>
      <c r="CC309" s="683">
        <v>0.0</v>
      </c>
      <c r="CD309" s="683">
        <v>0.0</v>
      </c>
      <c r="CE309" s="683">
        <v>0.0</v>
      </c>
      <c r="CF309" s="683">
        <v>0.0</v>
      </c>
      <c r="CG309" s="683">
        <v>0.0</v>
      </c>
      <c r="CH309" s="686">
        <v>0.0</v>
      </c>
      <c r="CI309" s="665">
        <f t="shared" si="841"/>
        <v>0</v>
      </c>
      <c r="CJ309" s="682">
        <f t="shared" si="4"/>
        <v>6</v>
      </c>
      <c r="CK309" s="706">
        <v>1945.19</v>
      </c>
      <c r="CL309" s="683">
        <f t="shared" si="912"/>
        <v>13538.5224</v>
      </c>
      <c r="CM309" s="683">
        <f t="shared" ref="CM309:CV309" si="946">BC309*$CL309</f>
        <v>0</v>
      </c>
      <c r="CN309" s="683">
        <f t="shared" si="946"/>
        <v>0</v>
      </c>
      <c r="CO309" s="683">
        <f t="shared" si="946"/>
        <v>0</v>
      </c>
      <c r="CP309" s="683">
        <f t="shared" si="946"/>
        <v>13538.5224</v>
      </c>
      <c r="CQ309" s="683">
        <f t="shared" si="946"/>
        <v>0</v>
      </c>
      <c r="CR309" s="683">
        <f t="shared" si="946"/>
        <v>0</v>
      </c>
      <c r="CS309" s="683">
        <f t="shared" si="946"/>
        <v>0</v>
      </c>
      <c r="CT309" s="683">
        <f t="shared" si="946"/>
        <v>0</v>
      </c>
      <c r="CU309" s="683">
        <f t="shared" si="946"/>
        <v>0</v>
      </c>
      <c r="CV309" s="683">
        <f t="shared" si="946"/>
        <v>0</v>
      </c>
      <c r="CW309" s="683">
        <f t="shared" si="21"/>
        <v>13538.5224</v>
      </c>
      <c r="CX309" s="683">
        <f t="shared" ref="CX309:DG309" si="947">BN309*$CL309</f>
        <v>0</v>
      </c>
      <c r="CY309" s="683">
        <f t="shared" si="947"/>
        <v>0</v>
      </c>
      <c r="CZ309" s="683">
        <f t="shared" si="947"/>
        <v>0</v>
      </c>
      <c r="DA309" s="683">
        <f t="shared" si="947"/>
        <v>13538.5224</v>
      </c>
      <c r="DB309" s="683">
        <f t="shared" si="947"/>
        <v>0</v>
      </c>
      <c r="DC309" s="683">
        <f t="shared" si="947"/>
        <v>0</v>
      </c>
      <c r="DD309" s="683">
        <f t="shared" si="947"/>
        <v>0</v>
      </c>
      <c r="DE309" s="683">
        <f t="shared" si="947"/>
        <v>0</v>
      </c>
      <c r="DF309" s="683">
        <f t="shared" si="947"/>
        <v>0</v>
      </c>
      <c r="DG309" s="683">
        <f t="shared" si="947"/>
        <v>54154.0896</v>
      </c>
      <c r="DH309" s="683">
        <f t="shared" si="23"/>
        <v>67692.612</v>
      </c>
      <c r="DI309" s="683">
        <f t="shared" ref="DI309:DR309" si="948">BY309*$CL309</f>
        <v>0</v>
      </c>
      <c r="DJ309" s="683">
        <f t="shared" si="948"/>
        <v>0</v>
      </c>
      <c r="DK309" s="683">
        <f t="shared" si="948"/>
        <v>0</v>
      </c>
      <c r="DL309" s="683">
        <f t="shared" si="948"/>
        <v>0</v>
      </c>
      <c r="DM309" s="683">
        <f t="shared" si="948"/>
        <v>0</v>
      </c>
      <c r="DN309" s="683">
        <f t="shared" si="948"/>
        <v>0</v>
      </c>
      <c r="DO309" s="683">
        <f t="shared" si="948"/>
        <v>0</v>
      </c>
      <c r="DP309" s="683">
        <f t="shared" si="948"/>
        <v>0</v>
      </c>
      <c r="DQ309" s="683">
        <f t="shared" si="948"/>
        <v>0</v>
      </c>
      <c r="DR309" s="683">
        <f t="shared" si="948"/>
        <v>0</v>
      </c>
      <c r="DS309" s="683">
        <f t="shared" si="25"/>
        <v>0</v>
      </c>
      <c r="DT309" s="683">
        <f t="shared" si="685"/>
        <v>81231.1344</v>
      </c>
      <c r="DU309" s="504"/>
      <c r="DV309" s="486"/>
      <c r="DW309" s="688"/>
      <c r="DX309" s="688"/>
      <c r="DY309" s="688"/>
      <c r="DZ309" s="688"/>
      <c r="EA309" s="688"/>
      <c r="EB309" s="688"/>
      <c r="EC309" s="688"/>
      <c r="ED309" s="688"/>
      <c r="EE309" s="688"/>
      <c r="EF309" s="688"/>
      <c r="EG309" s="688"/>
      <c r="EH309" s="707" t="s">
        <v>3504</v>
      </c>
      <c r="EI309" s="708">
        <f>VLOOKUP(I309,CotizacionTDB,4,FALSE())</f>
        <v>1945.19</v>
      </c>
      <c r="EJ309" s="708">
        <f>VLOOKUP(I309,CotizacionTDB,5,FALSE())</f>
        <v>1653.41</v>
      </c>
      <c r="EK309" s="691"/>
    </row>
    <row r="310" ht="12.0" customHeight="1">
      <c r="A310" s="709" t="s">
        <v>3026</v>
      </c>
      <c r="B310" s="661">
        <v>2.0</v>
      </c>
      <c r="C310" s="567" t="s">
        <v>3027</v>
      </c>
      <c r="D310" s="568" t="s">
        <v>544</v>
      </c>
      <c r="E310" s="568" t="s">
        <v>2708</v>
      </c>
      <c r="F310" s="567" t="s">
        <v>1763</v>
      </c>
      <c r="G310" s="569" t="s">
        <v>2709</v>
      </c>
      <c r="H310" s="569" t="s">
        <v>3505</v>
      </c>
      <c r="I310" s="721" t="s">
        <v>2190</v>
      </c>
      <c r="J310" s="711" t="s">
        <v>483</v>
      </c>
      <c r="K310" s="567" t="s">
        <v>25</v>
      </c>
      <c r="L310" s="567"/>
      <c r="M310" s="567"/>
      <c r="N310" s="567">
        <v>2024.0</v>
      </c>
      <c r="O310" s="567">
        <v>2024.0</v>
      </c>
      <c r="P310" s="567"/>
      <c r="Q310" s="567"/>
      <c r="R310" s="567"/>
      <c r="S310" s="567"/>
      <c r="T310" s="567"/>
      <c r="U310" s="567"/>
      <c r="V310" s="567"/>
      <c r="W310" s="567">
        <v>3.0</v>
      </c>
      <c r="X310" s="567"/>
      <c r="Y310" s="567">
        <v>5.0</v>
      </c>
      <c r="Z310" s="567">
        <v>5.0</v>
      </c>
      <c r="AA310" s="567"/>
      <c r="AB310" s="567"/>
      <c r="AC310" s="567"/>
      <c r="AD310" s="567"/>
      <c r="AE310" s="567"/>
      <c r="AF310" s="567"/>
      <c r="AG310" s="567"/>
      <c r="AH310" s="567"/>
      <c r="AI310" s="567"/>
      <c r="AJ310" s="567"/>
      <c r="AK310" s="567"/>
      <c r="AL310" s="567"/>
      <c r="AM310" s="567"/>
      <c r="AN310" s="567"/>
      <c r="AO310" s="567"/>
      <c r="AP310" s="567"/>
      <c r="AQ310" s="567"/>
      <c r="AR310" s="567">
        <v>0.0</v>
      </c>
      <c r="AS310" s="567">
        <v>0.0</v>
      </c>
      <c r="AT310" s="567">
        <v>-2024.0</v>
      </c>
      <c r="AU310" s="567">
        <v>-2024.0</v>
      </c>
      <c r="AV310" s="567">
        <v>0.0</v>
      </c>
      <c r="AW310" s="567">
        <v>0.0</v>
      </c>
      <c r="AX310" s="567">
        <v>0.0</v>
      </c>
      <c r="AY310" s="567">
        <v>0.0</v>
      </c>
      <c r="AZ310" s="567">
        <v>0.0</v>
      </c>
      <c r="BA310" s="567">
        <v>0.0</v>
      </c>
      <c r="BB310" s="567"/>
      <c r="BC310" s="567"/>
      <c r="BD310" s="567"/>
      <c r="BE310" s="718"/>
      <c r="BF310" s="718"/>
      <c r="BG310" s="567"/>
      <c r="BH310" s="567"/>
      <c r="BI310" s="567"/>
      <c r="BJ310" s="567"/>
      <c r="BK310" s="567"/>
      <c r="BL310" s="725"/>
      <c r="BM310" s="665">
        <f t="shared" si="1"/>
        <v>0</v>
      </c>
      <c r="BN310" s="671"/>
      <c r="BO310" s="668"/>
      <c r="BP310" s="667">
        <v>4.0</v>
      </c>
      <c r="BQ310" s="667">
        <v>2.0</v>
      </c>
      <c r="BR310" s="668"/>
      <c r="BS310" s="668"/>
      <c r="BT310" s="668"/>
      <c r="BU310" s="668"/>
      <c r="BV310" s="668"/>
      <c r="BW310" s="670"/>
      <c r="BX310" s="665">
        <f t="shared" si="840"/>
        <v>6</v>
      </c>
      <c r="BY310" s="671">
        <v>0.0</v>
      </c>
      <c r="BZ310" s="668">
        <v>0.0</v>
      </c>
      <c r="CA310" s="668">
        <v>0.0</v>
      </c>
      <c r="CB310" s="668">
        <v>0.0</v>
      </c>
      <c r="CC310" s="668">
        <v>0.0</v>
      </c>
      <c r="CD310" s="668">
        <v>0.0</v>
      </c>
      <c r="CE310" s="668">
        <v>0.0</v>
      </c>
      <c r="CF310" s="668">
        <v>0.0</v>
      </c>
      <c r="CG310" s="668">
        <v>0.0</v>
      </c>
      <c r="CH310" s="713">
        <v>1.0</v>
      </c>
      <c r="CI310" s="665">
        <f t="shared" si="841"/>
        <v>1</v>
      </c>
      <c r="CJ310" s="671">
        <f t="shared" si="4"/>
        <v>7</v>
      </c>
      <c r="CK310" s="715">
        <v>1677.65</v>
      </c>
      <c r="CL310" s="668">
        <f t="shared" si="912"/>
        <v>11676.444</v>
      </c>
      <c r="CM310" s="668">
        <f t="shared" ref="CM310:CV310" si="949">BC310*$CL310</f>
        <v>0</v>
      </c>
      <c r="CN310" s="668">
        <f t="shared" si="949"/>
        <v>0</v>
      </c>
      <c r="CO310" s="668">
        <f t="shared" si="949"/>
        <v>0</v>
      </c>
      <c r="CP310" s="668">
        <f t="shared" si="949"/>
        <v>0</v>
      </c>
      <c r="CQ310" s="668">
        <f t="shared" si="949"/>
        <v>0</v>
      </c>
      <c r="CR310" s="668">
        <f t="shared" si="949"/>
        <v>0</v>
      </c>
      <c r="CS310" s="668">
        <f t="shared" si="949"/>
        <v>0</v>
      </c>
      <c r="CT310" s="668">
        <f t="shared" si="949"/>
        <v>0</v>
      </c>
      <c r="CU310" s="668">
        <f t="shared" si="949"/>
        <v>0</v>
      </c>
      <c r="CV310" s="668">
        <f t="shared" si="949"/>
        <v>0</v>
      </c>
      <c r="CW310" s="668">
        <f t="shared" si="21"/>
        <v>0</v>
      </c>
      <c r="CX310" s="668">
        <f t="shared" ref="CX310:DG310" si="950">BN310*$CL310</f>
        <v>0</v>
      </c>
      <c r="CY310" s="668">
        <f t="shared" si="950"/>
        <v>0</v>
      </c>
      <c r="CZ310" s="668">
        <f t="shared" si="950"/>
        <v>46705.776</v>
      </c>
      <c r="DA310" s="668">
        <f t="shared" si="950"/>
        <v>23352.888</v>
      </c>
      <c r="DB310" s="668">
        <f t="shared" si="950"/>
        <v>0</v>
      </c>
      <c r="DC310" s="668">
        <f t="shared" si="950"/>
        <v>0</v>
      </c>
      <c r="DD310" s="668">
        <f t="shared" si="950"/>
        <v>0</v>
      </c>
      <c r="DE310" s="668">
        <f t="shared" si="950"/>
        <v>0</v>
      </c>
      <c r="DF310" s="668">
        <f t="shared" si="950"/>
        <v>0</v>
      </c>
      <c r="DG310" s="668">
        <f t="shared" si="950"/>
        <v>0</v>
      </c>
      <c r="DH310" s="668">
        <f t="shared" si="23"/>
        <v>70058.664</v>
      </c>
      <c r="DI310" s="668">
        <f t="shared" ref="DI310:DR310" si="951">BY310*$CL310</f>
        <v>0</v>
      </c>
      <c r="DJ310" s="668">
        <f t="shared" si="951"/>
        <v>0</v>
      </c>
      <c r="DK310" s="668">
        <f t="shared" si="951"/>
        <v>0</v>
      </c>
      <c r="DL310" s="668">
        <f t="shared" si="951"/>
        <v>0</v>
      </c>
      <c r="DM310" s="668">
        <f t="shared" si="951"/>
        <v>0</v>
      </c>
      <c r="DN310" s="668">
        <f t="shared" si="951"/>
        <v>0</v>
      </c>
      <c r="DO310" s="668">
        <f t="shared" si="951"/>
        <v>0</v>
      </c>
      <c r="DP310" s="668">
        <f t="shared" si="951"/>
        <v>0</v>
      </c>
      <c r="DQ310" s="668">
        <f t="shared" si="951"/>
        <v>0</v>
      </c>
      <c r="DR310" s="668">
        <f t="shared" si="951"/>
        <v>11676.444</v>
      </c>
      <c r="DS310" s="668">
        <f t="shared" si="25"/>
        <v>11676.444</v>
      </c>
      <c r="DT310" s="668">
        <f t="shared" si="685"/>
        <v>81735.108</v>
      </c>
      <c r="DU310" s="538"/>
      <c r="DV310" s="468"/>
      <c r="DW310" s="698"/>
      <c r="DX310" s="698"/>
      <c r="DY310" s="698"/>
      <c r="DZ310" s="698"/>
      <c r="EA310" s="698"/>
      <c r="EB310" s="698"/>
      <c r="EC310" s="698"/>
      <c r="ED310" s="698"/>
      <c r="EE310" s="698"/>
      <c r="EF310" s="698"/>
      <c r="EG310" s="698"/>
      <c r="EH310" s="576" t="s">
        <v>3506</v>
      </c>
      <c r="EI310" s="716">
        <f>VLOOKUP(I310,CotizacionTDB,4,FALSE())</f>
        <v>1677.65</v>
      </c>
      <c r="EJ310" s="716">
        <f>VLOOKUP(I310,CotizacionTDB,5,FALSE())</f>
        <v>1426</v>
      </c>
      <c r="EK310" s="699"/>
    </row>
    <row r="311" ht="12.0" customHeight="1">
      <c r="A311" s="700" t="s">
        <v>3026</v>
      </c>
      <c r="B311" s="701">
        <v>2.0</v>
      </c>
      <c r="C311" s="562" t="s">
        <v>3027</v>
      </c>
      <c r="D311" s="571" t="s">
        <v>544</v>
      </c>
      <c r="E311" s="571" t="s">
        <v>2708</v>
      </c>
      <c r="F311" s="562" t="s">
        <v>1763</v>
      </c>
      <c r="G311" s="569" t="s">
        <v>2709</v>
      </c>
      <c r="H311" s="737"/>
      <c r="I311" s="717" t="s">
        <v>2309</v>
      </c>
      <c r="J311" s="704" t="s">
        <v>442</v>
      </c>
      <c r="K311" s="562" t="s">
        <v>25</v>
      </c>
      <c r="L311" s="562"/>
      <c r="M311" s="562"/>
      <c r="N311" s="562">
        <v>2024.0</v>
      </c>
      <c r="O311" s="562">
        <v>2024.0</v>
      </c>
      <c r="P311" s="562"/>
      <c r="Q311" s="562"/>
      <c r="R311" s="562"/>
      <c r="S311" s="562"/>
      <c r="T311" s="562"/>
      <c r="U311" s="562"/>
      <c r="V311" s="562"/>
      <c r="W311" s="562">
        <v>3.0</v>
      </c>
      <c r="X311" s="562"/>
      <c r="Y311" s="562">
        <v>5.0</v>
      </c>
      <c r="Z311" s="562">
        <v>5.0</v>
      </c>
      <c r="AA311" s="562"/>
      <c r="AB311" s="562"/>
      <c r="AC311" s="562"/>
      <c r="AD311" s="562"/>
      <c r="AE311" s="562"/>
      <c r="AF311" s="562"/>
      <c r="AG311" s="562"/>
      <c r="AH311" s="562"/>
      <c r="AI311" s="562"/>
      <c r="AJ311" s="562"/>
      <c r="AK311" s="562"/>
      <c r="AL311" s="562"/>
      <c r="AM311" s="562"/>
      <c r="AN311" s="562"/>
      <c r="AO311" s="562"/>
      <c r="AP311" s="562"/>
      <c r="AQ311" s="562"/>
      <c r="AR311" s="562">
        <v>0.0</v>
      </c>
      <c r="AS311" s="562">
        <v>0.0</v>
      </c>
      <c r="AT311" s="562">
        <v>-2024.0</v>
      </c>
      <c r="AU311" s="562">
        <v>-2024.0</v>
      </c>
      <c r="AV311" s="562">
        <v>0.0</v>
      </c>
      <c r="AW311" s="562">
        <v>0.0</v>
      </c>
      <c r="AX311" s="562">
        <v>0.0</v>
      </c>
      <c r="AY311" s="562">
        <v>0.0</v>
      </c>
      <c r="AZ311" s="562">
        <v>0.0</v>
      </c>
      <c r="BA311" s="562">
        <v>0.0</v>
      </c>
      <c r="BB311" s="562"/>
      <c r="BC311" s="562"/>
      <c r="BD311" s="562"/>
      <c r="BE311" s="680">
        <v>1.0</v>
      </c>
      <c r="BF311" s="680"/>
      <c r="BG311" s="562"/>
      <c r="BH311" s="562"/>
      <c r="BI311" s="562"/>
      <c r="BJ311" s="562"/>
      <c r="BK311" s="562"/>
      <c r="BL311" s="681"/>
      <c r="BM311" s="665">
        <f t="shared" si="1"/>
        <v>1</v>
      </c>
      <c r="BN311" s="682"/>
      <c r="BO311" s="683"/>
      <c r="BP311" s="684">
        <v>1.0</v>
      </c>
      <c r="BQ311" s="684">
        <v>2.0</v>
      </c>
      <c r="BR311" s="683"/>
      <c r="BS311" s="683"/>
      <c r="BT311" s="683"/>
      <c r="BU311" s="683"/>
      <c r="BV311" s="683"/>
      <c r="BW311" s="686"/>
      <c r="BX311" s="665">
        <f t="shared" si="840"/>
        <v>3</v>
      </c>
      <c r="BY311" s="682">
        <v>0.0</v>
      </c>
      <c r="BZ311" s="683">
        <v>0.0</v>
      </c>
      <c r="CA311" s="683">
        <v>0.0</v>
      </c>
      <c r="CB311" s="683">
        <v>0.0</v>
      </c>
      <c r="CC311" s="683">
        <v>0.0</v>
      </c>
      <c r="CD311" s="683">
        <v>0.0</v>
      </c>
      <c r="CE311" s="683">
        <v>0.0</v>
      </c>
      <c r="CF311" s="683">
        <v>0.0</v>
      </c>
      <c r="CG311" s="683">
        <v>0.0</v>
      </c>
      <c r="CH311" s="686">
        <v>0.0</v>
      </c>
      <c r="CI311" s="665">
        <f t="shared" si="841"/>
        <v>0</v>
      </c>
      <c r="CJ311" s="682">
        <f t="shared" si="4"/>
        <v>4</v>
      </c>
      <c r="CK311" s="706">
        <v>2022.65</v>
      </c>
      <c r="CL311" s="683">
        <f t="shared" si="912"/>
        <v>14077.644</v>
      </c>
      <c r="CM311" s="683">
        <f t="shared" ref="CM311:CV311" si="952">BC311*$CL311</f>
        <v>0</v>
      </c>
      <c r="CN311" s="683">
        <f t="shared" si="952"/>
        <v>0</v>
      </c>
      <c r="CO311" s="683">
        <f t="shared" si="952"/>
        <v>14077.644</v>
      </c>
      <c r="CP311" s="683">
        <f t="shared" si="952"/>
        <v>0</v>
      </c>
      <c r="CQ311" s="683">
        <f t="shared" si="952"/>
        <v>0</v>
      </c>
      <c r="CR311" s="683">
        <f t="shared" si="952"/>
        <v>0</v>
      </c>
      <c r="CS311" s="683">
        <f t="shared" si="952"/>
        <v>0</v>
      </c>
      <c r="CT311" s="683">
        <f t="shared" si="952"/>
        <v>0</v>
      </c>
      <c r="CU311" s="683">
        <f t="shared" si="952"/>
        <v>0</v>
      </c>
      <c r="CV311" s="683">
        <f t="shared" si="952"/>
        <v>0</v>
      </c>
      <c r="CW311" s="683">
        <f t="shared" si="21"/>
        <v>14077.644</v>
      </c>
      <c r="CX311" s="683">
        <f t="shared" ref="CX311:DG311" si="953">BN311*$CL311</f>
        <v>0</v>
      </c>
      <c r="CY311" s="683">
        <f t="shared" si="953"/>
        <v>0</v>
      </c>
      <c r="CZ311" s="683">
        <f t="shared" si="953"/>
        <v>14077.644</v>
      </c>
      <c r="DA311" s="683">
        <f t="shared" si="953"/>
        <v>28155.288</v>
      </c>
      <c r="DB311" s="683">
        <f t="shared" si="953"/>
        <v>0</v>
      </c>
      <c r="DC311" s="683">
        <f t="shared" si="953"/>
        <v>0</v>
      </c>
      <c r="DD311" s="683">
        <f t="shared" si="953"/>
        <v>0</v>
      </c>
      <c r="DE311" s="683">
        <f t="shared" si="953"/>
        <v>0</v>
      </c>
      <c r="DF311" s="683">
        <f t="shared" si="953"/>
        <v>0</v>
      </c>
      <c r="DG311" s="683">
        <f t="shared" si="953"/>
        <v>0</v>
      </c>
      <c r="DH311" s="683">
        <f t="shared" si="23"/>
        <v>42232.932</v>
      </c>
      <c r="DI311" s="683">
        <f t="shared" ref="DI311:DR311" si="954">BY311*$CL311</f>
        <v>0</v>
      </c>
      <c r="DJ311" s="683">
        <f t="shared" si="954"/>
        <v>0</v>
      </c>
      <c r="DK311" s="683">
        <f t="shared" si="954"/>
        <v>0</v>
      </c>
      <c r="DL311" s="683">
        <f t="shared" si="954"/>
        <v>0</v>
      </c>
      <c r="DM311" s="683">
        <f t="shared" si="954"/>
        <v>0</v>
      </c>
      <c r="DN311" s="683">
        <f t="shared" si="954"/>
        <v>0</v>
      </c>
      <c r="DO311" s="683">
        <f t="shared" si="954"/>
        <v>0</v>
      </c>
      <c r="DP311" s="683">
        <f t="shared" si="954"/>
        <v>0</v>
      </c>
      <c r="DQ311" s="683">
        <f t="shared" si="954"/>
        <v>0</v>
      </c>
      <c r="DR311" s="683">
        <f t="shared" si="954"/>
        <v>0</v>
      </c>
      <c r="DS311" s="683">
        <f t="shared" si="25"/>
        <v>0</v>
      </c>
      <c r="DT311" s="683">
        <f t="shared" si="685"/>
        <v>56310.576</v>
      </c>
      <c r="DU311" s="504"/>
      <c r="DV311" s="486"/>
      <c r="DW311" s="688"/>
      <c r="DX311" s="688"/>
      <c r="DY311" s="688"/>
      <c r="DZ311" s="688"/>
      <c r="EA311" s="688"/>
      <c r="EB311" s="688"/>
      <c r="EC311" s="688"/>
      <c r="ED311" s="688"/>
      <c r="EE311" s="688"/>
      <c r="EF311" s="688"/>
      <c r="EG311" s="688"/>
      <c r="EH311" s="707" t="s">
        <v>3507</v>
      </c>
      <c r="EI311" s="708">
        <f>VLOOKUP(I311,CotizacionTDB,4,FALSE())</f>
        <v>2022.65</v>
      </c>
      <c r="EJ311" s="708">
        <f>VLOOKUP(I311,CotizacionTDB,5,FALSE())</f>
        <v>1719.25</v>
      </c>
      <c r="EK311" s="691"/>
    </row>
    <row r="312" ht="12.0" customHeight="1">
      <c r="A312" s="709" t="s">
        <v>3026</v>
      </c>
      <c r="B312" s="661">
        <v>2.0</v>
      </c>
      <c r="C312" s="567" t="s">
        <v>3027</v>
      </c>
      <c r="D312" s="568" t="s">
        <v>544</v>
      </c>
      <c r="E312" s="568" t="s">
        <v>2708</v>
      </c>
      <c r="F312" s="567" t="s">
        <v>1763</v>
      </c>
      <c r="G312" s="569" t="s">
        <v>2709</v>
      </c>
      <c r="H312" s="569" t="s">
        <v>3508</v>
      </c>
      <c r="I312" s="721" t="s">
        <v>2279</v>
      </c>
      <c r="J312" s="711" t="s">
        <v>366</v>
      </c>
      <c r="K312" s="567" t="s">
        <v>25</v>
      </c>
      <c r="L312" s="567">
        <v>2024.0</v>
      </c>
      <c r="M312" s="567"/>
      <c r="N312" s="567">
        <v>2024.0</v>
      </c>
      <c r="O312" s="567">
        <v>2024.0</v>
      </c>
      <c r="P312" s="567">
        <v>2024.0</v>
      </c>
      <c r="Q312" s="567">
        <v>2024.0</v>
      </c>
      <c r="R312" s="567"/>
      <c r="S312" s="567"/>
      <c r="T312" s="567"/>
      <c r="U312" s="567"/>
      <c r="V312" s="567"/>
      <c r="W312" s="567">
        <v>3.0</v>
      </c>
      <c r="X312" s="567"/>
      <c r="Y312" s="567">
        <v>5.0</v>
      </c>
      <c r="Z312" s="567">
        <v>5.0</v>
      </c>
      <c r="AA312" s="567">
        <v>5.0</v>
      </c>
      <c r="AB312" s="567">
        <v>5.0</v>
      </c>
      <c r="AC312" s="567"/>
      <c r="AD312" s="567"/>
      <c r="AE312" s="567"/>
      <c r="AF312" s="567"/>
      <c r="AG312" s="567"/>
      <c r="AH312" s="567"/>
      <c r="AI312" s="567"/>
      <c r="AJ312" s="567"/>
      <c r="AK312" s="567"/>
      <c r="AL312" s="567"/>
      <c r="AM312" s="567"/>
      <c r="AN312" s="567"/>
      <c r="AO312" s="567"/>
      <c r="AP312" s="567"/>
      <c r="AQ312" s="567"/>
      <c r="AR312" s="567">
        <v>-2024.0</v>
      </c>
      <c r="AS312" s="567">
        <v>0.0</v>
      </c>
      <c r="AT312" s="567">
        <v>-2024.0</v>
      </c>
      <c r="AU312" s="567">
        <v>-2024.0</v>
      </c>
      <c r="AV312" s="567">
        <v>-2024.0</v>
      </c>
      <c r="AW312" s="567">
        <v>-2024.0</v>
      </c>
      <c r="AX312" s="567">
        <v>0.0</v>
      </c>
      <c r="AY312" s="567">
        <v>0.0</v>
      </c>
      <c r="AZ312" s="567">
        <v>0.0</v>
      </c>
      <c r="BA312" s="567">
        <v>0.0</v>
      </c>
      <c r="BB312" s="567"/>
      <c r="BC312" s="680">
        <v>8.0</v>
      </c>
      <c r="BD312" s="567"/>
      <c r="BE312" s="680">
        <v>8.0</v>
      </c>
      <c r="BF312" s="567"/>
      <c r="BG312" s="567"/>
      <c r="BH312" s="567"/>
      <c r="BI312" s="567"/>
      <c r="BJ312" s="567"/>
      <c r="BK312" s="567"/>
      <c r="BL312" s="725"/>
      <c r="BM312" s="665">
        <f t="shared" si="1"/>
        <v>16</v>
      </c>
      <c r="BN312" s="671"/>
      <c r="BO312" s="668"/>
      <c r="BP312" s="668"/>
      <c r="BQ312" s="674">
        <v>16.0</v>
      </c>
      <c r="BR312" s="674">
        <v>16.0</v>
      </c>
      <c r="BS312" s="674">
        <v>12.0</v>
      </c>
      <c r="BT312" s="668"/>
      <c r="BU312" s="668"/>
      <c r="BV312" s="668"/>
      <c r="BW312" s="670"/>
      <c r="BX312" s="665">
        <f t="shared" si="840"/>
        <v>44</v>
      </c>
      <c r="BY312" s="671">
        <v>0.0</v>
      </c>
      <c r="BZ312" s="668">
        <v>0.0</v>
      </c>
      <c r="CA312" s="668">
        <v>0.0</v>
      </c>
      <c r="CB312" s="668">
        <v>0.0</v>
      </c>
      <c r="CC312" s="668">
        <v>0.0</v>
      </c>
      <c r="CD312" s="668">
        <v>0.0</v>
      </c>
      <c r="CE312" s="668">
        <v>0.0</v>
      </c>
      <c r="CF312" s="668">
        <v>0.0</v>
      </c>
      <c r="CG312" s="668">
        <v>0.0</v>
      </c>
      <c r="CH312" s="713">
        <v>4.0</v>
      </c>
      <c r="CI312" s="665">
        <f t="shared" si="841"/>
        <v>4</v>
      </c>
      <c r="CJ312" s="671">
        <f t="shared" si="4"/>
        <v>64</v>
      </c>
      <c r="CK312" s="715">
        <v>219.47</v>
      </c>
      <c r="CL312" s="668">
        <f t="shared" si="912"/>
        <v>1527.5112</v>
      </c>
      <c r="CM312" s="668">
        <f t="shared" ref="CM312:CV312" si="955">BC312*$CL312</f>
        <v>12220.0896</v>
      </c>
      <c r="CN312" s="668">
        <f t="shared" si="955"/>
        <v>0</v>
      </c>
      <c r="CO312" s="668">
        <f t="shared" si="955"/>
        <v>12220.0896</v>
      </c>
      <c r="CP312" s="668">
        <f t="shared" si="955"/>
        <v>0</v>
      </c>
      <c r="CQ312" s="668">
        <f t="shared" si="955"/>
        <v>0</v>
      </c>
      <c r="CR312" s="668">
        <f t="shared" si="955"/>
        <v>0</v>
      </c>
      <c r="CS312" s="668">
        <f t="shared" si="955"/>
        <v>0</v>
      </c>
      <c r="CT312" s="668">
        <f t="shared" si="955"/>
        <v>0</v>
      </c>
      <c r="CU312" s="668">
        <f t="shared" si="955"/>
        <v>0</v>
      </c>
      <c r="CV312" s="668">
        <f t="shared" si="955"/>
        <v>0</v>
      </c>
      <c r="CW312" s="668">
        <f t="shared" si="21"/>
        <v>24440.1792</v>
      </c>
      <c r="CX312" s="668">
        <f t="shared" ref="CX312:DG312" si="956">BN312*$CL312</f>
        <v>0</v>
      </c>
      <c r="CY312" s="668">
        <f t="shared" si="956"/>
        <v>0</v>
      </c>
      <c r="CZ312" s="668">
        <f t="shared" si="956"/>
        <v>0</v>
      </c>
      <c r="DA312" s="668">
        <f t="shared" si="956"/>
        <v>24440.1792</v>
      </c>
      <c r="DB312" s="668">
        <f t="shared" si="956"/>
        <v>24440.1792</v>
      </c>
      <c r="DC312" s="668">
        <f t="shared" si="956"/>
        <v>18330.1344</v>
      </c>
      <c r="DD312" s="668">
        <f t="shared" si="956"/>
        <v>0</v>
      </c>
      <c r="DE312" s="668">
        <f t="shared" si="956"/>
        <v>0</v>
      </c>
      <c r="DF312" s="668">
        <f t="shared" si="956"/>
        <v>0</v>
      </c>
      <c r="DG312" s="668">
        <f t="shared" si="956"/>
        <v>0</v>
      </c>
      <c r="DH312" s="668">
        <f t="shared" si="23"/>
        <v>67210.4928</v>
      </c>
      <c r="DI312" s="668">
        <f t="shared" ref="DI312:DR312" si="957">BY312*$CL312</f>
        <v>0</v>
      </c>
      <c r="DJ312" s="668">
        <f t="shared" si="957"/>
        <v>0</v>
      </c>
      <c r="DK312" s="668">
        <f t="shared" si="957"/>
        <v>0</v>
      </c>
      <c r="DL312" s="668">
        <f t="shared" si="957"/>
        <v>0</v>
      </c>
      <c r="DM312" s="668">
        <f t="shared" si="957"/>
        <v>0</v>
      </c>
      <c r="DN312" s="668">
        <f t="shared" si="957"/>
        <v>0</v>
      </c>
      <c r="DO312" s="668">
        <f t="shared" si="957"/>
        <v>0</v>
      </c>
      <c r="DP312" s="668">
        <f t="shared" si="957"/>
        <v>0</v>
      </c>
      <c r="DQ312" s="668">
        <f t="shared" si="957"/>
        <v>0</v>
      </c>
      <c r="DR312" s="668">
        <f t="shared" si="957"/>
        <v>6110.0448</v>
      </c>
      <c r="DS312" s="668">
        <f t="shared" si="25"/>
        <v>6110.0448</v>
      </c>
      <c r="DT312" s="668">
        <f t="shared" si="685"/>
        <v>97760.7168</v>
      </c>
      <c r="DU312" s="538"/>
      <c r="DV312" s="468"/>
      <c r="DW312" s="698"/>
      <c r="DX312" s="698"/>
      <c r="DY312" s="698"/>
      <c r="DZ312" s="698"/>
      <c r="EA312" s="698"/>
      <c r="EB312" s="698"/>
      <c r="EC312" s="698"/>
      <c r="ED312" s="698"/>
      <c r="EE312" s="698"/>
      <c r="EF312" s="698"/>
      <c r="EG312" s="698"/>
      <c r="EH312" s="576" t="s">
        <v>366</v>
      </c>
      <c r="EI312" s="716">
        <f>VLOOKUP(I312,CotizacionTDB,4,FALSE())</f>
        <v>219.47</v>
      </c>
      <c r="EJ312" s="716">
        <f>VLOOKUP(I312,CotizacionTDB,5,FALSE())</f>
        <v>186.55</v>
      </c>
      <c r="EK312" s="699"/>
    </row>
    <row r="313" ht="12.0" customHeight="1">
      <c r="A313" s="700" t="s">
        <v>3026</v>
      </c>
      <c r="B313" s="701">
        <v>2.0</v>
      </c>
      <c r="C313" s="562" t="s">
        <v>3027</v>
      </c>
      <c r="D313" s="571" t="s">
        <v>544</v>
      </c>
      <c r="E313" s="571" t="s">
        <v>2708</v>
      </c>
      <c r="F313" s="562" t="s">
        <v>1763</v>
      </c>
      <c r="G313" s="569" t="s">
        <v>2709</v>
      </c>
      <c r="H313" s="737"/>
      <c r="I313" s="717" t="s">
        <v>1986</v>
      </c>
      <c r="J313" s="704" t="s">
        <v>386</v>
      </c>
      <c r="K313" s="562" t="s">
        <v>25</v>
      </c>
      <c r="L313" s="562">
        <v>2024.0</v>
      </c>
      <c r="M313" s="562">
        <v>2024.0</v>
      </c>
      <c r="N313" s="562">
        <v>2024.0</v>
      </c>
      <c r="O313" s="562"/>
      <c r="P313" s="562">
        <v>2024.0</v>
      </c>
      <c r="Q313" s="562">
        <v>2024.0</v>
      </c>
      <c r="R313" s="562">
        <v>2025.0</v>
      </c>
      <c r="S313" s="562">
        <v>2025.0</v>
      </c>
      <c r="T313" s="562"/>
      <c r="U313" s="562">
        <v>2025.0</v>
      </c>
      <c r="V313" s="562"/>
      <c r="W313" s="562">
        <v>2.0</v>
      </c>
      <c r="X313" s="562">
        <v>2.0</v>
      </c>
      <c r="Y313" s="562">
        <v>2.0</v>
      </c>
      <c r="Z313" s="562"/>
      <c r="AA313" s="562">
        <v>2.0</v>
      </c>
      <c r="AB313" s="562">
        <v>2.0</v>
      </c>
      <c r="AC313" s="562"/>
      <c r="AD313" s="562"/>
      <c r="AE313" s="562"/>
      <c r="AF313" s="562"/>
      <c r="AG313" s="562"/>
      <c r="AH313" s="562"/>
      <c r="AI313" s="562"/>
      <c r="AJ313" s="562"/>
      <c r="AK313" s="562"/>
      <c r="AL313" s="562"/>
      <c r="AM313" s="562"/>
      <c r="AN313" s="562"/>
      <c r="AO313" s="562"/>
      <c r="AP313" s="562"/>
      <c r="AQ313" s="562"/>
      <c r="AR313" s="562">
        <v>-2024.0</v>
      </c>
      <c r="AS313" s="562">
        <v>-2024.0</v>
      </c>
      <c r="AT313" s="562">
        <v>-2024.0</v>
      </c>
      <c r="AU313" s="562">
        <v>0.0</v>
      </c>
      <c r="AV313" s="562">
        <v>-2024.0</v>
      </c>
      <c r="AW313" s="562">
        <v>-2024.0</v>
      </c>
      <c r="AX313" s="562">
        <v>-2025.0</v>
      </c>
      <c r="AY313" s="562">
        <v>-2025.0</v>
      </c>
      <c r="AZ313" s="562">
        <v>0.0</v>
      </c>
      <c r="BA313" s="562">
        <v>-2025.0</v>
      </c>
      <c r="BB313" s="562"/>
      <c r="BC313" s="701">
        <v>7.0</v>
      </c>
      <c r="BD313" s="701">
        <v>5.0</v>
      </c>
      <c r="BE313" s="701">
        <v>10.0</v>
      </c>
      <c r="BF313" s="562"/>
      <c r="BG313" s="701">
        <v>15.0</v>
      </c>
      <c r="BH313" s="701">
        <v>15.0</v>
      </c>
      <c r="BI313" s="701">
        <v>15.0</v>
      </c>
      <c r="BJ313" s="701">
        <v>10.0</v>
      </c>
      <c r="BK313" s="562"/>
      <c r="BL313" s="719">
        <v>15.0</v>
      </c>
      <c r="BM313" s="665">
        <f t="shared" si="1"/>
        <v>92</v>
      </c>
      <c r="BN313" s="682"/>
      <c r="BO313" s="683"/>
      <c r="BP313" s="683"/>
      <c r="BQ313" s="683"/>
      <c r="BR313" s="683"/>
      <c r="BS313" s="683"/>
      <c r="BT313" s="683">
        <v>30.0</v>
      </c>
      <c r="BU313" s="683">
        <v>20.0</v>
      </c>
      <c r="BV313" s="683"/>
      <c r="BW313" s="686">
        <v>58.0</v>
      </c>
      <c r="BX313" s="665">
        <f t="shared" si="840"/>
        <v>108</v>
      </c>
      <c r="BY313" s="682">
        <v>15.0</v>
      </c>
      <c r="BZ313" s="683">
        <v>10.0</v>
      </c>
      <c r="CA313" s="683">
        <v>20.0</v>
      </c>
      <c r="CB313" s="683">
        <v>0.0</v>
      </c>
      <c r="CC313" s="687">
        <v>30.0</v>
      </c>
      <c r="CD313" s="683">
        <v>30.0</v>
      </c>
      <c r="CE313" s="683">
        <v>0.0</v>
      </c>
      <c r="CF313" s="683">
        <v>0.0</v>
      </c>
      <c r="CG313" s="683">
        <v>0.0</v>
      </c>
      <c r="CH313" s="686">
        <v>0.0</v>
      </c>
      <c r="CI313" s="665">
        <f t="shared" si="841"/>
        <v>105</v>
      </c>
      <c r="CJ313" s="682">
        <f t="shared" si="4"/>
        <v>305</v>
      </c>
      <c r="CK313" s="706">
        <v>42.11</v>
      </c>
      <c r="CL313" s="683">
        <f t="shared" si="912"/>
        <v>293.0856</v>
      </c>
      <c r="CM313" s="683">
        <f t="shared" ref="CM313:CV313" si="958">BC313*$CL313</f>
        <v>2051.5992</v>
      </c>
      <c r="CN313" s="683">
        <f t="shared" si="958"/>
        <v>1465.428</v>
      </c>
      <c r="CO313" s="683">
        <f t="shared" si="958"/>
        <v>2930.856</v>
      </c>
      <c r="CP313" s="683">
        <f t="shared" si="958"/>
        <v>0</v>
      </c>
      <c r="CQ313" s="683">
        <f t="shared" si="958"/>
        <v>4396.284</v>
      </c>
      <c r="CR313" s="683">
        <f t="shared" si="958"/>
        <v>4396.284</v>
      </c>
      <c r="CS313" s="683">
        <f t="shared" si="958"/>
        <v>4396.284</v>
      </c>
      <c r="CT313" s="683">
        <f t="shared" si="958"/>
        <v>2930.856</v>
      </c>
      <c r="CU313" s="683">
        <f t="shared" si="958"/>
        <v>0</v>
      </c>
      <c r="CV313" s="683">
        <f t="shared" si="958"/>
        <v>4396.284</v>
      </c>
      <c r="CW313" s="683">
        <f t="shared" si="21"/>
        <v>26963.8752</v>
      </c>
      <c r="CX313" s="683">
        <f t="shared" ref="CX313:DG313" si="959">BN313*$CL313</f>
        <v>0</v>
      </c>
      <c r="CY313" s="683">
        <f t="shared" si="959"/>
        <v>0</v>
      </c>
      <c r="CZ313" s="683">
        <f t="shared" si="959"/>
        <v>0</v>
      </c>
      <c r="DA313" s="683">
        <f t="shared" si="959"/>
        <v>0</v>
      </c>
      <c r="DB313" s="683">
        <f t="shared" si="959"/>
        <v>0</v>
      </c>
      <c r="DC313" s="683">
        <f t="shared" si="959"/>
        <v>0</v>
      </c>
      <c r="DD313" s="683">
        <f t="shared" si="959"/>
        <v>8792.568</v>
      </c>
      <c r="DE313" s="683">
        <f t="shared" si="959"/>
        <v>5861.712</v>
      </c>
      <c r="DF313" s="683">
        <f t="shared" si="959"/>
        <v>0</v>
      </c>
      <c r="DG313" s="683">
        <f t="shared" si="959"/>
        <v>16998.9648</v>
      </c>
      <c r="DH313" s="683">
        <f t="shared" si="23"/>
        <v>31653.2448</v>
      </c>
      <c r="DI313" s="683">
        <f t="shared" ref="DI313:DR313" si="960">BY313*$CL313</f>
        <v>4396.284</v>
      </c>
      <c r="DJ313" s="683">
        <f t="shared" si="960"/>
        <v>2930.856</v>
      </c>
      <c r="DK313" s="683">
        <f t="shared" si="960"/>
        <v>5861.712</v>
      </c>
      <c r="DL313" s="683">
        <f t="shared" si="960"/>
        <v>0</v>
      </c>
      <c r="DM313" s="683">
        <f t="shared" si="960"/>
        <v>8792.568</v>
      </c>
      <c r="DN313" s="683">
        <f t="shared" si="960"/>
        <v>8792.568</v>
      </c>
      <c r="DO313" s="683">
        <f t="shared" si="960"/>
        <v>0</v>
      </c>
      <c r="DP313" s="683">
        <f t="shared" si="960"/>
        <v>0</v>
      </c>
      <c r="DQ313" s="683">
        <f t="shared" si="960"/>
        <v>0</v>
      </c>
      <c r="DR313" s="683">
        <f t="shared" si="960"/>
        <v>0</v>
      </c>
      <c r="DS313" s="683">
        <f t="shared" si="25"/>
        <v>30773.988</v>
      </c>
      <c r="DT313" s="683">
        <f t="shared" si="685"/>
        <v>89391.108</v>
      </c>
      <c r="DU313" s="504"/>
      <c r="DV313" s="486"/>
      <c r="DW313" s="688"/>
      <c r="DX313" s="688"/>
      <c r="DY313" s="688"/>
      <c r="DZ313" s="688"/>
      <c r="EA313" s="688"/>
      <c r="EB313" s="688"/>
      <c r="EC313" s="688"/>
      <c r="ED313" s="688"/>
      <c r="EE313" s="688"/>
      <c r="EF313" s="688"/>
      <c r="EG313" s="688"/>
      <c r="EH313" s="707" t="s">
        <v>3509</v>
      </c>
      <c r="EI313" s="708">
        <f>VLOOKUP(I313,CotizacionTDB,4,FALSE())</f>
        <v>42.11</v>
      </c>
      <c r="EJ313" s="708">
        <f>VLOOKUP(I313,CotizacionTDB,5,FALSE())</f>
        <v>35.79</v>
      </c>
      <c r="EK313" s="691"/>
    </row>
    <row r="314" ht="12.0" customHeight="1">
      <c r="A314" s="709" t="s">
        <v>3026</v>
      </c>
      <c r="B314" s="661">
        <v>2.0</v>
      </c>
      <c r="C314" s="567" t="s">
        <v>3027</v>
      </c>
      <c r="D314" s="568" t="s">
        <v>544</v>
      </c>
      <c r="E314" s="568" t="s">
        <v>2708</v>
      </c>
      <c r="F314" s="567" t="s">
        <v>1763</v>
      </c>
      <c r="G314" s="569" t="s">
        <v>2709</v>
      </c>
      <c r="H314" s="569" t="s">
        <v>2912</v>
      </c>
      <c r="I314" s="721" t="s">
        <v>2147</v>
      </c>
      <c r="J314" s="711" t="s">
        <v>486</v>
      </c>
      <c r="K314" s="567" t="s">
        <v>25</v>
      </c>
      <c r="L314" s="567">
        <v>2024.0</v>
      </c>
      <c r="M314" s="567">
        <v>2024.0</v>
      </c>
      <c r="N314" s="567">
        <v>2024.0</v>
      </c>
      <c r="O314" s="567">
        <v>2024.0</v>
      </c>
      <c r="P314" s="567">
        <v>2024.0</v>
      </c>
      <c r="Q314" s="567">
        <v>2024.0</v>
      </c>
      <c r="R314" s="567">
        <v>2024.0</v>
      </c>
      <c r="S314" s="567">
        <v>2024.0</v>
      </c>
      <c r="T314" s="567"/>
      <c r="U314" s="567"/>
      <c r="V314" s="567"/>
      <c r="W314" s="567">
        <v>2.0</v>
      </c>
      <c r="X314" s="567">
        <v>2.0</v>
      </c>
      <c r="Y314" s="567">
        <v>2.0</v>
      </c>
      <c r="Z314" s="567">
        <v>2.0</v>
      </c>
      <c r="AA314" s="567">
        <v>2.0</v>
      </c>
      <c r="AB314" s="567">
        <v>2.0</v>
      </c>
      <c r="AC314" s="567">
        <v>7.0</v>
      </c>
      <c r="AD314" s="567">
        <v>7.0</v>
      </c>
      <c r="AE314" s="567"/>
      <c r="AF314" s="567"/>
      <c r="AG314" s="567"/>
      <c r="AH314" s="567"/>
      <c r="AI314" s="567"/>
      <c r="AJ314" s="567"/>
      <c r="AK314" s="567"/>
      <c r="AL314" s="567"/>
      <c r="AM314" s="567"/>
      <c r="AN314" s="567"/>
      <c r="AO314" s="567"/>
      <c r="AP314" s="567"/>
      <c r="AQ314" s="567"/>
      <c r="AR314" s="567">
        <v>-2024.0</v>
      </c>
      <c r="AS314" s="567">
        <v>-2024.0</v>
      </c>
      <c r="AT314" s="567">
        <v>-2024.0</v>
      </c>
      <c r="AU314" s="567">
        <v>-2024.0</v>
      </c>
      <c r="AV314" s="567">
        <v>-2024.0</v>
      </c>
      <c r="AW314" s="567">
        <v>-2024.0</v>
      </c>
      <c r="AX314" s="567">
        <v>-2024.0</v>
      </c>
      <c r="AY314" s="567">
        <v>-2024.0</v>
      </c>
      <c r="AZ314" s="567">
        <v>0.0</v>
      </c>
      <c r="BA314" s="567">
        <v>0.0</v>
      </c>
      <c r="BB314" s="567"/>
      <c r="BC314" s="567">
        <v>3.0</v>
      </c>
      <c r="BD314" s="567">
        <v>3.0</v>
      </c>
      <c r="BE314" s="661">
        <v>8.0</v>
      </c>
      <c r="BF314" s="661">
        <v>1.0</v>
      </c>
      <c r="BG314" s="661">
        <v>1.0</v>
      </c>
      <c r="BH314" s="661">
        <v>1.0</v>
      </c>
      <c r="BI314" s="567">
        <v>1.0</v>
      </c>
      <c r="BJ314" s="567">
        <v>1.0</v>
      </c>
      <c r="BK314" s="661">
        <v>1.0</v>
      </c>
      <c r="BL314" s="725"/>
      <c r="BM314" s="665">
        <f t="shared" si="1"/>
        <v>20</v>
      </c>
      <c r="BN314" s="671"/>
      <c r="BO314" s="668"/>
      <c r="BP314" s="668"/>
      <c r="BQ314" s="668"/>
      <c r="BR314" s="668"/>
      <c r="BS314" s="668"/>
      <c r="BT314" s="668"/>
      <c r="BU314" s="668"/>
      <c r="BV314" s="668"/>
      <c r="BW314" s="670"/>
      <c r="BX314" s="665">
        <f t="shared" si="840"/>
        <v>0</v>
      </c>
      <c r="BY314" s="671">
        <v>3.0</v>
      </c>
      <c r="BZ314" s="668">
        <v>3.0</v>
      </c>
      <c r="CA314" s="668">
        <v>5.0</v>
      </c>
      <c r="CB314" s="674">
        <v>1.0</v>
      </c>
      <c r="CC314" s="674">
        <v>1.0</v>
      </c>
      <c r="CD314" s="674">
        <v>1.0</v>
      </c>
      <c r="CE314" s="668">
        <v>0.0</v>
      </c>
      <c r="CF314" s="668">
        <v>0.0</v>
      </c>
      <c r="CG314" s="668">
        <v>0.0</v>
      </c>
      <c r="CH314" s="670">
        <v>0.0</v>
      </c>
      <c r="CI314" s="665">
        <f t="shared" si="841"/>
        <v>14</v>
      </c>
      <c r="CJ314" s="671">
        <f t="shared" si="4"/>
        <v>34</v>
      </c>
      <c r="CK314" s="715">
        <v>279.15</v>
      </c>
      <c r="CL314" s="668">
        <f t="shared" si="912"/>
        <v>1942.884</v>
      </c>
      <c r="CM314" s="668">
        <f t="shared" ref="CM314:CV314" si="961">BC314*$CL314</f>
        <v>5828.652</v>
      </c>
      <c r="CN314" s="668">
        <f t="shared" si="961"/>
        <v>5828.652</v>
      </c>
      <c r="CO314" s="668">
        <f t="shared" si="961"/>
        <v>15543.072</v>
      </c>
      <c r="CP314" s="668">
        <f t="shared" si="961"/>
        <v>1942.884</v>
      </c>
      <c r="CQ314" s="668">
        <f t="shared" si="961"/>
        <v>1942.884</v>
      </c>
      <c r="CR314" s="668">
        <f t="shared" si="961"/>
        <v>1942.884</v>
      </c>
      <c r="CS314" s="668">
        <f t="shared" si="961"/>
        <v>1942.884</v>
      </c>
      <c r="CT314" s="668">
        <f t="shared" si="961"/>
        <v>1942.884</v>
      </c>
      <c r="CU314" s="668">
        <f t="shared" si="961"/>
        <v>1942.884</v>
      </c>
      <c r="CV314" s="668">
        <f t="shared" si="961"/>
        <v>0</v>
      </c>
      <c r="CW314" s="668">
        <f t="shared" si="21"/>
        <v>38857.68</v>
      </c>
      <c r="CX314" s="668">
        <f t="shared" ref="CX314:DG314" si="962">BN314*$CL314</f>
        <v>0</v>
      </c>
      <c r="CY314" s="668">
        <f t="shared" si="962"/>
        <v>0</v>
      </c>
      <c r="CZ314" s="668">
        <f t="shared" si="962"/>
        <v>0</v>
      </c>
      <c r="DA314" s="668">
        <f t="shared" si="962"/>
        <v>0</v>
      </c>
      <c r="DB314" s="668">
        <f t="shared" si="962"/>
        <v>0</v>
      </c>
      <c r="DC314" s="668">
        <f t="shared" si="962"/>
        <v>0</v>
      </c>
      <c r="DD314" s="668">
        <f t="shared" si="962"/>
        <v>0</v>
      </c>
      <c r="DE314" s="668">
        <f t="shared" si="962"/>
        <v>0</v>
      </c>
      <c r="DF314" s="668">
        <f t="shared" si="962"/>
        <v>0</v>
      </c>
      <c r="DG314" s="668">
        <f t="shared" si="962"/>
        <v>0</v>
      </c>
      <c r="DH314" s="668">
        <f t="shared" si="23"/>
        <v>0</v>
      </c>
      <c r="DI314" s="668">
        <f t="shared" ref="DI314:DR314" si="963">BY314*$CL314</f>
        <v>5828.652</v>
      </c>
      <c r="DJ314" s="668">
        <f t="shared" si="963"/>
        <v>5828.652</v>
      </c>
      <c r="DK314" s="668">
        <f t="shared" si="963"/>
        <v>9714.42</v>
      </c>
      <c r="DL314" s="668">
        <f t="shared" si="963"/>
        <v>1942.884</v>
      </c>
      <c r="DM314" s="668">
        <f t="shared" si="963"/>
        <v>1942.884</v>
      </c>
      <c r="DN314" s="668">
        <f t="shared" si="963"/>
        <v>1942.884</v>
      </c>
      <c r="DO314" s="668">
        <f t="shared" si="963"/>
        <v>0</v>
      </c>
      <c r="DP314" s="668">
        <f t="shared" si="963"/>
        <v>0</v>
      </c>
      <c r="DQ314" s="668">
        <f t="shared" si="963"/>
        <v>0</v>
      </c>
      <c r="DR314" s="668">
        <f t="shared" si="963"/>
        <v>0</v>
      </c>
      <c r="DS314" s="668">
        <f t="shared" si="25"/>
        <v>27200.376</v>
      </c>
      <c r="DT314" s="668">
        <f t="shared" si="685"/>
        <v>66058.056</v>
      </c>
      <c r="DU314" s="538"/>
      <c r="DV314" s="468"/>
      <c r="DW314" s="698"/>
      <c r="DX314" s="698"/>
      <c r="DY314" s="698"/>
      <c r="DZ314" s="698"/>
      <c r="EA314" s="698"/>
      <c r="EB314" s="698"/>
      <c r="EC314" s="698"/>
      <c r="ED314" s="698"/>
      <c r="EE314" s="698"/>
      <c r="EF314" s="698"/>
      <c r="EG314" s="698"/>
      <c r="EH314" s="576" t="s">
        <v>486</v>
      </c>
      <c r="EI314" s="716">
        <f>VLOOKUP(I314,CotizacionTDB,4,FALSE())</f>
        <v>279.15</v>
      </c>
      <c r="EJ314" s="716">
        <f>VLOOKUP(I314,CotizacionTDB,5,FALSE())</f>
        <v>237.28</v>
      </c>
      <c r="EK314" s="699"/>
    </row>
    <row r="315" ht="12.0" customHeight="1">
      <c r="A315" s="700" t="s">
        <v>3026</v>
      </c>
      <c r="B315" s="701">
        <v>2.0</v>
      </c>
      <c r="C315" s="562" t="s">
        <v>3027</v>
      </c>
      <c r="D315" s="571" t="s">
        <v>544</v>
      </c>
      <c r="E315" s="571" t="s">
        <v>2708</v>
      </c>
      <c r="F315" s="562" t="s">
        <v>1763</v>
      </c>
      <c r="G315" s="569" t="s">
        <v>2709</v>
      </c>
      <c r="H315" s="702" t="s">
        <v>3510</v>
      </c>
      <c r="I315" s="717" t="s">
        <v>2281</v>
      </c>
      <c r="J315" s="704" t="s">
        <v>420</v>
      </c>
      <c r="K315" s="562" t="s">
        <v>25</v>
      </c>
      <c r="L315" s="562">
        <v>2024.0</v>
      </c>
      <c r="M315" s="562">
        <v>2024.0</v>
      </c>
      <c r="N315" s="562">
        <v>2024.0</v>
      </c>
      <c r="O315" s="562">
        <v>2024.0</v>
      </c>
      <c r="P315" s="562">
        <v>2024.0</v>
      </c>
      <c r="Q315" s="562">
        <v>2024.0</v>
      </c>
      <c r="R315" s="562">
        <v>2024.0</v>
      </c>
      <c r="S315" s="562">
        <v>2024.0</v>
      </c>
      <c r="T315" s="562"/>
      <c r="U315" s="562">
        <v>2024.0</v>
      </c>
      <c r="V315" s="562"/>
      <c r="W315" s="562">
        <v>2.0</v>
      </c>
      <c r="X315" s="562">
        <v>2.0</v>
      </c>
      <c r="Y315" s="562">
        <v>2.0</v>
      </c>
      <c r="Z315" s="562">
        <v>2.0</v>
      </c>
      <c r="AA315" s="562">
        <v>2.0</v>
      </c>
      <c r="AB315" s="562">
        <v>2.0</v>
      </c>
      <c r="AC315" s="562">
        <v>3.0</v>
      </c>
      <c r="AD315" s="562">
        <v>3.0</v>
      </c>
      <c r="AE315" s="562"/>
      <c r="AF315" s="562">
        <v>3.0</v>
      </c>
      <c r="AG315" s="562"/>
      <c r="AH315" s="562"/>
      <c r="AI315" s="562"/>
      <c r="AJ315" s="562"/>
      <c r="AK315" s="562"/>
      <c r="AL315" s="562"/>
      <c r="AM315" s="562"/>
      <c r="AN315" s="562"/>
      <c r="AO315" s="562"/>
      <c r="AP315" s="562"/>
      <c r="AQ315" s="562"/>
      <c r="AR315" s="562">
        <v>-2024.0</v>
      </c>
      <c r="AS315" s="562">
        <v>-2024.0</v>
      </c>
      <c r="AT315" s="562">
        <v>-2024.0</v>
      </c>
      <c r="AU315" s="562">
        <v>-2024.0</v>
      </c>
      <c r="AV315" s="562">
        <v>-2024.0</v>
      </c>
      <c r="AW315" s="562">
        <v>-2024.0</v>
      </c>
      <c r="AX315" s="562">
        <v>-2024.0</v>
      </c>
      <c r="AY315" s="562">
        <v>-2024.0</v>
      </c>
      <c r="AZ315" s="562">
        <v>0.0</v>
      </c>
      <c r="BA315" s="562">
        <v>-2024.0</v>
      </c>
      <c r="BB315" s="562"/>
      <c r="BC315" s="562">
        <v>2.0</v>
      </c>
      <c r="BD315" s="562">
        <v>2.0</v>
      </c>
      <c r="BE315" s="562">
        <v>2.0</v>
      </c>
      <c r="BF315" s="701">
        <v>4.0</v>
      </c>
      <c r="BG315" s="701">
        <v>4.0</v>
      </c>
      <c r="BH315" s="701">
        <v>4.0</v>
      </c>
      <c r="BI315" s="562">
        <v>4.0</v>
      </c>
      <c r="BJ315" s="562">
        <v>4.0</v>
      </c>
      <c r="BK315" s="562"/>
      <c r="BL315" s="719">
        <v>4.0</v>
      </c>
      <c r="BM315" s="665">
        <f t="shared" si="1"/>
        <v>30</v>
      </c>
      <c r="BN315" s="682"/>
      <c r="BO315" s="683"/>
      <c r="BP315" s="683"/>
      <c r="BQ315" s="683"/>
      <c r="BR315" s="683"/>
      <c r="BS315" s="683"/>
      <c r="BT315" s="683"/>
      <c r="BU315" s="683"/>
      <c r="BV315" s="683"/>
      <c r="BW315" s="686"/>
      <c r="BX315" s="665">
        <f t="shared" si="840"/>
        <v>0</v>
      </c>
      <c r="BY315" s="682">
        <v>2.0</v>
      </c>
      <c r="BZ315" s="683">
        <v>2.0</v>
      </c>
      <c r="CA315" s="683">
        <v>2.0</v>
      </c>
      <c r="CB315" s="687">
        <v>4.0</v>
      </c>
      <c r="CC315" s="687">
        <v>4.0</v>
      </c>
      <c r="CD315" s="687">
        <v>4.0</v>
      </c>
      <c r="CE315" s="683">
        <v>0.0</v>
      </c>
      <c r="CF315" s="683">
        <v>0.0</v>
      </c>
      <c r="CG315" s="683">
        <v>0.0</v>
      </c>
      <c r="CH315" s="686">
        <v>0.0</v>
      </c>
      <c r="CI315" s="665">
        <f t="shared" si="841"/>
        <v>18</v>
      </c>
      <c r="CJ315" s="682">
        <f t="shared" si="4"/>
        <v>48</v>
      </c>
      <c r="CK315" s="706">
        <v>179.05</v>
      </c>
      <c r="CL315" s="683">
        <f t="shared" si="912"/>
        <v>1246.188</v>
      </c>
      <c r="CM315" s="683">
        <f t="shared" ref="CM315:CV315" si="964">BC315*$CL315</f>
        <v>2492.376</v>
      </c>
      <c r="CN315" s="683">
        <f t="shared" si="964"/>
        <v>2492.376</v>
      </c>
      <c r="CO315" s="683">
        <f t="shared" si="964"/>
        <v>2492.376</v>
      </c>
      <c r="CP315" s="683">
        <f t="shared" si="964"/>
        <v>4984.752</v>
      </c>
      <c r="CQ315" s="683">
        <f t="shared" si="964"/>
        <v>4984.752</v>
      </c>
      <c r="CR315" s="683">
        <f t="shared" si="964"/>
        <v>4984.752</v>
      </c>
      <c r="CS315" s="683">
        <f t="shared" si="964"/>
        <v>4984.752</v>
      </c>
      <c r="CT315" s="683">
        <f t="shared" si="964"/>
        <v>4984.752</v>
      </c>
      <c r="CU315" s="683">
        <f t="shared" si="964"/>
        <v>0</v>
      </c>
      <c r="CV315" s="683">
        <f t="shared" si="964"/>
        <v>4984.752</v>
      </c>
      <c r="CW315" s="683">
        <f t="shared" si="21"/>
        <v>37385.64</v>
      </c>
      <c r="CX315" s="683">
        <f t="shared" ref="CX315:DG315" si="965">BN315*$CL315</f>
        <v>0</v>
      </c>
      <c r="CY315" s="683">
        <f t="shared" si="965"/>
        <v>0</v>
      </c>
      <c r="CZ315" s="683">
        <f t="shared" si="965"/>
        <v>0</v>
      </c>
      <c r="DA315" s="683">
        <f t="shared" si="965"/>
        <v>0</v>
      </c>
      <c r="DB315" s="683">
        <f t="shared" si="965"/>
        <v>0</v>
      </c>
      <c r="DC315" s="683">
        <f t="shared" si="965"/>
        <v>0</v>
      </c>
      <c r="DD315" s="683">
        <f t="shared" si="965"/>
        <v>0</v>
      </c>
      <c r="DE315" s="683">
        <f t="shared" si="965"/>
        <v>0</v>
      </c>
      <c r="DF315" s="683">
        <f t="shared" si="965"/>
        <v>0</v>
      </c>
      <c r="DG315" s="683">
        <f t="shared" si="965"/>
        <v>0</v>
      </c>
      <c r="DH315" s="683">
        <f t="shared" si="23"/>
        <v>0</v>
      </c>
      <c r="DI315" s="683">
        <f t="shared" ref="DI315:DR315" si="966">BY315*$CL315</f>
        <v>2492.376</v>
      </c>
      <c r="DJ315" s="683">
        <f t="shared" si="966"/>
        <v>2492.376</v>
      </c>
      <c r="DK315" s="683">
        <f t="shared" si="966"/>
        <v>2492.376</v>
      </c>
      <c r="DL315" s="683">
        <f t="shared" si="966"/>
        <v>4984.752</v>
      </c>
      <c r="DM315" s="683">
        <f t="shared" si="966"/>
        <v>4984.752</v>
      </c>
      <c r="DN315" s="683">
        <f t="shared" si="966"/>
        <v>4984.752</v>
      </c>
      <c r="DO315" s="683">
        <f t="shared" si="966"/>
        <v>0</v>
      </c>
      <c r="DP315" s="683">
        <f t="shared" si="966"/>
        <v>0</v>
      </c>
      <c r="DQ315" s="683">
        <f t="shared" si="966"/>
        <v>0</v>
      </c>
      <c r="DR315" s="683">
        <f t="shared" si="966"/>
        <v>0</v>
      </c>
      <c r="DS315" s="683">
        <f t="shared" si="25"/>
        <v>22431.384</v>
      </c>
      <c r="DT315" s="683">
        <f t="shared" si="685"/>
        <v>59817.024</v>
      </c>
      <c r="DU315" s="504"/>
      <c r="DV315" s="486" t="s">
        <v>3511</v>
      </c>
      <c r="DW315" s="688"/>
      <c r="DX315" s="688"/>
      <c r="DY315" s="688"/>
      <c r="DZ315" s="688"/>
      <c r="EA315" s="688"/>
      <c r="EB315" s="688"/>
      <c r="EC315" s="688"/>
      <c r="ED315" s="688"/>
      <c r="EE315" s="688"/>
      <c r="EF315" s="688"/>
      <c r="EG315" s="688"/>
      <c r="EH315" s="707" t="s">
        <v>3512</v>
      </c>
      <c r="EI315" s="708">
        <f>VLOOKUP(I315,CotizacionTDB,4,FALSE())</f>
        <v>179.05</v>
      </c>
      <c r="EJ315" s="708">
        <f>VLOOKUP(I315,CotizacionTDB,5,FALSE())</f>
        <v>152.19</v>
      </c>
      <c r="EK315" s="691"/>
    </row>
    <row r="316" ht="12.0" customHeight="1">
      <c r="A316" s="709" t="s">
        <v>3026</v>
      </c>
      <c r="B316" s="661">
        <v>2.0</v>
      </c>
      <c r="C316" s="567" t="s">
        <v>3027</v>
      </c>
      <c r="D316" s="568" t="s">
        <v>544</v>
      </c>
      <c r="E316" s="568" t="s">
        <v>2708</v>
      </c>
      <c r="F316" s="567" t="s">
        <v>1763</v>
      </c>
      <c r="G316" s="569" t="s">
        <v>2709</v>
      </c>
      <c r="H316" s="569" t="s">
        <v>3513</v>
      </c>
      <c r="I316" s="721" t="s">
        <v>2343</v>
      </c>
      <c r="J316" s="711" t="s">
        <v>659</v>
      </c>
      <c r="K316" s="567" t="s">
        <v>25</v>
      </c>
      <c r="L316" s="567"/>
      <c r="M316" s="567">
        <v>2024.0</v>
      </c>
      <c r="N316" s="567"/>
      <c r="O316" s="567"/>
      <c r="P316" s="567"/>
      <c r="Q316" s="567"/>
      <c r="R316" s="567"/>
      <c r="S316" s="567"/>
      <c r="T316" s="567"/>
      <c r="U316" s="567"/>
      <c r="V316" s="567"/>
      <c r="W316" s="567"/>
      <c r="X316" s="567">
        <v>8.0</v>
      </c>
      <c r="Y316" s="567"/>
      <c r="Z316" s="567"/>
      <c r="AA316" s="567"/>
      <c r="AB316" s="567"/>
      <c r="AC316" s="567"/>
      <c r="AD316" s="567"/>
      <c r="AE316" s="567"/>
      <c r="AF316" s="567"/>
      <c r="AG316" s="567"/>
      <c r="AH316" s="567"/>
      <c r="AI316" s="567"/>
      <c r="AJ316" s="567"/>
      <c r="AK316" s="567"/>
      <c r="AL316" s="567"/>
      <c r="AM316" s="567"/>
      <c r="AN316" s="567"/>
      <c r="AO316" s="567"/>
      <c r="AP316" s="567"/>
      <c r="AQ316" s="567"/>
      <c r="AR316" s="567">
        <v>0.0</v>
      </c>
      <c r="AS316" s="567">
        <v>-2024.0</v>
      </c>
      <c r="AT316" s="567">
        <v>0.0</v>
      </c>
      <c r="AU316" s="567">
        <v>0.0</v>
      </c>
      <c r="AV316" s="567">
        <v>0.0</v>
      </c>
      <c r="AW316" s="567">
        <v>0.0</v>
      </c>
      <c r="AX316" s="567">
        <v>0.0</v>
      </c>
      <c r="AY316" s="567">
        <v>0.0</v>
      </c>
      <c r="AZ316" s="567">
        <v>0.0</v>
      </c>
      <c r="BA316" s="567">
        <v>0.0</v>
      </c>
      <c r="BB316" s="567"/>
      <c r="BC316" s="567"/>
      <c r="BD316" s="567">
        <v>2.0</v>
      </c>
      <c r="BE316" s="567"/>
      <c r="BF316" s="567"/>
      <c r="BG316" s="567"/>
      <c r="BH316" s="567"/>
      <c r="BI316" s="567"/>
      <c r="BJ316" s="567"/>
      <c r="BK316" s="567"/>
      <c r="BL316" s="725"/>
      <c r="BM316" s="665">
        <f t="shared" si="1"/>
        <v>2</v>
      </c>
      <c r="BN316" s="671"/>
      <c r="BO316" s="668"/>
      <c r="BP316" s="668"/>
      <c r="BQ316" s="668"/>
      <c r="BR316" s="668"/>
      <c r="BS316" s="668"/>
      <c r="BT316" s="668"/>
      <c r="BU316" s="668"/>
      <c r="BV316" s="668"/>
      <c r="BW316" s="670"/>
      <c r="BX316" s="665">
        <f t="shared" si="840"/>
        <v>0</v>
      </c>
      <c r="BY316" s="671">
        <v>0.0</v>
      </c>
      <c r="BZ316" s="668">
        <v>0.0</v>
      </c>
      <c r="CA316" s="668">
        <v>0.0</v>
      </c>
      <c r="CB316" s="668">
        <v>0.0</v>
      </c>
      <c r="CC316" s="668">
        <v>0.0</v>
      </c>
      <c r="CD316" s="668">
        <v>0.0</v>
      </c>
      <c r="CE316" s="668">
        <v>0.0</v>
      </c>
      <c r="CF316" s="668">
        <v>0.0</v>
      </c>
      <c r="CG316" s="668">
        <v>0.0</v>
      </c>
      <c r="CH316" s="670">
        <v>0.0</v>
      </c>
      <c r="CI316" s="665">
        <f t="shared" si="841"/>
        <v>0</v>
      </c>
      <c r="CJ316" s="671">
        <f t="shared" si="4"/>
        <v>2</v>
      </c>
      <c r="CK316" s="715">
        <v>2560.69</v>
      </c>
      <c r="CL316" s="668">
        <f t="shared" si="912"/>
        <v>17822.4024</v>
      </c>
      <c r="CM316" s="668">
        <f t="shared" ref="CM316:CV316" si="967">BC316*$CL316</f>
        <v>0</v>
      </c>
      <c r="CN316" s="668">
        <f t="shared" si="967"/>
        <v>35644.8048</v>
      </c>
      <c r="CO316" s="668">
        <f t="shared" si="967"/>
        <v>0</v>
      </c>
      <c r="CP316" s="668">
        <f t="shared" si="967"/>
        <v>0</v>
      </c>
      <c r="CQ316" s="668">
        <f t="shared" si="967"/>
        <v>0</v>
      </c>
      <c r="CR316" s="668">
        <f t="shared" si="967"/>
        <v>0</v>
      </c>
      <c r="CS316" s="668">
        <f t="shared" si="967"/>
        <v>0</v>
      </c>
      <c r="CT316" s="668">
        <f t="shared" si="967"/>
        <v>0</v>
      </c>
      <c r="CU316" s="668">
        <f t="shared" si="967"/>
        <v>0</v>
      </c>
      <c r="CV316" s="668">
        <f t="shared" si="967"/>
        <v>0</v>
      </c>
      <c r="CW316" s="668">
        <f t="shared" si="21"/>
        <v>35644.8048</v>
      </c>
      <c r="CX316" s="668">
        <f t="shared" ref="CX316:DG316" si="968">BN316*$CL316</f>
        <v>0</v>
      </c>
      <c r="CY316" s="668">
        <f t="shared" si="968"/>
        <v>0</v>
      </c>
      <c r="CZ316" s="668">
        <f t="shared" si="968"/>
        <v>0</v>
      </c>
      <c r="DA316" s="668">
        <f t="shared" si="968"/>
        <v>0</v>
      </c>
      <c r="DB316" s="668">
        <f t="shared" si="968"/>
        <v>0</v>
      </c>
      <c r="DC316" s="668">
        <f t="shared" si="968"/>
        <v>0</v>
      </c>
      <c r="DD316" s="668">
        <f t="shared" si="968"/>
        <v>0</v>
      </c>
      <c r="DE316" s="668">
        <f t="shared" si="968"/>
        <v>0</v>
      </c>
      <c r="DF316" s="668">
        <f t="shared" si="968"/>
        <v>0</v>
      </c>
      <c r="DG316" s="668">
        <f t="shared" si="968"/>
        <v>0</v>
      </c>
      <c r="DH316" s="668">
        <f t="shared" si="23"/>
        <v>0</v>
      </c>
      <c r="DI316" s="668">
        <f t="shared" ref="DI316:DR316" si="969">BY316*$CL316</f>
        <v>0</v>
      </c>
      <c r="DJ316" s="668">
        <f t="shared" si="969"/>
        <v>0</v>
      </c>
      <c r="DK316" s="668">
        <f t="shared" si="969"/>
        <v>0</v>
      </c>
      <c r="DL316" s="668">
        <f t="shared" si="969"/>
        <v>0</v>
      </c>
      <c r="DM316" s="668">
        <f t="shared" si="969"/>
        <v>0</v>
      </c>
      <c r="DN316" s="668">
        <f t="shared" si="969"/>
        <v>0</v>
      </c>
      <c r="DO316" s="668">
        <f t="shared" si="969"/>
        <v>0</v>
      </c>
      <c r="DP316" s="668">
        <f t="shared" si="969"/>
        <v>0</v>
      </c>
      <c r="DQ316" s="668">
        <f t="shared" si="969"/>
        <v>0</v>
      </c>
      <c r="DR316" s="668">
        <f t="shared" si="969"/>
        <v>0</v>
      </c>
      <c r="DS316" s="668">
        <f t="shared" si="25"/>
        <v>0</v>
      </c>
      <c r="DT316" s="668">
        <f t="shared" si="685"/>
        <v>35644.8048</v>
      </c>
      <c r="DU316" s="538"/>
      <c r="DV316" s="468"/>
      <c r="DW316" s="698"/>
      <c r="DX316" s="698"/>
      <c r="DY316" s="698"/>
      <c r="DZ316" s="698"/>
      <c r="EA316" s="698"/>
      <c r="EB316" s="698"/>
      <c r="EC316" s="698"/>
      <c r="ED316" s="698"/>
      <c r="EE316" s="698"/>
      <c r="EF316" s="698"/>
      <c r="EG316" s="698"/>
      <c r="EH316" s="576" t="s">
        <v>3514</v>
      </c>
      <c r="EI316" s="716">
        <f>VLOOKUP(I316,CotizacionTDB,4,FALSE())</f>
        <v>2560.69</v>
      </c>
      <c r="EJ316" s="716">
        <f>VLOOKUP(I316,CotizacionTDB,5,FALSE())</f>
        <v>2176.59</v>
      </c>
      <c r="EK316" s="699"/>
    </row>
    <row r="317" ht="12.0" customHeight="1">
      <c r="A317" s="700" t="s">
        <v>3026</v>
      </c>
      <c r="B317" s="701">
        <v>2.0</v>
      </c>
      <c r="C317" s="562" t="s">
        <v>3027</v>
      </c>
      <c r="D317" s="571" t="s">
        <v>544</v>
      </c>
      <c r="E317" s="571" t="s">
        <v>2708</v>
      </c>
      <c r="F317" s="562" t="s">
        <v>1763</v>
      </c>
      <c r="G317" s="569" t="s">
        <v>2709</v>
      </c>
      <c r="H317" s="737"/>
      <c r="I317" s="717" t="s">
        <v>2301</v>
      </c>
      <c r="J317" s="704" t="s">
        <v>344</v>
      </c>
      <c r="K317" s="562" t="s">
        <v>25</v>
      </c>
      <c r="L317" s="562">
        <v>2024.0</v>
      </c>
      <c r="M317" s="562">
        <v>2024.0</v>
      </c>
      <c r="N317" s="562">
        <v>2024.0</v>
      </c>
      <c r="O317" s="562">
        <v>2024.0</v>
      </c>
      <c r="P317" s="562">
        <v>2024.0</v>
      </c>
      <c r="Q317" s="562">
        <v>2024.0</v>
      </c>
      <c r="R317" s="562"/>
      <c r="S317" s="562"/>
      <c r="T317" s="562"/>
      <c r="U317" s="562"/>
      <c r="V317" s="562"/>
      <c r="W317" s="562">
        <v>2.0</v>
      </c>
      <c r="X317" s="562">
        <v>2.0</v>
      </c>
      <c r="Y317" s="562">
        <v>2.0</v>
      </c>
      <c r="Z317" s="562">
        <v>2.0</v>
      </c>
      <c r="AA317" s="562">
        <v>2.0</v>
      </c>
      <c r="AB317" s="562">
        <v>2.0</v>
      </c>
      <c r="AC317" s="562"/>
      <c r="AD317" s="562"/>
      <c r="AE317" s="562"/>
      <c r="AF317" s="562"/>
      <c r="AG317" s="562"/>
      <c r="AH317" s="562"/>
      <c r="AI317" s="562"/>
      <c r="AJ317" s="562"/>
      <c r="AK317" s="562"/>
      <c r="AL317" s="562"/>
      <c r="AM317" s="562"/>
      <c r="AN317" s="562"/>
      <c r="AO317" s="562"/>
      <c r="AP317" s="562"/>
      <c r="AQ317" s="562"/>
      <c r="AR317" s="562">
        <v>-2024.0</v>
      </c>
      <c r="AS317" s="562">
        <v>-2024.0</v>
      </c>
      <c r="AT317" s="562">
        <v>-2024.0</v>
      </c>
      <c r="AU317" s="562">
        <v>-2024.0</v>
      </c>
      <c r="AV317" s="562">
        <v>-2024.0</v>
      </c>
      <c r="AW317" s="562">
        <v>-2024.0</v>
      </c>
      <c r="AX317" s="562">
        <v>0.0</v>
      </c>
      <c r="AY317" s="562">
        <v>0.0</v>
      </c>
      <c r="AZ317" s="562">
        <v>0.0</v>
      </c>
      <c r="BA317" s="562">
        <v>0.0</v>
      </c>
      <c r="BB317" s="562"/>
      <c r="BC317" s="701">
        <v>2.0</v>
      </c>
      <c r="BD317" s="562">
        <v>2.0</v>
      </c>
      <c r="BE317" s="562">
        <v>4.0</v>
      </c>
      <c r="BF317" s="701">
        <v>15.0</v>
      </c>
      <c r="BG317" s="701">
        <v>20.0</v>
      </c>
      <c r="BH317" s="701">
        <v>30.0</v>
      </c>
      <c r="BI317" s="562"/>
      <c r="BJ317" s="562"/>
      <c r="BK317" s="562"/>
      <c r="BL317" s="681"/>
      <c r="BM317" s="665">
        <f t="shared" si="1"/>
        <v>73</v>
      </c>
      <c r="BN317" s="682"/>
      <c r="BO317" s="683"/>
      <c r="BP317" s="683"/>
      <c r="BQ317" s="683"/>
      <c r="BR317" s="683"/>
      <c r="BS317" s="683"/>
      <c r="BT317" s="683"/>
      <c r="BU317" s="683"/>
      <c r="BV317" s="683"/>
      <c r="BW317" s="686"/>
      <c r="BX317" s="665">
        <f t="shared" si="840"/>
        <v>0</v>
      </c>
      <c r="BY317" s="682">
        <v>8.0</v>
      </c>
      <c r="BZ317" s="683">
        <v>2.0</v>
      </c>
      <c r="CA317" s="683">
        <v>4.0</v>
      </c>
      <c r="CB317" s="687">
        <v>15.0</v>
      </c>
      <c r="CC317" s="687">
        <v>20.0</v>
      </c>
      <c r="CD317" s="687">
        <v>30.0</v>
      </c>
      <c r="CE317" s="683">
        <v>0.0</v>
      </c>
      <c r="CF317" s="683">
        <v>0.0</v>
      </c>
      <c r="CG317" s="683">
        <v>0.0</v>
      </c>
      <c r="CH317" s="686">
        <v>0.0</v>
      </c>
      <c r="CI317" s="665">
        <f t="shared" si="841"/>
        <v>79</v>
      </c>
      <c r="CJ317" s="682">
        <f t="shared" si="4"/>
        <v>152</v>
      </c>
      <c r="CK317" s="706">
        <v>66.8</v>
      </c>
      <c r="CL317" s="683">
        <f t="shared" si="912"/>
        <v>464.928</v>
      </c>
      <c r="CM317" s="683">
        <f t="shared" ref="CM317:CV317" si="970">BC317*$CL317</f>
        <v>929.856</v>
      </c>
      <c r="CN317" s="683">
        <f t="shared" si="970"/>
        <v>929.856</v>
      </c>
      <c r="CO317" s="683">
        <f t="shared" si="970"/>
        <v>1859.712</v>
      </c>
      <c r="CP317" s="683">
        <f t="shared" si="970"/>
        <v>6973.92</v>
      </c>
      <c r="CQ317" s="683">
        <f t="shared" si="970"/>
        <v>9298.56</v>
      </c>
      <c r="CR317" s="683">
        <f t="shared" si="970"/>
        <v>13947.84</v>
      </c>
      <c r="CS317" s="683">
        <f t="shared" si="970"/>
        <v>0</v>
      </c>
      <c r="CT317" s="683">
        <f t="shared" si="970"/>
        <v>0</v>
      </c>
      <c r="CU317" s="683">
        <f t="shared" si="970"/>
        <v>0</v>
      </c>
      <c r="CV317" s="683">
        <f t="shared" si="970"/>
        <v>0</v>
      </c>
      <c r="CW317" s="683">
        <f t="shared" si="21"/>
        <v>33939.744</v>
      </c>
      <c r="CX317" s="683">
        <f t="shared" ref="CX317:DG317" si="971">BN317*$CL317</f>
        <v>0</v>
      </c>
      <c r="CY317" s="683">
        <f t="shared" si="971"/>
        <v>0</v>
      </c>
      <c r="CZ317" s="683">
        <f t="shared" si="971"/>
        <v>0</v>
      </c>
      <c r="DA317" s="683">
        <f t="shared" si="971"/>
        <v>0</v>
      </c>
      <c r="DB317" s="683">
        <f t="shared" si="971"/>
        <v>0</v>
      </c>
      <c r="DC317" s="683">
        <f t="shared" si="971"/>
        <v>0</v>
      </c>
      <c r="DD317" s="683">
        <f t="shared" si="971"/>
        <v>0</v>
      </c>
      <c r="DE317" s="683">
        <f t="shared" si="971"/>
        <v>0</v>
      </c>
      <c r="DF317" s="683">
        <f t="shared" si="971"/>
        <v>0</v>
      </c>
      <c r="DG317" s="683">
        <f t="shared" si="971"/>
        <v>0</v>
      </c>
      <c r="DH317" s="683">
        <f t="shared" si="23"/>
        <v>0</v>
      </c>
      <c r="DI317" s="683">
        <f t="shared" ref="DI317:DR317" si="972">BY317*$CL317</f>
        <v>3719.424</v>
      </c>
      <c r="DJ317" s="683">
        <f t="shared" si="972"/>
        <v>929.856</v>
      </c>
      <c r="DK317" s="683">
        <f t="shared" si="972"/>
        <v>1859.712</v>
      </c>
      <c r="DL317" s="683">
        <f t="shared" si="972"/>
        <v>6973.92</v>
      </c>
      <c r="DM317" s="683">
        <f t="shared" si="972"/>
        <v>9298.56</v>
      </c>
      <c r="DN317" s="683">
        <f t="shared" si="972"/>
        <v>13947.84</v>
      </c>
      <c r="DO317" s="683">
        <f t="shared" si="972"/>
        <v>0</v>
      </c>
      <c r="DP317" s="683">
        <f t="shared" si="972"/>
        <v>0</v>
      </c>
      <c r="DQ317" s="683">
        <f t="shared" si="972"/>
        <v>0</v>
      </c>
      <c r="DR317" s="683">
        <f t="shared" si="972"/>
        <v>0</v>
      </c>
      <c r="DS317" s="683">
        <f t="shared" si="25"/>
        <v>36729.312</v>
      </c>
      <c r="DT317" s="683">
        <f t="shared" si="685"/>
        <v>70669.056</v>
      </c>
      <c r="DU317" s="504"/>
      <c r="DV317" s="486"/>
      <c r="DW317" s="688"/>
      <c r="DX317" s="688"/>
      <c r="DY317" s="688"/>
      <c r="DZ317" s="688"/>
      <c r="EA317" s="688"/>
      <c r="EB317" s="688"/>
      <c r="EC317" s="688"/>
      <c r="ED317" s="688"/>
      <c r="EE317" s="688"/>
      <c r="EF317" s="688"/>
      <c r="EG317" s="688"/>
      <c r="EH317" s="707" t="s">
        <v>3515</v>
      </c>
      <c r="EI317" s="708">
        <f>VLOOKUP(I317,CotizacionTDB,4,FALSE())</f>
        <v>66.8</v>
      </c>
      <c r="EJ317" s="708">
        <f>VLOOKUP(I317,CotizacionTDB,5,FALSE())</f>
        <v>56.78</v>
      </c>
      <c r="EK317" s="691"/>
    </row>
    <row r="318" ht="12.0" customHeight="1">
      <c r="A318" s="709" t="s">
        <v>3026</v>
      </c>
      <c r="B318" s="661">
        <v>2.0</v>
      </c>
      <c r="C318" s="567" t="s">
        <v>3027</v>
      </c>
      <c r="D318" s="568" t="s">
        <v>544</v>
      </c>
      <c r="E318" s="568" t="s">
        <v>2708</v>
      </c>
      <c r="F318" s="567" t="s">
        <v>1763</v>
      </c>
      <c r="G318" s="569" t="s">
        <v>2709</v>
      </c>
      <c r="H318" s="569" t="s">
        <v>3516</v>
      </c>
      <c r="I318" s="721" t="s">
        <v>2344</v>
      </c>
      <c r="J318" s="711" t="s">
        <v>699</v>
      </c>
      <c r="K318" s="567" t="s">
        <v>25</v>
      </c>
      <c r="L318" s="567"/>
      <c r="M318" s="567">
        <v>2024.0</v>
      </c>
      <c r="N318" s="567"/>
      <c r="O318" s="567"/>
      <c r="P318" s="567"/>
      <c r="Q318" s="567"/>
      <c r="R318" s="567"/>
      <c r="S318" s="567"/>
      <c r="T318" s="567"/>
      <c r="U318" s="567"/>
      <c r="V318" s="567"/>
      <c r="W318" s="567"/>
      <c r="X318" s="567">
        <v>8.0</v>
      </c>
      <c r="Y318" s="567"/>
      <c r="Z318" s="567"/>
      <c r="AA318" s="567"/>
      <c r="AB318" s="567"/>
      <c r="AC318" s="567"/>
      <c r="AD318" s="567"/>
      <c r="AE318" s="567"/>
      <c r="AF318" s="567"/>
      <c r="AG318" s="567"/>
      <c r="AH318" s="567"/>
      <c r="AI318" s="567"/>
      <c r="AJ318" s="567"/>
      <c r="AK318" s="567"/>
      <c r="AL318" s="567"/>
      <c r="AM318" s="567"/>
      <c r="AN318" s="567"/>
      <c r="AO318" s="567"/>
      <c r="AP318" s="567"/>
      <c r="AQ318" s="567"/>
      <c r="AR318" s="567">
        <v>0.0</v>
      </c>
      <c r="AS318" s="567">
        <v>-2024.0</v>
      </c>
      <c r="AT318" s="567">
        <v>0.0</v>
      </c>
      <c r="AU318" s="567">
        <v>0.0</v>
      </c>
      <c r="AV318" s="567">
        <v>0.0</v>
      </c>
      <c r="AW318" s="567">
        <v>0.0</v>
      </c>
      <c r="AX318" s="567">
        <v>0.0</v>
      </c>
      <c r="AY318" s="567">
        <v>0.0</v>
      </c>
      <c r="AZ318" s="567">
        <v>0.0</v>
      </c>
      <c r="BA318" s="567">
        <v>0.0</v>
      </c>
      <c r="BB318" s="567"/>
      <c r="BC318" s="567"/>
      <c r="BD318" s="567">
        <v>2.0</v>
      </c>
      <c r="BE318" s="567"/>
      <c r="BF318" s="567"/>
      <c r="BG318" s="567"/>
      <c r="BH318" s="567"/>
      <c r="BI318" s="567"/>
      <c r="BJ318" s="567"/>
      <c r="BK318" s="567"/>
      <c r="BL318" s="725"/>
      <c r="BM318" s="665">
        <f t="shared" si="1"/>
        <v>2</v>
      </c>
      <c r="BN318" s="671"/>
      <c r="BO318" s="668"/>
      <c r="BP318" s="668"/>
      <c r="BQ318" s="668"/>
      <c r="BR318" s="668"/>
      <c r="BS318" s="668"/>
      <c r="BT318" s="668"/>
      <c r="BU318" s="668"/>
      <c r="BV318" s="668"/>
      <c r="BW318" s="670"/>
      <c r="BX318" s="665">
        <f t="shared" si="840"/>
        <v>0</v>
      </c>
      <c r="BY318" s="671">
        <v>0.0</v>
      </c>
      <c r="BZ318" s="668">
        <v>0.0</v>
      </c>
      <c r="CA318" s="668">
        <v>0.0</v>
      </c>
      <c r="CB318" s="668">
        <v>0.0</v>
      </c>
      <c r="CC318" s="668">
        <v>0.0</v>
      </c>
      <c r="CD318" s="668">
        <v>0.0</v>
      </c>
      <c r="CE318" s="668">
        <v>0.0</v>
      </c>
      <c r="CF318" s="668">
        <v>0.0</v>
      </c>
      <c r="CG318" s="668">
        <v>0.0</v>
      </c>
      <c r="CH318" s="670">
        <v>0.0</v>
      </c>
      <c r="CI318" s="665">
        <f t="shared" si="841"/>
        <v>0</v>
      </c>
      <c r="CJ318" s="671">
        <f t="shared" si="4"/>
        <v>2</v>
      </c>
      <c r="CK318" s="715">
        <v>2326.18</v>
      </c>
      <c r="CL318" s="668">
        <f t="shared" si="912"/>
        <v>16190.2128</v>
      </c>
      <c r="CM318" s="668">
        <f t="shared" ref="CM318:CV318" si="973">BC318*$CL318</f>
        <v>0</v>
      </c>
      <c r="CN318" s="668">
        <f t="shared" si="973"/>
        <v>32380.4256</v>
      </c>
      <c r="CO318" s="668">
        <f t="shared" si="973"/>
        <v>0</v>
      </c>
      <c r="CP318" s="668">
        <f t="shared" si="973"/>
        <v>0</v>
      </c>
      <c r="CQ318" s="668">
        <f t="shared" si="973"/>
        <v>0</v>
      </c>
      <c r="CR318" s="668">
        <f t="shared" si="973"/>
        <v>0</v>
      </c>
      <c r="CS318" s="668">
        <f t="shared" si="973"/>
        <v>0</v>
      </c>
      <c r="CT318" s="668">
        <f t="shared" si="973"/>
        <v>0</v>
      </c>
      <c r="CU318" s="668">
        <f t="shared" si="973"/>
        <v>0</v>
      </c>
      <c r="CV318" s="668">
        <f t="shared" si="973"/>
        <v>0</v>
      </c>
      <c r="CW318" s="668">
        <f t="shared" si="21"/>
        <v>32380.4256</v>
      </c>
      <c r="CX318" s="668">
        <f t="shared" ref="CX318:DG318" si="974">BN318*$CL318</f>
        <v>0</v>
      </c>
      <c r="CY318" s="668">
        <f t="shared" si="974"/>
        <v>0</v>
      </c>
      <c r="CZ318" s="668">
        <f t="shared" si="974"/>
        <v>0</v>
      </c>
      <c r="DA318" s="668">
        <f t="shared" si="974"/>
        <v>0</v>
      </c>
      <c r="DB318" s="668">
        <f t="shared" si="974"/>
        <v>0</v>
      </c>
      <c r="DC318" s="668">
        <f t="shared" si="974"/>
        <v>0</v>
      </c>
      <c r="DD318" s="668">
        <f t="shared" si="974"/>
        <v>0</v>
      </c>
      <c r="DE318" s="668">
        <f t="shared" si="974"/>
        <v>0</v>
      </c>
      <c r="DF318" s="668">
        <f t="shared" si="974"/>
        <v>0</v>
      </c>
      <c r="DG318" s="668">
        <f t="shared" si="974"/>
        <v>0</v>
      </c>
      <c r="DH318" s="668">
        <f t="shared" si="23"/>
        <v>0</v>
      </c>
      <c r="DI318" s="668">
        <f t="shared" ref="DI318:DR318" si="975">BY318*$CL318</f>
        <v>0</v>
      </c>
      <c r="DJ318" s="668">
        <f t="shared" si="975"/>
        <v>0</v>
      </c>
      <c r="DK318" s="668">
        <f t="shared" si="975"/>
        <v>0</v>
      </c>
      <c r="DL318" s="668">
        <f t="shared" si="975"/>
        <v>0</v>
      </c>
      <c r="DM318" s="668">
        <f t="shared" si="975"/>
        <v>0</v>
      </c>
      <c r="DN318" s="668">
        <f t="shared" si="975"/>
        <v>0</v>
      </c>
      <c r="DO318" s="668">
        <f t="shared" si="975"/>
        <v>0</v>
      </c>
      <c r="DP318" s="668">
        <f t="shared" si="975"/>
        <v>0</v>
      </c>
      <c r="DQ318" s="668">
        <f t="shared" si="975"/>
        <v>0</v>
      </c>
      <c r="DR318" s="668">
        <f t="shared" si="975"/>
        <v>0</v>
      </c>
      <c r="DS318" s="668">
        <f t="shared" si="25"/>
        <v>0</v>
      </c>
      <c r="DT318" s="668">
        <f t="shared" si="685"/>
        <v>32380.4256</v>
      </c>
      <c r="DU318" s="538"/>
      <c r="DV318" s="468"/>
      <c r="DW318" s="698"/>
      <c r="DX318" s="698"/>
      <c r="DY318" s="698"/>
      <c r="DZ318" s="698"/>
      <c r="EA318" s="698"/>
      <c r="EB318" s="698"/>
      <c r="EC318" s="698"/>
      <c r="ED318" s="698"/>
      <c r="EE318" s="698"/>
      <c r="EF318" s="698"/>
      <c r="EG318" s="698"/>
      <c r="EH318" s="576" t="s">
        <v>3517</v>
      </c>
      <c r="EI318" s="716">
        <f>VLOOKUP(I318,CotizacionTDB,4,FALSE())</f>
        <v>2326.18</v>
      </c>
      <c r="EJ318" s="716">
        <f>VLOOKUP(I318,CotizacionTDB,5,FALSE())</f>
        <v>1977.25</v>
      </c>
      <c r="EK318" s="699"/>
    </row>
    <row r="319" ht="12.0" customHeight="1">
      <c r="A319" s="700" t="s">
        <v>3026</v>
      </c>
      <c r="B319" s="701">
        <v>2.0</v>
      </c>
      <c r="C319" s="562" t="s">
        <v>3027</v>
      </c>
      <c r="D319" s="571" t="s">
        <v>544</v>
      </c>
      <c r="E319" s="571" t="s">
        <v>2708</v>
      </c>
      <c r="F319" s="562" t="s">
        <v>1763</v>
      </c>
      <c r="G319" s="569" t="s">
        <v>2709</v>
      </c>
      <c r="H319" s="737"/>
      <c r="I319" s="717" t="s">
        <v>2379</v>
      </c>
      <c r="J319" s="704" t="s">
        <v>436</v>
      </c>
      <c r="K319" s="562" t="s">
        <v>25</v>
      </c>
      <c r="L319" s="562">
        <v>2024.0</v>
      </c>
      <c r="M319" s="562">
        <v>2024.0</v>
      </c>
      <c r="N319" s="562">
        <v>2024.0</v>
      </c>
      <c r="O319" s="562">
        <v>2024.0</v>
      </c>
      <c r="P319" s="562">
        <v>2024.0</v>
      </c>
      <c r="Q319" s="562">
        <v>2024.0</v>
      </c>
      <c r="R319" s="562"/>
      <c r="S319" s="562"/>
      <c r="T319" s="562"/>
      <c r="U319" s="562"/>
      <c r="V319" s="562"/>
      <c r="W319" s="562">
        <v>2.0</v>
      </c>
      <c r="X319" s="562">
        <v>2.0</v>
      </c>
      <c r="Y319" s="562">
        <v>2.0</v>
      </c>
      <c r="Z319" s="562">
        <v>2.0</v>
      </c>
      <c r="AA319" s="562">
        <v>2.0</v>
      </c>
      <c r="AB319" s="562">
        <v>2.0</v>
      </c>
      <c r="AC319" s="562"/>
      <c r="AD319" s="562"/>
      <c r="AE319" s="562"/>
      <c r="AF319" s="562"/>
      <c r="AG319" s="562"/>
      <c r="AH319" s="562"/>
      <c r="AI319" s="562"/>
      <c r="AJ319" s="562"/>
      <c r="AK319" s="562"/>
      <c r="AL319" s="562"/>
      <c r="AM319" s="562"/>
      <c r="AN319" s="562"/>
      <c r="AO319" s="562"/>
      <c r="AP319" s="562"/>
      <c r="AQ319" s="562"/>
      <c r="AR319" s="562">
        <v>-2024.0</v>
      </c>
      <c r="AS319" s="562">
        <v>-2024.0</v>
      </c>
      <c r="AT319" s="562">
        <v>-2024.0</v>
      </c>
      <c r="AU319" s="562">
        <v>-2024.0</v>
      </c>
      <c r="AV319" s="562">
        <v>-2024.0</v>
      </c>
      <c r="AW319" s="562">
        <v>-2024.0</v>
      </c>
      <c r="AX319" s="562">
        <v>0.0</v>
      </c>
      <c r="AY319" s="562">
        <v>0.0</v>
      </c>
      <c r="AZ319" s="562">
        <v>0.0</v>
      </c>
      <c r="BA319" s="562">
        <v>0.0</v>
      </c>
      <c r="BB319" s="562"/>
      <c r="BC319" s="562">
        <v>2.0</v>
      </c>
      <c r="BD319" s="562">
        <v>2.0</v>
      </c>
      <c r="BE319" s="562">
        <v>2.0</v>
      </c>
      <c r="BF319" s="701">
        <v>4.0</v>
      </c>
      <c r="BG319" s="701">
        <v>4.0</v>
      </c>
      <c r="BH319" s="701">
        <v>4.0</v>
      </c>
      <c r="BI319" s="562"/>
      <c r="BJ319" s="562"/>
      <c r="BK319" s="562"/>
      <c r="BL319" s="681">
        <v>2.0</v>
      </c>
      <c r="BM319" s="665">
        <f t="shared" si="1"/>
        <v>20</v>
      </c>
      <c r="BN319" s="682"/>
      <c r="BO319" s="683"/>
      <c r="BP319" s="683"/>
      <c r="BQ319" s="683"/>
      <c r="BR319" s="683"/>
      <c r="BS319" s="683"/>
      <c r="BT319" s="683"/>
      <c r="BU319" s="683"/>
      <c r="BV319" s="683"/>
      <c r="BW319" s="686"/>
      <c r="BX319" s="665">
        <f t="shared" si="840"/>
        <v>0</v>
      </c>
      <c r="BY319" s="682">
        <v>2.0</v>
      </c>
      <c r="BZ319" s="683">
        <v>2.0</v>
      </c>
      <c r="CA319" s="683">
        <v>2.0</v>
      </c>
      <c r="CB319" s="687">
        <v>4.0</v>
      </c>
      <c r="CC319" s="687">
        <v>4.0</v>
      </c>
      <c r="CD319" s="687">
        <v>4.0</v>
      </c>
      <c r="CE319" s="683">
        <v>0.0</v>
      </c>
      <c r="CF319" s="683">
        <v>0.0</v>
      </c>
      <c r="CG319" s="683">
        <v>0.0</v>
      </c>
      <c r="CH319" s="686">
        <v>0.0</v>
      </c>
      <c r="CI319" s="665">
        <f t="shared" si="841"/>
        <v>18</v>
      </c>
      <c r="CJ319" s="682">
        <f t="shared" si="4"/>
        <v>38</v>
      </c>
      <c r="CK319" s="706">
        <v>206.05</v>
      </c>
      <c r="CL319" s="683">
        <f t="shared" si="912"/>
        <v>1434.108</v>
      </c>
      <c r="CM319" s="683">
        <f t="shared" ref="CM319:CV319" si="976">BC319*$CL319</f>
        <v>2868.216</v>
      </c>
      <c r="CN319" s="683">
        <f t="shared" si="976"/>
        <v>2868.216</v>
      </c>
      <c r="CO319" s="683">
        <f t="shared" si="976"/>
        <v>2868.216</v>
      </c>
      <c r="CP319" s="683">
        <f t="shared" si="976"/>
        <v>5736.432</v>
      </c>
      <c r="CQ319" s="683">
        <f t="shared" si="976"/>
        <v>5736.432</v>
      </c>
      <c r="CR319" s="683">
        <f t="shared" si="976"/>
        <v>5736.432</v>
      </c>
      <c r="CS319" s="683">
        <f t="shared" si="976"/>
        <v>0</v>
      </c>
      <c r="CT319" s="683">
        <f t="shared" si="976"/>
        <v>0</v>
      </c>
      <c r="CU319" s="683">
        <f t="shared" si="976"/>
        <v>0</v>
      </c>
      <c r="CV319" s="683">
        <f t="shared" si="976"/>
        <v>2868.216</v>
      </c>
      <c r="CW319" s="683">
        <f t="shared" si="21"/>
        <v>28682.16</v>
      </c>
      <c r="CX319" s="683">
        <f t="shared" ref="CX319:DG319" si="977">BN319*$CL319</f>
        <v>0</v>
      </c>
      <c r="CY319" s="683">
        <f t="shared" si="977"/>
        <v>0</v>
      </c>
      <c r="CZ319" s="683">
        <f t="shared" si="977"/>
        <v>0</v>
      </c>
      <c r="DA319" s="683">
        <f t="shared" si="977"/>
        <v>0</v>
      </c>
      <c r="DB319" s="683">
        <f t="shared" si="977"/>
        <v>0</v>
      </c>
      <c r="DC319" s="683">
        <f t="shared" si="977"/>
        <v>0</v>
      </c>
      <c r="DD319" s="683">
        <f t="shared" si="977"/>
        <v>0</v>
      </c>
      <c r="DE319" s="683">
        <f t="shared" si="977"/>
        <v>0</v>
      </c>
      <c r="DF319" s="683">
        <f t="shared" si="977"/>
        <v>0</v>
      </c>
      <c r="DG319" s="683">
        <f t="shared" si="977"/>
        <v>0</v>
      </c>
      <c r="DH319" s="683">
        <f t="shared" si="23"/>
        <v>0</v>
      </c>
      <c r="DI319" s="683">
        <f t="shared" ref="DI319:DR319" si="978">BY319*$CL319</f>
        <v>2868.216</v>
      </c>
      <c r="DJ319" s="683">
        <f t="shared" si="978"/>
        <v>2868.216</v>
      </c>
      <c r="DK319" s="683">
        <f t="shared" si="978"/>
        <v>2868.216</v>
      </c>
      <c r="DL319" s="683">
        <f t="shared" si="978"/>
        <v>5736.432</v>
      </c>
      <c r="DM319" s="683">
        <f t="shared" si="978"/>
        <v>5736.432</v>
      </c>
      <c r="DN319" s="683">
        <f t="shared" si="978"/>
        <v>5736.432</v>
      </c>
      <c r="DO319" s="683">
        <f t="shared" si="978"/>
        <v>0</v>
      </c>
      <c r="DP319" s="683">
        <f t="shared" si="978"/>
        <v>0</v>
      </c>
      <c r="DQ319" s="683">
        <f t="shared" si="978"/>
        <v>0</v>
      </c>
      <c r="DR319" s="683">
        <f t="shared" si="978"/>
        <v>0</v>
      </c>
      <c r="DS319" s="683">
        <f t="shared" si="25"/>
        <v>25813.944</v>
      </c>
      <c r="DT319" s="683">
        <f t="shared" si="685"/>
        <v>54496.104</v>
      </c>
      <c r="DU319" s="504"/>
      <c r="DV319" s="486" t="s">
        <v>3518</v>
      </c>
      <c r="DW319" s="688"/>
      <c r="DX319" s="688"/>
      <c r="DY319" s="688"/>
      <c r="DZ319" s="688"/>
      <c r="EA319" s="688"/>
      <c r="EB319" s="688"/>
      <c r="EC319" s="688"/>
      <c r="ED319" s="688"/>
      <c r="EE319" s="688"/>
      <c r="EF319" s="688"/>
      <c r="EG319" s="688"/>
      <c r="EH319" s="707" t="s">
        <v>3519</v>
      </c>
      <c r="EI319" s="708">
        <f>VLOOKUP(I319,CotizacionTDB,4,FALSE())</f>
        <v>206.05</v>
      </c>
      <c r="EJ319" s="708">
        <f>VLOOKUP(I319,CotizacionTDB,5,FALSE())</f>
        <v>175.14</v>
      </c>
      <c r="EK319" s="691"/>
    </row>
    <row r="320" ht="12.0" customHeight="1">
      <c r="A320" s="709" t="s">
        <v>3026</v>
      </c>
      <c r="B320" s="661">
        <v>2.0</v>
      </c>
      <c r="C320" s="567" t="s">
        <v>3027</v>
      </c>
      <c r="D320" s="568" t="s">
        <v>544</v>
      </c>
      <c r="E320" s="568" t="s">
        <v>2708</v>
      </c>
      <c r="F320" s="567" t="s">
        <v>1763</v>
      </c>
      <c r="G320" s="569" t="s">
        <v>2709</v>
      </c>
      <c r="H320" s="569" t="s">
        <v>2776</v>
      </c>
      <c r="I320" s="721" t="s">
        <v>2263</v>
      </c>
      <c r="J320" s="711" t="s">
        <v>423</v>
      </c>
      <c r="K320" s="567" t="s">
        <v>25</v>
      </c>
      <c r="L320" s="567">
        <v>2024.0</v>
      </c>
      <c r="M320" s="567">
        <v>2024.0</v>
      </c>
      <c r="N320" s="567">
        <v>2024.0</v>
      </c>
      <c r="O320" s="567">
        <v>2024.0</v>
      </c>
      <c r="P320" s="567">
        <v>2024.0</v>
      </c>
      <c r="Q320" s="567">
        <v>2024.0</v>
      </c>
      <c r="R320" s="567"/>
      <c r="S320" s="567"/>
      <c r="T320" s="567"/>
      <c r="U320" s="567"/>
      <c r="V320" s="567"/>
      <c r="W320" s="567">
        <v>2.0</v>
      </c>
      <c r="X320" s="567">
        <v>2.0</v>
      </c>
      <c r="Y320" s="567">
        <v>2.0</v>
      </c>
      <c r="Z320" s="567">
        <v>2.0</v>
      </c>
      <c r="AA320" s="567">
        <v>2.0</v>
      </c>
      <c r="AB320" s="567">
        <v>2.0</v>
      </c>
      <c r="AC320" s="567"/>
      <c r="AD320" s="567"/>
      <c r="AE320" s="567"/>
      <c r="AF320" s="567"/>
      <c r="AG320" s="567"/>
      <c r="AH320" s="567"/>
      <c r="AI320" s="567"/>
      <c r="AJ320" s="567"/>
      <c r="AK320" s="567"/>
      <c r="AL320" s="567"/>
      <c r="AM320" s="567"/>
      <c r="AN320" s="567"/>
      <c r="AO320" s="567"/>
      <c r="AP320" s="567"/>
      <c r="AQ320" s="567"/>
      <c r="AR320" s="567">
        <v>-2024.0</v>
      </c>
      <c r="AS320" s="567">
        <v>-2024.0</v>
      </c>
      <c r="AT320" s="567">
        <v>-2024.0</v>
      </c>
      <c r="AU320" s="567">
        <v>-2024.0</v>
      </c>
      <c r="AV320" s="567">
        <v>-2024.0</v>
      </c>
      <c r="AW320" s="567">
        <v>-2024.0</v>
      </c>
      <c r="AX320" s="567">
        <v>0.0</v>
      </c>
      <c r="AY320" s="567">
        <v>0.0</v>
      </c>
      <c r="AZ320" s="567">
        <v>0.0</v>
      </c>
      <c r="BA320" s="567">
        <v>0.0</v>
      </c>
      <c r="BB320" s="567"/>
      <c r="BC320" s="661">
        <v>20.0</v>
      </c>
      <c r="BD320" s="661">
        <v>15.0</v>
      </c>
      <c r="BE320" s="567">
        <v>20.0</v>
      </c>
      <c r="BF320" s="567">
        <v>50.0</v>
      </c>
      <c r="BG320" s="567">
        <v>20.0</v>
      </c>
      <c r="BH320" s="567">
        <v>20.0</v>
      </c>
      <c r="BI320" s="567"/>
      <c r="BJ320" s="567"/>
      <c r="BK320" s="567"/>
      <c r="BL320" s="741">
        <v>4.0</v>
      </c>
      <c r="BM320" s="665">
        <f t="shared" si="1"/>
        <v>149</v>
      </c>
      <c r="BN320" s="671"/>
      <c r="BO320" s="668"/>
      <c r="BP320" s="668"/>
      <c r="BQ320" s="668"/>
      <c r="BR320" s="668"/>
      <c r="BS320" s="668"/>
      <c r="BT320" s="668"/>
      <c r="BU320" s="668"/>
      <c r="BV320" s="668"/>
      <c r="BW320" s="670"/>
      <c r="BX320" s="665">
        <f t="shared" si="840"/>
        <v>0</v>
      </c>
      <c r="BY320" s="736">
        <v>20.0</v>
      </c>
      <c r="BZ320" s="674">
        <v>15.0</v>
      </c>
      <c r="CA320" s="668">
        <v>20.0</v>
      </c>
      <c r="CB320" s="668">
        <v>50.0</v>
      </c>
      <c r="CC320" s="668">
        <v>20.0</v>
      </c>
      <c r="CD320" s="668">
        <v>20.0</v>
      </c>
      <c r="CE320" s="668">
        <v>0.0</v>
      </c>
      <c r="CF320" s="668">
        <v>0.0</v>
      </c>
      <c r="CG320" s="668">
        <v>0.0</v>
      </c>
      <c r="CH320" s="670">
        <v>0.0</v>
      </c>
      <c r="CI320" s="665">
        <f t="shared" si="841"/>
        <v>145</v>
      </c>
      <c r="CJ320" s="671">
        <f t="shared" si="4"/>
        <v>294</v>
      </c>
      <c r="CK320" s="715">
        <v>26.07</v>
      </c>
      <c r="CL320" s="668">
        <f t="shared" si="912"/>
        <v>181.4472</v>
      </c>
      <c r="CM320" s="668">
        <f t="shared" ref="CM320:CV320" si="979">BC320*$CL320</f>
        <v>3628.944</v>
      </c>
      <c r="CN320" s="668">
        <f t="shared" si="979"/>
        <v>2721.708</v>
      </c>
      <c r="CO320" s="668">
        <f t="shared" si="979"/>
        <v>3628.944</v>
      </c>
      <c r="CP320" s="668">
        <f t="shared" si="979"/>
        <v>9072.36</v>
      </c>
      <c r="CQ320" s="668">
        <f t="shared" si="979"/>
        <v>3628.944</v>
      </c>
      <c r="CR320" s="668">
        <f t="shared" si="979"/>
        <v>3628.944</v>
      </c>
      <c r="CS320" s="668">
        <f t="shared" si="979"/>
        <v>0</v>
      </c>
      <c r="CT320" s="668">
        <f t="shared" si="979"/>
        <v>0</v>
      </c>
      <c r="CU320" s="668">
        <f t="shared" si="979"/>
        <v>0</v>
      </c>
      <c r="CV320" s="668">
        <f t="shared" si="979"/>
        <v>725.7888</v>
      </c>
      <c r="CW320" s="668">
        <f t="shared" si="21"/>
        <v>27035.6328</v>
      </c>
      <c r="CX320" s="668">
        <f t="shared" ref="CX320:DG320" si="980">BN320*$CL320</f>
        <v>0</v>
      </c>
      <c r="CY320" s="668">
        <f t="shared" si="980"/>
        <v>0</v>
      </c>
      <c r="CZ320" s="668">
        <f t="shared" si="980"/>
        <v>0</v>
      </c>
      <c r="DA320" s="668">
        <f t="shared" si="980"/>
        <v>0</v>
      </c>
      <c r="DB320" s="668">
        <f t="shared" si="980"/>
        <v>0</v>
      </c>
      <c r="DC320" s="668">
        <f t="shared" si="980"/>
        <v>0</v>
      </c>
      <c r="DD320" s="668">
        <f t="shared" si="980"/>
        <v>0</v>
      </c>
      <c r="DE320" s="668">
        <f t="shared" si="980"/>
        <v>0</v>
      </c>
      <c r="DF320" s="668">
        <f t="shared" si="980"/>
        <v>0</v>
      </c>
      <c r="DG320" s="668">
        <f t="shared" si="980"/>
        <v>0</v>
      </c>
      <c r="DH320" s="668">
        <f t="shared" si="23"/>
        <v>0</v>
      </c>
      <c r="DI320" s="668">
        <f t="shared" ref="DI320:DR320" si="981">BY320*$CL320</f>
        <v>3628.944</v>
      </c>
      <c r="DJ320" s="668">
        <f t="shared" si="981"/>
        <v>2721.708</v>
      </c>
      <c r="DK320" s="668">
        <f t="shared" si="981"/>
        <v>3628.944</v>
      </c>
      <c r="DL320" s="668">
        <f t="shared" si="981"/>
        <v>9072.36</v>
      </c>
      <c r="DM320" s="668">
        <f t="shared" si="981"/>
        <v>3628.944</v>
      </c>
      <c r="DN320" s="668">
        <f t="shared" si="981"/>
        <v>3628.944</v>
      </c>
      <c r="DO320" s="668">
        <f t="shared" si="981"/>
        <v>0</v>
      </c>
      <c r="DP320" s="668">
        <f t="shared" si="981"/>
        <v>0</v>
      </c>
      <c r="DQ320" s="668">
        <f t="shared" si="981"/>
        <v>0</v>
      </c>
      <c r="DR320" s="668">
        <f t="shared" si="981"/>
        <v>0</v>
      </c>
      <c r="DS320" s="668">
        <f t="shared" si="25"/>
        <v>26309.844</v>
      </c>
      <c r="DT320" s="668">
        <f t="shared" si="685"/>
        <v>53345.4768</v>
      </c>
      <c r="DU320" s="538"/>
      <c r="DV320" s="468"/>
      <c r="DW320" s="698"/>
      <c r="DX320" s="698"/>
      <c r="DY320" s="698"/>
      <c r="DZ320" s="698"/>
      <c r="EA320" s="698"/>
      <c r="EB320" s="698"/>
      <c r="EC320" s="698"/>
      <c r="ED320" s="698"/>
      <c r="EE320" s="698"/>
      <c r="EF320" s="698"/>
      <c r="EG320" s="698"/>
      <c r="EH320" s="576" t="s">
        <v>423</v>
      </c>
      <c r="EI320" s="716">
        <f>VLOOKUP(I320,CotizacionTDB,4,FALSE())</f>
        <v>26.07</v>
      </c>
      <c r="EJ320" s="716">
        <f>VLOOKUP(I320,CotizacionTDB,5,FALSE())</f>
        <v>22.16</v>
      </c>
      <c r="EK320" s="699"/>
    </row>
    <row r="321" ht="12.0" customHeight="1">
      <c r="A321" s="700" t="s">
        <v>3026</v>
      </c>
      <c r="B321" s="701">
        <v>2.0</v>
      </c>
      <c r="C321" s="562" t="s">
        <v>3027</v>
      </c>
      <c r="D321" s="571" t="s">
        <v>544</v>
      </c>
      <c r="E321" s="571" t="s">
        <v>2708</v>
      </c>
      <c r="F321" s="562" t="s">
        <v>1763</v>
      </c>
      <c r="G321" s="569" t="s">
        <v>2709</v>
      </c>
      <c r="H321" s="569" t="s">
        <v>3520</v>
      </c>
      <c r="I321" s="703" t="s">
        <v>2071</v>
      </c>
      <c r="J321" s="704" t="s">
        <v>295</v>
      </c>
      <c r="K321" s="562" t="s">
        <v>25</v>
      </c>
      <c r="L321" s="562"/>
      <c r="M321" s="562"/>
      <c r="N321" s="562"/>
      <c r="O321" s="562">
        <v>2024.0</v>
      </c>
      <c r="P321" s="562">
        <v>2024.0</v>
      </c>
      <c r="Q321" s="562">
        <v>2024.0</v>
      </c>
      <c r="R321" s="562">
        <v>2024.0</v>
      </c>
      <c r="S321" s="562"/>
      <c r="T321" s="562"/>
      <c r="U321" s="562"/>
      <c r="V321" s="562"/>
      <c r="W321" s="562">
        <v>2.0</v>
      </c>
      <c r="X321" s="562"/>
      <c r="Y321" s="562"/>
      <c r="Z321" s="562">
        <v>2.0</v>
      </c>
      <c r="AA321" s="562">
        <v>2.0</v>
      </c>
      <c r="AB321" s="562">
        <v>2.0</v>
      </c>
      <c r="AC321" s="821">
        <v>1.0</v>
      </c>
      <c r="AD321" s="562"/>
      <c r="AE321" s="562"/>
      <c r="AF321" s="562"/>
      <c r="AG321" s="562"/>
      <c r="AH321" s="562"/>
      <c r="AI321" s="562"/>
      <c r="AJ321" s="562"/>
      <c r="AK321" s="562"/>
      <c r="AL321" s="562"/>
      <c r="AM321" s="562"/>
      <c r="AN321" s="562"/>
      <c r="AO321" s="562"/>
      <c r="AP321" s="562"/>
      <c r="AQ321" s="562"/>
      <c r="AR321" s="562">
        <v>0.0</v>
      </c>
      <c r="AS321" s="562">
        <v>0.0</v>
      </c>
      <c r="AT321" s="562">
        <v>0.0</v>
      </c>
      <c r="AU321" s="562">
        <v>-2024.0</v>
      </c>
      <c r="AV321" s="562">
        <v>-2024.0</v>
      </c>
      <c r="AW321" s="562">
        <v>-2024.0</v>
      </c>
      <c r="AX321" s="562">
        <v>-2024.0</v>
      </c>
      <c r="AY321" s="562">
        <v>0.0</v>
      </c>
      <c r="AZ321" s="562">
        <v>0.0</v>
      </c>
      <c r="BA321" s="562">
        <v>0.0</v>
      </c>
      <c r="BB321" s="562"/>
      <c r="BC321" s="562"/>
      <c r="BD321" s="562"/>
      <c r="BE321" s="562"/>
      <c r="BF321" s="701">
        <v>0.0</v>
      </c>
      <c r="BG321" s="701">
        <v>0.0</v>
      </c>
      <c r="BH321" s="701">
        <v>0.0</v>
      </c>
      <c r="BI321" s="562">
        <v>1.0</v>
      </c>
      <c r="BJ321" s="562"/>
      <c r="BK321" s="562"/>
      <c r="BL321" s="681"/>
      <c r="BM321" s="665">
        <f t="shared" si="1"/>
        <v>1</v>
      </c>
      <c r="BN321" s="682"/>
      <c r="BO321" s="683"/>
      <c r="BP321" s="683"/>
      <c r="BQ321" s="683">
        <v>1.0</v>
      </c>
      <c r="BR321" s="683">
        <v>1.0</v>
      </c>
      <c r="BS321" s="683">
        <v>1.0</v>
      </c>
      <c r="BT321" s="683"/>
      <c r="BU321" s="683"/>
      <c r="BV321" s="683"/>
      <c r="BW321" s="686"/>
      <c r="BX321" s="665">
        <f t="shared" si="840"/>
        <v>3</v>
      </c>
      <c r="BY321" s="682">
        <v>0.0</v>
      </c>
      <c r="BZ321" s="683">
        <v>0.0</v>
      </c>
      <c r="CA321" s="683">
        <v>0.0</v>
      </c>
      <c r="CB321" s="683">
        <v>1.0</v>
      </c>
      <c r="CC321" s="683">
        <v>1.0</v>
      </c>
      <c r="CD321" s="683">
        <v>1.0</v>
      </c>
      <c r="CE321" s="683">
        <v>0.0</v>
      </c>
      <c r="CF321" s="683">
        <v>0.0</v>
      </c>
      <c r="CG321" s="683">
        <v>0.0</v>
      </c>
      <c r="CH321" s="686">
        <v>0.0</v>
      </c>
      <c r="CI321" s="665">
        <f t="shared" si="841"/>
        <v>3</v>
      </c>
      <c r="CJ321" s="682">
        <f t="shared" si="4"/>
        <v>7</v>
      </c>
      <c r="CK321" s="706">
        <v>3313.85</v>
      </c>
      <c r="CL321" s="683">
        <f t="shared" si="912"/>
        <v>23064.396</v>
      </c>
      <c r="CM321" s="683">
        <f t="shared" ref="CM321:CV321" si="982">BC321*$CL321</f>
        <v>0</v>
      </c>
      <c r="CN321" s="683">
        <f t="shared" si="982"/>
        <v>0</v>
      </c>
      <c r="CO321" s="683">
        <f t="shared" si="982"/>
        <v>0</v>
      </c>
      <c r="CP321" s="683">
        <f t="shared" si="982"/>
        <v>0</v>
      </c>
      <c r="CQ321" s="683">
        <f t="shared" si="982"/>
        <v>0</v>
      </c>
      <c r="CR321" s="683">
        <f t="shared" si="982"/>
        <v>0</v>
      </c>
      <c r="CS321" s="683">
        <f t="shared" si="982"/>
        <v>23064.396</v>
      </c>
      <c r="CT321" s="683">
        <f t="shared" si="982"/>
        <v>0</v>
      </c>
      <c r="CU321" s="683">
        <f t="shared" si="982"/>
        <v>0</v>
      </c>
      <c r="CV321" s="683">
        <f t="shared" si="982"/>
        <v>0</v>
      </c>
      <c r="CW321" s="683">
        <f t="shared" si="21"/>
        <v>23064.396</v>
      </c>
      <c r="CX321" s="683">
        <f t="shared" ref="CX321:DG321" si="983">BN321*$CL321</f>
        <v>0</v>
      </c>
      <c r="CY321" s="683">
        <f t="shared" si="983"/>
        <v>0</v>
      </c>
      <c r="CZ321" s="683">
        <f t="shared" si="983"/>
        <v>0</v>
      </c>
      <c r="DA321" s="683">
        <f t="shared" si="983"/>
        <v>23064.396</v>
      </c>
      <c r="DB321" s="683">
        <f t="shared" si="983"/>
        <v>23064.396</v>
      </c>
      <c r="DC321" s="683">
        <f t="shared" si="983"/>
        <v>23064.396</v>
      </c>
      <c r="DD321" s="683">
        <f t="shared" si="983"/>
        <v>0</v>
      </c>
      <c r="DE321" s="683">
        <f t="shared" si="983"/>
        <v>0</v>
      </c>
      <c r="DF321" s="683">
        <f t="shared" si="983"/>
        <v>0</v>
      </c>
      <c r="DG321" s="683">
        <f t="shared" si="983"/>
        <v>0</v>
      </c>
      <c r="DH321" s="683">
        <f t="shared" si="23"/>
        <v>69193.188</v>
      </c>
      <c r="DI321" s="683">
        <f t="shared" ref="DI321:DR321" si="984">BY321*$CL321</f>
        <v>0</v>
      </c>
      <c r="DJ321" s="683">
        <f t="shared" si="984"/>
        <v>0</v>
      </c>
      <c r="DK321" s="683">
        <f t="shared" si="984"/>
        <v>0</v>
      </c>
      <c r="DL321" s="683">
        <f t="shared" si="984"/>
        <v>23064.396</v>
      </c>
      <c r="DM321" s="683">
        <f t="shared" si="984"/>
        <v>23064.396</v>
      </c>
      <c r="DN321" s="683">
        <f t="shared" si="984"/>
        <v>23064.396</v>
      </c>
      <c r="DO321" s="683">
        <f t="shared" si="984"/>
        <v>0</v>
      </c>
      <c r="DP321" s="683">
        <f t="shared" si="984"/>
        <v>0</v>
      </c>
      <c r="DQ321" s="683">
        <f t="shared" si="984"/>
        <v>0</v>
      </c>
      <c r="DR321" s="683">
        <f t="shared" si="984"/>
        <v>0</v>
      </c>
      <c r="DS321" s="683">
        <f t="shared" si="25"/>
        <v>69193.188</v>
      </c>
      <c r="DT321" s="683">
        <f t="shared" si="685"/>
        <v>161450.772</v>
      </c>
      <c r="DU321" s="504"/>
      <c r="DV321" s="486"/>
      <c r="DW321" s="688"/>
      <c r="DX321" s="688"/>
      <c r="DY321" s="688"/>
      <c r="DZ321" s="688"/>
      <c r="EA321" s="688"/>
      <c r="EB321" s="688"/>
      <c r="EC321" s="688"/>
      <c r="ED321" s="688"/>
      <c r="EE321" s="688"/>
      <c r="EF321" s="688"/>
      <c r="EG321" s="688"/>
      <c r="EH321" s="707" t="s">
        <v>3521</v>
      </c>
      <c r="EI321" s="708">
        <f>VLOOKUP(I321,CotizacionTDB,4,FALSE())</f>
        <v>3313.85</v>
      </c>
      <c r="EJ321" s="708">
        <f>VLOOKUP(I321,CotizacionTDB,5,FALSE())</f>
        <v>2816.77</v>
      </c>
      <c r="EK321" s="691"/>
    </row>
    <row r="322" ht="12.0" customHeight="1">
      <c r="A322" s="709" t="s">
        <v>3026</v>
      </c>
      <c r="B322" s="661">
        <v>2.0</v>
      </c>
      <c r="C322" s="567" t="s">
        <v>3027</v>
      </c>
      <c r="D322" s="568" t="s">
        <v>544</v>
      </c>
      <c r="E322" s="568" t="s">
        <v>2708</v>
      </c>
      <c r="F322" s="567" t="s">
        <v>1763</v>
      </c>
      <c r="G322" s="569" t="s">
        <v>2709</v>
      </c>
      <c r="H322" s="657" t="s">
        <v>2793</v>
      </c>
      <c r="I322" s="710" t="s">
        <v>2402</v>
      </c>
      <c r="J322" s="740" t="s">
        <v>624</v>
      </c>
      <c r="K322" s="567" t="s">
        <v>25</v>
      </c>
      <c r="L322" s="567"/>
      <c r="M322" s="567"/>
      <c r="N322" s="567"/>
      <c r="O322" s="567"/>
      <c r="P322" s="567"/>
      <c r="Q322" s="567"/>
      <c r="R322" s="567">
        <v>2024.0</v>
      </c>
      <c r="S322" s="567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662">
        <v>1.0</v>
      </c>
      <c r="AD322" s="567"/>
      <c r="AE322" s="567"/>
      <c r="AF322" s="567"/>
      <c r="AG322" s="567"/>
      <c r="AH322" s="567"/>
      <c r="AI322" s="567"/>
      <c r="AJ322" s="567"/>
      <c r="AK322" s="567"/>
      <c r="AL322" s="567"/>
      <c r="AM322" s="567"/>
      <c r="AN322" s="567"/>
      <c r="AO322" s="567"/>
      <c r="AP322" s="567"/>
      <c r="AQ322" s="567"/>
      <c r="AR322" s="567">
        <v>0.0</v>
      </c>
      <c r="AS322" s="567">
        <v>0.0</v>
      </c>
      <c r="AT322" s="567">
        <v>0.0</v>
      </c>
      <c r="AU322" s="567">
        <v>0.0</v>
      </c>
      <c r="AV322" s="567">
        <v>0.0</v>
      </c>
      <c r="AW322" s="567">
        <v>0.0</v>
      </c>
      <c r="AX322" s="567">
        <v>-2024.0</v>
      </c>
      <c r="AY322" s="567">
        <v>0.0</v>
      </c>
      <c r="AZ322" s="567">
        <v>0.0</v>
      </c>
      <c r="BA322" s="567">
        <v>0.0</v>
      </c>
      <c r="BB322" s="567"/>
      <c r="BC322" s="567"/>
      <c r="BD322" s="661">
        <v>51.0</v>
      </c>
      <c r="BE322" s="661">
        <v>10.0</v>
      </c>
      <c r="BF322" s="567"/>
      <c r="BG322" s="567"/>
      <c r="BH322" s="567"/>
      <c r="BI322" s="567">
        <v>2.0</v>
      </c>
      <c r="BJ322" s="567"/>
      <c r="BK322" s="567"/>
      <c r="BL322" s="725"/>
      <c r="BM322" s="665">
        <f t="shared" si="1"/>
        <v>63</v>
      </c>
      <c r="BN322" s="736">
        <v>5.0</v>
      </c>
      <c r="BO322" s="674">
        <v>5.0</v>
      </c>
      <c r="BP322" s="668"/>
      <c r="BQ322" s="668"/>
      <c r="BR322" s="668"/>
      <c r="BS322" s="668"/>
      <c r="BT322" s="668"/>
      <c r="BU322" s="668"/>
      <c r="BV322" s="668"/>
      <c r="BW322" s="670"/>
      <c r="BX322" s="665">
        <f t="shared" si="840"/>
        <v>10</v>
      </c>
      <c r="BY322" s="671">
        <v>0.0</v>
      </c>
      <c r="BZ322" s="668">
        <v>0.0</v>
      </c>
      <c r="CA322" s="668">
        <v>0.0</v>
      </c>
      <c r="CB322" s="668">
        <v>0.0</v>
      </c>
      <c r="CC322" s="668">
        <v>0.0</v>
      </c>
      <c r="CD322" s="668">
        <v>0.0</v>
      </c>
      <c r="CE322" s="668">
        <v>0.0</v>
      </c>
      <c r="CF322" s="668">
        <v>0.0</v>
      </c>
      <c r="CG322" s="668">
        <v>0.0</v>
      </c>
      <c r="CH322" s="670">
        <v>0.0</v>
      </c>
      <c r="CI322" s="665">
        <f t="shared" si="841"/>
        <v>0</v>
      </c>
      <c r="CJ322" s="671">
        <f t="shared" si="4"/>
        <v>73</v>
      </c>
      <c r="CK322" s="715">
        <v>50.92</v>
      </c>
      <c r="CL322" s="668">
        <f t="shared" si="912"/>
        <v>354.4032</v>
      </c>
      <c r="CM322" s="668">
        <f t="shared" ref="CM322:CV322" si="985">BC322*$CL322</f>
        <v>0</v>
      </c>
      <c r="CN322" s="668">
        <f t="shared" si="985"/>
        <v>18074.5632</v>
      </c>
      <c r="CO322" s="668">
        <f t="shared" si="985"/>
        <v>3544.032</v>
      </c>
      <c r="CP322" s="668">
        <f t="shared" si="985"/>
        <v>0</v>
      </c>
      <c r="CQ322" s="668">
        <f t="shared" si="985"/>
        <v>0</v>
      </c>
      <c r="CR322" s="668">
        <f t="shared" si="985"/>
        <v>0</v>
      </c>
      <c r="CS322" s="668">
        <f t="shared" si="985"/>
        <v>708.8064</v>
      </c>
      <c r="CT322" s="668">
        <f t="shared" si="985"/>
        <v>0</v>
      </c>
      <c r="CU322" s="668">
        <f t="shared" si="985"/>
        <v>0</v>
      </c>
      <c r="CV322" s="668">
        <f t="shared" si="985"/>
        <v>0</v>
      </c>
      <c r="CW322" s="668">
        <f t="shared" si="21"/>
        <v>22327.4016</v>
      </c>
      <c r="CX322" s="668">
        <f t="shared" ref="CX322:DG322" si="986">BN322*$CL322</f>
        <v>1772.016</v>
      </c>
      <c r="CY322" s="668">
        <f t="shared" si="986"/>
        <v>1772.016</v>
      </c>
      <c r="CZ322" s="668">
        <f t="shared" si="986"/>
        <v>0</v>
      </c>
      <c r="DA322" s="668">
        <f t="shared" si="986"/>
        <v>0</v>
      </c>
      <c r="DB322" s="668">
        <f t="shared" si="986"/>
        <v>0</v>
      </c>
      <c r="DC322" s="668">
        <f t="shared" si="986"/>
        <v>0</v>
      </c>
      <c r="DD322" s="668">
        <f t="shared" si="986"/>
        <v>0</v>
      </c>
      <c r="DE322" s="668">
        <f t="shared" si="986"/>
        <v>0</v>
      </c>
      <c r="DF322" s="668">
        <f t="shared" si="986"/>
        <v>0</v>
      </c>
      <c r="DG322" s="668">
        <f t="shared" si="986"/>
        <v>0</v>
      </c>
      <c r="DH322" s="668">
        <f t="shared" si="23"/>
        <v>3544.032</v>
      </c>
      <c r="DI322" s="668">
        <f t="shared" ref="DI322:DR322" si="987">BY322*$CL322</f>
        <v>0</v>
      </c>
      <c r="DJ322" s="668">
        <f t="shared" si="987"/>
        <v>0</v>
      </c>
      <c r="DK322" s="668">
        <f t="shared" si="987"/>
        <v>0</v>
      </c>
      <c r="DL322" s="668">
        <f t="shared" si="987"/>
        <v>0</v>
      </c>
      <c r="DM322" s="668">
        <f t="shared" si="987"/>
        <v>0</v>
      </c>
      <c r="DN322" s="668">
        <f t="shared" si="987"/>
        <v>0</v>
      </c>
      <c r="DO322" s="668">
        <f t="shared" si="987"/>
        <v>0</v>
      </c>
      <c r="DP322" s="668">
        <f t="shared" si="987"/>
        <v>0</v>
      </c>
      <c r="DQ322" s="668">
        <f t="shared" si="987"/>
        <v>0</v>
      </c>
      <c r="DR322" s="668">
        <f t="shared" si="987"/>
        <v>0</v>
      </c>
      <c r="DS322" s="668">
        <f t="shared" si="25"/>
        <v>0</v>
      </c>
      <c r="DT322" s="668">
        <f t="shared" si="685"/>
        <v>25871.4336</v>
      </c>
      <c r="DU322" s="538"/>
      <c r="DV322" s="468"/>
      <c r="DW322" s="698"/>
      <c r="DX322" s="698"/>
      <c r="DY322" s="698"/>
      <c r="DZ322" s="698"/>
      <c r="EA322" s="698"/>
      <c r="EB322" s="698"/>
      <c r="EC322" s="698"/>
      <c r="ED322" s="698"/>
      <c r="EE322" s="698"/>
      <c r="EF322" s="698"/>
      <c r="EG322" s="698"/>
      <c r="EH322" s="576" t="s">
        <v>624</v>
      </c>
      <c r="EI322" s="716">
        <f>VLOOKUP(I322,CotizacionTDB,4,FALSE())</f>
        <v>50.92</v>
      </c>
      <c r="EJ322" s="716">
        <f>VLOOKUP(I322,CotizacionTDB,5,FALSE())</f>
        <v>43.28</v>
      </c>
      <c r="EK322" s="699"/>
    </row>
    <row r="323" ht="12.0" customHeight="1">
      <c r="A323" s="700" t="s">
        <v>3026</v>
      </c>
      <c r="B323" s="701">
        <v>2.0</v>
      </c>
      <c r="C323" s="562" t="s">
        <v>3027</v>
      </c>
      <c r="D323" s="571" t="s">
        <v>544</v>
      </c>
      <c r="E323" s="571" t="s">
        <v>2708</v>
      </c>
      <c r="F323" s="562" t="s">
        <v>1763</v>
      </c>
      <c r="G323" s="569" t="s">
        <v>2709</v>
      </c>
      <c r="H323" s="569" t="s">
        <v>3522</v>
      </c>
      <c r="I323" s="703" t="s">
        <v>2377</v>
      </c>
      <c r="J323" s="704" t="s">
        <v>1204</v>
      </c>
      <c r="K323" s="701" t="s">
        <v>25</v>
      </c>
      <c r="L323" s="562"/>
      <c r="M323" s="562"/>
      <c r="N323" s="562"/>
      <c r="O323" s="562"/>
      <c r="P323" s="562"/>
      <c r="Q323" s="562"/>
      <c r="R323" s="562"/>
      <c r="S323" s="562"/>
      <c r="T323" s="562"/>
      <c r="U323" s="562">
        <v>2024.0</v>
      </c>
      <c r="V323" s="562"/>
      <c r="W323" s="562"/>
      <c r="X323" s="562"/>
      <c r="Y323" s="562"/>
      <c r="Z323" s="562"/>
      <c r="AA323" s="562"/>
      <c r="AB323" s="562"/>
      <c r="AC323" s="562"/>
      <c r="AD323" s="562"/>
      <c r="AE323" s="562"/>
      <c r="AF323" s="867">
        <v>1.0</v>
      </c>
      <c r="AG323" s="562"/>
      <c r="AH323" s="562"/>
      <c r="AI323" s="562"/>
      <c r="AJ323" s="562"/>
      <c r="AK323" s="562"/>
      <c r="AL323" s="562"/>
      <c r="AM323" s="562"/>
      <c r="AN323" s="562"/>
      <c r="AO323" s="562"/>
      <c r="AP323" s="562"/>
      <c r="AQ323" s="562"/>
      <c r="AR323" s="562">
        <v>0.0</v>
      </c>
      <c r="AS323" s="562">
        <v>0.0</v>
      </c>
      <c r="AT323" s="562">
        <v>0.0</v>
      </c>
      <c r="AU323" s="562">
        <v>0.0</v>
      </c>
      <c r="AV323" s="562">
        <v>0.0</v>
      </c>
      <c r="AW323" s="562">
        <v>0.0</v>
      </c>
      <c r="AX323" s="562">
        <v>0.0</v>
      </c>
      <c r="AY323" s="562">
        <v>0.0</v>
      </c>
      <c r="AZ323" s="562">
        <v>0.0</v>
      </c>
      <c r="BA323" s="562">
        <v>-2024.0</v>
      </c>
      <c r="BB323" s="562"/>
      <c r="BC323" s="562"/>
      <c r="BD323" s="562"/>
      <c r="BE323" s="701">
        <v>4.0</v>
      </c>
      <c r="BF323" s="562"/>
      <c r="BG323" s="562"/>
      <c r="BH323" s="562"/>
      <c r="BI323" s="562"/>
      <c r="BJ323" s="562"/>
      <c r="BK323" s="562"/>
      <c r="BL323" s="681">
        <v>2.0</v>
      </c>
      <c r="BM323" s="665">
        <f t="shared" si="1"/>
        <v>6</v>
      </c>
      <c r="BN323" s="682"/>
      <c r="BO323" s="683"/>
      <c r="BP323" s="683"/>
      <c r="BQ323" s="683"/>
      <c r="BR323" s="683"/>
      <c r="BS323" s="683"/>
      <c r="BT323" s="683"/>
      <c r="BU323" s="683"/>
      <c r="BV323" s="683"/>
      <c r="BW323" s="686"/>
      <c r="BX323" s="665">
        <f t="shared" si="840"/>
        <v>0</v>
      </c>
      <c r="BY323" s="682">
        <v>0.0</v>
      </c>
      <c r="BZ323" s="683">
        <v>0.0</v>
      </c>
      <c r="CA323" s="683">
        <v>0.0</v>
      </c>
      <c r="CB323" s="683">
        <v>0.0</v>
      </c>
      <c r="CC323" s="683">
        <v>0.0</v>
      </c>
      <c r="CD323" s="683">
        <v>0.0</v>
      </c>
      <c r="CE323" s="683">
        <v>0.0</v>
      </c>
      <c r="CF323" s="683">
        <v>0.0</v>
      </c>
      <c r="CG323" s="683">
        <v>0.0</v>
      </c>
      <c r="CH323" s="686">
        <v>0.0</v>
      </c>
      <c r="CI323" s="665">
        <f t="shared" si="841"/>
        <v>0</v>
      </c>
      <c r="CJ323" s="682">
        <f t="shared" si="4"/>
        <v>6</v>
      </c>
      <c r="CK323" s="706">
        <v>335.34</v>
      </c>
      <c r="CL323" s="683">
        <f t="shared" si="912"/>
        <v>2333.9664</v>
      </c>
      <c r="CM323" s="683">
        <f t="shared" ref="CM323:CV323" si="988">BC323*$CL323</f>
        <v>0</v>
      </c>
      <c r="CN323" s="683">
        <f t="shared" si="988"/>
        <v>0</v>
      </c>
      <c r="CO323" s="683">
        <f t="shared" si="988"/>
        <v>9335.8656</v>
      </c>
      <c r="CP323" s="683">
        <f t="shared" si="988"/>
        <v>0</v>
      </c>
      <c r="CQ323" s="683">
        <f t="shared" si="988"/>
        <v>0</v>
      </c>
      <c r="CR323" s="683">
        <f t="shared" si="988"/>
        <v>0</v>
      </c>
      <c r="CS323" s="683">
        <f t="shared" si="988"/>
        <v>0</v>
      </c>
      <c r="CT323" s="683">
        <f t="shared" si="988"/>
        <v>0</v>
      </c>
      <c r="CU323" s="683">
        <f t="shared" si="988"/>
        <v>0</v>
      </c>
      <c r="CV323" s="683">
        <f t="shared" si="988"/>
        <v>4667.9328</v>
      </c>
      <c r="CW323" s="683">
        <f t="shared" si="21"/>
        <v>14003.7984</v>
      </c>
      <c r="CX323" s="683">
        <f t="shared" ref="CX323:DG323" si="989">BN323*$CL323</f>
        <v>0</v>
      </c>
      <c r="CY323" s="683">
        <f t="shared" si="989"/>
        <v>0</v>
      </c>
      <c r="CZ323" s="683">
        <f t="shared" si="989"/>
        <v>0</v>
      </c>
      <c r="DA323" s="683">
        <f t="shared" si="989"/>
        <v>0</v>
      </c>
      <c r="DB323" s="683">
        <f t="shared" si="989"/>
        <v>0</v>
      </c>
      <c r="DC323" s="683">
        <f t="shared" si="989"/>
        <v>0</v>
      </c>
      <c r="DD323" s="683">
        <f t="shared" si="989"/>
        <v>0</v>
      </c>
      <c r="DE323" s="683">
        <f t="shared" si="989"/>
        <v>0</v>
      </c>
      <c r="DF323" s="683">
        <f t="shared" si="989"/>
        <v>0</v>
      </c>
      <c r="DG323" s="683">
        <f t="shared" si="989"/>
        <v>0</v>
      </c>
      <c r="DH323" s="683">
        <f t="shared" si="23"/>
        <v>0</v>
      </c>
      <c r="DI323" s="683">
        <f t="shared" ref="DI323:DR323" si="990">BY323*$CL323</f>
        <v>0</v>
      </c>
      <c r="DJ323" s="683">
        <f t="shared" si="990"/>
        <v>0</v>
      </c>
      <c r="DK323" s="683">
        <f t="shared" si="990"/>
        <v>0</v>
      </c>
      <c r="DL323" s="683">
        <f t="shared" si="990"/>
        <v>0</v>
      </c>
      <c r="DM323" s="683">
        <f t="shared" si="990"/>
        <v>0</v>
      </c>
      <c r="DN323" s="683">
        <f t="shared" si="990"/>
        <v>0</v>
      </c>
      <c r="DO323" s="683">
        <f t="shared" si="990"/>
        <v>0</v>
      </c>
      <c r="DP323" s="683">
        <f t="shared" si="990"/>
        <v>0</v>
      </c>
      <c r="DQ323" s="683">
        <f t="shared" si="990"/>
        <v>0</v>
      </c>
      <c r="DR323" s="683">
        <f t="shared" si="990"/>
        <v>0</v>
      </c>
      <c r="DS323" s="683">
        <f t="shared" si="25"/>
        <v>0</v>
      </c>
      <c r="DT323" s="683">
        <f t="shared" si="685"/>
        <v>14003.7984</v>
      </c>
      <c r="DU323" s="504"/>
      <c r="DV323" s="486"/>
      <c r="DW323" s="688"/>
      <c r="DX323" s="688"/>
      <c r="DY323" s="688"/>
      <c r="DZ323" s="688"/>
      <c r="EA323" s="688"/>
      <c r="EB323" s="688"/>
      <c r="EC323" s="688"/>
      <c r="ED323" s="688"/>
      <c r="EE323" s="688"/>
      <c r="EF323" s="688"/>
      <c r="EG323" s="688"/>
      <c r="EH323" s="707" t="s">
        <v>3523</v>
      </c>
      <c r="EI323" s="708">
        <f>VLOOKUP(I323,CotizacionTDB,4,FALSE())</f>
        <v>335.34</v>
      </c>
      <c r="EJ323" s="708">
        <f>VLOOKUP(I323,CotizacionTDB,5,FALSE())</f>
        <v>285.04</v>
      </c>
      <c r="EK323" s="691"/>
    </row>
    <row r="324" ht="12.0" customHeight="1">
      <c r="A324" s="709" t="s">
        <v>3026</v>
      </c>
      <c r="B324" s="661">
        <v>2.0</v>
      </c>
      <c r="C324" s="567" t="s">
        <v>3027</v>
      </c>
      <c r="D324" s="568" t="s">
        <v>544</v>
      </c>
      <c r="E324" s="568" t="s">
        <v>2708</v>
      </c>
      <c r="F324" s="567" t="s">
        <v>1763</v>
      </c>
      <c r="G324" s="569" t="s">
        <v>2709</v>
      </c>
      <c r="H324" s="569" t="s">
        <v>3467</v>
      </c>
      <c r="I324" s="721" t="s">
        <v>2055</v>
      </c>
      <c r="J324" s="711" t="s">
        <v>292</v>
      </c>
      <c r="K324" s="567" t="s">
        <v>25</v>
      </c>
      <c r="L324" s="567"/>
      <c r="M324" s="567"/>
      <c r="N324" s="567">
        <v>2024.0</v>
      </c>
      <c r="O324" s="567">
        <v>2024.0</v>
      </c>
      <c r="P324" s="567"/>
      <c r="Q324" s="567"/>
      <c r="R324" s="567"/>
      <c r="S324" s="567"/>
      <c r="T324" s="567"/>
      <c r="U324" s="567"/>
      <c r="V324" s="567"/>
      <c r="W324" s="567">
        <v>3.0</v>
      </c>
      <c r="X324" s="567"/>
      <c r="Y324" s="567">
        <v>5.0</v>
      </c>
      <c r="Z324" s="567">
        <v>5.0</v>
      </c>
      <c r="AA324" s="567"/>
      <c r="AB324" s="567"/>
      <c r="AC324" s="567"/>
      <c r="AD324" s="567"/>
      <c r="AE324" s="567"/>
      <c r="AF324" s="567"/>
      <c r="AG324" s="567"/>
      <c r="AH324" s="567"/>
      <c r="AI324" s="567"/>
      <c r="AJ324" s="567"/>
      <c r="AK324" s="567"/>
      <c r="AL324" s="567"/>
      <c r="AM324" s="567"/>
      <c r="AN324" s="567"/>
      <c r="AO324" s="567"/>
      <c r="AP324" s="567"/>
      <c r="AQ324" s="567"/>
      <c r="AR324" s="567">
        <v>0.0</v>
      </c>
      <c r="AS324" s="567">
        <v>0.0</v>
      </c>
      <c r="AT324" s="567">
        <v>-2024.0</v>
      </c>
      <c r="AU324" s="567">
        <v>-2024.0</v>
      </c>
      <c r="AV324" s="567">
        <v>0.0</v>
      </c>
      <c r="AW324" s="567">
        <v>0.0</v>
      </c>
      <c r="AX324" s="567">
        <v>0.0</v>
      </c>
      <c r="AY324" s="567">
        <v>0.0</v>
      </c>
      <c r="AZ324" s="567">
        <v>0.0</v>
      </c>
      <c r="BA324" s="567">
        <v>0.0</v>
      </c>
      <c r="BB324" s="567"/>
      <c r="BC324" s="567"/>
      <c r="BD324" s="567"/>
      <c r="BE324" s="567">
        <v>15.0</v>
      </c>
      <c r="BF324" s="567">
        <v>32.0</v>
      </c>
      <c r="BG324" s="567"/>
      <c r="BH324" s="567"/>
      <c r="BI324" s="567"/>
      <c r="BJ324" s="567"/>
      <c r="BK324" s="567"/>
      <c r="BL324" s="725"/>
      <c r="BM324" s="665">
        <f t="shared" si="1"/>
        <v>47</v>
      </c>
      <c r="BN324" s="671"/>
      <c r="BO324" s="668"/>
      <c r="BP324" s="668"/>
      <c r="BQ324" s="668"/>
      <c r="BR324" s="668"/>
      <c r="BS324" s="668"/>
      <c r="BT324" s="668"/>
      <c r="BU324" s="668"/>
      <c r="BV324" s="668"/>
      <c r="BW324" s="670"/>
      <c r="BX324" s="665">
        <f t="shared" si="840"/>
        <v>0</v>
      </c>
      <c r="BY324" s="671">
        <v>0.0</v>
      </c>
      <c r="BZ324" s="668">
        <v>0.0</v>
      </c>
      <c r="CA324" s="668">
        <v>0.0</v>
      </c>
      <c r="CB324" s="668">
        <v>0.0</v>
      </c>
      <c r="CC324" s="668">
        <v>0.0</v>
      </c>
      <c r="CD324" s="668">
        <v>0.0</v>
      </c>
      <c r="CE324" s="668">
        <v>0.0</v>
      </c>
      <c r="CF324" s="668">
        <v>0.0</v>
      </c>
      <c r="CG324" s="668">
        <v>0.0</v>
      </c>
      <c r="CH324" s="670">
        <v>0.0</v>
      </c>
      <c r="CI324" s="665">
        <f t="shared" si="841"/>
        <v>0</v>
      </c>
      <c r="CJ324" s="671">
        <f t="shared" si="4"/>
        <v>47</v>
      </c>
      <c r="CK324" s="715">
        <v>41.53</v>
      </c>
      <c r="CL324" s="668">
        <f t="shared" si="912"/>
        <v>289.0488</v>
      </c>
      <c r="CM324" s="668">
        <f t="shared" ref="CM324:CV324" si="991">BC324*$CL324</f>
        <v>0</v>
      </c>
      <c r="CN324" s="668">
        <f t="shared" si="991"/>
        <v>0</v>
      </c>
      <c r="CO324" s="668">
        <f t="shared" si="991"/>
        <v>4335.732</v>
      </c>
      <c r="CP324" s="668">
        <f t="shared" si="991"/>
        <v>9249.5616</v>
      </c>
      <c r="CQ324" s="668">
        <f t="shared" si="991"/>
        <v>0</v>
      </c>
      <c r="CR324" s="668">
        <f t="shared" si="991"/>
        <v>0</v>
      </c>
      <c r="CS324" s="668">
        <f t="shared" si="991"/>
        <v>0</v>
      </c>
      <c r="CT324" s="668">
        <f t="shared" si="991"/>
        <v>0</v>
      </c>
      <c r="CU324" s="668">
        <f t="shared" si="991"/>
        <v>0</v>
      </c>
      <c r="CV324" s="668">
        <f t="shared" si="991"/>
        <v>0</v>
      </c>
      <c r="CW324" s="668">
        <f t="shared" si="21"/>
        <v>13585.2936</v>
      </c>
      <c r="CX324" s="668">
        <f t="shared" ref="CX324:DG324" si="992">BN324*$CL324</f>
        <v>0</v>
      </c>
      <c r="CY324" s="668">
        <f t="shared" si="992"/>
        <v>0</v>
      </c>
      <c r="CZ324" s="668">
        <f t="shared" si="992"/>
        <v>0</v>
      </c>
      <c r="DA324" s="668">
        <f t="shared" si="992"/>
        <v>0</v>
      </c>
      <c r="DB324" s="668">
        <f t="shared" si="992"/>
        <v>0</v>
      </c>
      <c r="DC324" s="668">
        <f t="shared" si="992"/>
        <v>0</v>
      </c>
      <c r="DD324" s="668">
        <f t="shared" si="992"/>
        <v>0</v>
      </c>
      <c r="DE324" s="668">
        <f t="shared" si="992"/>
        <v>0</v>
      </c>
      <c r="DF324" s="668">
        <f t="shared" si="992"/>
        <v>0</v>
      </c>
      <c r="DG324" s="668">
        <f t="shared" si="992"/>
        <v>0</v>
      </c>
      <c r="DH324" s="668">
        <f t="shared" si="23"/>
        <v>0</v>
      </c>
      <c r="DI324" s="668">
        <f t="shared" ref="DI324:DR324" si="993">BY324*$CL324</f>
        <v>0</v>
      </c>
      <c r="DJ324" s="668">
        <f t="shared" si="993"/>
        <v>0</v>
      </c>
      <c r="DK324" s="668">
        <f t="shared" si="993"/>
        <v>0</v>
      </c>
      <c r="DL324" s="668">
        <f t="shared" si="993"/>
        <v>0</v>
      </c>
      <c r="DM324" s="668">
        <f t="shared" si="993"/>
        <v>0</v>
      </c>
      <c r="DN324" s="668">
        <f t="shared" si="993"/>
        <v>0</v>
      </c>
      <c r="DO324" s="668">
        <f t="shared" si="993"/>
        <v>0</v>
      </c>
      <c r="DP324" s="668">
        <f t="shared" si="993"/>
        <v>0</v>
      </c>
      <c r="DQ324" s="668">
        <f t="shared" si="993"/>
        <v>0</v>
      </c>
      <c r="DR324" s="668">
        <f t="shared" si="993"/>
        <v>0</v>
      </c>
      <c r="DS324" s="668">
        <f t="shared" si="25"/>
        <v>0</v>
      </c>
      <c r="DT324" s="668">
        <f t="shared" si="685"/>
        <v>13585.2936</v>
      </c>
      <c r="DU324" s="538"/>
      <c r="DV324" s="468"/>
      <c r="DW324" s="698"/>
      <c r="DX324" s="698"/>
      <c r="DY324" s="698"/>
      <c r="DZ324" s="698"/>
      <c r="EA324" s="698"/>
      <c r="EB324" s="698"/>
      <c r="EC324" s="698"/>
      <c r="ED324" s="698"/>
      <c r="EE324" s="698"/>
      <c r="EF324" s="698"/>
      <c r="EG324" s="698"/>
      <c r="EH324" s="576" t="s">
        <v>3524</v>
      </c>
      <c r="EI324" s="716">
        <f>VLOOKUP(I324,CotizacionTDB,4,FALSE())</f>
        <v>41.53</v>
      </c>
      <c r="EJ324" s="716">
        <f>VLOOKUP(I324,CotizacionTDB,5,FALSE())</f>
        <v>35.3</v>
      </c>
      <c r="EK324" s="699"/>
    </row>
    <row r="325" ht="12.0" customHeight="1">
      <c r="A325" s="700" t="s">
        <v>3026</v>
      </c>
      <c r="B325" s="701">
        <v>2.0</v>
      </c>
      <c r="C325" s="562" t="s">
        <v>3027</v>
      </c>
      <c r="D325" s="571" t="s">
        <v>544</v>
      </c>
      <c r="E325" s="571" t="s">
        <v>2708</v>
      </c>
      <c r="F325" s="562" t="s">
        <v>1763</v>
      </c>
      <c r="G325" s="569" t="s">
        <v>2709</v>
      </c>
      <c r="H325" s="569" t="s">
        <v>3525</v>
      </c>
      <c r="I325" s="703" t="s">
        <v>2405</v>
      </c>
      <c r="J325" s="704" t="s">
        <v>789</v>
      </c>
      <c r="K325" s="562" t="s">
        <v>25</v>
      </c>
      <c r="L325" s="562">
        <v>2024.0</v>
      </c>
      <c r="M325" s="562"/>
      <c r="N325" s="562">
        <v>2024.0</v>
      </c>
      <c r="O325" s="562">
        <v>2024.0</v>
      </c>
      <c r="P325" s="562">
        <v>2024.0</v>
      </c>
      <c r="Q325" s="562">
        <v>2024.0</v>
      </c>
      <c r="R325" s="562"/>
      <c r="S325" s="562"/>
      <c r="T325" s="562"/>
      <c r="U325" s="562"/>
      <c r="V325" s="562"/>
      <c r="W325" s="562">
        <v>2.0</v>
      </c>
      <c r="X325" s="562"/>
      <c r="Y325" s="562">
        <v>2.0</v>
      </c>
      <c r="Z325" s="562">
        <v>2.0</v>
      </c>
      <c r="AA325" s="562">
        <v>2.0</v>
      </c>
      <c r="AB325" s="562">
        <v>2.0</v>
      </c>
      <c r="AC325" s="562"/>
      <c r="AD325" s="562"/>
      <c r="AE325" s="562"/>
      <c r="AF325" s="562"/>
      <c r="AG325" s="562"/>
      <c r="AH325" s="562"/>
      <c r="AI325" s="562"/>
      <c r="AJ325" s="562"/>
      <c r="AK325" s="562"/>
      <c r="AL325" s="562"/>
      <c r="AM325" s="562"/>
      <c r="AN325" s="562"/>
      <c r="AO325" s="562"/>
      <c r="AP325" s="562"/>
      <c r="AQ325" s="562"/>
      <c r="AR325" s="562">
        <v>-2024.0</v>
      </c>
      <c r="AS325" s="562">
        <v>0.0</v>
      </c>
      <c r="AT325" s="562">
        <v>-2024.0</v>
      </c>
      <c r="AU325" s="562">
        <v>-2024.0</v>
      </c>
      <c r="AV325" s="562">
        <v>-2024.0</v>
      </c>
      <c r="AW325" s="562">
        <v>-2024.0</v>
      </c>
      <c r="AX325" s="562">
        <v>0.0</v>
      </c>
      <c r="AY325" s="562">
        <v>0.0</v>
      </c>
      <c r="AZ325" s="562">
        <v>0.0</v>
      </c>
      <c r="BA325" s="562">
        <v>0.0</v>
      </c>
      <c r="BB325" s="562"/>
      <c r="BC325" s="562">
        <v>2.0</v>
      </c>
      <c r="BD325" s="701">
        <v>2.0</v>
      </c>
      <c r="BE325" s="562">
        <v>6.0</v>
      </c>
      <c r="BF325" s="562">
        <v>10.0</v>
      </c>
      <c r="BG325" s="562">
        <v>10.0</v>
      </c>
      <c r="BH325" s="562">
        <v>10.0</v>
      </c>
      <c r="BI325" s="562"/>
      <c r="BJ325" s="562"/>
      <c r="BK325" s="562"/>
      <c r="BL325" s="681"/>
      <c r="BM325" s="665">
        <f t="shared" si="1"/>
        <v>40</v>
      </c>
      <c r="BN325" s="682"/>
      <c r="BO325" s="683"/>
      <c r="BP325" s="683"/>
      <c r="BQ325" s="683"/>
      <c r="BR325" s="683"/>
      <c r="BS325" s="683"/>
      <c r="BT325" s="683"/>
      <c r="BU325" s="683"/>
      <c r="BV325" s="683"/>
      <c r="BW325" s="686"/>
      <c r="BX325" s="665">
        <f t="shared" si="840"/>
        <v>0</v>
      </c>
      <c r="BY325" s="682">
        <v>2.0</v>
      </c>
      <c r="BZ325" s="683">
        <v>0.0</v>
      </c>
      <c r="CA325" s="683">
        <v>6.0</v>
      </c>
      <c r="CB325" s="683">
        <v>10.0</v>
      </c>
      <c r="CC325" s="683">
        <v>10.0</v>
      </c>
      <c r="CD325" s="683">
        <v>10.0</v>
      </c>
      <c r="CE325" s="683">
        <v>0.0</v>
      </c>
      <c r="CF325" s="683">
        <v>0.0</v>
      </c>
      <c r="CG325" s="683">
        <v>0.0</v>
      </c>
      <c r="CH325" s="686">
        <v>0.0</v>
      </c>
      <c r="CI325" s="665">
        <f t="shared" si="841"/>
        <v>38</v>
      </c>
      <c r="CJ325" s="682">
        <f t="shared" si="4"/>
        <v>78</v>
      </c>
      <c r="CK325" s="706">
        <v>45.99</v>
      </c>
      <c r="CL325" s="683">
        <f t="shared" si="912"/>
        <v>320.0904</v>
      </c>
      <c r="CM325" s="683">
        <f t="shared" ref="CM325:CV325" si="994">BC325*$CL325</f>
        <v>640.1808</v>
      </c>
      <c r="CN325" s="683">
        <f t="shared" si="994"/>
        <v>640.1808</v>
      </c>
      <c r="CO325" s="683">
        <f t="shared" si="994"/>
        <v>1920.5424</v>
      </c>
      <c r="CP325" s="683">
        <f t="shared" si="994"/>
        <v>3200.904</v>
      </c>
      <c r="CQ325" s="683">
        <f t="shared" si="994"/>
        <v>3200.904</v>
      </c>
      <c r="CR325" s="683">
        <f t="shared" si="994"/>
        <v>3200.904</v>
      </c>
      <c r="CS325" s="683">
        <f t="shared" si="994"/>
        <v>0</v>
      </c>
      <c r="CT325" s="683">
        <f t="shared" si="994"/>
        <v>0</v>
      </c>
      <c r="CU325" s="683">
        <f t="shared" si="994"/>
        <v>0</v>
      </c>
      <c r="CV325" s="683">
        <f t="shared" si="994"/>
        <v>0</v>
      </c>
      <c r="CW325" s="683">
        <f t="shared" si="21"/>
        <v>12803.616</v>
      </c>
      <c r="CX325" s="683">
        <f t="shared" ref="CX325:DG325" si="995">BN325*$CL325</f>
        <v>0</v>
      </c>
      <c r="CY325" s="683">
        <f t="shared" si="995"/>
        <v>0</v>
      </c>
      <c r="CZ325" s="683">
        <f t="shared" si="995"/>
        <v>0</v>
      </c>
      <c r="DA325" s="683">
        <f t="shared" si="995"/>
        <v>0</v>
      </c>
      <c r="DB325" s="683">
        <f t="shared" si="995"/>
        <v>0</v>
      </c>
      <c r="DC325" s="683">
        <f t="shared" si="995"/>
        <v>0</v>
      </c>
      <c r="DD325" s="683">
        <f t="shared" si="995"/>
        <v>0</v>
      </c>
      <c r="DE325" s="683">
        <f t="shared" si="995"/>
        <v>0</v>
      </c>
      <c r="DF325" s="683">
        <f t="shared" si="995"/>
        <v>0</v>
      </c>
      <c r="DG325" s="683">
        <f t="shared" si="995"/>
        <v>0</v>
      </c>
      <c r="DH325" s="683">
        <f t="shared" si="23"/>
        <v>0</v>
      </c>
      <c r="DI325" s="683">
        <f t="shared" ref="DI325:DR325" si="996">BY325*$CL325</f>
        <v>640.1808</v>
      </c>
      <c r="DJ325" s="683">
        <f t="shared" si="996"/>
        <v>0</v>
      </c>
      <c r="DK325" s="683">
        <f t="shared" si="996"/>
        <v>1920.5424</v>
      </c>
      <c r="DL325" s="683">
        <f t="shared" si="996"/>
        <v>3200.904</v>
      </c>
      <c r="DM325" s="683">
        <f t="shared" si="996"/>
        <v>3200.904</v>
      </c>
      <c r="DN325" s="683">
        <f t="shared" si="996"/>
        <v>3200.904</v>
      </c>
      <c r="DO325" s="683">
        <f t="shared" si="996"/>
        <v>0</v>
      </c>
      <c r="DP325" s="683">
        <f t="shared" si="996"/>
        <v>0</v>
      </c>
      <c r="DQ325" s="683">
        <f t="shared" si="996"/>
        <v>0</v>
      </c>
      <c r="DR325" s="683">
        <f t="shared" si="996"/>
        <v>0</v>
      </c>
      <c r="DS325" s="683">
        <f t="shared" si="25"/>
        <v>12163.4352</v>
      </c>
      <c r="DT325" s="683">
        <f t="shared" si="685"/>
        <v>24967.0512</v>
      </c>
      <c r="DU325" s="504"/>
      <c r="DV325" s="486"/>
      <c r="DW325" s="688"/>
      <c r="DX325" s="688"/>
      <c r="DY325" s="688"/>
      <c r="DZ325" s="688"/>
      <c r="EA325" s="688"/>
      <c r="EB325" s="688"/>
      <c r="EC325" s="688"/>
      <c r="ED325" s="688"/>
      <c r="EE325" s="688"/>
      <c r="EF325" s="688"/>
      <c r="EG325" s="688"/>
      <c r="EH325" s="707" t="s">
        <v>789</v>
      </c>
      <c r="EI325" s="708">
        <f>VLOOKUP(I325,CotizacionTDB,4,FALSE())</f>
        <v>45.99</v>
      </c>
      <c r="EJ325" s="708">
        <f>VLOOKUP(I325,CotizacionTDB,5,FALSE())</f>
        <v>39.09</v>
      </c>
      <c r="EK325" s="691"/>
    </row>
    <row r="326" ht="12.0" customHeight="1">
      <c r="A326" s="709" t="s">
        <v>3026</v>
      </c>
      <c r="B326" s="661">
        <v>2.0</v>
      </c>
      <c r="C326" s="567" t="s">
        <v>3027</v>
      </c>
      <c r="D326" s="568" t="s">
        <v>544</v>
      </c>
      <c r="E326" s="568" t="s">
        <v>2708</v>
      </c>
      <c r="F326" s="567" t="s">
        <v>1763</v>
      </c>
      <c r="G326" s="569" t="s">
        <v>2709</v>
      </c>
      <c r="H326" s="657" t="s">
        <v>3462</v>
      </c>
      <c r="I326" s="710" t="s">
        <v>2191</v>
      </c>
      <c r="J326" s="711" t="s">
        <v>375</v>
      </c>
      <c r="K326" s="567" t="s">
        <v>25</v>
      </c>
      <c r="L326" s="567"/>
      <c r="M326" s="567"/>
      <c r="N326" s="567"/>
      <c r="O326" s="567"/>
      <c r="P326" s="567">
        <v>2024.0</v>
      </c>
      <c r="Q326" s="567"/>
      <c r="R326" s="567"/>
      <c r="S326" s="567"/>
      <c r="T326" s="567"/>
      <c r="U326" s="567"/>
      <c r="V326" s="567"/>
      <c r="W326" s="567"/>
      <c r="X326" s="567"/>
      <c r="Y326" s="567"/>
      <c r="Z326" s="567"/>
      <c r="AA326" s="567">
        <v>2.0</v>
      </c>
      <c r="AB326" s="567"/>
      <c r="AC326" s="567"/>
      <c r="AD326" s="567"/>
      <c r="AE326" s="567"/>
      <c r="AF326" s="567"/>
      <c r="AG326" s="567"/>
      <c r="AH326" s="567"/>
      <c r="AI326" s="567"/>
      <c r="AJ326" s="567"/>
      <c r="AK326" s="567"/>
      <c r="AL326" s="567"/>
      <c r="AM326" s="567"/>
      <c r="AN326" s="567"/>
      <c r="AO326" s="567"/>
      <c r="AP326" s="567"/>
      <c r="AQ326" s="567"/>
      <c r="AR326" s="567">
        <v>0.0</v>
      </c>
      <c r="AS326" s="567">
        <v>0.0</v>
      </c>
      <c r="AT326" s="567">
        <v>0.0</v>
      </c>
      <c r="AU326" s="567">
        <v>0.0</v>
      </c>
      <c r="AV326" s="567">
        <v>-2024.0</v>
      </c>
      <c r="AW326" s="567">
        <v>0.0</v>
      </c>
      <c r="AX326" s="567">
        <v>0.0</v>
      </c>
      <c r="AY326" s="567">
        <v>0.0</v>
      </c>
      <c r="AZ326" s="567">
        <v>0.0</v>
      </c>
      <c r="BA326" s="567">
        <v>0.0</v>
      </c>
      <c r="BB326" s="567"/>
      <c r="BC326" s="567"/>
      <c r="BD326" s="567"/>
      <c r="BE326" s="661">
        <v>30.0</v>
      </c>
      <c r="BF326" s="567"/>
      <c r="BG326" s="567">
        <v>20.0</v>
      </c>
      <c r="BH326" s="567"/>
      <c r="BI326" s="567"/>
      <c r="BJ326" s="567"/>
      <c r="BK326" s="567"/>
      <c r="BL326" s="725"/>
      <c r="BM326" s="665">
        <f t="shared" si="1"/>
        <v>50</v>
      </c>
      <c r="BN326" s="671"/>
      <c r="BO326" s="668"/>
      <c r="BP326" s="674">
        <v>20.0</v>
      </c>
      <c r="BQ326" s="668"/>
      <c r="BR326" s="668"/>
      <c r="BS326" s="668"/>
      <c r="BT326" s="668"/>
      <c r="BU326" s="668"/>
      <c r="BV326" s="668"/>
      <c r="BW326" s="670"/>
      <c r="BX326" s="665">
        <f t="shared" si="840"/>
        <v>20</v>
      </c>
      <c r="BY326" s="736">
        <v>30.0</v>
      </c>
      <c r="BZ326" s="674">
        <v>15.0</v>
      </c>
      <c r="CA326" s="674">
        <v>30.0</v>
      </c>
      <c r="CB326" s="668">
        <v>0.0</v>
      </c>
      <c r="CC326" s="668">
        <v>20.0</v>
      </c>
      <c r="CD326" s="668">
        <v>0.0</v>
      </c>
      <c r="CE326" s="668">
        <v>0.0</v>
      </c>
      <c r="CF326" s="668">
        <v>0.0</v>
      </c>
      <c r="CG326" s="668">
        <v>0.0</v>
      </c>
      <c r="CH326" s="670">
        <v>0.0</v>
      </c>
      <c r="CI326" s="665">
        <f t="shared" si="841"/>
        <v>95</v>
      </c>
      <c r="CJ326" s="671">
        <f t="shared" si="4"/>
        <v>165</v>
      </c>
      <c r="CK326" s="715">
        <v>35.34</v>
      </c>
      <c r="CL326" s="668">
        <f t="shared" si="912"/>
        <v>245.9664</v>
      </c>
      <c r="CM326" s="668">
        <f t="shared" ref="CM326:CV326" si="997">BC326*$CL326</f>
        <v>0</v>
      </c>
      <c r="CN326" s="668">
        <f t="shared" si="997"/>
        <v>0</v>
      </c>
      <c r="CO326" s="668">
        <f t="shared" si="997"/>
        <v>7378.992</v>
      </c>
      <c r="CP326" s="668">
        <f t="shared" si="997"/>
        <v>0</v>
      </c>
      <c r="CQ326" s="668">
        <f t="shared" si="997"/>
        <v>4919.328</v>
      </c>
      <c r="CR326" s="668">
        <f t="shared" si="997"/>
        <v>0</v>
      </c>
      <c r="CS326" s="668">
        <f t="shared" si="997"/>
        <v>0</v>
      </c>
      <c r="CT326" s="668">
        <f t="shared" si="997"/>
        <v>0</v>
      </c>
      <c r="CU326" s="668">
        <f t="shared" si="997"/>
        <v>0</v>
      </c>
      <c r="CV326" s="668">
        <f t="shared" si="997"/>
        <v>0</v>
      </c>
      <c r="CW326" s="668">
        <f t="shared" si="21"/>
        <v>12298.32</v>
      </c>
      <c r="CX326" s="668">
        <f t="shared" ref="CX326:DG326" si="998">BN326*$CL326</f>
        <v>0</v>
      </c>
      <c r="CY326" s="668">
        <f t="shared" si="998"/>
        <v>0</v>
      </c>
      <c r="CZ326" s="668">
        <f t="shared" si="998"/>
        <v>4919.328</v>
      </c>
      <c r="DA326" s="668">
        <f t="shared" si="998"/>
        <v>0</v>
      </c>
      <c r="DB326" s="668">
        <f t="shared" si="998"/>
        <v>0</v>
      </c>
      <c r="DC326" s="668">
        <f t="shared" si="998"/>
        <v>0</v>
      </c>
      <c r="DD326" s="668">
        <f t="shared" si="998"/>
        <v>0</v>
      </c>
      <c r="DE326" s="668">
        <f t="shared" si="998"/>
        <v>0</v>
      </c>
      <c r="DF326" s="668">
        <f t="shared" si="998"/>
        <v>0</v>
      </c>
      <c r="DG326" s="668">
        <f t="shared" si="998"/>
        <v>0</v>
      </c>
      <c r="DH326" s="668">
        <f t="shared" si="23"/>
        <v>4919.328</v>
      </c>
      <c r="DI326" s="668">
        <f t="shared" ref="DI326:DR326" si="999">BY326*$CL326</f>
        <v>7378.992</v>
      </c>
      <c r="DJ326" s="668">
        <f t="shared" si="999"/>
        <v>3689.496</v>
      </c>
      <c r="DK326" s="668">
        <f t="shared" si="999"/>
        <v>7378.992</v>
      </c>
      <c r="DL326" s="668">
        <f t="shared" si="999"/>
        <v>0</v>
      </c>
      <c r="DM326" s="668">
        <f t="shared" si="999"/>
        <v>4919.328</v>
      </c>
      <c r="DN326" s="668">
        <f t="shared" si="999"/>
        <v>0</v>
      </c>
      <c r="DO326" s="668">
        <f t="shared" si="999"/>
        <v>0</v>
      </c>
      <c r="DP326" s="668">
        <f t="shared" si="999"/>
        <v>0</v>
      </c>
      <c r="DQ326" s="668">
        <f t="shared" si="999"/>
        <v>0</v>
      </c>
      <c r="DR326" s="668">
        <f t="shared" si="999"/>
        <v>0</v>
      </c>
      <c r="DS326" s="668">
        <f t="shared" si="25"/>
        <v>23366.808</v>
      </c>
      <c r="DT326" s="668">
        <f t="shared" si="685"/>
        <v>40584.456</v>
      </c>
      <c r="DU326" s="538"/>
      <c r="DV326" s="468"/>
      <c r="DW326" s="698"/>
      <c r="DX326" s="698"/>
      <c r="DY326" s="698"/>
      <c r="DZ326" s="698"/>
      <c r="EA326" s="698"/>
      <c r="EB326" s="698"/>
      <c r="EC326" s="698"/>
      <c r="ED326" s="698"/>
      <c r="EE326" s="698"/>
      <c r="EF326" s="698"/>
      <c r="EG326" s="698"/>
      <c r="EH326" s="576" t="s">
        <v>375</v>
      </c>
      <c r="EI326" s="716">
        <f>VLOOKUP(I326,CotizacionTDB,4,FALSE())</f>
        <v>35.34</v>
      </c>
      <c r="EJ326" s="716">
        <f>VLOOKUP(I326,CotizacionTDB,5,FALSE())</f>
        <v>30.04</v>
      </c>
      <c r="EK326" s="699"/>
    </row>
    <row r="327" ht="12.0" customHeight="1">
      <c r="A327" s="700" t="s">
        <v>3026</v>
      </c>
      <c r="B327" s="701">
        <v>2.0</v>
      </c>
      <c r="C327" s="562" t="s">
        <v>3027</v>
      </c>
      <c r="D327" s="571" t="s">
        <v>544</v>
      </c>
      <c r="E327" s="571" t="s">
        <v>2708</v>
      </c>
      <c r="F327" s="562" t="s">
        <v>1763</v>
      </c>
      <c r="G327" s="569" t="s">
        <v>2709</v>
      </c>
      <c r="H327" s="569" t="s">
        <v>2739</v>
      </c>
      <c r="I327" s="703" t="s">
        <v>1996</v>
      </c>
      <c r="J327" s="704" t="s">
        <v>350</v>
      </c>
      <c r="K327" s="562" t="s">
        <v>25</v>
      </c>
      <c r="L327" s="562">
        <v>2024.0</v>
      </c>
      <c r="M327" s="562">
        <v>2024.0</v>
      </c>
      <c r="N327" s="562">
        <v>2024.0</v>
      </c>
      <c r="O327" s="562">
        <v>2024.0</v>
      </c>
      <c r="P327" s="562">
        <v>2024.0</v>
      </c>
      <c r="Q327" s="562">
        <v>2024.0</v>
      </c>
      <c r="R327" s="562"/>
      <c r="S327" s="562"/>
      <c r="T327" s="562"/>
      <c r="U327" s="562"/>
      <c r="V327" s="562"/>
      <c r="W327" s="562">
        <v>3.0</v>
      </c>
      <c r="X327" s="562">
        <v>2.0</v>
      </c>
      <c r="Y327" s="562">
        <v>2.0</v>
      </c>
      <c r="Z327" s="562">
        <v>2.0</v>
      </c>
      <c r="AA327" s="562">
        <v>2.0</v>
      </c>
      <c r="AB327" s="562">
        <v>2.0</v>
      </c>
      <c r="AC327" s="562"/>
      <c r="AD327" s="562"/>
      <c r="AE327" s="562"/>
      <c r="AF327" s="562"/>
      <c r="AG327" s="562"/>
      <c r="AH327" s="562"/>
      <c r="AI327" s="562"/>
      <c r="AJ327" s="562"/>
      <c r="AK327" s="562"/>
      <c r="AL327" s="562"/>
      <c r="AM327" s="562"/>
      <c r="AN327" s="562"/>
      <c r="AO327" s="562"/>
      <c r="AP327" s="562"/>
      <c r="AQ327" s="562"/>
      <c r="AR327" s="562">
        <v>-2024.0</v>
      </c>
      <c r="AS327" s="562">
        <v>-2024.0</v>
      </c>
      <c r="AT327" s="562">
        <v>-2024.0</v>
      </c>
      <c r="AU327" s="562">
        <v>-2024.0</v>
      </c>
      <c r="AV327" s="562">
        <v>-2024.0</v>
      </c>
      <c r="AW327" s="562">
        <v>-2024.0</v>
      </c>
      <c r="AX327" s="562">
        <v>0.0</v>
      </c>
      <c r="AY327" s="562">
        <v>0.0</v>
      </c>
      <c r="AZ327" s="562">
        <v>0.0</v>
      </c>
      <c r="BA327" s="562">
        <v>0.0</v>
      </c>
      <c r="BB327" s="562"/>
      <c r="BC327" s="562"/>
      <c r="BD327" s="562"/>
      <c r="BE327" s="562">
        <v>2.0</v>
      </c>
      <c r="BF327" s="562"/>
      <c r="BG327" s="562"/>
      <c r="BH327" s="562"/>
      <c r="BI327" s="562"/>
      <c r="BJ327" s="562"/>
      <c r="BK327" s="562"/>
      <c r="BL327" s="681"/>
      <c r="BM327" s="665">
        <f t="shared" si="1"/>
        <v>2</v>
      </c>
      <c r="BN327" s="682"/>
      <c r="BO327" s="683"/>
      <c r="BP327" s="683"/>
      <c r="BQ327" s="687">
        <v>3.0</v>
      </c>
      <c r="BR327" s="687">
        <v>3.0</v>
      </c>
      <c r="BS327" s="687">
        <v>3.0</v>
      </c>
      <c r="BT327" s="683"/>
      <c r="BU327" s="683"/>
      <c r="BV327" s="683"/>
      <c r="BW327" s="724">
        <v>1.0</v>
      </c>
      <c r="BX327" s="665">
        <f t="shared" si="840"/>
        <v>10</v>
      </c>
      <c r="BY327" s="682">
        <v>0.0</v>
      </c>
      <c r="BZ327" s="683">
        <v>0.0</v>
      </c>
      <c r="CA327" s="683">
        <v>2.0</v>
      </c>
      <c r="CB327" s="687">
        <v>0.0</v>
      </c>
      <c r="CC327" s="687">
        <v>0.0</v>
      </c>
      <c r="CD327" s="687">
        <v>0.0</v>
      </c>
      <c r="CE327" s="683">
        <v>0.0</v>
      </c>
      <c r="CF327" s="683">
        <v>0.0</v>
      </c>
      <c r="CG327" s="683">
        <v>0.0</v>
      </c>
      <c r="CH327" s="686">
        <v>0.0</v>
      </c>
      <c r="CI327" s="665">
        <f t="shared" si="841"/>
        <v>2</v>
      </c>
      <c r="CJ327" s="682">
        <f t="shared" si="4"/>
        <v>14</v>
      </c>
      <c r="CK327" s="706">
        <v>784.35</v>
      </c>
      <c r="CL327" s="683">
        <f t="shared" si="912"/>
        <v>5459.076</v>
      </c>
      <c r="CM327" s="683">
        <f t="shared" ref="CM327:CV327" si="1000">BC327*$CL327</f>
        <v>0</v>
      </c>
      <c r="CN327" s="683">
        <f t="shared" si="1000"/>
        <v>0</v>
      </c>
      <c r="CO327" s="683">
        <f t="shared" si="1000"/>
        <v>10918.152</v>
      </c>
      <c r="CP327" s="683">
        <f t="shared" si="1000"/>
        <v>0</v>
      </c>
      <c r="CQ327" s="683">
        <f t="shared" si="1000"/>
        <v>0</v>
      </c>
      <c r="CR327" s="683">
        <f t="shared" si="1000"/>
        <v>0</v>
      </c>
      <c r="CS327" s="683">
        <f t="shared" si="1000"/>
        <v>0</v>
      </c>
      <c r="CT327" s="683">
        <f t="shared" si="1000"/>
        <v>0</v>
      </c>
      <c r="CU327" s="683">
        <f t="shared" si="1000"/>
        <v>0</v>
      </c>
      <c r="CV327" s="683">
        <f t="shared" si="1000"/>
        <v>0</v>
      </c>
      <c r="CW327" s="683">
        <f t="shared" si="21"/>
        <v>10918.152</v>
      </c>
      <c r="CX327" s="683">
        <f t="shared" ref="CX327:DG327" si="1001">BN327*$CL327</f>
        <v>0</v>
      </c>
      <c r="CY327" s="683">
        <f t="shared" si="1001"/>
        <v>0</v>
      </c>
      <c r="CZ327" s="683">
        <f t="shared" si="1001"/>
        <v>0</v>
      </c>
      <c r="DA327" s="683">
        <f t="shared" si="1001"/>
        <v>16377.228</v>
      </c>
      <c r="DB327" s="683">
        <f t="shared" si="1001"/>
        <v>16377.228</v>
      </c>
      <c r="DC327" s="683">
        <f t="shared" si="1001"/>
        <v>16377.228</v>
      </c>
      <c r="DD327" s="683">
        <f t="shared" si="1001"/>
        <v>0</v>
      </c>
      <c r="DE327" s="683">
        <f t="shared" si="1001"/>
        <v>0</v>
      </c>
      <c r="DF327" s="683">
        <f t="shared" si="1001"/>
        <v>0</v>
      </c>
      <c r="DG327" s="683">
        <f t="shared" si="1001"/>
        <v>5459.076</v>
      </c>
      <c r="DH327" s="683">
        <f t="shared" si="23"/>
        <v>54590.76</v>
      </c>
      <c r="DI327" s="683">
        <f t="shared" ref="DI327:DR327" si="1002">BY327*$CL327</f>
        <v>0</v>
      </c>
      <c r="DJ327" s="683">
        <f t="shared" si="1002"/>
        <v>0</v>
      </c>
      <c r="DK327" s="683">
        <f t="shared" si="1002"/>
        <v>10918.152</v>
      </c>
      <c r="DL327" s="683">
        <f t="shared" si="1002"/>
        <v>0</v>
      </c>
      <c r="DM327" s="683">
        <f t="shared" si="1002"/>
        <v>0</v>
      </c>
      <c r="DN327" s="683">
        <f t="shared" si="1002"/>
        <v>0</v>
      </c>
      <c r="DO327" s="683">
        <f t="shared" si="1002"/>
        <v>0</v>
      </c>
      <c r="DP327" s="683">
        <f t="shared" si="1002"/>
        <v>0</v>
      </c>
      <c r="DQ327" s="683">
        <f t="shared" si="1002"/>
        <v>0</v>
      </c>
      <c r="DR327" s="683">
        <f t="shared" si="1002"/>
        <v>0</v>
      </c>
      <c r="DS327" s="683">
        <f t="shared" si="25"/>
        <v>10918.152</v>
      </c>
      <c r="DT327" s="683">
        <f t="shared" si="685"/>
        <v>76427.064</v>
      </c>
      <c r="DU327" s="504"/>
      <c r="DV327" s="486"/>
      <c r="DW327" s="688"/>
      <c r="DX327" s="688"/>
      <c r="DY327" s="688"/>
      <c r="DZ327" s="688"/>
      <c r="EA327" s="688"/>
      <c r="EB327" s="688"/>
      <c r="EC327" s="688"/>
      <c r="ED327" s="688"/>
      <c r="EE327" s="688"/>
      <c r="EF327" s="688"/>
      <c r="EG327" s="688"/>
      <c r="EH327" s="707" t="s">
        <v>350</v>
      </c>
      <c r="EI327" s="708">
        <f>VLOOKUP(I327,CotizacionTDB,4,FALSE())</f>
        <v>784.35</v>
      </c>
      <c r="EJ327" s="708">
        <f>VLOOKUP(I327,CotizacionTDB,5,FALSE())</f>
        <v>666.7</v>
      </c>
      <c r="EK327" s="691"/>
    </row>
    <row r="328" ht="12.0" customHeight="1">
      <c r="A328" s="709" t="s">
        <v>3026</v>
      </c>
      <c r="B328" s="661">
        <v>2.0</v>
      </c>
      <c r="C328" s="567" t="s">
        <v>3027</v>
      </c>
      <c r="D328" s="568" t="s">
        <v>544</v>
      </c>
      <c r="E328" s="568" t="s">
        <v>2708</v>
      </c>
      <c r="F328" s="567" t="s">
        <v>1763</v>
      </c>
      <c r="G328" s="569" t="s">
        <v>2709</v>
      </c>
      <c r="H328" s="657" t="s">
        <v>3526</v>
      </c>
      <c r="I328" s="710" t="s">
        <v>2155</v>
      </c>
      <c r="J328" s="711" t="s">
        <v>901</v>
      </c>
      <c r="K328" s="567" t="s">
        <v>25</v>
      </c>
      <c r="L328" s="567">
        <v>2024.0</v>
      </c>
      <c r="M328" s="567">
        <v>2024.0</v>
      </c>
      <c r="N328" s="567">
        <v>2024.0</v>
      </c>
      <c r="O328" s="567">
        <v>2024.0</v>
      </c>
      <c r="P328" s="567">
        <v>2024.0</v>
      </c>
      <c r="Q328" s="567">
        <v>2024.0</v>
      </c>
      <c r="R328" s="567"/>
      <c r="S328" s="567"/>
      <c r="T328" s="567"/>
      <c r="U328" s="567"/>
      <c r="V328" s="567"/>
      <c r="W328" s="567">
        <v>2.0</v>
      </c>
      <c r="X328" s="567">
        <v>2.0</v>
      </c>
      <c r="Y328" s="567">
        <v>2.0</v>
      </c>
      <c r="Z328" s="567">
        <v>2.0</v>
      </c>
      <c r="AA328" s="567">
        <v>2.0</v>
      </c>
      <c r="AB328" s="567">
        <v>2.0</v>
      </c>
      <c r="AC328" s="567"/>
      <c r="AD328" s="567"/>
      <c r="AE328" s="567"/>
      <c r="AF328" s="567"/>
      <c r="AG328" s="567"/>
      <c r="AH328" s="567"/>
      <c r="AI328" s="567"/>
      <c r="AJ328" s="567"/>
      <c r="AK328" s="567"/>
      <c r="AL328" s="567"/>
      <c r="AM328" s="567"/>
      <c r="AN328" s="567"/>
      <c r="AO328" s="567"/>
      <c r="AP328" s="567"/>
      <c r="AQ328" s="567"/>
      <c r="AR328" s="567">
        <v>-2024.0</v>
      </c>
      <c r="AS328" s="567">
        <v>-2024.0</v>
      </c>
      <c r="AT328" s="567">
        <v>-2024.0</v>
      </c>
      <c r="AU328" s="567">
        <v>-2024.0</v>
      </c>
      <c r="AV328" s="567">
        <v>-2024.0</v>
      </c>
      <c r="AW328" s="567">
        <v>-2024.0</v>
      </c>
      <c r="AX328" s="567">
        <v>0.0</v>
      </c>
      <c r="AY328" s="567">
        <v>0.0</v>
      </c>
      <c r="AZ328" s="567">
        <v>0.0</v>
      </c>
      <c r="BA328" s="567">
        <v>0.0</v>
      </c>
      <c r="BB328" s="567"/>
      <c r="BC328" s="567">
        <v>10.0</v>
      </c>
      <c r="BD328" s="567">
        <v>2.0</v>
      </c>
      <c r="BE328" s="567">
        <v>10.0</v>
      </c>
      <c r="BF328" s="567">
        <v>10.0</v>
      </c>
      <c r="BG328" s="567">
        <v>10.0</v>
      </c>
      <c r="BH328" s="567">
        <v>10.0</v>
      </c>
      <c r="BI328" s="567"/>
      <c r="BJ328" s="567"/>
      <c r="BK328" s="567"/>
      <c r="BL328" s="725"/>
      <c r="BM328" s="665">
        <f t="shared" si="1"/>
        <v>52</v>
      </c>
      <c r="BN328" s="671"/>
      <c r="BO328" s="668"/>
      <c r="BP328" s="668"/>
      <c r="BQ328" s="668"/>
      <c r="BR328" s="668"/>
      <c r="BS328" s="668"/>
      <c r="BT328" s="668"/>
      <c r="BU328" s="668"/>
      <c r="BV328" s="668"/>
      <c r="BW328" s="670"/>
      <c r="BX328" s="665">
        <f t="shared" si="840"/>
        <v>0</v>
      </c>
      <c r="BY328" s="671">
        <v>10.0</v>
      </c>
      <c r="BZ328" s="668">
        <v>2.0</v>
      </c>
      <c r="CA328" s="668">
        <v>10.0</v>
      </c>
      <c r="CB328" s="668">
        <v>10.0</v>
      </c>
      <c r="CC328" s="668">
        <v>10.0</v>
      </c>
      <c r="CD328" s="668">
        <v>10.0</v>
      </c>
      <c r="CE328" s="668">
        <v>0.0</v>
      </c>
      <c r="CF328" s="668">
        <v>0.0</v>
      </c>
      <c r="CG328" s="668">
        <v>0.0</v>
      </c>
      <c r="CH328" s="670">
        <v>0.0</v>
      </c>
      <c r="CI328" s="665">
        <f t="shared" si="841"/>
        <v>52</v>
      </c>
      <c r="CJ328" s="671">
        <f t="shared" si="4"/>
        <v>104</v>
      </c>
      <c r="CK328" s="715">
        <v>20.23</v>
      </c>
      <c r="CL328" s="668">
        <f t="shared" si="912"/>
        <v>140.8008</v>
      </c>
      <c r="CM328" s="668">
        <f t="shared" ref="CM328:CV328" si="1003">BC328*$CL328</f>
        <v>1408.008</v>
      </c>
      <c r="CN328" s="668">
        <f t="shared" si="1003"/>
        <v>281.6016</v>
      </c>
      <c r="CO328" s="668">
        <f t="shared" si="1003"/>
        <v>1408.008</v>
      </c>
      <c r="CP328" s="668">
        <f t="shared" si="1003"/>
        <v>1408.008</v>
      </c>
      <c r="CQ328" s="668">
        <f t="shared" si="1003"/>
        <v>1408.008</v>
      </c>
      <c r="CR328" s="668">
        <f t="shared" si="1003"/>
        <v>1408.008</v>
      </c>
      <c r="CS328" s="668">
        <f t="shared" si="1003"/>
        <v>0</v>
      </c>
      <c r="CT328" s="668">
        <f t="shared" si="1003"/>
        <v>0</v>
      </c>
      <c r="CU328" s="668">
        <f t="shared" si="1003"/>
        <v>0</v>
      </c>
      <c r="CV328" s="668">
        <f t="shared" si="1003"/>
        <v>0</v>
      </c>
      <c r="CW328" s="668">
        <f t="shared" si="21"/>
        <v>7321.6416</v>
      </c>
      <c r="CX328" s="668">
        <f t="shared" ref="CX328:DG328" si="1004">BN328*$CL328</f>
        <v>0</v>
      </c>
      <c r="CY328" s="668">
        <f t="shared" si="1004"/>
        <v>0</v>
      </c>
      <c r="CZ328" s="668">
        <f t="shared" si="1004"/>
        <v>0</v>
      </c>
      <c r="DA328" s="668">
        <f t="shared" si="1004"/>
        <v>0</v>
      </c>
      <c r="DB328" s="668">
        <f t="shared" si="1004"/>
        <v>0</v>
      </c>
      <c r="DC328" s="668">
        <f t="shared" si="1004"/>
        <v>0</v>
      </c>
      <c r="DD328" s="668">
        <f t="shared" si="1004"/>
        <v>0</v>
      </c>
      <c r="DE328" s="668">
        <f t="shared" si="1004"/>
        <v>0</v>
      </c>
      <c r="DF328" s="668">
        <f t="shared" si="1004"/>
        <v>0</v>
      </c>
      <c r="DG328" s="668">
        <f t="shared" si="1004"/>
        <v>0</v>
      </c>
      <c r="DH328" s="668">
        <f t="shared" si="23"/>
        <v>0</v>
      </c>
      <c r="DI328" s="668">
        <f t="shared" ref="DI328:DR328" si="1005">BY328*$CL328</f>
        <v>1408.008</v>
      </c>
      <c r="DJ328" s="668">
        <f t="shared" si="1005"/>
        <v>281.6016</v>
      </c>
      <c r="DK328" s="668">
        <f t="shared" si="1005"/>
        <v>1408.008</v>
      </c>
      <c r="DL328" s="668">
        <f t="shared" si="1005"/>
        <v>1408.008</v>
      </c>
      <c r="DM328" s="668">
        <f t="shared" si="1005"/>
        <v>1408.008</v>
      </c>
      <c r="DN328" s="668">
        <f t="shared" si="1005"/>
        <v>1408.008</v>
      </c>
      <c r="DO328" s="668">
        <f t="shared" si="1005"/>
        <v>0</v>
      </c>
      <c r="DP328" s="668">
        <f t="shared" si="1005"/>
        <v>0</v>
      </c>
      <c r="DQ328" s="668">
        <f t="shared" si="1005"/>
        <v>0</v>
      </c>
      <c r="DR328" s="668">
        <f t="shared" si="1005"/>
        <v>0</v>
      </c>
      <c r="DS328" s="668">
        <f t="shared" si="25"/>
        <v>7321.6416</v>
      </c>
      <c r="DT328" s="668">
        <f t="shared" si="685"/>
        <v>14643.2832</v>
      </c>
      <c r="DU328" s="538"/>
      <c r="DV328" s="468"/>
      <c r="DW328" s="698"/>
      <c r="DX328" s="698"/>
      <c r="DY328" s="698"/>
      <c r="DZ328" s="698"/>
      <c r="EA328" s="698"/>
      <c r="EB328" s="698"/>
      <c r="EC328" s="698"/>
      <c r="ED328" s="698"/>
      <c r="EE328" s="698"/>
      <c r="EF328" s="698"/>
      <c r="EG328" s="698"/>
      <c r="EH328" s="576" t="s">
        <v>901</v>
      </c>
      <c r="EI328" s="716">
        <f>VLOOKUP(I328,CotizacionTDB,4,FALSE())</f>
        <v>20.23</v>
      </c>
      <c r="EJ328" s="716">
        <f>VLOOKUP(I328,CotizacionTDB,5,FALSE())</f>
        <v>17.2</v>
      </c>
      <c r="EK328" s="699"/>
    </row>
    <row r="329" ht="12.0" customHeight="1">
      <c r="A329" s="700" t="s">
        <v>3026</v>
      </c>
      <c r="B329" s="701">
        <v>2.0</v>
      </c>
      <c r="C329" s="562" t="s">
        <v>3027</v>
      </c>
      <c r="D329" s="571" t="s">
        <v>544</v>
      </c>
      <c r="E329" s="571" t="s">
        <v>2708</v>
      </c>
      <c r="F329" s="562" t="s">
        <v>1763</v>
      </c>
      <c r="G329" s="702" t="s">
        <v>2709</v>
      </c>
      <c r="H329" s="569" t="s">
        <v>3527</v>
      </c>
      <c r="I329" s="703" t="s">
        <v>2208</v>
      </c>
      <c r="J329" s="704" t="s">
        <v>1139</v>
      </c>
      <c r="K329" s="701" t="s">
        <v>25</v>
      </c>
      <c r="L329" s="562"/>
      <c r="M329" s="562"/>
      <c r="N329" s="562"/>
      <c r="O329" s="562"/>
      <c r="P329" s="562"/>
      <c r="Q329" s="562"/>
      <c r="R329" s="562"/>
      <c r="S329" s="562"/>
      <c r="T329" s="562"/>
      <c r="U329" s="562">
        <v>2024.0</v>
      </c>
      <c r="V329" s="562"/>
      <c r="W329" s="562"/>
      <c r="X329" s="562"/>
      <c r="Y329" s="562"/>
      <c r="Z329" s="562"/>
      <c r="AA329" s="562"/>
      <c r="AB329" s="562"/>
      <c r="AC329" s="562"/>
      <c r="AD329" s="562"/>
      <c r="AE329" s="562"/>
      <c r="AF329" s="867">
        <v>1.0</v>
      </c>
      <c r="AG329" s="562"/>
      <c r="AH329" s="562"/>
      <c r="AI329" s="562"/>
      <c r="AJ329" s="562"/>
      <c r="AK329" s="562"/>
      <c r="AL329" s="562"/>
      <c r="AM329" s="562"/>
      <c r="AN329" s="562"/>
      <c r="AO329" s="562"/>
      <c r="AP329" s="562"/>
      <c r="AQ329" s="562"/>
      <c r="AR329" s="562">
        <v>0.0</v>
      </c>
      <c r="AS329" s="562">
        <v>0.0</v>
      </c>
      <c r="AT329" s="562">
        <v>0.0</v>
      </c>
      <c r="AU329" s="562">
        <v>0.0</v>
      </c>
      <c r="AV329" s="562">
        <v>0.0</v>
      </c>
      <c r="AW329" s="562">
        <v>0.0</v>
      </c>
      <c r="AX329" s="562">
        <v>0.0</v>
      </c>
      <c r="AY329" s="562">
        <v>0.0</v>
      </c>
      <c r="AZ329" s="562">
        <v>0.0</v>
      </c>
      <c r="BA329" s="562">
        <v>-2024.0</v>
      </c>
      <c r="BB329" s="562"/>
      <c r="BC329" s="562"/>
      <c r="BD329" s="562"/>
      <c r="BE329" s="562"/>
      <c r="BF329" s="562"/>
      <c r="BG329" s="562"/>
      <c r="BH329" s="562"/>
      <c r="BI329" s="562"/>
      <c r="BJ329" s="562"/>
      <c r="BK329" s="562"/>
      <c r="BL329" s="681">
        <v>2.0</v>
      </c>
      <c r="BM329" s="665">
        <f t="shared" si="1"/>
        <v>2</v>
      </c>
      <c r="BN329" s="682"/>
      <c r="BO329" s="683"/>
      <c r="BP329" s="683"/>
      <c r="BQ329" s="683"/>
      <c r="BR329" s="683"/>
      <c r="BS329" s="683"/>
      <c r="BT329" s="683"/>
      <c r="BU329" s="683"/>
      <c r="BV329" s="683"/>
      <c r="BW329" s="686"/>
      <c r="BX329" s="665">
        <f t="shared" si="840"/>
        <v>0</v>
      </c>
      <c r="BY329" s="682">
        <v>0.0</v>
      </c>
      <c r="BZ329" s="683">
        <v>0.0</v>
      </c>
      <c r="CA329" s="683">
        <v>0.0</v>
      </c>
      <c r="CB329" s="683">
        <v>0.0</v>
      </c>
      <c r="CC329" s="683">
        <v>0.0</v>
      </c>
      <c r="CD329" s="683">
        <v>0.0</v>
      </c>
      <c r="CE329" s="683">
        <v>0.0</v>
      </c>
      <c r="CF329" s="683">
        <v>0.0</v>
      </c>
      <c r="CG329" s="683">
        <v>0.0</v>
      </c>
      <c r="CH329" s="686">
        <v>0.0</v>
      </c>
      <c r="CI329" s="665">
        <f t="shared" si="841"/>
        <v>0</v>
      </c>
      <c r="CJ329" s="682">
        <f t="shared" si="4"/>
        <v>2</v>
      </c>
      <c r="CK329" s="706">
        <v>437.86</v>
      </c>
      <c r="CL329" s="683">
        <f t="shared" si="912"/>
        <v>3047.5056</v>
      </c>
      <c r="CM329" s="683">
        <f t="shared" ref="CM329:CV329" si="1006">BC329*$CL329</f>
        <v>0</v>
      </c>
      <c r="CN329" s="683">
        <f t="shared" si="1006"/>
        <v>0</v>
      </c>
      <c r="CO329" s="683">
        <f t="shared" si="1006"/>
        <v>0</v>
      </c>
      <c r="CP329" s="683">
        <f t="shared" si="1006"/>
        <v>0</v>
      </c>
      <c r="CQ329" s="683">
        <f t="shared" si="1006"/>
        <v>0</v>
      </c>
      <c r="CR329" s="683">
        <f t="shared" si="1006"/>
        <v>0</v>
      </c>
      <c r="CS329" s="683">
        <f t="shared" si="1006"/>
        <v>0</v>
      </c>
      <c r="CT329" s="683">
        <f t="shared" si="1006"/>
        <v>0</v>
      </c>
      <c r="CU329" s="683">
        <f t="shared" si="1006"/>
        <v>0</v>
      </c>
      <c r="CV329" s="683">
        <f t="shared" si="1006"/>
        <v>6095.0112</v>
      </c>
      <c r="CW329" s="683">
        <f t="shared" si="21"/>
        <v>6095.0112</v>
      </c>
      <c r="CX329" s="683">
        <f t="shared" ref="CX329:DG329" si="1007">BN329*$CL329</f>
        <v>0</v>
      </c>
      <c r="CY329" s="683">
        <f t="shared" si="1007"/>
        <v>0</v>
      </c>
      <c r="CZ329" s="683">
        <f t="shared" si="1007"/>
        <v>0</v>
      </c>
      <c r="DA329" s="683">
        <f t="shared" si="1007"/>
        <v>0</v>
      </c>
      <c r="DB329" s="683">
        <f t="shared" si="1007"/>
        <v>0</v>
      </c>
      <c r="DC329" s="683">
        <f t="shared" si="1007"/>
        <v>0</v>
      </c>
      <c r="DD329" s="683">
        <f t="shared" si="1007"/>
        <v>0</v>
      </c>
      <c r="DE329" s="683">
        <f t="shared" si="1007"/>
        <v>0</v>
      </c>
      <c r="DF329" s="683">
        <f t="shared" si="1007"/>
        <v>0</v>
      </c>
      <c r="DG329" s="683">
        <f t="shared" si="1007"/>
        <v>0</v>
      </c>
      <c r="DH329" s="683">
        <f t="shared" si="23"/>
        <v>0</v>
      </c>
      <c r="DI329" s="683">
        <f t="shared" ref="DI329:DR329" si="1008">BY329*$CL329</f>
        <v>0</v>
      </c>
      <c r="DJ329" s="683">
        <f t="shared" si="1008"/>
        <v>0</v>
      </c>
      <c r="DK329" s="683">
        <f t="shared" si="1008"/>
        <v>0</v>
      </c>
      <c r="DL329" s="683">
        <f t="shared" si="1008"/>
        <v>0</v>
      </c>
      <c r="DM329" s="683">
        <f t="shared" si="1008"/>
        <v>0</v>
      </c>
      <c r="DN329" s="683">
        <f t="shared" si="1008"/>
        <v>0</v>
      </c>
      <c r="DO329" s="683">
        <f t="shared" si="1008"/>
        <v>0</v>
      </c>
      <c r="DP329" s="683">
        <f t="shared" si="1008"/>
        <v>0</v>
      </c>
      <c r="DQ329" s="683">
        <f t="shared" si="1008"/>
        <v>0</v>
      </c>
      <c r="DR329" s="683">
        <f t="shared" si="1008"/>
        <v>0</v>
      </c>
      <c r="DS329" s="683">
        <f t="shared" si="25"/>
        <v>0</v>
      </c>
      <c r="DT329" s="683">
        <f t="shared" si="685"/>
        <v>6095.0112</v>
      </c>
      <c r="DU329" s="504"/>
      <c r="DV329" s="486"/>
      <c r="DW329" s="688"/>
      <c r="DX329" s="688"/>
      <c r="DY329" s="688"/>
      <c r="DZ329" s="688"/>
      <c r="EA329" s="688"/>
      <c r="EB329" s="688"/>
      <c r="EC329" s="688"/>
      <c r="ED329" s="688"/>
      <c r="EE329" s="688"/>
      <c r="EF329" s="688"/>
      <c r="EG329" s="688"/>
      <c r="EH329" s="707" t="s">
        <v>1139</v>
      </c>
      <c r="EI329" s="708">
        <f>VLOOKUP(I329,CotizacionTDB,4,FALSE())</f>
        <v>437.86</v>
      </c>
      <c r="EJ329" s="708">
        <f>VLOOKUP(I329,CotizacionTDB,5,FALSE())</f>
        <v>372.18</v>
      </c>
      <c r="EK329" s="691"/>
    </row>
    <row r="330" ht="12.0" customHeight="1">
      <c r="A330" s="709" t="s">
        <v>3026</v>
      </c>
      <c r="B330" s="661">
        <v>2.0</v>
      </c>
      <c r="C330" s="567" t="s">
        <v>3027</v>
      </c>
      <c r="D330" s="568" t="s">
        <v>544</v>
      </c>
      <c r="E330" s="568" t="s">
        <v>2708</v>
      </c>
      <c r="F330" s="567" t="s">
        <v>1763</v>
      </c>
      <c r="G330" s="569" t="s">
        <v>2709</v>
      </c>
      <c r="H330" s="657" t="s">
        <v>2890</v>
      </c>
      <c r="I330" s="710" t="s">
        <v>2280</v>
      </c>
      <c r="J330" s="820" t="s">
        <v>795</v>
      </c>
      <c r="K330" s="567" t="s">
        <v>25</v>
      </c>
      <c r="L330" s="567"/>
      <c r="M330" s="567"/>
      <c r="N330" s="567"/>
      <c r="O330" s="567"/>
      <c r="P330" s="567"/>
      <c r="Q330" s="567"/>
      <c r="R330" s="567">
        <v>2024.0</v>
      </c>
      <c r="S330" s="567">
        <v>2024.0</v>
      </c>
      <c r="T330" s="567"/>
      <c r="U330" s="567"/>
      <c r="V330" s="567"/>
      <c r="W330" s="567">
        <v>5.0</v>
      </c>
      <c r="X330" s="567"/>
      <c r="Y330" s="567"/>
      <c r="Z330" s="567"/>
      <c r="AA330" s="567"/>
      <c r="AB330" s="567"/>
      <c r="AC330" s="662">
        <v>1.0</v>
      </c>
      <c r="AD330" s="662">
        <v>1.0</v>
      </c>
      <c r="AE330" s="567"/>
      <c r="AF330" s="567"/>
      <c r="AG330" s="567"/>
      <c r="AH330" s="567"/>
      <c r="AI330" s="567"/>
      <c r="AJ330" s="567"/>
      <c r="AK330" s="567"/>
      <c r="AL330" s="567"/>
      <c r="AM330" s="567"/>
      <c r="AN330" s="567"/>
      <c r="AO330" s="567"/>
      <c r="AP330" s="567"/>
      <c r="AQ330" s="567"/>
      <c r="AR330" s="567">
        <v>0.0</v>
      </c>
      <c r="AS330" s="567">
        <v>0.0</v>
      </c>
      <c r="AT330" s="567">
        <v>0.0</v>
      </c>
      <c r="AU330" s="567">
        <v>0.0</v>
      </c>
      <c r="AV330" s="567">
        <v>0.0</v>
      </c>
      <c r="AW330" s="567">
        <v>0.0</v>
      </c>
      <c r="AX330" s="567">
        <v>-2024.0</v>
      </c>
      <c r="AY330" s="567">
        <v>-2024.0</v>
      </c>
      <c r="AZ330" s="567">
        <v>0.0</v>
      </c>
      <c r="BA330" s="567">
        <v>0.0</v>
      </c>
      <c r="BB330" s="567"/>
      <c r="BC330" s="567"/>
      <c r="BD330" s="567"/>
      <c r="BE330" s="567"/>
      <c r="BF330" s="567"/>
      <c r="BG330" s="567"/>
      <c r="BH330" s="567"/>
      <c r="BI330" s="567">
        <v>1.0</v>
      </c>
      <c r="BJ330" s="567">
        <v>1.0</v>
      </c>
      <c r="BK330" s="567"/>
      <c r="BL330" s="725"/>
      <c r="BM330" s="665">
        <f t="shared" si="1"/>
        <v>2</v>
      </c>
      <c r="BN330" s="736">
        <v>1.0</v>
      </c>
      <c r="BO330" s="674">
        <v>1.0</v>
      </c>
      <c r="BP330" s="674">
        <v>1.0</v>
      </c>
      <c r="BQ330" s="668"/>
      <c r="BR330" s="668"/>
      <c r="BS330" s="668"/>
      <c r="BT330" s="668"/>
      <c r="BU330" s="668"/>
      <c r="BV330" s="668"/>
      <c r="BW330" s="713">
        <v>1.0</v>
      </c>
      <c r="BX330" s="665">
        <f t="shared" si="840"/>
        <v>4</v>
      </c>
      <c r="BY330" s="736">
        <v>1.0</v>
      </c>
      <c r="BZ330" s="668">
        <v>0.0</v>
      </c>
      <c r="CA330" s="674">
        <v>1.0</v>
      </c>
      <c r="CB330" s="668">
        <v>0.0</v>
      </c>
      <c r="CC330" s="668">
        <v>0.0</v>
      </c>
      <c r="CD330" s="668">
        <v>0.0</v>
      </c>
      <c r="CE330" s="668">
        <v>0.0</v>
      </c>
      <c r="CF330" s="668">
        <v>0.0</v>
      </c>
      <c r="CG330" s="668">
        <v>0.0</v>
      </c>
      <c r="CH330" s="670">
        <v>0.0</v>
      </c>
      <c r="CI330" s="665">
        <f t="shared" si="841"/>
        <v>2</v>
      </c>
      <c r="CJ330" s="671">
        <f t="shared" si="4"/>
        <v>8</v>
      </c>
      <c r="CK330" s="715">
        <v>384.33</v>
      </c>
      <c r="CL330" s="668">
        <f t="shared" si="912"/>
        <v>2674.9368</v>
      </c>
      <c r="CM330" s="668">
        <f t="shared" ref="CM330:CV330" si="1009">BC330*$CL330</f>
        <v>0</v>
      </c>
      <c r="CN330" s="668">
        <f t="shared" si="1009"/>
        <v>0</v>
      </c>
      <c r="CO330" s="668">
        <f t="shared" si="1009"/>
        <v>0</v>
      </c>
      <c r="CP330" s="668">
        <f t="shared" si="1009"/>
        <v>0</v>
      </c>
      <c r="CQ330" s="668">
        <f t="shared" si="1009"/>
        <v>0</v>
      </c>
      <c r="CR330" s="668">
        <f t="shared" si="1009"/>
        <v>0</v>
      </c>
      <c r="CS330" s="668">
        <f t="shared" si="1009"/>
        <v>2674.9368</v>
      </c>
      <c r="CT330" s="668">
        <f t="shared" si="1009"/>
        <v>2674.9368</v>
      </c>
      <c r="CU330" s="668">
        <f t="shared" si="1009"/>
        <v>0</v>
      </c>
      <c r="CV330" s="668">
        <f t="shared" si="1009"/>
        <v>0</v>
      </c>
      <c r="CW330" s="668">
        <f t="shared" si="21"/>
        <v>5349.8736</v>
      </c>
      <c r="CX330" s="668">
        <f t="shared" ref="CX330:DG330" si="1010">BN330*$CL330</f>
        <v>2674.9368</v>
      </c>
      <c r="CY330" s="668">
        <f t="shared" si="1010"/>
        <v>2674.9368</v>
      </c>
      <c r="CZ330" s="668">
        <f t="shared" si="1010"/>
        <v>2674.9368</v>
      </c>
      <c r="DA330" s="668">
        <f t="shared" si="1010"/>
        <v>0</v>
      </c>
      <c r="DB330" s="668">
        <f t="shared" si="1010"/>
        <v>0</v>
      </c>
      <c r="DC330" s="668">
        <f t="shared" si="1010"/>
        <v>0</v>
      </c>
      <c r="DD330" s="668">
        <f t="shared" si="1010"/>
        <v>0</v>
      </c>
      <c r="DE330" s="668">
        <f t="shared" si="1010"/>
        <v>0</v>
      </c>
      <c r="DF330" s="668">
        <f t="shared" si="1010"/>
        <v>0</v>
      </c>
      <c r="DG330" s="668">
        <f t="shared" si="1010"/>
        <v>2674.9368</v>
      </c>
      <c r="DH330" s="668">
        <f t="shared" si="23"/>
        <v>10699.7472</v>
      </c>
      <c r="DI330" s="668">
        <f t="shared" ref="DI330:DR330" si="1011">BY330*$CL330</f>
        <v>2674.9368</v>
      </c>
      <c r="DJ330" s="668">
        <f t="shared" si="1011"/>
        <v>0</v>
      </c>
      <c r="DK330" s="668">
        <f t="shared" si="1011"/>
        <v>2674.9368</v>
      </c>
      <c r="DL330" s="668">
        <f t="shared" si="1011"/>
        <v>0</v>
      </c>
      <c r="DM330" s="668">
        <f t="shared" si="1011"/>
        <v>0</v>
      </c>
      <c r="DN330" s="668">
        <f t="shared" si="1011"/>
        <v>0</v>
      </c>
      <c r="DO330" s="668">
        <f t="shared" si="1011"/>
        <v>0</v>
      </c>
      <c r="DP330" s="668">
        <f t="shared" si="1011"/>
        <v>0</v>
      </c>
      <c r="DQ330" s="668">
        <f t="shared" si="1011"/>
        <v>0</v>
      </c>
      <c r="DR330" s="668">
        <f t="shared" si="1011"/>
        <v>0</v>
      </c>
      <c r="DS330" s="668">
        <f t="shared" si="25"/>
        <v>5349.8736</v>
      </c>
      <c r="DT330" s="668">
        <f t="shared" si="685"/>
        <v>21399.4944</v>
      </c>
      <c r="DU330" s="538"/>
      <c r="DV330" s="468"/>
      <c r="DW330" s="698"/>
      <c r="DX330" s="698"/>
      <c r="DY330" s="698"/>
      <c r="DZ330" s="698"/>
      <c r="EA330" s="698"/>
      <c r="EB330" s="698"/>
      <c r="EC330" s="698"/>
      <c r="ED330" s="698"/>
      <c r="EE330" s="698"/>
      <c r="EF330" s="698"/>
      <c r="EG330" s="698"/>
      <c r="EH330" s="576" t="s">
        <v>3528</v>
      </c>
      <c r="EI330" s="716">
        <f>VLOOKUP(I330,CotizacionTDB,4,FALSE())</f>
        <v>384.33</v>
      </c>
      <c r="EJ330" s="716">
        <f>VLOOKUP(I330,CotizacionTDB,5,FALSE())</f>
        <v>326.68</v>
      </c>
      <c r="EK330" s="699"/>
    </row>
    <row r="331" ht="12.0" customHeight="1">
      <c r="A331" s="700" t="s">
        <v>3026</v>
      </c>
      <c r="B331" s="701">
        <v>2.0</v>
      </c>
      <c r="C331" s="562" t="s">
        <v>3027</v>
      </c>
      <c r="D331" s="571" t="s">
        <v>544</v>
      </c>
      <c r="E331" s="571" t="s">
        <v>2708</v>
      </c>
      <c r="F331" s="562" t="s">
        <v>1763</v>
      </c>
      <c r="G331" s="702" t="s">
        <v>2709</v>
      </c>
      <c r="H331" s="569" t="s">
        <v>3529</v>
      </c>
      <c r="I331" s="703" t="s">
        <v>1958</v>
      </c>
      <c r="J331" s="704" t="s">
        <v>280</v>
      </c>
      <c r="K331" s="562" t="s">
        <v>25</v>
      </c>
      <c r="L331" s="562"/>
      <c r="M331" s="562"/>
      <c r="N331" s="562"/>
      <c r="O331" s="562">
        <v>2024.0</v>
      </c>
      <c r="P331" s="562">
        <v>2024.0</v>
      </c>
      <c r="Q331" s="562">
        <v>2024.0</v>
      </c>
      <c r="R331" s="562"/>
      <c r="S331" s="562"/>
      <c r="T331" s="562"/>
      <c r="U331" s="562"/>
      <c r="V331" s="562"/>
      <c r="W331" s="562"/>
      <c r="X331" s="562"/>
      <c r="Y331" s="562"/>
      <c r="Z331" s="562">
        <v>5.0</v>
      </c>
      <c r="AA331" s="562">
        <v>5.0</v>
      </c>
      <c r="AB331" s="562">
        <v>5.0</v>
      </c>
      <c r="AC331" s="562"/>
      <c r="AD331" s="562"/>
      <c r="AE331" s="562"/>
      <c r="AF331" s="562"/>
      <c r="AG331" s="562"/>
      <c r="AH331" s="562"/>
      <c r="AI331" s="562"/>
      <c r="AJ331" s="562"/>
      <c r="AK331" s="562"/>
      <c r="AL331" s="562"/>
      <c r="AM331" s="562"/>
      <c r="AN331" s="562"/>
      <c r="AO331" s="562"/>
      <c r="AP331" s="562"/>
      <c r="AQ331" s="562"/>
      <c r="AR331" s="562">
        <v>0.0</v>
      </c>
      <c r="AS331" s="562">
        <v>0.0</v>
      </c>
      <c r="AT331" s="562">
        <v>0.0</v>
      </c>
      <c r="AU331" s="562">
        <v>-2024.0</v>
      </c>
      <c r="AV331" s="562">
        <v>-2024.0</v>
      </c>
      <c r="AW331" s="562">
        <v>-2024.0</v>
      </c>
      <c r="AX331" s="562">
        <v>0.0</v>
      </c>
      <c r="AY331" s="562">
        <v>0.0</v>
      </c>
      <c r="AZ331" s="562">
        <v>0.0</v>
      </c>
      <c r="BA331" s="562">
        <v>0.0</v>
      </c>
      <c r="BB331" s="562"/>
      <c r="BC331" s="562"/>
      <c r="BD331" s="562"/>
      <c r="BE331" s="562"/>
      <c r="BF331" s="562">
        <v>32.0</v>
      </c>
      <c r="BG331" s="562"/>
      <c r="BH331" s="562"/>
      <c r="BI331" s="562"/>
      <c r="BJ331" s="562"/>
      <c r="BK331" s="562"/>
      <c r="BL331" s="681"/>
      <c r="BM331" s="665">
        <f t="shared" si="1"/>
        <v>32</v>
      </c>
      <c r="BN331" s="733"/>
      <c r="BO331" s="683"/>
      <c r="BP331" s="683"/>
      <c r="BQ331" s="683"/>
      <c r="BR331" s="687">
        <v>80.0</v>
      </c>
      <c r="BS331" s="687">
        <v>116.0</v>
      </c>
      <c r="BT331" s="683"/>
      <c r="BU331" s="683"/>
      <c r="BV331" s="683"/>
      <c r="BW331" s="724">
        <v>10.0</v>
      </c>
      <c r="BX331" s="665">
        <f t="shared" si="840"/>
        <v>206</v>
      </c>
      <c r="BY331" s="728">
        <v>32.0</v>
      </c>
      <c r="BZ331" s="849">
        <v>32.0</v>
      </c>
      <c r="CA331" s="683">
        <v>0.0</v>
      </c>
      <c r="CB331" s="683">
        <v>0.0</v>
      </c>
      <c r="CC331" s="683">
        <v>0.0</v>
      </c>
      <c r="CD331" s="683">
        <v>0.0</v>
      </c>
      <c r="CE331" s="683">
        <v>0.0</v>
      </c>
      <c r="CF331" s="683">
        <v>0.0</v>
      </c>
      <c r="CG331" s="683">
        <v>0.0</v>
      </c>
      <c r="CH331" s="686">
        <v>0.0</v>
      </c>
      <c r="CI331" s="665">
        <f t="shared" si="841"/>
        <v>64</v>
      </c>
      <c r="CJ331" s="682">
        <f t="shared" si="4"/>
        <v>302</v>
      </c>
      <c r="CK331" s="706">
        <v>17.54</v>
      </c>
      <c r="CL331" s="683">
        <f t="shared" si="912"/>
        <v>122.0784</v>
      </c>
      <c r="CM331" s="683">
        <f t="shared" ref="CM331:CV331" si="1012">BC331*$CL331</f>
        <v>0</v>
      </c>
      <c r="CN331" s="683">
        <f t="shared" si="1012"/>
        <v>0</v>
      </c>
      <c r="CO331" s="683">
        <f t="shared" si="1012"/>
        <v>0</v>
      </c>
      <c r="CP331" s="683">
        <f t="shared" si="1012"/>
        <v>3906.5088</v>
      </c>
      <c r="CQ331" s="683">
        <f t="shared" si="1012"/>
        <v>0</v>
      </c>
      <c r="CR331" s="683">
        <f t="shared" si="1012"/>
        <v>0</v>
      </c>
      <c r="CS331" s="683">
        <f t="shared" si="1012"/>
        <v>0</v>
      </c>
      <c r="CT331" s="683">
        <f t="shared" si="1012"/>
        <v>0</v>
      </c>
      <c r="CU331" s="683">
        <f t="shared" si="1012"/>
        <v>0</v>
      </c>
      <c r="CV331" s="683">
        <f t="shared" si="1012"/>
        <v>0</v>
      </c>
      <c r="CW331" s="683">
        <f t="shared" si="21"/>
        <v>3906.5088</v>
      </c>
      <c r="CX331" s="683">
        <f t="shared" ref="CX331:DG331" si="1013">BN331*$CL331</f>
        <v>0</v>
      </c>
      <c r="CY331" s="683">
        <f t="shared" si="1013"/>
        <v>0</v>
      </c>
      <c r="CZ331" s="683">
        <f t="shared" si="1013"/>
        <v>0</v>
      </c>
      <c r="DA331" s="683">
        <f t="shared" si="1013"/>
        <v>0</v>
      </c>
      <c r="DB331" s="683">
        <f t="shared" si="1013"/>
        <v>9766.272</v>
      </c>
      <c r="DC331" s="683">
        <f t="shared" si="1013"/>
        <v>14161.0944</v>
      </c>
      <c r="DD331" s="683">
        <f t="shared" si="1013"/>
        <v>0</v>
      </c>
      <c r="DE331" s="683">
        <f t="shared" si="1013"/>
        <v>0</v>
      </c>
      <c r="DF331" s="683">
        <f t="shared" si="1013"/>
        <v>0</v>
      </c>
      <c r="DG331" s="683">
        <f t="shared" si="1013"/>
        <v>1220.784</v>
      </c>
      <c r="DH331" s="683">
        <f t="shared" si="23"/>
        <v>25148.1504</v>
      </c>
      <c r="DI331" s="683">
        <f t="shared" ref="DI331:DR331" si="1014">BY331*$CL331</f>
        <v>3906.5088</v>
      </c>
      <c r="DJ331" s="683">
        <f t="shared" si="1014"/>
        <v>3906.5088</v>
      </c>
      <c r="DK331" s="683">
        <f t="shared" si="1014"/>
        <v>0</v>
      </c>
      <c r="DL331" s="683">
        <f t="shared" si="1014"/>
        <v>0</v>
      </c>
      <c r="DM331" s="683">
        <f t="shared" si="1014"/>
        <v>0</v>
      </c>
      <c r="DN331" s="683">
        <f t="shared" si="1014"/>
        <v>0</v>
      </c>
      <c r="DO331" s="683">
        <f t="shared" si="1014"/>
        <v>0</v>
      </c>
      <c r="DP331" s="683">
        <f t="shared" si="1014"/>
        <v>0</v>
      </c>
      <c r="DQ331" s="683">
        <f t="shared" si="1014"/>
        <v>0</v>
      </c>
      <c r="DR331" s="683">
        <f t="shared" si="1014"/>
        <v>0</v>
      </c>
      <c r="DS331" s="683">
        <f t="shared" si="25"/>
        <v>7813.0176</v>
      </c>
      <c r="DT331" s="683">
        <f t="shared" si="685"/>
        <v>36867.6768</v>
      </c>
      <c r="DU331" s="504"/>
      <c r="DV331" s="486"/>
      <c r="DW331" s="688"/>
      <c r="DX331" s="688"/>
      <c r="DY331" s="688"/>
      <c r="DZ331" s="688"/>
      <c r="EA331" s="688"/>
      <c r="EB331" s="688"/>
      <c r="EC331" s="688"/>
      <c r="ED331" s="688"/>
      <c r="EE331" s="688"/>
      <c r="EF331" s="688"/>
      <c r="EG331" s="688"/>
      <c r="EH331" s="707" t="s">
        <v>3530</v>
      </c>
      <c r="EI331" s="708">
        <f>VLOOKUP(I331,CotizacionTDB,4,FALSE())</f>
        <v>17.54</v>
      </c>
      <c r="EJ331" s="708">
        <f>VLOOKUP(I331,CotizacionTDB,5,FALSE())</f>
        <v>14.91</v>
      </c>
      <c r="EK331" s="691"/>
    </row>
    <row r="332" ht="12.0" customHeight="1">
      <c r="A332" s="709" t="s">
        <v>3026</v>
      </c>
      <c r="B332" s="661">
        <v>2.0</v>
      </c>
      <c r="C332" s="567" t="s">
        <v>3027</v>
      </c>
      <c r="D332" s="568" t="s">
        <v>544</v>
      </c>
      <c r="E332" s="568" t="s">
        <v>2708</v>
      </c>
      <c r="F332" s="567" t="s">
        <v>1763</v>
      </c>
      <c r="G332" s="569" t="s">
        <v>2709</v>
      </c>
      <c r="H332" s="657" t="s">
        <v>3133</v>
      </c>
      <c r="I332" s="721" t="s">
        <v>1901</v>
      </c>
      <c r="J332" s="915" t="s">
        <v>980</v>
      </c>
      <c r="K332" s="567" t="s">
        <v>25</v>
      </c>
      <c r="L332" s="567">
        <v>2024.0</v>
      </c>
      <c r="M332" s="567">
        <v>2024.0</v>
      </c>
      <c r="N332" s="567">
        <v>2024.0</v>
      </c>
      <c r="O332" s="567"/>
      <c r="P332" s="567"/>
      <c r="Q332" s="567"/>
      <c r="R332" s="567"/>
      <c r="S332" s="567"/>
      <c r="T332" s="567"/>
      <c r="U332" s="567"/>
      <c r="V332" s="567"/>
      <c r="W332" s="567">
        <v>2.0</v>
      </c>
      <c r="X332" s="567">
        <v>2.0</v>
      </c>
      <c r="Y332" s="567">
        <v>2.0</v>
      </c>
      <c r="Z332" s="567"/>
      <c r="AA332" s="567"/>
      <c r="AB332" s="567"/>
      <c r="AC332" s="567"/>
      <c r="AD332" s="567"/>
      <c r="AE332" s="567"/>
      <c r="AF332" s="567"/>
      <c r="AG332" s="567"/>
      <c r="AH332" s="567"/>
      <c r="AI332" s="567"/>
      <c r="AJ332" s="567"/>
      <c r="AK332" s="567"/>
      <c r="AL332" s="567"/>
      <c r="AM332" s="567"/>
      <c r="AN332" s="567"/>
      <c r="AO332" s="567"/>
      <c r="AP332" s="567"/>
      <c r="AQ332" s="567"/>
      <c r="AR332" s="567">
        <v>-2024.0</v>
      </c>
      <c r="AS332" s="567">
        <v>-2024.0</v>
      </c>
      <c r="AT332" s="567">
        <v>-2024.0</v>
      </c>
      <c r="AU332" s="567">
        <v>0.0</v>
      </c>
      <c r="AV332" s="567">
        <v>0.0</v>
      </c>
      <c r="AW332" s="567">
        <v>0.0</v>
      </c>
      <c r="AX332" s="567">
        <v>0.0</v>
      </c>
      <c r="AY332" s="567">
        <v>0.0</v>
      </c>
      <c r="AZ332" s="567">
        <v>0.0</v>
      </c>
      <c r="BA332" s="567">
        <v>0.0</v>
      </c>
      <c r="BB332" s="567"/>
      <c r="BC332" s="661">
        <v>10.0</v>
      </c>
      <c r="BD332" s="567">
        <v>8.0</v>
      </c>
      <c r="BE332" s="661">
        <v>10.0</v>
      </c>
      <c r="BF332" s="567"/>
      <c r="BG332" s="567"/>
      <c r="BH332" s="567"/>
      <c r="BI332" s="567"/>
      <c r="BJ332" s="567"/>
      <c r="BK332" s="567"/>
      <c r="BL332" s="725"/>
      <c r="BM332" s="665">
        <f t="shared" si="1"/>
        <v>28</v>
      </c>
      <c r="BN332" s="671"/>
      <c r="BO332" s="668"/>
      <c r="BP332" s="668"/>
      <c r="BQ332" s="668"/>
      <c r="BR332" s="668"/>
      <c r="BS332" s="668"/>
      <c r="BT332" s="668"/>
      <c r="BU332" s="668"/>
      <c r="BV332" s="668"/>
      <c r="BW332" s="670"/>
      <c r="BX332" s="665">
        <f t="shared" si="840"/>
        <v>0</v>
      </c>
      <c r="BY332" s="736">
        <v>10.0</v>
      </c>
      <c r="BZ332" s="668">
        <v>8.0</v>
      </c>
      <c r="CA332" s="674">
        <v>10.0</v>
      </c>
      <c r="CB332" s="668">
        <v>0.0</v>
      </c>
      <c r="CC332" s="668">
        <v>0.0</v>
      </c>
      <c r="CD332" s="668">
        <v>0.0</v>
      </c>
      <c r="CE332" s="668">
        <v>0.0</v>
      </c>
      <c r="CF332" s="668">
        <v>0.0</v>
      </c>
      <c r="CG332" s="668">
        <v>0.0</v>
      </c>
      <c r="CH332" s="670">
        <v>0.0</v>
      </c>
      <c r="CI332" s="665">
        <f t="shared" si="841"/>
        <v>28</v>
      </c>
      <c r="CJ332" s="671">
        <f t="shared" si="4"/>
        <v>56</v>
      </c>
      <c r="CK332" s="715">
        <v>17.11</v>
      </c>
      <c r="CL332" s="668">
        <f t="shared" si="912"/>
        <v>119.0856</v>
      </c>
      <c r="CM332" s="668">
        <f t="shared" ref="CM332:CV332" si="1015">BC332*$CL332</f>
        <v>1190.856</v>
      </c>
      <c r="CN332" s="668">
        <f t="shared" si="1015"/>
        <v>952.6848</v>
      </c>
      <c r="CO332" s="668">
        <f t="shared" si="1015"/>
        <v>1190.856</v>
      </c>
      <c r="CP332" s="668">
        <f t="shared" si="1015"/>
        <v>0</v>
      </c>
      <c r="CQ332" s="668">
        <f t="shared" si="1015"/>
        <v>0</v>
      </c>
      <c r="CR332" s="668">
        <f t="shared" si="1015"/>
        <v>0</v>
      </c>
      <c r="CS332" s="668">
        <f t="shared" si="1015"/>
        <v>0</v>
      </c>
      <c r="CT332" s="668">
        <f t="shared" si="1015"/>
        <v>0</v>
      </c>
      <c r="CU332" s="668">
        <f t="shared" si="1015"/>
        <v>0</v>
      </c>
      <c r="CV332" s="668">
        <f t="shared" si="1015"/>
        <v>0</v>
      </c>
      <c r="CW332" s="668">
        <f t="shared" si="21"/>
        <v>3334.3968</v>
      </c>
      <c r="CX332" s="668">
        <f t="shared" ref="CX332:DG332" si="1016">BN332*$CL332</f>
        <v>0</v>
      </c>
      <c r="CY332" s="668">
        <f t="shared" si="1016"/>
        <v>0</v>
      </c>
      <c r="CZ332" s="668">
        <f t="shared" si="1016"/>
        <v>0</v>
      </c>
      <c r="DA332" s="668">
        <f t="shared" si="1016"/>
        <v>0</v>
      </c>
      <c r="DB332" s="668">
        <f t="shared" si="1016"/>
        <v>0</v>
      </c>
      <c r="DC332" s="668">
        <f t="shared" si="1016"/>
        <v>0</v>
      </c>
      <c r="DD332" s="668">
        <f t="shared" si="1016"/>
        <v>0</v>
      </c>
      <c r="DE332" s="668">
        <f t="shared" si="1016"/>
        <v>0</v>
      </c>
      <c r="DF332" s="668">
        <f t="shared" si="1016"/>
        <v>0</v>
      </c>
      <c r="DG332" s="668">
        <f t="shared" si="1016"/>
        <v>0</v>
      </c>
      <c r="DH332" s="668">
        <f t="shared" si="23"/>
        <v>0</v>
      </c>
      <c r="DI332" s="668">
        <f t="shared" ref="DI332:DR332" si="1017">BY332*$CL332</f>
        <v>1190.856</v>
      </c>
      <c r="DJ332" s="668">
        <f t="shared" si="1017"/>
        <v>952.6848</v>
      </c>
      <c r="DK332" s="668">
        <f t="shared" si="1017"/>
        <v>1190.856</v>
      </c>
      <c r="DL332" s="668">
        <f t="shared" si="1017"/>
        <v>0</v>
      </c>
      <c r="DM332" s="668">
        <f t="shared" si="1017"/>
        <v>0</v>
      </c>
      <c r="DN332" s="668">
        <f t="shared" si="1017"/>
        <v>0</v>
      </c>
      <c r="DO332" s="668">
        <f t="shared" si="1017"/>
        <v>0</v>
      </c>
      <c r="DP332" s="668">
        <f t="shared" si="1017"/>
        <v>0</v>
      </c>
      <c r="DQ332" s="668">
        <f t="shared" si="1017"/>
        <v>0</v>
      </c>
      <c r="DR332" s="668">
        <f t="shared" si="1017"/>
        <v>0</v>
      </c>
      <c r="DS332" s="668">
        <f t="shared" si="25"/>
        <v>3334.3968</v>
      </c>
      <c r="DT332" s="668">
        <f t="shared" si="685"/>
        <v>6668.7936</v>
      </c>
      <c r="DU332" s="538"/>
      <c r="DV332" s="468"/>
      <c r="DW332" s="698"/>
      <c r="DX332" s="698"/>
      <c r="DY332" s="698"/>
      <c r="DZ332" s="698"/>
      <c r="EA332" s="698"/>
      <c r="EB332" s="698"/>
      <c r="EC332" s="698"/>
      <c r="ED332" s="698"/>
      <c r="EE332" s="698"/>
      <c r="EF332" s="698"/>
      <c r="EG332" s="698"/>
      <c r="EH332" s="576" t="s">
        <v>3531</v>
      </c>
      <c r="EI332" s="716">
        <f>VLOOKUP(I332,CotizacionTDB,4,FALSE())</f>
        <v>17.11</v>
      </c>
      <c r="EJ332" s="716">
        <f>VLOOKUP(I332,CotizacionTDB,5,FALSE())</f>
        <v>14.54</v>
      </c>
      <c r="EK332" s="699"/>
    </row>
    <row r="333" ht="12.0" customHeight="1">
      <c r="A333" s="700" t="s">
        <v>3026</v>
      </c>
      <c r="B333" s="701">
        <v>2.0</v>
      </c>
      <c r="C333" s="562" t="s">
        <v>3027</v>
      </c>
      <c r="D333" s="571" t="s">
        <v>544</v>
      </c>
      <c r="E333" s="571" t="s">
        <v>2708</v>
      </c>
      <c r="F333" s="562" t="s">
        <v>1763</v>
      </c>
      <c r="G333" s="569" t="s">
        <v>2709</v>
      </c>
      <c r="H333" s="737"/>
      <c r="I333" s="703" t="s">
        <v>2054</v>
      </c>
      <c r="J333" s="704" t="s">
        <v>851</v>
      </c>
      <c r="K333" s="562" t="s">
        <v>25</v>
      </c>
      <c r="L333" s="562"/>
      <c r="M333" s="562"/>
      <c r="N333" s="562"/>
      <c r="O333" s="562">
        <v>2024.0</v>
      </c>
      <c r="P333" s="562">
        <v>2024.0</v>
      </c>
      <c r="Q333" s="562">
        <v>2024.0</v>
      </c>
      <c r="R333" s="562"/>
      <c r="S333" s="562"/>
      <c r="T333" s="562"/>
      <c r="U333" s="562"/>
      <c r="V333" s="562"/>
      <c r="W333" s="562">
        <v>2.0</v>
      </c>
      <c r="X333" s="562"/>
      <c r="Y333" s="562"/>
      <c r="Z333" s="562">
        <v>2.0</v>
      </c>
      <c r="AA333" s="562">
        <v>2.0</v>
      </c>
      <c r="AB333" s="562">
        <v>2.0</v>
      </c>
      <c r="AC333" s="562"/>
      <c r="AD333" s="562"/>
      <c r="AE333" s="562"/>
      <c r="AF333" s="562"/>
      <c r="AG333" s="562"/>
      <c r="AH333" s="562"/>
      <c r="AI333" s="562"/>
      <c r="AJ333" s="562"/>
      <c r="AK333" s="562"/>
      <c r="AL333" s="562"/>
      <c r="AM333" s="562"/>
      <c r="AN333" s="562"/>
      <c r="AO333" s="562"/>
      <c r="AP333" s="562"/>
      <c r="AQ333" s="562"/>
      <c r="AR333" s="562">
        <v>0.0</v>
      </c>
      <c r="AS333" s="562">
        <v>0.0</v>
      </c>
      <c r="AT333" s="562">
        <v>0.0</v>
      </c>
      <c r="AU333" s="562">
        <v>-2024.0</v>
      </c>
      <c r="AV333" s="562">
        <v>-2024.0</v>
      </c>
      <c r="AW333" s="562">
        <v>-2024.0</v>
      </c>
      <c r="AX333" s="562">
        <v>0.0</v>
      </c>
      <c r="AY333" s="562">
        <v>0.0</v>
      </c>
      <c r="AZ333" s="562">
        <v>0.0</v>
      </c>
      <c r="BA333" s="562">
        <v>0.0</v>
      </c>
      <c r="BB333" s="562"/>
      <c r="BC333" s="562"/>
      <c r="BD333" s="562"/>
      <c r="BE333" s="562"/>
      <c r="BF333" s="701">
        <v>0.0</v>
      </c>
      <c r="BG333" s="701">
        <v>0.0</v>
      </c>
      <c r="BH333" s="701">
        <v>0.0</v>
      </c>
      <c r="BI333" s="562"/>
      <c r="BJ333" s="562"/>
      <c r="BK333" s="562"/>
      <c r="BL333" s="719">
        <v>2.0</v>
      </c>
      <c r="BM333" s="665">
        <f t="shared" si="1"/>
        <v>2</v>
      </c>
      <c r="BN333" s="682"/>
      <c r="BO333" s="683"/>
      <c r="BP333" s="683"/>
      <c r="BQ333" s="687">
        <v>2.0</v>
      </c>
      <c r="BR333" s="687">
        <v>2.0</v>
      </c>
      <c r="BS333" s="687">
        <v>2.0</v>
      </c>
      <c r="BT333" s="683"/>
      <c r="BU333" s="683"/>
      <c r="BV333" s="683"/>
      <c r="BW333" s="686"/>
      <c r="BX333" s="665">
        <f t="shared" si="840"/>
        <v>6</v>
      </c>
      <c r="BY333" s="682">
        <v>0.0</v>
      </c>
      <c r="BZ333" s="683">
        <v>0.0</v>
      </c>
      <c r="CA333" s="683">
        <v>0.0</v>
      </c>
      <c r="CB333" s="683">
        <v>2.0</v>
      </c>
      <c r="CC333" s="683">
        <v>2.0</v>
      </c>
      <c r="CD333" s="683">
        <v>2.0</v>
      </c>
      <c r="CE333" s="683">
        <v>0.0</v>
      </c>
      <c r="CF333" s="683">
        <v>0.0</v>
      </c>
      <c r="CG333" s="683">
        <v>0.0</v>
      </c>
      <c r="CH333" s="686">
        <v>0.0</v>
      </c>
      <c r="CI333" s="665">
        <f t="shared" si="841"/>
        <v>6</v>
      </c>
      <c r="CJ333" s="682">
        <f t="shared" si="4"/>
        <v>14</v>
      </c>
      <c r="CK333" s="706">
        <v>223.35</v>
      </c>
      <c r="CL333" s="683">
        <f t="shared" si="912"/>
        <v>1554.516</v>
      </c>
      <c r="CM333" s="683">
        <f t="shared" ref="CM333:CV333" si="1018">BC333*$CL333</f>
        <v>0</v>
      </c>
      <c r="CN333" s="683">
        <f t="shared" si="1018"/>
        <v>0</v>
      </c>
      <c r="CO333" s="683">
        <f t="shared" si="1018"/>
        <v>0</v>
      </c>
      <c r="CP333" s="683">
        <f t="shared" si="1018"/>
        <v>0</v>
      </c>
      <c r="CQ333" s="683">
        <f t="shared" si="1018"/>
        <v>0</v>
      </c>
      <c r="CR333" s="683">
        <f t="shared" si="1018"/>
        <v>0</v>
      </c>
      <c r="CS333" s="683">
        <f t="shared" si="1018"/>
        <v>0</v>
      </c>
      <c r="CT333" s="683">
        <f t="shared" si="1018"/>
        <v>0</v>
      </c>
      <c r="CU333" s="683">
        <f t="shared" si="1018"/>
        <v>0</v>
      </c>
      <c r="CV333" s="683">
        <f t="shared" si="1018"/>
        <v>3109.032</v>
      </c>
      <c r="CW333" s="683">
        <f t="shared" si="21"/>
        <v>3109.032</v>
      </c>
      <c r="CX333" s="683">
        <f t="shared" ref="CX333:DG333" si="1019">BN333*$CL333</f>
        <v>0</v>
      </c>
      <c r="CY333" s="683">
        <f t="shared" si="1019"/>
        <v>0</v>
      </c>
      <c r="CZ333" s="683">
        <f t="shared" si="1019"/>
        <v>0</v>
      </c>
      <c r="DA333" s="683">
        <f t="shared" si="1019"/>
        <v>3109.032</v>
      </c>
      <c r="DB333" s="683">
        <f t="shared" si="1019"/>
        <v>3109.032</v>
      </c>
      <c r="DC333" s="683">
        <f t="shared" si="1019"/>
        <v>3109.032</v>
      </c>
      <c r="DD333" s="683">
        <f t="shared" si="1019"/>
        <v>0</v>
      </c>
      <c r="DE333" s="683">
        <f t="shared" si="1019"/>
        <v>0</v>
      </c>
      <c r="DF333" s="683">
        <f t="shared" si="1019"/>
        <v>0</v>
      </c>
      <c r="DG333" s="683">
        <f t="shared" si="1019"/>
        <v>0</v>
      </c>
      <c r="DH333" s="683">
        <f t="shared" si="23"/>
        <v>9327.096</v>
      </c>
      <c r="DI333" s="683">
        <f t="shared" ref="DI333:DR333" si="1020">BY333*$CL333</f>
        <v>0</v>
      </c>
      <c r="DJ333" s="683">
        <f t="shared" si="1020"/>
        <v>0</v>
      </c>
      <c r="DK333" s="683">
        <f t="shared" si="1020"/>
        <v>0</v>
      </c>
      <c r="DL333" s="683">
        <f t="shared" si="1020"/>
        <v>3109.032</v>
      </c>
      <c r="DM333" s="683">
        <f t="shared" si="1020"/>
        <v>3109.032</v>
      </c>
      <c r="DN333" s="683">
        <f t="shared" si="1020"/>
        <v>3109.032</v>
      </c>
      <c r="DO333" s="683">
        <f t="shared" si="1020"/>
        <v>0</v>
      </c>
      <c r="DP333" s="683">
        <f t="shared" si="1020"/>
        <v>0</v>
      </c>
      <c r="DQ333" s="683">
        <f t="shared" si="1020"/>
        <v>0</v>
      </c>
      <c r="DR333" s="683">
        <f t="shared" si="1020"/>
        <v>0</v>
      </c>
      <c r="DS333" s="683">
        <f t="shared" si="25"/>
        <v>9327.096</v>
      </c>
      <c r="DT333" s="683">
        <f t="shared" si="685"/>
        <v>21763.224</v>
      </c>
      <c r="DU333" s="504"/>
      <c r="DV333" s="486"/>
      <c r="DW333" s="688"/>
      <c r="DX333" s="688"/>
      <c r="DY333" s="688"/>
      <c r="DZ333" s="688"/>
      <c r="EA333" s="688"/>
      <c r="EB333" s="688"/>
      <c r="EC333" s="688"/>
      <c r="ED333" s="688"/>
      <c r="EE333" s="688"/>
      <c r="EF333" s="688"/>
      <c r="EG333" s="688"/>
      <c r="EH333" s="707" t="s">
        <v>3532</v>
      </c>
      <c r="EI333" s="708">
        <f>VLOOKUP(I333,CotizacionTDB,4,FALSE())</f>
        <v>223.35</v>
      </c>
      <c r="EJ333" s="708">
        <f>VLOOKUP(I333,CotizacionTDB,5,FALSE())</f>
        <v>189.85</v>
      </c>
      <c r="EK333" s="691"/>
    </row>
    <row r="334" ht="12.0" customHeight="1">
      <c r="A334" s="709" t="s">
        <v>3026</v>
      </c>
      <c r="B334" s="661">
        <v>2.0</v>
      </c>
      <c r="C334" s="567" t="s">
        <v>3027</v>
      </c>
      <c r="D334" s="568" t="s">
        <v>544</v>
      </c>
      <c r="E334" s="568" t="s">
        <v>2708</v>
      </c>
      <c r="F334" s="567" t="s">
        <v>1763</v>
      </c>
      <c r="G334" s="569" t="s">
        <v>2709</v>
      </c>
      <c r="H334" s="658"/>
      <c r="I334" s="710" t="s">
        <v>2302</v>
      </c>
      <c r="J334" s="711" t="s">
        <v>1209</v>
      </c>
      <c r="K334" s="567" t="s">
        <v>25</v>
      </c>
      <c r="L334" s="567"/>
      <c r="M334" s="567"/>
      <c r="N334" s="567"/>
      <c r="O334" s="567"/>
      <c r="P334" s="567">
        <v>2024.0</v>
      </c>
      <c r="Q334" s="567">
        <v>2024.0</v>
      </c>
      <c r="R334" s="567"/>
      <c r="S334" s="567"/>
      <c r="T334" s="567"/>
      <c r="U334" s="567">
        <v>2024.0</v>
      </c>
      <c r="V334" s="567"/>
      <c r="W334" s="567">
        <v>2.0</v>
      </c>
      <c r="X334" s="567"/>
      <c r="Y334" s="567"/>
      <c r="Z334" s="567"/>
      <c r="AA334" s="567">
        <v>2.0</v>
      </c>
      <c r="AB334" s="567">
        <v>2.0</v>
      </c>
      <c r="AC334" s="567"/>
      <c r="AD334" s="567"/>
      <c r="AE334" s="567"/>
      <c r="AF334" s="662">
        <v>1.0</v>
      </c>
      <c r="AG334" s="567"/>
      <c r="AH334" s="567"/>
      <c r="AI334" s="567"/>
      <c r="AJ334" s="567"/>
      <c r="AK334" s="567"/>
      <c r="AL334" s="567"/>
      <c r="AM334" s="567"/>
      <c r="AN334" s="567"/>
      <c r="AO334" s="567"/>
      <c r="AP334" s="567"/>
      <c r="AQ334" s="567"/>
      <c r="AR334" s="567">
        <v>0.0</v>
      </c>
      <c r="AS334" s="567">
        <v>0.0</v>
      </c>
      <c r="AT334" s="567">
        <v>0.0</v>
      </c>
      <c r="AU334" s="567">
        <v>0.0</v>
      </c>
      <c r="AV334" s="567">
        <v>-2024.0</v>
      </c>
      <c r="AW334" s="567">
        <v>-2024.0</v>
      </c>
      <c r="AX334" s="567">
        <v>0.0</v>
      </c>
      <c r="AY334" s="567">
        <v>0.0</v>
      </c>
      <c r="AZ334" s="567">
        <v>0.0</v>
      </c>
      <c r="BA334" s="567">
        <v>-2024.0</v>
      </c>
      <c r="BB334" s="567"/>
      <c r="BC334" s="567"/>
      <c r="BD334" s="567"/>
      <c r="BE334" s="661">
        <v>1.0</v>
      </c>
      <c r="BF334" s="567"/>
      <c r="BG334" s="567">
        <v>2.0</v>
      </c>
      <c r="BH334" s="567">
        <v>2.0</v>
      </c>
      <c r="BI334" s="567"/>
      <c r="BJ334" s="567"/>
      <c r="BK334" s="567"/>
      <c r="BL334" s="741">
        <v>1.0</v>
      </c>
      <c r="BM334" s="665">
        <f t="shared" si="1"/>
        <v>6</v>
      </c>
      <c r="BN334" s="671"/>
      <c r="BO334" s="668"/>
      <c r="BP334" s="668"/>
      <c r="BQ334" s="668"/>
      <c r="BR334" s="668"/>
      <c r="BS334" s="668"/>
      <c r="BT334" s="668"/>
      <c r="BU334" s="668"/>
      <c r="BV334" s="668"/>
      <c r="BW334" s="670"/>
      <c r="BX334" s="665">
        <f t="shared" si="840"/>
        <v>0</v>
      </c>
      <c r="BY334" s="671">
        <v>0.0</v>
      </c>
      <c r="BZ334" s="668">
        <v>0.0</v>
      </c>
      <c r="CA334" s="668">
        <v>0.0</v>
      </c>
      <c r="CB334" s="668">
        <v>0.0</v>
      </c>
      <c r="CC334" s="668">
        <v>2.0</v>
      </c>
      <c r="CD334" s="668">
        <v>2.0</v>
      </c>
      <c r="CE334" s="668">
        <v>0.0</v>
      </c>
      <c r="CF334" s="668">
        <v>0.0</v>
      </c>
      <c r="CG334" s="668">
        <v>0.0</v>
      </c>
      <c r="CH334" s="670">
        <v>0.0</v>
      </c>
      <c r="CI334" s="665">
        <f t="shared" si="841"/>
        <v>4</v>
      </c>
      <c r="CJ334" s="671">
        <f t="shared" si="4"/>
        <v>10</v>
      </c>
      <c r="CK334" s="715">
        <v>66.72</v>
      </c>
      <c r="CL334" s="668">
        <f t="shared" si="912"/>
        <v>464.3712</v>
      </c>
      <c r="CM334" s="668">
        <f t="shared" ref="CM334:CV334" si="1021">BC334*$CL334</f>
        <v>0</v>
      </c>
      <c r="CN334" s="668">
        <f t="shared" si="1021"/>
        <v>0</v>
      </c>
      <c r="CO334" s="668">
        <f t="shared" si="1021"/>
        <v>464.3712</v>
      </c>
      <c r="CP334" s="668">
        <f t="shared" si="1021"/>
        <v>0</v>
      </c>
      <c r="CQ334" s="668">
        <f t="shared" si="1021"/>
        <v>928.7424</v>
      </c>
      <c r="CR334" s="668">
        <f t="shared" si="1021"/>
        <v>928.7424</v>
      </c>
      <c r="CS334" s="668">
        <f t="shared" si="1021"/>
        <v>0</v>
      </c>
      <c r="CT334" s="668">
        <f t="shared" si="1021"/>
        <v>0</v>
      </c>
      <c r="CU334" s="668">
        <f t="shared" si="1021"/>
        <v>0</v>
      </c>
      <c r="CV334" s="668">
        <f t="shared" si="1021"/>
        <v>464.3712</v>
      </c>
      <c r="CW334" s="668">
        <f t="shared" si="21"/>
        <v>2786.2272</v>
      </c>
      <c r="CX334" s="668">
        <f t="shared" ref="CX334:DG334" si="1022">BN334*$CL334</f>
        <v>0</v>
      </c>
      <c r="CY334" s="668">
        <f t="shared" si="1022"/>
        <v>0</v>
      </c>
      <c r="CZ334" s="668">
        <f t="shared" si="1022"/>
        <v>0</v>
      </c>
      <c r="DA334" s="668">
        <f t="shared" si="1022"/>
        <v>0</v>
      </c>
      <c r="DB334" s="668">
        <f t="shared" si="1022"/>
        <v>0</v>
      </c>
      <c r="DC334" s="668">
        <f t="shared" si="1022"/>
        <v>0</v>
      </c>
      <c r="DD334" s="668">
        <f t="shared" si="1022"/>
        <v>0</v>
      </c>
      <c r="DE334" s="668">
        <f t="shared" si="1022"/>
        <v>0</v>
      </c>
      <c r="DF334" s="668">
        <f t="shared" si="1022"/>
        <v>0</v>
      </c>
      <c r="DG334" s="668">
        <f t="shared" si="1022"/>
        <v>0</v>
      </c>
      <c r="DH334" s="668">
        <f t="shared" si="23"/>
        <v>0</v>
      </c>
      <c r="DI334" s="668">
        <f t="shared" ref="DI334:DR334" si="1023">BY334*$CL334</f>
        <v>0</v>
      </c>
      <c r="DJ334" s="668">
        <f t="shared" si="1023"/>
        <v>0</v>
      </c>
      <c r="DK334" s="668">
        <f t="shared" si="1023"/>
        <v>0</v>
      </c>
      <c r="DL334" s="668">
        <f t="shared" si="1023"/>
        <v>0</v>
      </c>
      <c r="DM334" s="668">
        <f t="shared" si="1023"/>
        <v>928.7424</v>
      </c>
      <c r="DN334" s="668">
        <f t="shared" si="1023"/>
        <v>928.7424</v>
      </c>
      <c r="DO334" s="668">
        <f t="shared" si="1023"/>
        <v>0</v>
      </c>
      <c r="DP334" s="668">
        <f t="shared" si="1023"/>
        <v>0</v>
      </c>
      <c r="DQ334" s="668">
        <f t="shared" si="1023"/>
        <v>0</v>
      </c>
      <c r="DR334" s="668">
        <f t="shared" si="1023"/>
        <v>0</v>
      </c>
      <c r="DS334" s="668">
        <f t="shared" si="25"/>
        <v>1857.4848</v>
      </c>
      <c r="DT334" s="668">
        <f t="shared" si="685"/>
        <v>4643.712</v>
      </c>
      <c r="DU334" s="538"/>
      <c r="DV334" s="468"/>
      <c r="DW334" s="698"/>
      <c r="DX334" s="698"/>
      <c r="DY334" s="698"/>
      <c r="DZ334" s="698"/>
      <c r="EA334" s="698"/>
      <c r="EB334" s="698"/>
      <c r="EC334" s="698"/>
      <c r="ED334" s="698"/>
      <c r="EE334" s="698"/>
      <c r="EF334" s="698"/>
      <c r="EG334" s="698"/>
      <c r="EH334" s="576" t="s">
        <v>1209</v>
      </c>
      <c r="EI334" s="716">
        <f>VLOOKUP(I334,CotizacionTDB,4,FALSE())</f>
        <v>66.72</v>
      </c>
      <c r="EJ334" s="716">
        <f>VLOOKUP(I334,CotizacionTDB,5,FALSE())</f>
        <v>56.71</v>
      </c>
      <c r="EK334" s="699"/>
    </row>
    <row r="335" ht="12.0" customHeight="1">
      <c r="A335" s="700" t="s">
        <v>3026</v>
      </c>
      <c r="B335" s="701">
        <v>2.0</v>
      </c>
      <c r="C335" s="562" t="s">
        <v>3027</v>
      </c>
      <c r="D335" s="571" t="s">
        <v>544</v>
      </c>
      <c r="E335" s="571" t="s">
        <v>2708</v>
      </c>
      <c r="F335" s="562" t="s">
        <v>1763</v>
      </c>
      <c r="G335" s="702" t="s">
        <v>2709</v>
      </c>
      <c r="H335" s="569" t="s">
        <v>3472</v>
      </c>
      <c r="I335" s="703" t="s">
        <v>2206</v>
      </c>
      <c r="J335" s="704" t="s">
        <v>745</v>
      </c>
      <c r="K335" s="562" t="s">
        <v>25</v>
      </c>
      <c r="L335" s="562"/>
      <c r="M335" s="562"/>
      <c r="N335" s="562"/>
      <c r="O335" s="562">
        <v>2026.0</v>
      </c>
      <c r="P335" s="562">
        <v>2026.0</v>
      </c>
      <c r="Q335" s="562">
        <v>2024.0</v>
      </c>
      <c r="R335" s="562"/>
      <c r="S335" s="562"/>
      <c r="T335" s="562"/>
      <c r="U335" s="562"/>
      <c r="V335" s="562"/>
      <c r="W335" s="562">
        <v>3.0</v>
      </c>
      <c r="X335" s="562"/>
      <c r="Y335" s="562"/>
      <c r="Z335" s="562">
        <v>3.0</v>
      </c>
      <c r="AA335" s="562">
        <v>3.0</v>
      </c>
      <c r="AB335" s="562">
        <v>3.0</v>
      </c>
      <c r="AC335" s="562"/>
      <c r="AD335" s="562"/>
      <c r="AE335" s="562"/>
      <c r="AF335" s="562"/>
      <c r="AG335" s="562"/>
      <c r="AH335" s="562"/>
      <c r="AI335" s="562"/>
      <c r="AJ335" s="562"/>
      <c r="AK335" s="562"/>
      <c r="AL335" s="562"/>
      <c r="AM335" s="562"/>
      <c r="AN335" s="562"/>
      <c r="AO335" s="562"/>
      <c r="AP335" s="562"/>
      <c r="AQ335" s="562"/>
      <c r="AR335" s="562">
        <v>0.0</v>
      </c>
      <c r="AS335" s="562">
        <v>0.0</v>
      </c>
      <c r="AT335" s="562">
        <v>0.0</v>
      </c>
      <c r="AU335" s="562">
        <v>-2026.0</v>
      </c>
      <c r="AV335" s="562">
        <v>-2026.0</v>
      </c>
      <c r="AW335" s="562">
        <v>-2024.0</v>
      </c>
      <c r="AX335" s="562">
        <v>0.0</v>
      </c>
      <c r="AY335" s="562">
        <v>0.0</v>
      </c>
      <c r="AZ335" s="562">
        <v>0.0</v>
      </c>
      <c r="BA335" s="562">
        <v>0.0</v>
      </c>
      <c r="BB335" s="562"/>
      <c r="BC335" s="562"/>
      <c r="BD335" s="562"/>
      <c r="BE335" s="562"/>
      <c r="BF335" s="562"/>
      <c r="BG335" s="562"/>
      <c r="BH335" s="562">
        <v>10.0</v>
      </c>
      <c r="BI335" s="562"/>
      <c r="BJ335" s="562"/>
      <c r="BK335" s="562"/>
      <c r="BL335" s="681"/>
      <c r="BM335" s="665">
        <f t="shared" si="1"/>
        <v>10</v>
      </c>
      <c r="BN335" s="682"/>
      <c r="BO335" s="683"/>
      <c r="BP335" s="683"/>
      <c r="BQ335" s="683"/>
      <c r="BR335" s="683"/>
      <c r="BS335" s="683"/>
      <c r="BT335" s="683"/>
      <c r="BU335" s="683"/>
      <c r="BV335" s="683"/>
      <c r="BW335" s="686"/>
      <c r="BX335" s="665">
        <f t="shared" si="840"/>
        <v>0</v>
      </c>
      <c r="BY335" s="682">
        <v>0.0</v>
      </c>
      <c r="BZ335" s="683">
        <v>0.0</v>
      </c>
      <c r="CA335" s="683">
        <v>0.0</v>
      </c>
      <c r="CB335" s="687">
        <v>0.0</v>
      </c>
      <c r="CC335" s="687">
        <v>0.0</v>
      </c>
      <c r="CD335" s="683">
        <v>0.0</v>
      </c>
      <c r="CE335" s="683">
        <v>0.0</v>
      </c>
      <c r="CF335" s="683">
        <v>0.0</v>
      </c>
      <c r="CG335" s="683">
        <v>0.0</v>
      </c>
      <c r="CH335" s="686">
        <v>0.0</v>
      </c>
      <c r="CI335" s="665">
        <f t="shared" si="841"/>
        <v>0</v>
      </c>
      <c r="CJ335" s="682">
        <f t="shared" si="4"/>
        <v>10</v>
      </c>
      <c r="CK335" s="706">
        <v>36.46</v>
      </c>
      <c r="CL335" s="683">
        <f t="shared" si="912"/>
        <v>253.7616</v>
      </c>
      <c r="CM335" s="683">
        <f t="shared" ref="CM335:CV335" si="1024">BC335*$CL335</f>
        <v>0</v>
      </c>
      <c r="CN335" s="683">
        <f t="shared" si="1024"/>
        <v>0</v>
      </c>
      <c r="CO335" s="683">
        <f t="shared" si="1024"/>
        <v>0</v>
      </c>
      <c r="CP335" s="683">
        <f t="shared" si="1024"/>
        <v>0</v>
      </c>
      <c r="CQ335" s="683">
        <f t="shared" si="1024"/>
        <v>0</v>
      </c>
      <c r="CR335" s="683">
        <f t="shared" si="1024"/>
        <v>2537.616</v>
      </c>
      <c r="CS335" s="683">
        <f t="shared" si="1024"/>
        <v>0</v>
      </c>
      <c r="CT335" s="683">
        <f t="shared" si="1024"/>
        <v>0</v>
      </c>
      <c r="CU335" s="683">
        <f t="shared" si="1024"/>
        <v>0</v>
      </c>
      <c r="CV335" s="683">
        <f t="shared" si="1024"/>
        <v>0</v>
      </c>
      <c r="CW335" s="683">
        <f t="shared" si="21"/>
        <v>2537.616</v>
      </c>
      <c r="CX335" s="683">
        <f t="shared" ref="CX335:DG335" si="1025">BN335*$CL335</f>
        <v>0</v>
      </c>
      <c r="CY335" s="683">
        <f t="shared" si="1025"/>
        <v>0</v>
      </c>
      <c r="CZ335" s="683">
        <f t="shared" si="1025"/>
        <v>0</v>
      </c>
      <c r="DA335" s="683">
        <f t="shared" si="1025"/>
        <v>0</v>
      </c>
      <c r="DB335" s="683">
        <f t="shared" si="1025"/>
        <v>0</v>
      </c>
      <c r="DC335" s="683">
        <f t="shared" si="1025"/>
        <v>0</v>
      </c>
      <c r="DD335" s="683">
        <f t="shared" si="1025"/>
        <v>0</v>
      </c>
      <c r="DE335" s="683">
        <f t="shared" si="1025"/>
        <v>0</v>
      </c>
      <c r="DF335" s="683">
        <f t="shared" si="1025"/>
        <v>0</v>
      </c>
      <c r="DG335" s="683">
        <f t="shared" si="1025"/>
        <v>0</v>
      </c>
      <c r="DH335" s="683">
        <f t="shared" si="23"/>
        <v>0</v>
      </c>
      <c r="DI335" s="683">
        <f t="shared" ref="DI335:DR335" si="1026">BY335*$CL335</f>
        <v>0</v>
      </c>
      <c r="DJ335" s="683">
        <f t="shared" si="1026"/>
        <v>0</v>
      </c>
      <c r="DK335" s="683">
        <f t="shared" si="1026"/>
        <v>0</v>
      </c>
      <c r="DL335" s="683">
        <f t="shared" si="1026"/>
        <v>0</v>
      </c>
      <c r="DM335" s="683">
        <f t="shared" si="1026"/>
        <v>0</v>
      </c>
      <c r="DN335" s="683">
        <f t="shared" si="1026"/>
        <v>0</v>
      </c>
      <c r="DO335" s="683">
        <f t="shared" si="1026"/>
        <v>0</v>
      </c>
      <c r="DP335" s="683">
        <f t="shared" si="1026"/>
        <v>0</v>
      </c>
      <c r="DQ335" s="683">
        <f t="shared" si="1026"/>
        <v>0</v>
      </c>
      <c r="DR335" s="683">
        <f t="shared" si="1026"/>
        <v>0</v>
      </c>
      <c r="DS335" s="683">
        <f t="shared" si="25"/>
        <v>0</v>
      </c>
      <c r="DT335" s="683">
        <f t="shared" si="685"/>
        <v>2537.616</v>
      </c>
      <c r="DU335" s="504"/>
      <c r="DV335" s="486"/>
      <c r="DW335" s="688"/>
      <c r="DX335" s="688"/>
      <c r="DY335" s="688"/>
      <c r="DZ335" s="688"/>
      <c r="EA335" s="688"/>
      <c r="EB335" s="688"/>
      <c r="EC335" s="688"/>
      <c r="ED335" s="688"/>
      <c r="EE335" s="688"/>
      <c r="EF335" s="688"/>
      <c r="EG335" s="688"/>
      <c r="EH335" s="707" t="s">
        <v>3533</v>
      </c>
      <c r="EI335" s="708">
        <f>VLOOKUP(I335,CotizacionTDB,4,FALSE())</f>
        <v>36.46</v>
      </c>
      <c r="EJ335" s="708">
        <f>VLOOKUP(I335,CotizacionTDB,5,FALSE())</f>
        <v>30.99</v>
      </c>
      <c r="EK335" s="691"/>
    </row>
    <row r="336" ht="12.0" customHeight="1">
      <c r="A336" s="709" t="s">
        <v>3026</v>
      </c>
      <c r="B336" s="661">
        <v>2.0</v>
      </c>
      <c r="C336" s="567" t="s">
        <v>3027</v>
      </c>
      <c r="D336" s="568" t="s">
        <v>544</v>
      </c>
      <c r="E336" s="568" t="s">
        <v>2708</v>
      </c>
      <c r="F336" s="567" t="s">
        <v>1763</v>
      </c>
      <c r="G336" s="569" t="s">
        <v>2709</v>
      </c>
      <c r="H336" s="657" t="s">
        <v>3534</v>
      </c>
      <c r="I336" s="710" t="s">
        <v>1899</v>
      </c>
      <c r="J336" s="711" t="s">
        <v>1557</v>
      </c>
      <c r="K336" s="567" t="s">
        <v>25</v>
      </c>
      <c r="L336" s="567"/>
      <c r="M336" s="567"/>
      <c r="N336" s="567"/>
      <c r="O336" s="567"/>
      <c r="P336" s="567"/>
      <c r="Q336" s="567"/>
      <c r="R336" s="567">
        <v>2024.0</v>
      </c>
      <c r="S336" s="567">
        <v>2024.0</v>
      </c>
      <c r="T336" s="567"/>
      <c r="U336" s="567">
        <v>2024.0</v>
      </c>
      <c r="V336" s="567"/>
      <c r="W336" s="567"/>
      <c r="X336" s="567"/>
      <c r="Y336" s="567"/>
      <c r="Z336" s="567"/>
      <c r="AA336" s="567"/>
      <c r="AB336" s="567"/>
      <c r="AC336" s="662">
        <v>1.0</v>
      </c>
      <c r="AD336" s="662">
        <v>1.0</v>
      </c>
      <c r="AE336" s="567"/>
      <c r="AF336" s="662">
        <v>1.0</v>
      </c>
      <c r="AG336" s="567"/>
      <c r="AH336" s="567"/>
      <c r="AI336" s="567"/>
      <c r="AJ336" s="567"/>
      <c r="AK336" s="567"/>
      <c r="AL336" s="567"/>
      <c r="AM336" s="567"/>
      <c r="AN336" s="567"/>
      <c r="AO336" s="567"/>
      <c r="AP336" s="567"/>
      <c r="AQ336" s="567"/>
      <c r="AR336" s="567">
        <v>0.0</v>
      </c>
      <c r="AS336" s="567">
        <v>0.0</v>
      </c>
      <c r="AT336" s="567">
        <v>0.0</v>
      </c>
      <c r="AU336" s="567">
        <v>0.0</v>
      </c>
      <c r="AV336" s="567">
        <v>0.0</v>
      </c>
      <c r="AW336" s="567">
        <v>0.0</v>
      </c>
      <c r="AX336" s="567">
        <v>-2024.0</v>
      </c>
      <c r="AY336" s="567">
        <v>-2024.0</v>
      </c>
      <c r="AZ336" s="567">
        <v>0.0</v>
      </c>
      <c r="BA336" s="567">
        <v>-2024.0</v>
      </c>
      <c r="BB336" s="567"/>
      <c r="BC336" s="661">
        <v>1.0</v>
      </c>
      <c r="BD336" s="661">
        <v>1.0</v>
      </c>
      <c r="BE336" s="661">
        <v>1.0</v>
      </c>
      <c r="BF336" s="661">
        <v>1.0</v>
      </c>
      <c r="BG336" s="661">
        <v>1.0</v>
      </c>
      <c r="BH336" s="661">
        <v>1.0</v>
      </c>
      <c r="BI336" s="567">
        <v>2.0</v>
      </c>
      <c r="BJ336" s="567">
        <v>2.0</v>
      </c>
      <c r="BK336" s="567"/>
      <c r="BL336" s="725">
        <v>2.0</v>
      </c>
      <c r="BM336" s="665">
        <f t="shared" si="1"/>
        <v>12</v>
      </c>
      <c r="BN336" s="671"/>
      <c r="BO336" s="668"/>
      <c r="BP336" s="674"/>
      <c r="BQ336" s="668"/>
      <c r="BR336" s="668"/>
      <c r="BS336" s="668"/>
      <c r="BT336" s="668"/>
      <c r="BU336" s="668"/>
      <c r="BV336" s="668"/>
      <c r="BW336" s="670"/>
      <c r="BX336" s="665">
        <f t="shared" si="840"/>
        <v>0</v>
      </c>
      <c r="BY336" s="671">
        <v>0.0</v>
      </c>
      <c r="BZ336" s="668">
        <v>0.0</v>
      </c>
      <c r="CA336" s="668">
        <v>0.0</v>
      </c>
      <c r="CB336" s="668">
        <v>0.0</v>
      </c>
      <c r="CC336" s="668">
        <v>0.0</v>
      </c>
      <c r="CD336" s="668">
        <v>0.0</v>
      </c>
      <c r="CE336" s="668">
        <v>0.0</v>
      </c>
      <c r="CF336" s="668">
        <v>0.0</v>
      </c>
      <c r="CG336" s="668">
        <v>0.0</v>
      </c>
      <c r="CH336" s="670">
        <v>0.0</v>
      </c>
      <c r="CI336" s="665">
        <f t="shared" si="841"/>
        <v>0</v>
      </c>
      <c r="CJ336" s="671">
        <f t="shared" si="4"/>
        <v>12</v>
      </c>
      <c r="CK336" s="715">
        <v>16.23</v>
      </c>
      <c r="CL336" s="668">
        <f t="shared" si="912"/>
        <v>112.9608</v>
      </c>
      <c r="CM336" s="668">
        <f t="shared" ref="CM336:CV336" si="1027">BC336*$CL336</f>
        <v>112.9608</v>
      </c>
      <c r="CN336" s="668">
        <f t="shared" si="1027"/>
        <v>112.9608</v>
      </c>
      <c r="CO336" s="668">
        <f t="shared" si="1027"/>
        <v>112.9608</v>
      </c>
      <c r="CP336" s="668">
        <f t="shared" si="1027"/>
        <v>112.9608</v>
      </c>
      <c r="CQ336" s="668">
        <f t="shared" si="1027"/>
        <v>112.9608</v>
      </c>
      <c r="CR336" s="668">
        <f t="shared" si="1027"/>
        <v>112.9608</v>
      </c>
      <c r="CS336" s="668">
        <f t="shared" si="1027"/>
        <v>225.9216</v>
      </c>
      <c r="CT336" s="668">
        <f t="shared" si="1027"/>
        <v>225.9216</v>
      </c>
      <c r="CU336" s="668">
        <f t="shared" si="1027"/>
        <v>0</v>
      </c>
      <c r="CV336" s="668">
        <f t="shared" si="1027"/>
        <v>225.9216</v>
      </c>
      <c r="CW336" s="668">
        <f t="shared" si="21"/>
        <v>1355.5296</v>
      </c>
      <c r="CX336" s="668">
        <f t="shared" ref="CX336:DG336" si="1028">BN336*$CL336</f>
        <v>0</v>
      </c>
      <c r="CY336" s="668">
        <f t="shared" si="1028"/>
        <v>0</v>
      </c>
      <c r="CZ336" s="668">
        <f t="shared" si="1028"/>
        <v>0</v>
      </c>
      <c r="DA336" s="668">
        <f t="shared" si="1028"/>
        <v>0</v>
      </c>
      <c r="DB336" s="668">
        <f t="shared" si="1028"/>
        <v>0</v>
      </c>
      <c r="DC336" s="668">
        <f t="shared" si="1028"/>
        <v>0</v>
      </c>
      <c r="DD336" s="668">
        <f t="shared" si="1028"/>
        <v>0</v>
      </c>
      <c r="DE336" s="668">
        <f t="shared" si="1028"/>
        <v>0</v>
      </c>
      <c r="DF336" s="668">
        <f t="shared" si="1028"/>
        <v>0</v>
      </c>
      <c r="DG336" s="668">
        <f t="shared" si="1028"/>
        <v>0</v>
      </c>
      <c r="DH336" s="668">
        <f t="shared" si="23"/>
        <v>0</v>
      </c>
      <c r="DI336" s="668">
        <f t="shared" ref="DI336:DR336" si="1029">BY336*$CL336</f>
        <v>0</v>
      </c>
      <c r="DJ336" s="668">
        <f t="shared" si="1029"/>
        <v>0</v>
      </c>
      <c r="DK336" s="668">
        <f t="shared" si="1029"/>
        <v>0</v>
      </c>
      <c r="DL336" s="668">
        <f t="shared" si="1029"/>
        <v>0</v>
      </c>
      <c r="DM336" s="668">
        <f t="shared" si="1029"/>
        <v>0</v>
      </c>
      <c r="DN336" s="668">
        <f t="shared" si="1029"/>
        <v>0</v>
      </c>
      <c r="DO336" s="668">
        <f t="shared" si="1029"/>
        <v>0</v>
      </c>
      <c r="DP336" s="668">
        <f t="shared" si="1029"/>
        <v>0</v>
      </c>
      <c r="DQ336" s="668">
        <f t="shared" si="1029"/>
        <v>0</v>
      </c>
      <c r="DR336" s="668">
        <f t="shared" si="1029"/>
        <v>0</v>
      </c>
      <c r="DS336" s="668">
        <f t="shared" si="25"/>
        <v>0</v>
      </c>
      <c r="DT336" s="668">
        <f t="shared" si="685"/>
        <v>1355.5296</v>
      </c>
      <c r="DU336" s="538"/>
      <c r="DV336" s="468"/>
      <c r="DW336" s="698"/>
      <c r="DX336" s="698"/>
      <c r="DY336" s="698"/>
      <c r="DZ336" s="698"/>
      <c r="EA336" s="698"/>
      <c r="EB336" s="698"/>
      <c r="EC336" s="698"/>
      <c r="ED336" s="698"/>
      <c r="EE336" s="698"/>
      <c r="EF336" s="698"/>
      <c r="EG336" s="698"/>
      <c r="EH336" s="576" t="s">
        <v>3535</v>
      </c>
      <c r="EI336" s="716">
        <f>VLOOKUP(I336,CotizacionTDB,4,FALSE())</f>
        <v>16.23</v>
      </c>
      <c r="EJ336" s="716">
        <f>VLOOKUP(I336,CotizacionTDB,5,FALSE())</f>
        <v>13.8</v>
      </c>
      <c r="EK336" s="699"/>
    </row>
    <row r="337" ht="12.0" customHeight="1">
      <c r="A337" s="700" t="s">
        <v>3026</v>
      </c>
      <c r="B337" s="701">
        <v>2.0</v>
      </c>
      <c r="C337" s="562" t="s">
        <v>3027</v>
      </c>
      <c r="D337" s="571" t="s">
        <v>544</v>
      </c>
      <c r="E337" s="571" t="s">
        <v>2708</v>
      </c>
      <c r="F337" s="562" t="s">
        <v>1763</v>
      </c>
      <c r="G337" s="569" t="s">
        <v>2709</v>
      </c>
      <c r="H337" s="702" t="s">
        <v>2718</v>
      </c>
      <c r="I337" s="717" t="s">
        <v>1873</v>
      </c>
      <c r="J337" s="704" t="s">
        <v>1288</v>
      </c>
      <c r="K337" s="562" t="s">
        <v>25</v>
      </c>
      <c r="L337" s="562">
        <v>2024.0</v>
      </c>
      <c r="M337" s="562">
        <v>2024.0</v>
      </c>
      <c r="N337" s="562">
        <v>2024.0</v>
      </c>
      <c r="O337" s="562">
        <v>2024.0</v>
      </c>
      <c r="P337" s="562">
        <v>2024.0</v>
      </c>
      <c r="Q337" s="562">
        <v>2024.0</v>
      </c>
      <c r="R337" s="562"/>
      <c r="S337" s="562"/>
      <c r="T337" s="562"/>
      <c r="U337" s="562"/>
      <c r="V337" s="562"/>
      <c r="W337" s="562">
        <v>2.0</v>
      </c>
      <c r="X337" s="562">
        <v>2.0</v>
      </c>
      <c r="Y337" s="562">
        <v>2.0</v>
      </c>
      <c r="Z337" s="562">
        <v>2.0</v>
      </c>
      <c r="AA337" s="562">
        <v>2.0</v>
      </c>
      <c r="AB337" s="562">
        <v>2.0</v>
      </c>
      <c r="AC337" s="562"/>
      <c r="AD337" s="562"/>
      <c r="AE337" s="562"/>
      <c r="AF337" s="562"/>
      <c r="AG337" s="562"/>
      <c r="AH337" s="562"/>
      <c r="AI337" s="562"/>
      <c r="AJ337" s="562"/>
      <c r="AK337" s="562"/>
      <c r="AL337" s="562"/>
      <c r="AM337" s="562"/>
      <c r="AN337" s="562"/>
      <c r="AO337" s="562"/>
      <c r="AP337" s="562"/>
      <c r="AQ337" s="562"/>
      <c r="AR337" s="562">
        <v>-2024.0</v>
      </c>
      <c r="AS337" s="562">
        <v>-2024.0</v>
      </c>
      <c r="AT337" s="562">
        <v>-2024.0</v>
      </c>
      <c r="AU337" s="562">
        <v>-2024.0</v>
      </c>
      <c r="AV337" s="562">
        <v>-2024.0</v>
      </c>
      <c r="AW337" s="562">
        <v>-2024.0</v>
      </c>
      <c r="AX337" s="562">
        <v>0.0</v>
      </c>
      <c r="AY337" s="562">
        <v>0.0</v>
      </c>
      <c r="AZ337" s="562">
        <v>0.0</v>
      </c>
      <c r="BA337" s="562">
        <v>0.0</v>
      </c>
      <c r="BB337" s="562"/>
      <c r="BC337" s="562">
        <v>2.0</v>
      </c>
      <c r="BD337" s="562">
        <v>1.0</v>
      </c>
      <c r="BE337" s="562">
        <v>2.0</v>
      </c>
      <c r="BF337" s="562">
        <v>10.0</v>
      </c>
      <c r="BG337" s="562">
        <v>10.0</v>
      </c>
      <c r="BH337" s="562">
        <v>10.0</v>
      </c>
      <c r="BI337" s="562"/>
      <c r="BJ337" s="562"/>
      <c r="BK337" s="562"/>
      <c r="BL337" s="681"/>
      <c r="BM337" s="665">
        <f t="shared" si="1"/>
        <v>35</v>
      </c>
      <c r="BN337" s="682"/>
      <c r="BO337" s="683"/>
      <c r="BP337" s="683"/>
      <c r="BQ337" s="683"/>
      <c r="BR337" s="683"/>
      <c r="BS337" s="683"/>
      <c r="BT337" s="683"/>
      <c r="BU337" s="683"/>
      <c r="BV337" s="683"/>
      <c r="BW337" s="686"/>
      <c r="BX337" s="665">
        <f t="shared" si="840"/>
        <v>0</v>
      </c>
      <c r="BY337" s="682">
        <v>2.0</v>
      </c>
      <c r="BZ337" s="683">
        <v>1.0</v>
      </c>
      <c r="CA337" s="683">
        <v>2.0</v>
      </c>
      <c r="CB337" s="683">
        <v>10.0</v>
      </c>
      <c r="CC337" s="683">
        <v>10.0</v>
      </c>
      <c r="CD337" s="683">
        <v>10.0</v>
      </c>
      <c r="CE337" s="683">
        <v>0.0</v>
      </c>
      <c r="CF337" s="683">
        <v>0.0</v>
      </c>
      <c r="CG337" s="683">
        <v>0.0</v>
      </c>
      <c r="CH337" s="686">
        <v>0.0</v>
      </c>
      <c r="CI337" s="665">
        <f t="shared" si="841"/>
        <v>35</v>
      </c>
      <c r="CJ337" s="682">
        <f t="shared" si="4"/>
        <v>70</v>
      </c>
      <c r="CK337" s="706">
        <v>4.73</v>
      </c>
      <c r="CL337" s="683">
        <f t="shared" si="912"/>
        <v>32.9208</v>
      </c>
      <c r="CM337" s="683">
        <f t="shared" ref="CM337:CV337" si="1030">BC337*$CL337</f>
        <v>65.8416</v>
      </c>
      <c r="CN337" s="683">
        <f t="shared" si="1030"/>
        <v>32.9208</v>
      </c>
      <c r="CO337" s="683">
        <f t="shared" si="1030"/>
        <v>65.8416</v>
      </c>
      <c r="CP337" s="683">
        <f t="shared" si="1030"/>
        <v>329.208</v>
      </c>
      <c r="CQ337" s="683">
        <f t="shared" si="1030"/>
        <v>329.208</v>
      </c>
      <c r="CR337" s="683">
        <f t="shared" si="1030"/>
        <v>329.208</v>
      </c>
      <c r="CS337" s="683">
        <f t="shared" si="1030"/>
        <v>0</v>
      </c>
      <c r="CT337" s="683">
        <f t="shared" si="1030"/>
        <v>0</v>
      </c>
      <c r="CU337" s="683">
        <f t="shared" si="1030"/>
        <v>0</v>
      </c>
      <c r="CV337" s="683">
        <f t="shared" si="1030"/>
        <v>0</v>
      </c>
      <c r="CW337" s="683">
        <f t="shared" si="21"/>
        <v>1152.228</v>
      </c>
      <c r="CX337" s="683">
        <f t="shared" ref="CX337:DG337" si="1031">BN337*$CL337</f>
        <v>0</v>
      </c>
      <c r="CY337" s="683">
        <f t="shared" si="1031"/>
        <v>0</v>
      </c>
      <c r="CZ337" s="683">
        <f t="shared" si="1031"/>
        <v>0</v>
      </c>
      <c r="DA337" s="683">
        <f t="shared" si="1031"/>
        <v>0</v>
      </c>
      <c r="DB337" s="683">
        <f t="shared" si="1031"/>
        <v>0</v>
      </c>
      <c r="DC337" s="683">
        <f t="shared" si="1031"/>
        <v>0</v>
      </c>
      <c r="DD337" s="683">
        <f t="shared" si="1031"/>
        <v>0</v>
      </c>
      <c r="DE337" s="683">
        <f t="shared" si="1031"/>
        <v>0</v>
      </c>
      <c r="DF337" s="683">
        <f t="shared" si="1031"/>
        <v>0</v>
      </c>
      <c r="DG337" s="683">
        <f t="shared" si="1031"/>
        <v>0</v>
      </c>
      <c r="DH337" s="683">
        <f t="shared" si="23"/>
        <v>0</v>
      </c>
      <c r="DI337" s="683">
        <f t="shared" ref="DI337:DR337" si="1032">BY337*$CL337</f>
        <v>65.8416</v>
      </c>
      <c r="DJ337" s="683">
        <f t="shared" si="1032"/>
        <v>32.9208</v>
      </c>
      <c r="DK337" s="683">
        <f t="shared" si="1032"/>
        <v>65.8416</v>
      </c>
      <c r="DL337" s="683">
        <f t="shared" si="1032"/>
        <v>329.208</v>
      </c>
      <c r="DM337" s="683">
        <f t="shared" si="1032"/>
        <v>329.208</v>
      </c>
      <c r="DN337" s="683">
        <f t="shared" si="1032"/>
        <v>329.208</v>
      </c>
      <c r="DO337" s="683">
        <f t="shared" si="1032"/>
        <v>0</v>
      </c>
      <c r="DP337" s="683">
        <f t="shared" si="1032"/>
        <v>0</v>
      </c>
      <c r="DQ337" s="683">
        <f t="shared" si="1032"/>
        <v>0</v>
      </c>
      <c r="DR337" s="683">
        <f t="shared" si="1032"/>
        <v>0</v>
      </c>
      <c r="DS337" s="683">
        <f t="shared" si="25"/>
        <v>1152.228</v>
      </c>
      <c r="DT337" s="683">
        <f t="shared" si="685"/>
        <v>2304.456</v>
      </c>
      <c r="DU337" s="504"/>
      <c r="DV337" s="486"/>
      <c r="DW337" s="688"/>
      <c r="DX337" s="688"/>
      <c r="DY337" s="688"/>
      <c r="DZ337" s="688"/>
      <c r="EA337" s="688"/>
      <c r="EB337" s="688"/>
      <c r="EC337" s="688"/>
      <c r="ED337" s="688"/>
      <c r="EE337" s="688"/>
      <c r="EF337" s="688"/>
      <c r="EG337" s="688"/>
      <c r="EH337" s="707" t="s">
        <v>3536</v>
      </c>
      <c r="EI337" s="708">
        <f>VLOOKUP(I337,CotizacionTDB,4,FALSE())</f>
        <v>4.73</v>
      </c>
      <c r="EJ337" s="708">
        <f>VLOOKUP(I337,CotizacionTDB,5,FALSE())</f>
        <v>4.02</v>
      </c>
      <c r="EK337" s="691"/>
    </row>
    <row r="338" ht="12.0" customHeight="1">
      <c r="A338" s="709" t="s">
        <v>3026</v>
      </c>
      <c r="B338" s="661">
        <v>2.0</v>
      </c>
      <c r="C338" s="567" t="s">
        <v>3027</v>
      </c>
      <c r="D338" s="568" t="s">
        <v>544</v>
      </c>
      <c r="E338" s="568" t="s">
        <v>2708</v>
      </c>
      <c r="F338" s="567" t="s">
        <v>1763</v>
      </c>
      <c r="G338" s="569" t="s">
        <v>2709</v>
      </c>
      <c r="H338" s="569" t="s">
        <v>3537</v>
      </c>
      <c r="I338" s="710" t="s">
        <v>1979</v>
      </c>
      <c r="J338" s="711" t="s">
        <v>1398</v>
      </c>
      <c r="K338" s="567" t="s">
        <v>25</v>
      </c>
      <c r="L338" s="567">
        <v>2024.0</v>
      </c>
      <c r="M338" s="567"/>
      <c r="N338" s="567">
        <v>2024.0</v>
      </c>
      <c r="O338" s="567">
        <v>2024.0</v>
      </c>
      <c r="P338" s="567">
        <v>2024.0</v>
      </c>
      <c r="Q338" s="567">
        <v>2024.0</v>
      </c>
      <c r="R338" s="567"/>
      <c r="S338" s="567"/>
      <c r="T338" s="567"/>
      <c r="U338" s="567"/>
      <c r="V338" s="567"/>
      <c r="W338" s="567">
        <v>2.0</v>
      </c>
      <c r="X338" s="567"/>
      <c r="Y338" s="567">
        <v>2.0</v>
      </c>
      <c r="Z338" s="567">
        <v>2.0</v>
      </c>
      <c r="AA338" s="567">
        <v>2.0</v>
      </c>
      <c r="AB338" s="567">
        <v>2.0</v>
      </c>
      <c r="AC338" s="567"/>
      <c r="AD338" s="567"/>
      <c r="AE338" s="567"/>
      <c r="AF338" s="567"/>
      <c r="AG338" s="567"/>
      <c r="AH338" s="567"/>
      <c r="AI338" s="567"/>
      <c r="AJ338" s="567"/>
      <c r="AK338" s="567"/>
      <c r="AL338" s="567"/>
      <c r="AM338" s="567"/>
      <c r="AN338" s="567"/>
      <c r="AO338" s="567"/>
      <c r="AP338" s="567"/>
      <c r="AQ338" s="567"/>
      <c r="AR338" s="567">
        <v>-2024.0</v>
      </c>
      <c r="AS338" s="567">
        <v>0.0</v>
      </c>
      <c r="AT338" s="567">
        <v>-2024.0</v>
      </c>
      <c r="AU338" s="567">
        <v>-2024.0</v>
      </c>
      <c r="AV338" s="567">
        <v>-2024.0</v>
      </c>
      <c r="AW338" s="567">
        <v>-2024.0</v>
      </c>
      <c r="AX338" s="567">
        <v>0.0</v>
      </c>
      <c r="AY338" s="567">
        <v>0.0</v>
      </c>
      <c r="AZ338" s="567">
        <v>0.0</v>
      </c>
      <c r="BA338" s="567">
        <v>0.0</v>
      </c>
      <c r="BB338" s="567"/>
      <c r="BC338" s="567">
        <v>2.0</v>
      </c>
      <c r="BD338" s="567"/>
      <c r="BE338" s="567">
        <v>2.0</v>
      </c>
      <c r="BF338" s="567">
        <v>2.0</v>
      </c>
      <c r="BG338" s="567">
        <v>2.0</v>
      </c>
      <c r="BH338" s="567">
        <v>2.0</v>
      </c>
      <c r="BI338" s="567"/>
      <c r="BJ338" s="567"/>
      <c r="BK338" s="567"/>
      <c r="BL338" s="725"/>
      <c r="BM338" s="665">
        <f t="shared" si="1"/>
        <v>10</v>
      </c>
      <c r="BN338" s="671"/>
      <c r="BO338" s="668"/>
      <c r="BP338" s="668"/>
      <c r="BQ338" s="668"/>
      <c r="BR338" s="668"/>
      <c r="BS338" s="668"/>
      <c r="BT338" s="668"/>
      <c r="BU338" s="668"/>
      <c r="BV338" s="668"/>
      <c r="BW338" s="670"/>
      <c r="BX338" s="665">
        <f t="shared" si="840"/>
        <v>0</v>
      </c>
      <c r="BY338" s="671">
        <v>2.0</v>
      </c>
      <c r="BZ338" s="674">
        <v>2.0</v>
      </c>
      <c r="CA338" s="668">
        <v>2.0</v>
      </c>
      <c r="CB338" s="668">
        <v>2.0</v>
      </c>
      <c r="CC338" s="668">
        <v>2.0</v>
      </c>
      <c r="CD338" s="668">
        <v>2.0</v>
      </c>
      <c r="CE338" s="668">
        <v>0.0</v>
      </c>
      <c r="CF338" s="668">
        <v>0.0</v>
      </c>
      <c r="CG338" s="668">
        <v>0.0</v>
      </c>
      <c r="CH338" s="670">
        <v>0.0</v>
      </c>
      <c r="CI338" s="665">
        <f t="shared" si="841"/>
        <v>12</v>
      </c>
      <c r="CJ338" s="671">
        <f t="shared" si="4"/>
        <v>22</v>
      </c>
      <c r="CK338" s="715">
        <v>12.34</v>
      </c>
      <c r="CL338" s="668">
        <f t="shared" si="912"/>
        <v>85.8864</v>
      </c>
      <c r="CM338" s="668">
        <f t="shared" ref="CM338:CV338" si="1033">BC338*$CL338</f>
        <v>171.7728</v>
      </c>
      <c r="CN338" s="668">
        <f t="shared" si="1033"/>
        <v>0</v>
      </c>
      <c r="CO338" s="668">
        <f t="shared" si="1033"/>
        <v>171.7728</v>
      </c>
      <c r="CP338" s="668">
        <f t="shared" si="1033"/>
        <v>171.7728</v>
      </c>
      <c r="CQ338" s="668">
        <f t="shared" si="1033"/>
        <v>171.7728</v>
      </c>
      <c r="CR338" s="668">
        <f t="shared" si="1033"/>
        <v>171.7728</v>
      </c>
      <c r="CS338" s="668">
        <f t="shared" si="1033"/>
        <v>0</v>
      </c>
      <c r="CT338" s="668">
        <f t="shared" si="1033"/>
        <v>0</v>
      </c>
      <c r="CU338" s="668">
        <f t="shared" si="1033"/>
        <v>0</v>
      </c>
      <c r="CV338" s="668">
        <f t="shared" si="1033"/>
        <v>0</v>
      </c>
      <c r="CW338" s="668">
        <f t="shared" si="21"/>
        <v>858.864</v>
      </c>
      <c r="CX338" s="668">
        <f t="shared" ref="CX338:DG338" si="1034">BN338*$CL338</f>
        <v>0</v>
      </c>
      <c r="CY338" s="668">
        <f t="shared" si="1034"/>
        <v>0</v>
      </c>
      <c r="CZ338" s="668">
        <f t="shared" si="1034"/>
        <v>0</v>
      </c>
      <c r="DA338" s="668">
        <f t="shared" si="1034"/>
        <v>0</v>
      </c>
      <c r="DB338" s="668">
        <f t="shared" si="1034"/>
        <v>0</v>
      </c>
      <c r="DC338" s="668">
        <f t="shared" si="1034"/>
        <v>0</v>
      </c>
      <c r="DD338" s="668">
        <f t="shared" si="1034"/>
        <v>0</v>
      </c>
      <c r="DE338" s="668">
        <f t="shared" si="1034"/>
        <v>0</v>
      </c>
      <c r="DF338" s="668">
        <f t="shared" si="1034"/>
        <v>0</v>
      </c>
      <c r="DG338" s="668">
        <f t="shared" si="1034"/>
        <v>0</v>
      </c>
      <c r="DH338" s="668">
        <f t="shared" si="23"/>
        <v>0</v>
      </c>
      <c r="DI338" s="668">
        <f t="shared" ref="DI338:DR338" si="1035">BY338*$CL338</f>
        <v>171.7728</v>
      </c>
      <c r="DJ338" s="668">
        <f t="shared" si="1035"/>
        <v>171.7728</v>
      </c>
      <c r="DK338" s="668">
        <f t="shared" si="1035"/>
        <v>171.7728</v>
      </c>
      <c r="DL338" s="668">
        <f t="shared" si="1035"/>
        <v>171.7728</v>
      </c>
      <c r="DM338" s="668">
        <f t="shared" si="1035"/>
        <v>171.7728</v>
      </c>
      <c r="DN338" s="668">
        <f t="shared" si="1035"/>
        <v>171.7728</v>
      </c>
      <c r="DO338" s="668">
        <f t="shared" si="1035"/>
        <v>0</v>
      </c>
      <c r="DP338" s="668">
        <f t="shared" si="1035"/>
        <v>0</v>
      </c>
      <c r="DQ338" s="668">
        <f t="shared" si="1035"/>
        <v>0</v>
      </c>
      <c r="DR338" s="668">
        <f t="shared" si="1035"/>
        <v>0</v>
      </c>
      <c r="DS338" s="668">
        <f t="shared" si="25"/>
        <v>1030.6368</v>
      </c>
      <c r="DT338" s="668">
        <f t="shared" si="685"/>
        <v>1889.5008</v>
      </c>
      <c r="DU338" s="538"/>
      <c r="DV338" s="468"/>
      <c r="DW338" s="698"/>
      <c r="DX338" s="698"/>
      <c r="DY338" s="698"/>
      <c r="DZ338" s="698"/>
      <c r="EA338" s="698"/>
      <c r="EB338" s="698"/>
      <c r="EC338" s="698"/>
      <c r="ED338" s="698"/>
      <c r="EE338" s="698"/>
      <c r="EF338" s="698"/>
      <c r="EG338" s="698"/>
      <c r="EH338" s="576" t="s">
        <v>1398</v>
      </c>
      <c r="EI338" s="716">
        <f>VLOOKUP(I338,CotizacionTDB,4,FALSE())</f>
        <v>12.34</v>
      </c>
      <c r="EJ338" s="716">
        <f>VLOOKUP(I338,CotizacionTDB,5,FALSE())</f>
        <v>10.49</v>
      </c>
      <c r="EK338" s="699"/>
    </row>
    <row r="339" ht="12.0" customHeight="1">
      <c r="A339" s="700" t="s">
        <v>3026</v>
      </c>
      <c r="B339" s="701">
        <v>2.0</v>
      </c>
      <c r="C339" s="562" t="s">
        <v>3027</v>
      </c>
      <c r="D339" s="571" t="s">
        <v>544</v>
      </c>
      <c r="E339" s="571" t="s">
        <v>2708</v>
      </c>
      <c r="F339" s="562" t="s">
        <v>1763</v>
      </c>
      <c r="G339" s="569" t="s">
        <v>2709</v>
      </c>
      <c r="H339" s="569" t="s">
        <v>3538</v>
      </c>
      <c r="I339" s="703" t="s">
        <v>2038</v>
      </c>
      <c r="J339" s="704" t="s">
        <v>1617</v>
      </c>
      <c r="K339" s="701" t="s">
        <v>25</v>
      </c>
      <c r="L339" s="562"/>
      <c r="M339" s="562"/>
      <c r="N339" s="562"/>
      <c r="O339" s="562"/>
      <c r="P339" s="562"/>
      <c r="Q339" s="562"/>
      <c r="R339" s="562"/>
      <c r="S339" s="562"/>
      <c r="T339" s="562"/>
      <c r="U339" s="562">
        <v>2024.0</v>
      </c>
      <c r="V339" s="562"/>
      <c r="W339" s="562"/>
      <c r="X339" s="562"/>
      <c r="Y339" s="562"/>
      <c r="Z339" s="562"/>
      <c r="AA339" s="562"/>
      <c r="AB339" s="562"/>
      <c r="AC339" s="562"/>
      <c r="AD339" s="562"/>
      <c r="AE339" s="562"/>
      <c r="AF339" s="867">
        <v>1.0</v>
      </c>
      <c r="AG339" s="562"/>
      <c r="AH339" s="562"/>
      <c r="AI339" s="562"/>
      <c r="AJ339" s="562"/>
      <c r="AK339" s="562"/>
      <c r="AL339" s="562"/>
      <c r="AM339" s="562"/>
      <c r="AN339" s="562"/>
      <c r="AO339" s="562"/>
      <c r="AP339" s="562"/>
      <c r="AQ339" s="562"/>
      <c r="AR339" s="562">
        <v>0.0</v>
      </c>
      <c r="AS339" s="562">
        <v>0.0</v>
      </c>
      <c r="AT339" s="562">
        <v>0.0</v>
      </c>
      <c r="AU339" s="562">
        <v>0.0</v>
      </c>
      <c r="AV339" s="562">
        <v>0.0</v>
      </c>
      <c r="AW339" s="562">
        <v>0.0</v>
      </c>
      <c r="AX339" s="562">
        <v>0.0</v>
      </c>
      <c r="AY339" s="562">
        <v>0.0</v>
      </c>
      <c r="AZ339" s="562">
        <v>0.0</v>
      </c>
      <c r="BA339" s="562">
        <v>-2024.0</v>
      </c>
      <c r="BB339" s="562"/>
      <c r="BC339" s="562"/>
      <c r="BD339" s="562"/>
      <c r="BE339" s="701">
        <v>4.0</v>
      </c>
      <c r="BF339" s="562"/>
      <c r="BG339" s="562"/>
      <c r="BH339" s="562"/>
      <c r="BI339" s="562"/>
      <c r="BJ339" s="562"/>
      <c r="BK339" s="562"/>
      <c r="BL339" s="907">
        <v>1.0</v>
      </c>
      <c r="BM339" s="665">
        <f t="shared" si="1"/>
        <v>5</v>
      </c>
      <c r="BN339" s="682"/>
      <c r="BO339" s="683"/>
      <c r="BP339" s="683"/>
      <c r="BQ339" s="683"/>
      <c r="BR339" s="683"/>
      <c r="BS339" s="683"/>
      <c r="BT339" s="683"/>
      <c r="BU339" s="683"/>
      <c r="BV339" s="683"/>
      <c r="BW339" s="811">
        <v>1.0</v>
      </c>
      <c r="BX339" s="665">
        <f t="shared" si="840"/>
        <v>1</v>
      </c>
      <c r="BY339" s="682">
        <v>0.0</v>
      </c>
      <c r="BZ339" s="683">
        <v>0.0</v>
      </c>
      <c r="CA339" s="683">
        <v>0.0</v>
      </c>
      <c r="CB339" s="683">
        <v>0.0</v>
      </c>
      <c r="CC339" s="683">
        <v>0.0</v>
      </c>
      <c r="CD339" s="683">
        <v>0.0</v>
      </c>
      <c r="CE339" s="683">
        <v>0.0</v>
      </c>
      <c r="CF339" s="683">
        <v>0.0</v>
      </c>
      <c r="CG339" s="683">
        <v>0.0</v>
      </c>
      <c r="CH339" s="686">
        <v>0.0</v>
      </c>
      <c r="CI339" s="665">
        <f t="shared" si="841"/>
        <v>0</v>
      </c>
      <c r="CJ339" s="682">
        <f t="shared" si="4"/>
        <v>6</v>
      </c>
      <c r="CK339" s="706">
        <v>23.0</v>
      </c>
      <c r="CL339" s="683">
        <f t="shared" si="912"/>
        <v>160.08</v>
      </c>
      <c r="CM339" s="683">
        <f t="shared" ref="CM339:CV339" si="1036">BC339*$CL339</f>
        <v>0</v>
      </c>
      <c r="CN339" s="683">
        <f t="shared" si="1036"/>
        <v>0</v>
      </c>
      <c r="CO339" s="683">
        <f t="shared" si="1036"/>
        <v>640.32</v>
      </c>
      <c r="CP339" s="683">
        <f t="shared" si="1036"/>
        <v>0</v>
      </c>
      <c r="CQ339" s="683">
        <f t="shared" si="1036"/>
        <v>0</v>
      </c>
      <c r="CR339" s="683">
        <f t="shared" si="1036"/>
        <v>0</v>
      </c>
      <c r="CS339" s="683">
        <f t="shared" si="1036"/>
        <v>0</v>
      </c>
      <c r="CT339" s="683">
        <f t="shared" si="1036"/>
        <v>0</v>
      </c>
      <c r="CU339" s="683">
        <f t="shared" si="1036"/>
        <v>0</v>
      </c>
      <c r="CV339" s="683">
        <f t="shared" si="1036"/>
        <v>160.08</v>
      </c>
      <c r="CW339" s="683">
        <f t="shared" si="21"/>
        <v>800.4</v>
      </c>
      <c r="CX339" s="683">
        <f t="shared" ref="CX339:DG339" si="1037">BN339*$CL339</f>
        <v>0</v>
      </c>
      <c r="CY339" s="683">
        <f t="shared" si="1037"/>
        <v>0</v>
      </c>
      <c r="CZ339" s="683">
        <f t="shared" si="1037"/>
        <v>0</v>
      </c>
      <c r="DA339" s="683">
        <f t="shared" si="1037"/>
        <v>0</v>
      </c>
      <c r="DB339" s="683">
        <f t="shared" si="1037"/>
        <v>0</v>
      </c>
      <c r="DC339" s="683">
        <f t="shared" si="1037"/>
        <v>0</v>
      </c>
      <c r="DD339" s="683">
        <f t="shared" si="1037"/>
        <v>0</v>
      </c>
      <c r="DE339" s="683">
        <f t="shared" si="1037"/>
        <v>0</v>
      </c>
      <c r="DF339" s="683">
        <f t="shared" si="1037"/>
        <v>0</v>
      </c>
      <c r="DG339" s="683">
        <f t="shared" si="1037"/>
        <v>160.08</v>
      </c>
      <c r="DH339" s="683">
        <f t="shared" si="23"/>
        <v>160.08</v>
      </c>
      <c r="DI339" s="683">
        <f t="shared" ref="DI339:DR339" si="1038">BY339*$CL339</f>
        <v>0</v>
      </c>
      <c r="DJ339" s="683">
        <f t="shared" si="1038"/>
        <v>0</v>
      </c>
      <c r="DK339" s="683">
        <f t="shared" si="1038"/>
        <v>0</v>
      </c>
      <c r="DL339" s="683">
        <f t="shared" si="1038"/>
        <v>0</v>
      </c>
      <c r="DM339" s="683">
        <f t="shared" si="1038"/>
        <v>0</v>
      </c>
      <c r="DN339" s="683">
        <f t="shared" si="1038"/>
        <v>0</v>
      </c>
      <c r="DO339" s="683">
        <f t="shared" si="1038"/>
        <v>0</v>
      </c>
      <c r="DP339" s="683">
        <f t="shared" si="1038"/>
        <v>0</v>
      </c>
      <c r="DQ339" s="683">
        <f t="shared" si="1038"/>
        <v>0</v>
      </c>
      <c r="DR339" s="683">
        <f t="shared" si="1038"/>
        <v>0</v>
      </c>
      <c r="DS339" s="683">
        <f t="shared" si="25"/>
        <v>0</v>
      </c>
      <c r="DT339" s="683">
        <f t="shared" si="685"/>
        <v>960.48</v>
      </c>
      <c r="DU339" s="504"/>
      <c r="DV339" s="486"/>
      <c r="DW339" s="688"/>
      <c r="DX339" s="688"/>
      <c r="DY339" s="688"/>
      <c r="DZ339" s="688"/>
      <c r="EA339" s="688"/>
      <c r="EB339" s="688"/>
      <c r="EC339" s="688"/>
      <c r="ED339" s="688"/>
      <c r="EE339" s="688"/>
      <c r="EF339" s="688"/>
      <c r="EG339" s="688"/>
      <c r="EH339" s="707" t="s">
        <v>1617</v>
      </c>
      <c r="EI339" s="708">
        <f>VLOOKUP(I339,CotizacionTDB,4,FALSE())</f>
        <v>23</v>
      </c>
      <c r="EJ339" s="708">
        <f>VLOOKUP(I339,CotizacionTDB,5,FALSE())</f>
        <v>19.55</v>
      </c>
      <c r="EK339" s="691"/>
    </row>
    <row r="340" ht="12.0" customHeight="1">
      <c r="A340" s="709" t="s">
        <v>3026</v>
      </c>
      <c r="B340" s="661">
        <v>2.0</v>
      </c>
      <c r="C340" s="567" t="s">
        <v>3027</v>
      </c>
      <c r="D340" s="568" t="s">
        <v>544</v>
      </c>
      <c r="E340" s="568" t="s">
        <v>2708</v>
      </c>
      <c r="F340" s="567" t="s">
        <v>1763</v>
      </c>
      <c r="G340" s="569" t="s">
        <v>2709</v>
      </c>
      <c r="H340" s="569" t="s">
        <v>2717</v>
      </c>
      <c r="I340" s="710" t="s">
        <v>1871</v>
      </c>
      <c r="J340" s="711" t="s">
        <v>1390</v>
      </c>
      <c r="K340" s="567" t="s">
        <v>25</v>
      </c>
      <c r="L340" s="567">
        <v>2024.0</v>
      </c>
      <c r="M340" s="567">
        <v>2024.0</v>
      </c>
      <c r="N340" s="567">
        <v>2024.0</v>
      </c>
      <c r="O340" s="567">
        <v>2024.0</v>
      </c>
      <c r="P340" s="567">
        <v>2024.0</v>
      </c>
      <c r="Q340" s="567">
        <v>2024.0</v>
      </c>
      <c r="R340" s="567"/>
      <c r="S340" s="567"/>
      <c r="T340" s="567"/>
      <c r="U340" s="567"/>
      <c r="V340" s="567"/>
      <c r="W340" s="567">
        <v>2.0</v>
      </c>
      <c r="X340" s="567">
        <v>2.0</v>
      </c>
      <c r="Y340" s="567">
        <v>2.0</v>
      </c>
      <c r="Z340" s="567">
        <v>2.0</v>
      </c>
      <c r="AA340" s="567">
        <v>2.0</v>
      </c>
      <c r="AB340" s="567">
        <v>2.0</v>
      </c>
      <c r="AC340" s="567"/>
      <c r="AD340" s="567"/>
      <c r="AE340" s="567"/>
      <c r="AF340" s="567"/>
      <c r="AG340" s="567"/>
      <c r="AH340" s="567"/>
      <c r="AI340" s="567"/>
      <c r="AJ340" s="567"/>
      <c r="AK340" s="567"/>
      <c r="AL340" s="567"/>
      <c r="AM340" s="567"/>
      <c r="AN340" s="567"/>
      <c r="AO340" s="567"/>
      <c r="AP340" s="567"/>
      <c r="AQ340" s="567"/>
      <c r="AR340" s="567">
        <v>-2024.0</v>
      </c>
      <c r="AS340" s="567">
        <v>-2024.0</v>
      </c>
      <c r="AT340" s="567">
        <v>-2024.0</v>
      </c>
      <c r="AU340" s="567">
        <v>-2024.0</v>
      </c>
      <c r="AV340" s="567">
        <v>-2024.0</v>
      </c>
      <c r="AW340" s="567">
        <v>-2024.0</v>
      </c>
      <c r="AX340" s="567">
        <v>0.0</v>
      </c>
      <c r="AY340" s="567">
        <v>0.0</v>
      </c>
      <c r="AZ340" s="567">
        <v>0.0</v>
      </c>
      <c r="BA340" s="567">
        <v>0.0</v>
      </c>
      <c r="BB340" s="567"/>
      <c r="BC340" s="567">
        <v>10.0</v>
      </c>
      <c r="BD340" s="567">
        <v>5.0</v>
      </c>
      <c r="BE340" s="567">
        <v>15.0</v>
      </c>
      <c r="BF340" s="567">
        <v>10.0</v>
      </c>
      <c r="BG340" s="567">
        <v>10.0</v>
      </c>
      <c r="BH340" s="567">
        <v>10.0</v>
      </c>
      <c r="BI340" s="567"/>
      <c r="BJ340" s="567"/>
      <c r="BK340" s="567"/>
      <c r="BL340" s="725"/>
      <c r="BM340" s="665">
        <f t="shared" si="1"/>
        <v>60</v>
      </c>
      <c r="BN340" s="671"/>
      <c r="BO340" s="668"/>
      <c r="BP340" s="668"/>
      <c r="BQ340" s="668"/>
      <c r="BR340" s="668"/>
      <c r="BS340" s="668"/>
      <c r="BT340" s="668"/>
      <c r="BU340" s="668"/>
      <c r="BV340" s="668"/>
      <c r="BW340" s="670"/>
      <c r="BX340" s="665">
        <f t="shared" si="840"/>
        <v>0</v>
      </c>
      <c r="BY340" s="671">
        <v>10.0</v>
      </c>
      <c r="BZ340" s="668">
        <v>5.0</v>
      </c>
      <c r="CA340" s="668">
        <v>15.0</v>
      </c>
      <c r="CB340" s="668">
        <v>10.0</v>
      </c>
      <c r="CC340" s="668">
        <v>10.0</v>
      </c>
      <c r="CD340" s="668">
        <v>10.0</v>
      </c>
      <c r="CE340" s="668">
        <v>0.0</v>
      </c>
      <c r="CF340" s="668">
        <v>0.0</v>
      </c>
      <c r="CG340" s="668">
        <v>0.0</v>
      </c>
      <c r="CH340" s="670">
        <v>0.0</v>
      </c>
      <c r="CI340" s="665">
        <f t="shared" si="841"/>
        <v>60</v>
      </c>
      <c r="CJ340" s="671">
        <f t="shared" si="4"/>
        <v>120</v>
      </c>
      <c r="CK340" s="715">
        <v>1.61</v>
      </c>
      <c r="CL340" s="668">
        <f t="shared" si="912"/>
        <v>11.2056</v>
      </c>
      <c r="CM340" s="668">
        <f t="shared" ref="CM340:CV340" si="1039">BC340*$CL340</f>
        <v>112.056</v>
      </c>
      <c r="CN340" s="668">
        <f t="shared" si="1039"/>
        <v>56.028</v>
      </c>
      <c r="CO340" s="668">
        <f t="shared" si="1039"/>
        <v>168.084</v>
      </c>
      <c r="CP340" s="668">
        <f t="shared" si="1039"/>
        <v>112.056</v>
      </c>
      <c r="CQ340" s="668">
        <f t="shared" si="1039"/>
        <v>112.056</v>
      </c>
      <c r="CR340" s="668">
        <f t="shared" si="1039"/>
        <v>112.056</v>
      </c>
      <c r="CS340" s="668">
        <f t="shared" si="1039"/>
        <v>0</v>
      </c>
      <c r="CT340" s="668">
        <f t="shared" si="1039"/>
        <v>0</v>
      </c>
      <c r="CU340" s="668">
        <f t="shared" si="1039"/>
        <v>0</v>
      </c>
      <c r="CV340" s="668">
        <f t="shared" si="1039"/>
        <v>0</v>
      </c>
      <c r="CW340" s="668">
        <f t="shared" si="21"/>
        <v>672.336</v>
      </c>
      <c r="CX340" s="668">
        <f t="shared" ref="CX340:DG340" si="1040">BN340*$CL340</f>
        <v>0</v>
      </c>
      <c r="CY340" s="668">
        <f t="shared" si="1040"/>
        <v>0</v>
      </c>
      <c r="CZ340" s="668">
        <f t="shared" si="1040"/>
        <v>0</v>
      </c>
      <c r="DA340" s="668">
        <f t="shared" si="1040"/>
        <v>0</v>
      </c>
      <c r="DB340" s="668">
        <f t="shared" si="1040"/>
        <v>0</v>
      </c>
      <c r="DC340" s="668">
        <f t="shared" si="1040"/>
        <v>0</v>
      </c>
      <c r="DD340" s="668">
        <f t="shared" si="1040"/>
        <v>0</v>
      </c>
      <c r="DE340" s="668">
        <f t="shared" si="1040"/>
        <v>0</v>
      </c>
      <c r="DF340" s="668">
        <f t="shared" si="1040"/>
        <v>0</v>
      </c>
      <c r="DG340" s="668">
        <f t="shared" si="1040"/>
        <v>0</v>
      </c>
      <c r="DH340" s="668">
        <f t="shared" si="23"/>
        <v>0</v>
      </c>
      <c r="DI340" s="668">
        <f t="shared" ref="DI340:DR340" si="1041">BY340*$CL340</f>
        <v>112.056</v>
      </c>
      <c r="DJ340" s="668">
        <f t="shared" si="1041"/>
        <v>56.028</v>
      </c>
      <c r="DK340" s="668">
        <f t="shared" si="1041"/>
        <v>168.084</v>
      </c>
      <c r="DL340" s="668">
        <f t="shared" si="1041"/>
        <v>112.056</v>
      </c>
      <c r="DM340" s="668">
        <f t="shared" si="1041"/>
        <v>112.056</v>
      </c>
      <c r="DN340" s="668">
        <f t="shared" si="1041"/>
        <v>112.056</v>
      </c>
      <c r="DO340" s="668">
        <f t="shared" si="1041"/>
        <v>0</v>
      </c>
      <c r="DP340" s="668">
        <f t="shared" si="1041"/>
        <v>0</v>
      </c>
      <c r="DQ340" s="668">
        <f t="shared" si="1041"/>
        <v>0</v>
      </c>
      <c r="DR340" s="668">
        <f t="shared" si="1041"/>
        <v>0</v>
      </c>
      <c r="DS340" s="668">
        <f t="shared" si="25"/>
        <v>672.336</v>
      </c>
      <c r="DT340" s="668">
        <f t="shared" si="685"/>
        <v>1344.672</v>
      </c>
      <c r="DU340" s="538"/>
      <c r="DV340" s="468"/>
      <c r="DW340" s="698"/>
      <c r="DX340" s="698"/>
      <c r="DY340" s="698"/>
      <c r="DZ340" s="698"/>
      <c r="EA340" s="698"/>
      <c r="EB340" s="698"/>
      <c r="EC340" s="698"/>
      <c r="ED340" s="698"/>
      <c r="EE340" s="698"/>
      <c r="EF340" s="698"/>
      <c r="EG340" s="698"/>
      <c r="EH340" s="576" t="s">
        <v>1390</v>
      </c>
      <c r="EI340" s="716">
        <f>VLOOKUP(I340,CotizacionTDB,4,FALSE())</f>
        <v>1.61</v>
      </c>
      <c r="EJ340" s="716">
        <f>VLOOKUP(I340,CotizacionTDB,5,FALSE())</f>
        <v>1.37</v>
      </c>
      <c r="EK340" s="699"/>
    </row>
    <row r="341" ht="12.0" customHeight="1">
      <c r="A341" s="700" t="s">
        <v>3026</v>
      </c>
      <c r="B341" s="701">
        <v>2.0</v>
      </c>
      <c r="C341" s="562" t="s">
        <v>3027</v>
      </c>
      <c r="D341" s="571" t="s">
        <v>544</v>
      </c>
      <c r="E341" s="571" t="s">
        <v>2708</v>
      </c>
      <c r="F341" s="562" t="s">
        <v>1763</v>
      </c>
      <c r="G341" s="569" t="s">
        <v>2709</v>
      </c>
      <c r="H341" s="569" t="s">
        <v>3539</v>
      </c>
      <c r="I341" s="703" t="s">
        <v>2040</v>
      </c>
      <c r="J341" s="704" t="s">
        <v>1652</v>
      </c>
      <c r="K341" s="701" t="s">
        <v>25</v>
      </c>
      <c r="L341" s="562"/>
      <c r="M341" s="562"/>
      <c r="N341" s="562"/>
      <c r="O341" s="562"/>
      <c r="P341" s="562"/>
      <c r="Q341" s="562"/>
      <c r="R341" s="562"/>
      <c r="S341" s="562"/>
      <c r="T341" s="562"/>
      <c r="U341" s="562">
        <v>2024.0</v>
      </c>
      <c r="V341" s="562"/>
      <c r="W341" s="562"/>
      <c r="X341" s="562"/>
      <c r="Y341" s="562"/>
      <c r="Z341" s="562"/>
      <c r="AA341" s="562"/>
      <c r="AB341" s="562"/>
      <c r="AC341" s="562"/>
      <c r="AD341" s="562"/>
      <c r="AE341" s="562"/>
      <c r="AF341" s="867">
        <v>1.0</v>
      </c>
      <c r="AG341" s="562"/>
      <c r="AH341" s="562"/>
      <c r="AI341" s="562"/>
      <c r="AJ341" s="562"/>
      <c r="AK341" s="562"/>
      <c r="AL341" s="562"/>
      <c r="AM341" s="562"/>
      <c r="AN341" s="562"/>
      <c r="AO341" s="562"/>
      <c r="AP341" s="562"/>
      <c r="AQ341" s="562"/>
      <c r="AR341" s="562">
        <v>0.0</v>
      </c>
      <c r="AS341" s="562">
        <v>0.0</v>
      </c>
      <c r="AT341" s="562">
        <v>0.0</v>
      </c>
      <c r="AU341" s="562">
        <v>0.0</v>
      </c>
      <c r="AV341" s="562">
        <v>0.0</v>
      </c>
      <c r="AW341" s="562">
        <v>0.0</v>
      </c>
      <c r="AX341" s="562">
        <v>0.0</v>
      </c>
      <c r="AY341" s="562">
        <v>0.0</v>
      </c>
      <c r="AZ341" s="562">
        <v>0.0</v>
      </c>
      <c r="BA341" s="562">
        <v>-2024.0</v>
      </c>
      <c r="BB341" s="562"/>
      <c r="BC341" s="562"/>
      <c r="BD341" s="562"/>
      <c r="BE341" s="701">
        <v>4.0</v>
      </c>
      <c r="BF341" s="562"/>
      <c r="BG341" s="562"/>
      <c r="BH341" s="562"/>
      <c r="BI341" s="562"/>
      <c r="BJ341" s="562"/>
      <c r="BK341" s="562"/>
      <c r="BL341" s="907">
        <v>1.0</v>
      </c>
      <c r="BM341" s="665">
        <f t="shared" si="1"/>
        <v>5</v>
      </c>
      <c r="BN341" s="682"/>
      <c r="BO341" s="683"/>
      <c r="BP341" s="683"/>
      <c r="BQ341" s="683"/>
      <c r="BR341" s="683"/>
      <c r="BS341" s="683"/>
      <c r="BT341" s="683"/>
      <c r="BU341" s="683"/>
      <c r="BV341" s="683"/>
      <c r="BW341" s="811">
        <v>1.0</v>
      </c>
      <c r="BX341" s="665">
        <f t="shared" si="840"/>
        <v>1</v>
      </c>
      <c r="BY341" s="682">
        <v>0.0</v>
      </c>
      <c r="BZ341" s="683">
        <v>0.0</v>
      </c>
      <c r="CA341" s="683">
        <v>0.0</v>
      </c>
      <c r="CB341" s="683">
        <v>0.0</v>
      </c>
      <c r="CC341" s="683">
        <v>0.0</v>
      </c>
      <c r="CD341" s="683">
        <v>0.0</v>
      </c>
      <c r="CE341" s="683">
        <v>0.0</v>
      </c>
      <c r="CF341" s="683">
        <v>0.0</v>
      </c>
      <c r="CG341" s="683">
        <v>0.0</v>
      </c>
      <c r="CH341" s="686">
        <v>0.0</v>
      </c>
      <c r="CI341" s="665">
        <f t="shared" si="841"/>
        <v>0</v>
      </c>
      <c r="CJ341" s="682">
        <f t="shared" si="4"/>
        <v>6</v>
      </c>
      <c r="CK341" s="706">
        <v>14.57</v>
      </c>
      <c r="CL341" s="683">
        <f t="shared" si="912"/>
        <v>101.4072</v>
      </c>
      <c r="CM341" s="683">
        <f t="shared" ref="CM341:CV341" si="1042">BC341*$CL341</f>
        <v>0</v>
      </c>
      <c r="CN341" s="683">
        <f t="shared" si="1042"/>
        <v>0</v>
      </c>
      <c r="CO341" s="683">
        <f t="shared" si="1042"/>
        <v>405.6288</v>
      </c>
      <c r="CP341" s="683">
        <f t="shared" si="1042"/>
        <v>0</v>
      </c>
      <c r="CQ341" s="683">
        <f t="shared" si="1042"/>
        <v>0</v>
      </c>
      <c r="CR341" s="683">
        <f t="shared" si="1042"/>
        <v>0</v>
      </c>
      <c r="CS341" s="683">
        <f t="shared" si="1042"/>
        <v>0</v>
      </c>
      <c r="CT341" s="683">
        <f t="shared" si="1042"/>
        <v>0</v>
      </c>
      <c r="CU341" s="683">
        <f t="shared" si="1042"/>
        <v>0</v>
      </c>
      <c r="CV341" s="683">
        <f t="shared" si="1042"/>
        <v>101.4072</v>
      </c>
      <c r="CW341" s="683">
        <f t="shared" si="21"/>
        <v>507.036</v>
      </c>
      <c r="CX341" s="683">
        <f t="shared" ref="CX341:DG341" si="1043">BN341*$CL341</f>
        <v>0</v>
      </c>
      <c r="CY341" s="683">
        <f t="shared" si="1043"/>
        <v>0</v>
      </c>
      <c r="CZ341" s="683">
        <f t="shared" si="1043"/>
        <v>0</v>
      </c>
      <c r="DA341" s="683">
        <f t="shared" si="1043"/>
        <v>0</v>
      </c>
      <c r="DB341" s="683">
        <f t="shared" si="1043"/>
        <v>0</v>
      </c>
      <c r="DC341" s="683">
        <f t="shared" si="1043"/>
        <v>0</v>
      </c>
      <c r="DD341" s="683">
        <f t="shared" si="1043"/>
        <v>0</v>
      </c>
      <c r="DE341" s="683">
        <f t="shared" si="1043"/>
        <v>0</v>
      </c>
      <c r="DF341" s="683">
        <f t="shared" si="1043"/>
        <v>0</v>
      </c>
      <c r="DG341" s="683">
        <f t="shared" si="1043"/>
        <v>101.4072</v>
      </c>
      <c r="DH341" s="683">
        <f t="shared" si="23"/>
        <v>101.4072</v>
      </c>
      <c r="DI341" s="683">
        <f t="shared" ref="DI341:DR341" si="1044">BY341*$CL341</f>
        <v>0</v>
      </c>
      <c r="DJ341" s="683">
        <f t="shared" si="1044"/>
        <v>0</v>
      </c>
      <c r="DK341" s="683">
        <f t="shared" si="1044"/>
        <v>0</v>
      </c>
      <c r="DL341" s="683">
        <f t="shared" si="1044"/>
        <v>0</v>
      </c>
      <c r="DM341" s="683">
        <f t="shared" si="1044"/>
        <v>0</v>
      </c>
      <c r="DN341" s="683">
        <f t="shared" si="1044"/>
        <v>0</v>
      </c>
      <c r="DO341" s="683">
        <f t="shared" si="1044"/>
        <v>0</v>
      </c>
      <c r="DP341" s="683">
        <f t="shared" si="1044"/>
        <v>0</v>
      </c>
      <c r="DQ341" s="683">
        <f t="shared" si="1044"/>
        <v>0</v>
      </c>
      <c r="DR341" s="683">
        <f t="shared" si="1044"/>
        <v>0</v>
      </c>
      <c r="DS341" s="683">
        <f t="shared" si="25"/>
        <v>0</v>
      </c>
      <c r="DT341" s="683">
        <f t="shared" si="685"/>
        <v>608.4432</v>
      </c>
      <c r="DU341" s="504"/>
      <c r="DV341" s="486"/>
      <c r="DW341" s="688"/>
      <c r="DX341" s="688"/>
      <c r="DY341" s="688"/>
      <c r="DZ341" s="688"/>
      <c r="EA341" s="688"/>
      <c r="EB341" s="688"/>
      <c r="EC341" s="688"/>
      <c r="ED341" s="688"/>
      <c r="EE341" s="688"/>
      <c r="EF341" s="688"/>
      <c r="EG341" s="688"/>
      <c r="EH341" s="707" t="s">
        <v>1652</v>
      </c>
      <c r="EI341" s="708">
        <f>VLOOKUP(I341,CotizacionTDB,4,FALSE())</f>
        <v>14.57</v>
      </c>
      <c r="EJ341" s="708">
        <f>VLOOKUP(I341,CotizacionTDB,5,FALSE())</f>
        <v>12.38</v>
      </c>
      <c r="EK341" s="691"/>
    </row>
    <row r="342" ht="12.0" customHeight="1">
      <c r="A342" s="709" t="s">
        <v>3026</v>
      </c>
      <c r="B342" s="661">
        <v>2.0</v>
      </c>
      <c r="C342" s="567" t="s">
        <v>3027</v>
      </c>
      <c r="D342" s="568" t="s">
        <v>544</v>
      </c>
      <c r="E342" s="568" t="s">
        <v>2708</v>
      </c>
      <c r="F342" s="567" t="s">
        <v>1763</v>
      </c>
      <c r="G342" s="569" t="s">
        <v>2709</v>
      </c>
      <c r="H342" s="657" t="s">
        <v>3540</v>
      </c>
      <c r="I342" s="710" t="s">
        <v>2001</v>
      </c>
      <c r="J342" s="711" t="s">
        <v>1657</v>
      </c>
      <c r="K342" s="567" t="s">
        <v>25</v>
      </c>
      <c r="L342" s="567"/>
      <c r="M342" s="567"/>
      <c r="N342" s="567"/>
      <c r="O342" s="567">
        <v>2024.0</v>
      </c>
      <c r="P342" s="567">
        <v>2024.0</v>
      </c>
      <c r="Q342" s="567">
        <v>2024.0</v>
      </c>
      <c r="R342" s="567"/>
      <c r="S342" s="567"/>
      <c r="T342" s="567"/>
      <c r="U342" s="567"/>
      <c r="V342" s="567"/>
      <c r="W342" s="567">
        <v>3.0</v>
      </c>
      <c r="X342" s="567"/>
      <c r="Y342" s="567"/>
      <c r="Z342" s="567">
        <v>2.0</v>
      </c>
      <c r="AA342" s="567">
        <v>2.0</v>
      </c>
      <c r="AB342" s="567">
        <v>2.0</v>
      </c>
      <c r="AC342" s="567"/>
      <c r="AD342" s="567"/>
      <c r="AE342" s="567"/>
      <c r="AF342" s="567"/>
      <c r="AG342" s="567"/>
      <c r="AH342" s="567"/>
      <c r="AI342" s="567"/>
      <c r="AJ342" s="567"/>
      <c r="AK342" s="567"/>
      <c r="AL342" s="567"/>
      <c r="AM342" s="567"/>
      <c r="AN342" s="567"/>
      <c r="AO342" s="567"/>
      <c r="AP342" s="567"/>
      <c r="AQ342" s="567"/>
      <c r="AR342" s="567">
        <v>0.0</v>
      </c>
      <c r="AS342" s="567">
        <v>0.0</v>
      </c>
      <c r="AT342" s="567">
        <v>0.0</v>
      </c>
      <c r="AU342" s="567">
        <v>-2024.0</v>
      </c>
      <c r="AV342" s="567">
        <v>-2024.0</v>
      </c>
      <c r="AW342" s="567">
        <v>-2024.0</v>
      </c>
      <c r="AX342" s="567">
        <v>0.0</v>
      </c>
      <c r="AY342" s="567">
        <v>0.0</v>
      </c>
      <c r="AZ342" s="567">
        <v>0.0</v>
      </c>
      <c r="BA342" s="567">
        <v>0.0</v>
      </c>
      <c r="BB342" s="567"/>
      <c r="BC342" s="661">
        <v>10.0</v>
      </c>
      <c r="BD342" s="661">
        <v>10.0</v>
      </c>
      <c r="BE342" s="661">
        <v>10.0</v>
      </c>
      <c r="BF342" s="567">
        <v>10.0</v>
      </c>
      <c r="BG342" s="567">
        <v>10.0</v>
      </c>
      <c r="BH342" s="567">
        <v>10.0</v>
      </c>
      <c r="BI342" s="567"/>
      <c r="BJ342" s="567"/>
      <c r="BK342" s="567"/>
      <c r="BL342" s="725"/>
      <c r="BM342" s="665">
        <f t="shared" si="1"/>
        <v>60</v>
      </c>
      <c r="BN342" s="671"/>
      <c r="BO342" s="668"/>
      <c r="BP342" s="668"/>
      <c r="BQ342" s="668"/>
      <c r="BR342" s="668"/>
      <c r="BS342" s="668"/>
      <c r="BT342" s="668"/>
      <c r="BU342" s="668"/>
      <c r="BV342" s="668"/>
      <c r="BW342" s="670"/>
      <c r="BX342" s="665">
        <f t="shared" si="840"/>
        <v>0</v>
      </c>
      <c r="BY342" s="671">
        <v>0.0</v>
      </c>
      <c r="BZ342" s="668">
        <v>0.0</v>
      </c>
      <c r="CA342" s="668">
        <v>0.0</v>
      </c>
      <c r="CB342" s="668">
        <v>10.0</v>
      </c>
      <c r="CC342" s="668">
        <v>10.0</v>
      </c>
      <c r="CD342" s="668">
        <v>10.0</v>
      </c>
      <c r="CE342" s="668">
        <v>0.0</v>
      </c>
      <c r="CF342" s="668">
        <v>0.0</v>
      </c>
      <c r="CG342" s="668">
        <v>0.0</v>
      </c>
      <c r="CH342" s="670">
        <v>0.0</v>
      </c>
      <c r="CI342" s="665">
        <f t="shared" si="841"/>
        <v>30</v>
      </c>
      <c r="CJ342" s="671">
        <f t="shared" si="4"/>
        <v>90</v>
      </c>
      <c r="CK342" s="715">
        <v>0.46</v>
      </c>
      <c r="CL342" s="668">
        <f t="shared" si="912"/>
        <v>3.2016</v>
      </c>
      <c r="CM342" s="668">
        <f t="shared" ref="CM342:CV342" si="1045">BC342*$CL342</f>
        <v>32.016</v>
      </c>
      <c r="CN342" s="668">
        <f t="shared" si="1045"/>
        <v>32.016</v>
      </c>
      <c r="CO342" s="668">
        <f t="shared" si="1045"/>
        <v>32.016</v>
      </c>
      <c r="CP342" s="668">
        <f t="shared" si="1045"/>
        <v>32.016</v>
      </c>
      <c r="CQ342" s="668">
        <f t="shared" si="1045"/>
        <v>32.016</v>
      </c>
      <c r="CR342" s="668">
        <f t="shared" si="1045"/>
        <v>32.016</v>
      </c>
      <c r="CS342" s="668">
        <f t="shared" si="1045"/>
        <v>0</v>
      </c>
      <c r="CT342" s="668">
        <f t="shared" si="1045"/>
        <v>0</v>
      </c>
      <c r="CU342" s="668">
        <f t="shared" si="1045"/>
        <v>0</v>
      </c>
      <c r="CV342" s="668">
        <f t="shared" si="1045"/>
        <v>0</v>
      </c>
      <c r="CW342" s="668">
        <f t="shared" si="21"/>
        <v>192.096</v>
      </c>
      <c r="CX342" s="668">
        <f t="shared" ref="CX342:DG342" si="1046">BN342*$CL342</f>
        <v>0</v>
      </c>
      <c r="CY342" s="668">
        <f t="shared" si="1046"/>
        <v>0</v>
      </c>
      <c r="CZ342" s="668">
        <f t="shared" si="1046"/>
        <v>0</v>
      </c>
      <c r="DA342" s="668">
        <f t="shared" si="1046"/>
        <v>0</v>
      </c>
      <c r="DB342" s="668">
        <f t="shared" si="1046"/>
        <v>0</v>
      </c>
      <c r="DC342" s="668">
        <f t="shared" si="1046"/>
        <v>0</v>
      </c>
      <c r="DD342" s="668">
        <f t="shared" si="1046"/>
        <v>0</v>
      </c>
      <c r="DE342" s="668">
        <f t="shared" si="1046"/>
        <v>0</v>
      </c>
      <c r="DF342" s="668">
        <f t="shared" si="1046"/>
        <v>0</v>
      </c>
      <c r="DG342" s="668">
        <f t="shared" si="1046"/>
        <v>0</v>
      </c>
      <c r="DH342" s="668">
        <f t="shared" si="23"/>
        <v>0</v>
      </c>
      <c r="DI342" s="668">
        <f t="shared" ref="DI342:DR342" si="1047">BY342*$CL342</f>
        <v>0</v>
      </c>
      <c r="DJ342" s="668">
        <f t="shared" si="1047"/>
        <v>0</v>
      </c>
      <c r="DK342" s="668">
        <f t="shared" si="1047"/>
        <v>0</v>
      </c>
      <c r="DL342" s="668">
        <f t="shared" si="1047"/>
        <v>32.016</v>
      </c>
      <c r="DM342" s="668">
        <f t="shared" si="1047"/>
        <v>32.016</v>
      </c>
      <c r="DN342" s="668">
        <f t="shared" si="1047"/>
        <v>32.016</v>
      </c>
      <c r="DO342" s="668">
        <f t="shared" si="1047"/>
        <v>0</v>
      </c>
      <c r="DP342" s="668">
        <f t="shared" si="1047"/>
        <v>0</v>
      </c>
      <c r="DQ342" s="668">
        <f t="shared" si="1047"/>
        <v>0</v>
      </c>
      <c r="DR342" s="668">
        <f t="shared" si="1047"/>
        <v>0</v>
      </c>
      <c r="DS342" s="668">
        <f t="shared" si="25"/>
        <v>96.048</v>
      </c>
      <c r="DT342" s="668">
        <f t="shared" si="685"/>
        <v>288.144</v>
      </c>
      <c r="DU342" s="538"/>
      <c r="DV342" s="468"/>
      <c r="DW342" s="698"/>
      <c r="DX342" s="698"/>
      <c r="DY342" s="698"/>
      <c r="DZ342" s="698"/>
      <c r="EA342" s="698"/>
      <c r="EB342" s="698"/>
      <c r="EC342" s="698"/>
      <c r="ED342" s="698"/>
      <c r="EE342" s="698"/>
      <c r="EF342" s="698"/>
      <c r="EG342" s="698"/>
      <c r="EH342" s="576" t="s">
        <v>3541</v>
      </c>
      <c r="EI342" s="716">
        <f>VLOOKUP(I342,CotizacionTDB,4,FALSE())</f>
        <v>0.46</v>
      </c>
      <c r="EJ342" s="716">
        <f>VLOOKUP(I342,CotizacionTDB,5,FALSE())</f>
        <v>0.39</v>
      </c>
      <c r="EK342" s="699"/>
    </row>
    <row r="343" ht="12.0" customHeight="1">
      <c r="A343" s="700" t="s">
        <v>3026</v>
      </c>
      <c r="B343" s="701">
        <v>2.0</v>
      </c>
      <c r="C343" s="562" t="s">
        <v>3027</v>
      </c>
      <c r="D343" s="571" t="s">
        <v>544</v>
      </c>
      <c r="E343" s="571" t="s">
        <v>2708</v>
      </c>
      <c r="F343" s="562" t="s">
        <v>1763</v>
      </c>
      <c r="G343" s="569" t="s">
        <v>2855</v>
      </c>
      <c r="H343" s="569" t="s">
        <v>3542</v>
      </c>
      <c r="I343" s="703" t="s">
        <v>1994</v>
      </c>
      <c r="J343" s="704" t="s">
        <v>708</v>
      </c>
      <c r="K343" s="562" t="s">
        <v>25</v>
      </c>
      <c r="L343" s="562">
        <v>2024.0</v>
      </c>
      <c r="M343" s="562"/>
      <c r="N343" s="562"/>
      <c r="O343" s="562">
        <v>2024.0</v>
      </c>
      <c r="P343" s="562">
        <v>2024.0</v>
      </c>
      <c r="Q343" s="562">
        <v>2024.0</v>
      </c>
      <c r="R343" s="562"/>
      <c r="S343" s="562"/>
      <c r="T343" s="562"/>
      <c r="U343" s="562">
        <v>2024.0</v>
      </c>
      <c r="V343" s="562"/>
      <c r="W343" s="562">
        <v>2.0</v>
      </c>
      <c r="X343" s="562"/>
      <c r="Y343" s="562"/>
      <c r="Z343" s="562">
        <v>2.0</v>
      </c>
      <c r="AA343" s="562">
        <v>2.0</v>
      </c>
      <c r="AB343" s="562">
        <v>2.0</v>
      </c>
      <c r="AC343" s="562"/>
      <c r="AD343" s="562"/>
      <c r="AE343" s="562"/>
      <c r="AF343" s="821">
        <v>1.0</v>
      </c>
      <c r="AG343" s="562"/>
      <c r="AH343" s="562"/>
      <c r="AI343" s="562"/>
      <c r="AJ343" s="562"/>
      <c r="AK343" s="562"/>
      <c r="AL343" s="562"/>
      <c r="AM343" s="562"/>
      <c r="AN343" s="562"/>
      <c r="AO343" s="562"/>
      <c r="AP343" s="562"/>
      <c r="AQ343" s="562"/>
      <c r="AR343" s="562">
        <v>-2024.0</v>
      </c>
      <c r="AS343" s="562">
        <v>0.0</v>
      </c>
      <c r="AT343" s="562">
        <v>0.0</v>
      </c>
      <c r="AU343" s="562">
        <v>-2024.0</v>
      </c>
      <c r="AV343" s="562">
        <v>-2024.0</v>
      </c>
      <c r="AW343" s="562">
        <v>-2024.0</v>
      </c>
      <c r="AX343" s="562">
        <v>0.0</v>
      </c>
      <c r="AY343" s="562">
        <v>0.0</v>
      </c>
      <c r="AZ343" s="562">
        <v>0.0</v>
      </c>
      <c r="BA343" s="562">
        <v>-2024.0</v>
      </c>
      <c r="BB343" s="562"/>
      <c r="BC343" s="562"/>
      <c r="BD343" s="562"/>
      <c r="BE343" s="562"/>
      <c r="BF343" s="701"/>
      <c r="BG343" s="562"/>
      <c r="BH343" s="562"/>
      <c r="BI343" s="562"/>
      <c r="BJ343" s="701"/>
      <c r="BK343" s="562"/>
      <c r="BL343" s="723">
        <v>0.0</v>
      </c>
      <c r="BM343" s="665">
        <f t="shared" si="1"/>
        <v>0</v>
      </c>
      <c r="BN343" s="682"/>
      <c r="BO343" s="683"/>
      <c r="BP343" s="849">
        <v>1.0</v>
      </c>
      <c r="BQ343" s="849">
        <v>1.0</v>
      </c>
      <c r="BR343" s="849">
        <v>1.0</v>
      </c>
      <c r="BS343" s="683"/>
      <c r="BT343" s="683"/>
      <c r="BU343" s="683"/>
      <c r="BV343" s="683"/>
      <c r="BW343" s="724">
        <v>1.0</v>
      </c>
      <c r="BX343" s="665">
        <f t="shared" si="840"/>
        <v>4</v>
      </c>
      <c r="BY343" s="682">
        <v>0.0</v>
      </c>
      <c r="BZ343" s="683">
        <v>0.0</v>
      </c>
      <c r="CA343" s="683">
        <v>0.0</v>
      </c>
      <c r="CB343" s="687">
        <v>0.0</v>
      </c>
      <c r="CC343" s="687">
        <v>0.0</v>
      </c>
      <c r="CD343" s="687">
        <v>0.0</v>
      </c>
      <c r="CE343" s="683">
        <v>0.0</v>
      </c>
      <c r="CF343" s="687"/>
      <c r="CG343" s="683">
        <v>0.0</v>
      </c>
      <c r="CH343" s="686">
        <v>0.0</v>
      </c>
      <c r="CI343" s="665">
        <f t="shared" si="841"/>
        <v>0</v>
      </c>
      <c r="CJ343" s="682">
        <f t="shared" si="4"/>
        <v>4</v>
      </c>
      <c r="CK343" s="706">
        <v>566.84</v>
      </c>
      <c r="CL343" s="683">
        <f t="shared" si="912"/>
        <v>3945.2064</v>
      </c>
      <c r="CM343" s="683">
        <f t="shared" ref="CM343:CV343" si="1048">BC343*$CL343</f>
        <v>0</v>
      </c>
      <c r="CN343" s="683">
        <f t="shared" si="1048"/>
        <v>0</v>
      </c>
      <c r="CO343" s="683">
        <f t="shared" si="1048"/>
        <v>0</v>
      </c>
      <c r="CP343" s="683">
        <f t="shared" si="1048"/>
        <v>0</v>
      </c>
      <c r="CQ343" s="683">
        <f t="shared" si="1048"/>
        <v>0</v>
      </c>
      <c r="CR343" s="683">
        <f t="shared" si="1048"/>
        <v>0</v>
      </c>
      <c r="CS343" s="683">
        <f t="shared" si="1048"/>
        <v>0</v>
      </c>
      <c r="CT343" s="683">
        <f t="shared" si="1048"/>
        <v>0</v>
      </c>
      <c r="CU343" s="683">
        <f t="shared" si="1048"/>
        <v>0</v>
      </c>
      <c r="CV343" s="683">
        <f t="shared" si="1048"/>
        <v>0</v>
      </c>
      <c r="CW343" s="683">
        <f t="shared" si="21"/>
        <v>0</v>
      </c>
      <c r="CX343" s="683">
        <f t="shared" ref="CX343:DG343" si="1049">BN343*$CL343</f>
        <v>0</v>
      </c>
      <c r="CY343" s="683">
        <f t="shared" si="1049"/>
        <v>0</v>
      </c>
      <c r="CZ343" s="683">
        <f t="shared" si="1049"/>
        <v>3945.2064</v>
      </c>
      <c r="DA343" s="683">
        <f t="shared" si="1049"/>
        <v>3945.2064</v>
      </c>
      <c r="DB343" s="683">
        <f t="shared" si="1049"/>
        <v>3945.2064</v>
      </c>
      <c r="DC343" s="683">
        <f t="shared" si="1049"/>
        <v>0</v>
      </c>
      <c r="DD343" s="683">
        <f t="shared" si="1049"/>
        <v>0</v>
      </c>
      <c r="DE343" s="683">
        <f t="shared" si="1049"/>
        <v>0</v>
      </c>
      <c r="DF343" s="683">
        <f t="shared" si="1049"/>
        <v>0</v>
      </c>
      <c r="DG343" s="683">
        <f t="shared" si="1049"/>
        <v>3945.2064</v>
      </c>
      <c r="DH343" s="683">
        <f t="shared" si="23"/>
        <v>15780.8256</v>
      </c>
      <c r="DI343" s="683">
        <f t="shared" ref="DI343:DR343" si="1050">BY343*$CL343</f>
        <v>0</v>
      </c>
      <c r="DJ343" s="683">
        <f t="shared" si="1050"/>
        <v>0</v>
      </c>
      <c r="DK343" s="683">
        <f t="shared" si="1050"/>
        <v>0</v>
      </c>
      <c r="DL343" s="683">
        <f t="shared" si="1050"/>
        <v>0</v>
      </c>
      <c r="DM343" s="683">
        <f t="shared" si="1050"/>
        <v>0</v>
      </c>
      <c r="DN343" s="683">
        <f t="shared" si="1050"/>
        <v>0</v>
      </c>
      <c r="DO343" s="683">
        <f t="shared" si="1050"/>
        <v>0</v>
      </c>
      <c r="DP343" s="683">
        <f t="shared" si="1050"/>
        <v>0</v>
      </c>
      <c r="DQ343" s="683">
        <f t="shared" si="1050"/>
        <v>0</v>
      </c>
      <c r="DR343" s="683">
        <f t="shared" si="1050"/>
        <v>0</v>
      </c>
      <c r="DS343" s="683">
        <f t="shared" si="25"/>
        <v>0</v>
      </c>
      <c r="DT343" s="683">
        <f t="shared" si="685"/>
        <v>15780.8256</v>
      </c>
      <c r="DU343" s="504"/>
      <c r="DV343" s="486"/>
      <c r="DW343" s="688"/>
      <c r="DX343" s="688"/>
      <c r="DY343" s="688"/>
      <c r="DZ343" s="688"/>
      <c r="EA343" s="688"/>
      <c r="EB343" s="688"/>
      <c r="EC343" s="688"/>
      <c r="ED343" s="688"/>
      <c r="EE343" s="688"/>
      <c r="EF343" s="688"/>
      <c r="EG343" s="688"/>
      <c r="EH343" s="707" t="s">
        <v>708</v>
      </c>
      <c r="EI343" s="708">
        <f>VLOOKUP(I343,CotizacionTDB,4,FALSE())</f>
        <v>566.84</v>
      </c>
      <c r="EJ343" s="708">
        <f>VLOOKUP(I343,CotizacionTDB,5,FALSE())</f>
        <v>481.81</v>
      </c>
      <c r="EK343" s="691"/>
    </row>
    <row r="344" ht="12.0" customHeight="1">
      <c r="A344" s="709" t="s">
        <v>3026</v>
      </c>
      <c r="B344" s="661"/>
      <c r="C344" s="567" t="s">
        <v>3027</v>
      </c>
      <c r="D344" s="568" t="s">
        <v>544</v>
      </c>
      <c r="E344" s="568" t="s">
        <v>2708</v>
      </c>
      <c r="F344" s="567" t="s">
        <v>1763</v>
      </c>
      <c r="G344" s="569" t="s">
        <v>2709</v>
      </c>
      <c r="H344" s="569" t="s">
        <v>3543</v>
      </c>
      <c r="I344" s="659">
        <v>1.0616666E7</v>
      </c>
      <c r="J344" s="568" t="s">
        <v>742</v>
      </c>
      <c r="K344" s="567" t="s">
        <v>25</v>
      </c>
      <c r="L344" s="567"/>
      <c r="M344" s="567"/>
      <c r="N344" s="567"/>
      <c r="O344" s="567">
        <v>2024.0</v>
      </c>
      <c r="P344" s="567">
        <v>2024.0</v>
      </c>
      <c r="Q344" s="567"/>
      <c r="R344" s="567"/>
      <c r="S344" s="567"/>
      <c r="T344" s="567"/>
      <c r="U344" s="567"/>
      <c r="V344" s="567"/>
      <c r="W344" s="567">
        <v>3.0</v>
      </c>
      <c r="X344" s="567"/>
      <c r="Y344" s="567"/>
      <c r="Z344" s="567">
        <v>2.0</v>
      </c>
      <c r="AA344" s="567">
        <v>2.0</v>
      </c>
      <c r="AB344" s="567"/>
      <c r="AC344" s="567"/>
      <c r="AD344" s="567"/>
      <c r="AE344" s="567"/>
      <c r="AF344" s="567"/>
      <c r="AG344" s="567"/>
      <c r="AH344" s="567"/>
      <c r="AI344" s="567"/>
      <c r="AJ344" s="567"/>
      <c r="AK344" s="567"/>
      <c r="AL344" s="567"/>
      <c r="AM344" s="567"/>
      <c r="AN344" s="567"/>
      <c r="AO344" s="567"/>
      <c r="AP344" s="567"/>
      <c r="AQ344" s="567"/>
      <c r="AR344" s="567">
        <v>0.0</v>
      </c>
      <c r="AS344" s="567">
        <v>0.0</v>
      </c>
      <c r="AT344" s="567">
        <v>0.0</v>
      </c>
      <c r="AU344" s="567">
        <v>-2024.0</v>
      </c>
      <c r="AV344" s="567">
        <v>-2024.0</v>
      </c>
      <c r="AW344" s="567">
        <v>0.0</v>
      </c>
      <c r="AX344" s="567">
        <v>0.0</v>
      </c>
      <c r="AY344" s="567">
        <v>0.0</v>
      </c>
      <c r="AZ344" s="567">
        <v>0.0</v>
      </c>
      <c r="BA344" s="567">
        <v>0.0</v>
      </c>
      <c r="BB344" s="567"/>
      <c r="BC344" s="567"/>
      <c r="BD344" s="567"/>
      <c r="BE344" s="567"/>
      <c r="BF344" s="661">
        <v>0.0</v>
      </c>
      <c r="BG344" s="661">
        <v>0.0</v>
      </c>
      <c r="BH344" s="567"/>
      <c r="BI344" s="567"/>
      <c r="BJ344" s="567"/>
      <c r="BK344" s="567"/>
      <c r="BL344" s="725"/>
      <c r="BM344" s="665">
        <f t="shared" si="1"/>
        <v>0</v>
      </c>
      <c r="BN344" s="671"/>
      <c r="BO344" s="668"/>
      <c r="BP344" s="668"/>
      <c r="BQ344" s="668"/>
      <c r="BR344" s="668"/>
      <c r="BS344" s="668"/>
      <c r="BT344" s="668"/>
      <c r="BU344" s="668"/>
      <c r="BV344" s="668"/>
      <c r="BW344" s="670"/>
      <c r="BX344" s="665">
        <f t="shared" si="840"/>
        <v>0</v>
      </c>
      <c r="BY344" s="671">
        <v>0.0</v>
      </c>
      <c r="BZ344" s="668">
        <v>0.0</v>
      </c>
      <c r="CA344" s="668">
        <v>0.0</v>
      </c>
      <c r="CB344" s="674">
        <v>0.0</v>
      </c>
      <c r="CC344" s="674">
        <v>0.0</v>
      </c>
      <c r="CD344" s="668">
        <v>0.0</v>
      </c>
      <c r="CE344" s="668">
        <v>0.0</v>
      </c>
      <c r="CF344" s="668">
        <v>0.0</v>
      </c>
      <c r="CG344" s="668">
        <v>0.0</v>
      </c>
      <c r="CH344" s="670">
        <v>0.0</v>
      </c>
      <c r="CI344" s="665">
        <f t="shared" si="841"/>
        <v>0</v>
      </c>
      <c r="CJ344" s="671">
        <f t="shared" si="4"/>
        <v>0</v>
      </c>
      <c r="CK344" s="668"/>
      <c r="CL344" s="668">
        <v>219.55499999999998</v>
      </c>
      <c r="CM344" s="668">
        <f t="shared" ref="CM344:CV344" si="1051">BC344*$CL344</f>
        <v>0</v>
      </c>
      <c r="CN344" s="668">
        <f t="shared" si="1051"/>
        <v>0</v>
      </c>
      <c r="CO344" s="668">
        <f t="shared" si="1051"/>
        <v>0</v>
      </c>
      <c r="CP344" s="668">
        <f t="shared" si="1051"/>
        <v>0</v>
      </c>
      <c r="CQ344" s="668">
        <f t="shared" si="1051"/>
        <v>0</v>
      </c>
      <c r="CR344" s="668">
        <f t="shared" si="1051"/>
        <v>0</v>
      </c>
      <c r="CS344" s="668">
        <f t="shared" si="1051"/>
        <v>0</v>
      </c>
      <c r="CT344" s="668">
        <f t="shared" si="1051"/>
        <v>0</v>
      </c>
      <c r="CU344" s="668">
        <f t="shared" si="1051"/>
        <v>0</v>
      </c>
      <c r="CV344" s="668">
        <f t="shared" si="1051"/>
        <v>0</v>
      </c>
      <c r="CW344" s="668">
        <f t="shared" si="21"/>
        <v>0</v>
      </c>
      <c r="CX344" s="668">
        <f t="shared" ref="CX344:DG344" si="1052">BN344*$CL344</f>
        <v>0</v>
      </c>
      <c r="CY344" s="668">
        <f t="shared" si="1052"/>
        <v>0</v>
      </c>
      <c r="CZ344" s="668">
        <f t="shared" si="1052"/>
        <v>0</v>
      </c>
      <c r="DA344" s="668">
        <f t="shared" si="1052"/>
        <v>0</v>
      </c>
      <c r="DB344" s="668">
        <f t="shared" si="1052"/>
        <v>0</v>
      </c>
      <c r="DC344" s="668">
        <f t="shared" si="1052"/>
        <v>0</v>
      </c>
      <c r="DD344" s="668">
        <f t="shared" si="1052"/>
        <v>0</v>
      </c>
      <c r="DE344" s="668">
        <f t="shared" si="1052"/>
        <v>0</v>
      </c>
      <c r="DF344" s="668">
        <f t="shared" si="1052"/>
        <v>0</v>
      </c>
      <c r="DG344" s="668">
        <f t="shared" si="1052"/>
        <v>0</v>
      </c>
      <c r="DH344" s="668">
        <f t="shared" si="23"/>
        <v>0</v>
      </c>
      <c r="DI344" s="668">
        <f t="shared" ref="DI344:DR344" si="1053">BY344*$CL344</f>
        <v>0</v>
      </c>
      <c r="DJ344" s="668">
        <f t="shared" si="1053"/>
        <v>0</v>
      </c>
      <c r="DK344" s="668">
        <f t="shared" si="1053"/>
        <v>0</v>
      </c>
      <c r="DL344" s="668">
        <f t="shared" si="1053"/>
        <v>0</v>
      </c>
      <c r="DM344" s="668">
        <f t="shared" si="1053"/>
        <v>0</v>
      </c>
      <c r="DN344" s="668">
        <f t="shared" si="1053"/>
        <v>0</v>
      </c>
      <c r="DO344" s="668">
        <f t="shared" si="1053"/>
        <v>0</v>
      </c>
      <c r="DP344" s="668">
        <f t="shared" si="1053"/>
        <v>0</v>
      </c>
      <c r="DQ344" s="668">
        <f t="shared" si="1053"/>
        <v>0</v>
      </c>
      <c r="DR344" s="668">
        <f t="shared" si="1053"/>
        <v>0</v>
      </c>
      <c r="DS344" s="668">
        <f t="shared" si="25"/>
        <v>0</v>
      </c>
      <c r="DT344" s="668">
        <f t="shared" si="685"/>
        <v>0</v>
      </c>
      <c r="DU344" s="538"/>
      <c r="DV344" s="468"/>
      <c r="DW344" s="698"/>
      <c r="DX344" s="698"/>
      <c r="DY344" s="698"/>
      <c r="DZ344" s="698"/>
      <c r="EA344" s="698"/>
      <c r="EB344" s="698"/>
      <c r="EC344" s="698"/>
      <c r="ED344" s="698"/>
      <c r="EE344" s="698"/>
      <c r="EF344" s="698"/>
      <c r="EG344" s="698"/>
      <c r="EH344" s="677">
        <f>CK344*6.97</f>
        <v>0</v>
      </c>
      <c r="EI344" s="678">
        <v>1.0</v>
      </c>
      <c r="EJ344" s="699"/>
      <c r="EK344" s="699"/>
    </row>
    <row r="345" ht="12.0" customHeight="1">
      <c r="A345" s="700" t="s">
        <v>3026</v>
      </c>
      <c r="B345" s="701">
        <v>2.0</v>
      </c>
      <c r="C345" s="562" t="s">
        <v>3027</v>
      </c>
      <c r="D345" s="571" t="s">
        <v>544</v>
      </c>
      <c r="E345" s="571" t="s">
        <v>2708</v>
      </c>
      <c r="F345" s="562" t="s">
        <v>1763</v>
      </c>
      <c r="G345" s="569" t="s">
        <v>2709</v>
      </c>
      <c r="H345" s="702" t="s">
        <v>3470</v>
      </c>
      <c r="I345" s="717" t="s">
        <v>2207</v>
      </c>
      <c r="J345" s="820" t="s">
        <v>463</v>
      </c>
      <c r="K345" s="562" t="s">
        <v>25</v>
      </c>
      <c r="L345" s="562"/>
      <c r="M345" s="562"/>
      <c r="N345" s="562"/>
      <c r="O345" s="562">
        <v>2026.0</v>
      </c>
      <c r="P345" s="562">
        <v>2026.0</v>
      </c>
      <c r="Q345" s="562">
        <v>2024.0</v>
      </c>
      <c r="R345" s="562"/>
      <c r="S345" s="562"/>
      <c r="T345" s="562"/>
      <c r="U345" s="562"/>
      <c r="V345" s="562"/>
      <c r="W345" s="562">
        <v>3.0</v>
      </c>
      <c r="X345" s="562"/>
      <c r="Y345" s="562"/>
      <c r="Z345" s="562">
        <v>3.0</v>
      </c>
      <c r="AA345" s="562">
        <v>3.0</v>
      </c>
      <c r="AB345" s="562">
        <v>3.0</v>
      </c>
      <c r="AC345" s="562"/>
      <c r="AD345" s="562"/>
      <c r="AE345" s="562"/>
      <c r="AF345" s="562"/>
      <c r="AG345" s="562"/>
      <c r="AH345" s="562"/>
      <c r="AI345" s="562"/>
      <c r="AJ345" s="562"/>
      <c r="AK345" s="562"/>
      <c r="AL345" s="562"/>
      <c r="AM345" s="562"/>
      <c r="AN345" s="562"/>
      <c r="AO345" s="562"/>
      <c r="AP345" s="562"/>
      <c r="AQ345" s="562"/>
      <c r="AR345" s="562">
        <v>0.0</v>
      </c>
      <c r="AS345" s="562">
        <v>0.0</v>
      </c>
      <c r="AT345" s="562">
        <v>0.0</v>
      </c>
      <c r="AU345" s="562">
        <v>-2026.0</v>
      </c>
      <c r="AV345" s="562">
        <v>-2026.0</v>
      </c>
      <c r="AW345" s="562">
        <v>-2024.0</v>
      </c>
      <c r="AX345" s="562">
        <v>0.0</v>
      </c>
      <c r="AY345" s="562">
        <v>0.0</v>
      </c>
      <c r="AZ345" s="562">
        <v>0.0</v>
      </c>
      <c r="BA345" s="562">
        <v>0.0</v>
      </c>
      <c r="BB345" s="562"/>
      <c r="BC345" s="562"/>
      <c r="BD345" s="562"/>
      <c r="BE345" s="562"/>
      <c r="BF345" s="562"/>
      <c r="BG345" s="562"/>
      <c r="BH345" s="791">
        <v>0.0</v>
      </c>
      <c r="BI345" s="562"/>
      <c r="BJ345" s="562"/>
      <c r="BK345" s="562"/>
      <c r="BL345" s="681"/>
      <c r="BM345" s="665">
        <f t="shared" si="1"/>
        <v>0</v>
      </c>
      <c r="BN345" s="682"/>
      <c r="BO345" s="683"/>
      <c r="BP345" s="683"/>
      <c r="BQ345" s="683"/>
      <c r="BR345" s="683"/>
      <c r="BS345" s="683"/>
      <c r="BT345" s="683"/>
      <c r="BU345" s="683"/>
      <c r="BV345" s="683"/>
      <c r="BW345" s="686"/>
      <c r="BX345" s="665">
        <f t="shared" si="840"/>
        <v>0</v>
      </c>
      <c r="BY345" s="682">
        <v>0.0</v>
      </c>
      <c r="BZ345" s="683">
        <v>0.0</v>
      </c>
      <c r="CA345" s="683">
        <v>0.0</v>
      </c>
      <c r="CB345" s="683">
        <v>8.0</v>
      </c>
      <c r="CC345" s="683">
        <v>8.0</v>
      </c>
      <c r="CD345" s="683">
        <v>0.0</v>
      </c>
      <c r="CE345" s="683">
        <v>0.0</v>
      </c>
      <c r="CF345" s="683">
        <v>0.0</v>
      </c>
      <c r="CG345" s="683">
        <v>0.0</v>
      </c>
      <c r="CH345" s="686">
        <v>0.0</v>
      </c>
      <c r="CI345" s="665">
        <f t="shared" si="841"/>
        <v>16</v>
      </c>
      <c r="CJ345" s="682">
        <f t="shared" si="4"/>
        <v>16</v>
      </c>
      <c r="CK345" s="706">
        <v>102.95</v>
      </c>
      <c r="CL345" s="683">
        <f>CK345*$CL$1</f>
        <v>716.532</v>
      </c>
      <c r="CM345" s="683">
        <f t="shared" ref="CM345:CV345" si="1054">BC345*$CL345</f>
        <v>0</v>
      </c>
      <c r="CN345" s="683">
        <f t="shared" si="1054"/>
        <v>0</v>
      </c>
      <c r="CO345" s="683">
        <f t="shared" si="1054"/>
        <v>0</v>
      </c>
      <c r="CP345" s="683">
        <f t="shared" si="1054"/>
        <v>0</v>
      </c>
      <c r="CQ345" s="683">
        <f t="shared" si="1054"/>
        <v>0</v>
      </c>
      <c r="CR345" s="683">
        <f t="shared" si="1054"/>
        <v>0</v>
      </c>
      <c r="CS345" s="683">
        <f t="shared" si="1054"/>
        <v>0</v>
      </c>
      <c r="CT345" s="683">
        <f t="shared" si="1054"/>
        <v>0</v>
      </c>
      <c r="CU345" s="683">
        <f t="shared" si="1054"/>
        <v>0</v>
      </c>
      <c r="CV345" s="683">
        <f t="shared" si="1054"/>
        <v>0</v>
      </c>
      <c r="CW345" s="683">
        <f t="shared" si="21"/>
        <v>0</v>
      </c>
      <c r="CX345" s="683">
        <f t="shared" ref="CX345:DG345" si="1055">BN345*$CL345</f>
        <v>0</v>
      </c>
      <c r="CY345" s="683">
        <f t="shared" si="1055"/>
        <v>0</v>
      </c>
      <c r="CZ345" s="683">
        <f t="shared" si="1055"/>
        <v>0</v>
      </c>
      <c r="DA345" s="683">
        <f t="shared" si="1055"/>
        <v>0</v>
      </c>
      <c r="DB345" s="683">
        <f t="shared" si="1055"/>
        <v>0</v>
      </c>
      <c r="DC345" s="683">
        <f t="shared" si="1055"/>
        <v>0</v>
      </c>
      <c r="DD345" s="683">
        <f t="shared" si="1055"/>
        <v>0</v>
      </c>
      <c r="DE345" s="683">
        <f t="shared" si="1055"/>
        <v>0</v>
      </c>
      <c r="DF345" s="683">
        <f t="shared" si="1055"/>
        <v>0</v>
      </c>
      <c r="DG345" s="683">
        <f t="shared" si="1055"/>
        <v>0</v>
      </c>
      <c r="DH345" s="683">
        <f t="shared" si="23"/>
        <v>0</v>
      </c>
      <c r="DI345" s="683">
        <f t="shared" ref="DI345:DR345" si="1056">BY345*$CL345</f>
        <v>0</v>
      </c>
      <c r="DJ345" s="683">
        <f t="shared" si="1056"/>
        <v>0</v>
      </c>
      <c r="DK345" s="683">
        <f t="shared" si="1056"/>
        <v>0</v>
      </c>
      <c r="DL345" s="683">
        <f t="shared" si="1056"/>
        <v>5732.256</v>
      </c>
      <c r="DM345" s="683">
        <f t="shared" si="1056"/>
        <v>5732.256</v>
      </c>
      <c r="DN345" s="683">
        <f t="shared" si="1056"/>
        <v>0</v>
      </c>
      <c r="DO345" s="683">
        <f t="shared" si="1056"/>
        <v>0</v>
      </c>
      <c r="DP345" s="683">
        <f t="shared" si="1056"/>
        <v>0</v>
      </c>
      <c r="DQ345" s="683">
        <f t="shared" si="1056"/>
        <v>0</v>
      </c>
      <c r="DR345" s="683">
        <f t="shared" si="1056"/>
        <v>0</v>
      </c>
      <c r="DS345" s="683">
        <f t="shared" si="25"/>
        <v>11464.512</v>
      </c>
      <c r="DT345" s="683">
        <f t="shared" si="685"/>
        <v>11464.512</v>
      </c>
      <c r="DU345" s="504"/>
      <c r="DV345" s="486"/>
      <c r="DW345" s="688"/>
      <c r="DX345" s="688"/>
      <c r="DY345" s="688"/>
      <c r="DZ345" s="688"/>
      <c r="EA345" s="688"/>
      <c r="EB345" s="688"/>
      <c r="EC345" s="688"/>
      <c r="ED345" s="688"/>
      <c r="EE345" s="688"/>
      <c r="EF345" s="688"/>
      <c r="EG345" s="688"/>
      <c r="EH345" s="707" t="s">
        <v>3544</v>
      </c>
      <c r="EI345" s="708">
        <f>VLOOKUP(I345,CotizacionTDB,4,FALSE())</f>
        <v>102.95</v>
      </c>
      <c r="EJ345" s="708">
        <f>VLOOKUP(I345,CotizacionTDB,5,FALSE())</f>
        <v>87.51</v>
      </c>
      <c r="EK345" s="691"/>
    </row>
    <row r="346" ht="12.0" customHeight="1">
      <c r="A346" s="709" t="s">
        <v>3026</v>
      </c>
      <c r="B346" s="661"/>
      <c r="C346" s="567" t="s">
        <v>3027</v>
      </c>
      <c r="D346" s="568" t="s">
        <v>544</v>
      </c>
      <c r="E346" s="568" t="s">
        <v>2708</v>
      </c>
      <c r="F346" s="567" t="s">
        <v>1763</v>
      </c>
      <c r="G346" s="569" t="s">
        <v>2709</v>
      </c>
      <c r="H346" s="657"/>
      <c r="I346" s="916">
        <v>1.0435852E7</v>
      </c>
      <c r="J346" s="568" t="s">
        <v>3545</v>
      </c>
      <c r="K346" s="567" t="s">
        <v>25</v>
      </c>
      <c r="L346" s="567">
        <v>2024.0</v>
      </c>
      <c r="M346" s="567"/>
      <c r="N346" s="567">
        <v>2024.0</v>
      </c>
      <c r="O346" s="567"/>
      <c r="P346" s="567"/>
      <c r="Q346" s="567"/>
      <c r="R346" s="567"/>
      <c r="S346" s="567"/>
      <c r="T346" s="567"/>
      <c r="U346" s="567"/>
      <c r="V346" s="567"/>
      <c r="W346" s="567">
        <v>5.0</v>
      </c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7"/>
      <c r="AH346" s="567"/>
      <c r="AI346" s="567"/>
      <c r="AJ346" s="567"/>
      <c r="AK346" s="567"/>
      <c r="AL346" s="567"/>
      <c r="AM346" s="567"/>
      <c r="AN346" s="567"/>
      <c r="AO346" s="567"/>
      <c r="AP346" s="567"/>
      <c r="AQ346" s="567"/>
      <c r="AR346" s="567">
        <v>-2024.0</v>
      </c>
      <c r="AS346" s="567">
        <v>0.0</v>
      </c>
      <c r="AT346" s="567">
        <v>-2024.0</v>
      </c>
      <c r="AU346" s="567">
        <v>0.0</v>
      </c>
      <c r="AV346" s="567">
        <v>0.0</v>
      </c>
      <c r="AW346" s="567">
        <v>0.0</v>
      </c>
      <c r="AX346" s="567">
        <v>0.0</v>
      </c>
      <c r="AY346" s="567">
        <v>0.0</v>
      </c>
      <c r="AZ346" s="567">
        <v>0.0</v>
      </c>
      <c r="BA346" s="567">
        <v>0.0</v>
      </c>
      <c r="BB346" s="567"/>
      <c r="BC346" s="567"/>
      <c r="BD346" s="567"/>
      <c r="BE346" s="567"/>
      <c r="BF346" s="567"/>
      <c r="BG346" s="567"/>
      <c r="BH346" s="567"/>
      <c r="BI346" s="567"/>
      <c r="BJ346" s="567"/>
      <c r="BK346" s="567"/>
      <c r="BL346" s="725"/>
      <c r="BM346" s="665">
        <f t="shared" si="1"/>
        <v>0</v>
      </c>
      <c r="BN346" s="671"/>
      <c r="BO346" s="668"/>
      <c r="BP346" s="668"/>
      <c r="BQ346" s="668"/>
      <c r="BR346" s="668"/>
      <c r="BS346" s="668"/>
      <c r="BT346" s="668"/>
      <c r="BU346" s="668"/>
      <c r="BV346" s="668"/>
      <c r="BW346" s="670"/>
      <c r="BX346" s="665">
        <f t="shared" si="840"/>
        <v>0</v>
      </c>
      <c r="BY346" s="671">
        <v>0.0</v>
      </c>
      <c r="BZ346" s="668">
        <v>0.0</v>
      </c>
      <c r="CA346" s="668">
        <v>0.0</v>
      </c>
      <c r="CB346" s="668">
        <v>0.0</v>
      </c>
      <c r="CC346" s="668">
        <v>0.0</v>
      </c>
      <c r="CD346" s="668">
        <v>0.0</v>
      </c>
      <c r="CE346" s="668">
        <v>0.0</v>
      </c>
      <c r="CF346" s="668">
        <v>0.0</v>
      </c>
      <c r="CG346" s="668">
        <v>0.0</v>
      </c>
      <c r="CH346" s="670">
        <v>0.0</v>
      </c>
      <c r="CI346" s="665">
        <f t="shared" si="841"/>
        <v>0</v>
      </c>
      <c r="CJ346" s="671">
        <f t="shared" si="4"/>
        <v>0</v>
      </c>
      <c r="CK346" s="917"/>
      <c r="CL346" s="668">
        <v>2010.0086</v>
      </c>
      <c r="CM346" s="668">
        <f t="shared" ref="CM346:CV346" si="1057">BC346*$CL346</f>
        <v>0</v>
      </c>
      <c r="CN346" s="668">
        <f t="shared" si="1057"/>
        <v>0</v>
      </c>
      <c r="CO346" s="668">
        <f t="shared" si="1057"/>
        <v>0</v>
      </c>
      <c r="CP346" s="668">
        <f t="shared" si="1057"/>
        <v>0</v>
      </c>
      <c r="CQ346" s="668">
        <f t="shared" si="1057"/>
        <v>0</v>
      </c>
      <c r="CR346" s="668">
        <f t="shared" si="1057"/>
        <v>0</v>
      </c>
      <c r="CS346" s="668">
        <f t="shared" si="1057"/>
        <v>0</v>
      </c>
      <c r="CT346" s="668">
        <f t="shared" si="1057"/>
        <v>0</v>
      </c>
      <c r="CU346" s="668">
        <f t="shared" si="1057"/>
        <v>0</v>
      </c>
      <c r="CV346" s="668">
        <f t="shared" si="1057"/>
        <v>0</v>
      </c>
      <c r="CW346" s="668">
        <f t="shared" si="21"/>
        <v>0</v>
      </c>
      <c r="CX346" s="668">
        <f t="shared" ref="CX346:DG346" si="1058">BN346*$CL346</f>
        <v>0</v>
      </c>
      <c r="CY346" s="668">
        <f t="shared" si="1058"/>
        <v>0</v>
      </c>
      <c r="CZ346" s="668">
        <f t="shared" si="1058"/>
        <v>0</v>
      </c>
      <c r="DA346" s="668">
        <f t="shared" si="1058"/>
        <v>0</v>
      </c>
      <c r="DB346" s="668">
        <f t="shared" si="1058"/>
        <v>0</v>
      </c>
      <c r="DC346" s="668">
        <f t="shared" si="1058"/>
        <v>0</v>
      </c>
      <c r="DD346" s="668">
        <f t="shared" si="1058"/>
        <v>0</v>
      </c>
      <c r="DE346" s="668">
        <f t="shared" si="1058"/>
        <v>0</v>
      </c>
      <c r="DF346" s="668">
        <f t="shared" si="1058"/>
        <v>0</v>
      </c>
      <c r="DG346" s="668">
        <f t="shared" si="1058"/>
        <v>0</v>
      </c>
      <c r="DH346" s="668">
        <f t="shared" si="23"/>
        <v>0</v>
      </c>
      <c r="DI346" s="668">
        <f t="shared" ref="DI346:DR346" si="1059">BY346*$CL346</f>
        <v>0</v>
      </c>
      <c r="DJ346" s="668">
        <f t="shared" si="1059"/>
        <v>0</v>
      </c>
      <c r="DK346" s="668">
        <f t="shared" si="1059"/>
        <v>0</v>
      </c>
      <c r="DL346" s="668">
        <f t="shared" si="1059"/>
        <v>0</v>
      </c>
      <c r="DM346" s="668">
        <f t="shared" si="1059"/>
        <v>0</v>
      </c>
      <c r="DN346" s="668">
        <f t="shared" si="1059"/>
        <v>0</v>
      </c>
      <c r="DO346" s="668">
        <f t="shared" si="1059"/>
        <v>0</v>
      </c>
      <c r="DP346" s="668">
        <f t="shared" si="1059"/>
        <v>0</v>
      </c>
      <c r="DQ346" s="668">
        <f t="shared" si="1059"/>
        <v>0</v>
      </c>
      <c r="DR346" s="668">
        <f t="shared" si="1059"/>
        <v>0</v>
      </c>
      <c r="DS346" s="668">
        <f t="shared" si="25"/>
        <v>0</v>
      </c>
      <c r="DT346" s="668">
        <f t="shared" si="685"/>
        <v>0</v>
      </c>
      <c r="DU346" s="538"/>
      <c r="DV346" s="468"/>
      <c r="DW346" s="698"/>
      <c r="DX346" s="698"/>
      <c r="DY346" s="698"/>
      <c r="DZ346" s="698"/>
      <c r="EA346" s="698"/>
      <c r="EB346" s="698"/>
      <c r="EC346" s="698"/>
      <c r="ED346" s="698"/>
      <c r="EE346" s="698"/>
      <c r="EF346" s="698"/>
      <c r="EG346" s="698"/>
      <c r="EH346" s="677">
        <f t="shared" ref="EH346:EH347" si="1063">CK346*6.97</f>
        <v>0</v>
      </c>
      <c r="EI346" s="678">
        <v>1.0</v>
      </c>
      <c r="EJ346" s="699"/>
      <c r="EK346" s="699"/>
    </row>
    <row r="347" ht="12.0" customHeight="1">
      <c r="A347" s="700" t="s">
        <v>3026</v>
      </c>
      <c r="B347" s="701"/>
      <c r="C347" s="562" t="s">
        <v>3027</v>
      </c>
      <c r="D347" s="571" t="s">
        <v>544</v>
      </c>
      <c r="E347" s="571" t="s">
        <v>2708</v>
      </c>
      <c r="F347" s="562" t="s">
        <v>1763</v>
      </c>
      <c r="G347" s="569" t="s">
        <v>2709</v>
      </c>
      <c r="H347" s="737"/>
      <c r="I347" s="562">
        <v>1.0000571E7</v>
      </c>
      <c r="J347" s="571" t="s">
        <v>1740</v>
      </c>
      <c r="K347" s="562" t="s">
        <v>25</v>
      </c>
      <c r="L347" s="562"/>
      <c r="M347" s="562"/>
      <c r="N347" s="562"/>
      <c r="O347" s="562"/>
      <c r="P347" s="562"/>
      <c r="Q347" s="562"/>
      <c r="R347" s="562"/>
      <c r="S347" s="562"/>
      <c r="T347" s="562"/>
      <c r="U347" s="562">
        <v>2024.0</v>
      </c>
      <c r="V347" s="562"/>
      <c r="W347" s="562"/>
      <c r="X347" s="562"/>
      <c r="Y347" s="562"/>
      <c r="Z347" s="562"/>
      <c r="AA347" s="562"/>
      <c r="AB347" s="562"/>
      <c r="AC347" s="562"/>
      <c r="AD347" s="562"/>
      <c r="AE347" s="562"/>
      <c r="AF347" s="867">
        <v>1.0</v>
      </c>
      <c r="AG347" s="562"/>
      <c r="AH347" s="562"/>
      <c r="AI347" s="562"/>
      <c r="AJ347" s="562"/>
      <c r="AK347" s="562"/>
      <c r="AL347" s="562"/>
      <c r="AM347" s="562"/>
      <c r="AN347" s="562"/>
      <c r="AO347" s="562"/>
      <c r="AP347" s="562"/>
      <c r="AQ347" s="562"/>
      <c r="AR347" s="562">
        <v>0.0</v>
      </c>
      <c r="AS347" s="562">
        <v>0.0</v>
      </c>
      <c r="AT347" s="562">
        <v>0.0</v>
      </c>
      <c r="AU347" s="562">
        <v>0.0</v>
      </c>
      <c r="AV347" s="562">
        <v>0.0</v>
      </c>
      <c r="AW347" s="562">
        <v>0.0</v>
      </c>
      <c r="AX347" s="562">
        <v>0.0</v>
      </c>
      <c r="AY347" s="562">
        <v>0.0</v>
      </c>
      <c r="AZ347" s="562">
        <v>0.0</v>
      </c>
      <c r="BA347" s="562">
        <v>-2024.0</v>
      </c>
      <c r="BB347" s="562"/>
      <c r="BC347" s="562"/>
      <c r="BD347" s="562"/>
      <c r="BE347" s="562"/>
      <c r="BF347" s="562"/>
      <c r="BG347" s="562"/>
      <c r="BH347" s="562"/>
      <c r="BI347" s="562"/>
      <c r="BJ347" s="825"/>
      <c r="BK347" s="562"/>
      <c r="BL347" s="723">
        <v>0.0</v>
      </c>
      <c r="BM347" s="665">
        <f t="shared" si="1"/>
        <v>0</v>
      </c>
      <c r="BN347" s="682"/>
      <c r="BO347" s="683"/>
      <c r="BP347" s="683"/>
      <c r="BQ347" s="683"/>
      <c r="BR347" s="683"/>
      <c r="BS347" s="683"/>
      <c r="BT347" s="683"/>
      <c r="BU347" s="683"/>
      <c r="BV347" s="683"/>
      <c r="BW347" s="686"/>
      <c r="BX347" s="665">
        <f t="shared" si="840"/>
        <v>0</v>
      </c>
      <c r="BY347" s="682">
        <v>0.0</v>
      </c>
      <c r="BZ347" s="683">
        <v>0.0</v>
      </c>
      <c r="CA347" s="683">
        <v>0.0</v>
      </c>
      <c r="CB347" s="683">
        <v>0.0</v>
      </c>
      <c r="CC347" s="683">
        <v>0.0</v>
      </c>
      <c r="CD347" s="683">
        <v>0.0</v>
      </c>
      <c r="CE347" s="683">
        <v>0.0</v>
      </c>
      <c r="CF347" s="683">
        <v>0.0</v>
      </c>
      <c r="CG347" s="683">
        <v>0.0</v>
      </c>
      <c r="CH347" s="686">
        <v>0.0</v>
      </c>
      <c r="CI347" s="665">
        <f t="shared" si="841"/>
        <v>0</v>
      </c>
      <c r="CJ347" s="682">
        <f t="shared" si="4"/>
        <v>0</v>
      </c>
      <c r="CK347" s="683"/>
      <c r="CL347" s="683">
        <v>2.1607</v>
      </c>
      <c r="CM347" s="683">
        <f t="shared" ref="CM347:CV347" si="1060">BC347*$CL347</f>
        <v>0</v>
      </c>
      <c r="CN347" s="683">
        <f t="shared" si="1060"/>
        <v>0</v>
      </c>
      <c r="CO347" s="683">
        <f t="shared" si="1060"/>
        <v>0</v>
      </c>
      <c r="CP347" s="683">
        <f t="shared" si="1060"/>
        <v>0</v>
      </c>
      <c r="CQ347" s="683">
        <f t="shared" si="1060"/>
        <v>0</v>
      </c>
      <c r="CR347" s="683">
        <f t="shared" si="1060"/>
        <v>0</v>
      </c>
      <c r="CS347" s="683">
        <f t="shared" si="1060"/>
        <v>0</v>
      </c>
      <c r="CT347" s="683">
        <f t="shared" si="1060"/>
        <v>0</v>
      </c>
      <c r="CU347" s="683">
        <f t="shared" si="1060"/>
        <v>0</v>
      </c>
      <c r="CV347" s="683">
        <f t="shared" si="1060"/>
        <v>0</v>
      </c>
      <c r="CW347" s="683">
        <f t="shared" si="21"/>
        <v>0</v>
      </c>
      <c r="CX347" s="683">
        <f t="shared" ref="CX347:DG347" si="1061">BN347*$CL347</f>
        <v>0</v>
      </c>
      <c r="CY347" s="683">
        <f t="shared" si="1061"/>
        <v>0</v>
      </c>
      <c r="CZ347" s="683">
        <f t="shared" si="1061"/>
        <v>0</v>
      </c>
      <c r="DA347" s="683">
        <f t="shared" si="1061"/>
        <v>0</v>
      </c>
      <c r="DB347" s="683">
        <f t="shared" si="1061"/>
        <v>0</v>
      </c>
      <c r="DC347" s="683">
        <f t="shared" si="1061"/>
        <v>0</v>
      </c>
      <c r="DD347" s="683">
        <f t="shared" si="1061"/>
        <v>0</v>
      </c>
      <c r="DE347" s="683">
        <f t="shared" si="1061"/>
        <v>0</v>
      </c>
      <c r="DF347" s="683">
        <f t="shared" si="1061"/>
        <v>0</v>
      </c>
      <c r="DG347" s="683">
        <f t="shared" si="1061"/>
        <v>0</v>
      </c>
      <c r="DH347" s="683">
        <f t="shared" si="23"/>
        <v>0</v>
      </c>
      <c r="DI347" s="683">
        <f t="shared" ref="DI347:DR347" si="1062">BY347*$CL347</f>
        <v>0</v>
      </c>
      <c r="DJ347" s="683">
        <f t="shared" si="1062"/>
        <v>0</v>
      </c>
      <c r="DK347" s="683">
        <f t="shared" si="1062"/>
        <v>0</v>
      </c>
      <c r="DL347" s="683">
        <f t="shared" si="1062"/>
        <v>0</v>
      </c>
      <c r="DM347" s="683">
        <f t="shared" si="1062"/>
        <v>0</v>
      </c>
      <c r="DN347" s="683">
        <f t="shared" si="1062"/>
        <v>0</v>
      </c>
      <c r="DO347" s="683">
        <f t="shared" si="1062"/>
        <v>0</v>
      </c>
      <c r="DP347" s="683">
        <f t="shared" si="1062"/>
        <v>0</v>
      </c>
      <c r="DQ347" s="683">
        <f t="shared" si="1062"/>
        <v>0</v>
      </c>
      <c r="DR347" s="683">
        <f t="shared" si="1062"/>
        <v>0</v>
      </c>
      <c r="DS347" s="683">
        <f t="shared" si="25"/>
        <v>0</v>
      </c>
      <c r="DT347" s="683">
        <f t="shared" si="685"/>
        <v>0</v>
      </c>
      <c r="DU347" s="504"/>
      <c r="DV347" s="486"/>
      <c r="DW347" s="688"/>
      <c r="DX347" s="688"/>
      <c r="DY347" s="688"/>
      <c r="DZ347" s="688"/>
      <c r="EA347" s="688"/>
      <c r="EB347" s="688"/>
      <c r="EC347" s="688"/>
      <c r="ED347" s="688"/>
      <c r="EE347" s="688"/>
      <c r="EF347" s="688"/>
      <c r="EG347" s="688"/>
      <c r="EH347" s="689">
        <f t="shared" si="1063"/>
        <v>0</v>
      </c>
      <c r="EI347" s="690">
        <v>1.0</v>
      </c>
      <c r="EJ347" s="691"/>
      <c r="EK347" s="691"/>
    </row>
    <row r="348" ht="12.0" customHeight="1">
      <c r="A348" s="709" t="s">
        <v>3026</v>
      </c>
      <c r="B348" s="661">
        <v>2.0</v>
      </c>
      <c r="C348" s="567" t="s">
        <v>3032</v>
      </c>
      <c r="D348" s="742" t="s">
        <v>785</v>
      </c>
      <c r="E348" s="568" t="s">
        <v>2708</v>
      </c>
      <c r="F348" s="567" t="s">
        <v>1763</v>
      </c>
      <c r="G348" s="569" t="s">
        <v>2709</v>
      </c>
      <c r="H348" s="569" t="s">
        <v>3546</v>
      </c>
      <c r="I348" s="721" t="s">
        <v>2165</v>
      </c>
      <c r="J348" s="711" t="s">
        <v>325</v>
      </c>
      <c r="K348" s="567" t="s">
        <v>25</v>
      </c>
      <c r="L348" s="567">
        <v>2024.0</v>
      </c>
      <c r="M348" s="567">
        <v>2024.0</v>
      </c>
      <c r="N348" s="567">
        <v>2024.0</v>
      </c>
      <c r="O348" s="567"/>
      <c r="P348" s="567"/>
      <c r="Q348" s="567"/>
      <c r="R348" s="567">
        <v>2024.0</v>
      </c>
      <c r="S348" s="567">
        <v>2024.0</v>
      </c>
      <c r="T348" s="567"/>
      <c r="U348" s="567">
        <v>2024.0</v>
      </c>
      <c r="V348" s="567"/>
      <c r="W348" s="567">
        <v>3.0</v>
      </c>
      <c r="X348" s="567">
        <v>3.0</v>
      </c>
      <c r="Y348" s="567">
        <v>3.0</v>
      </c>
      <c r="Z348" s="567"/>
      <c r="AA348" s="567"/>
      <c r="AB348" s="567"/>
      <c r="AC348" s="662">
        <v>1.0</v>
      </c>
      <c r="AD348" s="662">
        <v>1.0</v>
      </c>
      <c r="AE348" s="567"/>
      <c r="AF348" s="662">
        <v>1.0</v>
      </c>
      <c r="AG348" s="567"/>
      <c r="AH348" s="567"/>
      <c r="AI348" s="567"/>
      <c r="AJ348" s="567"/>
      <c r="AK348" s="567"/>
      <c r="AL348" s="567"/>
      <c r="AM348" s="567"/>
      <c r="AN348" s="567"/>
      <c r="AO348" s="567"/>
      <c r="AP348" s="567"/>
      <c r="AQ348" s="567"/>
      <c r="AR348" s="567">
        <v>-2024.0</v>
      </c>
      <c r="AS348" s="567">
        <v>-2024.0</v>
      </c>
      <c r="AT348" s="567">
        <v>-2024.0</v>
      </c>
      <c r="AU348" s="567">
        <v>0.0</v>
      </c>
      <c r="AV348" s="567">
        <v>0.0</v>
      </c>
      <c r="AW348" s="567">
        <v>0.0</v>
      </c>
      <c r="AX348" s="567">
        <v>-2024.0</v>
      </c>
      <c r="AY348" s="567">
        <v>-2024.0</v>
      </c>
      <c r="AZ348" s="567">
        <v>0.0</v>
      </c>
      <c r="BA348" s="567">
        <v>-2024.0</v>
      </c>
      <c r="BB348" s="567"/>
      <c r="BC348" s="680">
        <v>4.0</v>
      </c>
      <c r="BD348" s="567"/>
      <c r="BE348" s="567"/>
      <c r="BF348" s="567"/>
      <c r="BG348" s="567"/>
      <c r="BH348" s="661">
        <v>4.0</v>
      </c>
      <c r="BI348" s="718"/>
      <c r="BJ348" s="718"/>
      <c r="BK348" s="567"/>
      <c r="BL348" s="731"/>
      <c r="BM348" s="665">
        <f t="shared" si="1"/>
        <v>8</v>
      </c>
      <c r="BN348" s="671"/>
      <c r="BO348" s="668"/>
      <c r="BP348" s="668"/>
      <c r="BQ348" s="668"/>
      <c r="BR348" s="668"/>
      <c r="BS348" s="668"/>
      <c r="BT348" s="668"/>
      <c r="BU348" s="668"/>
      <c r="BV348" s="668"/>
      <c r="BW348" s="670"/>
      <c r="BX348" s="665">
        <f t="shared" si="840"/>
        <v>0</v>
      </c>
      <c r="BY348" s="671">
        <v>0.0</v>
      </c>
      <c r="BZ348" s="668">
        <v>0.0</v>
      </c>
      <c r="CA348" s="668">
        <v>0.0</v>
      </c>
      <c r="CB348" s="668">
        <v>0.0</v>
      </c>
      <c r="CC348" s="668">
        <v>0.0</v>
      </c>
      <c r="CD348" s="668">
        <v>0.0</v>
      </c>
      <c r="CE348" s="668">
        <v>0.0</v>
      </c>
      <c r="CF348" s="668">
        <v>0.0</v>
      </c>
      <c r="CG348" s="668">
        <v>0.0</v>
      </c>
      <c r="CH348" s="670">
        <v>0.0</v>
      </c>
      <c r="CI348" s="665">
        <f t="shared" si="841"/>
        <v>0</v>
      </c>
      <c r="CJ348" s="671">
        <f t="shared" si="4"/>
        <v>8</v>
      </c>
      <c r="CK348" s="715">
        <v>603.26</v>
      </c>
      <c r="CL348" s="668">
        <f t="shared" ref="CL348:CL349" si="1067">CK348*$CL$1</f>
        <v>4198.6896</v>
      </c>
      <c r="CM348" s="668">
        <f t="shared" ref="CM348:CV348" si="1064">BC348*$CL348</f>
        <v>16794.7584</v>
      </c>
      <c r="CN348" s="668">
        <f t="shared" si="1064"/>
        <v>0</v>
      </c>
      <c r="CO348" s="668">
        <f t="shared" si="1064"/>
        <v>0</v>
      </c>
      <c r="CP348" s="668">
        <f t="shared" si="1064"/>
        <v>0</v>
      </c>
      <c r="CQ348" s="668">
        <f t="shared" si="1064"/>
        <v>0</v>
      </c>
      <c r="CR348" s="668">
        <f t="shared" si="1064"/>
        <v>16794.7584</v>
      </c>
      <c r="CS348" s="668">
        <f t="shared" si="1064"/>
        <v>0</v>
      </c>
      <c r="CT348" s="668">
        <f t="shared" si="1064"/>
        <v>0</v>
      </c>
      <c r="CU348" s="668">
        <f t="shared" si="1064"/>
        <v>0</v>
      </c>
      <c r="CV348" s="668">
        <f t="shared" si="1064"/>
        <v>0</v>
      </c>
      <c r="CW348" s="668">
        <f t="shared" si="21"/>
        <v>33589.5168</v>
      </c>
      <c r="CX348" s="668">
        <f t="shared" ref="CX348:DG348" si="1065">BN348*$CL348</f>
        <v>0</v>
      </c>
      <c r="CY348" s="668">
        <f t="shared" si="1065"/>
        <v>0</v>
      </c>
      <c r="CZ348" s="668">
        <f t="shared" si="1065"/>
        <v>0</v>
      </c>
      <c r="DA348" s="668">
        <f t="shared" si="1065"/>
        <v>0</v>
      </c>
      <c r="DB348" s="668">
        <f t="shared" si="1065"/>
        <v>0</v>
      </c>
      <c r="DC348" s="668">
        <f t="shared" si="1065"/>
        <v>0</v>
      </c>
      <c r="DD348" s="668">
        <f t="shared" si="1065"/>
        <v>0</v>
      </c>
      <c r="DE348" s="668">
        <f t="shared" si="1065"/>
        <v>0</v>
      </c>
      <c r="DF348" s="668">
        <f t="shared" si="1065"/>
        <v>0</v>
      </c>
      <c r="DG348" s="668">
        <f t="shared" si="1065"/>
        <v>0</v>
      </c>
      <c r="DH348" s="668">
        <f t="shared" si="23"/>
        <v>0</v>
      </c>
      <c r="DI348" s="668">
        <f t="shared" ref="DI348:DR348" si="1066">BY348*$CL348</f>
        <v>0</v>
      </c>
      <c r="DJ348" s="668">
        <f t="shared" si="1066"/>
        <v>0</v>
      </c>
      <c r="DK348" s="668">
        <f t="shared" si="1066"/>
        <v>0</v>
      </c>
      <c r="DL348" s="668">
        <f t="shared" si="1066"/>
        <v>0</v>
      </c>
      <c r="DM348" s="668">
        <f t="shared" si="1066"/>
        <v>0</v>
      </c>
      <c r="DN348" s="668">
        <f t="shared" si="1066"/>
        <v>0</v>
      </c>
      <c r="DO348" s="668">
        <f t="shared" si="1066"/>
        <v>0</v>
      </c>
      <c r="DP348" s="668">
        <f t="shared" si="1066"/>
        <v>0</v>
      </c>
      <c r="DQ348" s="668">
        <f t="shared" si="1066"/>
        <v>0</v>
      </c>
      <c r="DR348" s="668">
        <f t="shared" si="1066"/>
        <v>0</v>
      </c>
      <c r="DS348" s="668">
        <f t="shared" si="25"/>
        <v>0</v>
      </c>
      <c r="DT348" s="668">
        <f t="shared" si="685"/>
        <v>33589.5168</v>
      </c>
      <c r="DU348" s="861"/>
      <c r="DV348" s="861" t="s">
        <v>3547</v>
      </c>
      <c r="DW348" s="698"/>
      <c r="DX348" s="698"/>
      <c r="DY348" s="698"/>
      <c r="DZ348" s="698"/>
      <c r="EA348" s="698"/>
      <c r="EB348" s="698"/>
      <c r="EC348" s="698"/>
      <c r="ED348" s="698"/>
      <c r="EE348" s="698"/>
      <c r="EF348" s="698"/>
      <c r="EG348" s="698"/>
      <c r="EH348" s="576" t="s">
        <v>3548</v>
      </c>
      <c r="EI348" s="716">
        <f>VLOOKUP(I348,CotizacionTDB,4,FALSE())</f>
        <v>603.26</v>
      </c>
      <c r="EJ348" s="716">
        <f>VLOOKUP(I348,CotizacionTDB,5,FALSE())</f>
        <v>512.77</v>
      </c>
      <c r="EK348" s="699"/>
    </row>
    <row r="349" ht="12.0" customHeight="1">
      <c r="A349" s="700" t="s">
        <v>3026</v>
      </c>
      <c r="B349" s="701">
        <v>2.0</v>
      </c>
      <c r="C349" s="562" t="s">
        <v>3549</v>
      </c>
      <c r="D349" s="743" t="s">
        <v>785</v>
      </c>
      <c r="E349" s="571" t="s">
        <v>2708</v>
      </c>
      <c r="F349" s="562" t="s">
        <v>1763</v>
      </c>
      <c r="G349" s="569" t="s">
        <v>2709</v>
      </c>
      <c r="H349" s="569" t="s">
        <v>3550</v>
      </c>
      <c r="I349" s="703" t="s">
        <v>2303</v>
      </c>
      <c r="J349" s="704" t="s">
        <v>432</v>
      </c>
      <c r="K349" s="562" t="s">
        <v>25</v>
      </c>
      <c r="L349" s="562">
        <v>2024.0</v>
      </c>
      <c r="M349" s="562">
        <v>2024.0</v>
      </c>
      <c r="N349" s="562">
        <v>2024.0</v>
      </c>
      <c r="O349" s="562"/>
      <c r="P349" s="562"/>
      <c r="Q349" s="562"/>
      <c r="R349" s="562">
        <v>2024.0</v>
      </c>
      <c r="S349" s="562">
        <v>2024.0</v>
      </c>
      <c r="T349" s="562"/>
      <c r="U349" s="562">
        <v>2024.0</v>
      </c>
      <c r="V349" s="562"/>
      <c r="W349" s="562">
        <v>12.0</v>
      </c>
      <c r="X349" s="562">
        <v>12.0</v>
      </c>
      <c r="Y349" s="562">
        <v>12.0</v>
      </c>
      <c r="Z349" s="562"/>
      <c r="AA349" s="562"/>
      <c r="AB349" s="562"/>
      <c r="AC349" s="821">
        <v>1.0</v>
      </c>
      <c r="AD349" s="821">
        <v>1.0</v>
      </c>
      <c r="AE349" s="562"/>
      <c r="AF349" s="821">
        <v>1.0</v>
      </c>
      <c r="AG349" s="562"/>
      <c r="AH349" s="562"/>
      <c r="AI349" s="562"/>
      <c r="AJ349" s="562"/>
      <c r="AK349" s="562"/>
      <c r="AL349" s="562"/>
      <c r="AM349" s="562"/>
      <c r="AN349" s="562"/>
      <c r="AO349" s="562"/>
      <c r="AP349" s="562"/>
      <c r="AQ349" s="562"/>
      <c r="AR349" s="562">
        <v>-2024.0</v>
      </c>
      <c r="AS349" s="562">
        <v>-2024.0</v>
      </c>
      <c r="AT349" s="562">
        <v>-2024.0</v>
      </c>
      <c r="AU349" s="562">
        <v>0.0</v>
      </c>
      <c r="AV349" s="562">
        <v>0.0</v>
      </c>
      <c r="AW349" s="562">
        <v>0.0</v>
      </c>
      <c r="AX349" s="562">
        <v>-2024.0</v>
      </c>
      <c r="AY349" s="562">
        <v>-2024.0</v>
      </c>
      <c r="AZ349" s="562">
        <v>0.0</v>
      </c>
      <c r="BA349" s="562">
        <v>-2024.0</v>
      </c>
      <c r="BB349" s="562"/>
      <c r="BC349" s="718"/>
      <c r="BD349" s="718"/>
      <c r="BE349" s="718"/>
      <c r="BF349" s="562"/>
      <c r="BG349" s="562"/>
      <c r="BH349" s="562"/>
      <c r="BI349" s="718"/>
      <c r="BJ349" s="680"/>
      <c r="BK349" s="562"/>
      <c r="BL349" s="762"/>
      <c r="BM349" s="665">
        <f t="shared" si="1"/>
        <v>0</v>
      </c>
      <c r="BN349" s="682"/>
      <c r="BO349" s="683"/>
      <c r="BP349" s="683"/>
      <c r="BQ349" s="683"/>
      <c r="BR349" s="683"/>
      <c r="BS349" s="683"/>
      <c r="BT349" s="683"/>
      <c r="BU349" s="910">
        <v>1.0</v>
      </c>
      <c r="BV349" s="683"/>
      <c r="BW349" s="811">
        <v>1.0</v>
      </c>
      <c r="BX349" s="665">
        <f t="shared" si="840"/>
        <v>2</v>
      </c>
      <c r="BY349" s="682">
        <v>0.0</v>
      </c>
      <c r="BZ349" s="683">
        <v>0.0</v>
      </c>
      <c r="CA349" s="683">
        <v>0.0</v>
      </c>
      <c r="CB349" s="683">
        <v>0.0</v>
      </c>
      <c r="CC349" s="683">
        <v>0.0</v>
      </c>
      <c r="CD349" s="683">
        <v>0.0</v>
      </c>
      <c r="CE349" s="683">
        <v>0.0</v>
      </c>
      <c r="CF349" s="683">
        <v>0.0</v>
      </c>
      <c r="CG349" s="683">
        <v>0.0</v>
      </c>
      <c r="CH349" s="686">
        <v>0.0</v>
      </c>
      <c r="CI349" s="665">
        <f t="shared" si="841"/>
        <v>0</v>
      </c>
      <c r="CJ349" s="682">
        <f t="shared" si="4"/>
        <v>2</v>
      </c>
      <c r="CK349" s="706">
        <v>1068.24</v>
      </c>
      <c r="CL349" s="683">
        <f t="shared" si="1067"/>
        <v>7434.9504</v>
      </c>
      <c r="CM349" s="683">
        <f t="shared" ref="CM349:CV349" si="1068">BC349*$CL349</f>
        <v>0</v>
      </c>
      <c r="CN349" s="683">
        <f t="shared" si="1068"/>
        <v>0</v>
      </c>
      <c r="CO349" s="683">
        <f t="shared" si="1068"/>
        <v>0</v>
      </c>
      <c r="CP349" s="683">
        <f t="shared" si="1068"/>
        <v>0</v>
      </c>
      <c r="CQ349" s="683">
        <f t="shared" si="1068"/>
        <v>0</v>
      </c>
      <c r="CR349" s="683">
        <f t="shared" si="1068"/>
        <v>0</v>
      </c>
      <c r="CS349" s="683">
        <f t="shared" si="1068"/>
        <v>0</v>
      </c>
      <c r="CT349" s="683">
        <f t="shared" si="1068"/>
        <v>0</v>
      </c>
      <c r="CU349" s="683">
        <f t="shared" si="1068"/>
        <v>0</v>
      </c>
      <c r="CV349" s="683">
        <f t="shared" si="1068"/>
        <v>0</v>
      </c>
      <c r="CW349" s="683">
        <f t="shared" si="21"/>
        <v>0</v>
      </c>
      <c r="CX349" s="683">
        <f t="shared" ref="CX349:DG349" si="1069">BN349*$CL349</f>
        <v>0</v>
      </c>
      <c r="CY349" s="683">
        <f t="shared" si="1069"/>
        <v>0</v>
      </c>
      <c r="CZ349" s="683">
        <f t="shared" si="1069"/>
        <v>0</v>
      </c>
      <c r="DA349" s="683">
        <f t="shared" si="1069"/>
        <v>0</v>
      </c>
      <c r="DB349" s="683">
        <f t="shared" si="1069"/>
        <v>0</v>
      </c>
      <c r="DC349" s="683">
        <f t="shared" si="1069"/>
        <v>0</v>
      </c>
      <c r="DD349" s="683">
        <f t="shared" si="1069"/>
        <v>0</v>
      </c>
      <c r="DE349" s="683">
        <f t="shared" si="1069"/>
        <v>7434.9504</v>
      </c>
      <c r="DF349" s="683">
        <f t="shared" si="1069"/>
        <v>0</v>
      </c>
      <c r="DG349" s="683">
        <f t="shared" si="1069"/>
        <v>7434.9504</v>
      </c>
      <c r="DH349" s="683">
        <f t="shared" si="23"/>
        <v>14869.9008</v>
      </c>
      <c r="DI349" s="683">
        <f t="shared" ref="DI349:DR349" si="1070">BY349*$CL349</f>
        <v>0</v>
      </c>
      <c r="DJ349" s="683">
        <f t="shared" si="1070"/>
        <v>0</v>
      </c>
      <c r="DK349" s="683">
        <f t="shared" si="1070"/>
        <v>0</v>
      </c>
      <c r="DL349" s="683">
        <f t="shared" si="1070"/>
        <v>0</v>
      </c>
      <c r="DM349" s="683">
        <f t="shared" si="1070"/>
        <v>0</v>
      </c>
      <c r="DN349" s="683">
        <f t="shared" si="1070"/>
        <v>0</v>
      </c>
      <c r="DO349" s="683">
        <f t="shared" si="1070"/>
        <v>0</v>
      </c>
      <c r="DP349" s="683">
        <f t="shared" si="1070"/>
        <v>0</v>
      </c>
      <c r="DQ349" s="683">
        <f t="shared" si="1070"/>
        <v>0</v>
      </c>
      <c r="DR349" s="683">
        <f t="shared" si="1070"/>
        <v>0</v>
      </c>
      <c r="DS349" s="683">
        <f t="shared" si="25"/>
        <v>0</v>
      </c>
      <c r="DT349" s="683">
        <f t="shared" si="685"/>
        <v>14869.9008</v>
      </c>
      <c r="DU349" s="861"/>
      <c r="DV349" s="861" t="s">
        <v>3547</v>
      </c>
      <c r="DW349" s="688"/>
      <c r="DX349" s="688"/>
      <c r="DY349" s="688"/>
      <c r="DZ349" s="688"/>
      <c r="EA349" s="688"/>
      <c r="EB349" s="688"/>
      <c r="EC349" s="688"/>
      <c r="ED349" s="688"/>
      <c r="EE349" s="688"/>
      <c r="EF349" s="688"/>
      <c r="EG349" s="688"/>
      <c r="EH349" s="707" t="s">
        <v>432</v>
      </c>
      <c r="EI349" s="708">
        <f>VLOOKUP(I349,CotizacionTDB,4,FALSE())</f>
        <v>1068.24</v>
      </c>
      <c r="EJ349" s="708">
        <f>VLOOKUP(I349,CotizacionTDB,5,FALSE())</f>
        <v>908</v>
      </c>
      <c r="EK349" s="691"/>
    </row>
    <row r="350" ht="12.0" customHeight="1">
      <c r="A350" s="709" t="s">
        <v>3026</v>
      </c>
      <c r="B350" s="661"/>
      <c r="C350" s="567" t="s">
        <v>3032</v>
      </c>
      <c r="D350" s="742" t="s">
        <v>785</v>
      </c>
      <c r="E350" s="568" t="s">
        <v>2708</v>
      </c>
      <c r="F350" s="567" t="s">
        <v>1763</v>
      </c>
      <c r="G350" s="569" t="s">
        <v>2709</v>
      </c>
      <c r="H350" s="658"/>
      <c r="I350" s="659">
        <v>1.0946774E7</v>
      </c>
      <c r="J350" s="568" t="s">
        <v>3551</v>
      </c>
      <c r="K350" s="567" t="s">
        <v>25</v>
      </c>
      <c r="L350" s="567">
        <v>2024.0</v>
      </c>
      <c r="M350" s="567">
        <v>2024.0</v>
      </c>
      <c r="N350" s="567">
        <v>2024.0</v>
      </c>
      <c r="O350" s="567">
        <v>2024.0</v>
      </c>
      <c r="P350" s="567">
        <v>2024.0</v>
      </c>
      <c r="Q350" s="567"/>
      <c r="R350" s="567"/>
      <c r="S350" s="567"/>
      <c r="T350" s="567"/>
      <c r="U350" s="567"/>
      <c r="V350" s="567"/>
      <c r="W350" s="567">
        <v>10.0</v>
      </c>
      <c r="X350" s="567">
        <v>10.0</v>
      </c>
      <c r="Y350" s="567">
        <v>10.0</v>
      </c>
      <c r="Z350" s="567">
        <v>10.0</v>
      </c>
      <c r="AA350" s="567">
        <v>10.0</v>
      </c>
      <c r="AB350" s="567"/>
      <c r="AC350" s="567"/>
      <c r="AD350" s="567"/>
      <c r="AE350" s="567"/>
      <c r="AF350" s="567"/>
      <c r="AG350" s="567"/>
      <c r="AH350" s="567"/>
      <c r="AI350" s="567"/>
      <c r="AJ350" s="567"/>
      <c r="AK350" s="567"/>
      <c r="AL350" s="567"/>
      <c r="AM350" s="567"/>
      <c r="AN350" s="567"/>
      <c r="AO350" s="567"/>
      <c r="AP350" s="567"/>
      <c r="AQ350" s="567"/>
      <c r="AR350" s="567">
        <v>-2024.0</v>
      </c>
      <c r="AS350" s="567">
        <v>-2024.0</v>
      </c>
      <c r="AT350" s="567">
        <v>-2024.0</v>
      </c>
      <c r="AU350" s="567">
        <v>-2024.0</v>
      </c>
      <c r="AV350" s="567">
        <v>-2024.0</v>
      </c>
      <c r="AW350" s="567">
        <v>0.0</v>
      </c>
      <c r="AX350" s="567">
        <v>0.0</v>
      </c>
      <c r="AY350" s="567">
        <v>0.0</v>
      </c>
      <c r="AZ350" s="567">
        <v>0.0</v>
      </c>
      <c r="BA350" s="567">
        <v>0.0</v>
      </c>
      <c r="BB350" s="567"/>
      <c r="BC350" s="567"/>
      <c r="BD350" s="567"/>
      <c r="BE350" s="567"/>
      <c r="BF350" s="718"/>
      <c r="BG350" s="718"/>
      <c r="BH350" s="567"/>
      <c r="BI350" s="567"/>
      <c r="BJ350" s="567"/>
      <c r="BK350" s="567"/>
      <c r="BL350" s="725"/>
      <c r="BM350" s="665">
        <f t="shared" si="1"/>
        <v>0</v>
      </c>
      <c r="BN350" s="671"/>
      <c r="BO350" s="668"/>
      <c r="BP350" s="668"/>
      <c r="BQ350" s="668"/>
      <c r="BR350" s="668"/>
      <c r="BS350" s="668"/>
      <c r="BT350" s="668"/>
      <c r="BU350" s="668"/>
      <c r="BV350" s="668"/>
      <c r="BW350" s="670"/>
      <c r="BX350" s="665">
        <f t="shared" si="840"/>
        <v>0</v>
      </c>
      <c r="BY350" s="671">
        <v>0.0</v>
      </c>
      <c r="BZ350" s="668">
        <v>0.0</v>
      </c>
      <c r="CA350" s="668">
        <v>0.0</v>
      </c>
      <c r="CB350" s="668">
        <v>0.0</v>
      </c>
      <c r="CC350" s="668">
        <v>0.0</v>
      </c>
      <c r="CD350" s="668">
        <v>0.0</v>
      </c>
      <c r="CE350" s="668">
        <v>0.0</v>
      </c>
      <c r="CF350" s="668">
        <v>0.0</v>
      </c>
      <c r="CG350" s="668">
        <v>0.0</v>
      </c>
      <c r="CH350" s="670">
        <v>0.0</v>
      </c>
      <c r="CI350" s="665">
        <f t="shared" si="841"/>
        <v>0</v>
      </c>
      <c r="CJ350" s="671">
        <f t="shared" si="4"/>
        <v>0</v>
      </c>
      <c r="CK350" s="674">
        <v>547.19</v>
      </c>
      <c r="CL350" s="668">
        <v>3813.9143000000004</v>
      </c>
      <c r="CM350" s="668">
        <f t="shared" ref="CM350:CV350" si="1071">BC350*$CL350</f>
        <v>0</v>
      </c>
      <c r="CN350" s="668">
        <f t="shared" si="1071"/>
        <v>0</v>
      </c>
      <c r="CO350" s="668">
        <f t="shared" si="1071"/>
        <v>0</v>
      </c>
      <c r="CP350" s="668">
        <f t="shared" si="1071"/>
        <v>0</v>
      </c>
      <c r="CQ350" s="668">
        <f t="shared" si="1071"/>
        <v>0</v>
      </c>
      <c r="CR350" s="668">
        <f t="shared" si="1071"/>
        <v>0</v>
      </c>
      <c r="CS350" s="668">
        <f t="shared" si="1071"/>
        <v>0</v>
      </c>
      <c r="CT350" s="668">
        <f t="shared" si="1071"/>
        <v>0</v>
      </c>
      <c r="CU350" s="668">
        <f t="shared" si="1071"/>
        <v>0</v>
      </c>
      <c r="CV350" s="668">
        <f t="shared" si="1071"/>
        <v>0</v>
      </c>
      <c r="CW350" s="668">
        <f t="shared" si="21"/>
        <v>0</v>
      </c>
      <c r="CX350" s="668">
        <f t="shared" ref="CX350:DG350" si="1072">BN350*$CL350</f>
        <v>0</v>
      </c>
      <c r="CY350" s="668">
        <f t="shared" si="1072"/>
        <v>0</v>
      </c>
      <c r="CZ350" s="668">
        <f t="shared" si="1072"/>
        <v>0</v>
      </c>
      <c r="DA350" s="668">
        <f t="shared" si="1072"/>
        <v>0</v>
      </c>
      <c r="DB350" s="668">
        <f t="shared" si="1072"/>
        <v>0</v>
      </c>
      <c r="DC350" s="668">
        <f t="shared" si="1072"/>
        <v>0</v>
      </c>
      <c r="DD350" s="668">
        <f t="shared" si="1072"/>
        <v>0</v>
      </c>
      <c r="DE350" s="668">
        <f t="shared" si="1072"/>
        <v>0</v>
      </c>
      <c r="DF350" s="668">
        <f t="shared" si="1072"/>
        <v>0</v>
      </c>
      <c r="DG350" s="668">
        <f t="shared" si="1072"/>
        <v>0</v>
      </c>
      <c r="DH350" s="668">
        <f t="shared" si="23"/>
        <v>0</v>
      </c>
      <c r="DI350" s="668">
        <f t="shared" ref="DI350:DR350" si="1073">BY350*$CL350</f>
        <v>0</v>
      </c>
      <c r="DJ350" s="668">
        <f t="shared" si="1073"/>
        <v>0</v>
      </c>
      <c r="DK350" s="668">
        <f t="shared" si="1073"/>
        <v>0</v>
      </c>
      <c r="DL350" s="668">
        <f t="shared" si="1073"/>
        <v>0</v>
      </c>
      <c r="DM350" s="668">
        <f t="shared" si="1073"/>
        <v>0</v>
      </c>
      <c r="DN350" s="668">
        <f t="shared" si="1073"/>
        <v>0</v>
      </c>
      <c r="DO350" s="668">
        <f t="shared" si="1073"/>
        <v>0</v>
      </c>
      <c r="DP350" s="668">
        <f t="shared" si="1073"/>
        <v>0</v>
      </c>
      <c r="DQ350" s="668">
        <f t="shared" si="1073"/>
        <v>0</v>
      </c>
      <c r="DR350" s="668">
        <f t="shared" si="1073"/>
        <v>0</v>
      </c>
      <c r="DS350" s="668">
        <f t="shared" si="25"/>
        <v>0</v>
      </c>
      <c r="DT350" s="668">
        <f t="shared" si="685"/>
        <v>0</v>
      </c>
      <c r="DU350" s="498"/>
      <c r="DV350" s="861" t="s">
        <v>3547</v>
      </c>
      <c r="DW350" s="698"/>
      <c r="DX350" s="698"/>
      <c r="DY350" s="698"/>
      <c r="DZ350" s="698"/>
      <c r="EA350" s="698"/>
      <c r="EB350" s="698"/>
      <c r="EC350" s="698"/>
      <c r="ED350" s="698"/>
      <c r="EE350" s="698"/>
      <c r="EF350" s="698"/>
      <c r="EG350" s="698"/>
      <c r="EH350" s="677">
        <f>CK350*6.97</f>
        <v>3813.9143</v>
      </c>
      <c r="EI350" s="678">
        <v>1.0</v>
      </c>
      <c r="EJ350" s="699"/>
      <c r="EK350" s="699"/>
    </row>
    <row r="351" ht="12.0" customHeight="1">
      <c r="A351" s="700" t="s">
        <v>3026</v>
      </c>
      <c r="B351" s="701">
        <v>2.0</v>
      </c>
      <c r="C351" s="562" t="s">
        <v>3027</v>
      </c>
      <c r="D351" s="743" t="s">
        <v>785</v>
      </c>
      <c r="E351" s="571" t="s">
        <v>2708</v>
      </c>
      <c r="F351" s="562" t="s">
        <v>1763</v>
      </c>
      <c r="G351" s="569" t="s">
        <v>2709</v>
      </c>
      <c r="H351" s="702" t="s">
        <v>2751</v>
      </c>
      <c r="I351" s="918" t="s">
        <v>2092</v>
      </c>
      <c r="J351" s="704" t="s">
        <v>301</v>
      </c>
      <c r="K351" s="562" t="s">
        <v>25</v>
      </c>
      <c r="L351" s="562">
        <v>2024.0</v>
      </c>
      <c r="M351" s="562">
        <v>2024.0</v>
      </c>
      <c r="N351" s="562">
        <v>2024.0</v>
      </c>
      <c r="O351" s="562"/>
      <c r="P351" s="562"/>
      <c r="Q351" s="562"/>
      <c r="R351" s="562"/>
      <c r="S351" s="562"/>
      <c r="T351" s="562"/>
      <c r="U351" s="562"/>
      <c r="V351" s="562"/>
      <c r="W351" s="562">
        <v>2.0</v>
      </c>
      <c r="X351" s="562">
        <v>2.0</v>
      </c>
      <c r="Y351" s="562">
        <v>2.0</v>
      </c>
      <c r="Z351" s="562"/>
      <c r="AA351" s="562"/>
      <c r="AB351" s="562"/>
      <c r="AC351" s="562"/>
      <c r="AD351" s="562"/>
      <c r="AE351" s="562"/>
      <c r="AF351" s="562"/>
      <c r="AG351" s="562"/>
      <c r="AH351" s="562"/>
      <c r="AI351" s="562"/>
      <c r="AJ351" s="562"/>
      <c r="AK351" s="562"/>
      <c r="AL351" s="562"/>
      <c r="AM351" s="562"/>
      <c r="AN351" s="562"/>
      <c r="AO351" s="562"/>
      <c r="AP351" s="562"/>
      <c r="AQ351" s="562"/>
      <c r="AR351" s="562">
        <v>-2024.0</v>
      </c>
      <c r="AS351" s="562">
        <v>-2024.0</v>
      </c>
      <c r="AT351" s="562">
        <v>-2024.0</v>
      </c>
      <c r="AU351" s="562">
        <v>0.0</v>
      </c>
      <c r="AV351" s="562">
        <v>0.0</v>
      </c>
      <c r="AW351" s="562">
        <v>0.0</v>
      </c>
      <c r="AX351" s="562">
        <v>0.0</v>
      </c>
      <c r="AY351" s="562">
        <v>0.0</v>
      </c>
      <c r="AZ351" s="562">
        <v>0.0</v>
      </c>
      <c r="BA351" s="562">
        <v>0.0</v>
      </c>
      <c r="BB351" s="562"/>
      <c r="BC351" s="562">
        <v>20.0</v>
      </c>
      <c r="BD351" s="562">
        <v>8.0</v>
      </c>
      <c r="BE351" s="562">
        <v>20.0</v>
      </c>
      <c r="BF351" s="562"/>
      <c r="BG351" s="562"/>
      <c r="BH351" s="562"/>
      <c r="BI351" s="562"/>
      <c r="BJ351" s="825">
        <v>50.0</v>
      </c>
      <c r="BK351" s="562"/>
      <c r="BL351" s="681"/>
      <c r="BM351" s="665">
        <f t="shared" si="1"/>
        <v>98</v>
      </c>
      <c r="BN351" s="682"/>
      <c r="BO351" s="683"/>
      <c r="BP351" s="683"/>
      <c r="BQ351" s="683"/>
      <c r="BR351" s="683"/>
      <c r="BS351" s="683"/>
      <c r="BT351" s="683"/>
      <c r="BU351" s="683"/>
      <c r="BV351" s="683"/>
      <c r="BW351" s="686"/>
      <c r="BX351" s="665">
        <f t="shared" si="840"/>
        <v>0</v>
      </c>
      <c r="BY351" s="733">
        <v>10.0</v>
      </c>
      <c r="BZ351" s="687">
        <v>6.0</v>
      </c>
      <c r="CA351" s="687">
        <v>10.0</v>
      </c>
      <c r="CB351" s="683">
        <v>0.0</v>
      </c>
      <c r="CC351" s="683">
        <v>0.0</v>
      </c>
      <c r="CD351" s="683">
        <v>0.0</v>
      </c>
      <c r="CE351" s="683">
        <v>0.0</v>
      </c>
      <c r="CF351" s="683">
        <v>0.0</v>
      </c>
      <c r="CG351" s="683">
        <v>0.0</v>
      </c>
      <c r="CH351" s="686">
        <v>0.0</v>
      </c>
      <c r="CI351" s="665">
        <f t="shared" si="841"/>
        <v>26</v>
      </c>
      <c r="CJ351" s="682">
        <f t="shared" si="4"/>
        <v>124</v>
      </c>
      <c r="CK351" s="919">
        <v>9.31</v>
      </c>
      <c r="CL351" s="683">
        <f t="shared" ref="CL351:CL376" si="1077">CK351*$CL$1</f>
        <v>64.7976</v>
      </c>
      <c r="CM351" s="683">
        <f t="shared" ref="CM351:CV351" si="1074">BC351*$CL351</f>
        <v>1295.952</v>
      </c>
      <c r="CN351" s="683">
        <f t="shared" si="1074"/>
        <v>518.3808</v>
      </c>
      <c r="CO351" s="683">
        <f t="shared" si="1074"/>
        <v>1295.952</v>
      </c>
      <c r="CP351" s="683">
        <f t="shared" si="1074"/>
        <v>0</v>
      </c>
      <c r="CQ351" s="683">
        <f t="shared" si="1074"/>
        <v>0</v>
      </c>
      <c r="CR351" s="683">
        <f t="shared" si="1074"/>
        <v>0</v>
      </c>
      <c r="CS351" s="683">
        <f t="shared" si="1074"/>
        <v>0</v>
      </c>
      <c r="CT351" s="683">
        <f t="shared" si="1074"/>
        <v>3239.88</v>
      </c>
      <c r="CU351" s="683">
        <f t="shared" si="1074"/>
        <v>0</v>
      </c>
      <c r="CV351" s="683">
        <f t="shared" si="1074"/>
        <v>0</v>
      </c>
      <c r="CW351" s="683">
        <f t="shared" si="21"/>
        <v>6350.1648</v>
      </c>
      <c r="CX351" s="683">
        <f t="shared" ref="CX351:DG351" si="1075">BN351*$CL351</f>
        <v>0</v>
      </c>
      <c r="CY351" s="683">
        <f t="shared" si="1075"/>
        <v>0</v>
      </c>
      <c r="CZ351" s="683">
        <f t="shared" si="1075"/>
        <v>0</v>
      </c>
      <c r="DA351" s="683">
        <f t="shared" si="1075"/>
        <v>0</v>
      </c>
      <c r="DB351" s="683">
        <f t="shared" si="1075"/>
        <v>0</v>
      </c>
      <c r="DC351" s="683">
        <f t="shared" si="1075"/>
        <v>0</v>
      </c>
      <c r="DD351" s="683">
        <f t="shared" si="1075"/>
        <v>0</v>
      </c>
      <c r="DE351" s="683">
        <f t="shared" si="1075"/>
        <v>0</v>
      </c>
      <c r="DF351" s="683">
        <f t="shared" si="1075"/>
        <v>0</v>
      </c>
      <c r="DG351" s="683">
        <f t="shared" si="1075"/>
        <v>0</v>
      </c>
      <c r="DH351" s="683">
        <f t="shared" si="23"/>
        <v>0</v>
      </c>
      <c r="DI351" s="683">
        <f t="shared" ref="DI351:DR351" si="1076">BY351*$CL351</f>
        <v>647.976</v>
      </c>
      <c r="DJ351" s="683">
        <f t="shared" si="1076"/>
        <v>388.7856</v>
      </c>
      <c r="DK351" s="683">
        <f t="shared" si="1076"/>
        <v>647.976</v>
      </c>
      <c r="DL351" s="683">
        <f t="shared" si="1076"/>
        <v>0</v>
      </c>
      <c r="DM351" s="683">
        <f t="shared" si="1076"/>
        <v>0</v>
      </c>
      <c r="DN351" s="683">
        <f t="shared" si="1076"/>
        <v>0</v>
      </c>
      <c r="DO351" s="683">
        <f t="shared" si="1076"/>
        <v>0</v>
      </c>
      <c r="DP351" s="683">
        <f t="shared" si="1076"/>
        <v>0</v>
      </c>
      <c r="DQ351" s="683">
        <f t="shared" si="1076"/>
        <v>0</v>
      </c>
      <c r="DR351" s="683">
        <f t="shared" si="1076"/>
        <v>0</v>
      </c>
      <c r="DS351" s="683">
        <f t="shared" si="25"/>
        <v>1684.7376</v>
      </c>
      <c r="DT351" s="683">
        <f t="shared" si="685"/>
        <v>8034.9024</v>
      </c>
      <c r="DU351" s="504"/>
      <c r="DV351" s="486"/>
      <c r="DW351" s="688"/>
      <c r="DX351" s="688"/>
      <c r="DY351" s="688"/>
      <c r="DZ351" s="688"/>
      <c r="EA351" s="688"/>
      <c r="EB351" s="688"/>
      <c r="EC351" s="688"/>
      <c r="ED351" s="688"/>
      <c r="EE351" s="688"/>
      <c r="EF351" s="688"/>
      <c r="EG351" s="688"/>
      <c r="EH351" s="707" t="s">
        <v>3552</v>
      </c>
      <c r="EI351" s="708">
        <f>VLOOKUP(I351,CotizacionTDB,4,FALSE())</f>
        <v>9.31</v>
      </c>
      <c r="EJ351" s="708">
        <f>VLOOKUP(I351,CotizacionTDB,5,FALSE())</f>
        <v>7.91</v>
      </c>
      <c r="EK351" s="691"/>
    </row>
    <row r="352" ht="12.0" customHeight="1">
      <c r="A352" s="709" t="s">
        <v>3026</v>
      </c>
      <c r="B352" s="661">
        <v>2.0</v>
      </c>
      <c r="C352" s="567" t="s">
        <v>3032</v>
      </c>
      <c r="D352" s="742" t="s">
        <v>785</v>
      </c>
      <c r="E352" s="568" t="s">
        <v>2708</v>
      </c>
      <c r="F352" s="567" t="s">
        <v>1763</v>
      </c>
      <c r="G352" s="569" t="s">
        <v>2709</v>
      </c>
      <c r="H352" s="569" t="s">
        <v>2933</v>
      </c>
      <c r="I352" s="920" t="s">
        <v>2397</v>
      </c>
      <c r="J352" s="711" t="s">
        <v>1413</v>
      </c>
      <c r="K352" s="567" t="s">
        <v>25</v>
      </c>
      <c r="L352" s="567"/>
      <c r="M352" s="567"/>
      <c r="N352" s="567"/>
      <c r="O352" s="567"/>
      <c r="P352" s="567"/>
      <c r="Q352" s="567">
        <v>2024.0</v>
      </c>
      <c r="R352" s="567"/>
      <c r="S352" s="567"/>
      <c r="T352" s="567"/>
      <c r="U352" s="567"/>
      <c r="V352" s="567"/>
      <c r="W352" s="567"/>
      <c r="X352" s="567"/>
      <c r="Y352" s="567"/>
      <c r="Z352" s="567"/>
      <c r="AA352" s="567"/>
      <c r="AB352" s="567">
        <v>8.0</v>
      </c>
      <c r="AC352" s="567"/>
      <c r="AD352" s="567"/>
      <c r="AE352" s="567"/>
      <c r="AF352" s="567"/>
      <c r="AG352" s="567"/>
      <c r="AH352" s="567"/>
      <c r="AI352" s="567"/>
      <c r="AJ352" s="567"/>
      <c r="AK352" s="567"/>
      <c r="AL352" s="567"/>
      <c r="AM352" s="567"/>
      <c r="AN352" s="567"/>
      <c r="AO352" s="567"/>
      <c r="AP352" s="567"/>
      <c r="AQ352" s="567"/>
      <c r="AR352" s="567">
        <v>0.0</v>
      </c>
      <c r="AS352" s="567">
        <v>0.0</v>
      </c>
      <c r="AT352" s="567">
        <v>0.0</v>
      </c>
      <c r="AU352" s="567">
        <v>0.0</v>
      </c>
      <c r="AV352" s="567">
        <v>0.0</v>
      </c>
      <c r="AW352" s="567">
        <v>-2024.0</v>
      </c>
      <c r="AX352" s="567">
        <v>0.0</v>
      </c>
      <c r="AY352" s="567">
        <v>0.0</v>
      </c>
      <c r="AZ352" s="567">
        <v>0.0</v>
      </c>
      <c r="BA352" s="567">
        <v>0.0</v>
      </c>
      <c r="BB352" s="567"/>
      <c r="BC352" s="661">
        <v>2.0</v>
      </c>
      <c r="BD352" s="661">
        <v>2.0</v>
      </c>
      <c r="BE352" s="661">
        <v>2.0</v>
      </c>
      <c r="BF352" s="567"/>
      <c r="BG352" s="567"/>
      <c r="BH352" s="567">
        <v>8.0</v>
      </c>
      <c r="BI352" s="567"/>
      <c r="BJ352" s="567"/>
      <c r="BK352" s="567"/>
      <c r="BL352" s="725"/>
      <c r="BM352" s="665">
        <f t="shared" si="1"/>
        <v>14</v>
      </c>
      <c r="BN352" s="671"/>
      <c r="BO352" s="668"/>
      <c r="BP352" s="668"/>
      <c r="BQ352" s="668"/>
      <c r="BR352" s="668"/>
      <c r="BS352" s="668"/>
      <c r="BT352" s="668"/>
      <c r="BU352" s="668"/>
      <c r="BV352" s="668"/>
      <c r="BW352" s="670"/>
      <c r="BX352" s="665">
        <f t="shared" si="840"/>
        <v>0</v>
      </c>
      <c r="BY352" s="671">
        <v>0.0</v>
      </c>
      <c r="BZ352" s="668">
        <v>0.0</v>
      </c>
      <c r="CA352" s="668">
        <v>0.0</v>
      </c>
      <c r="CB352" s="668">
        <v>0.0</v>
      </c>
      <c r="CC352" s="668">
        <v>0.0</v>
      </c>
      <c r="CD352" s="668">
        <v>0.0</v>
      </c>
      <c r="CE352" s="668">
        <v>0.0</v>
      </c>
      <c r="CF352" s="668">
        <v>0.0</v>
      </c>
      <c r="CG352" s="668">
        <v>0.0</v>
      </c>
      <c r="CH352" s="670">
        <v>0.0</v>
      </c>
      <c r="CI352" s="665">
        <f t="shared" si="841"/>
        <v>0</v>
      </c>
      <c r="CJ352" s="671">
        <f t="shared" si="4"/>
        <v>14</v>
      </c>
      <c r="CK352" s="921">
        <v>3.19</v>
      </c>
      <c r="CL352" s="668">
        <f t="shared" si="1077"/>
        <v>22.2024</v>
      </c>
      <c r="CM352" s="668">
        <f t="shared" ref="CM352:CV352" si="1078">BC352*$CL352</f>
        <v>44.4048</v>
      </c>
      <c r="CN352" s="668">
        <f t="shared" si="1078"/>
        <v>44.4048</v>
      </c>
      <c r="CO352" s="668">
        <f t="shared" si="1078"/>
        <v>44.4048</v>
      </c>
      <c r="CP352" s="668">
        <f t="shared" si="1078"/>
        <v>0</v>
      </c>
      <c r="CQ352" s="668">
        <f t="shared" si="1078"/>
        <v>0</v>
      </c>
      <c r="CR352" s="668">
        <f t="shared" si="1078"/>
        <v>177.6192</v>
      </c>
      <c r="CS352" s="668">
        <f t="shared" si="1078"/>
        <v>0</v>
      </c>
      <c r="CT352" s="668">
        <f t="shared" si="1078"/>
        <v>0</v>
      </c>
      <c r="CU352" s="668">
        <f t="shared" si="1078"/>
        <v>0</v>
      </c>
      <c r="CV352" s="668">
        <f t="shared" si="1078"/>
        <v>0</v>
      </c>
      <c r="CW352" s="668">
        <f t="shared" si="21"/>
        <v>310.8336</v>
      </c>
      <c r="CX352" s="668">
        <f t="shared" ref="CX352:DG352" si="1079">BN352*$CL352</f>
        <v>0</v>
      </c>
      <c r="CY352" s="668">
        <f t="shared" si="1079"/>
        <v>0</v>
      </c>
      <c r="CZ352" s="668">
        <f t="shared" si="1079"/>
        <v>0</v>
      </c>
      <c r="DA352" s="668">
        <f t="shared" si="1079"/>
        <v>0</v>
      </c>
      <c r="DB352" s="668">
        <f t="shared" si="1079"/>
        <v>0</v>
      </c>
      <c r="DC352" s="668">
        <f t="shared" si="1079"/>
        <v>0</v>
      </c>
      <c r="DD352" s="668">
        <f t="shared" si="1079"/>
        <v>0</v>
      </c>
      <c r="DE352" s="668">
        <f t="shared" si="1079"/>
        <v>0</v>
      </c>
      <c r="DF352" s="668">
        <f t="shared" si="1079"/>
        <v>0</v>
      </c>
      <c r="DG352" s="668">
        <f t="shared" si="1079"/>
        <v>0</v>
      </c>
      <c r="DH352" s="668">
        <f t="shared" si="23"/>
        <v>0</v>
      </c>
      <c r="DI352" s="668">
        <f t="shared" ref="DI352:DR352" si="1080">BY352*$CL352</f>
        <v>0</v>
      </c>
      <c r="DJ352" s="668">
        <f t="shared" si="1080"/>
        <v>0</v>
      </c>
      <c r="DK352" s="668">
        <f t="shared" si="1080"/>
        <v>0</v>
      </c>
      <c r="DL352" s="668">
        <f t="shared" si="1080"/>
        <v>0</v>
      </c>
      <c r="DM352" s="668">
        <f t="shared" si="1080"/>
        <v>0</v>
      </c>
      <c r="DN352" s="668">
        <f t="shared" si="1080"/>
        <v>0</v>
      </c>
      <c r="DO352" s="668">
        <f t="shared" si="1080"/>
        <v>0</v>
      </c>
      <c r="DP352" s="668">
        <f t="shared" si="1080"/>
        <v>0</v>
      </c>
      <c r="DQ352" s="668">
        <f t="shared" si="1080"/>
        <v>0</v>
      </c>
      <c r="DR352" s="668">
        <f t="shared" si="1080"/>
        <v>0</v>
      </c>
      <c r="DS352" s="668">
        <f t="shared" si="25"/>
        <v>0</v>
      </c>
      <c r="DT352" s="668">
        <f t="shared" si="685"/>
        <v>310.8336</v>
      </c>
      <c r="DU352" s="538"/>
      <c r="DV352" s="468"/>
      <c r="DW352" s="698"/>
      <c r="DX352" s="698"/>
      <c r="DY352" s="698"/>
      <c r="DZ352" s="698"/>
      <c r="EA352" s="698"/>
      <c r="EB352" s="698"/>
      <c r="EC352" s="698"/>
      <c r="ED352" s="698"/>
      <c r="EE352" s="698"/>
      <c r="EF352" s="698"/>
      <c r="EG352" s="698"/>
      <c r="EH352" s="576" t="s">
        <v>3553</v>
      </c>
      <c r="EI352" s="716">
        <f>VLOOKUP(I352,CotizacionTDB,4,FALSE())</f>
        <v>3.19</v>
      </c>
      <c r="EJ352" s="716">
        <f>VLOOKUP(I352,CotizacionTDB,5,FALSE())</f>
        <v>2.71</v>
      </c>
      <c r="EK352" s="699"/>
    </row>
    <row r="353" ht="12.0" customHeight="1">
      <c r="A353" s="700" t="s">
        <v>3026</v>
      </c>
      <c r="B353" s="701">
        <v>2.0</v>
      </c>
      <c r="C353" s="922" t="s">
        <v>3032</v>
      </c>
      <c r="D353" s="743" t="s">
        <v>785</v>
      </c>
      <c r="E353" s="923" t="s">
        <v>2708</v>
      </c>
      <c r="F353" s="922" t="s">
        <v>1763</v>
      </c>
      <c r="G353" s="569" t="s">
        <v>2709</v>
      </c>
      <c r="H353" s="924"/>
      <c r="I353" s="925" t="s">
        <v>2285</v>
      </c>
      <c r="J353" s="926" t="s">
        <v>2286</v>
      </c>
      <c r="K353" s="922" t="s">
        <v>25</v>
      </c>
      <c r="L353" s="927">
        <v>2024.0</v>
      </c>
      <c r="M353" s="927">
        <v>2024.0</v>
      </c>
      <c r="N353" s="927">
        <v>2024.0</v>
      </c>
      <c r="O353" s="927">
        <v>2024.0</v>
      </c>
      <c r="P353" s="927">
        <v>2024.0</v>
      </c>
      <c r="Q353" s="928"/>
      <c r="R353" s="928"/>
      <c r="S353" s="928"/>
      <c r="T353" s="928"/>
      <c r="U353" s="928"/>
      <c r="V353" s="928"/>
      <c r="W353" s="927">
        <v>10.0</v>
      </c>
      <c r="X353" s="927">
        <v>10.0</v>
      </c>
      <c r="Y353" s="927">
        <v>10.0</v>
      </c>
      <c r="Z353" s="927">
        <v>10.0</v>
      </c>
      <c r="AA353" s="927">
        <v>10.0</v>
      </c>
      <c r="AB353" s="928"/>
      <c r="AC353" s="928"/>
      <c r="AD353" s="928"/>
      <c r="AE353" s="928"/>
      <c r="AF353" s="928"/>
      <c r="AG353" s="928"/>
      <c r="AH353" s="928"/>
      <c r="AI353" s="928"/>
      <c r="AJ353" s="928"/>
      <c r="AK353" s="928"/>
      <c r="AL353" s="928"/>
      <c r="AM353" s="928"/>
      <c r="AN353" s="928"/>
      <c r="AO353" s="928"/>
      <c r="AP353" s="928"/>
      <c r="AQ353" s="928"/>
      <c r="AR353" s="927">
        <v>-2024.0</v>
      </c>
      <c r="AS353" s="927">
        <v>-2024.0</v>
      </c>
      <c r="AT353" s="927">
        <v>-2024.0</v>
      </c>
      <c r="AU353" s="927">
        <v>-2024.0</v>
      </c>
      <c r="AV353" s="927">
        <v>-2024.0</v>
      </c>
      <c r="AW353" s="927">
        <v>0.0</v>
      </c>
      <c r="AX353" s="927">
        <v>0.0</v>
      </c>
      <c r="AY353" s="927">
        <v>0.0</v>
      </c>
      <c r="AZ353" s="927">
        <v>0.0</v>
      </c>
      <c r="BA353" s="927">
        <v>0.0</v>
      </c>
      <c r="BB353" s="928"/>
      <c r="BC353" s="929"/>
      <c r="BD353" s="927"/>
      <c r="BE353" s="927"/>
      <c r="BF353" s="927"/>
      <c r="BG353" s="927"/>
      <c r="BH353" s="928"/>
      <c r="BI353" s="928"/>
      <c r="BJ353" s="928"/>
      <c r="BK353" s="928"/>
      <c r="BL353" s="930"/>
      <c r="BM353" s="665">
        <f t="shared" si="1"/>
        <v>0</v>
      </c>
      <c r="BN353" s="931">
        <v>2.0</v>
      </c>
      <c r="BO353" s="793"/>
      <c r="BP353" s="793"/>
      <c r="BQ353" s="793"/>
      <c r="BR353" s="793"/>
      <c r="BS353" s="793"/>
      <c r="BT353" s="793"/>
      <c r="BU353" s="793"/>
      <c r="BV353" s="793"/>
      <c r="BW353" s="932"/>
      <c r="BX353" s="665">
        <f t="shared" si="840"/>
        <v>2</v>
      </c>
      <c r="BY353" s="933">
        <v>0.0</v>
      </c>
      <c r="BZ353" s="934">
        <v>0.0</v>
      </c>
      <c r="CA353" s="934">
        <v>0.0</v>
      </c>
      <c r="CB353" s="934">
        <v>0.0</v>
      </c>
      <c r="CC353" s="934">
        <v>0.0</v>
      </c>
      <c r="CD353" s="934">
        <v>0.0</v>
      </c>
      <c r="CE353" s="934">
        <v>0.0</v>
      </c>
      <c r="CF353" s="934">
        <v>0.0</v>
      </c>
      <c r="CG353" s="934">
        <v>0.0</v>
      </c>
      <c r="CH353" s="935">
        <v>0.0</v>
      </c>
      <c r="CI353" s="665">
        <f t="shared" si="841"/>
        <v>0</v>
      </c>
      <c r="CJ353" s="682">
        <f t="shared" si="4"/>
        <v>2</v>
      </c>
      <c r="CK353" s="936">
        <v>547.46</v>
      </c>
      <c r="CL353" s="683">
        <f t="shared" si="1077"/>
        <v>3810.3216</v>
      </c>
      <c r="CM353" s="683">
        <f t="shared" ref="CM353:CV353" si="1081">BC353*$CL353</f>
        <v>0</v>
      </c>
      <c r="CN353" s="683">
        <f t="shared" si="1081"/>
        <v>0</v>
      </c>
      <c r="CO353" s="683">
        <f t="shared" si="1081"/>
        <v>0</v>
      </c>
      <c r="CP353" s="683">
        <f t="shared" si="1081"/>
        <v>0</v>
      </c>
      <c r="CQ353" s="683">
        <f t="shared" si="1081"/>
        <v>0</v>
      </c>
      <c r="CR353" s="683">
        <f t="shared" si="1081"/>
        <v>0</v>
      </c>
      <c r="CS353" s="683">
        <f t="shared" si="1081"/>
        <v>0</v>
      </c>
      <c r="CT353" s="683">
        <f t="shared" si="1081"/>
        <v>0</v>
      </c>
      <c r="CU353" s="683">
        <f t="shared" si="1081"/>
        <v>0</v>
      </c>
      <c r="CV353" s="683">
        <f t="shared" si="1081"/>
        <v>0</v>
      </c>
      <c r="CW353" s="934">
        <f t="shared" si="21"/>
        <v>0</v>
      </c>
      <c r="CX353" s="683">
        <f t="shared" ref="CX353:DG353" si="1082">BN353*$CL353</f>
        <v>7620.6432</v>
      </c>
      <c r="CY353" s="683">
        <f t="shared" si="1082"/>
        <v>0</v>
      </c>
      <c r="CZ353" s="683">
        <f t="shared" si="1082"/>
        <v>0</v>
      </c>
      <c r="DA353" s="683">
        <f t="shared" si="1082"/>
        <v>0</v>
      </c>
      <c r="DB353" s="683">
        <f t="shared" si="1082"/>
        <v>0</v>
      </c>
      <c r="DC353" s="683">
        <f t="shared" si="1082"/>
        <v>0</v>
      </c>
      <c r="DD353" s="683">
        <f t="shared" si="1082"/>
        <v>0</v>
      </c>
      <c r="DE353" s="683">
        <f t="shared" si="1082"/>
        <v>0</v>
      </c>
      <c r="DF353" s="683">
        <f t="shared" si="1082"/>
        <v>0</v>
      </c>
      <c r="DG353" s="683">
        <f t="shared" si="1082"/>
        <v>0</v>
      </c>
      <c r="DH353" s="934">
        <f t="shared" si="23"/>
        <v>7620.6432</v>
      </c>
      <c r="DI353" s="683">
        <f t="shared" ref="DI353:DR353" si="1083">BY353*$CL353</f>
        <v>0</v>
      </c>
      <c r="DJ353" s="683">
        <f t="shared" si="1083"/>
        <v>0</v>
      </c>
      <c r="DK353" s="683">
        <f t="shared" si="1083"/>
        <v>0</v>
      </c>
      <c r="DL353" s="683">
        <f t="shared" si="1083"/>
        <v>0</v>
      </c>
      <c r="DM353" s="683">
        <f t="shared" si="1083"/>
        <v>0</v>
      </c>
      <c r="DN353" s="683">
        <f t="shared" si="1083"/>
        <v>0</v>
      </c>
      <c r="DO353" s="683">
        <f t="shared" si="1083"/>
        <v>0</v>
      </c>
      <c r="DP353" s="683">
        <f t="shared" si="1083"/>
        <v>0</v>
      </c>
      <c r="DQ353" s="683">
        <f t="shared" si="1083"/>
        <v>0</v>
      </c>
      <c r="DR353" s="683">
        <f t="shared" si="1083"/>
        <v>0</v>
      </c>
      <c r="DS353" s="934">
        <f t="shared" si="25"/>
        <v>0</v>
      </c>
      <c r="DT353" s="683">
        <f t="shared" si="685"/>
        <v>7620.6432</v>
      </c>
      <c r="DU353" s="937"/>
      <c r="DV353" s="937" t="s">
        <v>3554</v>
      </c>
      <c r="DW353" s="938"/>
      <c r="DX353" s="938"/>
      <c r="DY353" s="938"/>
      <c r="DZ353" s="938"/>
      <c r="EA353" s="938"/>
      <c r="EB353" s="938"/>
      <c r="EC353" s="938"/>
      <c r="ED353" s="938"/>
      <c r="EE353" s="938"/>
      <c r="EF353" s="938"/>
      <c r="EG353" s="938"/>
      <c r="EH353" s="776" t="s">
        <v>3555</v>
      </c>
      <c r="EI353" s="708">
        <f>VLOOKUP(I353,CotizacionTDB,4,FALSE())</f>
        <v>547.46</v>
      </c>
      <c r="EJ353" s="708">
        <f>VLOOKUP(I353,CotizacionTDB,5,FALSE())</f>
        <v>465.34</v>
      </c>
      <c r="EK353" s="691"/>
    </row>
    <row r="354" ht="12.0" customHeight="1">
      <c r="A354" s="709" t="s">
        <v>3026</v>
      </c>
      <c r="B354" s="661">
        <v>2.0</v>
      </c>
      <c r="C354" s="567" t="s">
        <v>3032</v>
      </c>
      <c r="D354" s="742" t="s">
        <v>56</v>
      </c>
      <c r="E354" s="568" t="s">
        <v>2708</v>
      </c>
      <c r="F354" s="567" t="s">
        <v>1763</v>
      </c>
      <c r="G354" s="569" t="s">
        <v>2709</v>
      </c>
      <c r="H354" s="657" t="s">
        <v>2917</v>
      </c>
      <c r="I354" s="710" t="s">
        <v>2110</v>
      </c>
      <c r="J354" s="711" t="s">
        <v>454</v>
      </c>
      <c r="K354" s="567" t="s">
        <v>25</v>
      </c>
      <c r="L354" s="567"/>
      <c r="M354" s="567"/>
      <c r="N354" s="567">
        <v>2024.0</v>
      </c>
      <c r="O354" s="567">
        <v>2024.0</v>
      </c>
      <c r="P354" s="567">
        <v>2024.0</v>
      </c>
      <c r="Q354" s="567">
        <v>2024.0</v>
      </c>
      <c r="R354" s="567">
        <v>2024.0</v>
      </c>
      <c r="S354" s="567">
        <v>2024.0</v>
      </c>
      <c r="T354" s="567"/>
      <c r="U354" s="567">
        <v>2024.0</v>
      </c>
      <c r="V354" s="567"/>
      <c r="W354" s="567"/>
      <c r="X354" s="567"/>
      <c r="Y354" s="567">
        <v>3.0</v>
      </c>
      <c r="Z354" s="567">
        <v>3.0</v>
      </c>
      <c r="AA354" s="567">
        <v>3.0</v>
      </c>
      <c r="AB354" s="567">
        <v>3.0</v>
      </c>
      <c r="AC354" s="662">
        <v>1.0</v>
      </c>
      <c r="AD354" s="662">
        <v>1.0</v>
      </c>
      <c r="AE354" s="567"/>
      <c r="AF354" s="662">
        <v>1.0</v>
      </c>
      <c r="AG354" s="567"/>
      <c r="AH354" s="567"/>
      <c r="AI354" s="567"/>
      <c r="AJ354" s="567"/>
      <c r="AK354" s="567"/>
      <c r="AL354" s="567"/>
      <c r="AM354" s="567"/>
      <c r="AN354" s="567"/>
      <c r="AO354" s="567"/>
      <c r="AP354" s="567"/>
      <c r="AQ354" s="567"/>
      <c r="AR354" s="567">
        <v>0.0</v>
      </c>
      <c r="AS354" s="567">
        <v>0.0</v>
      </c>
      <c r="AT354" s="567">
        <v>-2024.0</v>
      </c>
      <c r="AU354" s="567">
        <v>-2024.0</v>
      </c>
      <c r="AV354" s="567">
        <v>-2024.0</v>
      </c>
      <c r="AW354" s="567">
        <v>-2024.0</v>
      </c>
      <c r="AX354" s="567">
        <v>-2024.0</v>
      </c>
      <c r="AY354" s="567">
        <v>-2024.0</v>
      </c>
      <c r="AZ354" s="567">
        <v>0.0</v>
      </c>
      <c r="BA354" s="567">
        <v>-2024.0</v>
      </c>
      <c r="BB354" s="567"/>
      <c r="BC354" s="680">
        <v>1.0</v>
      </c>
      <c r="BD354" s="567"/>
      <c r="BE354" s="680">
        <v>1.0</v>
      </c>
      <c r="BF354" s="661"/>
      <c r="BG354" s="661"/>
      <c r="BH354" s="661"/>
      <c r="BI354" s="680">
        <v>2.0</v>
      </c>
      <c r="BJ354" s="680">
        <v>1.0</v>
      </c>
      <c r="BK354" s="567"/>
      <c r="BL354" s="762">
        <v>1.0</v>
      </c>
      <c r="BM354" s="665">
        <f t="shared" si="1"/>
        <v>6</v>
      </c>
      <c r="BN354" s="734">
        <v>1.0</v>
      </c>
      <c r="BO354" s="668"/>
      <c r="BP354" s="684">
        <v>1.0</v>
      </c>
      <c r="BQ354" s="674">
        <v>2.0</v>
      </c>
      <c r="BR354" s="674">
        <v>2.0</v>
      </c>
      <c r="BS354" s="674">
        <v>2.0</v>
      </c>
      <c r="BT354" s="684">
        <v>2.0</v>
      </c>
      <c r="BU354" s="684">
        <v>1.0</v>
      </c>
      <c r="BV354" s="668"/>
      <c r="BW354" s="763">
        <v>1.0</v>
      </c>
      <c r="BX354" s="665">
        <f t="shared" si="840"/>
        <v>12</v>
      </c>
      <c r="BY354" s="671">
        <v>0.0</v>
      </c>
      <c r="BZ354" s="668">
        <v>0.0</v>
      </c>
      <c r="CA354" s="668">
        <v>0.0</v>
      </c>
      <c r="CB354" s="668">
        <v>0.0</v>
      </c>
      <c r="CC354" s="668">
        <v>0.0</v>
      </c>
      <c r="CD354" s="668">
        <v>0.0</v>
      </c>
      <c r="CE354" s="668">
        <v>0.0</v>
      </c>
      <c r="CF354" s="668">
        <v>0.0</v>
      </c>
      <c r="CG354" s="668">
        <v>0.0</v>
      </c>
      <c r="CH354" s="670">
        <v>0.0</v>
      </c>
      <c r="CI354" s="665">
        <f t="shared" si="841"/>
        <v>0</v>
      </c>
      <c r="CJ354" s="671">
        <f t="shared" si="4"/>
        <v>18</v>
      </c>
      <c r="CK354" s="716">
        <v>571.27</v>
      </c>
      <c r="CL354" s="668">
        <f t="shared" si="1077"/>
        <v>3976.0392</v>
      </c>
      <c r="CM354" s="668">
        <f t="shared" ref="CM354:CV354" si="1084">BC354*$CL354</f>
        <v>3976.0392</v>
      </c>
      <c r="CN354" s="668">
        <f t="shared" si="1084"/>
        <v>0</v>
      </c>
      <c r="CO354" s="668">
        <f t="shared" si="1084"/>
        <v>3976.0392</v>
      </c>
      <c r="CP354" s="668">
        <f t="shared" si="1084"/>
        <v>0</v>
      </c>
      <c r="CQ354" s="668">
        <f t="shared" si="1084"/>
        <v>0</v>
      </c>
      <c r="CR354" s="668">
        <f t="shared" si="1084"/>
        <v>0</v>
      </c>
      <c r="CS354" s="668">
        <f t="shared" si="1084"/>
        <v>7952.0784</v>
      </c>
      <c r="CT354" s="668">
        <f t="shared" si="1084"/>
        <v>3976.0392</v>
      </c>
      <c r="CU354" s="668">
        <f t="shared" si="1084"/>
        <v>0</v>
      </c>
      <c r="CV354" s="668">
        <f t="shared" si="1084"/>
        <v>3976.0392</v>
      </c>
      <c r="CW354" s="668">
        <f t="shared" si="21"/>
        <v>23856.2352</v>
      </c>
      <c r="CX354" s="668">
        <f t="shared" ref="CX354:DG354" si="1085">BN354*$CL354</f>
        <v>3976.0392</v>
      </c>
      <c r="CY354" s="668">
        <f t="shared" si="1085"/>
        <v>0</v>
      </c>
      <c r="CZ354" s="668">
        <f t="shared" si="1085"/>
        <v>3976.0392</v>
      </c>
      <c r="DA354" s="668">
        <f t="shared" si="1085"/>
        <v>7952.0784</v>
      </c>
      <c r="DB354" s="668">
        <f t="shared" si="1085"/>
        <v>7952.0784</v>
      </c>
      <c r="DC354" s="668">
        <f t="shared" si="1085"/>
        <v>7952.0784</v>
      </c>
      <c r="DD354" s="668">
        <f t="shared" si="1085"/>
        <v>7952.0784</v>
      </c>
      <c r="DE354" s="668">
        <f t="shared" si="1085"/>
        <v>3976.0392</v>
      </c>
      <c r="DF354" s="668">
        <f t="shared" si="1085"/>
        <v>0</v>
      </c>
      <c r="DG354" s="668">
        <f t="shared" si="1085"/>
        <v>3976.0392</v>
      </c>
      <c r="DH354" s="668">
        <f t="shared" si="23"/>
        <v>47712.4704</v>
      </c>
      <c r="DI354" s="668">
        <f t="shared" ref="DI354:DR354" si="1086">BY354*$CL354</f>
        <v>0</v>
      </c>
      <c r="DJ354" s="668">
        <f t="shared" si="1086"/>
        <v>0</v>
      </c>
      <c r="DK354" s="668">
        <f t="shared" si="1086"/>
        <v>0</v>
      </c>
      <c r="DL354" s="668">
        <f t="shared" si="1086"/>
        <v>0</v>
      </c>
      <c r="DM354" s="668">
        <f t="shared" si="1086"/>
        <v>0</v>
      </c>
      <c r="DN354" s="668">
        <f t="shared" si="1086"/>
        <v>0</v>
      </c>
      <c r="DO354" s="668">
        <f t="shared" si="1086"/>
        <v>0</v>
      </c>
      <c r="DP354" s="668">
        <f t="shared" si="1086"/>
        <v>0</v>
      </c>
      <c r="DQ354" s="668">
        <f t="shared" si="1086"/>
        <v>0</v>
      </c>
      <c r="DR354" s="668">
        <f t="shared" si="1086"/>
        <v>0</v>
      </c>
      <c r="DS354" s="668">
        <f t="shared" si="25"/>
        <v>0</v>
      </c>
      <c r="DT354" s="668">
        <f t="shared" si="685"/>
        <v>71568.7056</v>
      </c>
      <c r="DU354" s="538"/>
      <c r="DV354" s="468"/>
      <c r="DW354" s="698"/>
      <c r="DX354" s="698"/>
      <c r="DY354" s="698"/>
      <c r="DZ354" s="698"/>
      <c r="EA354" s="698"/>
      <c r="EB354" s="698"/>
      <c r="EC354" s="698"/>
      <c r="ED354" s="698"/>
      <c r="EE354" s="698"/>
      <c r="EF354" s="698"/>
      <c r="EG354" s="698"/>
      <c r="EH354" s="576" t="s">
        <v>454</v>
      </c>
      <c r="EI354" s="716">
        <f>VLOOKUP(I354,CotizacionTDB,4,FALSE())</f>
        <v>571.27</v>
      </c>
      <c r="EJ354" s="716">
        <f>VLOOKUP(I354,CotizacionTDB,5,FALSE())</f>
        <v>485.58</v>
      </c>
      <c r="EK354" s="699"/>
    </row>
    <row r="355" ht="12.0" customHeight="1">
      <c r="A355" s="700" t="s">
        <v>3026</v>
      </c>
      <c r="B355" s="701">
        <v>2.0</v>
      </c>
      <c r="C355" s="562" t="s">
        <v>3032</v>
      </c>
      <c r="D355" s="743" t="s">
        <v>56</v>
      </c>
      <c r="E355" s="571" t="s">
        <v>2708</v>
      </c>
      <c r="F355" s="562" t="s">
        <v>1763</v>
      </c>
      <c r="G355" s="569" t="s">
        <v>2709</v>
      </c>
      <c r="H355" s="702" t="s">
        <v>2795</v>
      </c>
      <c r="I355" s="717" t="s">
        <v>2404</v>
      </c>
      <c r="J355" s="915" t="s">
        <v>103</v>
      </c>
      <c r="K355" s="562" t="s">
        <v>25</v>
      </c>
      <c r="L355" s="562">
        <v>2024.0</v>
      </c>
      <c r="M355" s="562">
        <v>2024.0</v>
      </c>
      <c r="N355" s="562">
        <v>2024.0</v>
      </c>
      <c r="O355" s="562"/>
      <c r="P355" s="562"/>
      <c r="Q355" s="562"/>
      <c r="R355" s="562"/>
      <c r="S355" s="562"/>
      <c r="T355" s="562"/>
      <c r="U355" s="562"/>
      <c r="V355" s="562"/>
      <c r="W355" s="562">
        <v>2.0</v>
      </c>
      <c r="X355" s="562">
        <v>2.0</v>
      </c>
      <c r="Y355" s="562">
        <v>2.0</v>
      </c>
      <c r="Z355" s="562"/>
      <c r="AA355" s="562"/>
      <c r="AB355" s="562"/>
      <c r="AC355" s="562"/>
      <c r="AD355" s="562"/>
      <c r="AE355" s="562"/>
      <c r="AF355" s="562"/>
      <c r="AG355" s="562"/>
      <c r="AH355" s="562"/>
      <c r="AI355" s="562"/>
      <c r="AJ355" s="562"/>
      <c r="AK355" s="562"/>
      <c r="AL355" s="562"/>
      <c r="AM355" s="562"/>
      <c r="AN355" s="562"/>
      <c r="AO355" s="562"/>
      <c r="AP355" s="562"/>
      <c r="AQ355" s="562"/>
      <c r="AR355" s="562">
        <v>-2024.0</v>
      </c>
      <c r="AS355" s="562">
        <v>-2024.0</v>
      </c>
      <c r="AT355" s="562">
        <v>-2024.0</v>
      </c>
      <c r="AU355" s="562">
        <v>0.0</v>
      </c>
      <c r="AV355" s="562">
        <v>0.0</v>
      </c>
      <c r="AW355" s="562">
        <v>0.0</v>
      </c>
      <c r="AX355" s="562">
        <v>0.0</v>
      </c>
      <c r="AY355" s="562">
        <v>0.0</v>
      </c>
      <c r="AZ355" s="562">
        <v>0.0</v>
      </c>
      <c r="BA355" s="562">
        <v>0.0</v>
      </c>
      <c r="BB355" s="562"/>
      <c r="BC355" s="562">
        <v>10.0</v>
      </c>
      <c r="BD355" s="701">
        <v>10.0</v>
      </c>
      <c r="BE355" s="562">
        <v>10.0</v>
      </c>
      <c r="BF355" s="562"/>
      <c r="BG355" s="562"/>
      <c r="BH355" s="562"/>
      <c r="BI355" s="562"/>
      <c r="BJ355" s="562"/>
      <c r="BK355" s="562"/>
      <c r="BL355" s="681"/>
      <c r="BM355" s="665">
        <f t="shared" si="1"/>
        <v>30</v>
      </c>
      <c r="BN355" s="682"/>
      <c r="BO355" s="683"/>
      <c r="BP355" s="683"/>
      <c r="BQ355" s="683"/>
      <c r="BR355" s="683"/>
      <c r="BS355" s="683"/>
      <c r="BT355" s="683"/>
      <c r="BU355" s="683"/>
      <c r="BV355" s="683"/>
      <c r="BW355" s="686"/>
      <c r="BX355" s="665">
        <f t="shared" si="840"/>
        <v>0</v>
      </c>
      <c r="BY355" s="682">
        <v>10.0</v>
      </c>
      <c r="BZ355" s="687">
        <v>10.0</v>
      </c>
      <c r="CA355" s="683">
        <v>10.0</v>
      </c>
      <c r="CB355" s="683">
        <v>0.0</v>
      </c>
      <c r="CC355" s="683">
        <v>0.0</v>
      </c>
      <c r="CD355" s="683">
        <v>0.0</v>
      </c>
      <c r="CE355" s="683">
        <v>0.0</v>
      </c>
      <c r="CF355" s="683">
        <v>0.0</v>
      </c>
      <c r="CG355" s="683">
        <v>0.0</v>
      </c>
      <c r="CH355" s="686">
        <v>0.0</v>
      </c>
      <c r="CI355" s="665">
        <f t="shared" si="841"/>
        <v>30</v>
      </c>
      <c r="CJ355" s="682">
        <f t="shared" si="4"/>
        <v>60</v>
      </c>
      <c r="CK355" s="706">
        <v>79.33</v>
      </c>
      <c r="CL355" s="683">
        <f t="shared" si="1077"/>
        <v>552.1368</v>
      </c>
      <c r="CM355" s="683">
        <f t="shared" ref="CM355:CV355" si="1087">BC355*$CL355</f>
        <v>5521.368</v>
      </c>
      <c r="CN355" s="683">
        <f t="shared" si="1087"/>
        <v>5521.368</v>
      </c>
      <c r="CO355" s="683">
        <f t="shared" si="1087"/>
        <v>5521.368</v>
      </c>
      <c r="CP355" s="683">
        <f t="shared" si="1087"/>
        <v>0</v>
      </c>
      <c r="CQ355" s="683">
        <f t="shared" si="1087"/>
        <v>0</v>
      </c>
      <c r="CR355" s="683">
        <f t="shared" si="1087"/>
        <v>0</v>
      </c>
      <c r="CS355" s="683">
        <f t="shared" si="1087"/>
        <v>0</v>
      </c>
      <c r="CT355" s="683">
        <f t="shared" si="1087"/>
        <v>0</v>
      </c>
      <c r="CU355" s="683">
        <f t="shared" si="1087"/>
        <v>0</v>
      </c>
      <c r="CV355" s="683">
        <f t="shared" si="1087"/>
        <v>0</v>
      </c>
      <c r="CW355" s="683">
        <f t="shared" si="21"/>
        <v>16564.104</v>
      </c>
      <c r="CX355" s="683">
        <f t="shared" ref="CX355:DG355" si="1088">BN355*$CL355</f>
        <v>0</v>
      </c>
      <c r="CY355" s="683">
        <f t="shared" si="1088"/>
        <v>0</v>
      </c>
      <c r="CZ355" s="683">
        <f t="shared" si="1088"/>
        <v>0</v>
      </c>
      <c r="DA355" s="683">
        <f t="shared" si="1088"/>
        <v>0</v>
      </c>
      <c r="DB355" s="683">
        <f t="shared" si="1088"/>
        <v>0</v>
      </c>
      <c r="DC355" s="683">
        <f t="shared" si="1088"/>
        <v>0</v>
      </c>
      <c r="DD355" s="683">
        <f t="shared" si="1088"/>
        <v>0</v>
      </c>
      <c r="DE355" s="683">
        <f t="shared" si="1088"/>
        <v>0</v>
      </c>
      <c r="DF355" s="683">
        <f t="shared" si="1088"/>
        <v>0</v>
      </c>
      <c r="DG355" s="683">
        <f t="shared" si="1088"/>
        <v>0</v>
      </c>
      <c r="DH355" s="683">
        <f t="shared" si="23"/>
        <v>0</v>
      </c>
      <c r="DI355" s="683">
        <f t="shared" ref="DI355:DR355" si="1089">BY355*$CL355</f>
        <v>5521.368</v>
      </c>
      <c r="DJ355" s="683">
        <f t="shared" si="1089"/>
        <v>5521.368</v>
      </c>
      <c r="DK355" s="683">
        <f t="shared" si="1089"/>
        <v>5521.368</v>
      </c>
      <c r="DL355" s="683">
        <f t="shared" si="1089"/>
        <v>0</v>
      </c>
      <c r="DM355" s="683">
        <f t="shared" si="1089"/>
        <v>0</v>
      </c>
      <c r="DN355" s="683">
        <f t="shared" si="1089"/>
        <v>0</v>
      </c>
      <c r="DO355" s="683">
        <f t="shared" si="1089"/>
        <v>0</v>
      </c>
      <c r="DP355" s="683">
        <f t="shared" si="1089"/>
        <v>0</v>
      </c>
      <c r="DQ355" s="683">
        <f t="shared" si="1089"/>
        <v>0</v>
      </c>
      <c r="DR355" s="683">
        <f t="shared" si="1089"/>
        <v>0</v>
      </c>
      <c r="DS355" s="683">
        <f t="shared" si="25"/>
        <v>16564.104</v>
      </c>
      <c r="DT355" s="683">
        <f t="shared" si="685"/>
        <v>33128.208</v>
      </c>
      <c r="DU355" s="504"/>
      <c r="DV355" s="486"/>
      <c r="DW355" s="688"/>
      <c r="DX355" s="688"/>
      <c r="DY355" s="688"/>
      <c r="DZ355" s="688"/>
      <c r="EA355" s="688"/>
      <c r="EB355" s="688"/>
      <c r="EC355" s="688"/>
      <c r="ED355" s="688"/>
      <c r="EE355" s="688"/>
      <c r="EF355" s="688"/>
      <c r="EG355" s="688"/>
      <c r="EH355" s="707" t="s">
        <v>3556</v>
      </c>
      <c r="EI355" s="708">
        <f>VLOOKUP(I355,CotizacionTDB,4,FALSE())</f>
        <v>79.33</v>
      </c>
      <c r="EJ355" s="708">
        <f>VLOOKUP(I355,CotizacionTDB,5,FALSE())</f>
        <v>67.43</v>
      </c>
      <c r="EK355" s="691"/>
    </row>
    <row r="356" ht="12.0" customHeight="1">
      <c r="A356" s="709" t="s">
        <v>3026</v>
      </c>
      <c r="B356" s="661">
        <v>2.0</v>
      </c>
      <c r="C356" s="567" t="s">
        <v>3032</v>
      </c>
      <c r="D356" s="742" t="s">
        <v>56</v>
      </c>
      <c r="E356" s="568" t="s">
        <v>2708</v>
      </c>
      <c r="F356" s="567" t="s">
        <v>1763</v>
      </c>
      <c r="G356" s="569" t="s">
        <v>2709</v>
      </c>
      <c r="H356" s="657" t="s">
        <v>2881</v>
      </c>
      <c r="I356" s="710" t="s">
        <v>2036</v>
      </c>
      <c r="J356" s="915" t="s">
        <v>141</v>
      </c>
      <c r="K356" s="567" t="s">
        <v>25</v>
      </c>
      <c r="L356" s="567">
        <v>2024.0</v>
      </c>
      <c r="M356" s="567">
        <v>2024.0</v>
      </c>
      <c r="N356" s="567">
        <v>2024.0</v>
      </c>
      <c r="O356" s="567"/>
      <c r="P356" s="567"/>
      <c r="Q356" s="567"/>
      <c r="R356" s="567"/>
      <c r="S356" s="567"/>
      <c r="T356" s="567"/>
      <c r="U356" s="567"/>
      <c r="V356" s="567"/>
      <c r="W356" s="567">
        <v>4.0</v>
      </c>
      <c r="X356" s="567">
        <v>4.0</v>
      </c>
      <c r="Y356" s="567">
        <v>4.0</v>
      </c>
      <c r="Z356" s="567"/>
      <c r="AA356" s="567"/>
      <c r="AB356" s="567"/>
      <c r="AC356" s="567"/>
      <c r="AD356" s="567"/>
      <c r="AE356" s="567"/>
      <c r="AF356" s="567"/>
      <c r="AG356" s="567"/>
      <c r="AH356" s="567"/>
      <c r="AI356" s="567"/>
      <c r="AJ356" s="567"/>
      <c r="AK356" s="567"/>
      <c r="AL356" s="567"/>
      <c r="AM356" s="567"/>
      <c r="AN356" s="567"/>
      <c r="AO356" s="567"/>
      <c r="AP356" s="567"/>
      <c r="AQ356" s="567"/>
      <c r="AR356" s="567">
        <v>-2024.0</v>
      </c>
      <c r="AS356" s="567">
        <v>-2024.0</v>
      </c>
      <c r="AT356" s="567">
        <v>-2024.0</v>
      </c>
      <c r="AU356" s="567">
        <v>0.0</v>
      </c>
      <c r="AV356" s="567">
        <v>0.0</v>
      </c>
      <c r="AW356" s="567">
        <v>0.0</v>
      </c>
      <c r="AX356" s="567">
        <v>0.0</v>
      </c>
      <c r="AY356" s="567">
        <v>0.0</v>
      </c>
      <c r="AZ356" s="567">
        <v>0.0</v>
      </c>
      <c r="BA356" s="567">
        <v>0.0</v>
      </c>
      <c r="BB356" s="567"/>
      <c r="BC356" s="567">
        <v>15.0</v>
      </c>
      <c r="BD356" s="567">
        <v>5.0</v>
      </c>
      <c r="BE356" s="567">
        <v>15.0</v>
      </c>
      <c r="BF356" s="567"/>
      <c r="BG356" s="567"/>
      <c r="BH356" s="567"/>
      <c r="BI356" s="567"/>
      <c r="BJ356" s="567"/>
      <c r="BK356" s="567"/>
      <c r="BL356" s="725"/>
      <c r="BM356" s="665">
        <f t="shared" si="1"/>
        <v>35</v>
      </c>
      <c r="BN356" s="671"/>
      <c r="BO356" s="668"/>
      <c r="BP356" s="668"/>
      <c r="BQ356" s="668"/>
      <c r="BR356" s="668"/>
      <c r="BS356" s="668"/>
      <c r="BT356" s="668"/>
      <c r="BU356" s="668"/>
      <c r="BV356" s="668"/>
      <c r="BW356" s="670"/>
      <c r="BX356" s="665">
        <f t="shared" si="840"/>
        <v>0</v>
      </c>
      <c r="BY356" s="671">
        <v>0.0</v>
      </c>
      <c r="BZ356" s="668">
        <v>0.0</v>
      </c>
      <c r="CA356" s="668">
        <v>0.0</v>
      </c>
      <c r="CB356" s="668">
        <v>0.0</v>
      </c>
      <c r="CC356" s="668">
        <v>0.0</v>
      </c>
      <c r="CD356" s="668">
        <v>0.0</v>
      </c>
      <c r="CE356" s="668">
        <v>0.0</v>
      </c>
      <c r="CF356" s="668">
        <v>0.0</v>
      </c>
      <c r="CG356" s="668">
        <v>0.0</v>
      </c>
      <c r="CH356" s="670">
        <v>0.0</v>
      </c>
      <c r="CI356" s="665">
        <f t="shared" si="841"/>
        <v>0</v>
      </c>
      <c r="CJ356" s="671">
        <f t="shared" si="4"/>
        <v>35</v>
      </c>
      <c r="CK356" s="715">
        <v>47.38</v>
      </c>
      <c r="CL356" s="668">
        <f t="shared" si="1077"/>
        <v>329.7648</v>
      </c>
      <c r="CM356" s="668">
        <f t="shared" ref="CM356:CV356" si="1090">BC356*$CL356</f>
        <v>4946.472</v>
      </c>
      <c r="CN356" s="668">
        <f t="shared" si="1090"/>
        <v>1648.824</v>
      </c>
      <c r="CO356" s="668">
        <f t="shared" si="1090"/>
        <v>4946.472</v>
      </c>
      <c r="CP356" s="668">
        <f t="shared" si="1090"/>
        <v>0</v>
      </c>
      <c r="CQ356" s="668">
        <f t="shared" si="1090"/>
        <v>0</v>
      </c>
      <c r="CR356" s="668">
        <f t="shared" si="1090"/>
        <v>0</v>
      </c>
      <c r="CS356" s="668">
        <f t="shared" si="1090"/>
        <v>0</v>
      </c>
      <c r="CT356" s="668">
        <f t="shared" si="1090"/>
        <v>0</v>
      </c>
      <c r="CU356" s="668">
        <f t="shared" si="1090"/>
        <v>0</v>
      </c>
      <c r="CV356" s="668">
        <f t="shared" si="1090"/>
        <v>0</v>
      </c>
      <c r="CW356" s="668">
        <f t="shared" si="21"/>
        <v>11541.768</v>
      </c>
      <c r="CX356" s="668">
        <f t="shared" ref="CX356:DG356" si="1091">BN356*$CL356</f>
        <v>0</v>
      </c>
      <c r="CY356" s="668">
        <f t="shared" si="1091"/>
        <v>0</v>
      </c>
      <c r="CZ356" s="668">
        <f t="shared" si="1091"/>
        <v>0</v>
      </c>
      <c r="DA356" s="668">
        <f t="shared" si="1091"/>
        <v>0</v>
      </c>
      <c r="DB356" s="668">
        <f t="shared" si="1091"/>
        <v>0</v>
      </c>
      <c r="DC356" s="668">
        <f t="shared" si="1091"/>
        <v>0</v>
      </c>
      <c r="DD356" s="668">
        <f t="shared" si="1091"/>
        <v>0</v>
      </c>
      <c r="DE356" s="668">
        <f t="shared" si="1091"/>
        <v>0</v>
      </c>
      <c r="DF356" s="668">
        <f t="shared" si="1091"/>
        <v>0</v>
      </c>
      <c r="DG356" s="668">
        <f t="shared" si="1091"/>
        <v>0</v>
      </c>
      <c r="DH356" s="668">
        <f t="shared" si="23"/>
        <v>0</v>
      </c>
      <c r="DI356" s="668">
        <f t="shared" ref="DI356:DR356" si="1092">BY356*$CL356</f>
        <v>0</v>
      </c>
      <c r="DJ356" s="668">
        <f t="shared" si="1092"/>
        <v>0</v>
      </c>
      <c r="DK356" s="668">
        <f t="shared" si="1092"/>
        <v>0</v>
      </c>
      <c r="DL356" s="668">
        <f t="shared" si="1092"/>
        <v>0</v>
      </c>
      <c r="DM356" s="668">
        <f t="shared" si="1092"/>
        <v>0</v>
      </c>
      <c r="DN356" s="668">
        <f t="shared" si="1092"/>
        <v>0</v>
      </c>
      <c r="DO356" s="668">
        <f t="shared" si="1092"/>
        <v>0</v>
      </c>
      <c r="DP356" s="668">
        <f t="shared" si="1092"/>
        <v>0</v>
      </c>
      <c r="DQ356" s="668">
        <f t="shared" si="1092"/>
        <v>0</v>
      </c>
      <c r="DR356" s="668">
        <f t="shared" si="1092"/>
        <v>0</v>
      </c>
      <c r="DS356" s="668">
        <f t="shared" si="25"/>
        <v>0</v>
      </c>
      <c r="DT356" s="668">
        <f t="shared" si="685"/>
        <v>11541.768</v>
      </c>
      <c r="DU356" s="538"/>
      <c r="DV356" s="468"/>
      <c r="DW356" s="698"/>
      <c r="DX356" s="698"/>
      <c r="DY356" s="698"/>
      <c r="DZ356" s="698"/>
      <c r="EA356" s="698"/>
      <c r="EB356" s="698"/>
      <c r="EC356" s="698"/>
      <c r="ED356" s="698"/>
      <c r="EE356" s="698"/>
      <c r="EF356" s="698"/>
      <c r="EG356" s="698"/>
      <c r="EH356" s="576" t="s">
        <v>3557</v>
      </c>
      <c r="EI356" s="716">
        <f>VLOOKUP(I356,CotizacionTDB,4,FALSE())</f>
        <v>47.38</v>
      </c>
      <c r="EJ356" s="716">
        <f>VLOOKUP(I356,CotizacionTDB,5,FALSE())</f>
        <v>40.27</v>
      </c>
      <c r="EK356" s="699"/>
    </row>
    <row r="357" ht="12.0" customHeight="1">
      <c r="A357" s="700" t="s">
        <v>3026</v>
      </c>
      <c r="B357" s="701">
        <v>2.0</v>
      </c>
      <c r="C357" s="562" t="s">
        <v>3032</v>
      </c>
      <c r="D357" s="743" t="s">
        <v>56</v>
      </c>
      <c r="E357" s="571" t="s">
        <v>2708</v>
      </c>
      <c r="F357" s="562" t="s">
        <v>1763</v>
      </c>
      <c r="G357" s="569" t="s">
        <v>2709</v>
      </c>
      <c r="H357" s="569" t="s">
        <v>2754</v>
      </c>
      <c r="I357" s="717" t="s">
        <v>2104</v>
      </c>
      <c r="J357" s="704" t="s">
        <v>228</v>
      </c>
      <c r="K357" s="562" t="s">
        <v>25</v>
      </c>
      <c r="L357" s="562">
        <v>2024.0</v>
      </c>
      <c r="M357" s="562">
        <v>2024.0</v>
      </c>
      <c r="N357" s="562">
        <v>2024.0</v>
      </c>
      <c r="O357" s="562"/>
      <c r="P357" s="562"/>
      <c r="Q357" s="562"/>
      <c r="R357" s="562"/>
      <c r="S357" s="562"/>
      <c r="T357" s="562"/>
      <c r="U357" s="562"/>
      <c r="V357" s="562"/>
      <c r="W357" s="562">
        <v>4.0</v>
      </c>
      <c r="X357" s="562">
        <v>4.0</v>
      </c>
      <c r="Y357" s="562">
        <v>4.0</v>
      </c>
      <c r="Z357" s="562"/>
      <c r="AA357" s="562"/>
      <c r="AB357" s="562"/>
      <c r="AC357" s="562"/>
      <c r="AD357" s="562"/>
      <c r="AE357" s="562"/>
      <c r="AF357" s="562"/>
      <c r="AG357" s="562"/>
      <c r="AH357" s="562"/>
      <c r="AI357" s="562"/>
      <c r="AJ357" s="562"/>
      <c r="AK357" s="562"/>
      <c r="AL357" s="562"/>
      <c r="AM357" s="562"/>
      <c r="AN357" s="562"/>
      <c r="AO357" s="562"/>
      <c r="AP357" s="562"/>
      <c r="AQ357" s="562"/>
      <c r="AR357" s="562">
        <v>-2024.0</v>
      </c>
      <c r="AS357" s="562">
        <v>-2024.0</v>
      </c>
      <c r="AT357" s="562">
        <v>-2024.0</v>
      </c>
      <c r="AU357" s="562">
        <v>0.0</v>
      </c>
      <c r="AV357" s="562">
        <v>0.0</v>
      </c>
      <c r="AW357" s="562">
        <v>0.0</v>
      </c>
      <c r="AX357" s="562">
        <v>0.0</v>
      </c>
      <c r="AY357" s="562">
        <v>0.0</v>
      </c>
      <c r="AZ357" s="562">
        <v>0.0</v>
      </c>
      <c r="BA357" s="562">
        <v>0.0</v>
      </c>
      <c r="BB357" s="562"/>
      <c r="BC357" s="562">
        <v>8.0</v>
      </c>
      <c r="BD357" s="562">
        <v>4.0</v>
      </c>
      <c r="BE357" s="562">
        <v>15.0</v>
      </c>
      <c r="BF357" s="562"/>
      <c r="BG357" s="562"/>
      <c r="BH357" s="562"/>
      <c r="BI357" s="562"/>
      <c r="BJ357" s="562"/>
      <c r="BK357" s="562"/>
      <c r="BL357" s="681"/>
      <c r="BM357" s="665">
        <f t="shared" si="1"/>
        <v>27</v>
      </c>
      <c r="BN357" s="682"/>
      <c r="BO357" s="683"/>
      <c r="BP357" s="683"/>
      <c r="BQ357" s="683"/>
      <c r="BR357" s="683"/>
      <c r="BS357" s="683"/>
      <c r="BT357" s="683"/>
      <c r="BU357" s="683"/>
      <c r="BV357" s="683"/>
      <c r="BW357" s="686"/>
      <c r="BX357" s="665">
        <f t="shared" si="840"/>
        <v>0</v>
      </c>
      <c r="BY357" s="682">
        <v>0.0</v>
      </c>
      <c r="BZ357" s="683">
        <v>0.0</v>
      </c>
      <c r="CA357" s="683">
        <v>0.0</v>
      </c>
      <c r="CB357" s="683">
        <v>0.0</v>
      </c>
      <c r="CC357" s="683">
        <v>0.0</v>
      </c>
      <c r="CD357" s="683">
        <v>0.0</v>
      </c>
      <c r="CE357" s="683">
        <v>0.0</v>
      </c>
      <c r="CF357" s="683">
        <v>0.0</v>
      </c>
      <c r="CG357" s="683">
        <v>0.0</v>
      </c>
      <c r="CH357" s="686">
        <v>0.0</v>
      </c>
      <c r="CI357" s="665">
        <f t="shared" si="841"/>
        <v>0</v>
      </c>
      <c r="CJ357" s="682">
        <f t="shared" si="4"/>
        <v>27</v>
      </c>
      <c r="CK357" s="706">
        <v>38.57</v>
      </c>
      <c r="CL357" s="683">
        <f t="shared" si="1077"/>
        <v>268.4472</v>
      </c>
      <c r="CM357" s="683">
        <f t="shared" ref="CM357:CV357" si="1093">BC357*$CL357</f>
        <v>2147.5776</v>
      </c>
      <c r="CN357" s="683">
        <f t="shared" si="1093"/>
        <v>1073.7888</v>
      </c>
      <c r="CO357" s="683">
        <f t="shared" si="1093"/>
        <v>4026.708</v>
      </c>
      <c r="CP357" s="683">
        <f t="shared" si="1093"/>
        <v>0</v>
      </c>
      <c r="CQ357" s="683">
        <f t="shared" si="1093"/>
        <v>0</v>
      </c>
      <c r="CR357" s="683">
        <f t="shared" si="1093"/>
        <v>0</v>
      </c>
      <c r="CS357" s="683">
        <f t="shared" si="1093"/>
        <v>0</v>
      </c>
      <c r="CT357" s="683">
        <f t="shared" si="1093"/>
        <v>0</v>
      </c>
      <c r="CU357" s="683">
        <f t="shared" si="1093"/>
        <v>0</v>
      </c>
      <c r="CV357" s="683">
        <f t="shared" si="1093"/>
        <v>0</v>
      </c>
      <c r="CW357" s="683">
        <f t="shared" si="21"/>
        <v>7248.0744</v>
      </c>
      <c r="CX357" s="683">
        <f t="shared" ref="CX357:DG357" si="1094">BN357*$CL357</f>
        <v>0</v>
      </c>
      <c r="CY357" s="683">
        <f t="shared" si="1094"/>
        <v>0</v>
      </c>
      <c r="CZ357" s="683">
        <f t="shared" si="1094"/>
        <v>0</v>
      </c>
      <c r="DA357" s="683">
        <f t="shared" si="1094"/>
        <v>0</v>
      </c>
      <c r="DB357" s="683">
        <f t="shared" si="1094"/>
        <v>0</v>
      </c>
      <c r="DC357" s="683">
        <f t="shared" si="1094"/>
        <v>0</v>
      </c>
      <c r="DD357" s="683">
        <f t="shared" si="1094"/>
        <v>0</v>
      </c>
      <c r="DE357" s="683">
        <f t="shared" si="1094"/>
        <v>0</v>
      </c>
      <c r="DF357" s="683">
        <f t="shared" si="1094"/>
        <v>0</v>
      </c>
      <c r="DG357" s="683">
        <f t="shared" si="1094"/>
        <v>0</v>
      </c>
      <c r="DH357" s="683">
        <f t="shared" si="23"/>
        <v>0</v>
      </c>
      <c r="DI357" s="683">
        <f t="shared" ref="DI357:DR357" si="1095">BY357*$CL357</f>
        <v>0</v>
      </c>
      <c r="DJ357" s="683">
        <f t="shared" si="1095"/>
        <v>0</v>
      </c>
      <c r="DK357" s="683">
        <f t="shared" si="1095"/>
        <v>0</v>
      </c>
      <c r="DL357" s="683">
        <f t="shared" si="1095"/>
        <v>0</v>
      </c>
      <c r="DM357" s="683">
        <f t="shared" si="1095"/>
        <v>0</v>
      </c>
      <c r="DN357" s="683">
        <f t="shared" si="1095"/>
        <v>0</v>
      </c>
      <c r="DO357" s="683">
        <f t="shared" si="1095"/>
        <v>0</v>
      </c>
      <c r="DP357" s="683">
        <f t="shared" si="1095"/>
        <v>0</v>
      </c>
      <c r="DQ357" s="683">
        <f t="shared" si="1095"/>
        <v>0</v>
      </c>
      <c r="DR357" s="683">
        <f t="shared" si="1095"/>
        <v>0</v>
      </c>
      <c r="DS357" s="683">
        <f t="shared" si="25"/>
        <v>0</v>
      </c>
      <c r="DT357" s="683">
        <f t="shared" si="685"/>
        <v>7248.0744</v>
      </c>
      <c r="DU357" s="504"/>
      <c r="DV357" s="486"/>
      <c r="DW357" s="688"/>
      <c r="DX357" s="688"/>
      <c r="DY357" s="688"/>
      <c r="DZ357" s="688"/>
      <c r="EA357" s="688"/>
      <c r="EB357" s="688"/>
      <c r="EC357" s="688"/>
      <c r="ED357" s="688"/>
      <c r="EE357" s="688"/>
      <c r="EF357" s="688"/>
      <c r="EG357" s="688"/>
      <c r="EH357" s="707" t="s">
        <v>3558</v>
      </c>
      <c r="EI357" s="708">
        <f>VLOOKUP(I357,CotizacionTDB,4,FALSE())</f>
        <v>38.57</v>
      </c>
      <c r="EJ357" s="708">
        <f>VLOOKUP(I357,CotizacionTDB,5,FALSE())</f>
        <v>32.78</v>
      </c>
      <c r="EK357" s="691"/>
    </row>
    <row r="358" ht="12.0" customHeight="1">
      <c r="A358" s="709" t="s">
        <v>3026</v>
      </c>
      <c r="B358" s="661">
        <v>2.0</v>
      </c>
      <c r="C358" s="567" t="s">
        <v>3032</v>
      </c>
      <c r="D358" s="742" t="s">
        <v>56</v>
      </c>
      <c r="E358" s="568" t="s">
        <v>2708</v>
      </c>
      <c r="F358" s="567" t="s">
        <v>1763</v>
      </c>
      <c r="G358" s="569" t="s">
        <v>2709</v>
      </c>
      <c r="H358" s="657" t="s">
        <v>3559</v>
      </c>
      <c r="I358" s="710" t="s">
        <v>2249</v>
      </c>
      <c r="J358" s="711" t="s">
        <v>1022</v>
      </c>
      <c r="K358" s="567" t="s">
        <v>25</v>
      </c>
      <c r="L358" s="567">
        <v>2024.0</v>
      </c>
      <c r="M358" s="567">
        <v>2024.0</v>
      </c>
      <c r="N358" s="567">
        <v>2024.0</v>
      </c>
      <c r="O358" s="567"/>
      <c r="P358" s="567"/>
      <c r="Q358" s="567"/>
      <c r="R358" s="567"/>
      <c r="S358" s="567"/>
      <c r="T358" s="567"/>
      <c r="U358" s="567"/>
      <c r="V358" s="567"/>
      <c r="W358" s="567">
        <v>2.0</v>
      </c>
      <c r="X358" s="567">
        <v>2.0</v>
      </c>
      <c r="Y358" s="567">
        <v>2.0</v>
      </c>
      <c r="Z358" s="567"/>
      <c r="AA358" s="567"/>
      <c r="AB358" s="567"/>
      <c r="AC358" s="567"/>
      <c r="AD358" s="567"/>
      <c r="AE358" s="567"/>
      <c r="AF358" s="567"/>
      <c r="AG358" s="567"/>
      <c r="AH358" s="567"/>
      <c r="AI358" s="567"/>
      <c r="AJ358" s="567"/>
      <c r="AK358" s="567"/>
      <c r="AL358" s="567"/>
      <c r="AM358" s="567"/>
      <c r="AN358" s="567"/>
      <c r="AO358" s="567"/>
      <c r="AP358" s="567"/>
      <c r="AQ358" s="567"/>
      <c r="AR358" s="567">
        <v>-2024.0</v>
      </c>
      <c r="AS358" s="567">
        <v>-2024.0</v>
      </c>
      <c r="AT358" s="567">
        <v>-2024.0</v>
      </c>
      <c r="AU358" s="567">
        <v>0.0</v>
      </c>
      <c r="AV358" s="567">
        <v>0.0</v>
      </c>
      <c r="AW358" s="567">
        <v>0.0</v>
      </c>
      <c r="AX358" s="567">
        <v>0.0</v>
      </c>
      <c r="AY358" s="567">
        <v>0.0</v>
      </c>
      <c r="AZ358" s="567">
        <v>0.0</v>
      </c>
      <c r="BA358" s="567">
        <v>0.0</v>
      </c>
      <c r="BB358" s="567"/>
      <c r="BC358" s="567">
        <v>5.0</v>
      </c>
      <c r="BD358" s="567">
        <v>2.0</v>
      </c>
      <c r="BE358" s="567">
        <v>5.0</v>
      </c>
      <c r="BF358" s="567"/>
      <c r="BG358" s="567"/>
      <c r="BH358" s="567"/>
      <c r="BI358" s="567"/>
      <c r="BJ358" s="567"/>
      <c r="BK358" s="567"/>
      <c r="BL358" s="725"/>
      <c r="BM358" s="665">
        <f t="shared" si="1"/>
        <v>12</v>
      </c>
      <c r="BN358" s="671"/>
      <c r="BO358" s="668"/>
      <c r="BP358" s="668"/>
      <c r="BQ358" s="668"/>
      <c r="BR358" s="668"/>
      <c r="BS358" s="668"/>
      <c r="BT358" s="668"/>
      <c r="BU358" s="668"/>
      <c r="BV358" s="668"/>
      <c r="BW358" s="670"/>
      <c r="BX358" s="665">
        <f t="shared" si="840"/>
        <v>0</v>
      </c>
      <c r="BY358" s="671">
        <v>5.0</v>
      </c>
      <c r="BZ358" s="668">
        <v>2.0</v>
      </c>
      <c r="CA358" s="668">
        <v>5.0</v>
      </c>
      <c r="CB358" s="668">
        <v>0.0</v>
      </c>
      <c r="CC358" s="668">
        <v>0.0</v>
      </c>
      <c r="CD358" s="668">
        <v>0.0</v>
      </c>
      <c r="CE358" s="668">
        <v>0.0</v>
      </c>
      <c r="CF358" s="668">
        <v>0.0</v>
      </c>
      <c r="CG358" s="668">
        <v>0.0</v>
      </c>
      <c r="CH358" s="670">
        <v>0.0</v>
      </c>
      <c r="CI358" s="665">
        <f t="shared" si="841"/>
        <v>12</v>
      </c>
      <c r="CJ358" s="671">
        <f t="shared" si="4"/>
        <v>24</v>
      </c>
      <c r="CK358" s="715">
        <v>17.88</v>
      </c>
      <c r="CL358" s="668">
        <f t="shared" si="1077"/>
        <v>124.4448</v>
      </c>
      <c r="CM358" s="668">
        <f t="shared" ref="CM358:CV358" si="1096">BC358*$CL358</f>
        <v>622.224</v>
      </c>
      <c r="CN358" s="668">
        <f t="shared" si="1096"/>
        <v>248.8896</v>
      </c>
      <c r="CO358" s="668">
        <f t="shared" si="1096"/>
        <v>622.224</v>
      </c>
      <c r="CP358" s="668">
        <f t="shared" si="1096"/>
        <v>0</v>
      </c>
      <c r="CQ358" s="668">
        <f t="shared" si="1096"/>
        <v>0</v>
      </c>
      <c r="CR358" s="668">
        <f t="shared" si="1096"/>
        <v>0</v>
      </c>
      <c r="CS358" s="668">
        <f t="shared" si="1096"/>
        <v>0</v>
      </c>
      <c r="CT358" s="668">
        <f t="shared" si="1096"/>
        <v>0</v>
      </c>
      <c r="CU358" s="668">
        <f t="shared" si="1096"/>
        <v>0</v>
      </c>
      <c r="CV358" s="668">
        <f t="shared" si="1096"/>
        <v>0</v>
      </c>
      <c r="CW358" s="668">
        <f t="shared" si="21"/>
        <v>1493.3376</v>
      </c>
      <c r="CX358" s="668">
        <f t="shared" ref="CX358:DG358" si="1097">BN358*$CL358</f>
        <v>0</v>
      </c>
      <c r="CY358" s="668">
        <f t="shared" si="1097"/>
        <v>0</v>
      </c>
      <c r="CZ358" s="668">
        <f t="shared" si="1097"/>
        <v>0</v>
      </c>
      <c r="DA358" s="668">
        <f t="shared" si="1097"/>
        <v>0</v>
      </c>
      <c r="DB358" s="668">
        <f t="shared" si="1097"/>
        <v>0</v>
      </c>
      <c r="DC358" s="668">
        <f t="shared" si="1097"/>
        <v>0</v>
      </c>
      <c r="DD358" s="668">
        <f t="shared" si="1097"/>
        <v>0</v>
      </c>
      <c r="DE358" s="668">
        <f t="shared" si="1097"/>
        <v>0</v>
      </c>
      <c r="DF358" s="668">
        <f t="shared" si="1097"/>
        <v>0</v>
      </c>
      <c r="DG358" s="668">
        <f t="shared" si="1097"/>
        <v>0</v>
      </c>
      <c r="DH358" s="668">
        <f t="shared" si="23"/>
        <v>0</v>
      </c>
      <c r="DI358" s="668">
        <f t="shared" ref="DI358:DR358" si="1098">BY358*$CL358</f>
        <v>622.224</v>
      </c>
      <c r="DJ358" s="668">
        <f t="shared" si="1098"/>
        <v>248.8896</v>
      </c>
      <c r="DK358" s="668">
        <f t="shared" si="1098"/>
        <v>622.224</v>
      </c>
      <c r="DL358" s="668">
        <f t="shared" si="1098"/>
        <v>0</v>
      </c>
      <c r="DM358" s="668">
        <f t="shared" si="1098"/>
        <v>0</v>
      </c>
      <c r="DN358" s="668">
        <f t="shared" si="1098"/>
        <v>0</v>
      </c>
      <c r="DO358" s="668">
        <f t="shared" si="1098"/>
        <v>0</v>
      </c>
      <c r="DP358" s="668">
        <f t="shared" si="1098"/>
        <v>0</v>
      </c>
      <c r="DQ358" s="668">
        <f t="shared" si="1098"/>
        <v>0</v>
      </c>
      <c r="DR358" s="668">
        <f t="shared" si="1098"/>
        <v>0</v>
      </c>
      <c r="DS358" s="668">
        <f t="shared" si="25"/>
        <v>1493.3376</v>
      </c>
      <c r="DT358" s="668">
        <f t="shared" si="685"/>
        <v>2986.6752</v>
      </c>
      <c r="DU358" s="538"/>
      <c r="DV358" s="468"/>
      <c r="DW358" s="698"/>
      <c r="DX358" s="698"/>
      <c r="DY358" s="698"/>
      <c r="DZ358" s="698"/>
      <c r="EA358" s="698"/>
      <c r="EB358" s="698"/>
      <c r="EC358" s="698"/>
      <c r="ED358" s="698"/>
      <c r="EE358" s="698"/>
      <c r="EF358" s="698"/>
      <c r="EG358" s="698"/>
      <c r="EH358" s="576" t="s">
        <v>3560</v>
      </c>
      <c r="EI358" s="716">
        <f>VLOOKUP(I358,CotizacionTDB,4,FALSE())</f>
        <v>17.88</v>
      </c>
      <c r="EJ358" s="716">
        <f>VLOOKUP(I358,CotizacionTDB,5,FALSE())</f>
        <v>15.2</v>
      </c>
      <c r="EK358" s="699"/>
    </row>
    <row r="359" ht="12.0" customHeight="1">
      <c r="A359" s="700" t="s">
        <v>3026</v>
      </c>
      <c r="B359" s="701">
        <v>2.0</v>
      </c>
      <c r="C359" s="562" t="s">
        <v>3032</v>
      </c>
      <c r="D359" s="743" t="s">
        <v>56</v>
      </c>
      <c r="E359" s="571" t="s">
        <v>2708</v>
      </c>
      <c r="F359" s="562" t="s">
        <v>1763</v>
      </c>
      <c r="G359" s="569" t="s">
        <v>2709</v>
      </c>
      <c r="H359" s="702" t="s">
        <v>2717</v>
      </c>
      <c r="I359" s="717" t="s">
        <v>1871</v>
      </c>
      <c r="J359" s="915" t="s">
        <v>1390</v>
      </c>
      <c r="K359" s="562" t="s">
        <v>25</v>
      </c>
      <c r="L359" s="562">
        <v>2024.0</v>
      </c>
      <c r="M359" s="562">
        <v>2024.0</v>
      </c>
      <c r="N359" s="562">
        <v>2024.0</v>
      </c>
      <c r="O359" s="562"/>
      <c r="P359" s="562"/>
      <c r="Q359" s="562"/>
      <c r="R359" s="562"/>
      <c r="S359" s="562"/>
      <c r="T359" s="562"/>
      <c r="U359" s="562"/>
      <c r="V359" s="562"/>
      <c r="W359" s="562">
        <v>2.0</v>
      </c>
      <c r="X359" s="562">
        <v>2.0</v>
      </c>
      <c r="Y359" s="562">
        <v>2.0</v>
      </c>
      <c r="Z359" s="562"/>
      <c r="AA359" s="562"/>
      <c r="AB359" s="562"/>
      <c r="AC359" s="562"/>
      <c r="AD359" s="562"/>
      <c r="AE359" s="562"/>
      <c r="AF359" s="562"/>
      <c r="AG359" s="562"/>
      <c r="AH359" s="562"/>
      <c r="AI359" s="562"/>
      <c r="AJ359" s="562"/>
      <c r="AK359" s="562"/>
      <c r="AL359" s="562"/>
      <c r="AM359" s="562"/>
      <c r="AN359" s="562"/>
      <c r="AO359" s="562"/>
      <c r="AP359" s="562"/>
      <c r="AQ359" s="562"/>
      <c r="AR359" s="562">
        <v>-2024.0</v>
      </c>
      <c r="AS359" s="562">
        <v>-2024.0</v>
      </c>
      <c r="AT359" s="562">
        <v>-2024.0</v>
      </c>
      <c r="AU359" s="562">
        <v>0.0</v>
      </c>
      <c r="AV359" s="562">
        <v>0.0</v>
      </c>
      <c r="AW359" s="562">
        <v>0.0</v>
      </c>
      <c r="AX359" s="562">
        <v>0.0</v>
      </c>
      <c r="AY359" s="562">
        <v>0.0</v>
      </c>
      <c r="AZ359" s="562">
        <v>0.0</v>
      </c>
      <c r="BA359" s="562">
        <v>0.0</v>
      </c>
      <c r="BB359" s="562"/>
      <c r="BC359" s="562">
        <v>4.0</v>
      </c>
      <c r="BD359" s="562">
        <v>2.0</v>
      </c>
      <c r="BE359" s="562">
        <v>4.0</v>
      </c>
      <c r="BF359" s="562">
        <v>50.0</v>
      </c>
      <c r="BG359" s="562">
        <v>50.0</v>
      </c>
      <c r="BH359" s="562"/>
      <c r="BI359" s="562"/>
      <c r="BJ359" s="562"/>
      <c r="BK359" s="562"/>
      <c r="BL359" s="681"/>
      <c r="BM359" s="665">
        <f t="shared" si="1"/>
        <v>110</v>
      </c>
      <c r="BN359" s="682"/>
      <c r="BO359" s="683"/>
      <c r="BP359" s="683"/>
      <c r="BQ359" s="683"/>
      <c r="BR359" s="683"/>
      <c r="BS359" s="683"/>
      <c r="BT359" s="683"/>
      <c r="BU359" s="683"/>
      <c r="BV359" s="683"/>
      <c r="BW359" s="686"/>
      <c r="BX359" s="665">
        <f t="shared" si="840"/>
        <v>0</v>
      </c>
      <c r="BY359" s="682">
        <v>4.0</v>
      </c>
      <c r="BZ359" s="683">
        <v>2.0</v>
      </c>
      <c r="CA359" s="683">
        <v>4.0</v>
      </c>
      <c r="CB359" s="683">
        <v>0.0</v>
      </c>
      <c r="CC359" s="683">
        <v>0.0</v>
      </c>
      <c r="CD359" s="683">
        <v>0.0</v>
      </c>
      <c r="CE359" s="683">
        <v>0.0</v>
      </c>
      <c r="CF359" s="683">
        <v>0.0</v>
      </c>
      <c r="CG359" s="683">
        <v>0.0</v>
      </c>
      <c r="CH359" s="686">
        <v>0.0</v>
      </c>
      <c r="CI359" s="665">
        <f t="shared" si="841"/>
        <v>10</v>
      </c>
      <c r="CJ359" s="682">
        <f t="shared" si="4"/>
        <v>120</v>
      </c>
      <c r="CK359" s="706">
        <v>1.61</v>
      </c>
      <c r="CL359" s="683">
        <f t="shared" si="1077"/>
        <v>11.2056</v>
      </c>
      <c r="CM359" s="683">
        <f t="shared" ref="CM359:CV359" si="1099">BC359*$CL359</f>
        <v>44.8224</v>
      </c>
      <c r="CN359" s="683">
        <f t="shared" si="1099"/>
        <v>22.4112</v>
      </c>
      <c r="CO359" s="683">
        <f t="shared" si="1099"/>
        <v>44.8224</v>
      </c>
      <c r="CP359" s="683">
        <f t="shared" si="1099"/>
        <v>560.28</v>
      </c>
      <c r="CQ359" s="683">
        <f t="shared" si="1099"/>
        <v>560.28</v>
      </c>
      <c r="CR359" s="683">
        <f t="shared" si="1099"/>
        <v>0</v>
      </c>
      <c r="CS359" s="683">
        <f t="shared" si="1099"/>
        <v>0</v>
      </c>
      <c r="CT359" s="683">
        <f t="shared" si="1099"/>
        <v>0</v>
      </c>
      <c r="CU359" s="683">
        <f t="shared" si="1099"/>
        <v>0</v>
      </c>
      <c r="CV359" s="683">
        <f t="shared" si="1099"/>
        <v>0</v>
      </c>
      <c r="CW359" s="683">
        <f t="shared" si="21"/>
        <v>1232.616</v>
      </c>
      <c r="CX359" s="683">
        <f t="shared" ref="CX359:DG359" si="1100">BN359*$CL359</f>
        <v>0</v>
      </c>
      <c r="CY359" s="683">
        <f t="shared" si="1100"/>
        <v>0</v>
      </c>
      <c r="CZ359" s="683">
        <f t="shared" si="1100"/>
        <v>0</v>
      </c>
      <c r="DA359" s="683">
        <f t="shared" si="1100"/>
        <v>0</v>
      </c>
      <c r="DB359" s="683">
        <f t="shared" si="1100"/>
        <v>0</v>
      </c>
      <c r="DC359" s="683">
        <f t="shared" si="1100"/>
        <v>0</v>
      </c>
      <c r="DD359" s="683">
        <f t="shared" si="1100"/>
        <v>0</v>
      </c>
      <c r="DE359" s="683">
        <f t="shared" si="1100"/>
        <v>0</v>
      </c>
      <c r="DF359" s="683">
        <f t="shared" si="1100"/>
        <v>0</v>
      </c>
      <c r="DG359" s="683">
        <f t="shared" si="1100"/>
        <v>0</v>
      </c>
      <c r="DH359" s="683">
        <f t="shared" si="23"/>
        <v>0</v>
      </c>
      <c r="DI359" s="683">
        <f t="shared" ref="DI359:DR359" si="1101">BY359*$CL359</f>
        <v>44.8224</v>
      </c>
      <c r="DJ359" s="683">
        <f t="shared" si="1101"/>
        <v>22.4112</v>
      </c>
      <c r="DK359" s="683">
        <f t="shared" si="1101"/>
        <v>44.8224</v>
      </c>
      <c r="DL359" s="683">
        <f t="shared" si="1101"/>
        <v>0</v>
      </c>
      <c r="DM359" s="683">
        <f t="shared" si="1101"/>
        <v>0</v>
      </c>
      <c r="DN359" s="683">
        <f t="shared" si="1101"/>
        <v>0</v>
      </c>
      <c r="DO359" s="683">
        <f t="shared" si="1101"/>
        <v>0</v>
      </c>
      <c r="DP359" s="683">
        <f t="shared" si="1101"/>
        <v>0</v>
      </c>
      <c r="DQ359" s="683">
        <f t="shared" si="1101"/>
        <v>0</v>
      </c>
      <c r="DR359" s="683">
        <f t="shared" si="1101"/>
        <v>0</v>
      </c>
      <c r="DS359" s="683">
        <f t="shared" si="25"/>
        <v>112.056</v>
      </c>
      <c r="DT359" s="683">
        <f t="shared" si="685"/>
        <v>1344.672</v>
      </c>
      <c r="DU359" s="504"/>
      <c r="DV359" s="486"/>
      <c r="DW359" s="688"/>
      <c r="DX359" s="688"/>
      <c r="DY359" s="688"/>
      <c r="DZ359" s="688"/>
      <c r="EA359" s="688"/>
      <c r="EB359" s="688"/>
      <c r="EC359" s="688"/>
      <c r="ED359" s="688"/>
      <c r="EE359" s="688"/>
      <c r="EF359" s="688"/>
      <c r="EG359" s="688"/>
      <c r="EH359" s="707" t="s">
        <v>3561</v>
      </c>
      <c r="EI359" s="708">
        <f>VLOOKUP(I359,CotizacionTDB,4,FALSE())</f>
        <v>1.61</v>
      </c>
      <c r="EJ359" s="708">
        <f>VLOOKUP(I359,CotizacionTDB,5,FALSE())</f>
        <v>1.37</v>
      </c>
      <c r="EK359" s="691"/>
    </row>
    <row r="360" ht="12.0" customHeight="1">
      <c r="A360" s="709" t="s">
        <v>3026</v>
      </c>
      <c r="B360" s="661">
        <v>2.0</v>
      </c>
      <c r="C360" s="567" t="s">
        <v>3032</v>
      </c>
      <c r="D360" s="742" t="s">
        <v>56</v>
      </c>
      <c r="E360" s="568" t="s">
        <v>2708</v>
      </c>
      <c r="F360" s="567" t="s">
        <v>1763</v>
      </c>
      <c r="G360" s="569" t="s">
        <v>2709</v>
      </c>
      <c r="H360" s="569" t="s">
        <v>2921</v>
      </c>
      <c r="I360" s="710" t="s">
        <v>2250</v>
      </c>
      <c r="J360" s="915" t="s">
        <v>1068</v>
      </c>
      <c r="K360" s="567" t="s">
        <v>25</v>
      </c>
      <c r="L360" s="567">
        <v>2024.0</v>
      </c>
      <c r="M360" s="567">
        <v>2024.0</v>
      </c>
      <c r="N360" s="567">
        <v>2024.0</v>
      </c>
      <c r="O360" s="567"/>
      <c r="P360" s="567"/>
      <c r="Q360" s="567"/>
      <c r="R360" s="567"/>
      <c r="S360" s="567"/>
      <c r="T360" s="567"/>
      <c r="U360" s="567"/>
      <c r="V360" s="567"/>
      <c r="W360" s="567">
        <v>2.0</v>
      </c>
      <c r="X360" s="567">
        <v>2.0</v>
      </c>
      <c r="Y360" s="567">
        <v>2.0</v>
      </c>
      <c r="Z360" s="567"/>
      <c r="AA360" s="567"/>
      <c r="AB360" s="567"/>
      <c r="AC360" s="567"/>
      <c r="AD360" s="567"/>
      <c r="AE360" s="567"/>
      <c r="AF360" s="567"/>
      <c r="AG360" s="567"/>
      <c r="AH360" s="567"/>
      <c r="AI360" s="567"/>
      <c r="AJ360" s="567"/>
      <c r="AK360" s="567"/>
      <c r="AL360" s="567"/>
      <c r="AM360" s="567"/>
      <c r="AN360" s="567"/>
      <c r="AO360" s="567"/>
      <c r="AP360" s="567"/>
      <c r="AQ360" s="567"/>
      <c r="AR360" s="567">
        <v>-2024.0</v>
      </c>
      <c r="AS360" s="567">
        <v>-2024.0</v>
      </c>
      <c r="AT360" s="567">
        <v>-2024.0</v>
      </c>
      <c r="AU360" s="567">
        <v>0.0</v>
      </c>
      <c r="AV360" s="567">
        <v>0.0</v>
      </c>
      <c r="AW360" s="567">
        <v>0.0</v>
      </c>
      <c r="AX360" s="567">
        <v>0.0</v>
      </c>
      <c r="AY360" s="567">
        <v>0.0</v>
      </c>
      <c r="AZ360" s="567">
        <v>0.0</v>
      </c>
      <c r="BA360" s="567">
        <v>0.0</v>
      </c>
      <c r="BB360" s="567"/>
      <c r="BC360" s="567">
        <v>5.0</v>
      </c>
      <c r="BD360" s="567">
        <v>2.0</v>
      </c>
      <c r="BE360" s="567">
        <v>5.0</v>
      </c>
      <c r="BF360" s="567"/>
      <c r="BG360" s="567"/>
      <c r="BH360" s="567"/>
      <c r="BI360" s="567"/>
      <c r="BJ360" s="567"/>
      <c r="BK360" s="567"/>
      <c r="BL360" s="725"/>
      <c r="BM360" s="665">
        <f t="shared" si="1"/>
        <v>12</v>
      </c>
      <c r="BN360" s="671"/>
      <c r="BO360" s="668"/>
      <c r="BP360" s="668"/>
      <c r="BQ360" s="668"/>
      <c r="BR360" s="668"/>
      <c r="BS360" s="668"/>
      <c r="BT360" s="668"/>
      <c r="BU360" s="668"/>
      <c r="BV360" s="668"/>
      <c r="BW360" s="670"/>
      <c r="BX360" s="665">
        <f t="shared" si="840"/>
        <v>0</v>
      </c>
      <c r="BY360" s="671">
        <v>5.0</v>
      </c>
      <c r="BZ360" s="668">
        <v>2.0</v>
      </c>
      <c r="CA360" s="668">
        <v>5.0</v>
      </c>
      <c r="CB360" s="668">
        <v>0.0</v>
      </c>
      <c r="CC360" s="668">
        <v>0.0</v>
      </c>
      <c r="CD360" s="668">
        <v>0.0</v>
      </c>
      <c r="CE360" s="668">
        <v>0.0</v>
      </c>
      <c r="CF360" s="668">
        <v>0.0</v>
      </c>
      <c r="CG360" s="668">
        <v>0.0</v>
      </c>
      <c r="CH360" s="670">
        <v>0.0</v>
      </c>
      <c r="CI360" s="665">
        <f t="shared" si="841"/>
        <v>12</v>
      </c>
      <c r="CJ360" s="671">
        <f t="shared" si="4"/>
        <v>24</v>
      </c>
      <c r="CK360" s="715">
        <v>14.31</v>
      </c>
      <c r="CL360" s="668">
        <f t="shared" si="1077"/>
        <v>99.5976</v>
      </c>
      <c r="CM360" s="668">
        <f t="shared" ref="CM360:CV360" si="1102">BC360*$CL360</f>
        <v>497.988</v>
      </c>
      <c r="CN360" s="668">
        <f t="shared" si="1102"/>
        <v>199.1952</v>
      </c>
      <c r="CO360" s="668">
        <f t="shared" si="1102"/>
        <v>497.988</v>
      </c>
      <c r="CP360" s="668">
        <f t="shared" si="1102"/>
        <v>0</v>
      </c>
      <c r="CQ360" s="668">
        <f t="shared" si="1102"/>
        <v>0</v>
      </c>
      <c r="CR360" s="668">
        <f t="shared" si="1102"/>
        <v>0</v>
      </c>
      <c r="CS360" s="668">
        <f t="shared" si="1102"/>
        <v>0</v>
      </c>
      <c r="CT360" s="668">
        <f t="shared" si="1102"/>
        <v>0</v>
      </c>
      <c r="CU360" s="668">
        <f t="shared" si="1102"/>
        <v>0</v>
      </c>
      <c r="CV360" s="668">
        <f t="shared" si="1102"/>
        <v>0</v>
      </c>
      <c r="CW360" s="668">
        <f t="shared" si="21"/>
        <v>1195.1712</v>
      </c>
      <c r="CX360" s="668">
        <f t="shared" ref="CX360:DG360" si="1103">BN360*$CL360</f>
        <v>0</v>
      </c>
      <c r="CY360" s="668">
        <f t="shared" si="1103"/>
        <v>0</v>
      </c>
      <c r="CZ360" s="668">
        <f t="shared" si="1103"/>
        <v>0</v>
      </c>
      <c r="DA360" s="668">
        <f t="shared" si="1103"/>
        <v>0</v>
      </c>
      <c r="DB360" s="668">
        <f t="shared" si="1103"/>
        <v>0</v>
      </c>
      <c r="DC360" s="668">
        <f t="shared" si="1103"/>
        <v>0</v>
      </c>
      <c r="DD360" s="668">
        <f t="shared" si="1103"/>
        <v>0</v>
      </c>
      <c r="DE360" s="668">
        <f t="shared" si="1103"/>
        <v>0</v>
      </c>
      <c r="DF360" s="668">
        <f t="shared" si="1103"/>
        <v>0</v>
      </c>
      <c r="DG360" s="668">
        <f t="shared" si="1103"/>
        <v>0</v>
      </c>
      <c r="DH360" s="668">
        <f t="shared" si="23"/>
        <v>0</v>
      </c>
      <c r="DI360" s="668">
        <f t="shared" ref="DI360:DR360" si="1104">BY360*$CL360</f>
        <v>497.988</v>
      </c>
      <c r="DJ360" s="668">
        <f t="shared" si="1104"/>
        <v>199.1952</v>
      </c>
      <c r="DK360" s="668">
        <f t="shared" si="1104"/>
        <v>497.988</v>
      </c>
      <c r="DL360" s="668">
        <f t="shared" si="1104"/>
        <v>0</v>
      </c>
      <c r="DM360" s="668">
        <f t="shared" si="1104"/>
        <v>0</v>
      </c>
      <c r="DN360" s="668">
        <f t="shared" si="1104"/>
        <v>0</v>
      </c>
      <c r="DO360" s="668">
        <f t="shared" si="1104"/>
        <v>0</v>
      </c>
      <c r="DP360" s="668">
        <f t="shared" si="1104"/>
        <v>0</v>
      </c>
      <c r="DQ360" s="668">
        <f t="shared" si="1104"/>
        <v>0</v>
      </c>
      <c r="DR360" s="668">
        <f t="shared" si="1104"/>
        <v>0</v>
      </c>
      <c r="DS360" s="668">
        <f t="shared" si="25"/>
        <v>1195.1712</v>
      </c>
      <c r="DT360" s="668">
        <f t="shared" si="685"/>
        <v>2390.3424</v>
      </c>
      <c r="DU360" s="538"/>
      <c r="DV360" s="468"/>
      <c r="DW360" s="698"/>
      <c r="DX360" s="698"/>
      <c r="DY360" s="698"/>
      <c r="DZ360" s="698"/>
      <c r="EA360" s="698"/>
      <c r="EB360" s="698"/>
      <c r="EC360" s="698"/>
      <c r="ED360" s="698"/>
      <c r="EE360" s="698"/>
      <c r="EF360" s="698"/>
      <c r="EG360" s="698"/>
      <c r="EH360" s="576" t="s">
        <v>3562</v>
      </c>
      <c r="EI360" s="716">
        <f>VLOOKUP(I360,CotizacionTDB,4,FALSE())</f>
        <v>14.31</v>
      </c>
      <c r="EJ360" s="716">
        <f>VLOOKUP(I360,CotizacionTDB,5,FALSE())</f>
        <v>12.16</v>
      </c>
      <c r="EK360" s="699"/>
    </row>
    <row r="361" ht="12.0" customHeight="1">
      <c r="A361" s="700" t="s">
        <v>3026</v>
      </c>
      <c r="B361" s="701">
        <v>2.0</v>
      </c>
      <c r="C361" s="562" t="s">
        <v>3032</v>
      </c>
      <c r="D361" s="743" t="s">
        <v>56</v>
      </c>
      <c r="E361" s="571" t="s">
        <v>2708</v>
      </c>
      <c r="F361" s="562" t="s">
        <v>1763</v>
      </c>
      <c r="G361" s="569" t="s">
        <v>2709</v>
      </c>
      <c r="H361" s="569" t="s">
        <v>2793</v>
      </c>
      <c r="I361" s="717" t="s">
        <v>2402</v>
      </c>
      <c r="J361" s="740" t="s">
        <v>624</v>
      </c>
      <c r="K361" s="562" t="s">
        <v>25</v>
      </c>
      <c r="L361" s="562">
        <v>2024.0</v>
      </c>
      <c r="M361" s="562">
        <v>2024.0</v>
      </c>
      <c r="N361" s="562">
        <v>2024.0</v>
      </c>
      <c r="O361" s="562"/>
      <c r="P361" s="562"/>
      <c r="Q361" s="562"/>
      <c r="R361" s="562"/>
      <c r="S361" s="562"/>
      <c r="T361" s="562"/>
      <c r="U361" s="562"/>
      <c r="V361" s="562"/>
      <c r="W361" s="562">
        <v>2.0</v>
      </c>
      <c r="X361" s="562">
        <v>2.0</v>
      </c>
      <c r="Y361" s="562">
        <v>2.0</v>
      </c>
      <c r="Z361" s="562"/>
      <c r="AA361" s="562"/>
      <c r="AB361" s="562"/>
      <c r="AC361" s="562"/>
      <c r="AD361" s="562"/>
      <c r="AE361" s="562"/>
      <c r="AF361" s="562"/>
      <c r="AG361" s="562"/>
      <c r="AH361" s="562"/>
      <c r="AI361" s="562"/>
      <c r="AJ361" s="562"/>
      <c r="AK361" s="562"/>
      <c r="AL361" s="562"/>
      <c r="AM361" s="562"/>
      <c r="AN361" s="562"/>
      <c r="AO361" s="562"/>
      <c r="AP361" s="562"/>
      <c r="AQ361" s="562"/>
      <c r="AR361" s="562">
        <v>-2024.0</v>
      </c>
      <c r="AS361" s="562">
        <v>-2024.0</v>
      </c>
      <c r="AT361" s="562">
        <v>-2024.0</v>
      </c>
      <c r="AU361" s="562">
        <v>0.0</v>
      </c>
      <c r="AV361" s="562">
        <v>0.0</v>
      </c>
      <c r="AW361" s="562">
        <v>0.0</v>
      </c>
      <c r="AX361" s="562">
        <v>0.0</v>
      </c>
      <c r="AY361" s="562">
        <v>0.0</v>
      </c>
      <c r="AZ361" s="562">
        <v>0.0</v>
      </c>
      <c r="BA361" s="562">
        <v>0.0</v>
      </c>
      <c r="BB361" s="562"/>
      <c r="BC361" s="718"/>
      <c r="BD361" s="680"/>
      <c r="BE361" s="718"/>
      <c r="BF361" s="562"/>
      <c r="BG361" s="562"/>
      <c r="BH361" s="562"/>
      <c r="BI361" s="562"/>
      <c r="BJ361" s="562"/>
      <c r="BK361" s="562"/>
      <c r="BL361" s="681"/>
      <c r="BM361" s="665">
        <f t="shared" si="1"/>
        <v>0</v>
      </c>
      <c r="BN361" s="666">
        <v>5.0</v>
      </c>
      <c r="BO361" s="684">
        <v>10.0</v>
      </c>
      <c r="BP361" s="667">
        <v>5.0</v>
      </c>
      <c r="BQ361" s="683"/>
      <c r="BR361" s="683"/>
      <c r="BS361" s="683"/>
      <c r="BT361" s="683"/>
      <c r="BU361" s="683"/>
      <c r="BV361" s="683"/>
      <c r="BW361" s="686"/>
      <c r="BX361" s="665">
        <f t="shared" si="840"/>
        <v>20</v>
      </c>
      <c r="BY361" s="666"/>
      <c r="BZ361" s="684"/>
      <c r="CA361" s="667"/>
      <c r="CB361" s="683">
        <v>0.0</v>
      </c>
      <c r="CC361" s="683">
        <v>0.0</v>
      </c>
      <c r="CD361" s="683">
        <v>0.0</v>
      </c>
      <c r="CE361" s="683">
        <v>0.0</v>
      </c>
      <c r="CF361" s="683">
        <v>0.0</v>
      </c>
      <c r="CG361" s="683">
        <v>0.0</v>
      </c>
      <c r="CH361" s="686">
        <v>0.0</v>
      </c>
      <c r="CI361" s="665">
        <f t="shared" si="841"/>
        <v>0</v>
      </c>
      <c r="CJ361" s="682">
        <f t="shared" si="4"/>
        <v>20</v>
      </c>
      <c r="CK361" s="706">
        <v>50.92</v>
      </c>
      <c r="CL361" s="683">
        <f t="shared" si="1077"/>
        <v>354.4032</v>
      </c>
      <c r="CM361" s="683">
        <f t="shared" ref="CM361:CV361" si="1105">BC361*$CL361</f>
        <v>0</v>
      </c>
      <c r="CN361" s="683">
        <f t="shared" si="1105"/>
        <v>0</v>
      </c>
      <c r="CO361" s="683">
        <f t="shared" si="1105"/>
        <v>0</v>
      </c>
      <c r="CP361" s="683">
        <f t="shared" si="1105"/>
        <v>0</v>
      </c>
      <c r="CQ361" s="683">
        <f t="shared" si="1105"/>
        <v>0</v>
      </c>
      <c r="CR361" s="683">
        <f t="shared" si="1105"/>
        <v>0</v>
      </c>
      <c r="CS361" s="683">
        <f t="shared" si="1105"/>
        <v>0</v>
      </c>
      <c r="CT361" s="683">
        <f t="shared" si="1105"/>
        <v>0</v>
      </c>
      <c r="CU361" s="683">
        <f t="shared" si="1105"/>
        <v>0</v>
      </c>
      <c r="CV361" s="683">
        <f t="shared" si="1105"/>
        <v>0</v>
      </c>
      <c r="CW361" s="683">
        <f t="shared" si="21"/>
        <v>0</v>
      </c>
      <c r="CX361" s="683">
        <f t="shared" ref="CX361:DG361" si="1106">BN361*$CL361</f>
        <v>1772.016</v>
      </c>
      <c r="CY361" s="683">
        <f t="shared" si="1106"/>
        <v>3544.032</v>
      </c>
      <c r="CZ361" s="683">
        <f t="shared" si="1106"/>
        <v>1772.016</v>
      </c>
      <c r="DA361" s="683">
        <f t="shared" si="1106"/>
        <v>0</v>
      </c>
      <c r="DB361" s="683">
        <f t="shared" si="1106"/>
        <v>0</v>
      </c>
      <c r="DC361" s="683">
        <f t="shared" si="1106"/>
        <v>0</v>
      </c>
      <c r="DD361" s="683">
        <f t="shared" si="1106"/>
        <v>0</v>
      </c>
      <c r="DE361" s="683">
        <f t="shared" si="1106"/>
        <v>0</v>
      </c>
      <c r="DF361" s="683">
        <f t="shared" si="1106"/>
        <v>0</v>
      </c>
      <c r="DG361" s="683">
        <f t="shared" si="1106"/>
        <v>0</v>
      </c>
      <c r="DH361" s="683">
        <f t="shared" si="23"/>
        <v>7088.064</v>
      </c>
      <c r="DI361" s="683">
        <f t="shared" ref="DI361:DR361" si="1107">BY361*$CL361</f>
        <v>0</v>
      </c>
      <c r="DJ361" s="683">
        <f t="shared" si="1107"/>
        <v>0</v>
      </c>
      <c r="DK361" s="683">
        <f t="shared" si="1107"/>
        <v>0</v>
      </c>
      <c r="DL361" s="683">
        <f t="shared" si="1107"/>
        <v>0</v>
      </c>
      <c r="DM361" s="683">
        <f t="shared" si="1107"/>
        <v>0</v>
      </c>
      <c r="DN361" s="683">
        <f t="shared" si="1107"/>
        <v>0</v>
      </c>
      <c r="DO361" s="683">
        <f t="shared" si="1107"/>
        <v>0</v>
      </c>
      <c r="DP361" s="683">
        <f t="shared" si="1107"/>
        <v>0</v>
      </c>
      <c r="DQ361" s="683">
        <f t="shared" si="1107"/>
        <v>0</v>
      </c>
      <c r="DR361" s="683">
        <f t="shared" si="1107"/>
        <v>0</v>
      </c>
      <c r="DS361" s="683">
        <f t="shared" si="25"/>
        <v>0</v>
      </c>
      <c r="DT361" s="683">
        <f t="shared" si="685"/>
        <v>7088.064</v>
      </c>
      <c r="DU361" s="504"/>
      <c r="DV361" s="486"/>
      <c r="DW361" s="751">
        <v>5.0</v>
      </c>
      <c r="DX361" s="770">
        <v>10.0</v>
      </c>
      <c r="DY361" s="751">
        <v>5.0</v>
      </c>
      <c r="DZ361" s="688"/>
      <c r="EA361" s="688"/>
      <c r="EB361" s="688"/>
      <c r="EC361" s="688"/>
      <c r="ED361" s="688"/>
      <c r="EE361" s="688"/>
      <c r="EF361" s="688"/>
      <c r="EG361" s="688"/>
      <c r="EH361" s="707" t="s">
        <v>624</v>
      </c>
      <c r="EI361" s="708">
        <f>VLOOKUP(I361,CotizacionTDB,4,FALSE())</f>
        <v>50.92</v>
      </c>
      <c r="EJ361" s="708">
        <f>VLOOKUP(I361,CotizacionTDB,5,FALSE())</f>
        <v>43.28</v>
      </c>
      <c r="EK361" s="691"/>
    </row>
    <row r="362" ht="12.0" customHeight="1">
      <c r="A362" s="709" t="s">
        <v>3026</v>
      </c>
      <c r="B362" s="661">
        <v>2.0</v>
      </c>
      <c r="C362" s="567" t="s">
        <v>3032</v>
      </c>
      <c r="D362" s="742" t="s">
        <v>56</v>
      </c>
      <c r="E362" s="568" t="s">
        <v>2708</v>
      </c>
      <c r="F362" s="567" t="s">
        <v>1763</v>
      </c>
      <c r="G362" s="569" t="s">
        <v>2709</v>
      </c>
      <c r="H362" s="657" t="s">
        <v>2718</v>
      </c>
      <c r="I362" s="710" t="s">
        <v>1873</v>
      </c>
      <c r="J362" s="915" t="s">
        <v>1288</v>
      </c>
      <c r="K362" s="567" t="s">
        <v>25</v>
      </c>
      <c r="L362" s="567">
        <v>2024.0</v>
      </c>
      <c r="M362" s="567">
        <v>2024.0</v>
      </c>
      <c r="N362" s="567">
        <v>2024.0</v>
      </c>
      <c r="O362" s="567"/>
      <c r="P362" s="567"/>
      <c r="Q362" s="567"/>
      <c r="R362" s="567"/>
      <c r="S362" s="567"/>
      <c r="T362" s="567"/>
      <c r="U362" s="567"/>
      <c r="V362" s="567"/>
      <c r="W362" s="567">
        <v>2.0</v>
      </c>
      <c r="X362" s="567">
        <v>2.0</v>
      </c>
      <c r="Y362" s="567">
        <v>2.0</v>
      </c>
      <c r="Z362" s="567"/>
      <c r="AA362" s="567"/>
      <c r="AB362" s="567"/>
      <c r="AC362" s="567"/>
      <c r="AD362" s="567"/>
      <c r="AE362" s="567"/>
      <c r="AF362" s="567"/>
      <c r="AG362" s="567"/>
      <c r="AH362" s="567"/>
      <c r="AI362" s="567"/>
      <c r="AJ362" s="567"/>
      <c r="AK362" s="567"/>
      <c r="AL362" s="567"/>
      <c r="AM362" s="567"/>
      <c r="AN362" s="567"/>
      <c r="AO362" s="567"/>
      <c r="AP362" s="567"/>
      <c r="AQ362" s="567"/>
      <c r="AR362" s="567">
        <v>-2024.0</v>
      </c>
      <c r="AS362" s="567">
        <v>-2024.0</v>
      </c>
      <c r="AT362" s="567">
        <v>-2024.0</v>
      </c>
      <c r="AU362" s="567">
        <v>0.0</v>
      </c>
      <c r="AV362" s="567">
        <v>0.0</v>
      </c>
      <c r="AW362" s="567">
        <v>0.0</v>
      </c>
      <c r="AX362" s="567">
        <v>0.0</v>
      </c>
      <c r="AY362" s="567">
        <v>0.0</v>
      </c>
      <c r="AZ362" s="567">
        <v>0.0</v>
      </c>
      <c r="BA362" s="567">
        <v>0.0</v>
      </c>
      <c r="BB362" s="567"/>
      <c r="BC362" s="567">
        <v>5.0</v>
      </c>
      <c r="BD362" s="567">
        <v>2.0</v>
      </c>
      <c r="BE362" s="567">
        <v>5.0</v>
      </c>
      <c r="BF362" s="567"/>
      <c r="BG362" s="567"/>
      <c r="BH362" s="567"/>
      <c r="BI362" s="567"/>
      <c r="BJ362" s="567"/>
      <c r="BK362" s="567"/>
      <c r="BL362" s="725"/>
      <c r="BM362" s="665">
        <f t="shared" si="1"/>
        <v>12</v>
      </c>
      <c r="BN362" s="671"/>
      <c r="BO362" s="668"/>
      <c r="BP362" s="668"/>
      <c r="BQ362" s="668"/>
      <c r="BR362" s="668"/>
      <c r="BS362" s="668"/>
      <c r="BT362" s="668"/>
      <c r="BU362" s="668"/>
      <c r="BV362" s="668"/>
      <c r="BW362" s="670"/>
      <c r="BX362" s="665">
        <f t="shared" si="840"/>
        <v>0</v>
      </c>
      <c r="BY362" s="671">
        <v>5.0</v>
      </c>
      <c r="BZ362" s="668">
        <v>2.0</v>
      </c>
      <c r="CA362" s="668">
        <v>5.0</v>
      </c>
      <c r="CB362" s="668">
        <v>0.0</v>
      </c>
      <c r="CC362" s="668">
        <v>0.0</v>
      </c>
      <c r="CD362" s="668">
        <v>0.0</v>
      </c>
      <c r="CE362" s="668">
        <v>0.0</v>
      </c>
      <c r="CF362" s="668">
        <v>0.0</v>
      </c>
      <c r="CG362" s="668">
        <v>0.0</v>
      </c>
      <c r="CH362" s="670">
        <v>0.0</v>
      </c>
      <c r="CI362" s="665">
        <f t="shared" si="841"/>
        <v>12</v>
      </c>
      <c r="CJ362" s="671">
        <f t="shared" si="4"/>
        <v>24</v>
      </c>
      <c r="CK362" s="716">
        <v>4.73</v>
      </c>
      <c r="CL362" s="668">
        <f t="shared" si="1077"/>
        <v>32.9208</v>
      </c>
      <c r="CM362" s="668">
        <f t="shared" ref="CM362:CV362" si="1108">BC362*$CL362</f>
        <v>164.604</v>
      </c>
      <c r="CN362" s="668">
        <f t="shared" si="1108"/>
        <v>65.8416</v>
      </c>
      <c r="CO362" s="668">
        <f t="shared" si="1108"/>
        <v>164.604</v>
      </c>
      <c r="CP362" s="668">
        <f t="shared" si="1108"/>
        <v>0</v>
      </c>
      <c r="CQ362" s="668">
        <f t="shared" si="1108"/>
        <v>0</v>
      </c>
      <c r="CR362" s="668">
        <f t="shared" si="1108"/>
        <v>0</v>
      </c>
      <c r="CS362" s="668">
        <f t="shared" si="1108"/>
        <v>0</v>
      </c>
      <c r="CT362" s="668">
        <f t="shared" si="1108"/>
        <v>0</v>
      </c>
      <c r="CU362" s="668">
        <f t="shared" si="1108"/>
        <v>0</v>
      </c>
      <c r="CV362" s="668">
        <f t="shared" si="1108"/>
        <v>0</v>
      </c>
      <c r="CW362" s="668">
        <f t="shared" si="21"/>
        <v>395.0496</v>
      </c>
      <c r="CX362" s="668">
        <f t="shared" ref="CX362:DG362" si="1109">BN362*$CL362</f>
        <v>0</v>
      </c>
      <c r="CY362" s="668">
        <f t="shared" si="1109"/>
        <v>0</v>
      </c>
      <c r="CZ362" s="668">
        <f t="shared" si="1109"/>
        <v>0</v>
      </c>
      <c r="DA362" s="668">
        <f t="shared" si="1109"/>
        <v>0</v>
      </c>
      <c r="DB362" s="668">
        <f t="shared" si="1109"/>
        <v>0</v>
      </c>
      <c r="DC362" s="668">
        <f t="shared" si="1109"/>
        <v>0</v>
      </c>
      <c r="DD362" s="668">
        <f t="shared" si="1109"/>
        <v>0</v>
      </c>
      <c r="DE362" s="668">
        <f t="shared" si="1109"/>
        <v>0</v>
      </c>
      <c r="DF362" s="668">
        <f t="shared" si="1109"/>
        <v>0</v>
      </c>
      <c r="DG362" s="668">
        <f t="shared" si="1109"/>
        <v>0</v>
      </c>
      <c r="DH362" s="668">
        <f t="shared" si="23"/>
        <v>0</v>
      </c>
      <c r="DI362" s="668">
        <f t="shared" ref="DI362:DR362" si="1110">BY362*$CL362</f>
        <v>164.604</v>
      </c>
      <c r="DJ362" s="668">
        <f t="shared" si="1110"/>
        <v>65.8416</v>
      </c>
      <c r="DK362" s="668">
        <f t="shared" si="1110"/>
        <v>164.604</v>
      </c>
      <c r="DL362" s="668">
        <f t="shared" si="1110"/>
        <v>0</v>
      </c>
      <c r="DM362" s="668">
        <f t="shared" si="1110"/>
        <v>0</v>
      </c>
      <c r="DN362" s="668">
        <f t="shared" si="1110"/>
        <v>0</v>
      </c>
      <c r="DO362" s="668">
        <f t="shared" si="1110"/>
        <v>0</v>
      </c>
      <c r="DP362" s="668">
        <f t="shared" si="1110"/>
        <v>0</v>
      </c>
      <c r="DQ362" s="668">
        <f t="shared" si="1110"/>
        <v>0</v>
      </c>
      <c r="DR362" s="668">
        <f t="shared" si="1110"/>
        <v>0</v>
      </c>
      <c r="DS362" s="668">
        <f t="shared" si="25"/>
        <v>395.0496</v>
      </c>
      <c r="DT362" s="668">
        <f t="shared" si="685"/>
        <v>790.0992</v>
      </c>
      <c r="DU362" s="538"/>
      <c r="DV362" s="468"/>
      <c r="DW362" s="698"/>
      <c r="DX362" s="698"/>
      <c r="DY362" s="698"/>
      <c r="DZ362" s="698"/>
      <c r="EA362" s="698"/>
      <c r="EB362" s="698"/>
      <c r="EC362" s="698"/>
      <c r="ED362" s="698"/>
      <c r="EE362" s="698"/>
      <c r="EF362" s="698"/>
      <c r="EG362" s="698"/>
      <c r="EH362" s="576" t="s">
        <v>3563</v>
      </c>
      <c r="EI362" s="716">
        <f>VLOOKUP(I362,CotizacionTDB,4,FALSE())</f>
        <v>4.73</v>
      </c>
      <c r="EJ362" s="716">
        <f>VLOOKUP(I362,CotizacionTDB,5,FALSE())</f>
        <v>4.02</v>
      </c>
      <c r="EK362" s="699"/>
    </row>
    <row r="363" ht="12.0" customHeight="1">
      <c r="A363" s="700" t="s">
        <v>3026</v>
      </c>
      <c r="B363" s="701">
        <v>2.0</v>
      </c>
      <c r="C363" s="562" t="s">
        <v>3032</v>
      </c>
      <c r="D363" s="743" t="s">
        <v>56</v>
      </c>
      <c r="E363" s="571" t="s">
        <v>2708</v>
      </c>
      <c r="F363" s="562" t="s">
        <v>1763</v>
      </c>
      <c r="G363" s="569" t="s">
        <v>2709</v>
      </c>
      <c r="H363" s="702" t="s">
        <v>3564</v>
      </c>
      <c r="I363" s="717" t="s">
        <v>1979</v>
      </c>
      <c r="J363" s="915" t="s">
        <v>1398</v>
      </c>
      <c r="K363" s="562" t="s">
        <v>25</v>
      </c>
      <c r="L363" s="562"/>
      <c r="M363" s="562"/>
      <c r="N363" s="562"/>
      <c r="O363" s="562"/>
      <c r="P363" s="562"/>
      <c r="Q363" s="562"/>
      <c r="R363" s="562">
        <v>2024.0</v>
      </c>
      <c r="S363" s="562"/>
      <c r="T363" s="562"/>
      <c r="U363" s="562"/>
      <c r="V363" s="562"/>
      <c r="W363" s="562"/>
      <c r="X363" s="562"/>
      <c r="Y363" s="562"/>
      <c r="Z363" s="562"/>
      <c r="AA363" s="562"/>
      <c r="AB363" s="562"/>
      <c r="AC363" s="821">
        <v>1.0</v>
      </c>
      <c r="AD363" s="562"/>
      <c r="AE363" s="562"/>
      <c r="AF363" s="562"/>
      <c r="AG363" s="562"/>
      <c r="AH363" s="562"/>
      <c r="AI363" s="562"/>
      <c r="AJ363" s="562"/>
      <c r="AK363" s="562"/>
      <c r="AL363" s="562"/>
      <c r="AM363" s="562"/>
      <c r="AN363" s="562"/>
      <c r="AO363" s="562"/>
      <c r="AP363" s="562"/>
      <c r="AQ363" s="562"/>
      <c r="AR363" s="562">
        <v>0.0</v>
      </c>
      <c r="AS363" s="562">
        <v>0.0</v>
      </c>
      <c r="AT363" s="562">
        <v>0.0</v>
      </c>
      <c r="AU363" s="562">
        <v>0.0</v>
      </c>
      <c r="AV363" s="562">
        <v>0.0</v>
      </c>
      <c r="AW363" s="562">
        <v>0.0</v>
      </c>
      <c r="AX363" s="562">
        <v>-2024.0</v>
      </c>
      <c r="AY363" s="562">
        <v>0.0</v>
      </c>
      <c r="AZ363" s="562">
        <v>0.0</v>
      </c>
      <c r="BA363" s="562">
        <v>0.0</v>
      </c>
      <c r="BB363" s="562"/>
      <c r="BC363" s="562"/>
      <c r="BD363" s="562"/>
      <c r="BE363" s="562"/>
      <c r="BF363" s="562"/>
      <c r="BG363" s="562"/>
      <c r="BH363" s="562"/>
      <c r="BI363" s="562">
        <v>2.0</v>
      </c>
      <c r="BJ363" s="562"/>
      <c r="BK363" s="562"/>
      <c r="BL363" s="681"/>
      <c r="BM363" s="665">
        <f t="shared" si="1"/>
        <v>2</v>
      </c>
      <c r="BN363" s="682"/>
      <c r="BO363" s="683"/>
      <c r="BP363" s="683"/>
      <c r="BQ363" s="683"/>
      <c r="BR363" s="683"/>
      <c r="BS363" s="683"/>
      <c r="BT363" s="683"/>
      <c r="BU363" s="683"/>
      <c r="BV363" s="683"/>
      <c r="BW363" s="686"/>
      <c r="BX363" s="665">
        <f t="shared" si="840"/>
        <v>0</v>
      </c>
      <c r="BY363" s="682">
        <v>0.0</v>
      </c>
      <c r="BZ363" s="683">
        <v>0.0</v>
      </c>
      <c r="CA363" s="683">
        <v>0.0</v>
      </c>
      <c r="CB363" s="683">
        <v>0.0</v>
      </c>
      <c r="CC363" s="683">
        <v>0.0</v>
      </c>
      <c r="CD363" s="683">
        <v>0.0</v>
      </c>
      <c r="CE363" s="683">
        <v>0.0</v>
      </c>
      <c r="CF363" s="683">
        <v>0.0</v>
      </c>
      <c r="CG363" s="683">
        <v>0.0</v>
      </c>
      <c r="CH363" s="686">
        <v>0.0</v>
      </c>
      <c r="CI363" s="665">
        <f t="shared" si="841"/>
        <v>0</v>
      </c>
      <c r="CJ363" s="682">
        <f t="shared" si="4"/>
        <v>2</v>
      </c>
      <c r="CK363" s="708">
        <v>12.34</v>
      </c>
      <c r="CL363" s="683">
        <f t="shared" si="1077"/>
        <v>85.8864</v>
      </c>
      <c r="CM363" s="683">
        <f t="shared" ref="CM363:CV363" si="1111">BC363*$CL363</f>
        <v>0</v>
      </c>
      <c r="CN363" s="683">
        <f t="shared" si="1111"/>
        <v>0</v>
      </c>
      <c r="CO363" s="683">
        <f t="shared" si="1111"/>
        <v>0</v>
      </c>
      <c r="CP363" s="683">
        <f t="shared" si="1111"/>
        <v>0</v>
      </c>
      <c r="CQ363" s="683">
        <f t="shared" si="1111"/>
        <v>0</v>
      </c>
      <c r="CR363" s="683">
        <f t="shared" si="1111"/>
        <v>0</v>
      </c>
      <c r="CS363" s="683">
        <f t="shared" si="1111"/>
        <v>171.7728</v>
      </c>
      <c r="CT363" s="683">
        <f t="shared" si="1111"/>
        <v>0</v>
      </c>
      <c r="CU363" s="683">
        <f t="shared" si="1111"/>
        <v>0</v>
      </c>
      <c r="CV363" s="683">
        <f t="shared" si="1111"/>
        <v>0</v>
      </c>
      <c r="CW363" s="683">
        <f t="shared" si="21"/>
        <v>171.7728</v>
      </c>
      <c r="CX363" s="683">
        <f t="shared" ref="CX363:DG363" si="1112">BN363*$CL363</f>
        <v>0</v>
      </c>
      <c r="CY363" s="683">
        <f t="shared" si="1112"/>
        <v>0</v>
      </c>
      <c r="CZ363" s="683">
        <f t="shared" si="1112"/>
        <v>0</v>
      </c>
      <c r="DA363" s="683">
        <f t="shared" si="1112"/>
        <v>0</v>
      </c>
      <c r="DB363" s="683">
        <f t="shared" si="1112"/>
        <v>0</v>
      </c>
      <c r="DC363" s="683">
        <f t="shared" si="1112"/>
        <v>0</v>
      </c>
      <c r="DD363" s="683">
        <f t="shared" si="1112"/>
        <v>0</v>
      </c>
      <c r="DE363" s="683">
        <f t="shared" si="1112"/>
        <v>0</v>
      </c>
      <c r="DF363" s="683">
        <f t="shared" si="1112"/>
        <v>0</v>
      </c>
      <c r="DG363" s="683">
        <f t="shared" si="1112"/>
        <v>0</v>
      </c>
      <c r="DH363" s="683">
        <f t="shared" si="23"/>
        <v>0</v>
      </c>
      <c r="DI363" s="683">
        <f t="shared" ref="DI363:DR363" si="1113">BY363*$CL363</f>
        <v>0</v>
      </c>
      <c r="DJ363" s="683">
        <f t="shared" si="1113"/>
        <v>0</v>
      </c>
      <c r="DK363" s="683">
        <f t="shared" si="1113"/>
        <v>0</v>
      </c>
      <c r="DL363" s="683">
        <f t="shared" si="1113"/>
        <v>0</v>
      </c>
      <c r="DM363" s="683">
        <f t="shared" si="1113"/>
        <v>0</v>
      </c>
      <c r="DN363" s="683">
        <f t="shared" si="1113"/>
        <v>0</v>
      </c>
      <c r="DO363" s="683">
        <f t="shared" si="1113"/>
        <v>0</v>
      </c>
      <c r="DP363" s="683">
        <f t="shared" si="1113"/>
        <v>0</v>
      </c>
      <c r="DQ363" s="683">
        <f t="shared" si="1113"/>
        <v>0</v>
      </c>
      <c r="DR363" s="683">
        <f t="shared" si="1113"/>
        <v>0</v>
      </c>
      <c r="DS363" s="683">
        <f t="shared" si="25"/>
        <v>0</v>
      </c>
      <c r="DT363" s="683">
        <f t="shared" si="685"/>
        <v>171.7728</v>
      </c>
      <c r="DU363" s="504"/>
      <c r="DV363" s="486"/>
      <c r="DW363" s="688"/>
      <c r="DX363" s="688"/>
      <c r="DY363" s="688"/>
      <c r="DZ363" s="688"/>
      <c r="EA363" s="688"/>
      <c r="EB363" s="688"/>
      <c r="EC363" s="688"/>
      <c r="ED363" s="688"/>
      <c r="EE363" s="688"/>
      <c r="EF363" s="688"/>
      <c r="EG363" s="688"/>
      <c r="EH363" s="707" t="s">
        <v>3565</v>
      </c>
      <c r="EI363" s="708">
        <f>VLOOKUP(I363,CotizacionTDB,4,FALSE())</f>
        <v>12.34</v>
      </c>
      <c r="EJ363" s="708">
        <f>VLOOKUP(I363,CotizacionTDB,5,FALSE())</f>
        <v>10.49</v>
      </c>
      <c r="EK363" s="691"/>
    </row>
    <row r="364" ht="12.0" customHeight="1">
      <c r="A364" s="709" t="s">
        <v>3026</v>
      </c>
      <c r="B364" s="661">
        <v>2.0</v>
      </c>
      <c r="C364" s="567" t="s">
        <v>3032</v>
      </c>
      <c r="D364" s="742" t="s">
        <v>56</v>
      </c>
      <c r="E364" s="568" t="s">
        <v>2708</v>
      </c>
      <c r="F364" s="567" t="s">
        <v>1763</v>
      </c>
      <c r="G364" s="569" t="s">
        <v>2709</v>
      </c>
      <c r="H364" s="657" t="s">
        <v>3566</v>
      </c>
      <c r="I364" s="710" t="s">
        <v>1966</v>
      </c>
      <c r="J364" s="915" t="s">
        <v>1212</v>
      </c>
      <c r="K364" s="567" t="s">
        <v>25</v>
      </c>
      <c r="L364" s="567"/>
      <c r="M364" s="567"/>
      <c r="N364" s="567"/>
      <c r="O364" s="567"/>
      <c r="P364" s="567"/>
      <c r="Q364" s="567"/>
      <c r="R364" s="567">
        <v>2024.0</v>
      </c>
      <c r="S364" s="567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662">
        <v>1.0</v>
      </c>
      <c r="AD364" s="567"/>
      <c r="AE364" s="567"/>
      <c r="AF364" s="567"/>
      <c r="AG364" s="567"/>
      <c r="AH364" s="567"/>
      <c r="AI364" s="567"/>
      <c r="AJ364" s="567"/>
      <c r="AK364" s="567"/>
      <c r="AL364" s="567"/>
      <c r="AM364" s="567"/>
      <c r="AN364" s="567"/>
      <c r="AO364" s="567"/>
      <c r="AP364" s="567"/>
      <c r="AQ364" s="567"/>
      <c r="AR364" s="567">
        <v>0.0</v>
      </c>
      <c r="AS364" s="567">
        <v>0.0</v>
      </c>
      <c r="AT364" s="567">
        <v>0.0</v>
      </c>
      <c r="AU364" s="567">
        <v>0.0</v>
      </c>
      <c r="AV364" s="567">
        <v>0.0</v>
      </c>
      <c r="AW364" s="567">
        <v>0.0</v>
      </c>
      <c r="AX364" s="567">
        <v>-2024.0</v>
      </c>
      <c r="AY364" s="567">
        <v>0.0</v>
      </c>
      <c r="AZ364" s="567">
        <v>0.0</v>
      </c>
      <c r="BA364" s="567">
        <v>0.0</v>
      </c>
      <c r="BB364" s="567"/>
      <c r="BC364" s="567"/>
      <c r="BD364" s="567"/>
      <c r="BE364" s="567"/>
      <c r="BF364" s="567"/>
      <c r="BG364" s="567"/>
      <c r="BH364" s="567"/>
      <c r="BI364" s="567">
        <v>1.0</v>
      </c>
      <c r="BJ364" s="567"/>
      <c r="BK364" s="567"/>
      <c r="BL364" s="725"/>
      <c r="BM364" s="665">
        <f t="shared" si="1"/>
        <v>1</v>
      </c>
      <c r="BN364" s="671"/>
      <c r="BO364" s="668"/>
      <c r="BP364" s="668"/>
      <c r="BQ364" s="668"/>
      <c r="BR364" s="668"/>
      <c r="BS364" s="668"/>
      <c r="BT364" s="668"/>
      <c r="BU364" s="668"/>
      <c r="BV364" s="668"/>
      <c r="BW364" s="670"/>
      <c r="BX364" s="665">
        <f t="shared" si="840"/>
        <v>0</v>
      </c>
      <c r="BY364" s="671">
        <v>0.0</v>
      </c>
      <c r="BZ364" s="668">
        <v>0.0</v>
      </c>
      <c r="CA364" s="668">
        <v>0.0</v>
      </c>
      <c r="CB364" s="668">
        <v>0.0</v>
      </c>
      <c r="CC364" s="668">
        <v>0.0</v>
      </c>
      <c r="CD364" s="668">
        <v>0.0</v>
      </c>
      <c r="CE364" s="668">
        <v>0.0</v>
      </c>
      <c r="CF364" s="668">
        <v>0.0</v>
      </c>
      <c r="CG364" s="668">
        <v>0.0</v>
      </c>
      <c r="CH364" s="670">
        <v>0.0</v>
      </c>
      <c r="CI364" s="665">
        <f t="shared" si="841"/>
        <v>0</v>
      </c>
      <c r="CJ364" s="671">
        <f t="shared" si="4"/>
        <v>1</v>
      </c>
      <c r="CK364" s="715">
        <v>11.04</v>
      </c>
      <c r="CL364" s="668">
        <f t="shared" si="1077"/>
        <v>76.8384</v>
      </c>
      <c r="CM364" s="668">
        <f t="shared" ref="CM364:CV364" si="1114">BC364*$CL364</f>
        <v>0</v>
      </c>
      <c r="CN364" s="668">
        <f t="shared" si="1114"/>
        <v>0</v>
      </c>
      <c r="CO364" s="668">
        <f t="shared" si="1114"/>
        <v>0</v>
      </c>
      <c r="CP364" s="668">
        <f t="shared" si="1114"/>
        <v>0</v>
      </c>
      <c r="CQ364" s="668">
        <f t="shared" si="1114"/>
        <v>0</v>
      </c>
      <c r="CR364" s="668">
        <f t="shared" si="1114"/>
        <v>0</v>
      </c>
      <c r="CS364" s="668">
        <f t="shared" si="1114"/>
        <v>76.8384</v>
      </c>
      <c r="CT364" s="668">
        <f t="shared" si="1114"/>
        <v>0</v>
      </c>
      <c r="CU364" s="668">
        <f t="shared" si="1114"/>
        <v>0</v>
      </c>
      <c r="CV364" s="668">
        <f t="shared" si="1114"/>
        <v>0</v>
      </c>
      <c r="CW364" s="668">
        <f t="shared" si="21"/>
        <v>76.8384</v>
      </c>
      <c r="CX364" s="668">
        <f t="shared" ref="CX364:DG364" si="1115">BN364*$CL364</f>
        <v>0</v>
      </c>
      <c r="CY364" s="668">
        <f t="shared" si="1115"/>
        <v>0</v>
      </c>
      <c r="CZ364" s="668">
        <f t="shared" si="1115"/>
        <v>0</v>
      </c>
      <c r="DA364" s="668">
        <f t="shared" si="1115"/>
        <v>0</v>
      </c>
      <c r="DB364" s="668">
        <f t="shared" si="1115"/>
        <v>0</v>
      </c>
      <c r="DC364" s="668">
        <f t="shared" si="1115"/>
        <v>0</v>
      </c>
      <c r="DD364" s="668">
        <f t="shared" si="1115"/>
        <v>0</v>
      </c>
      <c r="DE364" s="668">
        <f t="shared" si="1115"/>
        <v>0</v>
      </c>
      <c r="DF364" s="668">
        <f t="shared" si="1115"/>
        <v>0</v>
      </c>
      <c r="DG364" s="668">
        <f t="shared" si="1115"/>
        <v>0</v>
      </c>
      <c r="DH364" s="668">
        <f t="shared" si="23"/>
        <v>0</v>
      </c>
      <c r="DI364" s="668">
        <f t="shared" ref="DI364:DR364" si="1116">BY364*$CL364</f>
        <v>0</v>
      </c>
      <c r="DJ364" s="668">
        <f t="shared" si="1116"/>
        <v>0</v>
      </c>
      <c r="DK364" s="668">
        <f t="shared" si="1116"/>
        <v>0</v>
      </c>
      <c r="DL364" s="668">
        <f t="shared" si="1116"/>
        <v>0</v>
      </c>
      <c r="DM364" s="668">
        <f t="shared" si="1116"/>
        <v>0</v>
      </c>
      <c r="DN364" s="668">
        <f t="shared" si="1116"/>
        <v>0</v>
      </c>
      <c r="DO364" s="668">
        <f t="shared" si="1116"/>
        <v>0</v>
      </c>
      <c r="DP364" s="668">
        <f t="shared" si="1116"/>
        <v>0</v>
      </c>
      <c r="DQ364" s="668">
        <f t="shared" si="1116"/>
        <v>0</v>
      </c>
      <c r="DR364" s="668">
        <f t="shared" si="1116"/>
        <v>0</v>
      </c>
      <c r="DS364" s="668">
        <f t="shared" si="25"/>
        <v>0</v>
      </c>
      <c r="DT364" s="668">
        <f t="shared" si="685"/>
        <v>76.8384</v>
      </c>
      <c r="DU364" s="538"/>
      <c r="DV364" s="468"/>
      <c r="DW364" s="698"/>
      <c r="DX364" s="698"/>
      <c r="DY364" s="698"/>
      <c r="DZ364" s="698"/>
      <c r="EA364" s="698"/>
      <c r="EB364" s="698"/>
      <c r="EC364" s="698"/>
      <c r="ED364" s="698"/>
      <c r="EE364" s="698"/>
      <c r="EF364" s="698"/>
      <c r="EG364" s="698"/>
      <c r="EH364" s="576" t="s">
        <v>3567</v>
      </c>
      <c r="EI364" s="716">
        <f>VLOOKUP(I364,CotizacionTDB,4,FALSE())</f>
        <v>11.04</v>
      </c>
      <c r="EJ364" s="716">
        <f>VLOOKUP(I364,CotizacionTDB,5,FALSE())</f>
        <v>9.38</v>
      </c>
      <c r="EK364" s="699"/>
    </row>
    <row r="365" ht="12.0" customHeight="1">
      <c r="A365" s="700" t="s">
        <v>3026</v>
      </c>
      <c r="B365" s="701">
        <v>2.0</v>
      </c>
      <c r="C365" s="562" t="s">
        <v>3032</v>
      </c>
      <c r="D365" s="571" t="s">
        <v>513</v>
      </c>
      <c r="E365" s="571" t="s">
        <v>2722</v>
      </c>
      <c r="F365" s="562" t="s">
        <v>1763</v>
      </c>
      <c r="G365" s="702" t="s">
        <v>2723</v>
      </c>
      <c r="H365" s="569" t="s">
        <v>3568</v>
      </c>
      <c r="I365" s="703" t="s">
        <v>2156</v>
      </c>
      <c r="J365" s="704" t="s">
        <v>877</v>
      </c>
      <c r="K365" s="562" t="s">
        <v>25</v>
      </c>
      <c r="L365" s="562">
        <v>2024.0</v>
      </c>
      <c r="M365" s="562"/>
      <c r="N365" s="562">
        <v>2024.0</v>
      </c>
      <c r="O365" s="562"/>
      <c r="P365" s="562"/>
      <c r="Q365" s="562"/>
      <c r="R365" s="562">
        <v>2024.0</v>
      </c>
      <c r="S365" s="562">
        <v>2024.0</v>
      </c>
      <c r="T365" s="562">
        <v>2024.0</v>
      </c>
      <c r="U365" s="562">
        <v>2024.0</v>
      </c>
      <c r="V365" s="562"/>
      <c r="W365" s="562">
        <v>4.0</v>
      </c>
      <c r="X365" s="562"/>
      <c r="Y365" s="562">
        <v>4.0</v>
      </c>
      <c r="Z365" s="562"/>
      <c r="AA365" s="562"/>
      <c r="AB365" s="562"/>
      <c r="AC365" s="562">
        <v>3.0</v>
      </c>
      <c r="AD365" s="562">
        <v>3.0</v>
      </c>
      <c r="AE365" s="562">
        <v>3.0</v>
      </c>
      <c r="AF365" s="562">
        <v>3.0</v>
      </c>
      <c r="AG365" s="562"/>
      <c r="AH365" s="562"/>
      <c r="AI365" s="562"/>
      <c r="AJ365" s="562"/>
      <c r="AK365" s="562"/>
      <c r="AL365" s="562"/>
      <c r="AM365" s="562"/>
      <c r="AN365" s="562"/>
      <c r="AO365" s="562"/>
      <c r="AP365" s="562"/>
      <c r="AQ365" s="562"/>
      <c r="AR365" s="562">
        <v>-2024.0</v>
      </c>
      <c r="AS365" s="562">
        <v>0.0</v>
      </c>
      <c r="AT365" s="562">
        <v>-2024.0</v>
      </c>
      <c r="AU365" s="562">
        <v>0.0</v>
      </c>
      <c r="AV365" s="562">
        <v>0.0</v>
      </c>
      <c r="AW365" s="562">
        <v>0.0</v>
      </c>
      <c r="AX365" s="562">
        <v>-2024.0</v>
      </c>
      <c r="AY365" s="562">
        <v>-2024.0</v>
      </c>
      <c r="AZ365" s="562">
        <v>-2024.0</v>
      </c>
      <c r="BA365" s="562">
        <v>-2024.0</v>
      </c>
      <c r="BB365" s="562"/>
      <c r="BC365" s="828">
        <v>15.0</v>
      </c>
      <c r="BD365" s="562"/>
      <c r="BE365" s="828">
        <v>15.0</v>
      </c>
      <c r="BF365" s="562"/>
      <c r="BG365" s="562"/>
      <c r="BH365" s="562"/>
      <c r="BI365" s="718"/>
      <c r="BJ365" s="825">
        <v>0.0</v>
      </c>
      <c r="BK365" s="680"/>
      <c r="BL365" s="719">
        <v>0.0</v>
      </c>
      <c r="BM365" s="665">
        <f t="shared" si="1"/>
        <v>30</v>
      </c>
      <c r="BN365" s="939">
        <v>15.0</v>
      </c>
      <c r="BO365" s="683"/>
      <c r="BP365" s="940">
        <v>15.0</v>
      </c>
      <c r="BQ365" s="934"/>
      <c r="BR365" s="940"/>
      <c r="BS365" s="683"/>
      <c r="BT365" s="683"/>
      <c r="BU365" s="683"/>
      <c r="BV365" s="683"/>
      <c r="BW365" s="724">
        <v>2.0</v>
      </c>
      <c r="BX365" s="665">
        <f t="shared" si="840"/>
        <v>32</v>
      </c>
      <c r="BY365" s="682">
        <v>0.0</v>
      </c>
      <c r="BZ365" s="683">
        <v>0.0</v>
      </c>
      <c r="CA365" s="683">
        <v>0.0</v>
      </c>
      <c r="CB365" s="683">
        <v>0.0</v>
      </c>
      <c r="CC365" s="683">
        <v>0.0</v>
      </c>
      <c r="CD365" s="683">
        <v>0.0</v>
      </c>
      <c r="CE365" s="683">
        <v>0.0</v>
      </c>
      <c r="CF365" s="683">
        <v>0.0</v>
      </c>
      <c r="CG365" s="683">
        <v>0.0</v>
      </c>
      <c r="CH365" s="686">
        <v>0.0</v>
      </c>
      <c r="CI365" s="665">
        <f t="shared" si="841"/>
        <v>0</v>
      </c>
      <c r="CJ365" s="682">
        <f t="shared" si="4"/>
        <v>62</v>
      </c>
      <c r="CK365" s="706">
        <v>23.34</v>
      </c>
      <c r="CL365" s="683">
        <f t="shared" si="1077"/>
        <v>162.4464</v>
      </c>
      <c r="CM365" s="683">
        <f t="shared" ref="CM365:CV365" si="1117">BC365*$CL365</f>
        <v>2436.696</v>
      </c>
      <c r="CN365" s="683">
        <f t="shared" si="1117"/>
        <v>0</v>
      </c>
      <c r="CO365" s="683">
        <f t="shared" si="1117"/>
        <v>2436.696</v>
      </c>
      <c r="CP365" s="683">
        <f t="shared" si="1117"/>
        <v>0</v>
      </c>
      <c r="CQ365" s="683">
        <f t="shared" si="1117"/>
        <v>0</v>
      </c>
      <c r="CR365" s="683">
        <f t="shared" si="1117"/>
        <v>0</v>
      </c>
      <c r="CS365" s="683">
        <f t="shared" si="1117"/>
        <v>0</v>
      </c>
      <c r="CT365" s="683">
        <f t="shared" si="1117"/>
        <v>0</v>
      </c>
      <c r="CU365" s="683">
        <f t="shared" si="1117"/>
        <v>0</v>
      </c>
      <c r="CV365" s="683">
        <f t="shared" si="1117"/>
        <v>0</v>
      </c>
      <c r="CW365" s="683">
        <f t="shared" si="21"/>
        <v>4873.392</v>
      </c>
      <c r="CX365" s="683">
        <f t="shared" ref="CX365:DG365" si="1118">BN365*$CL365</f>
        <v>2436.696</v>
      </c>
      <c r="CY365" s="683">
        <f t="shared" si="1118"/>
        <v>0</v>
      </c>
      <c r="CZ365" s="683">
        <f t="shared" si="1118"/>
        <v>2436.696</v>
      </c>
      <c r="DA365" s="683">
        <f t="shared" si="1118"/>
        <v>0</v>
      </c>
      <c r="DB365" s="683">
        <f t="shared" si="1118"/>
        <v>0</v>
      </c>
      <c r="DC365" s="683">
        <f t="shared" si="1118"/>
        <v>0</v>
      </c>
      <c r="DD365" s="683">
        <f t="shared" si="1118"/>
        <v>0</v>
      </c>
      <c r="DE365" s="683">
        <f t="shared" si="1118"/>
        <v>0</v>
      </c>
      <c r="DF365" s="683">
        <f t="shared" si="1118"/>
        <v>0</v>
      </c>
      <c r="DG365" s="683">
        <f t="shared" si="1118"/>
        <v>324.8928</v>
      </c>
      <c r="DH365" s="683">
        <f t="shared" si="23"/>
        <v>5198.2848</v>
      </c>
      <c r="DI365" s="683">
        <f t="shared" ref="DI365:DR365" si="1119">BY365*$CL365</f>
        <v>0</v>
      </c>
      <c r="DJ365" s="683">
        <f t="shared" si="1119"/>
        <v>0</v>
      </c>
      <c r="DK365" s="683">
        <f t="shared" si="1119"/>
        <v>0</v>
      </c>
      <c r="DL365" s="683">
        <f t="shared" si="1119"/>
        <v>0</v>
      </c>
      <c r="DM365" s="683">
        <f t="shared" si="1119"/>
        <v>0</v>
      </c>
      <c r="DN365" s="683">
        <f t="shared" si="1119"/>
        <v>0</v>
      </c>
      <c r="DO365" s="683">
        <f t="shared" si="1119"/>
        <v>0</v>
      </c>
      <c r="DP365" s="683">
        <f t="shared" si="1119"/>
        <v>0</v>
      </c>
      <c r="DQ365" s="683">
        <f t="shared" si="1119"/>
        <v>0</v>
      </c>
      <c r="DR365" s="683">
        <f t="shared" si="1119"/>
        <v>0</v>
      </c>
      <c r="DS365" s="683">
        <f t="shared" si="25"/>
        <v>0</v>
      </c>
      <c r="DT365" s="683">
        <f t="shared" si="685"/>
        <v>10071.6768</v>
      </c>
      <c r="DU365" s="504"/>
      <c r="DV365" s="486"/>
      <c r="DW365" s="688"/>
      <c r="DX365" s="688"/>
      <c r="DY365" s="688"/>
      <c r="DZ365" s="688"/>
      <c r="EA365" s="688"/>
      <c r="EB365" s="688"/>
      <c r="EC365" s="688"/>
      <c r="ED365" s="688"/>
      <c r="EE365" s="688"/>
      <c r="EF365" s="688"/>
      <c r="EG365" s="688"/>
      <c r="EH365" s="707" t="s">
        <v>3569</v>
      </c>
      <c r="EI365" s="708">
        <f>VLOOKUP(I365,CotizacionTDB,4,FALSE())</f>
        <v>23.34</v>
      </c>
      <c r="EJ365" s="708">
        <f>VLOOKUP(I365,CotizacionTDB,5,FALSE())</f>
        <v>19.84</v>
      </c>
      <c r="EK365" s="691"/>
    </row>
    <row r="366" ht="12.0" customHeight="1">
      <c r="A366" s="709" t="s">
        <v>3026</v>
      </c>
      <c r="B366" s="661">
        <v>2.0</v>
      </c>
      <c r="C366" s="567" t="s">
        <v>3032</v>
      </c>
      <c r="D366" s="568" t="s">
        <v>513</v>
      </c>
      <c r="E366" s="568" t="s">
        <v>2722</v>
      </c>
      <c r="F366" s="567" t="s">
        <v>1763</v>
      </c>
      <c r="G366" s="657" t="s">
        <v>2723</v>
      </c>
      <c r="H366" s="658"/>
      <c r="I366" s="710" t="s">
        <v>2331</v>
      </c>
      <c r="J366" s="711" t="s">
        <v>952</v>
      </c>
      <c r="K366" s="567" t="s">
        <v>25</v>
      </c>
      <c r="L366" s="662">
        <v>2025.0</v>
      </c>
      <c r="M366" s="567"/>
      <c r="N366" s="567">
        <v>2024.0</v>
      </c>
      <c r="O366" s="567"/>
      <c r="P366" s="567">
        <v>2024.0</v>
      </c>
      <c r="Q366" s="567">
        <v>2024.0</v>
      </c>
      <c r="R366" s="567"/>
      <c r="S366" s="567"/>
      <c r="T366" s="567"/>
      <c r="U366" s="567"/>
      <c r="V366" s="567"/>
      <c r="W366" s="567">
        <v>3.0</v>
      </c>
      <c r="X366" s="567"/>
      <c r="Y366" s="567">
        <v>3.0</v>
      </c>
      <c r="Z366" s="567"/>
      <c r="AA366" s="567">
        <v>2.0</v>
      </c>
      <c r="AB366" s="567">
        <v>2.0</v>
      </c>
      <c r="AC366" s="567"/>
      <c r="AD366" s="567"/>
      <c r="AE366" s="567"/>
      <c r="AF366" s="567"/>
      <c r="AG366" s="567"/>
      <c r="AH366" s="567"/>
      <c r="AI366" s="567"/>
      <c r="AJ366" s="567"/>
      <c r="AK366" s="567"/>
      <c r="AL366" s="567"/>
      <c r="AM366" s="567"/>
      <c r="AN366" s="567"/>
      <c r="AO366" s="567"/>
      <c r="AP366" s="567"/>
      <c r="AQ366" s="567"/>
      <c r="AR366" s="567">
        <v>-2025.0</v>
      </c>
      <c r="AS366" s="567">
        <v>0.0</v>
      </c>
      <c r="AT366" s="567">
        <v>-2024.0</v>
      </c>
      <c r="AU366" s="567">
        <v>0.0</v>
      </c>
      <c r="AV366" s="567">
        <v>-2024.0</v>
      </c>
      <c r="AW366" s="567">
        <v>-2024.0</v>
      </c>
      <c r="AX366" s="567">
        <v>0.0</v>
      </c>
      <c r="AY366" s="567">
        <v>0.0</v>
      </c>
      <c r="AZ366" s="567">
        <v>0.0</v>
      </c>
      <c r="BA366" s="567">
        <v>0.0</v>
      </c>
      <c r="BB366" s="567"/>
      <c r="BC366" s="661"/>
      <c r="BD366" s="567"/>
      <c r="BE366" s="567">
        <v>30.0</v>
      </c>
      <c r="BF366" s="567"/>
      <c r="BG366" s="567">
        <v>20.0</v>
      </c>
      <c r="BH366" s="567">
        <v>20.0</v>
      </c>
      <c r="BI366" s="567"/>
      <c r="BJ366" s="567"/>
      <c r="BK366" s="567"/>
      <c r="BL366" s="725"/>
      <c r="BM366" s="665">
        <f t="shared" si="1"/>
        <v>70</v>
      </c>
      <c r="BN366" s="671">
        <v>30.0</v>
      </c>
      <c r="BO366" s="668"/>
      <c r="BP366" s="668"/>
      <c r="BQ366" s="668"/>
      <c r="BR366" s="668"/>
      <c r="BS366" s="668"/>
      <c r="BT366" s="668"/>
      <c r="BU366" s="668"/>
      <c r="BV366" s="668"/>
      <c r="BW366" s="670"/>
      <c r="BX366" s="665">
        <f t="shared" si="840"/>
        <v>30</v>
      </c>
      <c r="BY366" s="671">
        <v>0.0</v>
      </c>
      <c r="BZ366" s="668">
        <v>0.0</v>
      </c>
      <c r="CA366" s="668">
        <v>0.0</v>
      </c>
      <c r="CB366" s="668">
        <v>0.0</v>
      </c>
      <c r="CC366" s="668">
        <v>20.0</v>
      </c>
      <c r="CD366" s="668">
        <v>20.0</v>
      </c>
      <c r="CE366" s="668">
        <v>0.0</v>
      </c>
      <c r="CF366" s="668">
        <v>0.0</v>
      </c>
      <c r="CG366" s="668">
        <v>0.0</v>
      </c>
      <c r="CH366" s="670">
        <v>0.0</v>
      </c>
      <c r="CI366" s="665">
        <f t="shared" si="841"/>
        <v>40</v>
      </c>
      <c r="CJ366" s="671">
        <f t="shared" si="4"/>
        <v>140</v>
      </c>
      <c r="CK366" s="715">
        <v>10.31</v>
      </c>
      <c r="CL366" s="668">
        <f t="shared" si="1077"/>
        <v>71.7576</v>
      </c>
      <c r="CM366" s="668">
        <f t="shared" ref="CM366:CV366" si="1120">BC366*$CL366</f>
        <v>0</v>
      </c>
      <c r="CN366" s="668">
        <f t="shared" si="1120"/>
        <v>0</v>
      </c>
      <c r="CO366" s="668">
        <f t="shared" si="1120"/>
        <v>2152.728</v>
      </c>
      <c r="CP366" s="668">
        <f t="shared" si="1120"/>
        <v>0</v>
      </c>
      <c r="CQ366" s="668">
        <f t="shared" si="1120"/>
        <v>1435.152</v>
      </c>
      <c r="CR366" s="668">
        <f t="shared" si="1120"/>
        <v>1435.152</v>
      </c>
      <c r="CS366" s="668">
        <f t="shared" si="1120"/>
        <v>0</v>
      </c>
      <c r="CT366" s="668">
        <f t="shared" si="1120"/>
        <v>0</v>
      </c>
      <c r="CU366" s="668">
        <f t="shared" si="1120"/>
        <v>0</v>
      </c>
      <c r="CV366" s="668">
        <f t="shared" si="1120"/>
        <v>0</v>
      </c>
      <c r="CW366" s="668">
        <f t="shared" si="21"/>
        <v>5023.032</v>
      </c>
      <c r="CX366" s="668">
        <f t="shared" ref="CX366:DG366" si="1121">BN366*$CL366</f>
        <v>2152.728</v>
      </c>
      <c r="CY366" s="668">
        <f t="shared" si="1121"/>
        <v>0</v>
      </c>
      <c r="CZ366" s="668">
        <f t="shared" si="1121"/>
        <v>0</v>
      </c>
      <c r="DA366" s="668">
        <f t="shared" si="1121"/>
        <v>0</v>
      </c>
      <c r="DB366" s="668">
        <f t="shared" si="1121"/>
        <v>0</v>
      </c>
      <c r="DC366" s="668">
        <f t="shared" si="1121"/>
        <v>0</v>
      </c>
      <c r="DD366" s="668">
        <f t="shared" si="1121"/>
        <v>0</v>
      </c>
      <c r="DE366" s="668">
        <f t="shared" si="1121"/>
        <v>0</v>
      </c>
      <c r="DF366" s="668">
        <f t="shared" si="1121"/>
        <v>0</v>
      </c>
      <c r="DG366" s="668">
        <f t="shared" si="1121"/>
        <v>0</v>
      </c>
      <c r="DH366" s="668">
        <f t="shared" si="23"/>
        <v>2152.728</v>
      </c>
      <c r="DI366" s="668">
        <f t="shared" ref="DI366:DR366" si="1122">BY366*$CL366</f>
        <v>0</v>
      </c>
      <c r="DJ366" s="668">
        <f t="shared" si="1122"/>
        <v>0</v>
      </c>
      <c r="DK366" s="668">
        <f t="shared" si="1122"/>
        <v>0</v>
      </c>
      <c r="DL366" s="668">
        <f t="shared" si="1122"/>
        <v>0</v>
      </c>
      <c r="DM366" s="668">
        <f t="shared" si="1122"/>
        <v>1435.152</v>
      </c>
      <c r="DN366" s="668">
        <f t="shared" si="1122"/>
        <v>1435.152</v>
      </c>
      <c r="DO366" s="668">
        <f t="shared" si="1122"/>
        <v>0</v>
      </c>
      <c r="DP366" s="668">
        <f t="shared" si="1122"/>
        <v>0</v>
      </c>
      <c r="DQ366" s="668">
        <f t="shared" si="1122"/>
        <v>0</v>
      </c>
      <c r="DR366" s="668">
        <f t="shared" si="1122"/>
        <v>0</v>
      </c>
      <c r="DS366" s="668">
        <f t="shared" si="25"/>
        <v>2870.304</v>
      </c>
      <c r="DT366" s="668">
        <f t="shared" si="685"/>
        <v>10046.064</v>
      </c>
      <c r="DU366" s="538"/>
      <c r="DV366" s="468"/>
      <c r="DW366" s="698"/>
      <c r="DX366" s="698"/>
      <c r="DY366" s="698"/>
      <c r="DZ366" s="698"/>
      <c r="EA366" s="698"/>
      <c r="EB366" s="698"/>
      <c r="EC366" s="698"/>
      <c r="ED366" s="698"/>
      <c r="EE366" s="698"/>
      <c r="EF366" s="698"/>
      <c r="EG366" s="698"/>
      <c r="EH366" s="576" t="s">
        <v>3570</v>
      </c>
      <c r="EI366" s="716">
        <f>VLOOKUP(I366,CotizacionTDB,4,FALSE())</f>
        <v>10.31</v>
      </c>
      <c r="EJ366" s="716">
        <f>VLOOKUP(I366,CotizacionTDB,5,FALSE())</f>
        <v>8.76</v>
      </c>
      <c r="EK366" s="699"/>
    </row>
    <row r="367" ht="12.0" customHeight="1">
      <c r="A367" s="700" t="s">
        <v>3026</v>
      </c>
      <c r="B367" s="701">
        <v>2.0</v>
      </c>
      <c r="C367" s="562" t="s">
        <v>3032</v>
      </c>
      <c r="D367" s="571" t="s">
        <v>513</v>
      </c>
      <c r="E367" s="571" t="s">
        <v>2722</v>
      </c>
      <c r="F367" s="562" t="s">
        <v>1763</v>
      </c>
      <c r="G367" s="702" t="s">
        <v>2723</v>
      </c>
      <c r="H367" s="737"/>
      <c r="I367" s="717" t="s">
        <v>2329</v>
      </c>
      <c r="J367" s="704" t="s">
        <v>955</v>
      </c>
      <c r="K367" s="562" t="s">
        <v>25</v>
      </c>
      <c r="L367" s="821">
        <v>2025.0</v>
      </c>
      <c r="M367" s="562"/>
      <c r="N367" s="562">
        <v>2024.0</v>
      </c>
      <c r="O367" s="562"/>
      <c r="P367" s="562">
        <v>2024.0</v>
      </c>
      <c r="Q367" s="562">
        <v>2024.0</v>
      </c>
      <c r="R367" s="562"/>
      <c r="S367" s="562"/>
      <c r="T367" s="562"/>
      <c r="U367" s="562"/>
      <c r="V367" s="562"/>
      <c r="W367" s="562">
        <v>3.0</v>
      </c>
      <c r="X367" s="562"/>
      <c r="Y367" s="562">
        <v>3.0</v>
      </c>
      <c r="Z367" s="562"/>
      <c r="AA367" s="562">
        <v>2.0</v>
      </c>
      <c r="AB367" s="562">
        <v>2.0</v>
      </c>
      <c r="AC367" s="562"/>
      <c r="AD367" s="562"/>
      <c r="AE367" s="562"/>
      <c r="AF367" s="562"/>
      <c r="AG367" s="562"/>
      <c r="AH367" s="562"/>
      <c r="AI367" s="562"/>
      <c r="AJ367" s="562"/>
      <c r="AK367" s="562"/>
      <c r="AL367" s="562"/>
      <c r="AM367" s="562"/>
      <c r="AN367" s="562"/>
      <c r="AO367" s="562"/>
      <c r="AP367" s="562"/>
      <c r="AQ367" s="562"/>
      <c r="AR367" s="562">
        <v>-2025.0</v>
      </c>
      <c r="AS367" s="562">
        <v>0.0</v>
      </c>
      <c r="AT367" s="562">
        <v>-2024.0</v>
      </c>
      <c r="AU367" s="562">
        <v>0.0</v>
      </c>
      <c r="AV367" s="562">
        <v>-2024.0</v>
      </c>
      <c r="AW367" s="562">
        <v>-2024.0</v>
      </c>
      <c r="AX367" s="562">
        <v>0.0</v>
      </c>
      <c r="AY367" s="562">
        <v>0.0</v>
      </c>
      <c r="AZ367" s="562">
        <v>0.0</v>
      </c>
      <c r="BA367" s="562">
        <v>0.0</v>
      </c>
      <c r="BB367" s="562"/>
      <c r="BC367" s="701"/>
      <c r="BD367" s="562"/>
      <c r="BE367" s="562">
        <v>30.0</v>
      </c>
      <c r="BF367" s="562"/>
      <c r="BG367" s="562">
        <v>20.0</v>
      </c>
      <c r="BH367" s="562">
        <v>20.0</v>
      </c>
      <c r="BI367" s="562"/>
      <c r="BJ367" s="562"/>
      <c r="BK367" s="562"/>
      <c r="BL367" s="681"/>
      <c r="BM367" s="665">
        <f t="shared" si="1"/>
        <v>70</v>
      </c>
      <c r="BN367" s="682">
        <v>30.0</v>
      </c>
      <c r="BO367" s="683"/>
      <c r="BP367" s="683"/>
      <c r="BQ367" s="683"/>
      <c r="BR367" s="683"/>
      <c r="BS367" s="683"/>
      <c r="BT367" s="683"/>
      <c r="BU367" s="683"/>
      <c r="BV367" s="683"/>
      <c r="BW367" s="686"/>
      <c r="BX367" s="665">
        <f t="shared" si="840"/>
        <v>30</v>
      </c>
      <c r="BY367" s="682">
        <v>0.0</v>
      </c>
      <c r="BZ367" s="683">
        <v>0.0</v>
      </c>
      <c r="CA367" s="683">
        <v>0.0</v>
      </c>
      <c r="CB367" s="683">
        <v>0.0</v>
      </c>
      <c r="CC367" s="683">
        <v>20.0</v>
      </c>
      <c r="CD367" s="683">
        <v>20.0</v>
      </c>
      <c r="CE367" s="683">
        <v>0.0</v>
      </c>
      <c r="CF367" s="683">
        <v>0.0</v>
      </c>
      <c r="CG367" s="683">
        <v>0.0</v>
      </c>
      <c r="CH367" s="686">
        <v>0.0</v>
      </c>
      <c r="CI367" s="665">
        <f t="shared" si="841"/>
        <v>40</v>
      </c>
      <c r="CJ367" s="682">
        <f t="shared" si="4"/>
        <v>140</v>
      </c>
      <c r="CK367" s="706">
        <v>10.31</v>
      </c>
      <c r="CL367" s="683">
        <f t="shared" si="1077"/>
        <v>71.7576</v>
      </c>
      <c r="CM367" s="683">
        <f t="shared" ref="CM367:CV367" si="1123">BC367*$CL367</f>
        <v>0</v>
      </c>
      <c r="CN367" s="683">
        <f t="shared" si="1123"/>
        <v>0</v>
      </c>
      <c r="CO367" s="683">
        <f t="shared" si="1123"/>
        <v>2152.728</v>
      </c>
      <c r="CP367" s="683">
        <f t="shared" si="1123"/>
        <v>0</v>
      </c>
      <c r="CQ367" s="683">
        <f t="shared" si="1123"/>
        <v>1435.152</v>
      </c>
      <c r="CR367" s="683">
        <f t="shared" si="1123"/>
        <v>1435.152</v>
      </c>
      <c r="CS367" s="683">
        <f t="shared" si="1123"/>
        <v>0</v>
      </c>
      <c r="CT367" s="683">
        <f t="shared" si="1123"/>
        <v>0</v>
      </c>
      <c r="CU367" s="683">
        <f t="shared" si="1123"/>
        <v>0</v>
      </c>
      <c r="CV367" s="683">
        <f t="shared" si="1123"/>
        <v>0</v>
      </c>
      <c r="CW367" s="683">
        <f t="shared" si="21"/>
        <v>5023.032</v>
      </c>
      <c r="CX367" s="683">
        <f t="shared" ref="CX367:DG367" si="1124">BN367*$CL367</f>
        <v>2152.728</v>
      </c>
      <c r="CY367" s="683">
        <f t="shared" si="1124"/>
        <v>0</v>
      </c>
      <c r="CZ367" s="683">
        <f t="shared" si="1124"/>
        <v>0</v>
      </c>
      <c r="DA367" s="683">
        <f t="shared" si="1124"/>
        <v>0</v>
      </c>
      <c r="DB367" s="683">
        <f t="shared" si="1124"/>
        <v>0</v>
      </c>
      <c r="DC367" s="683">
        <f t="shared" si="1124"/>
        <v>0</v>
      </c>
      <c r="DD367" s="683">
        <f t="shared" si="1124"/>
        <v>0</v>
      </c>
      <c r="DE367" s="683">
        <f t="shared" si="1124"/>
        <v>0</v>
      </c>
      <c r="DF367" s="683">
        <f t="shared" si="1124"/>
        <v>0</v>
      </c>
      <c r="DG367" s="683">
        <f t="shared" si="1124"/>
        <v>0</v>
      </c>
      <c r="DH367" s="683">
        <f t="shared" si="23"/>
        <v>2152.728</v>
      </c>
      <c r="DI367" s="683">
        <f t="shared" ref="DI367:DR367" si="1125">BY367*$CL367</f>
        <v>0</v>
      </c>
      <c r="DJ367" s="683">
        <f t="shared" si="1125"/>
        <v>0</v>
      </c>
      <c r="DK367" s="683">
        <f t="shared" si="1125"/>
        <v>0</v>
      </c>
      <c r="DL367" s="683">
        <f t="shared" si="1125"/>
        <v>0</v>
      </c>
      <c r="DM367" s="683">
        <f t="shared" si="1125"/>
        <v>1435.152</v>
      </c>
      <c r="DN367" s="683">
        <f t="shared" si="1125"/>
        <v>1435.152</v>
      </c>
      <c r="DO367" s="683">
        <f t="shared" si="1125"/>
        <v>0</v>
      </c>
      <c r="DP367" s="683">
        <f t="shared" si="1125"/>
        <v>0</v>
      </c>
      <c r="DQ367" s="683">
        <f t="shared" si="1125"/>
        <v>0</v>
      </c>
      <c r="DR367" s="683">
        <f t="shared" si="1125"/>
        <v>0</v>
      </c>
      <c r="DS367" s="683">
        <f t="shared" si="25"/>
        <v>2870.304</v>
      </c>
      <c r="DT367" s="683">
        <f t="shared" si="685"/>
        <v>10046.064</v>
      </c>
      <c r="DU367" s="504"/>
      <c r="DV367" s="486"/>
      <c r="DW367" s="688"/>
      <c r="DX367" s="688"/>
      <c r="DY367" s="688"/>
      <c r="DZ367" s="688"/>
      <c r="EA367" s="688"/>
      <c r="EB367" s="688"/>
      <c r="EC367" s="688"/>
      <c r="ED367" s="688"/>
      <c r="EE367" s="688"/>
      <c r="EF367" s="688"/>
      <c r="EG367" s="688"/>
      <c r="EH367" s="707" t="s">
        <v>3571</v>
      </c>
      <c r="EI367" s="708">
        <f>VLOOKUP(I367,CotizacionTDB,4,FALSE())</f>
        <v>10.31</v>
      </c>
      <c r="EJ367" s="708">
        <f>VLOOKUP(I367,CotizacionTDB,5,FALSE())</f>
        <v>8.76</v>
      </c>
      <c r="EK367" s="691"/>
    </row>
    <row r="368" ht="12.0" customHeight="1">
      <c r="A368" s="709" t="s">
        <v>3026</v>
      </c>
      <c r="B368" s="661">
        <v>2.0</v>
      </c>
      <c r="C368" s="567" t="s">
        <v>3032</v>
      </c>
      <c r="D368" s="568" t="s">
        <v>513</v>
      </c>
      <c r="E368" s="568" t="s">
        <v>2722</v>
      </c>
      <c r="F368" s="567" t="s">
        <v>1763</v>
      </c>
      <c r="G368" s="657" t="s">
        <v>2723</v>
      </c>
      <c r="H368" s="569" t="s">
        <v>3572</v>
      </c>
      <c r="I368" s="941" t="s">
        <v>2420</v>
      </c>
      <c r="J368" s="771" t="s">
        <v>2421</v>
      </c>
      <c r="K368" s="567" t="s">
        <v>25</v>
      </c>
      <c r="L368" s="567">
        <v>2024.0</v>
      </c>
      <c r="M368" s="567">
        <v>2024.0</v>
      </c>
      <c r="N368" s="567">
        <v>2024.0</v>
      </c>
      <c r="O368" s="567"/>
      <c r="P368" s="567"/>
      <c r="Q368" s="567"/>
      <c r="R368" s="567">
        <v>2024.0</v>
      </c>
      <c r="S368" s="567">
        <v>2024.0</v>
      </c>
      <c r="T368" s="567">
        <v>2024.0</v>
      </c>
      <c r="U368" s="567">
        <v>2024.0</v>
      </c>
      <c r="V368" s="567"/>
      <c r="W368" s="567">
        <v>3.0</v>
      </c>
      <c r="X368" s="567">
        <v>3.0</v>
      </c>
      <c r="Y368" s="567">
        <v>3.0</v>
      </c>
      <c r="Z368" s="567"/>
      <c r="AA368" s="567"/>
      <c r="AB368" s="567"/>
      <c r="AC368" s="567">
        <v>2.0</v>
      </c>
      <c r="AD368" s="567">
        <v>2.0</v>
      </c>
      <c r="AE368" s="567">
        <v>2.0</v>
      </c>
      <c r="AF368" s="567">
        <v>2.0</v>
      </c>
      <c r="AG368" s="567"/>
      <c r="AH368" s="567"/>
      <c r="AI368" s="567"/>
      <c r="AJ368" s="567"/>
      <c r="AK368" s="567"/>
      <c r="AL368" s="567"/>
      <c r="AM368" s="567"/>
      <c r="AN368" s="567"/>
      <c r="AO368" s="567"/>
      <c r="AP368" s="567"/>
      <c r="AQ368" s="567"/>
      <c r="AR368" s="567">
        <v>-2024.0</v>
      </c>
      <c r="AS368" s="567">
        <v>-2024.0</v>
      </c>
      <c r="AT368" s="567">
        <v>-2024.0</v>
      </c>
      <c r="AU368" s="567">
        <v>0.0</v>
      </c>
      <c r="AV368" s="567">
        <v>0.0</v>
      </c>
      <c r="AW368" s="567">
        <v>0.0</v>
      </c>
      <c r="AX368" s="567">
        <v>-2024.0</v>
      </c>
      <c r="AY368" s="567">
        <v>-2024.0</v>
      </c>
      <c r="AZ368" s="567">
        <v>-2024.0</v>
      </c>
      <c r="BA368" s="567">
        <v>-2024.0</v>
      </c>
      <c r="BB368" s="567"/>
      <c r="BC368" s="567">
        <v>10.0</v>
      </c>
      <c r="BD368" s="567">
        <v>10.0</v>
      </c>
      <c r="BE368" s="567">
        <v>10.0</v>
      </c>
      <c r="BF368" s="567"/>
      <c r="BG368" s="567"/>
      <c r="BH368" s="567"/>
      <c r="BI368" s="567">
        <v>10.0</v>
      </c>
      <c r="BJ368" s="722">
        <v>0.0</v>
      </c>
      <c r="BK368" s="567">
        <v>5.0</v>
      </c>
      <c r="BL368" s="725">
        <v>10.0</v>
      </c>
      <c r="BM368" s="665">
        <f t="shared" si="1"/>
        <v>55</v>
      </c>
      <c r="BN368" s="671"/>
      <c r="BO368" s="668"/>
      <c r="BP368" s="668"/>
      <c r="BQ368" s="668"/>
      <c r="BR368" s="668"/>
      <c r="BS368" s="668"/>
      <c r="BT368" s="668"/>
      <c r="BU368" s="668"/>
      <c r="BV368" s="668"/>
      <c r="BW368" s="670"/>
      <c r="BX368" s="665">
        <f t="shared" si="840"/>
        <v>0</v>
      </c>
      <c r="BY368" s="671">
        <v>0.0</v>
      </c>
      <c r="BZ368" s="668">
        <v>0.0</v>
      </c>
      <c r="CA368" s="668">
        <v>0.0</v>
      </c>
      <c r="CB368" s="668">
        <v>0.0</v>
      </c>
      <c r="CC368" s="668">
        <v>0.0</v>
      </c>
      <c r="CD368" s="668">
        <v>0.0</v>
      </c>
      <c r="CE368" s="668">
        <v>10.0</v>
      </c>
      <c r="CF368" s="747">
        <v>0.0</v>
      </c>
      <c r="CG368" s="668">
        <v>5.0</v>
      </c>
      <c r="CH368" s="670">
        <v>10.0</v>
      </c>
      <c r="CI368" s="665">
        <f t="shared" si="841"/>
        <v>25</v>
      </c>
      <c r="CJ368" s="671">
        <f t="shared" si="4"/>
        <v>80</v>
      </c>
      <c r="CK368" s="715">
        <v>6.0</v>
      </c>
      <c r="CL368" s="668">
        <f t="shared" si="1077"/>
        <v>41.76</v>
      </c>
      <c r="CM368" s="668">
        <f t="shared" ref="CM368:CV368" si="1126">BC368*$CL368</f>
        <v>417.6</v>
      </c>
      <c r="CN368" s="668">
        <f t="shared" si="1126"/>
        <v>417.6</v>
      </c>
      <c r="CO368" s="668">
        <f t="shared" si="1126"/>
        <v>417.6</v>
      </c>
      <c r="CP368" s="668">
        <f t="shared" si="1126"/>
        <v>0</v>
      </c>
      <c r="CQ368" s="668">
        <f t="shared" si="1126"/>
        <v>0</v>
      </c>
      <c r="CR368" s="668">
        <f t="shared" si="1126"/>
        <v>0</v>
      </c>
      <c r="CS368" s="668">
        <f t="shared" si="1126"/>
        <v>417.6</v>
      </c>
      <c r="CT368" s="668">
        <f t="shared" si="1126"/>
        <v>0</v>
      </c>
      <c r="CU368" s="668">
        <f t="shared" si="1126"/>
        <v>208.8</v>
      </c>
      <c r="CV368" s="668">
        <f t="shared" si="1126"/>
        <v>417.6</v>
      </c>
      <c r="CW368" s="668">
        <f t="shared" si="21"/>
        <v>2296.8</v>
      </c>
      <c r="CX368" s="668">
        <f t="shared" ref="CX368:DG368" si="1127">BN368*$CL368</f>
        <v>0</v>
      </c>
      <c r="CY368" s="668">
        <f t="shared" si="1127"/>
        <v>0</v>
      </c>
      <c r="CZ368" s="668">
        <f t="shared" si="1127"/>
        <v>0</v>
      </c>
      <c r="DA368" s="668">
        <f t="shared" si="1127"/>
        <v>0</v>
      </c>
      <c r="DB368" s="668">
        <f t="shared" si="1127"/>
        <v>0</v>
      </c>
      <c r="DC368" s="668">
        <f t="shared" si="1127"/>
        <v>0</v>
      </c>
      <c r="DD368" s="668">
        <f t="shared" si="1127"/>
        <v>0</v>
      </c>
      <c r="DE368" s="668">
        <f t="shared" si="1127"/>
        <v>0</v>
      </c>
      <c r="DF368" s="668">
        <f t="shared" si="1127"/>
        <v>0</v>
      </c>
      <c r="DG368" s="668">
        <f t="shared" si="1127"/>
        <v>0</v>
      </c>
      <c r="DH368" s="668">
        <f t="shared" si="23"/>
        <v>0</v>
      </c>
      <c r="DI368" s="668">
        <f t="shared" ref="DI368:DR368" si="1128">BY368*$CL368</f>
        <v>0</v>
      </c>
      <c r="DJ368" s="668">
        <f t="shared" si="1128"/>
        <v>0</v>
      </c>
      <c r="DK368" s="668">
        <f t="shared" si="1128"/>
        <v>0</v>
      </c>
      <c r="DL368" s="668">
        <f t="shared" si="1128"/>
        <v>0</v>
      </c>
      <c r="DM368" s="668">
        <f t="shared" si="1128"/>
        <v>0</v>
      </c>
      <c r="DN368" s="668">
        <f t="shared" si="1128"/>
        <v>0</v>
      </c>
      <c r="DO368" s="668">
        <f t="shared" si="1128"/>
        <v>417.6</v>
      </c>
      <c r="DP368" s="668">
        <f t="shared" si="1128"/>
        <v>0</v>
      </c>
      <c r="DQ368" s="668">
        <f t="shared" si="1128"/>
        <v>208.8</v>
      </c>
      <c r="DR368" s="668">
        <f t="shared" si="1128"/>
        <v>417.6</v>
      </c>
      <c r="DS368" s="668">
        <f t="shared" si="25"/>
        <v>1044</v>
      </c>
      <c r="DT368" s="668">
        <f t="shared" si="685"/>
        <v>3340.8</v>
      </c>
      <c r="DU368" s="792"/>
      <c r="DV368" s="675" t="s">
        <v>3406</v>
      </c>
      <c r="DW368" s="676"/>
      <c r="DX368" s="676"/>
      <c r="DY368" s="676"/>
      <c r="DZ368" s="676"/>
      <c r="EA368" s="676"/>
      <c r="EB368" s="676"/>
      <c r="EC368" s="676"/>
      <c r="ED368" s="676"/>
      <c r="EE368" s="676"/>
      <c r="EF368" s="676"/>
      <c r="EG368" s="676"/>
      <c r="EH368" s="576" t="s">
        <v>3573</v>
      </c>
      <c r="EI368" s="716">
        <f>VLOOKUP(I368,CotizacionTDB,4,FALSE())</f>
        <v>6</v>
      </c>
      <c r="EJ368" s="716">
        <f>VLOOKUP(I368,CotizacionTDB,5,FALSE())</f>
        <v>5.1</v>
      </c>
      <c r="EK368" s="699"/>
    </row>
    <row r="369" ht="12.0" customHeight="1">
      <c r="A369" s="700" t="s">
        <v>3026</v>
      </c>
      <c r="B369" s="701">
        <v>2.0</v>
      </c>
      <c r="C369" s="562" t="s">
        <v>3032</v>
      </c>
      <c r="D369" s="571" t="s">
        <v>513</v>
      </c>
      <c r="E369" s="571" t="s">
        <v>2722</v>
      </c>
      <c r="F369" s="562" t="s">
        <v>1763</v>
      </c>
      <c r="G369" s="569" t="s">
        <v>2723</v>
      </c>
      <c r="H369" s="569" t="s">
        <v>2724</v>
      </c>
      <c r="I369" s="703" t="s">
        <v>1913</v>
      </c>
      <c r="J369" s="704" t="s">
        <v>1366</v>
      </c>
      <c r="K369" s="562" t="s">
        <v>25</v>
      </c>
      <c r="L369" s="562">
        <v>2024.0</v>
      </c>
      <c r="M369" s="562">
        <v>2024.0</v>
      </c>
      <c r="N369" s="562">
        <v>2024.0</v>
      </c>
      <c r="O369" s="562"/>
      <c r="P369" s="562"/>
      <c r="Q369" s="562"/>
      <c r="R369" s="562"/>
      <c r="S369" s="562"/>
      <c r="T369" s="562"/>
      <c r="U369" s="562"/>
      <c r="V369" s="562"/>
      <c r="W369" s="562">
        <v>3.0</v>
      </c>
      <c r="X369" s="562"/>
      <c r="Y369" s="562">
        <v>3.0</v>
      </c>
      <c r="Z369" s="562"/>
      <c r="AA369" s="562"/>
      <c r="AB369" s="562"/>
      <c r="AC369" s="562"/>
      <c r="AD369" s="562"/>
      <c r="AE369" s="562"/>
      <c r="AF369" s="562"/>
      <c r="AG369" s="562"/>
      <c r="AH369" s="562"/>
      <c r="AI369" s="562"/>
      <c r="AJ369" s="562"/>
      <c r="AK369" s="562"/>
      <c r="AL369" s="562"/>
      <c r="AM369" s="562"/>
      <c r="AN369" s="562"/>
      <c r="AO369" s="562"/>
      <c r="AP369" s="562"/>
      <c r="AQ369" s="562"/>
      <c r="AR369" s="562">
        <v>-2024.0</v>
      </c>
      <c r="AS369" s="562">
        <v>-2024.0</v>
      </c>
      <c r="AT369" s="562">
        <v>-2024.0</v>
      </c>
      <c r="AU369" s="562">
        <v>0.0</v>
      </c>
      <c r="AV369" s="562">
        <v>0.0</v>
      </c>
      <c r="AW369" s="562">
        <v>0.0</v>
      </c>
      <c r="AX369" s="562">
        <v>0.0</v>
      </c>
      <c r="AY369" s="562">
        <v>0.0</v>
      </c>
      <c r="AZ369" s="562">
        <v>0.0</v>
      </c>
      <c r="BA369" s="562">
        <v>0.0</v>
      </c>
      <c r="BB369" s="562"/>
      <c r="BC369" s="701">
        <v>10.0</v>
      </c>
      <c r="BD369" s="701">
        <v>10.0</v>
      </c>
      <c r="BE369" s="701">
        <v>30.0</v>
      </c>
      <c r="BF369" s="562">
        <v>20.0</v>
      </c>
      <c r="BG369" s="562">
        <v>30.0</v>
      </c>
      <c r="BH369" s="562">
        <v>50.0</v>
      </c>
      <c r="BI369" s="701">
        <v>10.0</v>
      </c>
      <c r="BJ369" s="562"/>
      <c r="BK369" s="701">
        <v>6.0</v>
      </c>
      <c r="BL369" s="681"/>
      <c r="BM369" s="665">
        <f t="shared" si="1"/>
        <v>166</v>
      </c>
      <c r="BN369" s="733">
        <v>10.0</v>
      </c>
      <c r="BO369" s="687">
        <v>10.0</v>
      </c>
      <c r="BP369" s="687">
        <v>30.0</v>
      </c>
      <c r="BQ369" s="683"/>
      <c r="BR369" s="683"/>
      <c r="BS369" s="683"/>
      <c r="BT369" s="683"/>
      <c r="BU369" s="683"/>
      <c r="BV369" s="683"/>
      <c r="BW369" s="686"/>
      <c r="BX369" s="665">
        <f t="shared" si="840"/>
        <v>50</v>
      </c>
      <c r="BY369" s="682">
        <v>0.0</v>
      </c>
      <c r="BZ369" s="683">
        <v>0.0</v>
      </c>
      <c r="CA369" s="683">
        <v>0.0</v>
      </c>
      <c r="CB369" s="683">
        <v>0.0</v>
      </c>
      <c r="CC369" s="683">
        <v>0.0</v>
      </c>
      <c r="CD369" s="683">
        <v>0.0</v>
      </c>
      <c r="CE369" s="683">
        <v>0.0</v>
      </c>
      <c r="CF369" s="683">
        <v>0.0</v>
      </c>
      <c r="CG369" s="683">
        <v>0.0</v>
      </c>
      <c r="CH369" s="686">
        <v>0.0</v>
      </c>
      <c r="CI369" s="665">
        <f t="shared" si="841"/>
        <v>0</v>
      </c>
      <c r="CJ369" s="682">
        <f t="shared" si="4"/>
        <v>216</v>
      </c>
      <c r="CK369" s="706">
        <v>1.61</v>
      </c>
      <c r="CL369" s="683">
        <f t="shared" si="1077"/>
        <v>11.2056</v>
      </c>
      <c r="CM369" s="683">
        <f t="shared" ref="CM369:CV369" si="1129">BC369*$CL369</f>
        <v>112.056</v>
      </c>
      <c r="CN369" s="683">
        <f t="shared" si="1129"/>
        <v>112.056</v>
      </c>
      <c r="CO369" s="683">
        <f t="shared" si="1129"/>
        <v>336.168</v>
      </c>
      <c r="CP369" s="683">
        <f t="shared" si="1129"/>
        <v>224.112</v>
      </c>
      <c r="CQ369" s="683">
        <f t="shared" si="1129"/>
        <v>336.168</v>
      </c>
      <c r="CR369" s="683">
        <f t="shared" si="1129"/>
        <v>560.28</v>
      </c>
      <c r="CS369" s="683">
        <f t="shared" si="1129"/>
        <v>112.056</v>
      </c>
      <c r="CT369" s="683">
        <f t="shared" si="1129"/>
        <v>0</v>
      </c>
      <c r="CU369" s="683">
        <f t="shared" si="1129"/>
        <v>67.2336</v>
      </c>
      <c r="CV369" s="683">
        <f t="shared" si="1129"/>
        <v>0</v>
      </c>
      <c r="CW369" s="683">
        <f t="shared" si="21"/>
        <v>1860.1296</v>
      </c>
      <c r="CX369" s="683">
        <f t="shared" ref="CX369:DG369" si="1130">BN369*$CL369</f>
        <v>112.056</v>
      </c>
      <c r="CY369" s="683">
        <f t="shared" si="1130"/>
        <v>112.056</v>
      </c>
      <c r="CZ369" s="683">
        <f t="shared" si="1130"/>
        <v>336.168</v>
      </c>
      <c r="DA369" s="683">
        <f t="shared" si="1130"/>
        <v>0</v>
      </c>
      <c r="DB369" s="683">
        <f t="shared" si="1130"/>
        <v>0</v>
      </c>
      <c r="DC369" s="683">
        <f t="shared" si="1130"/>
        <v>0</v>
      </c>
      <c r="DD369" s="683">
        <f t="shared" si="1130"/>
        <v>0</v>
      </c>
      <c r="DE369" s="683">
        <f t="shared" si="1130"/>
        <v>0</v>
      </c>
      <c r="DF369" s="683">
        <f t="shared" si="1130"/>
        <v>0</v>
      </c>
      <c r="DG369" s="683">
        <f t="shared" si="1130"/>
        <v>0</v>
      </c>
      <c r="DH369" s="683">
        <f t="shared" si="23"/>
        <v>560.28</v>
      </c>
      <c r="DI369" s="683">
        <f t="shared" ref="DI369:DR369" si="1131">BY369*$CL369</f>
        <v>0</v>
      </c>
      <c r="DJ369" s="683">
        <f t="shared" si="1131"/>
        <v>0</v>
      </c>
      <c r="DK369" s="683">
        <f t="shared" si="1131"/>
        <v>0</v>
      </c>
      <c r="DL369" s="683">
        <f t="shared" si="1131"/>
        <v>0</v>
      </c>
      <c r="DM369" s="683">
        <f t="shared" si="1131"/>
        <v>0</v>
      </c>
      <c r="DN369" s="683">
        <f t="shared" si="1131"/>
        <v>0</v>
      </c>
      <c r="DO369" s="683">
        <f t="shared" si="1131"/>
        <v>0</v>
      </c>
      <c r="DP369" s="683">
        <f t="shared" si="1131"/>
        <v>0</v>
      </c>
      <c r="DQ369" s="683">
        <f t="shared" si="1131"/>
        <v>0</v>
      </c>
      <c r="DR369" s="683">
        <f t="shared" si="1131"/>
        <v>0</v>
      </c>
      <c r="DS369" s="683">
        <f t="shared" si="25"/>
        <v>0</v>
      </c>
      <c r="DT369" s="683">
        <f t="shared" si="685"/>
        <v>2420.4096</v>
      </c>
      <c r="DU369" s="504"/>
      <c r="DV369" s="486" t="s">
        <v>3518</v>
      </c>
      <c r="DW369" s="688"/>
      <c r="DX369" s="688"/>
      <c r="DY369" s="688"/>
      <c r="DZ369" s="688"/>
      <c r="EA369" s="688"/>
      <c r="EB369" s="688"/>
      <c r="EC369" s="688"/>
      <c r="ED369" s="688"/>
      <c r="EE369" s="688"/>
      <c r="EF369" s="688"/>
      <c r="EG369" s="688"/>
      <c r="EH369" s="707" t="s">
        <v>3574</v>
      </c>
      <c r="EI369" s="708">
        <f>VLOOKUP(I369,CotizacionTDB,4,FALSE())</f>
        <v>1.61</v>
      </c>
      <c r="EJ369" s="708">
        <f>VLOOKUP(I369,CotizacionTDB,5,FALSE())</f>
        <v>1.37</v>
      </c>
      <c r="EK369" s="691"/>
    </row>
    <row r="370" ht="12.0" customHeight="1">
      <c r="A370" s="709" t="s">
        <v>3026</v>
      </c>
      <c r="B370" s="661">
        <v>2.0</v>
      </c>
      <c r="C370" s="567" t="s">
        <v>3032</v>
      </c>
      <c r="D370" s="568" t="s">
        <v>513</v>
      </c>
      <c r="E370" s="568" t="s">
        <v>2722</v>
      </c>
      <c r="F370" s="567" t="s">
        <v>1763</v>
      </c>
      <c r="G370" s="657" t="s">
        <v>2709</v>
      </c>
      <c r="H370" s="569" t="s">
        <v>3575</v>
      </c>
      <c r="I370" s="941" t="s">
        <v>1915</v>
      </c>
      <c r="J370" s="771" t="s">
        <v>3576</v>
      </c>
      <c r="K370" s="567" t="s">
        <v>25</v>
      </c>
      <c r="L370" s="567">
        <v>2024.0</v>
      </c>
      <c r="M370" s="567">
        <v>2024.0</v>
      </c>
      <c r="N370" s="567">
        <v>2024.0</v>
      </c>
      <c r="O370" s="567">
        <v>2024.0</v>
      </c>
      <c r="P370" s="567">
        <v>2024.0</v>
      </c>
      <c r="Q370" s="567">
        <v>2024.0</v>
      </c>
      <c r="R370" s="567"/>
      <c r="S370" s="567"/>
      <c r="T370" s="567"/>
      <c r="U370" s="567"/>
      <c r="V370" s="567"/>
      <c r="W370" s="567">
        <v>2.0</v>
      </c>
      <c r="X370" s="567">
        <v>2.0</v>
      </c>
      <c r="Y370" s="567">
        <v>2.0</v>
      </c>
      <c r="Z370" s="567">
        <v>2.0</v>
      </c>
      <c r="AA370" s="567">
        <v>2.0</v>
      </c>
      <c r="AB370" s="567">
        <v>2.0</v>
      </c>
      <c r="AC370" s="567"/>
      <c r="AD370" s="567"/>
      <c r="AE370" s="567"/>
      <c r="AF370" s="567"/>
      <c r="AG370" s="567"/>
      <c r="AH370" s="567"/>
      <c r="AI370" s="567"/>
      <c r="AJ370" s="567"/>
      <c r="AK370" s="567"/>
      <c r="AL370" s="567"/>
      <c r="AM370" s="567"/>
      <c r="AN370" s="567"/>
      <c r="AO370" s="567"/>
      <c r="AP370" s="567"/>
      <c r="AQ370" s="567"/>
      <c r="AR370" s="567">
        <v>-2024.0</v>
      </c>
      <c r="AS370" s="567">
        <v>-2024.0</v>
      </c>
      <c r="AT370" s="567">
        <v>-2024.0</v>
      </c>
      <c r="AU370" s="567">
        <v>-2024.0</v>
      </c>
      <c r="AV370" s="567">
        <v>-2024.0</v>
      </c>
      <c r="AW370" s="567">
        <v>-2024.0</v>
      </c>
      <c r="AX370" s="567">
        <v>0.0</v>
      </c>
      <c r="AY370" s="567">
        <v>0.0</v>
      </c>
      <c r="AZ370" s="567">
        <v>0.0</v>
      </c>
      <c r="BA370" s="567">
        <v>0.0</v>
      </c>
      <c r="BB370" s="567"/>
      <c r="BC370" s="567"/>
      <c r="BD370" s="567"/>
      <c r="BE370" s="567">
        <v>10.0</v>
      </c>
      <c r="BF370" s="567">
        <v>10.0</v>
      </c>
      <c r="BG370" s="567">
        <v>10.0</v>
      </c>
      <c r="BH370" s="567">
        <v>10.0</v>
      </c>
      <c r="BI370" s="567"/>
      <c r="BJ370" s="567"/>
      <c r="BK370" s="567"/>
      <c r="BL370" s="741">
        <v>0.0</v>
      </c>
      <c r="BM370" s="665">
        <f t="shared" si="1"/>
        <v>40</v>
      </c>
      <c r="BN370" s="671"/>
      <c r="BO370" s="668"/>
      <c r="BP370" s="668"/>
      <c r="BQ370" s="668"/>
      <c r="BR370" s="668"/>
      <c r="BS370" s="668"/>
      <c r="BT370" s="668"/>
      <c r="BU370" s="668"/>
      <c r="BV370" s="668"/>
      <c r="BW370" s="713">
        <v>10.0</v>
      </c>
      <c r="BX370" s="665">
        <f t="shared" si="840"/>
        <v>10</v>
      </c>
      <c r="BY370" s="671"/>
      <c r="BZ370" s="668">
        <v>10.0</v>
      </c>
      <c r="CA370" s="668">
        <v>10.0</v>
      </c>
      <c r="CB370" s="668">
        <v>10.0</v>
      </c>
      <c r="CC370" s="668">
        <v>10.0</v>
      </c>
      <c r="CD370" s="668">
        <v>10.0</v>
      </c>
      <c r="CE370" s="668">
        <v>0.0</v>
      </c>
      <c r="CF370" s="668">
        <v>0.0</v>
      </c>
      <c r="CG370" s="668">
        <v>0.0</v>
      </c>
      <c r="CH370" s="670">
        <v>0.0</v>
      </c>
      <c r="CI370" s="665">
        <f t="shared" si="841"/>
        <v>50</v>
      </c>
      <c r="CJ370" s="671">
        <f t="shared" si="4"/>
        <v>100</v>
      </c>
      <c r="CK370" s="715">
        <v>0.81</v>
      </c>
      <c r="CL370" s="668">
        <f t="shared" si="1077"/>
        <v>5.6376</v>
      </c>
      <c r="CM370" s="668">
        <f t="shared" ref="CM370:CV370" si="1132">BC370*$CL370</f>
        <v>0</v>
      </c>
      <c r="CN370" s="668">
        <f t="shared" si="1132"/>
        <v>0</v>
      </c>
      <c r="CO370" s="668">
        <f t="shared" si="1132"/>
        <v>56.376</v>
      </c>
      <c r="CP370" s="668">
        <f t="shared" si="1132"/>
        <v>56.376</v>
      </c>
      <c r="CQ370" s="668">
        <f t="shared" si="1132"/>
        <v>56.376</v>
      </c>
      <c r="CR370" s="668">
        <f t="shared" si="1132"/>
        <v>56.376</v>
      </c>
      <c r="CS370" s="668">
        <f t="shared" si="1132"/>
        <v>0</v>
      </c>
      <c r="CT370" s="668">
        <f t="shared" si="1132"/>
        <v>0</v>
      </c>
      <c r="CU370" s="668">
        <f t="shared" si="1132"/>
        <v>0</v>
      </c>
      <c r="CV370" s="668">
        <f t="shared" si="1132"/>
        <v>0</v>
      </c>
      <c r="CW370" s="668">
        <f t="shared" si="21"/>
        <v>225.504</v>
      </c>
      <c r="CX370" s="668">
        <f t="shared" ref="CX370:DG370" si="1133">BN370*$CL370</f>
        <v>0</v>
      </c>
      <c r="CY370" s="668">
        <f t="shared" si="1133"/>
        <v>0</v>
      </c>
      <c r="CZ370" s="668">
        <f t="shared" si="1133"/>
        <v>0</v>
      </c>
      <c r="DA370" s="668">
        <f t="shared" si="1133"/>
        <v>0</v>
      </c>
      <c r="DB370" s="668">
        <f t="shared" si="1133"/>
        <v>0</v>
      </c>
      <c r="DC370" s="668">
        <f t="shared" si="1133"/>
        <v>0</v>
      </c>
      <c r="DD370" s="668">
        <f t="shared" si="1133"/>
        <v>0</v>
      </c>
      <c r="DE370" s="668">
        <f t="shared" si="1133"/>
        <v>0</v>
      </c>
      <c r="DF370" s="668">
        <f t="shared" si="1133"/>
        <v>0</v>
      </c>
      <c r="DG370" s="668">
        <f t="shared" si="1133"/>
        <v>56.376</v>
      </c>
      <c r="DH370" s="668">
        <f t="shared" si="23"/>
        <v>56.376</v>
      </c>
      <c r="DI370" s="668">
        <f t="shared" ref="DI370:DR370" si="1134">BY370*$CL370</f>
        <v>0</v>
      </c>
      <c r="DJ370" s="668">
        <f t="shared" si="1134"/>
        <v>56.376</v>
      </c>
      <c r="DK370" s="668">
        <f t="shared" si="1134"/>
        <v>56.376</v>
      </c>
      <c r="DL370" s="668">
        <f t="shared" si="1134"/>
        <v>56.376</v>
      </c>
      <c r="DM370" s="668">
        <f t="shared" si="1134"/>
        <v>56.376</v>
      </c>
      <c r="DN370" s="668">
        <f t="shared" si="1134"/>
        <v>56.376</v>
      </c>
      <c r="DO370" s="668">
        <f t="shared" si="1134"/>
        <v>0</v>
      </c>
      <c r="DP370" s="668">
        <f t="shared" si="1134"/>
        <v>0</v>
      </c>
      <c r="DQ370" s="668">
        <f t="shared" si="1134"/>
        <v>0</v>
      </c>
      <c r="DR370" s="668">
        <f t="shared" si="1134"/>
        <v>0</v>
      </c>
      <c r="DS370" s="668">
        <f t="shared" si="25"/>
        <v>281.88</v>
      </c>
      <c r="DT370" s="668">
        <f t="shared" si="685"/>
        <v>563.76</v>
      </c>
      <c r="DU370" s="792"/>
      <c r="DV370" s="792"/>
      <c r="DW370" s="676"/>
      <c r="DX370" s="676"/>
      <c r="DY370" s="676"/>
      <c r="DZ370" s="676"/>
      <c r="EA370" s="676"/>
      <c r="EB370" s="676"/>
      <c r="EC370" s="676"/>
      <c r="ED370" s="676"/>
      <c r="EE370" s="676"/>
      <c r="EF370" s="676"/>
      <c r="EG370" s="676"/>
      <c r="EH370" s="576" t="s">
        <v>3577</v>
      </c>
      <c r="EI370" s="716">
        <f>VLOOKUP(I370,CotizacionTDB,4,FALSE())</f>
        <v>0.81</v>
      </c>
      <c r="EJ370" s="716">
        <f>VLOOKUP(I370,CotizacionTDB,5,FALSE())</f>
        <v>0.69</v>
      </c>
      <c r="EK370" s="699"/>
    </row>
    <row r="371" ht="12.0" customHeight="1">
      <c r="A371" s="700" t="s">
        <v>3026</v>
      </c>
      <c r="B371" s="701">
        <v>2.0</v>
      </c>
      <c r="C371" s="562" t="s">
        <v>3032</v>
      </c>
      <c r="D371" s="571" t="s">
        <v>513</v>
      </c>
      <c r="E371" s="571" t="s">
        <v>2722</v>
      </c>
      <c r="F371" s="562" t="s">
        <v>1763</v>
      </c>
      <c r="G371" s="702" t="s">
        <v>2723</v>
      </c>
      <c r="H371" s="569" t="s">
        <v>3578</v>
      </c>
      <c r="I371" s="941" t="s">
        <v>1983</v>
      </c>
      <c r="J371" s="771" t="s">
        <v>3579</v>
      </c>
      <c r="K371" s="562" t="s">
        <v>25</v>
      </c>
      <c r="L371" s="562"/>
      <c r="M371" s="562"/>
      <c r="N371" s="562"/>
      <c r="O371" s="562">
        <v>2024.0</v>
      </c>
      <c r="P371" s="562">
        <v>2024.0</v>
      </c>
      <c r="Q371" s="562">
        <v>2024.0</v>
      </c>
      <c r="R371" s="562"/>
      <c r="S371" s="562"/>
      <c r="T371" s="562"/>
      <c r="U371" s="562"/>
      <c r="V371" s="562"/>
      <c r="W371" s="562">
        <v>3.0</v>
      </c>
      <c r="X371" s="562"/>
      <c r="Y371" s="562"/>
      <c r="Z371" s="562">
        <v>2.0</v>
      </c>
      <c r="AA371" s="562">
        <v>2.0</v>
      </c>
      <c r="AB371" s="562">
        <v>2.0</v>
      </c>
      <c r="AC371" s="562"/>
      <c r="AD371" s="562"/>
      <c r="AE371" s="562"/>
      <c r="AF371" s="562"/>
      <c r="AG371" s="562"/>
      <c r="AH371" s="562"/>
      <c r="AI371" s="562"/>
      <c r="AJ371" s="562"/>
      <c r="AK371" s="562"/>
      <c r="AL371" s="562"/>
      <c r="AM371" s="562"/>
      <c r="AN371" s="562"/>
      <c r="AO371" s="562"/>
      <c r="AP371" s="562"/>
      <c r="AQ371" s="562"/>
      <c r="AR371" s="562">
        <v>0.0</v>
      </c>
      <c r="AS371" s="562">
        <v>0.0</v>
      </c>
      <c r="AT371" s="562">
        <v>0.0</v>
      </c>
      <c r="AU371" s="562">
        <v>-2024.0</v>
      </c>
      <c r="AV371" s="562">
        <v>-2024.0</v>
      </c>
      <c r="AW371" s="562">
        <v>-2024.0</v>
      </c>
      <c r="AX371" s="562">
        <v>0.0</v>
      </c>
      <c r="AY371" s="562">
        <v>0.0</v>
      </c>
      <c r="AZ371" s="562">
        <v>0.0</v>
      </c>
      <c r="BA371" s="562">
        <v>0.0</v>
      </c>
      <c r="BB371" s="562"/>
      <c r="BC371" s="562"/>
      <c r="BD371" s="562"/>
      <c r="BE371" s="562"/>
      <c r="BF371" s="562">
        <v>10.0</v>
      </c>
      <c r="BG371" s="562">
        <v>10.0</v>
      </c>
      <c r="BH371" s="562">
        <v>10.0</v>
      </c>
      <c r="BI371" s="562"/>
      <c r="BJ371" s="562"/>
      <c r="BK371" s="562"/>
      <c r="BL371" s="681"/>
      <c r="BM371" s="665">
        <f t="shared" si="1"/>
        <v>30</v>
      </c>
      <c r="BN371" s="682"/>
      <c r="BO371" s="683"/>
      <c r="BP371" s="683"/>
      <c r="BQ371" s="683"/>
      <c r="BR371" s="683"/>
      <c r="BS371" s="683"/>
      <c r="BT371" s="683"/>
      <c r="BU371" s="683"/>
      <c r="BV371" s="683"/>
      <c r="BW371" s="686"/>
      <c r="BX371" s="665">
        <f t="shared" si="840"/>
        <v>0</v>
      </c>
      <c r="BY371" s="682">
        <v>0.0</v>
      </c>
      <c r="BZ371" s="683">
        <v>0.0</v>
      </c>
      <c r="CA371" s="683">
        <v>0.0</v>
      </c>
      <c r="CB371" s="683">
        <v>10.0</v>
      </c>
      <c r="CC371" s="683">
        <v>10.0</v>
      </c>
      <c r="CD371" s="683">
        <v>10.0</v>
      </c>
      <c r="CE371" s="683">
        <v>0.0</v>
      </c>
      <c r="CF371" s="683">
        <v>0.0</v>
      </c>
      <c r="CG371" s="683">
        <v>0.0</v>
      </c>
      <c r="CH371" s="686">
        <v>0.0</v>
      </c>
      <c r="CI371" s="665">
        <f t="shared" si="841"/>
        <v>30</v>
      </c>
      <c r="CJ371" s="682">
        <f t="shared" si="4"/>
        <v>60</v>
      </c>
      <c r="CK371" s="706">
        <v>4.0</v>
      </c>
      <c r="CL371" s="683">
        <f t="shared" si="1077"/>
        <v>27.84</v>
      </c>
      <c r="CM371" s="683">
        <f t="shared" ref="CM371:CV371" si="1135">BC371*$CL371</f>
        <v>0</v>
      </c>
      <c r="CN371" s="683">
        <f t="shared" si="1135"/>
        <v>0</v>
      </c>
      <c r="CO371" s="683">
        <f t="shared" si="1135"/>
        <v>0</v>
      </c>
      <c r="CP371" s="683">
        <f t="shared" si="1135"/>
        <v>278.4</v>
      </c>
      <c r="CQ371" s="683">
        <f t="shared" si="1135"/>
        <v>278.4</v>
      </c>
      <c r="CR371" s="683">
        <f t="shared" si="1135"/>
        <v>278.4</v>
      </c>
      <c r="CS371" s="683">
        <f t="shared" si="1135"/>
        <v>0</v>
      </c>
      <c r="CT371" s="683">
        <f t="shared" si="1135"/>
        <v>0</v>
      </c>
      <c r="CU371" s="683">
        <f t="shared" si="1135"/>
        <v>0</v>
      </c>
      <c r="CV371" s="683">
        <f t="shared" si="1135"/>
        <v>0</v>
      </c>
      <c r="CW371" s="683">
        <f t="shared" si="21"/>
        <v>835.2</v>
      </c>
      <c r="CX371" s="683">
        <f t="shared" ref="CX371:DG371" si="1136">BN371*$CL371</f>
        <v>0</v>
      </c>
      <c r="CY371" s="683">
        <f t="shared" si="1136"/>
        <v>0</v>
      </c>
      <c r="CZ371" s="683">
        <f t="shared" si="1136"/>
        <v>0</v>
      </c>
      <c r="DA371" s="683">
        <f t="shared" si="1136"/>
        <v>0</v>
      </c>
      <c r="DB371" s="683">
        <f t="shared" si="1136"/>
        <v>0</v>
      </c>
      <c r="DC371" s="683">
        <f t="shared" si="1136"/>
        <v>0</v>
      </c>
      <c r="DD371" s="683">
        <f t="shared" si="1136"/>
        <v>0</v>
      </c>
      <c r="DE371" s="683">
        <f t="shared" si="1136"/>
        <v>0</v>
      </c>
      <c r="DF371" s="683">
        <f t="shared" si="1136"/>
        <v>0</v>
      </c>
      <c r="DG371" s="683">
        <f t="shared" si="1136"/>
        <v>0</v>
      </c>
      <c r="DH371" s="683">
        <f t="shared" si="23"/>
        <v>0</v>
      </c>
      <c r="DI371" s="683">
        <f t="shared" ref="DI371:DR371" si="1137">BY371*$CL371</f>
        <v>0</v>
      </c>
      <c r="DJ371" s="683">
        <f t="shared" si="1137"/>
        <v>0</v>
      </c>
      <c r="DK371" s="683">
        <f t="shared" si="1137"/>
        <v>0</v>
      </c>
      <c r="DL371" s="683">
        <f t="shared" si="1137"/>
        <v>278.4</v>
      </c>
      <c r="DM371" s="683">
        <f t="shared" si="1137"/>
        <v>278.4</v>
      </c>
      <c r="DN371" s="683">
        <f t="shared" si="1137"/>
        <v>278.4</v>
      </c>
      <c r="DO371" s="683">
        <f t="shared" si="1137"/>
        <v>0</v>
      </c>
      <c r="DP371" s="683">
        <f t="shared" si="1137"/>
        <v>0</v>
      </c>
      <c r="DQ371" s="683">
        <f t="shared" si="1137"/>
        <v>0</v>
      </c>
      <c r="DR371" s="683">
        <f t="shared" si="1137"/>
        <v>0</v>
      </c>
      <c r="DS371" s="683">
        <f t="shared" si="25"/>
        <v>835.2</v>
      </c>
      <c r="DT371" s="683">
        <f t="shared" si="685"/>
        <v>1670.4</v>
      </c>
      <c r="DU371" s="801"/>
      <c r="DV371" s="801" t="s">
        <v>3194</v>
      </c>
      <c r="DW371" s="803"/>
      <c r="DX371" s="803"/>
      <c r="DY371" s="803"/>
      <c r="DZ371" s="803"/>
      <c r="EA371" s="803"/>
      <c r="EB371" s="803"/>
      <c r="EC371" s="803"/>
      <c r="ED371" s="803"/>
      <c r="EE371" s="803"/>
      <c r="EF371" s="803"/>
      <c r="EG371" s="803"/>
      <c r="EH371" s="707" t="s">
        <v>3580</v>
      </c>
      <c r="EI371" s="708">
        <f>VLOOKUP(I371,CotizacionTDB,4,FALSE())</f>
        <v>4</v>
      </c>
      <c r="EJ371" s="708">
        <f>VLOOKUP(I371,CotizacionTDB,5,FALSE())</f>
        <v>3.4</v>
      </c>
      <c r="EK371" s="691"/>
    </row>
    <row r="372" ht="12.0" customHeight="1">
      <c r="A372" s="709" t="s">
        <v>3026</v>
      </c>
      <c r="B372" s="661">
        <v>2.0</v>
      </c>
      <c r="C372" s="567" t="s">
        <v>3032</v>
      </c>
      <c r="D372" s="568" t="s">
        <v>513</v>
      </c>
      <c r="E372" s="568" t="s">
        <v>2722</v>
      </c>
      <c r="F372" s="567" t="s">
        <v>1763</v>
      </c>
      <c r="G372" s="657" t="s">
        <v>2723</v>
      </c>
      <c r="H372" s="569" t="s">
        <v>3581</v>
      </c>
      <c r="I372" s="721" t="s">
        <v>1887</v>
      </c>
      <c r="J372" s="711" t="s">
        <v>3582</v>
      </c>
      <c r="K372" s="567" t="s">
        <v>25</v>
      </c>
      <c r="L372" s="567"/>
      <c r="M372" s="567"/>
      <c r="N372" s="567"/>
      <c r="O372" s="567">
        <v>2024.0</v>
      </c>
      <c r="P372" s="567">
        <v>2024.0</v>
      </c>
      <c r="Q372" s="567">
        <v>2024.0</v>
      </c>
      <c r="R372" s="567"/>
      <c r="S372" s="567"/>
      <c r="T372" s="567"/>
      <c r="U372" s="567"/>
      <c r="V372" s="567"/>
      <c r="W372" s="567">
        <v>3.0</v>
      </c>
      <c r="X372" s="567"/>
      <c r="Y372" s="567"/>
      <c r="Z372" s="567">
        <v>2.0</v>
      </c>
      <c r="AA372" s="567">
        <v>2.0</v>
      </c>
      <c r="AB372" s="567">
        <v>2.0</v>
      </c>
      <c r="AC372" s="567"/>
      <c r="AD372" s="567"/>
      <c r="AE372" s="567"/>
      <c r="AF372" s="567"/>
      <c r="AG372" s="567"/>
      <c r="AH372" s="567"/>
      <c r="AI372" s="567"/>
      <c r="AJ372" s="567"/>
      <c r="AK372" s="567"/>
      <c r="AL372" s="567"/>
      <c r="AM372" s="567"/>
      <c r="AN372" s="567"/>
      <c r="AO372" s="567"/>
      <c r="AP372" s="567"/>
      <c r="AQ372" s="567"/>
      <c r="AR372" s="567">
        <v>0.0</v>
      </c>
      <c r="AS372" s="567">
        <v>0.0</v>
      </c>
      <c r="AT372" s="567">
        <v>0.0</v>
      </c>
      <c r="AU372" s="567">
        <v>-2024.0</v>
      </c>
      <c r="AV372" s="567">
        <v>-2024.0</v>
      </c>
      <c r="AW372" s="567">
        <v>-2024.0</v>
      </c>
      <c r="AX372" s="567">
        <v>0.0</v>
      </c>
      <c r="AY372" s="567">
        <v>0.0</v>
      </c>
      <c r="AZ372" s="567">
        <v>0.0</v>
      </c>
      <c r="BA372" s="567">
        <v>0.0</v>
      </c>
      <c r="BB372" s="567"/>
      <c r="BC372" s="567"/>
      <c r="BD372" s="567"/>
      <c r="BE372" s="567"/>
      <c r="BF372" s="567">
        <v>20.0</v>
      </c>
      <c r="BG372" s="567">
        <v>30.0</v>
      </c>
      <c r="BH372" s="567">
        <v>50.0</v>
      </c>
      <c r="BI372" s="567"/>
      <c r="BJ372" s="567"/>
      <c r="BK372" s="567"/>
      <c r="BL372" s="725"/>
      <c r="BM372" s="665">
        <f t="shared" si="1"/>
        <v>100</v>
      </c>
      <c r="BN372" s="671"/>
      <c r="BO372" s="668"/>
      <c r="BP372" s="668"/>
      <c r="BQ372" s="668"/>
      <c r="BR372" s="668"/>
      <c r="BS372" s="668"/>
      <c r="BT372" s="668"/>
      <c r="BU372" s="668"/>
      <c r="BV372" s="668"/>
      <c r="BW372" s="670"/>
      <c r="BX372" s="665">
        <f t="shared" si="840"/>
        <v>0</v>
      </c>
      <c r="BY372" s="671">
        <v>0.0</v>
      </c>
      <c r="BZ372" s="668">
        <v>0.0</v>
      </c>
      <c r="CA372" s="668">
        <v>0.0</v>
      </c>
      <c r="CB372" s="668">
        <v>20.0</v>
      </c>
      <c r="CC372" s="668">
        <v>30.0</v>
      </c>
      <c r="CD372" s="668">
        <v>50.0</v>
      </c>
      <c r="CE372" s="668">
        <v>0.0</v>
      </c>
      <c r="CF372" s="668">
        <v>0.0</v>
      </c>
      <c r="CG372" s="668">
        <v>0.0</v>
      </c>
      <c r="CH372" s="670">
        <v>0.0</v>
      </c>
      <c r="CI372" s="665">
        <f t="shared" si="841"/>
        <v>100</v>
      </c>
      <c r="CJ372" s="671">
        <f t="shared" si="4"/>
        <v>200</v>
      </c>
      <c r="CK372" s="715">
        <v>0.46</v>
      </c>
      <c r="CL372" s="668">
        <f t="shared" si="1077"/>
        <v>3.2016</v>
      </c>
      <c r="CM372" s="668">
        <f t="shared" ref="CM372:CV372" si="1138">BC372*$CL372</f>
        <v>0</v>
      </c>
      <c r="CN372" s="668">
        <f t="shared" si="1138"/>
        <v>0</v>
      </c>
      <c r="CO372" s="668">
        <f t="shared" si="1138"/>
        <v>0</v>
      </c>
      <c r="CP372" s="668">
        <f t="shared" si="1138"/>
        <v>64.032</v>
      </c>
      <c r="CQ372" s="668">
        <f t="shared" si="1138"/>
        <v>96.048</v>
      </c>
      <c r="CR372" s="668">
        <f t="shared" si="1138"/>
        <v>160.08</v>
      </c>
      <c r="CS372" s="668">
        <f t="shared" si="1138"/>
        <v>0</v>
      </c>
      <c r="CT372" s="668">
        <f t="shared" si="1138"/>
        <v>0</v>
      </c>
      <c r="CU372" s="668">
        <f t="shared" si="1138"/>
        <v>0</v>
      </c>
      <c r="CV372" s="668">
        <f t="shared" si="1138"/>
        <v>0</v>
      </c>
      <c r="CW372" s="668">
        <f t="shared" si="21"/>
        <v>320.16</v>
      </c>
      <c r="CX372" s="668">
        <f t="shared" ref="CX372:DG372" si="1139">BN372*$CL372</f>
        <v>0</v>
      </c>
      <c r="CY372" s="668">
        <f t="shared" si="1139"/>
        <v>0</v>
      </c>
      <c r="CZ372" s="668">
        <f t="shared" si="1139"/>
        <v>0</v>
      </c>
      <c r="DA372" s="668">
        <f t="shared" si="1139"/>
        <v>0</v>
      </c>
      <c r="DB372" s="668">
        <f t="shared" si="1139"/>
        <v>0</v>
      </c>
      <c r="DC372" s="668">
        <f t="shared" si="1139"/>
        <v>0</v>
      </c>
      <c r="DD372" s="668">
        <f t="shared" si="1139"/>
        <v>0</v>
      </c>
      <c r="DE372" s="668">
        <f t="shared" si="1139"/>
        <v>0</v>
      </c>
      <c r="DF372" s="668">
        <f t="shared" si="1139"/>
        <v>0</v>
      </c>
      <c r="DG372" s="668">
        <f t="shared" si="1139"/>
        <v>0</v>
      </c>
      <c r="DH372" s="668">
        <f t="shared" si="23"/>
        <v>0</v>
      </c>
      <c r="DI372" s="668">
        <f t="shared" ref="DI372:DR372" si="1140">BY372*$CL372</f>
        <v>0</v>
      </c>
      <c r="DJ372" s="668">
        <f t="shared" si="1140"/>
        <v>0</v>
      </c>
      <c r="DK372" s="668">
        <f t="shared" si="1140"/>
        <v>0</v>
      </c>
      <c r="DL372" s="668">
        <f t="shared" si="1140"/>
        <v>64.032</v>
      </c>
      <c r="DM372" s="668">
        <f t="shared" si="1140"/>
        <v>96.048</v>
      </c>
      <c r="DN372" s="668">
        <f t="shared" si="1140"/>
        <v>160.08</v>
      </c>
      <c r="DO372" s="668">
        <f t="shared" si="1140"/>
        <v>0</v>
      </c>
      <c r="DP372" s="668">
        <f t="shared" si="1140"/>
        <v>0</v>
      </c>
      <c r="DQ372" s="668">
        <f t="shared" si="1140"/>
        <v>0</v>
      </c>
      <c r="DR372" s="668">
        <f t="shared" si="1140"/>
        <v>0</v>
      </c>
      <c r="DS372" s="668">
        <f t="shared" si="25"/>
        <v>320.16</v>
      </c>
      <c r="DT372" s="668">
        <f t="shared" si="685"/>
        <v>640.32</v>
      </c>
      <c r="DU372" s="792"/>
      <c r="DV372" s="792" t="s">
        <v>3194</v>
      </c>
      <c r="DW372" s="676"/>
      <c r="DX372" s="676"/>
      <c r="DY372" s="676"/>
      <c r="DZ372" s="676"/>
      <c r="EA372" s="676"/>
      <c r="EB372" s="676"/>
      <c r="EC372" s="676"/>
      <c r="ED372" s="676"/>
      <c r="EE372" s="676"/>
      <c r="EF372" s="676"/>
      <c r="EG372" s="676"/>
      <c r="EH372" s="576" t="s">
        <v>3583</v>
      </c>
      <c r="EI372" s="716">
        <f>VLOOKUP(I372,CotizacionTDB,4,FALSE())</f>
        <v>0.46</v>
      </c>
      <c r="EJ372" s="716">
        <f>VLOOKUP(I372,CotizacionTDB,5,FALSE())</f>
        <v>0.39</v>
      </c>
      <c r="EK372" s="699"/>
    </row>
    <row r="373" ht="12.0" customHeight="1">
      <c r="A373" s="700" t="s">
        <v>3026</v>
      </c>
      <c r="B373" s="701">
        <v>2.0</v>
      </c>
      <c r="C373" s="562" t="s">
        <v>3032</v>
      </c>
      <c r="D373" s="743" t="s">
        <v>150</v>
      </c>
      <c r="E373" s="571" t="s">
        <v>2722</v>
      </c>
      <c r="F373" s="562" t="s">
        <v>1763</v>
      </c>
      <c r="G373" s="569" t="s">
        <v>2723</v>
      </c>
      <c r="H373" s="569" t="s">
        <v>2861</v>
      </c>
      <c r="I373" s="703" t="s">
        <v>2268</v>
      </c>
      <c r="J373" s="704" t="s">
        <v>2862</v>
      </c>
      <c r="K373" s="562" t="s">
        <v>25</v>
      </c>
      <c r="L373" s="562">
        <v>2024.0</v>
      </c>
      <c r="M373" s="562">
        <v>2024.0</v>
      </c>
      <c r="N373" s="562">
        <v>2024.0</v>
      </c>
      <c r="O373" s="562"/>
      <c r="P373" s="562"/>
      <c r="Q373" s="562"/>
      <c r="R373" s="562"/>
      <c r="S373" s="562"/>
      <c r="T373" s="562"/>
      <c r="U373" s="562"/>
      <c r="V373" s="562"/>
      <c r="W373" s="562">
        <v>3.0</v>
      </c>
      <c r="X373" s="562">
        <v>3.0</v>
      </c>
      <c r="Y373" s="562"/>
      <c r="Z373" s="562"/>
      <c r="AA373" s="562"/>
      <c r="AB373" s="562"/>
      <c r="AC373" s="562"/>
      <c r="AD373" s="562"/>
      <c r="AE373" s="562"/>
      <c r="AF373" s="562"/>
      <c r="AG373" s="562"/>
      <c r="AH373" s="562"/>
      <c r="AI373" s="562"/>
      <c r="AJ373" s="562"/>
      <c r="AK373" s="562"/>
      <c r="AL373" s="562"/>
      <c r="AM373" s="562"/>
      <c r="AN373" s="562"/>
      <c r="AO373" s="562"/>
      <c r="AP373" s="562"/>
      <c r="AQ373" s="562"/>
      <c r="AR373" s="562">
        <v>-2024.0</v>
      </c>
      <c r="AS373" s="562">
        <v>-2024.0</v>
      </c>
      <c r="AT373" s="562">
        <v>-2024.0</v>
      </c>
      <c r="AU373" s="562">
        <v>0.0</v>
      </c>
      <c r="AV373" s="562">
        <v>0.0</v>
      </c>
      <c r="AW373" s="562">
        <v>0.0</v>
      </c>
      <c r="AX373" s="562">
        <v>0.0</v>
      </c>
      <c r="AY373" s="562">
        <v>0.0</v>
      </c>
      <c r="AZ373" s="562">
        <v>0.0</v>
      </c>
      <c r="BA373" s="562">
        <v>0.0</v>
      </c>
      <c r="BB373" s="562"/>
      <c r="BC373" s="701">
        <v>5.0</v>
      </c>
      <c r="BD373" s="562">
        <v>10.0</v>
      </c>
      <c r="BE373" s="562"/>
      <c r="BF373" s="562"/>
      <c r="BG373" s="562"/>
      <c r="BH373" s="562"/>
      <c r="BI373" s="562"/>
      <c r="BJ373" s="562"/>
      <c r="BK373" s="562"/>
      <c r="BL373" s="681"/>
      <c r="BM373" s="665">
        <f t="shared" si="1"/>
        <v>15</v>
      </c>
      <c r="BN373" s="733"/>
      <c r="BO373" s="683"/>
      <c r="BP373" s="683"/>
      <c r="BQ373" s="683"/>
      <c r="BR373" s="683"/>
      <c r="BS373" s="683"/>
      <c r="BT373" s="683"/>
      <c r="BU373" s="683"/>
      <c r="BV373" s="683"/>
      <c r="BW373" s="686"/>
      <c r="BX373" s="665">
        <f t="shared" si="840"/>
        <v>0</v>
      </c>
      <c r="BY373" s="733">
        <v>5.0</v>
      </c>
      <c r="BZ373" s="683">
        <v>0.0</v>
      </c>
      <c r="CA373" s="683">
        <v>0.0</v>
      </c>
      <c r="CB373" s="683">
        <v>0.0</v>
      </c>
      <c r="CC373" s="683">
        <v>0.0</v>
      </c>
      <c r="CD373" s="683">
        <v>0.0</v>
      </c>
      <c r="CE373" s="683">
        <v>0.0</v>
      </c>
      <c r="CF373" s="683">
        <v>0.0</v>
      </c>
      <c r="CG373" s="683">
        <v>0.0</v>
      </c>
      <c r="CH373" s="686">
        <v>0.0</v>
      </c>
      <c r="CI373" s="665">
        <f t="shared" si="841"/>
        <v>5</v>
      </c>
      <c r="CJ373" s="682">
        <f t="shared" si="4"/>
        <v>20</v>
      </c>
      <c r="CK373" s="706">
        <v>485.51</v>
      </c>
      <c r="CL373" s="683">
        <f t="shared" si="1077"/>
        <v>3379.1496</v>
      </c>
      <c r="CM373" s="683">
        <f t="shared" ref="CM373:CV373" si="1141">BC373*$CL373</f>
        <v>16895.748</v>
      </c>
      <c r="CN373" s="683">
        <f t="shared" si="1141"/>
        <v>33791.496</v>
      </c>
      <c r="CO373" s="683">
        <f t="shared" si="1141"/>
        <v>0</v>
      </c>
      <c r="CP373" s="683">
        <f t="shared" si="1141"/>
        <v>0</v>
      </c>
      <c r="CQ373" s="683">
        <f t="shared" si="1141"/>
        <v>0</v>
      </c>
      <c r="CR373" s="683">
        <f t="shared" si="1141"/>
        <v>0</v>
      </c>
      <c r="CS373" s="683">
        <f t="shared" si="1141"/>
        <v>0</v>
      </c>
      <c r="CT373" s="683">
        <f t="shared" si="1141"/>
        <v>0</v>
      </c>
      <c r="CU373" s="683">
        <f t="shared" si="1141"/>
        <v>0</v>
      </c>
      <c r="CV373" s="683">
        <f t="shared" si="1141"/>
        <v>0</v>
      </c>
      <c r="CW373" s="683">
        <f t="shared" si="21"/>
        <v>50687.244</v>
      </c>
      <c r="CX373" s="683">
        <f t="shared" ref="CX373:DG373" si="1142">BN373*$CL373</f>
        <v>0</v>
      </c>
      <c r="CY373" s="683">
        <f t="shared" si="1142"/>
        <v>0</v>
      </c>
      <c r="CZ373" s="683">
        <f t="shared" si="1142"/>
        <v>0</v>
      </c>
      <c r="DA373" s="683">
        <f t="shared" si="1142"/>
        <v>0</v>
      </c>
      <c r="DB373" s="683">
        <f t="shared" si="1142"/>
        <v>0</v>
      </c>
      <c r="DC373" s="683">
        <f t="shared" si="1142"/>
        <v>0</v>
      </c>
      <c r="DD373" s="683">
        <f t="shared" si="1142"/>
        <v>0</v>
      </c>
      <c r="DE373" s="683">
        <f t="shared" si="1142"/>
        <v>0</v>
      </c>
      <c r="DF373" s="683">
        <f t="shared" si="1142"/>
        <v>0</v>
      </c>
      <c r="DG373" s="683">
        <f t="shared" si="1142"/>
        <v>0</v>
      </c>
      <c r="DH373" s="683">
        <f t="shared" si="23"/>
        <v>0</v>
      </c>
      <c r="DI373" s="683">
        <f t="shared" ref="DI373:DR373" si="1143">BY373*$CL373</f>
        <v>16895.748</v>
      </c>
      <c r="DJ373" s="683">
        <f t="shared" si="1143"/>
        <v>0</v>
      </c>
      <c r="DK373" s="683">
        <f t="shared" si="1143"/>
        <v>0</v>
      </c>
      <c r="DL373" s="683">
        <f t="shared" si="1143"/>
        <v>0</v>
      </c>
      <c r="DM373" s="683">
        <f t="shared" si="1143"/>
        <v>0</v>
      </c>
      <c r="DN373" s="683">
        <f t="shared" si="1143"/>
        <v>0</v>
      </c>
      <c r="DO373" s="683">
        <f t="shared" si="1143"/>
        <v>0</v>
      </c>
      <c r="DP373" s="683">
        <f t="shared" si="1143"/>
        <v>0</v>
      </c>
      <c r="DQ373" s="683">
        <f t="shared" si="1143"/>
        <v>0</v>
      </c>
      <c r="DR373" s="683">
        <f t="shared" si="1143"/>
        <v>0</v>
      </c>
      <c r="DS373" s="683">
        <f t="shared" si="25"/>
        <v>16895.748</v>
      </c>
      <c r="DT373" s="683">
        <f t="shared" si="685"/>
        <v>67582.992</v>
      </c>
      <c r="DU373" s="504"/>
      <c r="DV373" s="486"/>
      <c r="DW373" s="688"/>
      <c r="DX373" s="688"/>
      <c r="DY373" s="688"/>
      <c r="DZ373" s="688"/>
      <c r="EA373" s="688"/>
      <c r="EB373" s="688"/>
      <c r="EC373" s="688"/>
      <c r="ED373" s="688"/>
      <c r="EE373" s="688"/>
      <c r="EF373" s="688"/>
      <c r="EG373" s="688"/>
      <c r="EH373" s="707" t="s">
        <v>3584</v>
      </c>
      <c r="EI373" s="708">
        <f>VLOOKUP(I373,CotizacionTDB,4,FALSE())</f>
        <v>485.51</v>
      </c>
      <c r="EJ373" s="708">
        <f>VLOOKUP(I373,CotizacionTDB,5,FALSE())</f>
        <v>412.68</v>
      </c>
      <c r="EK373" s="691"/>
    </row>
    <row r="374" ht="12.0" customHeight="1">
      <c r="A374" s="709" t="s">
        <v>3026</v>
      </c>
      <c r="B374" s="661">
        <v>2.0</v>
      </c>
      <c r="C374" s="567" t="s">
        <v>3032</v>
      </c>
      <c r="D374" s="742" t="s">
        <v>150</v>
      </c>
      <c r="E374" s="568" t="s">
        <v>2722</v>
      </c>
      <c r="F374" s="567" t="s">
        <v>1763</v>
      </c>
      <c r="G374" s="657" t="s">
        <v>2723</v>
      </c>
      <c r="H374" s="569" t="s">
        <v>2907</v>
      </c>
      <c r="I374" s="721" t="s">
        <v>2313</v>
      </c>
      <c r="J374" s="711" t="s">
        <v>2908</v>
      </c>
      <c r="K374" s="567" t="s">
        <v>25</v>
      </c>
      <c r="L374" s="567">
        <v>2024.0</v>
      </c>
      <c r="M374" s="567">
        <v>2024.0</v>
      </c>
      <c r="N374" s="567">
        <v>2024.0</v>
      </c>
      <c r="O374" s="567"/>
      <c r="P374" s="567"/>
      <c r="Q374" s="567"/>
      <c r="R374" s="567"/>
      <c r="S374" s="567"/>
      <c r="T374" s="567"/>
      <c r="U374" s="567"/>
      <c r="V374" s="567"/>
      <c r="W374" s="567">
        <v>3.0</v>
      </c>
      <c r="X374" s="567">
        <v>3.0</v>
      </c>
      <c r="Y374" s="567"/>
      <c r="Z374" s="567"/>
      <c r="AA374" s="567"/>
      <c r="AB374" s="567"/>
      <c r="AC374" s="567"/>
      <c r="AD374" s="567"/>
      <c r="AE374" s="567"/>
      <c r="AF374" s="567"/>
      <c r="AG374" s="567"/>
      <c r="AH374" s="567"/>
      <c r="AI374" s="567"/>
      <c r="AJ374" s="567"/>
      <c r="AK374" s="567"/>
      <c r="AL374" s="567"/>
      <c r="AM374" s="567"/>
      <c r="AN374" s="567"/>
      <c r="AO374" s="567"/>
      <c r="AP374" s="567"/>
      <c r="AQ374" s="567"/>
      <c r="AR374" s="567">
        <v>-2024.0</v>
      </c>
      <c r="AS374" s="567">
        <v>-2024.0</v>
      </c>
      <c r="AT374" s="567">
        <v>-2024.0</v>
      </c>
      <c r="AU374" s="567">
        <v>0.0</v>
      </c>
      <c r="AV374" s="567">
        <v>0.0</v>
      </c>
      <c r="AW374" s="567">
        <v>0.0</v>
      </c>
      <c r="AX374" s="567">
        <v>0.0</v>
      </c>
      <c r="AY374" s="567">
        <v>0.0</v>
      </c>
      <c r="AZ374" s="567">
        <v>0.0</v>
      </c>
      <c r="BA374" s="567">
        <v>0.0</v>
      </c>
      <c r="BB374" s="567"/>
      <c r="BC374" s="661">
        <v>5.0</v>
      </c>
      <c r="BD374" s="567">
        <v>10.0</v>
      </c>
      <c r="BE374" s="567"/>
      <c r="BF374" s="567"/>
      <c r="BG374" s="567"/>
      <c r="BH374" s="567"/>
      <c r="BI374" s="567"/>
      <c r="BJ374" s="567"/>
      <c r="BK374" s="567"/>
      <c r="BL374" s="725"/>
      <c r="BM374" s="665">
        <f t="shared" si="1"/>
        <v>15</v>
      </c>
      <c r="BN374" s="671"/>
      <c r="BO374" s="668"/>
      <c r="BP374" s="668"/>
      <c r="BQ374" s="668"/>
      <c r="BR374" s="668"/>
      <c r="BS374" s="668"/>
      <c r="BT374" s="668"/>
      <c r="BU374" s="668"/>
      <c r="BV374" s="668"/>
      <c r="BW374" s="670"/>
      <c r="BX374" s="665">
        <f t="shared" si="840"/>
        <v>0</v>
      </c>
      <c r="BY374" s="736">
        <v>5.0</v>
      </c>
      <c r="BZ374" s="668">
        <v>0.0</v>
      </c>
      <c r="CA374" s="668">
        <v>0.0</v>
      </c>
      <c r="CB374" s="668">
        <v>0.0</v>
      </c>
      <c r="CC374" s="668">
        <v>0.0</v>
      </c>
      <c r="CD374" s="668">
        <v>0.0</v>
      </c>
      <c r="CE374" s="668">
        <v>0.0</v>
      </c>
      <c r="CF374" s="668">
        <v>0.0</v>
      </c>
      <c r="CG374" s="668">
        <v>0.0</v>
      </c>
      <c r="CH374" s="670">
        <v>0.0</v>
      </c>
      <c r="CI374" s="665">
        <f t="shared" si="841"/>
        <v>5</v>
      </c>
      <c r="CJ374" s="671">
        <f t="shared" si="4"/>
        <v>20</v>
      </c>
      <c r="CK374" s="715">
        <v>172.21</v>
      </c>
      <c r="CL374" s="668">
        <f t="shared" si="1077"/>
        <v>1198.5816</v>
      </c>
      <c r="CM374" s="668">
        <f t="shared" ref="CM374:CV374" si="1144">BC374*$CL374</f>
        <v>5992.908</v>
      </c>
      <c r="CN374" s="668">
        <f t="shared" si="1144"/>
        <v>11985.816</v>
      </c>
      <c r="CO374" s="668">
        <f t="shared" si="1144"/>
        <v>0</v>
      </c>
      <c r="CP374" s="668">
        <f t="shared" si="1144"/>
        <v>0</v>
      </c>
      <c r="CQ374" s="668">
        <f t="shared" si="1144"/>
        <v>0</v>
      </c>
      <c r="CR374" s="668">
        <f t="shared" si="1144"/>
        <v>0</v>
      </c>
      <c r="CS374" s="668">
        <f t="shared" si="1144"/>
        <v>0</v>
      </c>
      <c r="CT374" s="668">
        <f t="shared" si="1144"/>
        <v>0</v>
      </c>
      <c r="CU374" s="668">
        <f t="shared" si="1144"/>
        <v>0</v>
      </c>
      <c r="CV374" s="668">
        <f t="shared" si="1144"/>
        <v>0</v>
      </c>
      <c r="CW374" s="668">
        <f t="shared" si="21"/>
        <v>17978.724</v>
      </c>
      <c r="CX374" s="668">
        <f t="shared" ref="CX374:DG374" si="1145">BN374*$CL374</f>
        <v>0</v>
      </c>
      <c r="CY374" s="668">
        <f t="shared" si="1145"/>
        <v>0</v>
      </c>
      <c r="CZ374" s="668">
        <f t="shared" si="1145"/>
        <v>0</v>
      </c>
      <c r="DA374" s="668">
        <f t="shared" si="1145"/>
        <v>0</v>
      </c>
      <c r="DB374" s="668">
        <f t="shared" si="1145"/>
        <v>0</v>
      </c>
      <c r="DC374" s="668">
        <f t="shared" si="1145"/>
        <v>0</v>
      </c>
      <c r="DD374" s="668">
        <f t="shared" si="1145"/>
        <v>0</v>
      </c>
      <c r="DE374" s="668">
        <f t="shared" si="1145"/>
        <v>0</v>
      </c>
      <c r="DF374" s="668">
        <f t="shared" si="1145"/>
        <v>0</v>
      </c>
      <c r="DG374" s="668">
        <f t="shared" si="1145"/>
        <v>0</v>
      </c>
      <c r="DH374" s="668">
        <f t="shared" si="23"/>
        <v>0</v>
      </c>
      <c r="DI374" s="668">
        <f t="shared" ref="DI374:DR374" si="1146">BY374*$CL374</f>
        <v>5992.908</v>
      </c>
      <c r="DJ374" s="668">
        <f t="shared" si="1146"/>
        <v>0</v>
      </c>
      <c r="DK374" s="668">
        <f t="shared" si="1146"/>
        <v>0</v>
      </c>
      <c r="DL374" s="668">
        <f t="shared" si="1146"/>
        <v>0</v>
      </c>
      <c r="DM374" s="668">
        <f t="shared" si="1146"/>
        <v>0</v>
      </c>
      <c r="DN374" s="668">
        <f t="shared" si="1146"/>
        <v>0</v>
      </c>
      <c r="DO374" s="668">
        <f t="shared" si="1146"/>
        <v>0</v>
      </c>
      <c r="DP374" s="668">
        <f t="shared" si="1146"/>
        <v>0</v>
      </c>
      <c r="DQ374" s="668">
        <f t="shared" si="1146"/>
        <v>0</v>
      </c>
      <c r="DR374" s="668">
        <f t="shared" si="1146"/>
        <v>0</v>
      </c>
      <c r="DS374" s="668">
        <f t="shared" si="25"/>
        <v>5992.908</v>
      </c>
      <c r="DT374" s="668">
        <f t="shared" si="685"/>
        <v>23971.632</v>
      </c>
      <c r="DU374" s="538"/>
      <c r="DV374" s="468"/>
      <c r="DW374" s="698"/>
      <c r="DX374" s="698"/>
      <c r="DY374" s="698"/>
      <c r="DZ374" s="698"/>
      <c r="EA374" s="698"/>
      <c r="EB374" s="698"/>
      <c r="EC374" s="698"/>
      <c r="ED374" s="698"/>
      <c r="EE374" s="698"/>
      <c r="EF374" s="698"/>
      <c r="EG374" s="698"/>
      <c r="EH374" s="576" t="s">
        <v>3585</v>
      </c>
      <c r="EI374" s="716">
        <f>VLOOKUP(I374,CotizacionTDB,4,FALSE())</f>
        <v>172.21</v>
      </c>
      <c r="EJ374" s="716">
        <f>VLOOKUP(I374,CotizacionTDB,5,FALSE())</f>
        <v>146.38</v>
      </c>
      <c r="EK374" s="699"/>
    </row>
    <row r="375" ht="12.0" customHeight="1">
      <c r="A375" s="700" t="s">
        <v>3026</v>
      </c>
      <c r="B375" s="701">
        <v>2.0</v>
      </c>
      <c r="C375" s="562" t="s">
        <v>3032</v>
      </c>
      <c r="D375" s="743" t="s">
        <v>150</v>
      </c>
      <c r="E375" s="571" t="s">
        <v>2722</v>
      </c>
      <c r="F375" s="562" t="s">
        <v>1763</v>
      </c>
      <c r="G375" s="702" t="s">
        <v>2723</v>
      </c>
      <c r="H375" s="702" t="s">
        <v>2748</v>
      </c>
      <c r="I375" s="717" t="s">
        <v>2048</v>
      </c>
      <c r="J375" s="704" t="s">
        <v>585</v>
      </c>
      <c r="K375" s="562" t="s">
        <v>25</v>
      </c>
      <c r="L375" s="562">
        <v>2024.0</v>
      </c>
      <c r="M375" s="562">
        <v>2024.0</v>
      </c>
      <c r="N375" s="562">
        <v>2024.0</v>
      </c>
      <c r="O375" s="562"/>
      <c r="P375" s="562"/>
      <c r="Q375" s="562"/>
      <c r="R375" s="562"/>
      <c r="S375" s="562"/>
      <c r="T375" s="562"/>
      <c r="U375" s="562"/>
      <c r="V375" s="562"/>
      <c r="W375" s="562">
        <v>3.0</v>
      </c>
      <c r="X375" s="562">
        <v>3.0</v>
      </c>
      <c r="Y375" s="562">
        <v>3.0</v>
      </c>
      <c r="Z375" s="562"/>
      <c r="AA375" s="562"/>
      <c r="AB375" s="562"/>
      <c r="AC375" s="562"/>
      <c r="AD375" s="562"/>
      <c r="AE375" s="562"/>
      <c r="AF375" s="562"/>
      <c r="AG375" s="562"/>
      <c r="AH375" s="562"/>
      <c r="AI375" s="562"/>
      <c r="AJ375" s="562"/>
      <c r="AK375" s="562"/>
      <c r="AL375" s="562"/>
      <c r="AM375" s="562"/>
      <c r="AN375" s="562"/>
      <c r="AO375" s="562"/>
      <c r="AP375" s="562"/>
      <c r="AQ375" s="562"/>
      <c r="AR375" s="562">
        <v>-2024.0</v>
      </c>
      <c r="AS375" s="562">
        <v>-2024.0</v>
      </c>
      <c r="AT375" s="562">
        <v>-2024.0</v>
      </c>
      <c r="AU375" s="562">
        <v>0.0</v>
      </c>
      <c r="AV375" s="562">
        <v>0.0</v>
      </c>
      <c r="AW375" s="562">
        <v>0.0</v>
      </c>
      <c r="AX375" s="562">
        <v>0.0</v>
      </c>
      <c r="AY375" s="562">
        <v>0.0</v>
      </c>
      <c r="AZ375" s="562">
        <v>0.0</v>
      </c>
      <c r="BA375" s="562">
        <v>0.0</v>
      </c>
      <c r="BB375" s="562"/>
      <c r="BC375" s="701">
        <v>4.0</v>
      </c>
      <c r="BD375" s="701">
        <v>3.0</v>
      </c>
      <c r="BE375" s="701">
        <v>5.0</v>
      </c>
      <c r="BF375" s="562"/>
      <c r="BG375" s="562"/>
      <c r="BH375" s="562"/>
      <c r="BI375" s="562"/>
      <c r="BJ375" s="562"/>
      <c r="BK375" s="562"/>
      <c r="BL375" s="681"/>
      <c r="BM375" s="665">
        <f t="shared" si="1"/>
        <v>12</v>
      </c>
      <c r="BN375" s="682"/>
      <c r="BO375" s="683"/>
      <c r="BP375" s="683"/>
      <c r="BQ375" s="683"/>
      <c r="BR375" s="683"/>
      <c r="BS375" s="683"/>
      <c r="BT375" s="683"/>
      <c r="BU375" s="683"/>
      <c r="BV375" s="683"/>
      <c r="BW375" s="686"/>
      <c r="BX375" s="665">
        <f t="shared" si="840"/>
        <v>0</v>
      </c>
      <c r="BY375" s="682">
        <v>0.0</v>
      </c>
      <c r="BZ375" s="683">
        <v>0.0</v>
      </c>
      <c r="CA375" s="683">
        <v>0.0</v>
      </c>
      <c r="CB375" s="683">
        <v>0.0</v>
      </c>
      <c r="CC375" s="683">
        <v>0.0</v>
      </c>
      <c r="CD375" s="683">
        <v>0.0</v>
      </c>
      <c r="CE375" s="683">
        <v>0.0</v>
      </c>
      <c r="CF375" s="683">
        <v>0.0</v>
      </c>
      <c r="CG375" s="683">
        <v>0.0</v>
      </c>
      <c r="CH375" s="686">
        <v>0.0</v>
      </c>
      <c r="CI375" s="665">
        <f t="shared" si="841"/>
        <v>0</v>
      </c>
      <c r="CJ375" s="682">
        <f t="shared" si="4"/>
        <v>12</v>
      </c>
      <c r="CK375" s="706">
        <v>131.21</v>
      </c>
      <c r="CL375" s="683">
        <f t="shared" si="1077"/>
        <v>913.2216</v>
      </c>
      <c r="CM375" s="683">
        <f t="shared" ref="CM375:CV375" si="1147">BC375*$CL375</f>
        <v>3652.8864</v>
      </c>
      <c r="CN375" s="683">
        <f t="shared" si="1147"/>
        <v>2739.6648</v>
      </c>
      <c r="CO375" s="683">
        <f t="shared" si="1147"/>
        <v>4566.108</v>
      </c>
      <c r="CP375" s="683">
        <f t="shared" si="1147"/>
        <v>0</v>
      </c>
      <c r="CQ375" s="683">
        <f t="shared" si="1147"/>
        <v>0</v>
      </c>
      <c r="CR375" s="683">
        <f t="shared" si="1147"/>
        <v>0</v>
      </c>
      <c r="CS375" s="683">
        <f t="shared" si="1147"/>
        <v>0</v>
      </c>
      <c r="CT375" s="683">
        <f t="shared" si="1147"/>
        <v>0</v>
      </c>
      <c r="CU375" s="683">
        <f t="shared" si="1147"/>
        <v>0</v>
      </c>
      <c r="CV375" s="683">
        <f t="shared" si="1147"/>
        <v>0</v>
      </c>
      <c r="CW375" s="683">
        <f t="shared" si="21"/>
        <v>10958.6592</v>
      </c>
      <c r="CX375" s="683">
        <f t="shared" ref="CX375:DG375" si="1148">BN375*$CL375</f>
        <v>0</v>
      </c>
      <c r="CY375" s="683">
        <f t="shared" si="1148"/>
        <v>0</v>
      </c>
      <c r="CZ375" s="683">
        <f t="shared" si="1148"/>
        <v>0</v>
      </c>
      <c r="DA375" s="683">
        <f t="shared" si="1148"/>
        <v>0</v>
      </c>
      <c r="DB375" s="683">
        <f t="shared" si="1148"/>
        <v>0</v>
      </c>
      <c r="DC375" s="683">
        <f t="shared" si="1148"/>
        <v>0</v>
      </c>
      <c r="DD375" s="683">
        <f t="shared" si="1148"/>
        <v>0</v>
      </c>
      <c r="DE375" s="683">
        <f t="shared" si="1148"/>
        <v>0</v>
      </c>
      <c r="DF375" s="683">
        <f t="shared" si="1148"/>
        <v>0</v>
      </c>
      <c r="DG375" s="683">
        <f t="shared" si="1148"/>
        <v>0</v>
      </c>
      <c r="DH375" s="683">
        <f t="shared" si="23"/>
        <v>0</v>
      </c>
      <c r="DI375" s="683">
        <f t="shared" ref="DI375:DR375" si="1149">BY375*$CL375</f>
        <v>0</v>
      </c>
      <c r="DJ375" s="683">
        <f t="shared" si="1149"/>
        <v>0</v>
      </c>
      <c r="DK375" s="683">
        <f t="shared" si="1149"/>
        <v>0</v>
      </c>
      <c r="DL375" s="683">
        <f t="shared" si="1149"/>
        <v>0</v>
      </c>
      <c r="DM375" s="683">
        <f t="shared" si="1149"/>
        <v>0</v>
      </c>
      <c r="DN375" s="683">
        <f t="shared" si="1149"/>
        <v>0</v>
      </c>
      <c r="DO375" s="683">
        <f t="shared" si="1149"/>
        <v>0</v>
      </c>
      <c r="DP375" s="683">
        <f t="shared" si="1149"/>
        <v>0</v>
      </c>
      <c r="DQ375" s="683">
        <f t="shared" si="1149"/>
        <v>0</v>
      </c>
      <c r="DR375" s="683">
        <f t="shared" si="1149"/>
        <v>0</v>
      </c>
      <c r="DS375" s="683">
        <f t="shared" si="25"/>
        <v>0</v>
      </c>
      <c r="DT375" s="683">
        <f t="shared" si="685"/>
        <v>10958.6592</v>
      </c>
      <c r="DU375" s="504"/>
      <c r="DV375" s="486"/>
      <c r="DW375" s="688"/>
      <c r="DX375" s="688"/>
      <c r="DY375" s="688"/>
      <c r="DZ375" s="688"/>
      <c r="EA375" s="688"/>
      <c r="EB375" s="688"/>
      <c r="EC375" s="688"/>
      <c r="ED375" s="688"/>
      <c r="EE375" s="688"/>
      <c r="EF375" s="688"/>
      <c r="EG375" s="688"/>
      <c r="EH375" s="707" t="s">
        <v>3586</v>
      </c>
      <c r="EI375" s="708">
        <f>VLOOKUP(I375,CotizacionTDB,4,FALSE())</f>
        <v>131.21</v>
      </c>
      <c r="EJ375" s="708">
        <f>VLOOKUP(I375,CotizacionTDB,5,FALSE())</f>
        <v>111.53</v>
      </c>
      <c r="EK375" s="691"/>
    </row>
    <row r="376" ht="12.0" customHeight="1">
      <c r="A376" s="709" t="s">
        <v>3026</v>
      </c>
      <c r="B376" s="661">
        <v>2.0</v>
      </c>
      <c r="C376" s="567" t="s">
        <v>3032</v>
      </c>
      <c r="D376" s="742" t="s">
        <v>150</v>
      </c>
      <c r="E376" s="568" t="s">
        <v>2722</v>
      </c>
      <c r="F376" s="567" t="s">
        <v>1763</v>
      </c>
      <c r="G376" s="657" t="s">
        <v>2723</v>
      </c>
      <c r="H376" s="657" t="s">
        <v>2747</v>
      </c>
      <c r="I376" s="710" t="s">
        <v>2047</v>
      </c>
      <c r="J376" s="711" t="s">
        <v>891</v>
      </c>
      <c r="K376" s="567" t="s">
        <v>25</v>
      </c>
      <c r="L376" s="567">
        <v>2024.0</v>
      </c>
      <c r="M376" s="567">
        <v>2024.0</v>
      </c>
      <c r="N376" s="567">
        <v>2024.0</v>
      </c>
      <c r="O376" s="567"/>
      <c r="P376" s="567"/>
      <c r="Q376" s="567"/>
      <c r="R376" s="567"/>
      <c r="S376" s="567"/>
      <c r="T376" s="567"/>
      <c r="U376" s="567"/>
      <c r="V376" s="567"/>
      <c r="W376" s="567">
        <v>3.0</v>
      </c>
      <c r="X376" s="567">
        <v>3.0</v>
      </c>
      <c r="Y376" s="567">
        <v>3.0</v>
      </c>
      <c r="Z376" s="567"/>
      <c r="AA376" s="567"/>
      <c r="AB376" s="567"/>
      <c r="AC376" s="567"/>
      <c r="AD376" s="567"/>
      <c r="AE376" s="567"/>
      <c r="AF376" s="567"/>
      <c r="AG376" s="567"/>
      <c r="AH376" s="567"/>
      <c r="AI376" s="567"/>
      <c r="AJ376" s="567"/>
      <c r="AK376" s="567"/>
      <c r="AL376" s="567"/>
      <c r="AM376" s="567"/>
      <c r="AN376" s="567"/>
      <c r="AO376" s="567"/>
      <c r="AP376" s="567"/>
      <c r="AQ376" s="567"/>
      <c r="AR376" s="567">
        <v>-2024.0</v>
      </c>
      <c r="AS376" s="567">
        <v>-2024.0</v>
      </c>
      <c r="AT376" s="567">
        <v>-2024.0</v>
      </c>
      <c r="AU376" s="567">
        <v>0.0</v>
      </c>
      <c r="AV376" s="567">
        <v>0.0</v>
      </c>
      <c r="AW376" s="567">
        <v>0.0</v>
      </c>
      <c r="AX376" s="567">
        <v>0.0</v>
      </c>
      <c r="AY376" s="567">
        <v>0.0</v>
      </c>
      <c r="AZ376" s="567">
        <v>0.0</v>
      </c>
      <c r="BA376" s="567">
        <v>0.0</v>
      </c>
      <c r="BB376" s="567"/>
      <c r="BC376" s="661">
        <v>3.0</v>
      </c>
      <c r="BD376" s="567">
        <v>2.0</v>
      </c>
      <c r="BE376" s="661">
        <v>3.0</v>
      </c>
      <c r="BF376" s="567"/>
      <c r="BG376" s="567"/>
      <c r="BH376" s="567"/>
      <c r="BI376" s="567"/>
      <c r="BJ376" s="567"/>
      <c r="BK376" s="567"/>
      <c r="BL376" s="725"/>
      <c r="BM376" s="665">
        <f t="shared" si="1"/>
        <v>8</v>
      </c>
      <c r="BN376" s="671"/>
      <c r="BO376" s="668"/>
      <c r="BP376" s="668"/>
      <c r="BQ376" s="674">
        <v>1.0</v>
      </c>
      <c r="BR376" s="674">
        <v>2.0</v>
      </c>
      <c r="BS376" s="674">
        <v>2.0</v>
      </c>
      <c r="BT376" s="668"/>
      <c r="BU376" s="668"/>
      <c r="BV376" s="668"/>
      <c r="BW376" s="670"/>
      <c r="BX376" s="665">
        <f t="shared" si="840"/>
        <v>5</v>
      </c>
      <c r="BY376" s="671">
        <v>0.0</v>
      </c>
      <c r="BZ376" s="668">
        <v>0.0</v>
      </c>
      <c r="CA376" s="668">
        <v>0.0</v>
      </c>
      <c r="CB376" s="668">
        <v>0.0</v>
      </c>
      <c r="CC376" s="668">
        <v>0.0</v>
      </c>
      <c r="CD376" s="668">
        <v>0.0</v>
      </c>
      <c r="CE376" s="668">
        <v>0.0</v>
      </c>
      <c r="CF376" s="668">
        <v>0.0</v>
      </c>
      <c r="CG376" s="668">
        <v>0.0</v>
      </c>
      <c r="CH376" s="670">
        <v>0.0</v>
      </c>
      <c r="CI376" s="665">
        <f t="shared" si="841"/>
        <v>0</v>
      </c>
      <c r="CJ376" s="671">
        <f t="shared" si="4"/>
        <v>13</v>
      </c>
      <c r="CK376" s="715">
        <v>120.56</v>
      </c>
      <c r="CL376" s="668">
        <f t="shared" si="1077"/>
        <v>839.0976</v>
      </c>
      <c r="CM376" s="668">
        <f t="shared" ref="CM376:CV376" si="1150">BC376*$CL376</f>
        <v>2517.2928</v>
      </c>
      <c r="CN376" s="668">
        <f t="shared" si="1150"/>
        <v>1678.1952</v>
      </c>
      <c r="CO376" s="668">
        <f t="shared" si="1150"/>
        <v>2517.2928</v>
      </c>
      <c r="CP376" s="668">
        <f t="shared" si="1150"/>
        <v>0</v>
      </c>
      <c r="CQ376" s="668">
        <f t="shared" si="1150"/>
        <v>0</v>
      </c>
      <c r="CR376" s="668">
        <f t="shared" si="1150"/>
        <v>0</v>
      </c>
      <c r="CS376" s="668">
        <f t="shared" si="1150"/>
        <v>0</v>
      </c>
      <c r="CT376" s="668">
        <f t="shared" si="1150"/>
        <v>0</v>
      </c>
      <c r="CU376" s="668">
        <f t="shared" si="1150"/>
        <v>0</v>
      </c>
      <c r="CV376" s="668">
        <f t="shared" si="1150"/>
        <v>0</v>
      </c>
      <c r="CW376" s="668">
        <f t="shared" si="21"/>
        <v>6712.7808</v>
      </c>
      <c r="CX376" s="668">
        <f t="shared" ref="CX376:DG376" si="1151">BN376*$CL376</f>
        <v>0</v>
      </c>
      <c r="CY376" s="668">
        <f t="shared" si="1151"/>
        <v>0</v>
      </c>
      <c r="CZ376" s="668">
        <f t="shared" si="1151"/>
        <v>0</v>
      </c>
      <c r="DA376" s="668">
        <f t="shared" si="1151"/>
        <v>839.0976</v>
      </c>
      <c r="DB376" s="668">
        <f t="shared" si="1151"/>
        <v>1678.1952</v>
      </c>
      <c r="DC376" s="668">
        <f t="shared" si="1151"/>
        <v>1678.1952</v>
      </c>
      <c r="DD376" s="668">
        <f t="shared" si="1151"/>
        <v>0</v>
      </c>
      <c r="DE376" s="668">
        <f t="shared" si="1151"/>
        <v>0</v>
      </c>
      <c r="DF376" s="668">
        <f t="shared" si="1151"/>
        <v>0</v>
      </c>
      <c r="DG376" s="668">
        <f t="shared" si="1151"/>
        <v>0</v>
      </c>
      <c r="DH376" s="668">
        <f t="shared" si="23"/>
        <v>4195.488</v>
      </c>
      <c r="DI376" s="668">
        <f t="shared" ref="DI376:DR376" si="1152">BY376*$CL376</f>
        <v>0</v>
      </c>
      <c r="DJ376" s="668">
        <f t="shared" si="1152"/>
        <v>0</v>
      </c>
      <c r="DK376" s="668">
        <f t="shared" si="1152"/>
        <v>0</v>
      </c>
      <c r="DL376" s="668">
        <f t="shared" si="1152"/>
        <v>0</v>
      </c>
      <c r="DM376" s="668">
        <f t="shared" si="1152"/>
        <v>0</v>
      </c>
      <c r="DN376" s="668">
        <f t="shared" si="1152"/>
        <v>0</v>
      </c>
      <c r="DO376" s="668">
        <f t="shared" si="1152"/>
        <v>0</v>
      </c>
      <c r="DP376" s="668">
        <f t="shared" si="1152"/>
        <v>0</v>
      </c>
      <c r="DQ376" s="668">
        <f t="shared" si="1152"/>
        <v>0</v>
      </c>
      <c r="DR376" s="668">
        <f t="shared" si="1152"/>
        <v>0</v>
      </c>
      <c r="DS376" s="668">
        <f t="shared" si="25"/>
        <v>0</v>
      </c>
      <c r="DT376" s="668">
        <f t="shared" si="685"/>
        <v>10908.2688</v>
      </c>
      <c r="DU376" s="538"/>
      <c r="DV376" s="468"/>
      <c r="DW376" s="698"/>
      <c r="DX376" s="698"/>
      <c r="DY376" s="698"/>
      <c r="DZ376" s="698"/>
      <c r="EA376" s="698"/>
      <c r="EB376" s="698"/>
      <c r="EC376" s="698"/>
      <c r="ED376" s="698"/>
      <c r="EE376" s="698"/>
      <c r="EF376" s="698"/>
      <c r="EG376" s="698"/>
      <c r="EH376" s="576" t="s">
        <v>3587</v>
      </c>
      <c r="EI376" s="716">
        <f>VLOOKUP(I376,CotizacionTDB,4,FALSE())</f>
        <v>120.56</v>
      </c>
      <c r="EJ376" s="716">
        <f>VLOOKUP(I376,CotizacionTDB,5,FALSE())</f>
        <v>102.48</v>
      </c>
      <c r="EK376" s="699"/>
    </row>
    <row r="377" ht="12.0" customHeight="1">
      <c r="A377" s="700" t="s">
        <v>3026</v>
      </c>
      <c r="B377" s="701"/>
      <c r="C377" s="562" t="s">
        <v>3032</v>
      </c>
      <c r="D377" s="743" t="s">
        <v>150</v>
      </c>
      <c r="E377" s="571" t="s">
        <v>2722</v>
      </c>
      <c r="F377" s="562" t="s">
        <v>1763</v>
      </c>
      <c r="G377" s="702" t="s">
        <v>2723</v>
      </c>
      <c r="H377" s="569" t="s">
        <v>2851</v>
      </c>
      <c r="I377" s="768">
        <v>1.131792E7</v>
      </c>
      <c r="J377" s="571" t="s">
        <v>3588</v>
      </c>
      <c r="K377" s="562" t="s">
        <v>25</v>
      </c>
      <c r="L377" s="562">
        <v>2024.0</v>
      </c>
      <c r="M377" s="562">
        <v>2024.0</v>
      </c>
      <c r="N377" s="562">
        <v>2024.0</v>
      </c>
      <c r="O377" s="562"/>
      <c r="P377" s="562"/>
      <c r="Q377" s="562"/>
      <c r="R377" s="562"/>
      <c r="S377" s="562"/>
      <c r="T377" s="562"/>
      <c r="U377" s="562"/>
      <c r="V377" s="562"/>
      <c r="W377" s="562">
        <v>5.0</v>
      </c>
      <c r="X377" s="562">
        <v>5.0</v>
      </c>
      <c r="Y377" s="562">
        <v>5.0</v>
      </c>
      <c r="Z377" s="562"/>
      <c r="AA377" s="562"/>
      <c r="AB377" s="562"/>
      <c r="AC377" s="562"/>
      <c r="AD377" s="562"/>
      <c r="AE377" s="562"/>
      <c r="AF377" s="562"/>
      <c r="AG377" s="562"/>
      <c r="AH377" s="562"/>
      <c r="AI377" s="562"/>
      <c r="AJ377" s="562"/>
      <c r="AK377" s="562"/>
      <c r="AL377" s="562"/>
      <c r="AM377" s="562"/>
      <c r="AN377" s="562"/>
      <c r="AO377" s="562"/>
      <c r="AP377" s="562"/>
      <c r="AQ377" s="562"/>
      <c r="AR377" s="562">
        <v>-2024.0</v>
      </c>
      <c r="AS377" s="562">
        <v>-2024.0</v>
      </c>
      <c r="AT377" s="562">
        <v>-2024.0</v>
      </c>
      <c r="AU377" s="562">
        <v>0.0</v>
      </c>
      <c r="AV377" s="562">
        <v>0.0</v>
      </c>
      <c r="AW377" s="562">
        <v>0.0</v>
      </c>
      <c r="AX377" s="562">
        <v>0.0</v>
      </c>
      <c r="AY377" s="562">
        <v>0.0</v>
      </c>
      <c r="AZ377" s="562">
        <v>0.0</v>
      </c>
      <c r="BA377" s="562">
        <v>0.0</v>
      </c>
      <c r="BB377" s="562"/>
      <c r="BC377" s="942"/>
      <c r="BD377" s="942"/>
      <c r="BE377" s="943"/>
      <c r="BF377" s="808"/>
      <c r="BG377" s="808"/>
      <c r="BH377" s="808"/>
      <c r="BI377" s="942"/>
      <c r="BJ377" s="808"/>
      <c r="BK377" s="942"/>
      <c r="BL377" s="854"/>
      <c r="BM377" s="665">
        <f t="shared" si="1"/>
        <v>0</v>
      </c>
      <c r="BN377" s="944"/>
      <c r="BO377" s="945"/>
      <c r="BP377" s="945"/>
      <c r="BQ377" s="945"/>
      <c r="BR377" s="945"/>
      <c r="BS377" s="945"/>
      <c r="BT377" s="946"/>
      <c r="BU377" s="946"/>
      <c r="BV377" s="946"/>
      <c r="BW377" s="831"/>
      <c r="BX377" s="665">
        <f t="shared" si="840"/>
        <v>0</v>
      </c>
      <c r="BY377" s="682">
        <v>0.0</v>
      </c>
      <c r="BZ377" s="683">
        <v>0.0</v>
      </c>
      <c r="CA377" s="683">
        <v>0.0</v>
      </c>
      <c r="CB377" s="683">
        <v>0.0</v>
      </c>
      <c r="CC377" s="683">
        <v>0.0</v>
      </c>
      <c r="CD377" s="683">
        <v>0.0</v>
      </c>
      <c r="CE377" s="683">
        <v>0.0</v>
      </c>
      <c r="CF377" s="683">
        <v>0.0</v>
      </c>
      <c r="CG377" s="683">
        <v>0.0</v>
      </c>
      <c r="CH377" s="686">
        <v>0.0</v>
      </c>
      <c r="CI377" s="665">
        <f t="shared" si="841"/>
        <v>0</v>
      </c>
      <c r="CJ377" s="682">
        <f t="shared" si="4"/>
        <v>0</v>
      </c>
      <c r="CK377" s="687">
        <v>1233.52</v>
      </c>
      <c r="CL377" s="683">
        <v>8597.634399999999</v>
      </c>
      <c r="CM377" s="683">
        <f t="shared" ref="CM377:CV377" si="1153">BC377*$CL377</f>
        <v>0</v>
      </c>
      <c r="CN377" s="683">
        <f t="shared" si="1153"/>
        <v>0</v>
      </c>
      <c r="CO377" s="683">
        <f t="shared" si="1153"/>
        <v>0</v>
      </c>
      <c r="CP377" s="683">
        <f t="shared" si="1153"/>
        <v>0</v>
      </c>
      <c r="CQ377" s="683">
        <f t="shared" si="1153"/>
        <v>0</v>
      </c>
      <c r="CR377" s="683">
        <f t="shared" si="1153"/>
        <v>0</v>
      </c>
      <c r="CS377" s="683">
        <f t="shared" si="1153"/>
        <v>0</v>
      </c>
      <c r="CT377" s="683">
        <f t="shared" si="1153"/>
        <v>0</v>
      </c>
      <c r="CU377" s="683">
        <f t="shared" si="1153"/>
        <v>0</v>
      </c>
      <c r="CV377" s="683">
        <f t="shared" si="1153"/>
        <v>0</v>
      </c>
      <c r="CW377" s="683">
        <f t="shared" si="21"/>
        <v>0</v>
      </c>
      <c r="CX377" s="683">
        <f t="shared" ref="CX377:DG377" si="1154">BN377*$CL377</f>
        <v>0</v>
      </c>
      <c r="CY377" s="683">
        <f t="shared" si="1154"/>
        <v>0</v>
      </c>
      <c r="CZ377" s="683">
        <f t="shared" si="1154"/>
        <v>0</v>
      </c>
      <c r="DA377" s="683">
        <f t="shared" si="1154"/>
        <v>0</v>
      </c>
      <c r="DB377" s="683">
        <f t="shared" si="1154"/>
        <v>0</v>
      </c>
      <c r="DC377" s="683">
        <f t="shared" si="1154"/>
        <v>0</v>
      </c>
      <c r="DD377" s="683">
        <f t="shared" si="1154"/>
        <v>0</v>
      </c>
      <c r="DE377" s="683">
        <f t="shared" si="1154"/>
        <v>0</v>
      </c>
      <c r="DF377" s="683">
        <f t="shared" si="1154"/>
        <v>0</v>
      </c>
      <c r="DG377" s="683">
        <f t="shared" si="1154"/>
        <v>0</v>
      </c>
      <c r="DH377" s="683">
        <f t="shared" si="23"/>
        <v>0</v>
      </c>
      <c r="DI377" s="683">
        <f t="shared" ref="DI377:DR377" si="1155">BY377*$CL377</f>
        <v>0</v>
      </c>
      <c r="DJ377" s="683">
        <f t="shared" si="1155"/>
        <v>0</v>
      </c>
      <c r="DK377" s="683">
        <f t="shared" si="1155"/>
        <v>0</v>
      </c>
      <c r="DL377" s="683">
        <f t="shared" si="1155"/>
        <v>0</v>
      </c>
      <c r="DM377" s="683">
        <f t="shared" si="1155"/>
        <v>0</v>
      </c>
      <c r="DN377" s="683">
        <f t="shared" si="1155"/>
        <v>0</v>
      </c>
      <c r="DO377" s="683">
        <f t="shared" si="1155"/>
        <v>0</v>
      </c>
      <c r="DP377" s="683">
        <f t="shared" si="1155"/>
        <v>0</v>
      </c>
      <c r="DQ377" s="683">
        <f t="shared" si="1155"/>
        <v>0</v>
      </c>
      <c r="DR377" s="683">
        <f t="shared" si="1155"/>
        <v>0</v>
      </c>
      <c r="DS377" s="683">
        <f t="shared" si="25"/>
        <v>0</v>
      </c>
      <c r="DT377" s="683">
        <f t="shared" si="685"/>
        <v>0</v>
      </c>
      <c r="DU377" s="504"/>
      <c r="DV377" s="486"/>
      <c r="DW377" s="688"/>
      <c r="DX377" s="688"/>
      <c r="DY377" s="688"/>
      <c r="DZ377" s="688"/>
      <c r="EA377" s="688"/>
      <c r="EB377" s="688"/>
      <c r="EC377" s="688"/>
      <c r="ED377" s="688"/>
      <c r="EE377" s="688"/>
      <c r="EF377" s="688"/>
      <c r="EG377" s="688"/>
      <c r="EH377" s="689">
        <f>CK377*6.97</f>
        <v>8597.6344</v>
      </c>
      <c r="EI377" s="690">
        <v>1.0</v>
      </c>
      <c r="EJ377" s="691"/>
      <c r="EK377" s="691"/>
    </row>
    <row r="378" ht="12.0" customHeight="1">
      <c r="A378" s="709" t="s">
        <v>3026</v>
      </c>
      <c r="B378" s="661">
        <v>2.0</v>
      </c>
      <c r="C378" s="567" t="s">
        <v>3032</v>
      </c>
      <c r="D378" s="742" t="s">
        <v>150</v>
      </c>
      <c r="E378" s="568" t="s">
        <v>2722</v>
      </c>
      <c r="F378" s="567" t="s">
        <v>1763</v>
      </c>
      <c r="G378" s="569" t="s">
        <v>2723</v>
      </c>
      <c r="H378" s="569" t="s">
        <v>2746</v>
      </c>
      <c r="I378" s="710" t="s">
        <v>2046</v>
      </c>
      <c r="J378" s="711" t="s">
        <v>918</v>
      </c>
      <c r="K378" s="567" t="s">
        <v>25</v>
      </c>
      <c r="L378" s="567">
        <v>2024.0</v>
      </c>
      <c r="M378" s="567">
        <v>2024.0</v>
      </c>
      <c r="N378" s="567">
        <v>2024.0</v>
      </c>
      <c r="O378" s="567"/>
      <c r="P378" s="567"/>
      <c r="Q378" s="567"/>
      <c r="R378" s="567"/>
      <c r="S378" s="567"/>
      <c r="T378" s="567"/>
      <c r="U378" s="567"/>
      <c r="V378" s="567"/>
      <c r="W378" s="567">
        <v>3.0</v>
      </c>
      <c r="X378" s="567">
        <v>3.0</v>
      </c>
      <c r="Y378" s="567">
        <v>3.0</v>
      </c>
      <c r="Z378" s="567"/>
      <c r="AA378" s="567"/>
      <c r="AB378" s="567"/>
      <c r="AC378" s="567"/>
      <c r="AD378" s="567"/>
      <c r="AE378" s="567"/>
      <c r="AF378" s="567"/>
      <c r="AG378" s="567"/>
      <c r="AH378" s="567"/>
      <c r="AI378" s="567"/>
      <c r="AJ378" s="567"/>
      <c r="AK378" s="567"/>
      <c r="AL378" s="567"/>
      <c r="AM378" s="567"/>
      <c r="AN378" s="567"/>
      <c r="AO378" s="567"/>
      <c r="AP378" s="567"/>
      <c r="AQ378" s="567"/>
      <c r="AR378" s="567">
        <v>-2024.0</v>
      </c>
      <c r="AS378" s="567">
        <v>-2024.0</v>
      </c>
      <c r="AT378" s="567">
        <v>-2024.0</v>
      </c>
      <c r="AU378" s="567">
        <v>0.0</v>
      </c>
      <c r="AV378" s="567">
        <v>0.0</v>
      </c>
      <c r="AW378" s="567">
        <v>0.0</v>
      </c>
      <c r="AX378" s="567">
        <v>0.0</v>
      </c>
      <c r="AY378" s="567">
        <v>0.0</v>
      </c>
      <c r="AZ378" s="567">
        <v>0.0</v>
      </c>
      <c r="BA378" s="567">
        <v>0.0</v>
      </c>
      <c r="BB378" s="567"/>
      <c r="BC378" s="567"/>
      <c r="BD378" s="567"/>
      <c r="BE378" s="567"/>
      <c r="BF378" s="567"/>
      <c r="BG378" s="567"/>
      <c r="BH378" s="567"/>
      <c r="BI378" s="567"/>
      <c r="BJ378" s="567"/>
      <c r="BK378" s="567"/>
      <c r="BL378" s="725"/>
      <c r="BM378" s="665">
        <f t="shared" si="1"/>
        <v>0</v>
      </c>
      <c r="BN378" s="671"/>
      <c r="BO378" s="668"/>
      <c r="BP378" s="668"/>
      <c r="BQ378" s="674">
        <v>1.0</v>
      </c>
      <c r="BR378" s="674">
        <v>2.0</v>
      </c>
      <c r="BS378" s="674">
        <v>2.0</v>
      </c>
      <c r="BT378" s="668"/>
      <c r="BU378" s="668"/>
      <c r="BV378" s="668"/>
      <c r="BW378" s="670"/>
      <c r="BX378" s="665">
        <f t="shared" si="840"/>
        <v>5</v>
      </c>
      <c r="BY378" s="671">
        <v>0.0</v>
      </c>
      <c r="BZ378" s="668">
        <v>0.0</v>
      </c>
      <c r="CA378" s="668">
        <v>0.0</v>
      </c>
      <c r="CB378" s="668">
        <v>0.0</v>
      </c>
      <c r="CC378" s="668">
        <v>0.0</v>
      </c>
      <c r="CD378" s="668">
        <v>0.0</v>
      </c>
      <c r="CE378" s="668">
        <v>0.0</v>
      </c>
      <c r="CF378" s="668">
        <v>0.0</v>
      </c>
      <c r="CG378" s="668">
        <v>0.0</v>
      </c>
      <c r="CH378" s="670">
        <v>0.0</v>
      </c>
      <c r="CI378" s="665">
        <f t="shared" si="841"/>
        <v>0</v>
      </c>
      <c r="CJ378" s="671">
        <f t="shared" si="4"/>
        <v>5</v>
      </c>
      <c r="CK378" s="715">
        <v>111.25</v>
      </c>
      <c r="CL378" s="668">
        <f t="shared" ref="CL378:CL379" si="1159">CK378*$CL$1</f>
        <v>774.3</v>
      </c>
      <c r="CM378" s="668">
        <f t="shared" ref="CM378:CV378" si="1156">BC378*$CL378</f>
        <v>0</v>
      </c>
      <c r="CN378" s="668">
        <f t="shared" si="1156"/>
        <v>0</v>
      </c>
      <c r="CO378" s="668">
        <f t="shared" si="1156"/>
        <v>0</v>
      </c>
      <c r="CP378" s="668">
        <f t="shared" si="1156"/>
        <v>0</v>
      </c>
      <c r="CQ378" s="668">
        <f t="shared" si="1156"/>
        <v>0</v>
      </c>
      <c r="CR378" s="668">
        <f t="shared" si="1156"/>
        <v>0</v>
      </c>
      <c r="CS378" s="668">
        <f t="shared" si="1156"/>
        <v>0</v>
      </c>
      <c r="CT378" s="668">
        <f t="shared" si="1156"/>
        <v>0</v>
      </c>
      <c r="CU378" s="668">
        <f t="shared" si="1156"/>
        <v>0</v>
      </c>
      <c r="CV378" s="668">
        <f t="shared" si="1156"/>
        <v>0</v>
      </c>
      <c r="CW378" s="668">
        <f t="shared" si="21"/>
        <v>0</v>
      </c>
      <c r="CX378" s="668">
        <f t="shared" ref="CX378:DG378" si="1157">BN378*$CL378</f>
        <v>0</v>
      </c>
      <c r="CY378" s="668">
        <f t="shared" si="1157"/>
        <v>0</v>
      </c>
      <c r="CZ378" s="668">
        <f t="shared" si="1157"/>
        <v>0</v>
      </c>
      <c r="DA378" s="668">
        <f t="shared" si="1157"/>
        <v>774.3</v>
      </c>
      <c r="DB378" s="668">
        <f t="shared" si="1157"/>
        <v>1548.6</v>
      </c>
      <c r="DC378" s="668">
        <f t="shared" si="1157"/>
        <v>1548.6</v>
      </c>
      <c r="DD378" s="668">
        <f t="shared" si="1157"/>
        <v>0</v>
      </c>
      <c r="DE378" s="668">
        <f t="shared" si="1157"/>
        <v>0</v>
      </c>
      <c r="DF378" s="668">
        <f t="shared" si="1157"/>
        <v>0</v>
      </c>
      <c r="DG378" s="668">
        <f t="shared" si="1157"/>
        <v>0</v>
      </c>
      <c r="DH378" s="668">
        <f t="shared" si="23"/>
        <v>3871.5</v>
      </c>
      <c r="DI378" s="668">
        <f t="shared" ref="DI378:DR378" si="1158">BY378*$CL378</f>
        <v>0</v>
      </c>
      <c r="DJ378" s="668">
        <f t="shared" si="1158"/>
        <v>0</v>
      </c>
      <c r="DK378" s="668">
        <f t="shared" si="1158"/>
        <v>0</v>
      </c>
      <c r="DL378" s="668">
        <f t="shared" si="1158"/>
        <v>0</v>
      </c>
      <c r="DM378" s="668">
        <f t="shared" si="1158"/>
        <v>0</v>
      </c>
      <c r="DN378" s="668">
        <f t="shared" si="1158"/>
        <v>0</v>
      </c>
      <c r="DO378" s="668">
        <f t="shared" si="1158"/>
        <v>0</v>
      </c>
      <c r="DP378" s="668">
        <f t="shared" si="1158"/>
        <v>0</v>
      </c>
      <c r="DQ378" s="668">
        <f t="shared" si="1158"/>
        <v>0</v>
      </c>
      <c r="DR378" s="668">
        <f t="shared" si="1158"/>
        <v>0</v>
      </c>
      <c r="DS378" s="668">
        <f t="shared" si="25"/>
        <v>0</v>
      </c>
      <c r="DT378" s="668">
        <f t="shared" si="685"/>
        <v>3871.5</v>
      </c>
      <c r="DU378" s="538"/>
      <c r="DV378" s="468"/>
      <c r="DW378" s="698"/>
      <c r="DX378" s="698"/>
      <c r="DY378" s="698"/>
      <c r="DZ378" s="698"/>
      <c r="EA378" s="698"/>
      <c r="EB378" s="698"/>
      <c r="EC378" s="698"/>
      <c r="ED378" s="698"/>
      <c r="EE378" s="698"/>
      <c r="EF378" s="698"/>
      <c r="EG378" s="698"/>
      <c r="EH378" s="576" t="s">
        <v>3589</v>
      </c>
      <c r="EI378" s="716">
        <f>VLOOKUP(I378,CotizacionTDB,4,FALSE())</f>
        <v>111.25</v>
      </c>
      <c r="EJ378" s="716">
        <f>VLOOKUP(I378,CotizacionTDB,5,FALSE())</f>
        <v>94.56</v>
      </c>
      <c r="EK378" s="699"/>
    </row>
    <row r="379" ht="12.0" customHeight="1">
      <c r="A379" s="700" t="s">
        <v>3026</v>
      </c>
      <c r="B379" s="701">
        <v>2.0</v>
      </c>
      <c r="C379" s="562" t="s">
        <v>3027</v>
      </c>
      <c r="D379" s="571" t="s">
        <v>1675</v>
      </c>
      <c r="E379" s="571" t="s">
        <v>2708</v>
      </c>
      <c r="F379" s="562" t="s">
        <v>1763</v>
      </c>
      <c r="G379" s="569" t="s">
        <v>2709</v>
      </c>
      <c r="H379" s="569" t="s">
        <v>3590</v>
      </c>
      <c r="I379" s="703" t="s">
        <v>2315</v>
      </c>
      <c r="J379" s="704" t="s">
        <v>536</v>
      </c>
      <c r="K379" s="562" t="s">
        <v>25</v>
      </c>
      <c r="L379" s="562">
        <v>2025.0</v>
      </c>
      <c r="M379" s="562"/>
      <c r="N379" s="562">
        <v>2024.0</v>
      </c>
      <c r="O379" s="562"/>
      <c r="P379" s="562"/>
      <c r="Q379" s="562"/>
      <c r="R379" s="562"/>
      <c r="S379" s="562"/>
      <c r="T379" s="562"/>
      <c r="U379" s="562"/>
      <c r="V379" s="562"/>
      <c r="W379" s="562">
        <v>5.0</v>
      </c>
      <c r="X379" s="562"/>
      <c r="Y379" s="562">
        <v>7.0</v>
      </c>
      <c r="Z379" s="562"/>
      <c r="AA379" s="562"/>
      <c r="AB379" s="562"/>
      <c r="AC379" s="562"/>
      <c r="AD379" s="562"/>
      <c r="AE379" s="562"/>
      <c r="AF379" s="562"/>
      <c r="AG379" s="562"/>
      <c r="AH379" s="562"/>
      <c r="AI379" s="562"/>
      <c r="AJ379" s="562"/>
      <c r="AK379" s="562"/>
      <c r="AL379" s="562"/>
      <c r="AM379" s="562"/>
      <c r="AN379" s="562"/>
      <c r="AO379" s="562"/>
      <c r="AP379" s="562"/>
      <c r="AQ379" s="562"/>
      <c r="AR379" s="562">
        <v>-2025.0</v>
      </c>
      <c r="AS379" s="562">
        <v>0.0</v>
      </c>
      <c r="AT379" s="562">
        <v>-2024.0</v>
      </c>
      <c r="AU379" s="562">
        <v>0.0</v>
      </c>
      <c r="AV379" s="562">
        <v>0.0</v>
      </c>
      <c r="AW379" s="562">
        <v>0.0</v>
      </c>
      <c r="AX379" s="562">
        <v>0.0</v>
      </c>
      <c r="AY379" s="562">
        <v>0.0</v>
      </c>
      <c r="AZ379" s="562">
        <v>0.0</v>
      </c>
      <c r="BA379" s="562">
        <v>0.0</v>
      </c>
      <c r="BB379" s="562"/>
      <c r="BC379" s="562"/>
      <c r="BD379" s="562"/>
      <c r="BE379" s="562">
        <v>1.0</v>
      </c>
      <c r="BF379" s="562"/>
      <c r="BG379" s="562"/>
      <c r="BH379" s="562"/>
      <c r="BI379" s="562"/>
      <c r="BJ379" s="562"/>
      <c r="BK379" s="562"/>
      <c r="BL379" s="681"/>
      <c r="BM379" s="665">
        <f t="shared" si="1"/>
        <v>1</v>
      </c>
      <c r="BN379" s="682">
        <v>2.0</v>
      </c>
      <c r="BO379" s="683"/>
      <c r="BP379" s="683"/>
      <c r="BQ379" s="683"/>
      <c r="BR379" s="683"/>
      <c r="BS379" s="683"/>
      <c r="BT379" s="683"/>
      <c r="BU379" s="683"/>
      <c r="BV379" s="683"/>
      <c r="BW379" s="686"/>
      <c r="BX379" s="665">
        <f t="shared" si="840"/>
        <v>2</v>
      </c>
      <c r="BY379" s="682">
        <v>0.0</v>
      </c>
      <c r="BZ379" s="683">
        <v>0.0</v>
      </c>
      <c r="CA379" s="683">
        <v>0.0</v>
      </c>
      <c r="CB379" s="683">
        <v>0.0</v>
      </c>
      <c r="CC379" s="683">
        <v>0.0</v>
      </c>
      <c r="CD379" s="683">
        <v>0.0</v>
      </c>
      <c r="CE379" s="683">
        <v>0.0</v>
      </c>
      <c r="CF379" s="683">
        <v>0.0</v>
      </c>
      <c r="CG379" s="683">
        <v>0.0</v>
      </c>
      <c r="CH379" s="686">
        <v>0.0</v>
      </c>
      <c r="CI379" s="665">
        <f t="shared" si="841"/>
        <v>0</v>
      </c>
      <c r="CJ379" s="682">
        <f t="shared" si="4"/>
        <v>3</v>
      </c>
      <c r="CK379" s="706">
        <v>2730.59</v>
      </c>
      <c r="CL379" s="683">
        <f t="shared" si="1159"/>
        <v>19004.9064</v>
      </c>
      <c r="CM379" s="683">
        <f t="shared" ref="CM379:CV379" si="1160">BC379*$CL379</f>
        <v>0</v>
      </c>
      <c r="CN379" s="683">
        <f t="shared" si="1160"/>
        <v>0</v>
      </c>
      <c r="CO379" s="683">
        <f t="shared" si="1160"/>
        <v>19004.9064</v>
      </c>
      <c r="CP379" s="683">
        <f t="shared" si="1160"/>
        <v>0</v>
      </c>
      <c r="CQ379" s="683">
        <f t="shared" si="1160"/>
        <v>0</v>
      </c>
      <c r="CR379" s="683">
        <f t="shared" si="1160"/>
        <v>0</v>
      </c>
      <c r="CS379" s="683">
        <f t="shared" si="1160"/>
        <v>0</v>
      </c>
      <c r="CT379" s="683">
        <f t="shared" si="1160"/>
        <v>0</v>
      </c>
      <c r="CU379" s="683">
        <f t="shared" si="1160"/>
        <v>0</v>
      </c>
      <c r="CV379" s="683">
        <f t="shared" si="1160"/>
        <v>0</v>
      </c>
      <c r="CW379" s="683">
        <f t="shared" si="21"/>
        <v>19004.9064</v>
      </c>
      <c r="CX379" s="683">
        <f t="shared" ref="CX379:DG379" si="1161">BN379*$CL379</f>
        <v>38009.8128</v>
      </c>
      <c r="CY379" s="683">
        <f t="shared" si="1161"/>
        <v>0</v>
      </c>
      <c r="CZ379" s="683">
        <f t="shared" si="1161"/>
        <v>0</v>
      </c>
      <c r="DA379" s="683">
        <f t="shared" si="1161"/>
        <v>0</v>
      </c>
      <c r="DB379" s="683">
        <f t="shared" si="1161"/>
        <v>0</v>
      </c>
      <c r="DC379" s="683">
        <f t="shared" si="1161"/>
        <v>0</v>
      </c>
      <c r="DD379" s="683">
        <f t="shared" si="1161"/>
        <v>0</v>
      </c>
      <c r="DE379" s="683">
        <f t="shared" si="1161"/>
        <v>0</v>
      </c>
      <c r="DF379" s="683">
        <f t="shared" si="1161"/>
        <v>0</v>
      </c>
      <c r="DG379" s="683">
        <f t="shared" si="1161"/>
        <v>0</v>
      </c>
      <c r="DH379" s="683">
        <f t="shared" si="23"/>
        <v>38009.8128</v>
      </c>
      <c r="DI379" s="683">
        <f t="shared" ref="DI379:DR379" si="1162">BY379*$CL379</f>
        <v>0</v>
      </c>
      <c r="DJ379" s="683">
        <f t="shared" si="1162"/>
        <v>0</v>
      </c>
      <c r="DK379" s="683">
        <f t="shared" si="1162"/>
        <v>0</v>
      </c>
      <c r="DL379" s="683">
        <f t="shared" si="1162"/>
        <v>0</v>
      </c>
      <c r="DM379" s="683">
        <f t="shared" si="1162"/>
        <v>0</v>
      </c>
      <c r="DN379" s="683">
        <f t="shared" si="1162"/>
        <v>0</v>
      </c>
      <c r="DO379" s="683">
        <f t="shared" si="1162"/>
        <v>0</v>
      </c>
      <c r="DP379" s="683">
        <f t="shared" si="1162"/>
        <v>0</v>
      </c>
      <c r="DQ379" s="683">
        <f t="shared" si="1162"/>
        <v>0</v>
      </c>
      <c r="DR379" s="683">
        <f t="shared" si="1162"/>
        <v>0</v>
      </c>
      <c r="DS379" s="683">
        <f t="shared" si="25"/>
        <v>0</v>
      </c>
      <c r="DT379" s="683">
        <f t="shared" si="685"/>
        <v>57014.7192</v>
      </c>
      <c r="DU379" s="504"/>
      <c r="DV379" s="486"/>
      <c r="DW379" s="688"/>
      <c r="DX379" s="688"/>
      <c r="DY379" s="688"/>
      <c r="DZ379" s="688"/>
      <c r="EA379" s="688"/>
      <c r="EB379" s="688"/>
      <c r="EC379" s="688"/>
      <c r="ED379" s="688"/>
      <c r="EE379" s="688"/>
      <c r="EF379" s="688"/>
      <c r="EG379" s="688"/>
      <c r="EH379" s="707" t="s">
        <v>3591</v>
      </c>
      <c r="EI379" s="708">
        <f>VLOOKUP(I379,CotizacionTDB,4,FALSE())</f>
        <v>2730.59</v>
      </c>
      <c r="EJ379" s="708">
        <f>VLOOKUP(I379,CotizacionTDB,5,FALSE())</f>
        <v>2321</v>
      </c>
      <c r="EK379" s="690">
        <v>1.0</v>
      </c>
    </row>
    <row r="380" ht="12.0" customHeight="1">
      <c r="A380" s="565"/>
      <c r="B380" s="947"/>
      <c r="C380" s="948"/>
      <c r="D380" s="949"/>
      <c r="E380" s="949"/>
      <c r="F380" s="950"/>
      <c r="G380" s="951"/>
      <c r="H380" s="569"/>
      <c r="I380" s="952"/>
      <c r="J380" s="953"/>
      <c r="K380" s="567"/>
      <c r="L380" s="953"/>
      <c r="M380" s="953"/>
      <c r="N380" s="953"/>
      <c r="O380" s="953"/>
      <c r="P380" s="953"/>
      <c r="Q380" s="953"/>
      <c r="R380" s="953"/>
      <c r="S380" s="953"/>
      <c r="T380" s="953"/>
      <c r="U380" s="953"/>
      <c r="V380" s="953"/>
      <c r="W380" s="953"/>
      <c r="X380" s="953"/>
      <c r="Y380" s="953"/>
      <c r="Z380" s="953"/>
      <c r="AA380" s="953"/>
      <c r="AB380" s="953"/>
      <c r="AC380" s="953"/>
      <c r="AD380" s="953"/>
      <c r="AE380" s="953"/>
      <c r="AF380" s="953"/>
      <c r="AG380" s="953"/>
      <c r="AH380" s="953"/>
      <c r="AI380" s="953"/>
      <c r="AJ380" s="953"/>
      <c r="AK380" s="953"/>
      <c r="AL380" s="953"/>
      <c r="AM380" s="953"/>
      <c r="AN380" s="953"/>
      <c r="AO380" s="953"/>
      <c r="AP380" s="953"/>
      <c r="AQ380" s="953"/>
      <c r="AR380" s="953"/>
      <c r="AS380" s="953"/>
      <c r="AT380" s="953"/>
      <c r="AU380" s="953"/>
      <c r="AV380" s="953"/>
      <c r="AW380" s="953"/>
      <c r="AX380" s="953"/>
      <c r="AY380" s="953"/>
      <c r="AZ380" s="953"/>
      <c r="BA380" s="953"/>
      <c r="BB380" s="953"/>
      <c r="BC380" s="953"/>
      <c r="BD380" s="953"/>
      <c r="BE380" s="953"/>
      <c r="BF380" s="953"/>
      <c r="BG380" s="953"/>
      <c r="BH380" s="953"/>
      <c r="BI380" s="953"/>
      <c r="BJ380" s="953"/>
      <c r="BK380" s="953"/>
      <c r="BL380" s="954"/>
      <c r="BM380" s="665"/>
      <c r="BN380" s="955"/>
      <c r="BO380" s="955"/>
      <c r="BP380" s="955"/>
      <c r="BQ380" s="955"/>
      <c r="BR380" s="955"/>
      <c r="BS380" s="955"/>
      <c r="BT380" s="955"/>
      <c r="BU380" s="955"/>
      <c r="BV380" s="955"/>
      <c r="BW380" s="956"/>
      <c r="BX380" s="665"/>
      <c r="BY380" s="955"/>
      <c r="BZ380" s="957"/>
      <c r="CA380" s="955"/>
      <c r="CB380" s="955"/>
      <c r="CC380" s="955"/>
      <c r="CD380" s="955"/>
      <c r="CE380" s="955"/>
      <c r="CF380" s="955"/>
      <c r="CG380" s="955"/>
      <c r="CH380" s="956"/>
      <c r="CI380" s="665"/>
      <c r="CJ380" s="671"/>
      <c r="CK380" s="674"/>
      <c r="CL380" s="668"/>
      <c r="CM380" s="955"/>
      <c r="CN380" s="955"/>
      <c r="CO380" s="955"/>
      <c r="CP380" s="955"/>
      <c r="CQ380" s="955"/>
      <c r="CR380" s="955"/>
      <c r="CS380" s="955"/>
      <c r="CT380" s="955"/>
      <c r="CU380" s="955"/>
      <c r="CV380" s="955"/>
      <c r="CW380" s="668"/>
      <c r="CX380" s="668"/>
      <c r="CY380" s="668"/>
      <c r="CZ380" s="668"/>
      <c r="DA380" s="668"/>
      <c r="DB380" s="668"/>
      <c r="DC380" s="668"/>
      <c r="DD380" s="668"/>
      <c r="DE380" s="668"/>
      <c r="DF380" s="668"/>
      <c r="DG380" s="668"/>
      <c r="DH380" s="668"/>
      <c r="DI380" s="668"/>
      <c r="DJ380" s="668"/>
      <c r="DK380" s="668"/>
      <c r="DL380" s="668"/>
      <c r="DM380" s="668"/>
      <c r="DN380" s="668"/>
      <c r="DO380" s="668"/>
      <c r="DP380" s="668"/>
      <c r="DQ380" s="668"/>
      <c r="DR380" s="668"/>
      <c r="DS380" s="668"/>
      <c r="DT380" s="668"/>
      <c r="DU380" s="958"/>
      <c r="DV380" s="958"/>
      <c r="DW380" s="959"/>
      <c r="DX380" s="959"/>
      <c r="DY380" s="959"/>
      <c r="DZ380" s="959"/>
      <c r="EA380" s="959"/>
      <c r="EB380" s="959"/>
      <c r="EC380" s="959"/>
      <c r="ED380" s="959"/>
      <c r="EE380" s="959"/>
      <c r="EF380" s="959"/>
      <c r="EG380" s="959"/>
      <c r="EH380" s="960"/>
      <c r="EI380" s="961"/>
      <c r="EJ380" s="961"/>
      <c r="EK380" s="961"/>
    </row>
    <row r="381" ht="12.0" customHeight="1">
      <c r="A381" s="553"/>
      <c r="B381" s="554"/>
      <c r="C381" s="554"/>
      <c r="D381" s="743"/>
      <c r="E381" s="743"/>
      <c r="F381" s="701"/>
      <c r="G381" s="962"/>
      <c r="H381" s="569"/>
      <c r="I381" s="717"/>
      <c r="J381" s="571"/>
      <c r="K381" s="562"/>
      <c r="L381" s="562"/>
      <c r="M381" s="562"/>
      <c r="N381" s="562"/>
      <c r="O381" s="562"/>
      <c r="P381" s="562"/>
      <c r="Q381" s="562"/>
      <c r="R381" s="562"/>
      <c r="S381" s="562"/>
      <c r="T381" s="562"/>
      <c r="U381" s="562"/>
      <c r="V381" s="562"/>
      <c r="W381" s="562"/>
      <c r="X381" s="562"/>
      <c r="Y381" s="562"/>
      <c r="Z381" s="562"/>
      <c r="AA381" s="562"/>
      <c r="AB381" s="562"/>
      <c r="AC381" s="562"/>
      <c r="AD381" s="562"/>
      <c r="AE381" s="562"/>
      <c r="AF381" s="562"/>
      <c r="AG381" s="562"/>
      <c r="AH381" s="562"/>
      <c r="AI381" s="562"/>
      <c r="AJ381" s="562"/>
      <c r="AK381" s="562"/>
      <c r="AL381" s="562"/>
      <c r="AM381" s="562"/>
      <c r="AN381" s="562"/>
      <c r="AO381" s="562"/>
      <c r="AP381" s="562"/>
      <c r="AQ381" s="562"/>
      <c r="AR381" s="562"/>
      <c r="AS381" s="562"/>
      <c r="AT381" s="562"/>
      <c r="AU381" s="562"/>
      <c r="AV381" s="562"/>
      <c r="AW381" s="562"/>
      <c r="AX381" s="562"/>
      <c r="AY381" s="562"/>
      <c r="AZ381" s="562"/>
      <c r="BA381" s="562"/>
      <c r="BB381" s="562"/>
      <c r="BC381" s="562"/>
      <c r="BD381" s="562"/>
      <c r="BE381" s="562"/>
      <c r="BF381" s="562"/>
      <c r="BG381" s="562"/>
      <c r="BH381" s="562"/>
      <c r="BI381" s="562"/>
      <c r="BJ381" s="562"/>
      <c r="BK381" s="562"/>
      <c r="BL381" s="681"/>
      <c r="BM381" s="665"/>
      <c r="BN381" s="682"/>
      <c r="BO381" s="683"/>
      <c r="BP381" s="683"/>
      <c r="BQ381" s="687"/>
      <c r="BR381" s="687"/>
      <c r="BS381" s="687"/>
      <c r="BT381" s="683"/>
      <c r="BU381" s="683"/>
      <c r="BV381" s="683"/>
      <c r="BW381" s="686"/>
      <c r="BX381" s="665"/>
      <c r="BY381" s="682"/>
      <c r="BZ381" s="687"/>
      <c r="CA381" s="683"/>
      <c r="CB381" s="683"/>
      <c r="CC381" s="683"/>
      <c r="CD381" s="683"/>
      <c r="CE381" s="683"/>
      <c r="CF381" s="683"/>
      <c r="CG381" s="683"/>
      <c r="CH381" s="686"/>
      <c r="CI381" s="665"/>
      <c r="CJ381" s="682"/>
      <c r="CK381" s="687"/>
      <c r="CL381" s="683"/>
      <c r="CM381" s="683"/>
      <c r="CN381" s="683"/>
      <c r="CO381" s="683"/>
      <c r="CP381" s="683"/>
      <c r="CQ381" s="683"/>
      <c r="CR381" s="683"/>
      <c r="CS381" s="683"/>
      <c r="CT381" s="683"/>
      <c r="CU381" s="683"/>
      <c r="CV381" s="683"/>
      <c r="CW381" s="683"/>
      <c r="CX381" s="683"/>
      <c r="CY381" s="683"/>
      <c r="CZ381" s="683"/>
      <c r="DA381" s="683"/>
      <c r="DB381" s="683"/>
      <c r="DC381" s="683"/>
      <c r="DD381" s="683"/>
      <c r="DE381" s="683"/>
      <c r="DF381" s="683"/>
      <c r="DG381" s="683"/>
      <c r="DH381" s="683"/>
      <c r="DI381" s="683"/>
      <c r="DJ381" s="683"/>
      <c r="DK381" s="683"/>
      <c r="DL381" s="683"/>
      <c r="DM381" s="683"/>
      <c r="DN381" s="683"/>
      <c r="DO381" s="683"/>
      <c r="DP381" s="683"/>
      <c r="DQ381" s="683"/>
      <c r="DR381" s="683"/>
      <c r="DS381" s="683"/>
      <c r="DT381" s="683"/>
      <c r="DU381" s="504"/>
      <c r="DV381" s="486"/>
      <c r="DW381" s="688"/>
      <c r="DX381" s="688"/>
      <c r="DY381" s="688"/>
      <c r="DZ381" s="688"/>
      <c r="EA381" s="688"/>
      <c r="EB381" s="688"/>
      <c r="EC381" s="688"/>
      <c r="ED381" s="688"/>
      <c r="EE381" s="688"/>
      <c r="EF381" s="688"/>
      <c r="EG381" s="688"/>
      <c r="EH381" s="707"/>
      <c r="EI381" s="691"/>
      <c r="EJ381" s="691"/>
      <c r="EK381" s="691"/>
    </row>
    <row r="382" ht="12.0" customHeight="1">
      <c r="A382" s="575"/>
      <c r="B382" s="575"/>
      <c r="C382" s="575" t="s">
        <v>1820</v>
      </c>
      <c r="D382" s="568"/>
      <c r="E382" s="568"/>
      <c r="F382" s="567"/>
      <c r="G382" s="658"/>
      <c r="H382" s="658"/>
      <c r="I382" s="567"/>
      <c r="J382" s="568"/>
      <c r="K382" s="567"/>
      <c r="L382" s="567"/>
      <c r="M382" s="567"/>
      <c r="N382" s="567"/>
      <c r="O382" s="567"/>
      <c r="P382" s="567"/>
      <c r="Q382" s="567"/>
      <c r="R382" s="567"/>
      <c r="S382" s="567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963"/>
      <c r="AG382" s="567"/>
      <c r="AH382" s="963"/>
      <c r="AI382" s="963"/>
      <c r="AJ382" s="963"/>
      <c r="AK382" s="963"/>
      <c r="AL382" s="963"/>
      <c r="AM382" s="963"/>
      <c r="AN382" s="963"/>
      <c r="AO382" s="963"/>
      <c r="AP382" s="963"/>
      <c r="AQ382" s="963"/>
      <c r="AR382" s="963"/>
      <c r="AS382" s="963"/>
      <c r="AT382" s="963"/>
      <c r="AU382" s="963"/>
      <c r="AV382" s="963"/>
      <c r="AW382" s="963"/>
      <c r="AX382" s="963"/>
      <c r="AY382" s="963"/>
      <c r="AZ382" s="963"/>
      <c r="BA382" s="963"/>
      <c r="BB382" s="963"/>
      <c r="BC382" s="567"/>
      <c r="BD382" s="567"/>
      <c r="BE382" s="661"/>
      <c r="BF382" s="567"/>
      <c r="BG382" s="567"/>
      <c r="BH382" s="567"/>
      <c r="BI382" s="567"/>
      <c r="BJ382" s="567"/>
      <c r="BK382" s="567"/>
      <c r="BL382" s="725"/>
      <c r="BM382" s="964">
        <f>SUM(BM4:BM381)</f>
        <v>15310</v>
      </c>
      <c r="BN382" s="671"/>
      <c r="BO382" s="668"/>
      <c r="BP382" s="668"/>
      <c r="BQ382" s="668"/>
      <c r="BR382" s="668"/>
      <c r="BS382" s="668"/>
      <c r="BT382" s="668"/>
      <c r="BU382" s="668"/>
      <c r="BV382" s="668"/>
      <c r="BW382" s="670"/>
      <c r="BX382" s="964">
        <f>SUM(BX4:BX381)</f>
        <v>21147</v>
      </c>
      <c r="BY382" s="671"/>
      <c r="BZ382" s="668"/>
      <c r="CA382" s="668"/>
      <c r="CB382" s="668"/>
      <c r="CC382" s="668"/>
      <c r="CD382" s="668"/>
      <c r="CE382" s="668"/>
      <c r="CF382" s="668"/>
      <c r="CG382" s="668"/>
      <c r="CH382" s="670"/>
      <c r="CI382" s="964">
        <f>SUM(CI4:CI381)</f>
        <v>14483</v>
      </c>
      <c r="CJ382" s="671">
        <f>CI382+BX382+BM382</f>
        <v>50940</v>
      </c>
      <c r="CK382" s="668"/>
      <c r="CL382" s="965" t="s">
        <v>3592</v>
      </c>
      <c r="CM382" s="668">
        <f t="shared" ref="CM382:CV382" si="1163">SUM(CM4:CM381)</f>
        <v>760922.532</v>
      </c>
      <c r="CN382" s="668">
        <f t="shared" si="1163"/>
        <v>426074.0352</v>
      </c>
      <c r="CO382" s="668">
        <f t="shared" si="1163"/>
        <v>974162.256</v>
      </c>
      <c r="CP382" s="668">
        <f t="shared" si="1163"/>
        <v>234103.0328</v>
      </c>
      <c r="CQ382" s="668">
        <f t="shared" si="1163"/>
        <v>230778.7832</v>
      </c>
      <c r="CR382" s="668">
        <f t="shared" si="1163"/>
        <v>395085.2144</v>
      </c>
      <c r="CS382" s="668">
        <f t="shared" si="1163"/>
        <v>195446.5456</v>
      </c>
      <c r="CT382" s="668">
        <f t="shared" si="1163"/>
        <v>114081.7096</v>
      </c>
      <c r="CU382" s="668">
        <f t="shared" si="1163"/>
        <v>18954.4624</v>
      </c>
      <c r="CV382" s="668">
        <f t="shared" si="1163"/>
        <v>198657.4744</v>
      </c>
      <c r="CW382" s="668">
        <f>SUMIF($F$4:$F$381,"=TDB",  ($CW$4:$CW$381))</f>
        <v>3005807.266</v>
      </c>
      <c r="CX382" s="668"/>
      <c r="CY382" s="668"/>
      <c r="CZ382" s="668"/>
      <c r="DA382" s="668"/>
      <c r="DB382" s="668"/>
      <c r="DC382" s="668"/>
      <c r="DD382" s="668"/>
      <c r="DE382" s="668"/>
      <c r="DF382" s="668"/>
      <c r="DG382" s="668"/>
      <c r="DH382" s="668">
        <f>SUMIF($F$4:$F$381,"=TDB",  ($DH$4:$DH$381))</f>
        <v>5669676.83</v>
      </c>
      <c r="DI382" s="668"/>
      <c r="DJ382" s="668"/>
      <c r="DK382" s="668"/>
      <c r="DL382" s="668"/>
      <c r="DM382" s="668"/>
      <c r="DN382" s="668"/>
      <c r="DO382" s="668"/>
      <c r="DP382" s="668"/>
      <c r="DQ382" s="668"/>
      <c r="DR382" s="668"/>
      <c r="DS382" s="668">
        <f>SUMIF($F$4:$F$381,"=TDB",  ($DS$4:$DS$381))</f>
        <v>2398247.986</v>
      </c>
      <c r="DT382" s="668">
        <f t="shared" ref="DT382:DT383" si="1164">CW382+DH382+DS382</f>
        <v>11073732.08</v>
      </c>
      <c r="DU382" s="568"/>
      <c r="DV382" s="567"/>
      <c r="DW382" s="575"/>
      <c r="DX382" s="575"/>
      <c r="DY382" s="575"/>
      <c r="DZ382" s="575"/>
      <c r="EA382" s="575"/>
      <c r="EB382" s="575"/>
      <c r="EC382" s="575"/>
      <c r="ED382" s="575"/>
      <c r="EE382" s="575"/>
      <c r="EF382" s="575"/>
      <c r="EG382" s="575"/>
      <c r="EH382" s="677"/>
      <c r="EI382" s="699"/>
      <c r="EJ382" s="699"/>
      <c r="EK382" s="699"/>
    </row>
    <row r="383" ht="12.0" customHeight="1">
      <c r="A383" s="570"/>
      <c r="B383" s="570"/>
      <c r="C383" s="570"/>
      <c r="D383" s="707"/>
      <c r="E383" s="707"/>
      <c r="F383" s="570"/>
      <c r="G383" s="966"/>
      <c r="H383" s="966"/>
      <c r="I383" s="570"/>
      <c r="J383" s="707"/>
      <c r="K383" s="570"/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967"/>
      <c r="AG383" s="570"/>
      <c r="AH383" s="967"/>
      <c r="AI383" s="967"/>
      <c r="AJ383" s="967"/>
      <c r="AK383" s="967"/>
      <c r="AL383" s="967"/>
      <c r="AM383" s="967"/>
      <c r="AN383" s="967"/>
      <c r="AO383" s="967"/>
      <c r="AP383" s="967"/>
      <c r="AQ383" s="967"/>
      <c r="AR383" s="967"/>
      <c r="AS383" s="967"/>
      <c r="AT383" s="967"/>
      <c r="AU383" s="967"/>
      <c r="AV383" s="967"/>
      <c r="AW383" s="967"/>
      <c r="AX383" s="967"/>
      <c r="AY383" s="967"/>
      <c r="AZ383" s="967"/>
      <c r="BA383" s="967"/>
      <c r="BB383" s="967"/>
      <c r="BC383" s="570"/>
      <c r="BD383" s="570"/>
      <c r="BE383" s="554"/>
      <c r="BF383" s="570"/>
      <c r="BG383" s="570"/>
      <c r="BH383" s="570"/>
      <c r="BI383" s="570"/>
      <c r="BJ383" s="570"/>
      <c r="BK383" s="570"/>
      <c r="BL383" s="570"/>
      <c r="BM383" s="968"/>
      <c r="BN383" s="786"/>
      <c r="BO383" s="786"/>
      <c r="BP383" s="786"/>
      <c r="BQ383" s="786"/>
      <c r="BR383" s="786"/>
      <c r="BS383" s="786"/>
      <c r="BT383" s="786"/>
      <c r="BU383" s="786"/>
      <c r="BV383" s="786"/>
      <c r="BW383" s="786"/>
      <c r="BX383" s="968"/>
      <c r="BY383" s="786"/>
      <c r="BZ383" s="786"/>
      <c r="CA383" s="786"/>
      <c r="CB383" s="786"/>
      <c r="CC383" s="786"/>
      <c r="CD383" s="786"/>
      <c r="CE383" s="786"/>
      <c r="CF383" s="786"/>
      <c r="CG383" s="786"/>
      <c r="CH383" s="786"/>
      <c r="CI383" s="968"/>
      <c r="CJ383" s="786"/>
      <c r="CK383" s="786"/>
      <c r="CL383" s="969" t="s">
        <v>3593</v>
      </c>
      <c r="CM383" s="683"/>
      <c r="CN383" s="786"/>
      <c r="CO383" s="786"/>
      <c r="CP383" s="786"/>
      <c r="CQ383" s="786"/>
      <c r="CR383" s="786"/>
      <c r="CS383" s="786"/>
      <c r="CT383" s="786"/>
      <c r="CU383" s="786"/>
      <c r="CV383" s="786"/>
      <c r="CW383" s="683">
        <f>SUMIF($F$4:$F$381,"=LOCAL",  ($CW$4:$CW$381))</f>
        <v>675038.01</v>
      </c>
      <c r="CX383" s="683"/>
      <c r="CY383" s="683"/>
      <c r="CZ383" s="683"/>
      <c r="DA383" s="683"/>
      <c r="DB383" s="683"/>
      <c r="DC383" s="683"/>
      <c r="DD383" s="683"/>
      <c r="DE383" s="683"/>
      <c r="DF383" s="683"/>
      <c r="DG383" s="683"/>
      <c r="DH383" s="683">
        <f>SUMIF($F$4:$F$381,"=LOCAL",  ($DH$4:$DH$381))</f>
        <v>1975711.755</v>
      </c>
      <c r="DI383" s="683"/>
      <c r="DJ383" s="683"/>
      <c r="DK383" s="683"/>
      <c r="DL383" s="683"/>
      <c r="DM383" s="683"/>
      <c r="DN383" s="683"/>
      <c r="DO383" s="683"/>
      <c r="DP383" s="683"/>
      <c r="DQ383" s="683"/>
      <c r="DR383" s="683"/>
      <c r="DS383" s="683">
        <f>SUMIF($F$4:$F$381,"=LOCAL",  ($DS$4:$DS$381))</f>
        <v>686907.587</v>
      </c>
      <c r="DT383" s="683">
        <f t="shared" si="1164"/>
        <v>3337657.352</v>
      </c>
      <c r="DU383" s="707"/>
      <c r="DV383" s="570"/>
      <c r="DW383" s="570"/>
      <c r="DX383" s="570"/>
      <c r="DY383" s="570"/>
      <c r="DZ383" s="570"/>
      <c r="EA383" s="570"/>
      <c r="EB383" s="570"/>
      <c r="EC383" s="570"/>
      <c r="ED383" s="570"/>
      <c r="EE383" s="570"/>
      <c r="EF383" s="570"/>
      <c r="EG383" s="570"/>
      <c r="EH383" s="707"/>
      <c r="EI383" s="691"/>
      <c r="EJ383" s="691"/>
      <c r="EK383" s="691"/>
    </row>
  </sheetData>
  <autoFilter ref="$A$3:$EI$379">
    <sortState ref="A3:EI379">
      <sortCondition ref="D3:D379"/>
    </sortState>
  </autoFilter>
  <customSheetViews>
    <customSheetView guid="{C0B14D99-5A09-4773-B0A4-8BF91D71F9EE}" filter="1" showAutoFilter="1">
      <autoFilter ref="$C$3:$DV$383">
        <filterColumn colId="3">
          <filters blank="1">
            <filter val="TDB"/>
            <filter val="LOCAL"/>
          </filters>
        </filterColumn>
        <sortState ref="C3:DV383">
          <sortCondition descending="1" ref="I3:I383"/>
        </sortState>
      </autoFilter>
    </customSheetView>
    <customSheetView guid="{7AE31FDC-3B68-48EC-8144-6C60EFF4EC47}" filter="1" showAutoFilter="1">
      <autoFilter ref="$C$3:$DV$383"/>
    </customSheetView>
    <customSheetView guid="{C5D705B9-F9EB-4D3D-A6E5-962A9A1FF279}" filter="1" showAutoFilter="1">
      <autoFilter ref="$C$3:$DV$383">
        <filterColumn colId="86">
          <filters blank="1">
            <filter val="394.79"/>
            <filter val="14.96"/>
            <filter val="15.65"/>
            <filter val="8.58"/>
            <filter val="55.84"/>
            <filter val="1185.38"/>
            <filter val="382.91"/>
            <filter val="274.62"/>
            <filter val="384.33"/>
            <filter val="23.00"/>
            <filter val="149.09"/>
            <filter val="2573.57"/>
            <filter val="302.61"/>
            <filter val="3.38"/>
            <filter val="2022.65"/>
            <filter val="223.35"/>
            <filter val="998.02"/>
            <filter val="172.21"/>
            <filter val="69.03"/>
            <filter val="38.57"/>
            <filter val="17.11"/>
            <filter val="4.27"/>
            <filter val="313.88"/>
            <filter val="125.37"/>
            <filter val="7.92"/>
            <filter val="9.31"/>
            <filter val="95.87"/>
            <filter val="754.93"/>
            <filter val="1,233.52"/>
            <filter val="354.76"/>
            <filter val="34.19"/>
            <filter val="144.09"/>
            <filter val="10.69"/>
            <filter val="226.93"/>
            <filter val="4.31"/>
            <filter val="106.68"/>
            <filter val="10.31"/>
            <filter val="3313.85"/>
            <filter val="323.96"/>
            <filter val="4972.78"/>
            <filter val="669.75"/>
            <filter val="257.23"/>
            <filter val="50.92"/>
            <filter val="2.96"/>
            <filter val="566.84"/>
            <filter val="1224.60"/>
            <filter val="16.19"/>
            <filter val="205.63"/>
            <filter val="11.04"/>
            <filter val="12708.50"/>
            <filter val="16.23"/>
            <filter val="692.48"/>
            <filter val="473.94"/>
            <filter val="2560.69"/>
            <filter val="45.03"/>
            <filter val="64.26"/>
            <filter val="194.51"/>
            <filter val="11.11"/>
            <filter val="1705.53"/>
            <filter val="3.77"/>
            <filter val="4564.72"/>
            <filter val="3779.06"/>
            <filter val="25.92"/>
            <filter val="414.02"/>
            <filter val="412.67"/>
            <filter val="3223.60"/>
            <filter val="5.23"/>
            <filter val="65.03"/>
            <filter val="3.81"/>
            <filter val="14.57"/>
            <filter val="0.11"/>
            <filter val="414.90"/>
            <filter val="92.68"/>
            <filter val="406.68"/>
            <filter val="0.08"/>
            <filter val="485.51"/>
            <filter val="27.03"/>
            <filter val="342.26"/>
            <filter val="6.00"/>
            <filter val="5.34"/>
            <filter val="16.00"/>
            <filter val="115.29"/>
            <filter val="2326.18"/>
            <filter val="0.23"/>
            <filter val="71.14"/>
            <filter val="22.04"/>
            <filter val="1078.24"/>
            <filter val="8341.04"/>
            <filter val="102.95"/>
            <filter val="9.77"/>
            <filter val="437.86"/>
            <filter val="120.56"/>
            <filter val="131.21"/>
            <filter val="49.22"/>
            <filter val="81.41"/>
            <filter val="15.00"/>
            <filter val="36.61"/>
            <filter val="125.60"/>
            <filter val="14.31"/>
            <filter val="13.69"/>
            <filter val="0.31"/>
            <filter val="1.00"/>
            <filter val="9,446.55"/>
            <filter val="532.66"/>
            <filter val="93.56"/>
            <filter val="4.73"/>
            <filter val="0.27"/>
            <filter val="32.26"/>
            <filter val="325.03"/>
            <filter val="41.96"/>
            <filter val="1677.65"/>
            <filter val="86.76"/>
            <filter val="103.49"/>
            <filter val="12845.69"/>
            <filter val="0.39"/>
            <filter val="26.23"/>
            <filter val="9.92"/>
            <filter val="335.34"/>
            <filter val="1.04"/>
            <filter val="20.42"/>
            <filter val="265.00"/>
            <filter val="10.04"/>
            <filter val="13.42"/>
            <filter val="17.88"/>
            <filter val="2730.59"/>
            <filter val="219.47"/>
            <filter val="36.46"/>
            <filter val="5.61"/>
            <filter val="231.51"/>
            <filter val="7.00"/>
            <filter val="4345.36"/>
            <filter val="491.05"/>
            <filter val="1.19"/>
            <filter val="109.72"/>
            <filter val="0.46"/>
            <filter val="1.15"/>
            <filter val="936.37"/>
            <filter val="282.77"/>
            <filter val="2804.61"/>
            <filter val="432.48"/>
            <filter val="1068.24"/>
            <filter val="7.19"/>
            <filter val="20.23"/>
            <filter val="111.25"/>
            <filter val="26.07"/>
            <filter val="1.35"/>
            <filter val="93.64"/>
            <filter val="0.65"/>
            <filter val="168.48"/>
            <filter val="236.51"/>
            <filter val="416.02"/>
            <filter val="25.30"/>
            <filter val="1.27"/>
            <filter val="30.57"/>
            <filter val="141.17"/>
            <filter val="100.26"/>
            <filter val="37.07"/>
            <filter val="547.19"/>
            <filter val="100.29"/>
            <filter val="244.20"/>
            <filter val="19.07"/>
            <filter val="8199.26"/>
            <filter val="261.00"/>
            <filter val="47.38"/>
            <filter val="11.88"/>
            <filter val="35.57"/>
            <filter val="1661.89"/>
            <filter val="484.16"/>
            <filter val="571.27"/>
            <filter val="2.11"/>
            <filter val="0.73"/>
            <filter val="35.53"/>
            <filter val="11.81"/>
            <filter val="133.91"/>
            <filter val="1604.45"/>
            <filter val="0.69"/>
            <filter val="45.99"/>
            <filter val="41.53"/>
            <filter val="1,212.66"/>
            <filter val="357.72"/>
            <filter val="0.81"/>
            <filter val="448.71"/>
            <filter val="19.19"/>
            <filter val="8.08"/>
            <filter val="42.11"/>
            <filter val="0.89"/>
            <filter val="7.31"/>
            <filter val="1.50"/>
            <filter val="56.07"/>
            <filter val="999.86"/>
            <filter val="439.02"/>
            <filter val="354.14"/>
            <filter val="603.26"/>
            <filter val="40.73"/>
            <filter val="2388.56"/>
            <filter val="33.92"/>
            <filter val="40.65"/>
            <filter val="2796.23"/>
            <filter val="2681.40"/>
            <filter val="90.49"/>
            <filter val="10.96"/>
            <filter val="12.34"/>
            <filter val="94.87"/>
            <filter val="35.34"/>
            <filter val="8.11"/>
            <filter val="6.73"/>
            <filter val="2.31"/>
            <filter val="1.61"/>
            <filter val="55.42"/>
            <filter val="2757.54"/>
            <filter val="145.09"/>
            <filter val="22.77"/>
            <filter val="839.54"/>
            <filter val="132.60"/>
            <filter val="2389.29"/>
            <filter val="40.61"/>
            <filter val="179.13"/>
            <filter val="529.85"/>
            <filter val="18.23"/>
            <filter val="447.44"/>
            <filter val="91.06"/>
            <filter val="2.46"/>
            <filter val="183.97"/>
            <filter val="38.92"/>
            <filter val="17.54"/>
            <filter val="1.77"/>
            <filter val="74.03"/>
            <filter val="1.73"/>
            <filter val="23.50"/>
            <filter val="50.42"/>
            <filter val="280.08"/>
            <filter val="488.32"/>
            <filter val="293.73"/>
            <filter val="784.35"/>
            <filter val="159.94"/>
            <filter val="35.26"/>
            <filter val="27.92"/>
            <filter val="266.77"/>
            <filter val="1333.70"/>
            <filter val="288.42"/>
            <filter val="268.12"/>
            <filter val="179.05"/>
            <filter val="100.41"/>
            <filter val="1945.19"/>
            <filter val="1.89"/>
            <filter val="33.73"/>
            <filter val="279.15"/>
            <filter val="79.33"/>
            <filter val="8.31"/>
            <filter val="2625.33"/>
            <filter val="333.26"/>
            <filter val="3.19"/>
            <filter val="123.37"/>
            <filter val="140.17"/>
            <filter val="61.68"/>
            <filter val="26.92"/>
            <filter val="205.20"/>
            <filter val="133.56"/>
            <filter val="66.72"/>
            <filter val="547.46"/>
            <filter val="4.00"/>
            <filter val="17.34"/>
            <filter val="88.95"/>
            <filter val="57.11"/>
            <filter val="73.57"/>
            <filter val="33.65"/>
            <filter val="1.96"/>
            <filter val="536.31"/>
            <filter val="32.92"/>
            <filter val="16.61"/>
            <filter val="95.60"/>
            <filter val="94.95"/>
            <filter val="66.80"/>
            <filter val="206.05"/>
            <filter val="23.34"/>
            <filter val="112.25"/>
            <filter val="601.46"/>
            <filter val="11.57"/>
            <filter val="174.17"/>
            <filter val="289.31"/>
            <filter val="430.79"/>
            <filter val="83.87"/>
          </filters>
        </filterColumn>
      </autoFilter>
    </customSheetView>
    <customSheetView guid="{B75DF6C6-E18B-4B33-9D5F-0FC7F47689B0}" filter="1" showAutoFilter="1">
      <autoFilter ref="$C$3:$DV$383">
        <filterColumn colId="86">
          <filters blank="1">
            <filter val="394.79"/>
            <filter val="14.96"/>
            <filter val="15.65"/>
            <filter val="8.58"/>
            <filter val="55.84"/>
            <filter val="1185.38"/>
            <filter val="382.91"/>
            <filter val="274.62"/>
            <filter val="384.33"/>
            <filter val="23.00"/>
            <filter val="149.09"/>
            <filter val="2573.57"/>
            <filter val="302.61"/>
            <filter val="3.38"/>
            <filter val="2022.65"/>
            <filter val="223.35"/>
            <filter val="998.02"/>
            <filter val="172.21"/>
            <filter val="69.03"/>
            <filter val="38.57"/>
            <filter val="17.11"/>
            <filter val="4.27"/>
            <filter val="313.88"/>
            <filter val="125.37"/>
            <filter val="7.92"/>
            <filter val="9.31"/>
            <filter val="95.87"/>
            <filter val="754.93"/>
            <filter val="1,233.52"/>
            <filter val="354.76"/>
            <filter val="34.19"/>
            <filter val="144.09"/>
            <filter val="10.69"/>
            <filter val="226.93"/>
            <filter val="4.31"/>
            <filter val="106.68"/>
            <filter val="10.31"/>
            <filter val="3313.85"/>
            <filter val="323.96"/>
            <filter val="4972.78"/>
            <filter val="669.75"/>
            <filter val="257.23"/>
            <filter val="50.92"/>
            <filter val="2.96"/>
            <filter val="566.84"/>
            <filter val="1224.60"/>
            <filter val="16.19"/>
            <filter val="205.63"/>
            <filter val="11.04"/>
            <filter val="12708.50"/>
            <filter val="16.23"/>
            <filter val="692.48"/>
            <filter val="473.94"/>
            <filter val="2560.69"/>
            <filter val="45.03"/>
            <filter val="64.26"/>
            <filter val="194.51"/>
            <filter val="11.11"/>
            <filter val="1705.53"/>
            <filter val="3.77"/>
            <filter val="4564.72"/>
            <filter val="3779.06"/>
            <filter val="25.92"/>
            <filter val="414.02"/>
            <filter val="412.67"/>
            <filter val="3223.60"/>
            <filter val="5.23"/>
            <filter val="65.03"/>
            <filter val="3.81"/>
            <filter val="14.57"/>
            <filter val="0.11"/>
            <filter val="414.90"/>
            <filter val="92.68"/>
            <filter val="406.68"/>
            <filter val="0.08"/>
            <filter val="485.51"/>
            <filter val="27.03"/>
            <filter val="342.26"/>
            <filter val="6.00"/>
            <filter val="5.34"/>
            <filter val="16.00"/>
            <filter val="115.29"/>
            <filter val="2326.18"/>
            <filter val="0.23"/>
            <filter val="71.14"/>
            <filter val="22.04"/>
            <filter val="1078.24"/>
            <filter val="8341.04"/>
            <filter val="102.95"/>
            <filter val="9.77"/>
            <filter val="437.86"/>
            <filter val="120.56"/>
            <filter val="131.21"/>
            <filter val="49.22"/>
            <filter val="81.41"/>
            <filter val="15.00"/>
            <filter val="36.61"/>
            <filter val="125.60"/>
            <filter val="14.31"/>
            <filter val="13.69"/>
            <filter val="0.31"/>
            <filter val="1.00"/>
            <filter val="9,446.55"/>
            <filter val="532.66"/>
            <filter val="93.56"/>
            <filter val="4.73"/>
            <filter val="0.27"/>
            <filter val="32.26"/>
            <filter val="325.03"/>
            <filter val="41.96"/>
            <filter val="1677.65"/>
            <filter val="86.76"/>
            <filter val="103.49"/>
            <filter val="12845.69"/>
            <filter val="0.39"/>
            <filter val="26.23"/>
            <filter val="9.92"/>
            <filter val="335.34"/>
            <filter val="1.04"/>
            <filter val="20.42"/>
            <filter val="265.00"/>
            <filter val="10.04"/>
            <filter val="13.42"/>
            <filter val="17.88"/>
            <filter val="2730.59"/>
            <filter val="219.47"/>
            <filter val="36.46"/>
            <filter val="5.61"/>
            <filter val="231.51"/>
            <filter val="7.00"/>
            <filter val="4345.36"/>
            <filter val="491.05"/>
            <filter val="1.19"/>
            <filter val="109.72"/>
            <filter val="0.46"/>
            <filter val="1.15"/>
            <filter val="936.37"/>
            <filter val="282.77"/>
            <filter val="2804.61"/>
            <filter val="432.48"/>
            <filter val="1068.24"/>
            <filter val="7.19"/>
            <filter val="20.23"/>
            <filter val="111.25"/>
            <filter val="26.07"/>
            <filter val="1.35"/>
            <filter val="93.64"/>
            <filter val="0.65"/>
            <filter val="168.48"/>
            <filter val="236.51"/>
            <filter val="416.02"/>
            <filter val="25.30"/>
            <filter val="1.27"/>
            <filter val="30.57"/>
            <filter val="141.17"/>
            <filter val="100.26"/>
            <filter val="37.07"/>
            <filter val="547.19"/>
            <filter val="100.29"/>
            <filter val="244.20"/>
            <filter val="19.07"/>
            <filter val="8199.26"/>
            <filter val="261.00"/>
            <filter val="47.38"/>
            <filter val="11.88"/>
            <filter val="35.57"/>
            <filter val="1661.89"/>
            <filter val="484.16"/>
            <filter val="571.27"/>
            <filter val="2.11"/>
            <filter val="0.73"/>
            <filter val="35.53"/>
            <filter val="11.81"/>
            <filter val="133.91"/>
            <filter val="1604.45"/>
            <filter val="0.69"/>
            <filter val="45.99"/>
            <filter val="41.53"/>
            <filter val="1,212.66"/>
            <filter val="357.72"/>
            <filter val="0.81"/>
            <filter val="448.71"/>
            <filter val="19.19"/>
            <filter val="8.08"/>
            <filter val="42.11"/>
            <filter val="0.89"/>
            <filter val="7.31"/>
            <filter val="1.50"/>
            <filter val="56.07"/>
            <filter val="999.86"/>
            <filter val="439.02"/>
            <filter val="354.14"/>
            <filter val="603.26"/>
            <filter val="40.73"/>
            <filter val="2388.56"/>
            <filter val="33.92"/>
            <filter val="40.65"/>
            <filter val="2796.23"/>
            <filter val="2681.40"/>
            <filter val="90.49"/>
            <filter val="10.96"/>
            <filter val="12.34"/>
            <filter val="94.87"/>
            <filter val="35.34"/>
            <filter val="8.11"/>
            <filter val="6.73"/>
            <filter val="2.31"/>
            <filter val="1.61"/>
            <filter val="55.42"/>
            <filter val="2757.54"/>
            <filter val="145.09"/>
            <filter val="22.77"/>
            <filter val="839.54"/>
            <filter val="132.60"/>
            <filter val="2389.29"/>
            <filter val="40.61"/>
            <filter val="179.13"/>
            <filter val="529.85"/>
            <filter val="18.23"/>
            <filter val="447.44"/>
            <filter val="91.06"/>
            <filter val="2.46"/>
            <filter val="183.97"/>
            <filter val="38.92"/>
            <filter val="17.54"/>
            <filter val="1.77"/>
            <filter val="74.03"/>
            <filter val="1.73"/>
            <filter val="23.50"/>
            <filter val="50.42"/>
            <filter val="280.08"/>
            <filter val="488.32"/>
            <filter val="293.73"/>
            <filter val="784.35"/>
            <filter val="159.94"/>
            <filter val="35.26"/>
            <filter val="27.92"/>
            <filter val="266.77"/>
            <filter val="1333.70"/>
            <filter val="288.42"/>
            <filter val="268.12"/>
            <filter val="179.05"/>
            <filter val="100.41"/>
            <filter val="1945.19"/>
            <filter val="1.89"/>
            <filter val="33.73"/>
            <filter val="279.15"/>
            <filter val="79.33"/>
            <filter val="8.31"/>
            <filter val="2625.33"/>
            <filter val="333.26"/>
            <filter val="3.19"/>
            <filter val="123.37"/>
            <filter val="140.17"/>
            <filter val="61.68"/>
            <filter val="26.92"/>
            <filter val="205.20"/>
            <filter val="133.56"/>
            <filter val="66.72"/>
            <filter val="547.46"/>
            <filter val="4.00"/>
            <filter val="17.34"/>
            <filter val="88.95"/>
            <filter val="57.11"/>
            <filter val="73.57"/>
            <filter val="33.65"/>
            <filter val="1.96"/>
            <filter val="536.31"/>
            <filter val="32.92"/>
            <filter val="16.61"/>
            <filter val="95.60"/>
            <filter val="94.95"/>
            <filter val="66.80"/>
            <filter val="206.05"/>
            <filter val="23.34"/>
            <filter val="112.25"/>
            <filter val="601.46"/>
            <filter val="11.57"/>
            <filter val="174.17"/>
            <filter val="289.31"/>
            <filter val="430.79"/>
            <filter val="83.87"/>
          </filters>
        </filterColumn>
      </autoFilter>
    </customSheetView>
  </customSheetViews>
  <mergeCells count="6">
    <mergeCell ref="L1:U1"/>
    <mergeCell ref="W1:AF1"/>
    <mergeCell ref="BC1:BL1"/>
    <mergeCell ref="BN1:BW1"/>
    <mergeCell ref="BY1:CH1"/>
    <mergeCell ref="CK2:CL2"/>
  </mergeCells>
  <conditionalFormatting sqref="L4:L376 M4:V10 M12:V376 AG12:AG376">
    <cfRule type="expression" dxfId="3" priority="1">
      <formula>AND(BC4&lt;&gt;"",L4 ="")</formula>
    </cfRule>
  </conditionalFormatting>
  <conditionalFormatting sqref="M11:V11">
    <cfRule type="expression" dxfId="3" priority="2">
      <formula>AND(BD11&lt;&gt;"",M11 ="")</formula>
    </cfRule>
  </conditionalFormatting>
  <conditionalFormatting sqref="N5:O5">
    <cfRule type="expression" dxfId="3" priority="3">
      <formula>AND(#REF!&lt;&gt;"",N5 ="")</formula>
    </cfRule>
  </conditionalFormatting>
  <conditionalFormatting sqref="AH4:AU381 AX4:BA381">
    <cfRule type="expression" dxfId="3" priority="4">
      <formula>AND(BM4&lt;&gt;"",AH4="")</formula>
    </cfRule>
  </conditionalFormatting>
  <conditionalFormatting sqref="AH4:AU381 AX4:BA381">
    <cfRule type="expression" dxfId="3" priority="5">
      <formula>AND(BW4&lt;&gt;"",AH4 ="")</formula>
    </cfRule>
  </conditionalFormatting>
  <conditionalFormatting sqref="AG4:AG10">
    <cfRule type="expression" dxfId="3" priority="6">
      <formula>AND(BX4&lt;&gt;"",AG4 ="")</formula>
    </cfRule>
  </conditionalFormatting>
  <conditionalFormatting sqref="AG11">
    <cfRule type="expression" dxfId="3" priority="7">
      <formula>AND(BX11&lt;&gt;"",AG11 ="")</formula>
    </cfRule>
  </conditionalFormatting>
  <conditionalFormatting sqref="AV4:AV381">
    <cfRule type="expression" dxfId="3" priority="8">
      <formula>AND(CA4&lt;&gt;"",AV4="")</formula>
    </cfRule>
  </conditionalFormatting>
  <conditionalFormatting sqref="AV4:AV381">
    <cfRule type="expression" dxfId="3" priority="9">
      <formula>AND(I4&lt;&gt;"",AV4 ="")</formula>
    </cfRule>
  </conditionalFormatting>
  <conditionalFormatting sqref="AW4:AW381">
    <cfRule type="expression" dxfId="3" priority="10">
      <formula>AND(CB4&lt;&gt;"",AW4="")</formula>
    </cfRule>
  </conditionalFormatting>
  <conditionalFormatting sqref="AW4:AW381">
    <cfRule type="expression" dxfId="3" priority="11">
      <formula>AND(#REF!&lt;&gt;"",AW4 ="")</formula>
    </cfRule>
  </conditionalFormatting>
  <conditionalFormatting sqref="BB4:BB381">
    <cfRule type="expression" dxfId="3" priority="12">
      <formula>AND(CG4&lt;&gt;"",BB4="")</formula>
    </cfRule>
  </conditionalFormatting>
  <conditionalFormatting sqref="BB4:BB381">
    <cfRule type="expression" dxfId="3" priority="13">
      <formula>AND(#REF!&lt;&gt;"",BB4 ="")</formula>
    </cfRule>
  </conditionalFormatting>
  <conditionalFormatting sqref="J4">
    <cfRule type="notContainsBlanks" dxfId="4" priority="14">
      <formula>LEN(TRIM(J4))&gt;0</formula>
    </cfRule>
  </conditionalFormatting>
  <printOptions/>
  <pageMargins bottom="0.75" footer="0.0" header="0.0" left="0.7" right="0.7" top="0.75"/>
  <pageSetup fitToHeight="0"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/>
  </sheetViews>
  <sheetFormatPr customHeight="1" defaultColWidth="14.43" defaultRowHeight="15.0" outlineLevelRow="1"/>
  <cols>
    <col customWidth="1" min="1" max="3" width="11.57"/>
    <col customWidth="1" min="4" max="4" width="21.29"/>
    <col customWidth="1" min="5" max="5" width="15.71"/>
    <col customWidth="1" min="6" max="6" width="11.29"/>
    <col customWidth="1" min="7" max="7" width="12.0"/>
    <col customWidth="1" min="8" max="8" width="11.57"/>
    <col customWidth="1" min="9" max="9" width="8.71"/>
    <col customWidth="1" min="10" max="10" width="57.14"/>
    <col customWidth="1" min="11" max="16" width="11.57"/>
    <col customWidth="1" min="17" max="17" width="17.14"/>
    <col customWidth="1" min="18" max="19" width="11.57"/>
    <col customWidth="1" min="20" max="20" width="54.71"/>
    <col customWidth="1" min="21" max="36" width="11.57"/>
  </cols>
  <sheetData>
    <row r="1" ht="12.0" customHeight="1">
      <c r="A1" s="970"/>
      <c r="B1" s="970"/>
      <c r="C1" s="970"/>
      <c r="D1" s="970"/>
      <c r="E1" s="970"/>
      <c r="F1" s="970"/>
      <c r="G1" s="970"/>
      <c r="H1" s="970"/>
      <c r="I1" s="970"/>
      <c r="J1" s="970"/>
      <c r="K1" s="970"/>
      <c r="L1" s="970"/>
      <c r="M1" s="413" t="s">
        <v>2654</v>
      </c>
      <c r="N1" s="414"/>
      <c r="O1" s="971"/>
      <c r="P1" s="972"/>
      <c r="Q1" s="970"/>
      <c r="R1" s="970"/>
      <c r="S1" s="970"/>
      <c r="T1" s="970"/>
      <c r="U1" s="970"/>
      <c r="V1" s="970"/>
      <c r="W1" s="970"/>
      <c r="X1" s="970"/>
      <c r="Y1" s="970"/>
      <c r="Z1" s="970"/>
      <c r="AA1" s="970"/>
      <c r="AB1" s="970"/>
      <c r="AC1" s="970"/>
      <c r="AD1" s="970"/>
      <c r="AE1" s="970"/>
      <c r="AF1" s="970"/>
      <c r="AG1" s="970"/>
      <c r="AH1" s="970"/>
      <c r="AI1" s="970"/>
      <c r="AJ1" s="970"/>
    </row>
    <row r="2" ht="12.0" customHeight="1">
      <c r="A2" s="973"/>
      <c r="B2" s="973"/>
      <c r="C2" s="973"/>
      <c r="D2" s="973"/>
      <c r="E2" s="973"/>
      <c r="F2" s="973"/>
      <c r="G2" s="973" t="s">
        <v>3594</v>
      </c>
      <c r="H2" s="973" t="s">
        <v>3595</v>
      </c>
      <c r="I2" s="973">
        <v>66.0</v>
      </c>
      <c r="J2" s="973"/>
      <c r="K2" s="973"/>
      <c r="L2" s="973"/>
      <c r="M2" s="413" t="s">
        <v>2654</v>
      </c>
      <c r="N2" s="414">
        <v>6.96</v>
      </c>
      <c r="O2" s="974" t="s">
        <v>3596</v>
      </c>
      <c r="P2" s="975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AC2" s="973"/>
      <c r="AD2" s="973"/>
      <c r="AE2" s="973"/>
      <c r="AF2" s="973"/>
      <c r="AG2" s="973"/>
      <c r="AH2" s="973"/>
      <c r="AI2" s="973"/>
      <c r="AJ2" s="973"/>
    </row>
    <row r="3" ht="12.0" customHeight="1">
      <c r="A3" s="976" t="s">
        <v>1758</v>
      </c>
      <c r="B3" s="976" t="s">
        <v>2656</v>
      </c>
      <c r="C3" s="977" t="s">
        <v>2657</v>
      </c>
      <c r="D3" s="977" t="s">
        <v>1800</v>
      </c>
      <c r="E3" s="978" t="s">
        <v>2658</v>
      </c>
      <c r="F3" s="979" t="s">
        <v>2659</v>
      </c>
      <c r="G3" s="980" t="s">
        <v>2660</v>
      </c>
      <c r="H3" s="980" t="s">
        <v>2661</v>
      </c>
      <c r="I3" s="977" t="s">
        <v>2662</v>
      </c>
      <c r="J3" s="981" t="s">
        <v>1833</v>
      </c>
      <c r="K3" s="982" t="s">
        <v>2663</v>
      </c>
      <c r="L3" s="981" t="s">
        <v>3597</v>
      </c>
      <c r="M3" s="983" t="s">
        <v>7</v>
      </c>
      <c r="N3" s="984" t="s">
        <v>8</v>
      </c>
      <c r="O3" s="983" t="s">
        <v>9</v>
      </c>
      <c r="P3" s="985" t="s">
        <v>10</v>
      </c>
      <c r="Q3" s="984" t="s">
        <v>3598</v>
      </c>
      <c r="R3" s="984" t="s">
        <v>3599</v>
      </c>
      <c r="S3" s="984" t="s">
        <v>3600</v>
      </c>
      <c r="T3" s="981" t="s">
        <v>1761</v>
      </c>
      <c r="U3" s="982" t="s">
        <v>1805</v>
      </c>
      <c r="V3" s="986" t="s">
        <v>2703</v>
      </c>
      <c r="W3" s="987" t="s">
        <v>2704</v>
      </c>
      <c r="X3" s="988" t="s">
        <v>2705</v>
      </c>
      <c r="Y3" s="989"/>
      <c r="Z3" s="989"/>
      <c r="AA3" s="989"/>
      <c r="AB3" s="989"/>
      <c r="AC3" s="989"/>
      <c r="AD3" s="989"/>
      <c r="AE3" s="989"/>
      <c r="AF3" s="989"/>
      <c r="AG3" s="989"/>
      <c r="AH3" s="989"/>
      <c r="AI3" s="989"/>
      <c r="AJ3" s="989"/>
    </row>
    <row r="4" ht="12.0" hidden="1" customHeight="1" outlineLevel="1">
      <c r="A4" s="990"/>
      <c r="B4" s="990"/>
      <c r="C4" s="991" t="s">
        <v>3034</v>
      </c>
      <c r="D4" s="992" t="s">
        <v>1051</v>
      </c>
      <c r="E4" s="993" t="s">
        <v>2708</v>
      </c>
      <c r="F4" s="994" t="s">
        <v>1763</v>
      </c>
      <c r="G4" s="995">
        <v>39800.0</v>
      </c>
      <c r="H4" s="996"/>
      <c r="I4" s="997" t="s">
        <v>1851</v>
      </c>
      <c r="J4" s="991" t="s">
        <v>3096</v>
      </c>
      <c r="K4" s="995" t="s">
        <v>25</v>
      </c>
      <c r="L4" s="991">
        <v>8.0</v>
      </c>
      <c r="M4" s="996"/>
      <c r="N4" s="996"/>
      <c r="O4" s="991">
        <v>528.0</v>
      </c>
      <c r="P4" s="998"/>
      <c r="Q4" s="991">
        <f>IFERROR(VLOOKUP(I4,CotizacionTDB,4,FALSE()))</f>
        <v>0.08</v>
      </c>
      <c r="R4" s="999">
        <f t="shared" ref="R4:R34" si="1">Q4*$N$2</f>
        <v>0.5568</v>
      </c>
      <c r="S4" s="1000">
        <f t="shared" ref="S4:S34" si="2">R4*P4</f>
        <v>0</v>
      </c>
      <c r="T4" s="991"/>
      <c r="U4" s="1001"/>
      <c r="V4" s="1001"/>
      <c r="W4" s="990"/>
      <c r="X4" s="990"/>
      <c r="Y4" s="990"/>
      <c r="Z4" s="990"/>
      <c r="AA4" s="990"/>
      <c r="AB4" s="990"/>
      <c r="AC4" s="990"/>
      <c r="AD4" s="990"/>
      <c r="AE4" s="990"/>
      <c r="AF4" s="990"/>
      <c r="AG4" s="990"/>
      <c r="AH4" s="990"/>
      <c r="AI4" s="990"/>
      <c r="AJ4" s="990"/>
    </row>
    <row r="5" ht="12.0" hidden="1" customHeight="1" outlineLevel="1">
      <c r="A5" s="575"/>
      <c r="B5" s="575"/>
      <c r="C5" s="567" t="s">
        <v>3034</v>
      </c>
      <c r="D5" s="661" t="s">
        <v>3601</v>
      </c>
      <c r="E5" s="568" t="s">
        <v>2708</v>
      </c>
      <c r="F5" s="862" t="s">
        <v>1763</v>
      </c>
      <c r="G5" s="661">
        <v>39800.0</v>
      </c>
      <c r="H5" s="498"/>
      <c r="I5" s="710" t="s">
        <v>1852</v>
      </c>
      <c r="J5" s="567" t="s">
        <v>3602</v>
      </c>
      <c r="K5" s="661" t="s">
        <v>25</v>
      </c>
      <c r="L5" s="567">
        <v>5.0</v>
      </c>
      <c r="M5" s="498"/>
      <c r="N5" s="498"/>
      <c r="O5" s="567">
        <v>330.0</v>
      </c>
      <c r="P5" s="1002"/>
      <c r="Q5" s="567">
        <f>IFERROR(VLOOKUP(I5,CotizacionTDB,4,FALSE()))</f>
        <v>0.08</v>
      </c>
      <c r="R5" s="668">
        <f t="shared" si="1"/>
        <v>0.5568</v>
      </c>
      <c r="S5" s="468">
        <f t="shared" si="2"/>
        <v>0</v>
      </c>
      <c r="T5" s="567"/>
      <c r="U5" s="698"/>
      <c r="V5" s="698"/>
      <c r="W5" s="575"/>
      <c r="X5" s="575"/>
      <c r="Y5" s="575"/>
      <c r="Z5" s="575"/>
      <c r="AA5" s="575"/>
      <c r="AB5" s="575"/>
      <c r="AC5" s="575"/>
      <c r="AD5" s="575"/>
      <c r="AE5" s="575"/>
      <c r="AF5" s="575"/>
      <c r="AG5" s="575"/>
      <c r="AH5" s="575"/>
      <c r="AI5" s="575"/>
      <c r="AJ5" s="575"/>
    </row>
    <row r="6" ht="12.0" hidden="1" customHeight="1" outlineLevel="1">
      <c r="A6" s="990"/>
      <c r="B6" s="990"/>
      <c r="C6" s="991" t="s">
        <v>3034</v>
      </c>
      <c r="D6" s="995" t="s">
        <v>3601</v>
      </c>
      <c r="E6" s="993" t="s">
        <v>2708</v>
      </c>
      <c r="F6" s="994" t="s">
        <v>1763</v>
      </c>
      <c r="G6" s="995">
        <v>39800.0</v>
      </c>
      <c r="H6" s="996"/>
      <c r="I6" s="997" t="s">
        <v>1854</v>
      </c>
      <c r="J6" s="991" t="s">
        <v>3603</v>
      </c>
      <c r="K6" s="995" t="s">
        <v>25</v>
      </c>
      <c r="L6" s="991">
        <v>2.0</v>
      </c>
      <c r="M6" s="996"/>
      <c r="N6" s="996"/>
      <c r="O6" s="991">
        <v>132.0</v>
      </c>
      <c r="P6" s="998"/>
      <c r="Q6" s="991">
        <f>IFERROR(VLOOKUP(I6,CotizacionTDB,4,FALSE()))</f>
        <v>0.23</v>
      </c>
      <c r="R6" s="999">
        <f t="shared" si="1"/>
        <v>1.6008</v>
      </c>
      <c r="S6" s="1000">
        <f t="shared" si="2"/>
        <v>0</v>
      </c>
      <c r="T6" s="991"/>
      <c r="U6" s="1001"/>
      <c r="V6" s="1001"/>
      <c r="W6" s="990"/>
      <c r="X6" s="990"/>
      <c r="Y6" s="990"/>
      <c r="Z6" s="990"/>
      <c r="AA6" s="990"/>
      <c r="AB6" s="990"/>
      <c r="AC6" s="990"/>
      <c r="AD6" s="990"/>
      <c r="AE6" s="990"/>
      <c r="AF6" s="990"/>
      <c r="AG6" s="990"/>
      <c r="AH6" s="990"/>
      <c r="AI6" s="990"/>
      <c r="AJ6" s="990"/>
    </row>
    <row r="7" ht="12.0" hidden="1" customHeight="1" outlineLevel="1">
      <c r="A7" s="575"/>
      <c r="B7" s="575"/>
      <c r="C7" s="567" t="s">
        <v>3034</v>
      </c>
      <c r="D7" s="661" t="s">
        <v>3601</v>
      </c>
      <c r="E7" s="568" t="s">
        <v>2708</v>
      </c>
      <c r="F7" s="862" t="s">
        <v>1763</v>
      </c>
      <c r="G7" s="661">
        <v>39800.0</v>
      </c>
      <c r="H7" s="498"/>
      <c r="I7" s="710" t="s">
        <v>1856</v>
      </c>
      <c r="J7" s="567" t="s">
        <v>3604</v>
      </c>
      <c r="K7" s="661" t="s">
        <v>25</v>
      </c>
      <c r="L7" s="567">
        <v>8.0</v>
      </c>
      <c r="M7" s="498"/>
      <c r="N7" s="498"/>
      <c r="O7" s="567">
        <v>528.0</v>
      </c>
      <c r="P7" s="1002"/>
      <c r="Q7" s="567">
        <f>IFERROR(VLOOKUP(I7,CotizacionTDB,4,FALSE()))</f>
        <v>0.89</v>
      </c>
      <c r="R7" s="668">
        <f t="shared" si="1"/>
        <v>6.1944</v>
      </c>
      <c r="S7" s="468">
        <f t="shared" si="2"/>
        <v>0</v>
      </c>
      <c r="T7" s="567"/>
      <c r="U7" s="698"/>
      <c r="V7" s="698"/>
      <c r="W7" s="575"/>
      <c r="X7" s="575"/>
      <c r="Y7" s="575"/>
      <c r="Z7" s="575"/>
      <c r="AA7" s="575"/>
      <c r="AB7" s="575"/>
      <c r="AC7" s="575"/>
      <c r="AD7" s="575"/>
      <c r="AE7" s="575"/>
      <c r="AF7" s="575"/>
      <c r="AG7" s="575"/>
      <c r="AH7" s="575"/>
      <c r="AI7" s="575"/>
      <c r="AJ7" s="575"/>
    </row>
    <row r="8" ht="12.0" hidden="1" customHeight="1" outlineLevel="1">
      <c r="A8" s="990"/>
      <c r="B8" s="990"/>
      <c r="C8" s="991" t="s">
        <v>3034</v>
      </c>
      <c r="D8" s="995" t="s">
        <v>3601</v>
      </c>
      <c r="E8" s="993" t="s">
        <v>2708</v>
      </c>
      <c r="F8" s="994" t="s">
        <v>1763</v>
      </c>
      <c r="G8" s="995">
        <v>39800.0</v>
      </c>
      <c r="H8" s="996"/>
      <c r="I8" s="997" t="s">
        <v>1860</v>
      </c>
      <c r="J8" s="991" t="s">
        <v>3605</v>
      </c>
      <c r="K8" s="995" t="s">
        <v>25</v>
      </c>
      <c r="L8" s="991">
        <v>4.0</v>
      </c>
      <c r="M8" s="996"/>
      <c r="N8" s="996"/>
      <c r="O8" s="991">
        <v>264.0</v>
      </c>
      <c r="P8" s="998"/>
      <c r="Q8" s="991">
        <f>IFERROR(VLOOKUP(I8,CotizacionTDB,4,FALSE()))</f>
        <v>0.89</v>
      </c>
      <c r="R8" s="999">
        <f t="shared" si="1"/>
        <v>6.1944</v>
      </c>
      <c r="S8" s="1000">
        <f t="shared" si="2"/>
        <v>0</v>
      </c>
      <c r="T8" s="991"/>
      <c r="U8" s="1001"/>
      <c r="V8" s="1001"/>
      <c r="W8" s="990"/>
      <c r="X8" s="990"/>
      <c r="Y8" s="990"/>
      <c r="Z8" s="990"/>
      <c r="AA8" s="990"/>
      <c r="AB8" s="990"/>
      <c r="AC8" s="990"/>
      <c r="AD8" s="990"/>
      <c r="AE8" s="990"/>
      <c r="AF8" s="990"/>
      <c r="AG8" s="990"/>
      <c r="AH8" s="990"/>
      <c r="AI8" s="990"/>
      <c r="AJ8" s="990"/>
    </row>
    <row r="9" ht="12.0" hidden="1" customHeight="1" outlineLevel="1">
      <c r="A9" s="575"/>
      <c r="B9" s="575"/>
      <c r="C9" s="567" t="s">
        <v>3034</v>
      </c>
      <c r="D9" s="661" t="s">
        <v>3601</v>
      </c>
      <c r="E9" s="568" t="s">
        <v>2708</v>
      </c>
      <c r="F9" s="862" t="s">
        <v>1763</v>
      </c>
      <c r="G9" s="661">
        <v>39800.0</v>
      </c>
      <c r="H9" s="498"/>
      <c r="I9" s="710" t="s">
        <v>1875</v>
      </c>
      <c r="J9" s="567" t="s">
        <v>3606</v>
      </c>
      <c r="K9" s="661" t="s">
        <v>25</v>
      </c>
      <c r="L9" s="567">
        <v>8.0</v>
      </c>
      <c r="M9" s="498"/>
      <c r="N9" s="498"/>
      <c r="O9" s="567">
        <v>528.0</v>
      </c>
      <c r="P9" s="1002"/>
      <c r="Q9" s="567">
        <f>IFERROR(VLOOKUP(I9,CotizacionTDB,4,FALSE()))</f>
        <v>0.08</v>
      </c>
      <c r="R9" s="668">
        <f t="shared" si="1"/>
        <v>0.5568</v>
      </c>
      <c r="S9" s="468">
        <f t="shared" si="2"/>
        <v>0</v>
      </c>
      <c r="T9" s="567"/>
      <c r="U9" s="698"/>
      <c r="V9" s="698"/>
      <c r="W9" s="575"/>
      <c r="X9" s="575"/>
      <c r="Y9" s="575"/>
      <c r="Z9" s="575"/>
      <c r="AA9" s="575"/>
      <c r="AB9" s="575"/>
      <c r="AC9" s="575"/>
      <c r="AD9" s="575"/>
      <c r="AE9" s="575"/>
      <c r="AF9" s="575"/>
      <c r="AG9" s="575"/>
      <c r="AH9" s="575"/>
      <c r="AI9" s="575"/>
      <c r="AJ9" s="575"/>
    </row>
    <row r="10" ht="12.0" hidden="1" customHeight="1" outlineLevel="1">
      <c r="A10" s="990"/>
      <c r="B10" s="990"/>
      <c r="C10" s="991" t="s">
        <v>3034</v>
      </c>
      <c r="D10" s="995" t="s">
        <v>3601</v>
      </c>
      <c r="E10" s="993" t="s">
        <v>2708</v>
      </c>
      <c r="F10" s="994" t="s">
        <v>1763</v>
      </c>
      <c r="G10" s="995">
        <v>39800.0</v>
      </c>
      <c r="H10" s="996"/>
      <c r="I10" s="997" t="s">
        <v>1877</v>
      </c>
      <c r="J10" s="991" t="s">
        <v>3607</v>
      </c>
      <c r="K10" s="995" t="s">
        <v>25</v>
      </c>
      <c r="L10" s="991">
        <v>4.0</v>
      </c>
      <c r="M10" s="996"/>
      <c r="N10" s="996"/>
      <c r="O10" s="991">
        <v>264.0</v>
      </c>
      <c r="P10" s="998"/>
      <c r="Q10" s="991">
        <f>IFERROR(VLOOKUP(I10,CotizacionTDB,4,FALSE()))</f>
        <v>0.11</v>
      </c>
      <c r="R10" s="999">
        <f t="shared" si="1"/>
        <v>0.7656</v>
      </c>
      <c r="S10" s="1000">
        <f t="shared" si="2"/>
        <v>0</v>
      </c>
      <c r="T10" s="991"/>
      <c r="U10" s="1001"/>
      <c r="V10" s="1001"/>
      <c r="W10" s="990"/>
      <c r="X10" s="990"/>
      <c r="Y10" s="990"/>
      <c r="Z10" s="990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</row>
    <row r="11" ht="12.0" hidden="1" customHeight="1" outlineLevel="1">
      <c r="A11" s="575"/>
      <c r="B11" s="575"/>
      <c r="C11" s="567" t="s">
        <v>3034</v>
      </c>
      <c r="D11" s="661" t="s">
        <v>3601</v>
      </c>
      <c r="E11" s="568" t="s">
        <v>2708</v>
      </c>
      <c r="F11" s="862" t="s">
        <v>1763</v>
      </c>
      <c r="G11" s="661">
        <v>39800.0</v>
      </c>
      <c r="H11" s="498"/>
      <c r="I11" s="710" t="s">
        <v>3608</v>
      </c>
      <c r="J11" s="567" t="s">
        <v>3609</v>
      </c>
      <c r="K11" s="661" t="s">
        <v>25</v>
      </c>
      <c r="L11" s="567">
        <v>2.0</v>
      </c>
      <c r="M11" s="498"/>
      <c r="N11" s="498"/>
      <c r="O11" s="567">
        <v>132.0</v>
      </c>
      <c r="P11" s="1002"/>
      <c r="Q11" s="567" t="str">
        <f>IFERROR(VLOOKUP(I11,CotizacionTDB,4,FALSE()))</f>
        <v/>
      </c>
      <c r="R11" s="668">
        <f t="shared" si="1"/>
        <v>0</v>
      </c>
      <c r="S11" s="468">
        <f t="shared" si="2"/>
        <v>0</v>
      </c>
      <c r="T11" s="567"/>
      <c r="U11" s="698"/>
      <c r="V11" s="698"/>
      <c r="W11" s="575"/>
      <c r="X11" s="575"/>
      <c r="Y11" s="575"/>
      <c r="Z11" s="575"/>
      <c r="AA11" s="575"/>
      <c r="AB11" s="575"/>
      <c r="AC11" s="575"/>
      <c r="AD11" s="575"/>
      <c r="AE11" s="575"/>
      <c r="AF11" s="575"/>
      <c r="AG11" s="575"/>
      <c r="AH11" s="575"/>
      <c r="AI11" s="575"/>
      <c r="AJ11" s="575"/>
    </row>
    <row r="12" ht="12.0" hidden="1" customHeight="1" outlineLevel="1">
      <c r="A12" s="990"/>
      <c r="B12" s="990"/>
      <c r="C12" s="991" t="s">
        <v>3034</v>
      </c>
      <c r="D12" s="995" t="s">
        <v>3601</v>
      </c>
      <c r="E12" s="993" t="s">
        <v>2708</v>
      </c>
      <c r="F12" s="994" t="s">
        <v>1763</v>
      </c>
      <c r="G12" s="995">
        <v>39800.0</v>
      </c>
      <c r="H12" s="996"/>
      <c r="I12" s="997" t="s">
        <v>1895</v>
      </c>
      <c r="J12" s="991" t="s">
        <v>3610</v>
      </c>
      <c r="K12" s="995" t="s">
        <v>25</v>
      </c>
      <c r="L12" s="991">
        <v>2.0</v>
      </c>
      <c r="M12" s="996"/>
      <c r="N12" s="996"/>
      <c r="O12" s="991">
        <v>132.0</v>
      </c>
      <c r="P12" s="998"/>
      <c r="Q12" s="991">
        <f>IFERROR(VLOOKUP(I12,CotizacionTDB,4,FALSE()))</f>
        <v>0.39</v>
      </c>
      <c r="R12" s="999">
        <f t="shared" si="1"/>
        <v>2.7144</v>
      </c>
      <c r="S12" s="1000">
        <f t="shared" si="2"/>
        <v>0</v>
      </c>
      <c r="T12" s="991"/>
      <c r="U12" s="1001"/>
      <c r="V12" s="1001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</row>
    <row r="13" ht="12.0" hidden="1" customHeight="1" outlineLevel="1">
      <c r="A13" s="575"/>
      <c r="B13" s="575"/>
      <c r="C13" s="567" t="s">
        <v>3034</v>
      </c>
      <c r="D13" s="661" t="s">
        <v>3601</v>
      </c>
      <c r="E13" s="568" t="s">
        <v>2708</v>
      </c>
      <c r="F13" s="862" t="s">
        <v>1763</v>
      </c>
      <c r="G13" s="661">
        <v>39800.0</v>
      </c>
      <c r="H13" s="498"/>
      <c r="I13" s="710" t="s">
        <v>1898</v>
      </c>
      <c r="J13" s="567" t="s">
        <v>3611</v>
      </c>
      <c r="K13" s="661" t="s">
        <v>25</v>
      </c>
      <c r="L13" s="567">
        <v>1.0</v>
      </c>
      <c r="M13" s="498"/>
      <c r="N13" s="498"/>
      <c r="O13" s="567">
        <v>66.0</v>
      </c>
      <c r="P13" s="1002"/>
      <c r="Q13" s="567">
        <f>IFERROR(VLOOKUP(I13,CotizacionTDB,4,FALSE()))</f>
        <v>0.27</v>
      </c>
      <c r="R13" s="668">
        <f t="shared" si="1"/>
        <v>1.8792</v>
      </c>
      <c r="S13" s="468">
        <f t="shared" si="2"/>
        <v>0</v>
      </c>
      <c r="T13" s="567"/>
      <c r="U13" s="698"/>
      <c r="V13" s="698"/>
      <c r="W13" s="575"/>
      <c r="X13" s="575"/>
      <c r="Y13" s="575"/>
      <c r="Z13" s="575"/>
      <c r="AA13" s="575"/>
      <c r="AB13" s="575"/>
      <c r="AC13" s="575"/>
      <c r="AD13" s="575"/>
      <c r="AE13" s="575"/>
      <c r="AF13" s="575"/>
      <c r="AG13" s="575"/>
      <c r="AH13" s="575"/>
      <c r="AI13" s="575"/>
      <c r="AJ13" s="575"/>
    </row>
    <row r="14" ht="12.0" hidden="1" customHeight="1" outlineLevel="1">
      <c r="A14" s="990"/>
      <c r="B14" s="990"/>
      <c r="C14" s="991" t="s">
        <v>3034</v>
      </c>
      <c r="D14" s="995" t="s">
        <v>3601</v>
      </c>
      <c r="E14" s="993" t="s">
        <v>2708</v>
      </c>
      <c r="F14" s="994" t="s">
        <v>1763</v>
      </c>
      <c r="G14" s="995">
        <v>39800.0</v>
      </c>
      <c r="H14" s="996"/>
      <c r="I14" s="997" t="s">
        <v>1991</v>
      </c>
      <c r="J14" s="991" t="s">
        <v>3612</v>
      </c>
      <c r="K14" s="995" t="s">
        <v>25</v>
      </c>
      <c r="L14" s="991">
        <v>16.0</v>
      </c>
      <c r="M14" s="996"/>
      <c r="N14" s="996"/>
      <c r="O14" s="991">
        <v>1056.0</v>
      </c>
      <c r="P14" s="998"/>
      <c r="Q14" s="991">
        <f>IFERROR(VLOOKUP(I14,CotizacionTDB,4,FALSE()))</f>
        <v>13.23</v>
      </c>
      <c r="R14" s="999">
        <f t="shared" si="1"/>
        <v>92.0808</v>
      </c>
      <c r="S14" s="1000">
        <f t="shared" si="2"/>
        <v>0</v>
      </c>
      <c r="T14" s="991"/>
      <c r="U14" s="1001"/>
      <c r="V14" s="1001"/>
      <c r="W14" s="990"/>
      <c r="X14" s="990"/>
      <c r="Y14" s="990"/>
      <c r="Z14" s="990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</row>
    <row r="15" ht="12.0" hidden="1" customHeight="1" outlineLevel="1">
      <c r="A15" s="575"/>
      <c r="B15" s="575"/>
      <c r="C15" s="567" t="s">
        <v>3034</v>
      </c>
      <c r="D15" s="661" t="s">
        <v>3601</v>
      </c>
      <c r="E15" s="568" t="s">
        <v>2708</v>
      </c>
      <c r="F15" s="862" t="s">
        <v>1763</v>
      </c>
      <c r="G15" s="661">
        <v>39800.0</v>
      </c>
      <c r="H15" s="498"/>
      <c r="I15" s="710" t="s">
        <v>2006</v>
      </c>
      <c r="J15" s="567" t="s">
        <v>3613</v>
      </c>
      <c r="K15" s="661" t="s">
        <v>25</v>
      </c>
      <c r="L15" s="567">
        <v>2.0</v>
      </c>
      <c r="M15" s="498"/>
      <c r="N15" s="498"/>
      <c r="O15" s="567">
        <v>132.0</v>
      </c>
      <c r="P15" s="1002"/>
      <c r="Q15" s="567">
        <f>IFERROR(VLOOKUP(I15,CotizacionTDB,4,FALSE()))</f>
        <v>0.81</v>
      </c>
      <c r="R15" s="668">
        <f t="shared" si="1"/>
        <v>5.6376</v>
      </c>
      <c r="S15" s="468">
        <f t="shared" si="2"/>
        <v>0</v>
      </c>
      <c r="T15" s="567"/>
      <c r="U15" s="698"/>
      <c r="V15" s="698"/>
      <c r="W15" s="575"/>
      <c r="X15" s="575"/>
      <c r="Y15" s="575"/>
      <c r="Z15" s="575"/>
      <c r="AA15" s="575"/>
      <c r="AB15" s="575"/>
      <c r="AC15" s="575"/>
      <c r="AD15" s="575"/>
      <c r="AE15" s="575"/>
      <c r="AF15" s="575"/>
      <c r="AG15" s="575"/>
      <c r="AH15" s="575"/>
      <c r="AI15" s="575"/>
      <c r="AJ15" s="575"/>
    </row>
    <row r="16" ht="12.0" hidden="1" customHeight="1" outlineLevel="1">
      <c r="A16" s="990"/>
      <c r="B16" s="990"/>
      <c r="C16" s="991" t="s">
        <v>3034</v>
      </c>
      <c r="D16" s="995" t="s">
        <v>3601</v>
      </c>
      <c r="E16" s="993" t="s">
        <v>2708</v>
      </c>
      <c r="F16" s="994" t="s">
        <v>1763</v>
      </c>
      <c r="G16" s="995">
        <v>39800.0</v>
      </c>
      <c r="H16" s="996"/>
      <c r="I16" s="997" t="s">
        <v>2067</v>
      </c>
      <c r="J16" s="991" t="s">
        <v>3614</v>
      </c>
      <c r="K16" s="995" t="s">
        <v>25</v>
      </c>
      <c r="L16" s="991">
        <v>4.0</v>
      </c>
      <c r="M16" s="996"/>
      <c r="N16" s="996"/>
      <c r="O16" s="991">
        <v>264.0</v>
      </c>
      <c r="P16" s="998"/>
      <c r="Q16" s="991">
        <f>IFERROR(VLOOKUP(I16,CotizacionTDB,4,FALSE()))</f>
        <v>35.53</v>
      </c>
      <c r="R16" s="999">
        <f t="shared" si="1"/>
        <v>247.2888</v>
      </c>
      <c r="S16" s="1000">
        <f t="shared" si="2"/>
        <v>0</v>
      </c>
      <c r="T16" s="991"/>
      <c r="U16" s="1001"/>
      <c r="V16" s="1001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</row>
    <row r="17" ht="12.0" hidden="1" customHeight="1" outlineLevel="1">
      <c r="A17" s="575"/>
      <c r="B17" s="575"/>
      <c r="C17" s="567" t="s">
        <v>3034</v>
      </c>
      <c r="D17" s="661" t="s">
        <v>3601</v>
      </c>
      <c r="E17" s="568" t="s">
        <v>2708</v>
      </c>
      <c r="F17" s="862" t="s">
        <v>1763</v>
      </c>
      <c r="G17" s="661">
        <v>39800.0</v>
      </c>
      <c r="H17" s="498"/>
      <c r="I17" s="710" t="s">
        <v>2080</v>
      </c>
      <c r="J17" s="567" t="s">
        <v>3615</v>
      </c>
      <c r="K17" s="661" t="s">
        <v>25</v>
      </c>
      <c r="L17" s="567">
        <v>4.0</v>
      </c>
      <c r="M17" s="498"/>
      <c r="N17" s="498"/>
      <c r="O17" s="567">
        <v>264.0</v>
      </c>
      <c r="P17" s="1002"/>
      <c r="Q17" s="567">
        <f>IFERROR(VLOOKUP(I17,CotizacionTDB,4,FALSE()))</f>
        <v>4</v>
      </c>
      <c r="R17" s="668">
        <f t="shared" si="1"/>
        <v>27.84</v>
      </c>
      <c r="S17" s="468">
        <f t="shared" si="2"/>
        <v>0</v>
      </c>
      <c r="T17" s="567"/>
      <c r="U17" s="698"/>
      <c r="V17" s="698"/>
      <c r="W17" s="575"/>
      <c r="X17" s="575"/>
      <c r="Y17" s="575"/>
      <c r="Z17" s="575"/>
      <c r="AA17" s="575"/>
      <c r="AB17" s="575"/>
      <c r="AC17" s="575"/>
      <c r="AD17" s="575"/>
      <c r="AE17" s="575"/>
      <c r="AF17" s="575"/>
      <c r="AG17" s="575"/>
      <c r="AH17" s="575"/>
      <c r="AI17" s="575"/>
      <c r="AJ17" s="575"/>
    </row>
    <row r="18" ht="12.0" hidden="1" customHeight="1" outlineLevel="1">
      <c r="A18" s="990"/>
      <c r="B18" s="990"/>
      <c r="C18" s="991" t="s">
        <v>3034</v>
      </c>
      <c r="D18" s="995" t="s">
        <v>3601</v>
      </c>
      <c r="E18" s="993" t="s">
        <v>2708</v>
      </c>
      <c r="F18" s="994" t="s">
        <v>1763</v>
      </c>
      <c r="G18" s="995">
        <v>39800.0</v>
      </c>
      <c r="H18" s="996"/>
      <c r="I18" s="997" t="s">
        <v>3616</v>
      </c>
      <c r="J18" s="991" t="s">
        <v>3617</v>
      </c>
      <c r="K18" s="995" t="s">
        <v>25</v>
      </c>
      <c r="L18" s="991">
        <v>4.0</v>
      </c>
      <c r="M18" s="996"/>
      <c r="N18" s="996"/>
      <c r="O18" s="991">
        <v>264.0</v>
      </c>
      <c r="P18" s="998"/>
      <c r="Q18" s="991" t="str">
        <f>IFERROR(VLOOKUP(I18,CotizacionTDB,4,FALSE()))</f>
        <v/>
      </c>
      <c r="R18" s="999">
        <f t="shared" si="1"/>
        <v>0</v>
      </c>
      <c r="S18" s="1000">
        <f t="shared" si="2"/>
        <v>0</v>
      </c>
      <c r="T18" s="991"/>
      <c r="U18" s="1001"/>
      <c r="V18" s="1001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</row>
    <row r="19" ht="12.0" hidden="1" customHeight="1" outlineLevel="1">
      <c r="A19" s="575"/>
      <c r="B19" s="575"/>
      <c r="C19" s="567" t="s">
        <v>3034</v>
      </c>
      <c r="D19" s="661" t="s">
        <v>3601</v>
      </c>
      <c r="E19" s="568" t="s">
        <v>2708</v>
      </c>
      <c r="F19" s="862" t="s">
        <v>1763</v>
      </c>
      <c r="G19" s="661">
        <v>39800.0</v>
      </c>
      <c r="H19" s="498"/>
      <c r="I19" s="710" t="s">
        <v>2167</v>
      </c>
      <c r="J19" s="567" t="s">
        <v>3618</v>
      </c>
      <c r="K19" s="661" t="s">
        <v>25</v>
      </c>
      <c r="L19" s="567">
        <v>4.0</v>
      </c>
      <c r="M19" s="498"/>
      <c r="N19" s="498"/>
      <c r="O19" s="567">
        <v>264.0</v>
      </c>
      <c r="P19" s="1002"/>
      <c r="Q19" s="567">
        <f>IFERROR(VLOOKUP(I19,CotizacionTDB,4,FALSE()))</f>
        <v>50.42</v>
      </c>
      <c r="R19" s="668">
        <f t="shared" si="1"/>
        <v>350.9232</v>
      </c>
      <c r="S19" s="468">
        <f t="shared" si="2"/>
        <v>0</v>
      </c>
      <c r="T19" s="567"/>
      <c r="U19" s="698"/>
      <c r="V19" s="698"/>
      <c r="W19" s="575"/>
      <c r="X19" s="575"/>
      <c r="Y19" s="575"/>
      <c r="Z19" s="575"/>
      <c r="AA19" s="575"/>
      <c r="AB19" s="575"/>
      <c r="AC19" s="575"/>
      <c r="AD19" s="575"/>
      <c r="AE19" s="575"/>
      <c r="AF19" s="575"/>
      <c r="AG19" s="575"/>
      <c r="AH19" s="575"/>
      <c r="AI19" s="575"/>
      <c r="AJ19" s="575"/>
    </row>
    <row r="20" ht="12.0" hidden="1" customHeight="1" outlineLevel="1">
      <c r="A20" s="990"/>
      <c r="B20" s="990"/>
      <c r="C20" s="991" t="s">
        <v>3034</v>
      </c>
      <c r="D20" s="995" t="s">
        <v>3601</v>
      </c>
      <c r="E20" s="993" t="s">
        <v>2708</v>
      </c>
      <c r="F20" s="994" t="s">
        <v>1763</v>
      </c>
      <c r="G20" s="995">
        <v>39800.0</v>
      </c>
      <c r="H20" s="996"/>
      <c r="I20" s="997" t="s">
        <v>2169</v>
      </c>
      <c r="J20" s="991" t="s">
        <v>3619</v>
      </c>
      <c r="K20" s="995" t="s">
        <v>25</v>
      </c>
      <c r="L20" s="991">
        <v>8.0</v>
      </c>
      <c r="M20" s="996"/>
      <c r="N20" s="996"/>
      <c r="O20" s="991">
        <v>528.0</v>
      </c>
      <c r="P20" s="998"/>
      <c r="Q20" s="991">
        <f>IFERROR(VLOOKUP(I20,CotizacionTDB,4,FALSE()))</f>
        <v>8.54</v>
      </c>
      <c r="R20" s="999">
        <f t="shared" si="1"/>
        <v>59.4384</v>
      </c>
      <c r="S20" s="1000">
        <f t="shared" si="2"/>
        <v>0</v>
      </c>
      <c r="T20" s="991"/>
      <c r="U20" s="1001"/>
      <c r="V20" s="1001"/>
      <c r="W20" s="990"/>
      <c r="X20" s="990"/>
      <c r="Y20" s="990"/>
      <c r="Z20" s="990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</row>
    <row r="21" ht="12.0" hidden="1" customHeight="1" outlineLevel="1">
      <c r="A21" s="575"/>
      <c r="B21" s="575"/>
      <c r="C21" s="567" t="s">
        <v>3034</v>
      </c>
      <c r="D21" s="661" t="s">
        <v>3601</v>
      </c>
      <c r="E21" s="568" t="s">
        <v>2708</v>
      </c>
      <c r="F21" s="862" t="s">
        <v>1763</v>
      </c>
      <c r="G21" s="661">
        <v>39800.0</v>
      </c>
      <c r="H21" s="498"/>
      <c r="I21" s="710" t="s">
        <v>2173</v>
      </c>
      <c r="J21" s="567" t="s">
        <v>3620</v>
      </c>
      <c r="K21" s="661" t="s">
        <v>25</v>
      </c>
      <c r="L21" s="567">
        <v>4.0</v>
      </c>
      <c r="M21" s="498"/>
      <c r="N21" s="498"/>
      <c r="O21" s="567">
        <v>264.0</v>
      </c>
      <c r="P21" s="1002"/>
      <c r="Q21" s="567">
        <f>IFERROR(VLOOKUP(I21,CotizacionTDB,4,FALSE()))</f>
        <v>81.41</v>
      </c>
      <c r="R21" s="668">
        <f t="shared" si="1"/>
        <v>566.6136</v>
      </c>
      <c r="S21" s="468">
        <f t="shared" si="2"/>
        <v>0</v>
      </c>
      <c r="T21" s="567"/>
      <c r="U21" s="698"/>
      <c r="V21" s="698"/>
      <c r="W21" s="575"/>
      <c r="X21" s="575"/>
      <c r="Y21" s="575"/>
      <c r="Z21" s="575"/>
      <c r="AA21" s="575"/>
      <c r="AB21" s="575"/>
      <c r="AC21" s="575"/>
      <c r="AD21" s="575"/>
      <c r="AE21" s="575"/>
      <c r="AF21" s="575"/>
      <c r="AG21" s="575"/>
      <c r="AH21" s="575"/>
      <c r="AI21" s="575"/>
      <c r="AJ21" s="575"/>
    </row>
    <row r="22" ht="12.0" hidden="1" customHeight="1" outlineLevel="1">
      <c r="A22" s="990"/>
      <c r="B22" s="990"/>
      <c r="C22" s="991" t="s">
        <v>3034</v>
      </c>
      <c r="D22" s="995" t="s">
        <v>3601</v>
      </c>
      <c r="E22" s="993" t="s">
        <v>2708</v>
      </c>
      <c r="F22" s="994" t="s">
        <v>1763</v>
      </c>
      <c r="G22" s="995">
        <v>39800.0</v>
      </c>
      <c r="H22" s="996"/>
      <c r="I22" s="997" t="s">
        <v>3621</v>
      </c>
      <c r="J22" s="991" t="s">
        <v>3622</v>
      </c>
      <c r="K22" s="995" t="s">
        <v>25</v>
      </c>
      <c r="L22" s="991">
        <v>8.0</v>
      </c>
      <c r="M22" s="996"/>
      <c r="N22" s="996"/>
      <c r="O22" s="991">
        <v>528.0</v>
      </c>
      <c r="P22" s="998"/>
      <c r="Q22" s="991" t="str">
        <f>IFERROR(VLOOKUP(I22,CotizacionTDB,4,FALSE()))</f>
        <v/>
      </c>
      <c r="R22" s="999">
        <f t="shared" si="1"/>
        <v>0</v>
      </c>
      <c r="S22" s="1000">
        <f t="shared" si="2"/>
        <v>0</v>
      </c>
      <c r="T22" s="991"/>
      <c r="U22" s="1001"/>
      <c r="V22" s="1001"/>
      <c r="W22" s="990"/>
      <c r="X22" s="990"/>
      <c r="Y22" s="990"/>
      <c r="Z22" s="990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</row>
    <row r="23" ht="12.0" hidden="1" customHeight="1" outlineLevel="1">
      <c r="A23" s="575"/>
      <c r="B23" s="575"/>
      <c r="C23" s="567" t="s">
        <v>3034</v>
      </c>
      <c r="D23" s="661" t="s">
        <v>3601</v>
      </c>
      <c r="E23" s="568" t="s">
        <v>2708</v>
      </c>
      <c r="F23" s="862" t="s">
        <v>1763</v>
      </c>
      <c r="G23" s="661">
        <v>39800.0</v>
      </c>
      <c r="H23" s="498"/>
      <c r="I23" s="710" t="s">
        <v>2213</v>
      </c>
      <c r="J23" s="567" t="s">
        <v>3623</v>
      </c>
      <c r="K23" s="661" t="s">
        <v>25</v>
      </c>
      <c r="L23" s="567">
        <v>4.0</v>
      </c>
      <c r="M23" s="498"/>
      <c r="N23" s="498"/>
      <c r="O23" s="567">
        <v>264.0</v>
      </c>
      <c r="P23" s="1002"/>
      <c r="Q23" s="567">
        <f>IFERROR(VLOOKUP(I23,CotizacionTDB,4,FALSE()))</f>
        <v>2.04</v>
      </c>
      <c r="R23" s="668">
        <f t="shared" si="1"/>
        <v>14.1984</v>
      </c>
      <c r="S23" s="468">
        <f t="shared" si="2"/>
        <v>0</v>
      </c>
      <c r="T23" s="567"/>
      <c r="U23" s="698"/>
      <c r="V23" s="698"/>
      <c r="W23" s="575"/>
      <c r="X23" s="575"/>
      <c r="Y23" s="575"/>
      <c r="Z23" s="575"/>
      <c r="AA23" s="575"/>
      <c r="AB23" s="575"/>
      <c r="AC23" s="575"/>
      <c r="AD23" s="575"/>
      <c r="AE23" s="575"/>
      <c r="AF23" s="575"/>
      <c r="AG23" s="575"/>
      <c r="AH23" s="575"/>
      <c r="AI23" s="575"/>
      <c r="AJ23" s="575"/>
    </row>
    <row r="24" ht="12.0" hidden="1" customHeight="1" outlineLevel="1">
      <c r="A24" s="990"/>
      <c r="B24" s="990"/>
      <c r="C24" s="991" t="s">
        <v>3034</v>
      </c>
      <c r="D24" s="995" t="s">
        <v>3601</v>
      </c>
      <c r="E24" s="993" t="s">
        <v>2708</v>
      </c>
      <c r="F24" s="994" t="s">
        <v>1763</v>
      </c>
      <c r="G24" s="995">
        <v>39800.0</v>
      </c>
      <c r="H24" s="996"/>
      <c r="I24" s="997" t="s">
        <v>2214</v>
      </c>
      <c r="J24" s="991" t="s">
        <v>3624</v>
      </c>
      <c r="K24" s="995" t="s">
        <v>25</v>
      </c>
      <c r="L24" s="991">
        <v>4.0</v>
      </c>
      <c r="M24" s="996"/>
      <c r="N24" s="996"/>
      <c r="O24" s="991">
        <v>264.0</v>
      </c>
      <c r="P24" s="998"/>
      <c r="Q24" s="991">
        <f>IFERROR(VLOOKUP(I24,CotizacionTDB,4,FALSE()))</f>
        <v>0.5</v>
      </c>
      <c r="R24" s="999">
        <f t="shared" si="1"/>
        <v>3.48</v>
      </c>
      <c r="S24" s="1000">
        <f t="shared" si="2"/>
        <v>0</v>
      </c>
      <c r="T24" s="991"/>
      <c r="U24" s="1001"/>
      <c r="V24" s="1001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</row>
    <row r="25" ht="12.0" hidden="1" customHeight="1" outlineLevel="1">
      <c r="A25" s="575"/>
      <c r="B25" s="575"/>
      <c r="C25" s="567" t="s">
        <v>3034</v>
      </c>
      <c r="D25" s="661" t="s">
        <v>3601</v>
      </c>
      <c r="E25" s="568" t="s">
        <v>2708</v>
      </c>
      <c r="F25" s="862" t="s">
        <v>1763</v>
      </c>
      <c r="G25" s="661">
        <v>39800.0</v>
      </c>
      <c r="H25" s="498"/>
      <c r="I25" s="710" t="s">
        <v>3625</v>
      </c>
      <c r="J25" s="567" t="s">
        <v>3626</v>
      </c>
      <c r="K25" s="661" t="s">
        <v>25</v>
      </c>
      <c r="L25" s="567">
        <v>8.0</v>
      </c>
      <c r="M25" s="498"/>
      <c r="N25" s="498"/>
      <c r="O25" s="567">
        <v>528.0</v>
      </c>
      <c r="P25" s="1002"/>
      <c r="Q25" s="567" t="str">
        <f>IFERROR(VLOOKUP(I25,CotizacionTDB,4,FALSE()))</f>
        <v/>
      </c>
      <c r="R25" s="668">
        <f t="shared" si="1"/>
        <v>0</v>
      </c>
      <c r="S25" s="468">
        <f t="shared" si="2"/>
        <v>0</v>
      </c>
      <c r="T25" s="567"/>
      <c r="U25" s="698"/>
      <c r="V25" s="698"/>
      <c r="W25" s="575"/>
      <c r="X25" s="575"/>
      <c r="Y25" s="575"/>
      <c r="Z25" s="575"/>
      <c r="AA25" s="575"/>
      <c r="AB25" s="575"/>
      <c r="AC25" s="575"/>
      <c r="AD25" s="575"/>
      <c r="AE25" s="575"/>
      <c r="AF25" s="575"/>
      <c r="AG25" s="575"/>
      <c r="AH25" s="575"/>
      <c r="AI25" s="575"/>
      <c r="AJ25" s="575"/>
    </row>
    <row r="26" ht="12.0" hidden="1" customHeight="1" outlineLevel="1">
      <c r="A26" s="990"/>
      <c r="B26" s="990"/>
      <c r="C26" s="991" t="s">
        <v>3034</v>
      </c>
      <c r="D26" s="995" t="s">
        <v>3601</v>
      </c>
      <c r="E26" s="993" t="s">
        <v>2708</v>
      </c>
      <c r="F26" s="994" t="s">
        <v>1763</v>
      </c>
      <c r="G26" s="995">
        <v>39800.0</v>
      </c>
      <c r="H26" s="996"/>
      <c r="I26" s="997" t="s">
        <v>3627</v>
      </c>
      <c r="J26" s="991" t="s">
        <v>3628</v>
      </c>
      <c r="K26" s="995" t="s">
        <v>25</v>
      </c>
      <c r="L26" s="991">
        <v>8.0</v>
      </c>
      <c r="M26" s="996"/>
      <c r="N26" s="996"/>
      <c r="O26" s="991">
        <v>528.0</v>
      </c>
      <c r="P26" s="998"/>
      <c r="Q26" s="991" t="str">
        <f>IFERROR(VLOOKUP(I26,CotizacionTDB,4,FALSE()))</f>
        <v/>
      </c>
      <c r="R26" s="999">
        <f t="shared" si="1"/>
        <v>0</v>
      </c>
      <c r="S26" s="1000">
        <f t="shared" si="2"/>
        <v>0</v>
      </c>
      <c r="T26" s="991"/>
      <c r="U26" s="1001"/>
      <c r="V26" s="1001"/>
      <c r="W26" s="990"/>
      <c r="X26" s="990"/>
      <c r="Y26" s="990"/>
      <c r="Z26" s="990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</row>
    <row r="27" ht="12.0" hidden="1" customHeight="1" outlineLevel="1">
      <c r="A27" s="575"/>
      <c r="B27" s="575"/>
      <c r="C27" s="567" t="s">
        <v>3034</v>
      </c>
      <c r="D27" s="661" t="s">
        <v>3601</v>
      </c>
      <c r="E27" s="568" t="s">
        <v>2708</v>
      </c>
      <c r="F27" s="862" t="s">
        <v>1763</v>
      </c>
      <c r="G27" s="661">
        <v>39800.0</v>
      </c>
      <c r="H27" s="498"/>
      <c r="I27" s="710" t="s">
        <v>2266</v>
      </c>
      <c r="J27" s="567" t="s">
        <v>3498</v>
      </c>
      <c r="K27" s="661" t="s">
        <v>25</v>
      </c>
      <c r="L27" s="567">
        <v>4.0</v>
      </c>
      <c r="M27" s="498"/>
      <c r="N27" s="498"/>
      <c r="O27" s="567">
        <v>264.0</v>
      </c>
      <c r="P27" s="1002"/>
      <c r="Q27" s="567">
        <f>IFERROR(VLOOKUP(I27,CotizacionTDB,4,FALSE()))</f>
        <v>0.46</v>
      </c>
      <c r="R27" s="668">
        <f t="shared" si="1"/>
        <v>3.2016</v>
      </c>
      <c r="S27" s="468">
        <f t="shared" si="2"/>
        <v>0</v>
      </c>
      <c r="T27" s="567"/>
      <c r="U27" s="698"/>
      <c r="V27" s="698"/>
      <c r="W27" s="575"/>
      <c r="X27" s="575"/>
      <c r="Y27" s="575"/>
      <c r="Z27" s="575"/>
      <c r="AA27" s="575"/>
      <c r="AB27" s="575"/>
      <c r="AC27" s="575"/>
      <c r="AD27" s="575"/>
      <c r="AE27" s="575"/>
      <c r="AF27" s="575"/>
      <c r="AG27" s="575"/>
      <c r="AH27" s="575"/>
      <c r="AI27" s="575"/>
      <c r="AJ27" s="575"/>
    </row>
    <row r="28" ht="12.0" hidden="1" customHeight="1" outlineLevel="1">
      <c r="A28" s="990"/>
      <c r="B28" s="990"/>
      <c r="C28" s="991" t="s">
        <v>3034</v>
      </c>
      <c r="D28" s="995" t="s">
        <v>3601</v>
      </c>
      <c r="E28" s="993" t="s">
        <v>2708</v>
      </c>
      <c r="F28" s="994" t="s">
        <v>1763</v>
      </c>
      <c r="G28" s="995">
        <v>39800.0</v>
      </c>
      <c r="H28" s="996"/>
      <c r="I28" s="997" t="s">
        <v>2467</v>
      </c>
      <c r="J28" s="991" t="s">
        <v>3629</v>
      </c>
      <c r="K28" s="995" t="s">
        <v>25</v>
      </c>
      <c r="L28" s="991">
        <v>2.0</v>
      </c>
      <c r="M28" s="996"/>
      <c r="N28" s="996"/>
      <c r="O28" s="991">
        <v>132.0</v>
      </c>
      <c r="P28" s="998"/>
      <c r="Q28" s="991">
        <f>IFERROR(VLOOKUP(I28,CotizacionTDB,4,FALSE()))</f>
        <v>26.23</v>
      </c>
      <c r="R28" s="999">
        <f t="shared" si="1"/>
        <v>182.5608</v>
      </c>
      <c r="S28" s="1000">
        <f t="shared" si="2"/>
        <v>0</v>
      </c>
      <c r="T28" s="991"/>
      <c r="U28" s="1001"/>
      <c r="V28" s="1001"/>
      <c r="W28" s="990"/>
      <c r="X28" s="990"/>
      <c r="Y28" s="990"/>
      <c r="Z28" s="990"/>
      <c r="AA28" s="990"/>
      <c r="AB28" s="990"/>
      <c r="AC28" s="990"/>
      <c r="AD28" s="990"/>
      <c r="AE28" s="990"/>
      <c r="AF28" s="990"/>
      <c r="AG28" s="990"/>
      <c r="AH28" s="990"/>
      <c r="AI28" s="990"/>
      <c r="AJ28" s="990"/>
    </row>
    <row r="29" ht="12.0" hidden="1" customHeight="1" outlineLevel="1">
      <c r="A29" s="575"/>
      <c r="B29" s="575"/>
      <c r="C29" s="567" t="s">
        <v>3034</v>
      </c>
      <c r="D29" s="661" t="s">
        <v>3601</v>
      </c>
      <c r="E29" s="568" t="s">
        <v>2708</v>
      </c>
      <c r="F29" s="862" t="s">
        <v>1763</v>
      </c>
      <c r="G29" s="661">
        <v>39800.0</v>
      </c>
      <c r="H29" s="498"/>
      <c r="I29" s="710" t="s">
        <v>2468</v>
      </c>
      <c r="J29" s="567" t="s">
        <v>3630</v>
      </c>
      <c r="K29" s="661" t="s">
        <v>25</v>
      </c>
      <c r="L29" s="567">
        <v>2.0</v>
      </c>
      <c r="M29" s="498"/>
      <c r="N29" s="498"/>
      <c r="O29" s="567">
        <v>132.0</v>
      </c>
      <c r="P29" s="1002"/>
      <c r="Q29" s="567">
        <f>IFERROR(VLOOKUP(I29,CotizacionTDB,4,FALSE()))</f>
        <v>37.07</v>
      </c>
      <c r="R29" s="668">
        <f t="shared" si="1"/>
        <v>258.0072</v>
      </c>
      <c r="S29" s="468">
        <f t="shared" si="2"/>
        <v>0</v>
      </c>
      <c r="T29" s="567"/>
      <c r="U29" s="698"/>
      <c r="V29" s="698"/>
      <c r="W29" s="575"/>
      <c r="X29" s="575"/>
      <c r="Y29" s="575"/>
      <c r="Z29" s="575"/>
      <c r="AA29" s="575"/>
      <c r="AB29" s="575"/>
      <c r="AC29" s="575"/>
      <c r="AD29" s="575"/>
      <c r="AE29" s="575"/>
      <c r="AF29" s="575"/>
      <c r="AG29" s="575"/>
      <c r="AH29" s="575"/>
      <c r="AI29" s="575"/>
      <c r="AJ29" s="575"/>
    </row>
    <row r="30" ht="12.0" hidden="1" customHeight="1" outlineLevel="1">
      <c r="A30" s="990"/>
      <c r="B30" s="990"/>
      <c r="C30" s="991" t="s">
        <v>3034</v>
      </c>
      <c r="D30" s="995" t="s">
        <v>3601</v>
      </c>
      <c r="E30" s="993" t="s">
        <v>2708</v>
      </c>
      <c r="F30" s="994" t="s">
        <v>1763</v>
      </c>
      <c r="G30" s="995">
        <v>39800.0</v>
      </c>
      <c r="H30" s="996"/>
      <c r="I30" s="997" t="s">
        <v>3631</v>
      </c>
      <c r="J30" s="991" t="s">
        <v>3632</v>
      </c>
      <c r="K30" s="995" t="s">
        <v>25</v>
      </c>
      <c r="L30" s="991">
        <v>2.0</v>
      </c>
      <c r="M30" s="996"/>
      <c r="N30" s="996"/>
      <c r="O30" s="991">
        <v>132.0</v>
      </c>
      <c r="P30" s="998"/>
      <c r="Q30" s="991" t="str">
        <f>IFERROR(VLOOKUP(I30,CotizacionTDB,4,FALSE()))</f>
        <v/>
      </c>
      <c r="R30" s="999">
        <f t="shared" si="1"/>
        <v>0</v>
      </c>
      <c r="S30" s="1000">
        <f t="shared" si="2"/>
        <v>0</v>
      </c>
      <c r="T30" s="991"/>
      <c r="U30" s="1001"/>
      <c r="V30" s="1001"/>
      <c r="W30" s="990"/>
      <c r="X30" s="990"/>
      <c r="Y30" s="990"/>
      <c r="Z30" s="990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</row>
    <row r="31" ht="12.0" hidden="1" customHeight="1" outlineLevel="1">
      <c r="A31" s="575"/>
      <c r="B31" s="575"/>
      <c r="C31" s="567" t="s">
        <v>3034</v>
      </c>
      <c r="D31" s="661" t="s">
        <v>3601</v>
      </c>
      <c r="E31" s="568" t="s">
        <v>2708</v>
      </c>
      <c r="F31" s="862" t="s">
        <v>1763</v>
      </c>
      <c r="G31" s="661">
        <v>39800.0</v>
      </c>
      <c r="H31" s="498"/>
      <c r="I31" s="710" t="s">
        <v>3633</v>
      </c>
      <c r="J31" s="567" t="s">
        <v>3634</v>
      </c>
      <c r="K31" s="661" t="s">
        <v>25</v>
      </c>
      <c r="L31" s="567">
        <v>8.0</v>
      </c>
      <c r="M31" s="498"/>
      <c r="N31" s="498"/>
      <c r="O31" s="567">
        <v>528.0</v>
      </c>
      <c r="P31" s="1002"/>
      <c r="Q31" s="567" t="str">
        <f>IFERROR(VLOOKUP(I31,CotizacionTDB,4,FALSE()))</f>
        <v/>
      </c>
      <c r="R31" s="668">
        <f t="shared" si="1"/>
        <v>0</v>
      </c>
      <c r="S31" s="468">
        <f t="shared" si="2"/>
        <v>0</v>
      </c>
      <c r="T31" s="567"/>
      <c r="U31" s="698"/>
      <c r="V31" s="698"/>
      <c r="W31" s="575"/>
      <c r="X31" s="575"/>
      <c r="Y31" s="575"/>
      <c r="Z31" s="575"/>
      <c r="AA31" s="575"/>
      <c r="AB31" s="575"/>
      <c r="AC31" s="575"/>
      <c r="AD31" s="575"/>
      <c r="AE31" s="575"/>
      <c r="AF31" s="575"/>
      <c r="AG31" s="575"/>
      <c r="AH31" s="575"/>
      <c r="AI31" s="575"/>
      <c r="AJ31" s="575"/>
    </row>
    <row r="32" ht="12.0" hidden="1" customHeight="1" outlineLevel="1">
      <c r="A32" s="990"/>
      <c r="B32" s="990"/>
      <c r="C32" s="991" t="s">
        <v>3034</v>
      </c>
      <c r="D32" s="995" t="s">
        <v>3601</v>
      </c>
      <c r="E32" s="993" t="s">
        <v>2708</v>
      </c>
      <c r="F32" s="994" t="s">
        <v>1763</v>
      </c>
      <c r="G32" s="995">
        <v>39800.0</v>
      </c>
      <c r="H32" s="996"/>
      <c r="I32" s="997" t="s">
        <v>60</v>
      </c>
      <c r="J32" s="991" t="s">
        <v>3635</v>
      </c>
      <c r="K32" s="995" t="s">
        <v>25</v>
      </c>
      <c r="L32" s="991">
        <v>1.0</v>
      </c>
      <c r="M32" s="996"/>
      <c r="N32" s="996"/>
      <c r="O32" s="991">
        <v>66.0</v>
      </c>
      <c r="P32" s="998"/>
      <c r="Q32" s="991">
        <f>IFERROR(VLOOKUP(I32,CotizacionTDB,4,FALSE()))</f>
        <v>2937.98</v>
      </c>
      <c r="R32" s="999">
        <f t="shared" si="1"/>
        <v>20448.3408</v>
      </c>
      <c r="S32" s="1000">
        <f t="shared" si="2"/>
        <v>0</v>
      </c>
      <c r="T32" s="993" t="s">
        <v>3636</v>
      </c>
      <c r="U32" s="1001"/>
      <c r="V32" s="1001"/>
      <c r="W32" s="990"/>
      <c r="X32" s="990"/>
      <c r="Y32" s="990"/>
      <c r="Z32" s="990"/>
      <c r="AA32" s="990"/>
      <c r="AB32" s="990"/>
      <c r="AC32" s="990"/>
      <c r="AD32" s="990"/>
      <c r="AE32" s="990"/>
      <c r="AF32" s="990"/>
      <c r="AG32" s="990"/>
      <c r="AH32" s="990"/>
      <c r="AI32" s="990"/>
      <c r="AJ32" s="990"/>
    </row>
    <row r="33" ht="12.0" customHeight="1" collapsed="1">
      <c r="A33" s="565" t="s">
        <v>3637</v>
      </c>
      <c r="B33" s="566">
        <v>2.0</v>
      </c>
      <c r="C33" s="567" t="s">
        <v>3034</v>
      </c>
      <c r="D33" s="1003" t="s">
        <v>1667</v>
      </c>
      <c r="E33" s="568" t="s">
        <v>2708</v>
      </c>
      <c r="F33" s="862" t="s">
        <v>1763</v>
      </c>
      <c r="G33" s="657" t="s">
        <v>2709</v>
      </c>
      <c r="H33" s="498"/>
      <c r="I33" s="710" t="s">
        <v>2118</v>
      </c>
      <c r="J33" s="567" t="s">
        <v>67</v>
      </c>
      <c r="K33" s="661" t="s">
        <v>25</v>
      </c>
      <c r="L33" s="862">
        <v>1.0</v>
      </c>
      <c r="M33" s="498"/>
      <c r="N33" s="498"/>
      <c r="O33" s="567">
        <v>71.0</v>
      </c>
      <c r="P33" s="1002">
        <f t="shared" ref="P33:P34" si="3">SUM(M33:O33)</f>
        <v>71</v>
      </c>
      <c r="Q33" s="663">
        <f>VLOOKUP(I33,CotizacionTDB,4,FALSE())</f>
        <v>2507.54</v>
      </c>
      <c r="R33" s="668">
        <f t="shared" si="1"/>
        <v>17452.4784</v>
      </c>
      <c r="S33" s="468">
        <f t="shared" si="2"/>
        <v>1239125.966</v>
      </c>
      <c r="T33" s="661" t="s">
        <v>3638</v>
      </c>
      <c r="U33" s="567" t="s">
        <v>3639</v>
      </c>
      <c r="V33" s="575"/>
      <c r="W33" s="575"/>
      <c r="X33" s="1004" t="s">
        <v>3640</v>
      </c>
      <c r="Y33" s="1005">
        <f t="shared" ref="Y33:Y34" si="4">Q33*0.85</f>
        <v>2131.409</v>
      </c>
      <c r="Z33" s="575"/>
      <c r="AA33" s="575"/>
      <c r="AB33" s="575"/>
      <c r="AC33" s="575"/>
      <c r="AD33" s="575"/>
      <c r="AE33" s="575"/>
      <c r="AF33" s="575"/>
      <c r="AG33" s="575"/>
      <c r="AH33" s="575"/>
      <c r="AI33" s="575"/>
      <c r="AJ33" s="575"/>
    </row>
    <row r="34" ht="12.0" customHeight="1">
      <c r="A34" s="1006" t="s">
        <v>3637</v>
      </c>
      <c r="B34" s="1007">
        <v>2.0</v>
      </c>
      <c r="C34" s="991" t="s">
        <v>3034</v>
      </c>
      <c r="D34" s="1008" t="s">
        <v>1667</v>
      </c>
      <c r="E34" s="993" t="s">
        <v>2708</v>
      </c>
      <c r="F34" s="994" t="s">
        <v>1763</v>
      </c>
      <c r="G34" s="1009" t="s">
        <v>2709</v>
      </c>
      <c r="H34" s="996"/>
      <c r="I34" s="997" t="s">
        <v>2116</v>
      </c>
      <c r="J34" s="991" t="s">
        <v>47</v>
      </c>
      <c r="K34" s="995" t="s">
        <v>25</v>
      </c>
      <c r="L34" s="994">
        <v>1.0</v>
      </c>
      <c r="M34" s="996"/>
      <c r="N34" s="996"/>
      <c r="O34" s="991">
        <v>71.0</v>
      </c>
      <c r="P34" s="998">
        <f t="shared" si="3"/>
        <v>71</v>
      </c>
      <c r="Q34" s="1010">
        <f>VLOOKUP(I34,CotizacionTDB,4,FALSE())</f>
        <v>4601.21</v>
      </c>
      <c r="R34" s="999">
        <f t="shared" si="1"/>
        <v>32024.4216</v>
      </c>
      <c r="S34" s="1000">
        <f t="shared" si="2"/>
        <v>2273733.934</v>
      </c>
      <c r="T34" s="995" t="s">
        <v>3638</v>
      </c>
      <c r="U34" s="991" t="s">
        <v>3639</v>
      </c>
      <c r="V34" s="990"/>
      <c r="W34" s="990"/>
      <c r="X34" s="1011" t="s">
        <v>3640</v>
      </c>
      <c r="Y34" s="1012">
        <f t="shared" si="4"/>
        <v>3911.0285</v>
      </c>
      <c r="Z34" s="990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</row>
    <row r="35" ht="12.0" customHeight="1">
      <c r="A35" s="1013"/>
      <c r="B35" s="1013"/>
      <c r="C35" s="1014"/>
      <c r="D35" s="1015"/>
      <c r="E35" s="1016"/>
      <c r="F35" s="1017"/>
      <c r="G35" s="1018"/>
      <c r="H35" s="1018"/>
      <c r="I35" s="1015"/>
      <c r="J35" s="1019"/>
      <c r="K35" s="1019"/>
      <c r="L35" s="1019"/>
      <c r="M35" s="1020"/>
      <c r="N35" s="1021"/>
      <c r="O35" s="1020"/>
      <c r="P35" s="1022"/>
      <c r="Q35" s="1023"/>
      <c r="R35" s="1023"/>
      <c r="S35" s="1023"/>
      <c r="T35" s="1023"/>
      <c r="U35" s="1023"/>
      <c r="V35" s="1023"/>
      <c r="W35" s="1023"/>
      <c r="X35" s="1023"/>
      <c r="Y35" s="1023"/>
      <c r="Z35" s="1023"/>
      <c r="AA35" s="1023"/>
      <c r="AB35" s="1023"/>
      <c r="AC35" s="1023"/>
      <c r="AD35" s="1023"/>
      <c r="AE35" s="1023"/>
      <c r="AF35" s="1023"/>
      <c r="AG35" s="1023"/>
      <c r="AH35" s="1023"/>
      <c r="AI35" s="1023"/>
      <c r="AJ35" s="1023"/>
    </row>
  </sheetData>
  <mergeCells count="1">
    <mergeCell ref="O2:P2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4.43" defaultRowHeight="15.0" outlineLevelCol="1"/>
  <cols>
    <col customWidth="1" min="1" max="1" width="12.0" outlineLevel="1"/>
    <col customWidth="1" min="2" max="2" width="18.0" outlineLevel="1"/>
    <col customWidth="1" min="3" max="3" width="16.86" outlineLevel="1"/>
    <col customWidth="1" min="4" max="4" width="8.29" outlineLevel="1"/>
    <col customWidth="1" min="5" max="6" width="11.29" outlineLevel="1"/>
    <col customWidth="1" min="7" max="7" width="12.14"/>
    <col customWidth="1" min="8" max="8" width="50.29"/>
    <col customWidth="1" min="9" max="9" width="8.0"/>
    <col customWidth="1" min="10" max="20" width="11.43" outlineLevel="1"/>
    <col customWidth="1" min="21" max="21" width="11.43"/>
    <col customWidth="1" hidden="1" min="22" max="32" width="11.43" outlineLevel="1"/>
    <col collapsed="1" customWidth="1" min="33" max="33" width="11.43"/>
    <col customWidth="1" hidden="1" min="34" max="44" width="11.43" outlineLevel="1"/>
    <col collapsed="1" customWidth="1" min="45" max="45" width="11.43"/>
    <col customWidth="1" min="46" max="46" width="11.43"/>
    <col customWidth="1" hidden="1" min="47" max="48" width="11.43"/>
    <col customWidth="1" min="49" max="50" width="11.43"/>
    <col customWidth="1" min="51" max="51" width="4.0"/>
    <col customWidth="1" min="52" max="52" width="11.29"/>
    <col customWidth="1" min="53" max="55" width="12.29"/>
    <col customWidth="1" min="56" max="56" width="35.43"/>
    <col customWidth="1" min="57" max="57" width="26.0"/>
    <col customWidth="1" min="58" max="58" width="11.43"/>
  </cols>
  <sheetData>
    <row r="1" ht="15.0" customHeight="1">
      <c r="A1" s="403" t="s">
        <v>2817</v>
      </c>
      <c r="B1" s="404"/>
      <c r="C1" s="405"/>
      <c r="D1" s="405"/>
      <c r="E1" s="406"/>
      <c r="F1" s="406"/>
      <c r="G1" s="405"/>
      <c r="H1" s="404"/>
      <c r="I1" s="405"/>
      <c r="J1" s="407" t="s">
        <v>2651</v>
      </c>
      <c r="K1" s="408"/>
      <c r="L1" s="408"/>
      <c r="M1" s="408"/>
      <c r="N1" s="408"/>
      <c r="O1" s="408"/>
      <c r="P1" s="408"/>
      <c r="Q1" s="408"/>
      <c r="R1" s="408"/>
      <c r="S1" s="408"/>
      <c r="T1" s="408"/>
      <c r="U1" s="408" t="s">
        <v>2649</v>
      </c>
      <c r="V1" s="410" t="s">
        <v>2652</v>
      </c>
      <c r="W1" s="408"/>
      <c r="X1" s="408"/>
      <c r="Y1" s="408"/>
      <c r="Z1" s="408"/>
      <c r="AA1" s="408"/>
      <c r="AB1" s="408"/>
      <c r="AC1" s="408"/>
      <c r="AD1" s="408"/>
      <c r="AE1" s="408"/>
      <c r="AF1" s="408"/>
      <c r="AG1" s="408" t="s">
        <v>2649</v>
      </c>
      <c r="AH1" s="410" t="s">
        <v>2653</v>
      </c>
      <c r="AI1" s="410"/>
      <c r="AJ1" s="410"/>
      <c r="AK1" s="410"/>
      <c r="AL1" s="410"/>
      <c r="AM1" s="410"/>
      <c r="AN1" s="410"/>
      <c r="AO1" s="410"/>
      <c r="AP1" s="410"/>
      <c r="AQ1" s="410"/>
      <c r="AR1" s="410"/>
      <c r="AS1" s="408" t="s">
        <v>2649</v>
      </c>
      <c r="AT1" s="412"/>
      <c r="AU1" s="412"/>
      <c r="AV1" s="412"/>
      <c r="AW1" s="412"/>
      <c r="AX1" s="412">
        <v>6.97</v>
      </c>
      <c r="AY1" s="412"/>
      <c r="AZ1" s="415"/>
      <c r="BA1" s="412" t="s">
        <v>3641</v>
      </c>
      <c r="BB1" s="412"/>
      <c r="BC1" s="412"/>
      <c r="BD1" s="416"/>
      <c r="BE1" s="412"/>
      <c r="BF1" s="412"/>
    </row>
    <row r="2">
      <c r="A2" s="405"/>
      <c r="B2" s="404"/>
      <c r="C2" s="405"/>
      <c r="D2" s="405"/>
      <c r="E2" s="406"/>
      <c r="F2" s="406"/>
      <c r="G2" s="405"/>
      <c r="H2" s="404"/>
      <c r="I2" s="405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>
        <v>2024.0</v>
      </c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8"/>
      <c r="AG2" s="408">
        <v>2025.0</v>
      </c>
      <c r="AH2" s="410"/>
      <c r="AI2" s="410"/>
      <c r="AJ2" s="410"/>
      <c r="AK2" s="410"/>
      <c r="AL2" s="410"/>
      <c r="AM2" s="410"/>
      <c r="AN2" s="410"/>
      <c r="AO2" s="410"/>
      <c r="AP2" s="410"/>
      <c r="AQ2" s="410"/>
      <c r="AR2" s="410"/>
      <c r="AS2" s="408">
        <v>2026.0</v>
      </c>
      <c r="AT2" s="412"/>
      <c r="AU2" s="412"/>
      <c r="AV2" s="412"/>
      <c r="AW2" s="1024" t="s">
        <v>2655</v>
      </c>
      <c r="AX2" s="419"/>
      <c r="AY2" s="412"/>
      <c r="AZ2" s="412"/>
      <c r="BA2" s="412"/>
      <c r="BB2" s="412"/>
      <c r="BC2" s="412"/>
      <c r="BD2" s="416"/>
      <c r="BE2" s="412"/>
      <c r="BF2" s="412"/>
    </row>
    <row r="3">
      <c r="A3" s="425" t="s">
        <v>2657</v>
      </c>
      <c r="B3" s="425" t="s">
        <v>1800</v>
      </c>
      <c r="C3" s="425" t="s">
        <v>2658</v>
      </c>
      <c r="D3" s="425" t="s">
        <v>2659</v>
      </c>
      <c r="E3" s="1025" t="s">
        <v>2660</v>
      </c>
      <c r="F3" s="1026" t="s">
        <v>2661</v>
      </c>
      <c r="G3" s="1027" t="s">
        <v>2662</v>
      </c>
      <c r="H3" s="425" t="s">
        <v>1833</v>
      </c>
      <c r="I3" s="425" t="s">
        <v>2663</v>
      </c>
      <c r="J3" s="426" t="s">
        <v>2664</v>
      </c>
      <c r="K3" s="427" t="s">
        <v>2665</v>
      </c>
      <c r="L3" s="428" t="s">
        <v>2666</v>
      </c>
      <c r="M3" s="429" t="s">
        <v>2667</v>
      </c>
      <c r="N3" s="430" t="s">
        <v>2668</v>
      </c>
      <c r="O3" s="431" t="s">
        <v>2669</v>
      </c>
      <c r="P3" s="432" t="s">
        <v>2670</v>
      </c>
      <c r="Q3" s="433" t="s">
        <v>2671</v>
      </c>
      <c r="R3" s="434" t="s">
        <v>2672</v>
      </c>
      <c r="S3" s="435" t="s">
        <v>2673</v>
      </c>
      <c r="T3" s="436" t="s">
        <v>2674</v>
      </c>
      <c r="U3" s="436" t="s">
        <v>7</v>
      </c>
      <c r="V3" s="426" t="s">
        <v>2675</v>
      </c>
      <c r="W3" s="427" t="s">
        <v>2676</v>
      </c>
      <c r="X3" s="428" t="s">
        <v>2677</v>
      </c>
      <c r="Y3" s="429" t="s">
        <v>2678</v>
      </c>
      <c r="Z3" s="430" t="s">
        <v>2679</v>
      </c>
      <c r="AA3" s="431" t="s">
        <v>2680</v>
      </c>
      <c r="AB3" s="432" t="s">
        <v>2681</v>
      </c>
      <c r="AC3" s="433" t="s">
        <v>2682</v>
      </c>
      <c r="AD3" s="434" t="s">
        <v>2683</v>
      </c>
      <c r="AE3" s="435" t="s">
        <v>2684</v>
      </c>
      <c r="AF3" s="436" t="s">
        <v>2685</v>
      </c>
      <c r="AG3" s="436" t="s">
        <v>8</v>
      </c>
      <c r="AH3" s="426" t="s">
        <v>2686</v>
      </c>
      <c r="AI3" s="427" t="s">
        <v>2687</v>
      </c>
      <c r="AJ3" s="428" t="s">
        <v>2688</v>
      </c>
      <c r="AK3" s="429" t="s">
        <v>2689</v>
      </c>
      <c r="AL3" s="430" t="s">
        <v>2690</v>
      </c>
      <c r="AM3" s="438" t="s">
        <v>2691</v>
      </c>
      <c r="AN3" s="432" t="s">
        <v>2692</v>
      </c>
      <c r="AO3" s="433" t="s">
        <v>2693</v>
      </c>
      <c r="AP3" s="434" t="s">
        <v>2694</v>
      </c>
      <c r="AQ3" s="435" t="s">
        <v>2695</v>
      </c>
      <c r="AR3" s="436" t="s">
        <v>2696</v>
      </c>
      <c r="AS3" s="436" t="s">
        <v>9</v>
      </c>
      <c r="AT3" s="1028" t="s">
        <v>10</v>
      </c>
      <c r="AU3" s="436" t="s">
        <v>3642</v>
      </c>
      <c r="AV3" s="436" t="s">
        <v>3643</v>
      </c>
      <c r="AW3" s="436" t="s">
        <v>2697</v>
      </c>
      <c r="AX3" s="436" t="s">
        <v>2698</v>
      </c>
      <c r="AY3" s="425"/>
      <c r="AZ3" s="1029" t="s">
        <v>2699</v>
      </c>
      <c r="BA3" s="1030" t="s">
        <v>2700</v>
      </c>
      <c r="BB3" s="1030" t="s">
        <v>2701</v>
      </c>
      <c r="BC3" s="1030" t="s">
        <v>2702</v>
      </c>
      <c r="BD3" s="451" t="s">
        <v>1761</v>
      </c>
      <c r="BE3" s="451" t="s">
        <v>1805</v>
      </c>
      <c r="BF3" s="1031"/>
    </row>
    <row r="4">
      <c r="A4" s="567" t="s">
        <v>2707</v>
      </c>
      <c r="B4" s="568" t="s">
        <v>56</v>
      </c>
      <c r="C4" s="567" t="s">
        <v>2708</v>
      </c>
      <c r="D4" s="567" t="s">
        <v>1763</v>
      </c>
      <c r="E4" s="569" t="s">
        <v>2709</v>
      </c>
      <c r="F4" s="569" t="s">
        <v>2752</v>
      </c>
      <c r="G4" s="461">
        <v>1.043174E7</v>
      </c>
      <c r="H4" s="568" t="s">
        <v>2095</v>
      </c>
      <c r="I4" s="567" t="s">
        <v>25</v>
      </c>
      <c r="J4" s="461">
        <v>150.0</v>
      </c>
      <c r="K4" s="461">
        <v>100.0</v>
      </c>
      <c r="L4" s="461">
        <v>130.0</v>
      </c>
      <c r="M4" s="462">
        <v>80.0</v>
      </c>
      <c r="N4" s="461">
        <v>70.0</v>
      </c>
      <c r="O4" s="462">
        <v>0.0</v>
      </c>
      <c r="P4" s="461">
        <v>41.0</v>
      </c>
      <c r="Q4" s="461">
        <v>66.0</v>
      </c>
      <c r="R4" s="461">
        <v>20.0</v>
      </c>
      <c r="S4" s="461">
        <v>50.0</v>
      </c>
      <c r="T4" s="461">
        <v>0.0</v>
      </c>
      <c r="U4" s="533">
        <f t="shared" ref="U4:U98" si="1">SUM(J4:T4)</f>
        <v>707</v>
      </c>
      <c r="V4" s="461">
        <v>150.0</v>
      </c>
      <c r="W4" s="461">
        <v>100.0</v>
      </c>
      <c r="X4" s="461">
        <v>130.0</v>
      </c>
      <c r="Y4" s="462">
        <v>100.0</v>
      </c>
      <c r="Z4" s="461">
        <v>70.0</v>
      </c>
      <c r="AA4" s="461">
        <v>150.0</v>
      </c>
      <c r="AB4" s="461">
        <v>41.0</v>
      </c>
      <c r="AC4" s="461">
        <v>66.0</v>
      </c>
      <c r="AD4" s="461">
        <v>20.0</v>
      </c>
      <c r="AE4" s="461">
        <v>50.0</v>
      </c>
      <c r="AF4" s="461">
        <v>0.0</v>
      </c>
      <c r="AG4" s="534">
        <f t="shared" ref="AG4:AG8" si="2">SUM(V4:AF4)</f>
        <v>877</v>
      </c>
      <c r="AH4" s="461">
        <v>150.0</v>
      </c>
      <c r="AI4" s="461">
        <v>100.0</v>
      </c>
      <c r="AJ4" s="461">
        <v>130.0</v>
      </c>
      <c r="AK4" s="462">
        <v>100.0</v>
      </c>
      <c r="AL4" s="461">
        <v>70.0</v>
      </c>
      <c r="AM4" s="461">
        <v>150.0</v>
      </c>
      <c r="AN4" s="461">
        <v>41.0</v>
      </c>
      <c r="AO4" s="461">
        <v>66.0</v>
      </c>
      <c r="AP4" s="461">
        <v>20.0</v>
      </c>
      <c r="AQ4" s="461">
        <v>50.0</v>
      </c>
      <c r="AR4" s="461">
        <v>0.0</v>
      </c>
      <c r="AS4" s="533">
        <f t="shared" ref="AS4:AS8" si="3">ROUNDUP( SUM(AH4:AR4))</f>
        <v>877</v>
      </c>
      <c r="AT4" s="1032">
        <f t="shared" ref="AT4:AT98" si="4">U4+AG4+AS4</f>
        <v>2461</v>
      </c>
      <c r="AU4" s="466">
        <v>0.0</v>
      </c>
      <c r="AV4" s="461">
        <v>2691.0</v>
      </c>
      <c r="AW4" s="461">
        <v>401.33</v>
      </c>
      <c r="AX4" s="461">
        <v>2797.2700999999997</v>
      </c>
      <c r="AY4" s="468"/>
      <c r="AZ4" s="469">
        <f t="shared" ref="AZ4:AZ113" si="5">AX4*U4</f>
        <v>1977669.961</v>
      </c>
      <c r="BA4" s="469">
        <f t="shared" ref="BA4:BA113" si="6">AX4*AG4</f>
        <v>2453205.878</v>
      </c>
      <c r="BB4" s="469">
        <f t="shared" ref="BB4:BB113" si="7">AX4*AS4</f>
        <v>2453205.878</v>
      </c>
      <c r="BC4" s="469">
        <f t="shared" ref="BC4:BC113" si="8">AZ4+BA4+BB4</f>
        <v>6884081.716</v>
      </c>
      <c r="BD4" s="471"/>
      <c r="BE4" s="469"/>
      <c r="BF4" s="412"/>
    </row>
    <row r="5">
      <c r="A5" s="562" t="s">
        <v>2707</v>
      </c>
      <c r="B5" s="571" t="s">
        <v>56</v>
      </c>
      <c r="C5" s="562" t="s">
        <v>2708</v>
      </c>
      <c r="D5" s="562" t="s">
        <v>1763</v>
      </c>
      <c r="E5" s="569" t="s">
        <v>2709</v>
      </c>
      <c r="F5" s="569" t="s">
        <v>2759</v>
      </c>
      <c r="G5" s="481">
        <v>1.0501989E7</v>
      </c>
      <c r="H5" s="571" t="s">
        <v>3644</v>
      </c>
      <c r="I5" s="562" t="s">
        <v>25</v>
      </c>
      <c r="J5" s="481">
        <v>512.0</v>
      </c>
      <c r="K5" s="481">
        <v>284.0</v>
      </c>
      <c r="L5" s="481">
        <v>426.0</v>
      </c>
      <c r="M5" s="481">
        <v>341.0</v>
      </c>
      <c r="N5" s="481">
        <v>199.0</v>
      </c>
      <c r="O5" s="481">
        <v>426.0</v>
      </c>
      <c r="P5" s="482">
        <v>150.0</v>
      </c>
      <c r="Q5" s="481">
        <v>187.0</v>
      </c>
      <c r="R5" s="482">
        <v>80.0</v>
      </c>
      <c r="S5" s="492">
        <v>100.0</v>
      </c>
      <c r="T5" s="481">
        <v>0.0</v>
      </c>
      <c r="U5" s="533">
        <f t="shared" si="1"/>
        <v>2705</v>
      </c>
      <c r="V5" s="481">
        <v>360.0</v>
      </c>
      <c r="W5" s="481">
        <v>200.0</v>
      </c>
      <c r="X5" s="481">
        <v>300.0</v>
      </c>
      <c r="Y5" s="481">
        <v>240.0</v>
      </c>
      <c r="Z5" s="481">
        <v>140.0</v>
      </c>
      <c r="AA5" s="481">
        <v>300.0</v>
      </c>
      <c r="AB5" s="482">
        <v>120.0</v>
      </c>
      <c r="AC5" s="481">
        <v>132.0</v>
      </c>
      <c r="AD5" s="482">
        <v>50.0</v>
      </c>
      <c r="AE5" s="481">
        <v>100.0</v>
      </c>
      <c r="AF5" s="481">
        <v>0.0</v>
      </c>
      <c r="AG5" s="534">
        <f t="shared" si="2"/>
        <v>1942</v>
      </c>
      <c r="AH5" s="481">
        <v>360.0</v>
      </c>
      <c r="AI5" s="481">
        <v>200.0</v>
      </c>
      <c r="AJ5" s="481">
        <v>300.0</v>
      </c>
      <c r="AK5" s="481">
        <v>240.0</v>
      </c>
      <c r="AL5" s="481">
        <v>140.0</v>
      </c>
      <c r="AM5" s="481">
        <v>300.0</v>
      </c>
      <c r="AN5" s="482">
        <v>120.0</v>
      </c>
      <c r="AO5" s="481">
        <v>132.0</v>
      </c>
      <c r="AP5" s="482">
        <v>50.0</v>
      </c>
      <c r="AQ5" s="481">
        <v>100.0</v>
      </c>
      <c r="AR5" s="481">
        <v>0.0</v>
      </c>
      <c r="AS5" s="533">
        <f t="shared" si="3"/>
        <v>1942</v>
      </c>
      <c r="AT5" s="535">
        <f t="shared" si="4"/>
        <v>6589</v>
      </c>
      <c r="AU5" s="484">
        <v>0.0</v>
      </c>
      <c r="AV5" s="481">
        <v>6478.0</v>
      </c>
      <c r="AW5" s="481">
        <v>62.07</v>
      </c>
      <c r="AX5" s="481">
        <v>432.6279</v>
      </c>
      <c r="AY5" s="486"/>
      <c r="AZ5" s="487">
        <f t="shared" si="5"/>
        <v>1170258.47</v>
      </c>
      <c r="BA5" s="487">
        <f t="shared" si="6"/>
        <v>840163.3818</v>
      </c>
      <c r="BB5" s="487">
        <f t="shared" si="7"/>
        <v>840163.3818</v>
      </c>
      <c r="BC5" s="487">
        <f t="shared" si="8"/>
        <v>2850585.233</v>
      </c>
      <c r="BD5" s="489"/>
      <c r="BE5" s="487"/>
      <c r="BF5" s="412"/>
    </row>
    <row r="6">
      <c r="A6" s="567" t="s">
        <v>2707</v>
      </c>
      <c r="B6" s="568" t="s">
        <v>56</v>
      </c>
      <c r="C6" s="567" t="s">
        <v>2708</v>
      </c>
      <c r="D6" s="567" t="s">
        <v>1763</v>
      </c>
      <c r="E6" s="569" t="s">
        <v>2709</v>
      </c>
      <c r="F6" s="569" t="s">
        <v>2753</v>
      </c>
      <c r="G6" s="461">
        <v>1.0434107E7</v>
      </c>
      <c r="H6" s="568" t="s">
        <v>3645</v>
      </c>
      <c r="I6" s="567" t="s">
        <v>25</v>
      </c>
      <c r="J6" s="461">
        <v>37.0</v>
      </c>
      <c r="K6" s="461">
        <v>28.0</v>
      </c>
      <c r="L6" s="461">
        <v>30.0</v>
      </c>
      <c r="M6" s="462">
        <v>0.0</v>
      </c>
      <c r="N6" s="462">
        <v>0.0</v>
      </c>
      <c r="O6" s="462">
        <v>0.0</v>
      </c>
      <c r="P6" s="461">
        <v>24.0</v>
      </c>
      <c r="Q6" s="461">
        <v>25.0</v>
      </c>
      <c r="R6" s="461">
        <v>5.0</v>
      </c>
      <c r="S6" s="461">
        <v>25.0</v>
      </c>
      <c r="T6" s="461">
        <v>0.0</v>
      </c>
      <c r="U6" s="533">
        <f t="shared" si="1"/>
        <v>174</v>
      </c>
      <c r="V6" s="461">
        <v>100.0</v>
      </c>
      <c r="W6" s="461">
        <v>70.0</v>
      </c>
      <c r="X6" s="461">
        <v>85.0</v>
      </c>
      <c r="Y6" s="461">
        <v>50.0</v>
      </c>
      <c r="Z6" s="461">
        <v>60.0</v>
      </c>
      <c r="AA6" s="462">
        <v>0.0</v>
      </c>
      <c r="AB6" s="461">
        <v>63.0</v>
      </c>
      <c r="AC6" s="461">
        <v>76.0</v>
      </c>
      <c r="AD6" s="461">
        <v>10.0</v>
      </c>
      <c r="AE6" s="461">
        <v>65.0</v>
      </c>
      <c r="AF6" s="461">
        <v>0.0</v>
      </c>
      <c r="AG6" s="534">
        <f t="shared" si="2"/>
        <v>579</v>
      </c>
      <c r="AH6" s="461">
        <v>100.0</v>
      </c>
      <c r="AI6" s="461">
        <v>70.0</v>
      </c>
      <c r="AJ6" s="461">
        <v>85.0</v>
      </c>
      <c r="AK6" s="461">
        <v>50.0</v>
      </c>
      <c r="AL6" s="461">
        <v>60.0</v>
      </c>
      <c r="AM6" s="462">
        <v>0.0</v>
      </c>
      <c r="AN6" s="461">
        <v>63.0</v>
      </c>
      <c r="AO6" s="461">
        <v>76.0</v>
      </c>
      <c r="AP6" s="461">
        <v>10.0</v>
      </c>
      <c r="AQ6" s="461">
        <v>65.0</v>
      </c>
      <c r="AR6" s="461">
        <v>0.0</v>
      </c>
      <c r="AS6" s="533">
        <f t="shared" si="3"/>
        <v>579</v>
      </c>
      <c r="AT6" s="1032">
        <f t="shared" si="4"/>
        <v>1332</v>
      </c>
      <c r="AU6" s="466">
        <v>0.0</v>
      </c>
      <c r="AV6" s="461">
        <v>1596.0</v>
      </c>
      <c r="AW6" s="461">
        <v>317.23</v>
      </c>
      <c r="AX6" s="461">
        <v>2211.0931</v>
      </c>
      <c r="AY6" s="468"/>
      <c r="AZ6" s="469">
        <f t="shared" si="5"/>
        <v>384730.1994</v>
      </c>
      <c r="BA6" s="469">
        <f t="shared" si="6"/>
        <v>1280222.905</v>
      </c>
      <c r="BB6" s="469">
        <f t="shared" si="7"/>
        <v>1280222.905</v>
      </c>
      <c r="BC6" s="469">
        <f t="shared" si="8"/>
        <v>2945176.009</v>
      </c>
      <c r="BD6" s="471"/>
      <c r="BE6" s="469"/>
      <c r="BF6" s="412"/>
    </row>
    <row r="7">
      <c r="A7" s="562" t="s">
        <v>2808</v>
      </c>
      <c r="B7" s="571" t="s">
        <v>118</v>
      </c>
      <c r="C7" s="562" t="s">
        <v>2708</v>
      </c>
      <c r="D7" s="562" t="s">
        <v>1763</v>
      </c>
      <c r="E7" s="569" t="s">
        <v>2709</v>
      </c>
      <c r="F7" s="569" t="s">
        <v>2849</v>
      </c>
      <c r="G7" s="481">
        <v>1.0461436E7</v>
      </c>
      <c r="H7" s="571" t="s">
        <v>76</v>
      </c>
      <c r="I7" s="562" t="s">
        <v>25</v>
      </c>
      <c r="J7" s="481">
        <v>0.0</v>
      </c>
      <c r="K7" s="481">
        <v>0.0</v>
      </c>
      <c r="L7" s="481">
        <v>0.0</v>
      </c>
      <c r="M7" s="481">
        <v>0.0</v>
      </c>
      <c r="N7" s="482">
        <v>72.0</v>
      </c>
      <c r="O7" s="482">
        <v>96.0</v>
      </c>
      <c r="P7" s="481">
        <v>0.0</v>
      </c>
      <c r="Q7" s="491">
        <v>0.0</v>
      </c>
      <c r="R7" s="481">
        <v>0.0</v>
      </c>
      <c r="S7" s="481">
        <v>0.0</v>
      </c>
      <c r="T7" s="481">
        <v>0.0</v>
      </c>
      <c r="U7" s="533">
        <f t="shared" si="1"/>
        <v>168</v>
      </c>
      <c r="V7" s="481">
        <v>24.0</v>
      </c>
      <c r="W7" s="481">
        <v>24.0</v>
      </c>
      <c r="X7" s="481">
        <v>36.0</v>
      </c>
      <c r="Y7" s="482">
        <v>72.0</v>
      </c>
      <c r="Z7" s="482">
        <v>108.0</v>
      </c>
      <c r="AA7" s="482">
        <v>144.0</v>
      </c>
      <c r="AB7" s="481">
        <v>36.0</v>
      </c>
      <c r="AC7" s="481">
        <v>36.0</v>
      </c>
      <c r="AD7" s="482">
        <v>15.0</v>
      </c>
      <c r="AE7" s="492">
        <v>0.0</v>
      </c>
      <c r="AF7" s="481">
        <v>0.0</v>
      </c>
      <c r="AG7" s="534">
        <f t="shared" si="2"/>
        <v>495</v>
      </c>
      <c r="AH7" s="481">
        <v>24.0</v>
      </c>
      <c r="AI7" s="481">
        <v>24.0</v>
      </c>
      <c r="AJ7" s="481">
        <v>36.0</v>
      </c>
      <c r="AK7" s="482">
        <v>72.0</v>
      </c>
      <c r="AL7" s="482">
        <v>108.0</v>
      </c>
      <c r="AM7" s="482">
        <v>144.0</v>
      </c>
      <c r="AN7" s="481">
        <v>36.0</v>
      </c>
      <c r="AO7" s="481">
        <v>36.0</v>
      </c>
      <c r="AP7" s="482">
        <v>15.0</v>
      </c>
      <c r="AQ7" s="492">
        <v>0.0</v>
      </c>
      <c r="AR7" s="481">
        <v>0.0</v>
      </c>
      <c r="AS7" s="533">
        <f t="shared" si="3"/>
        <v>495</v>
      </c>
      <c r="AT7" s="535">
        <f t="shared" si="4"/>
        <v>1158</v>
      </c>
      <c r="AU7" s="484">
        <v>0.0</v>
      </c>
      <c r="AV7" s="481">
        <v>594.0</v>
      </c>
      <c r="AW7" s="481">
        <v>275.0</v>
      </c>
      <c r="AX7" s="481">
        <v>1916.75</v>
      </c>
      <c r="AY7" s="1033"/>
      <c r="AZ7" s="487">
        <f t="shared" si="5"/>
        <v>322014</v>
      </c>
      <c r="BA7" s="487">
        <f t="shared" si="6"/>
        <v>948791.25</v>
      </c>
      <c r="BB7" s="487">
        <f t="shared" si="7"/>
        <v>948791.25</v>
      </c>
      <c r="BC7" s="487">
        <f t="shared" si="8"/>
        <v>2219596.5</v>
      </c>
      <c r="BD7" s="489"/>
      <c r="BE7" s="487"/>
      <c r="BF7" s="412"/>
    </row>
    <row r="8">
      <c r="A8" s="567" t="s">
        <v>2707</v>
      </c>
      <c r="B8" s="568" t="s">
        <v>785</v>
      </c>
      <c r="C8" s="567" t="s">
        <v>2708</v>
      </c>
      <c r="D8" s="567" t="s">
        <v>1763</v>
      </c>
      <c r="E8" s="569" t="s">
        <v>2709</v>
      </c>
      <c r="F8" s="569" t="s">
        <v>2764</v>
      </c>
      <c r="G8" s="461">
        <v>1.0539289E7</v>
      </c>
      <c r="H8" s="568" t="s">
        <v>57</v>
      </c>
      <c r="I8" s="567" t="s">
        <v>25</v>
      </c>
      <c r="J8" s="461">
        <v>64.0</v>
      </c>
      <c r="K8" s="461">
        <v>44.0</v>
      </c>
      <c r="L8" s="461">
        <v>62.0</v>
      </c>
      <c r="M8" s="462">
        <v>0.0</v>
      </c>
      <c r="N8" s="462">
        <v>0.0</v>
      </c>
      <c r="O8" s="462">
        <v>0.0</v>
      </c>
      <c r="P8" s="461">
        <v>63.0</v>
      </c>
      <c r="Q8" s="461">
        <v>63.0</v>
      </c>
      <c r="R8" s="461">
        <v>18.0</v>
      </c>
      <c r="S8" s="490">
        <v>0.0</v>
      </c>
      <c r="T8" s="461">
        <v>0.0</v>
      </c>
      <c r="U8" s="533">
        <f t="shared" si="1"/>
        <v>314</v>
      </c>
      <c r="V8" s="461">
        <v>56.0</v>
      </c>
      <c r="W8" s="461">
        <v>40.0</v>
      </c>
      <c r="X8" s="461">
        <v>56.0</v>
      </c>
      <c r="Y8" s="462">
        <v>20.0</v>
      </c>
      <c r="Z8" s="462">
        <v>28.0</v>
      </c>
      <c r="AA8" s="462">
        <v>44.0</v>
      </c>
      <c r="AB8" s="461">
        <v>56.0</v>
      </c>
      <c r="AC8" s="461">
        <v>56.0</v>
      </c>
      <c r="AD8" s="461">
        <v>16.0</v>
      </c>
      <c r="AE8" s="461">
        <v>48.0</v>
      </c>
      <c r="AF8" s="461">
        <v>0.0</v>
      </c>
      <c r="AG8" s="534">
        <f t="shared" si="2"/>
        <v>420</v>
      </c>
      <c r="AH8" s="461">
        <v>56.0</v>
      </c>
      <c r="AI8" s="461">
        <v>40.0</v>
      </c>
      <c r="AJ8" s="461">
        <v>56.0</v>
      </c>
      <c r="AK8" s="462">
        <v>20.0</v>
      </c>
      <c r="AL8" s="462">
        <v>28.0</v>
      </c>
      <c r="AM8" s="462">
        <v>44.0</v>
      </c>
      <c r="AN8" s="461">
        <v>56.0</v>
      </c>
      <c r="AO8" s="461">
        <v>56.0</v>
      </c>
      <c r="AP8" s="461">
        <v>16.0</v>
      </c>
      <c r="AQ8" s="461">
        <v>48.0</v>
      </c>
      <c r="AR8" s="461">
        <v>0.0</v>
      </c>
      <c r="AS8" s="533">
        <f t="shared" si="3"/>
        <v>420</v>
      </c>
      <c r="AT8" s="1032">
        <f t="shared" si="4"/>
        <v>1154</v>
      </c>
      <c r="AU8" s="466">
        <v>0.0</v>
      </c>
      <c r="AV8" s="461">
        <v>1596.0</v>
      </c>
      <c r="AW8" s="461">
        <v>124.41</v>
      </c>
      <c r="AX8" s="461">
        <v>867.1377</v>
      </c>
      <c r="AY8" s="468"/>
      <c r="AZ8" s="469">
        <f t="shared" si="5"/>
        <v>272281.2378</v>
      </c>
      <c r="BA8" s="469">
        <f t="shared" si="6"/>
        <v>364197.834</v>
      </c>
      <c r="BB8" s="469">
        <f t="shared" si="7"/>
        <v>364197.834</v>
      </c>
      <c r="BC8" s="469">
        <f t="shared" si="8"/>
        <v>1000676.906</v>
      </c>
      <c r="BD8" s="471"/>
      <c r="BE8" s="469"/>
      <c r="BF8" s="412"/>
    </row>
    <row r="9">
      <c r="A9" s="562" t="s">
        <v>2808</v>
      </c>
      <c r="B9" s="571" t="s">
        <v>213</v>
      </c>
      <c r="C9" s="562" t="s">
        <v>2708</v>
      </c>
      <c r="D9" s="562" t="s">
        <v>1763</v>
      </c>
      <c r="E9" s="569" t="s">
        <v>2855</v>
      </c>
      <c r="F9" s="569" t="s">
        <v>2856</v>
      </c>
      <c r="G9" s="481">
        <v>1.2008441E7</v>
      </c>
      <c r="H9" s="571" t="s">
        <v>3646</v>
      </c>
      <c r="I9" s="562" t="s">
        <v>25</v>
      </c>
      <c r="J9" s="481"/>
      <c r="K9" s="481"/>
      <c r="L9" s="481"/>
      <c r="M9" s="482">
        <v>0.0</v>
      </c>
      <c r="N9" s="482">
        <v>80.0</v>
      </c>
      <c r="O9" s="482">
        <v>100.0</v>
      </c>
      <c r="P9" s="482">
        <v>0.0</v>
      </c>
      <c r="Q9" s="492">
        <v>0.0</v>
      </c>
      <c r="R9" s="481">
        <v>20.0</v>
      </c>
      <c r="S9" s="482">
        <v>0.0</v>
      </c>
      <c r="T9" s="481">
        <v>0.0</v>
      </c>
      <c r="U9" s="533">
        <f t="shared" si="1"/>
        <v>200</v>
      </c>
      <c r="V9" s="481">
        <v>80.0</v>
      </c>
      <c r="W9" s="481">
        <v>45.0</v>
      </c>
      <c r="X9" s="481">
        <v>80.0</v>
      </c>
      <c r="Y9" s="481">
        <v>80.0</v>
      </c>
      <c r="Z9" s="481">
        <v>100.0</v>
      </c>
      <c r="AA9" s="481">
        <v>200.0</v>
      </c>
      <c r="AB9" s="481">
        <v>80.0</v>
      </c>
      <c r="AC9" s="481">
        <v>95.0</v>
      </c>
      <c r="AD9" s="481">
        <v>20.0</v>
      </c>
      <c r="AE9" s="492">
        <v>0.0</v>
      </c>
      <c r="AF9" s="481">
        <v>0.0</v>
      </c>
      <c r="AG9" s="1034">
        <v>0.0</v>
      </c>
      <c r="AH9" s="481">
        <v>80.0</v>
      </c>
      <c r="AI9" s="481">
        <v>45.0</v>
      </c>
      <c r="AJ9" s="481">
        <v>80.0</v>
      </c>
      <c r="AK9" s="481">
        <v>80.0</v>
      </c>
      <c r="AL9" s="481">
        <v>100.0</v>
      </c>
      <c r="AM9" s="481">
        <v>200.0</v>
      </c>
      <c r="AN9" s="481">
        <v>80.0</v>
      </c>
      <c r="AO9" s="481">
        <v>95.0</v>
      </c>
      <c r="AP9" s="481">
        <v>20.0</v>
      </c>
      <c r="AQ9" s="481">
        <v>80.0</v>
      </c>
      <c r="AR9" s="481">
        <v>0.0</v>
      </c>
      <c r="AS9" s="1035">
        <v>0.0</v>
      </c>
      <c r="AT9" s="535">
        <f t="shared" si="4"/>
        <v>200</v>
      </c>
      <c r="AU9" s="484">
        <v>0.0</v>
      </c>
      <c r="AV9" s="481">
        <v>1915.0</v>
      </c>
      <c r="AW9" s="481">
        <v>191.97</v>
      </c>
      <c r="AX9" s="481">
        <v>1338.0309</v>
      </c>
      <c r="AY9" s="1033"/>
      <c r="AZ9" s="487">
        <f t="shared" si="5"/>
        <v>267606.18</v>
      </c>
      <c r="BA9" s="487">
        <f t="shared" si="6"/>
        <v>0</v>
      </c>
      <c r="BB9" s="487">
        <f t="shared" si="7"/>
        <v>0</v>
      </c>
      <c r="BC9" s="487">
        <f t="shared" si="8"/>
        <v>267606.18</v>
      </c>
      <c r="BD9" s="489"/>
      <c r="BE9" s="487"/>
      <c r="BF9" s="412"/>
    </row>
    <row r="10">
      <c r="A10" s="567" t="s">
        <v>2707</v>
      </c>
      <c r="B10" s="568" t="s">
        <v>150</v>
      </c>
      <c r="C10" s="567" t="s">
        <v>2722</v>
      </c>
      <c r="D10" s="567" t="s">
        <v>1763</v>
      </c>
      <c r="E10" s="569" t="s">
        <v>2723</v>
      </c>
      <c r="F10" s="569" t="s">
        <v>2851</v>
      </c>
      <c r="G10" s="461">
        <v>1.131792E7</v>
      </c>
      <c r="H10" s="568" t="s">
        <v>3588</v>
      </c>
      <c r="I10" s="567" t="s">
        <v>25</v>
      </c>
      <c r="J10" s="461">
        <v>4.0</v>
      </c>
      <c r="K10" s="461">
        <v>1.0</v>
      </c>
      <c r="L10" s="500">
        <v>6.0</v>
      </c>
      <c r="M10" s="461">
        <v>2.0</v>
      </c>
      <c r="N10" s="461">
        <v>2.0</v>
      </c>
      <c r="O10" s="461">
        <v>2.0</v>
      </c>
      <c r="P10" s="461">
        <v>2.0</v>
      </c>
      <c r="Q10" s="461">
        <v>2.0</v>
      </c>
      <c r="R10" s="461">
        <v>2.0</v>
      </c>
      <c r="S10" s="461">
        <v>2.0</v>
      </c>
      <c r="T10" s="461">
        <v>0.0</v>
      </c>
      <c r="U10" s="533">
        <f t="shared" si="1"/>
        <v>25</v>
      </c>
      <c r="V10" s="461">
        <v>3.0</v>
      </c>
      <c r="W10" s="461">
        <v>1.0</v>
      </c>
      <c r="X10" s="461">
        <v>3.0</v>
      </c>
      <c r="Y10" s="461">
        <v>2.0</v>
      </c>
      <c r="Z10" s="461">
        <v>2.0</v>
      </c>
      <c r="AA10" s="461">
        <v>2.0</v>
      </c>
      <c r="AB10" s="461">
        <v>2.0</v>
      </c>
      <c r="AC10" s="461">
        <v>2.0</v>
      </c>
      <c r="AD10" s="461">
        <v>2.0</v>
      </c>
      <c r="AE10" s="461">
        <v>2.0</v>
      </c>
      <c r="AF10" s="461">
        <v>0.0</v>
      </c>
      <c r="AG10" s="534">
        <f t="shared" ref="AG10:AG98" si="9">SUM(V10:AF10)</f>
        <v>21</v>
      </c>
      <c r="AH10" s="461">
        <v>3.0</v>
      </c>
      <c r="AI10" s="461">
        <v>1.0</v>
      </c>
      <c r="AJ10" s="461">
        <v>3.0</v>
      </c>
      <c r="AK10" s="461">
        <v>2.0</v>
      </c>
      <c r="AL10" s="461">
        <v>2.0</v>
      </c>
      <c r="AM10" s="461">
        <v>2.0</v>
      </c>
      <c r="AN10" s="461">
        <v>2.0</v>
      </c>
      <c r="AO10" s="461">
        <v>2.0</v>
      </c>
      <c r="AP10" s="461">
        <v>2.0</v>
      </c>
      <c r="AQ10" s="461">
        <v>2.0</v>
      </c>
      <c r="AR10" s="461">
        <v>0.0</v>
      </c>
      <c r="AS10" s="533">
        <f t="shared" ref="AS10:AS98" si="10">ROUNDUP( SUM(AH10:AR10))</f>
        <v>21</v>
      </c>
      <c r="AT10" s="1032">
        <f t="shared" si="4"/>
        <v>67</v>
      </c>
      <c r="AU10" s="466">
        <v>33.0</v>
      </c>
      <c r="AV10" s="461">
        <v>97.0</v>
      </c>
      <c r="AW10" s="461">
        <v>1233.52</v>
      </c>
      <c r="AX10" s="461">
        <v>8597.634399999999</v>
      </c>
      <c r="AY10" s="468"/>
      <c r="AZ10" s="469">
        <f t="shared" si="5"/>
        <v>214940.86</v>
      </c>
      <c r="BA10" s="469">
        <f t="shared" si="6"/>
        <v>180550.3224</v>
      </c>
      <c r="BB10" s="469">
        <f t="shared" si="7"/>
        <v>180550.3224</v>
      </c>
      <c r="BC10" s="469">
        <f t="shared" si="8"/>
        <v>576041.5048</v>
      </c>
      <c r="BD10" s="471"/>
      <c r="BE10" s="469"/>
      <c r="BF10" s="412"/>
    </row>
    <row r="11">
      <c r="A11" s="562" t="s">
        <v>2808</v>
      </c>
      <c r="B11" s="571" t="s">
        <v>118</v>
      </c>
      <c r="C11" s="562" t="s">
        <v>2708</v>
      </c>
      <c r="D11" s="562" t="s">
        <v>1763</v>
      </c>
      <c r="E11" s="569" t="s">
        <v>2709</v>
      </c>
      <c r="F11" s="569" t="s">
        <v>2752</v>
      </c>
      <c r="G11" s="481">
        <v>1.043174E7</v>
      </c>
      <c r="H11" s="571" t="s">
        <v>3647</v>
      </c>
      <c r="I11" s="562" t="s">
        <v>25</v>
      </c>
      <c r="J11" s="481">
        <v>7.0</v>
      </c>
      <c r="K11" s="481">
        <v>10.0</v>
      </c>
      <c r="L11" s="481"/>
      <c r="M11" s="482">
        <v>0.0</v>
      </c>
      <c r="N11" s="482">
        <v>20.0</v>
      </c>
      <c r="O11" s="482">
        <v>0.0</v>
      </c>
      <c r="P11" s="481">
        <v>10.0</v>
      </c>
      <c r="Q11" s="481">
        <v>10.0</v>
      </c>
      <c r="R11" s="481">
        <v>10.0</v>
      </c>
      <c r="S11" s="491">
        <v>0.0</v>
      </c>
      <c r="T11" s="481"/>
      <c r="U11" s="533">
        <f t="shared" si="1"/>
        <v>67</v>
      </c>
      <c r="V11" s="481">
        <v>24.0</v>
      </c>
      <c r="W11" s="481">
        <v>24.0</v>
      </c>
      <c r="X11" s="481">
        <v>36.0</v>
      </c>
      <c r="Y11" s="481">
        <v>48.0</v>
      </c>
      <c r="Z11" s="481">
        <v>84.0</v>
      </c>
      <c r="AA11" s="481">
        <v>120.0</v>
      </c>
      <c r="AB11" s="482">
        <v>60.0</v>
      </c>
      <c r="AC11" s="481">
        <v>60.0</v>
      </c>
      <c r="AD11" s="482">
        <v>15.0</v>
      </c>
      <c r="AE11" s="492">
        <v>0.0</v>
      </c>
      <c r="AF11" s="481">
        <v>0.0</v>
      </c>
      <c r="AG11" s="534">
        <f t="shared" si="9"/>
        <v>471</v>
      </c>
      <c r="AH11" s="481">
        <v>24.0</v>
      </c>
      <c r="AI11" s="481">
        <v>24.0</v>
      </c>
      <c r="AJ11" s="481">
        <v>36.0</v>
      </c>
      <c r="AK11" s="481">
        <v>48.0</v>
      </c>
      <c r="AL11" s="481">
        <v>84.0</v>
      </c>
      <c r="AM11" s="481">
        <v>120.0</v>
      </c>
      <c r="AN11" s="482">
        <v>60.0</v>
      </c>
      <c r="AO11" s="481">
        <v>60.0</v>
      </c>
      <c r="AP11" s="482">
        <v>15.0</v>
      </c>
      <c r="AQ11" s="492">
        <v>0.0</v>
      </c>
      <c r="AR11" s="481">
        <v>0.0</v>
      </c>
      <c r="AS11" s="533">
        <f t="shared" si="10"/>
        <v>471</v>
      </c>
      <c r="AT11" s="535">
        <f t="shared" si="4"/>
        <v>1009</v>
      </c>
      <c r="AU11" s="484">
        <v>0.0</v>
      </c>
      <c r="AV11" s="481">
        <v>1059.0</v>
      </c>
      <c r="AW11" s="481">
        <v>401.33</v>
      </c>
      <c r="AX11" s="481">
        <v>2797.2700999999997</v>
      </c>
      <c r="AY11" s="486"/>
      <c r="AZ11" s="487">
        <f t="shared" si="5"/>
        <v>187417.0967</v>
      </c>
      <c r="BA11" s="487">
        <f t="shared" si="6"/>
        <v>1317514.217</v>
      </c>
      <c r="BB11" s="487">
        <f t="shared" si="7"/>
        <v>1317514.217</v>
      </c>
      <c r="BC11" s="487">
        <f t="shared" si="8"/>
        <v>2822445.531</v>
      </c>
      <c r="BD11" s="489"/>
      <c r="BE11" s="487"/>
      <c r="BF11" s="412"/>
    </row>
    <row r="12">
      <c r="A12" s="567" t="s">
        <v>2808</v>
      </c>
      <c r="B12" s="568" t="s">
        <v>118</v>
      </c>
      <c r="C12" s="567" t="s">
        <v>2708</v>
      </c>
      <c r="D12" s="567" t="s">
        <v>1763</v>
      </c>
      <c r="E12" s="569" t="s">
        <v>2709</v>
      </c>
      <c r="F12" s="569" t="s">
        <v>2759</v>
      </c>
      <c r="G12" s="461">
        <v>1.0501989E7</v>
      </c>
      <c r="H12" s="568" t="s">
        <v>3644</v>
      </c>
      <c r="I12" s="567" t="s">
        <v>25</v>
      </c>
      <c r="J12" s="461">
        <v>0.0</v>
      </c>
      <c r="K12" s="461">
        <v>0.0</v>
      </c>
      <c r="L12" s="461">
        <v>0.0</v>
      </c>
      <c r="M12" s="462">
        <v>64.0</v>
      </c>
      <c r="N12" s="461">
        <v>0.0</v>
      </c>
      <c r="O12" s="462">
        <v>191.0</v>
      </c>
      <c r="P12" s="461">
        <v>0.0</v>
      </c>
      <c r="Q12" s="461">
        <v>0.0</v>
      </c>
      <c r="R12" s="461">
        <v>0.0</v>
      </c>
      <c r="S12" s="461">
        <v>0.0</v>
      </c>
      <c r="T12" s="461">
        <v>0.0</v>
      </c>
      <c r="U12" s="533">
        <f t="shared" si="1"/>
        <v>255</v>
      </c>
      <c r="V12" s="461">
        <v>48.0</v>
      </c>
      <c r="W12" s="461">
        <v>48.0</v>
      </c>
      <c r="X12" s="461">
        <v>72.0</v>
      </c>
      <c r="Y12" s="461">
        <v>64.0</v>
      </c>
      <c r="Z12" s="461">
        <v>100.0</v>
      </c>
      <c r="AA12" s="461">
        <v>200.0</v>
      </c>
      <c r="AB12" s="461">
        <v>100.0</v>
      </c>
      <c r="AC12" s="461">
        <v>120.0</v>
      </c>
      <c r="AD12" s="461">
        <v>32.0</v>
      </c>
      <c r="AE12" s="490">
        <v>0.0</v>
      </c>
      <c r="AF12" s="461">
        <v>0.0</v>
      </c>
      <c r="AG12" s="534">
        <f t="shared" si="9"/>
        <v>784</v>
      </c>
      <c r="AH12" s="461">
        <v>48.0</v>
      </c>
      <c r="AI12" s="461">
        <v>48.0</v>
      </c>
      <c r="AJ12" s="461">
        <v>72.0</v>
      </c>
      <c r="AK12" s="461">
        <v>64.0</v>
      </c>
      <c r="AL12" s="461">
        <v>100.0</v>
      </c>
      <c r="AM12" s="461">
        <v>200.0</v>
      </c>
      <c r="AN12" s="461">
        <v>100.0</v>
      </c>
      <c r="AO12" s="461">
        <v>120.0</v>
      </c>
      <c r="AP12" s="461">
        <v>32.0</v>
      </c>
      <c r="AQ12" s="490">
        <v>0.0</v>
      </c>
      <c r="AR12" s="461">
        <v>0.0</v>
      </c>
      <c r="AS12" s="533">
        <f t="shared" si="10"/>
        <v>784</v>
      </c>
      <c r="AT12" s="1032">
        <f t="shared" si="4"/>
        <v>1823</v>
      </c>
      <c r="AU12" s="466">
        <v>0.0</v>
      </c>
      <c r="AV12" s="461">
        <v>1748.0</v>
      </c>
      <c r="AW12" s="461">
        <v>62.07</v>
      </c>
      <c r="AX12" s="461">
        <v>432.6279</v>
      </c>
      <c r="AY12" s="468"/>
      <c r="AZ12" s="469">
        <f t="shared" si="5"/>
        <v>110320.1145</v>
      </c>
      <c r="BA12" s="469">
        <f t="shared" si="6"/>
        <v>339180.2736</v>
      </c>
      <c r="BB12" s="469">
        <f t="shared" si="7"/>
        <v>339180.2736</v>
      </c>
      <c r="BC12" s="469">
        <f t="shared" si="8"/>
        <v>788680.6617</v>
      </c>
      <c r="BD12" s="471"/>
      <c r="BE12" s="469"/>
      <c r="BF12" s="412"/>
    </row>
    <row r="13" ht="30.0" customHeight="1">
      <c r="A13" s="571" t="s">
        <v>2852</v>
      </c>
      <c r="B13" s="571" t="s">
        <v>52</v>
      </c>
      <c r="C13" s="571" t="s">
        <v>2708</v>
      </c>
      <c r="D13" s="571" t="s">
        <v>1763</v>
      </c>
      <c r="E13" s="569" t="s">
        <v>2709</v>
      </c>
      <c r="F13" s="569" t="s">
        <v>2868</v>
      </c>
      <c r="G13" s="484">
        <v>1.0488086E7</v>
      </c>
      <c r="H13" s="571" t="s">
        <v>96</v>
      </c>
      <c r="I13" s="571" t="s">
        <v>25</v>
      </c>
      <c r="J13" s="481">
        <v>9.0</v>
      </c>
      <c r="K13" s="481">
        <v>6.0</v>
      </c>
      <c r="L13" s="481">
        <v>9.0</v>
      </c>
      <c r="M13" s="482">
        <v>0.0</v>
      </c>
      <c r="N13" s="482">
        <v>9.0</v>
      </c>
      <c r="O13" s="482">
        <v>0.0</v>
      </c>
      <c r="P13" s="481">
        <v>4.0</v>
      </c>
      <c r="Q13" s="481">
        <v>4.0</v>
      </c>
      <c r="R13" s="481">
        <v>2.0</v>
      </c>
      <c r="S13" s="492">
        <v>0.0</v>
      </c>
      <c r="T13" s="481">
        <v>0.0</v>
      </c>
      <c r="U13" s="533">
        <f t="shared" si="1"/>
        <v>43</v>
      </c>
      <c r="V13" s="481">
        <v>10.0</v>
      </c>
      <c r="W13" s="481">
        <v>6.0</v>
      </c>
      <c r="X13" s="481">
        <v>10.0</v>
      </c>
      <c r="Y13" s="481">
        <v>10.0</v>
      </c>
      <c r="Z13" s="481">
        <v>10.0</v>
      </c>
      <c r="AA13" s="481">
        <v>20.0</v>
      </c>
      <c r="AB13" s="481">
        <v>4.0</v>
      </c>
      <c r="AC13" s="481">
        <v>4.0</v>
      </c>
      <c r="AD13" s="481">
        <v>2.0</v>
      </c>
      <c r="AE13" s="492">
        <v>0.0</v>
      </c>
      <c r="AF13" s="481">
        <v>0.0</v>
      </c>
      <c r="AG13" s="534">
        <f t="shared" si="9"/>
        <v>76</v>
      </c>
      <c r="AH13" s="481">
        <v>10.0</v>
      </c>
      <c r="AI13" s="481">
        <v>6.0</v>
      </c>
      <c r="AJ13" s="481">
        <v>10.0</v>
      </c>
      <c r="AK13" s="481">
        <v>10.0</v>
      </c>
      <c r="AL13" s="481">
        <v>10.0</v>
      </c>
      <c r="AM13" s="481">
        <v>20.0</v>
      </c>
      <c r="AN13" s="481">
        <v>4.0</v>
      </c>
      <c r="AO13" s="481">
        <v>4.0</v>
      </c>
      <c r="AP13" s="481">
        <v>2.0</v>
      </c>
      <c r="AQ13" s="492">
        <v>0.0</v>
      </c>
      <c r="AR13" s="481">
        <v>0.0</v>
      </c>
      <c r="AS13" s="533">
        <f t="shared" si="10"/>
        <v>76</v>
      </c>
      <c r="AT13" s="535">
        <f t="shared" si="4"/>
        <v>195</v>
      </c>
      <c r="AU13" s="484">
        <v>220.0</v>
      </c>
      <c r="AV13" s="484">
        <v>454.0</v>
      </c>
      <c r="AW13" s="484">
        <v>261.0</v>
      </c>
      <c r="AX13" s="484">
        <v>1819.1699999999998</v>
      </c>
      <c r="AY13" s="504"/>
      <c r="AZ13" s="487">
        <f t="shared" si="5"/>
        <v>78224.31</v>
      </c>
      <c r="BA13" s="487">
        <f t="shared" si="6"/>
        <v>138256.92</v>
      </c>
      <c r="BB13" s="487">
        <f t="shared" si="7"/>
        <v>138256.92</v>
      </c>
      <c r="BC13" s="487">
        <f t="shared" si="8"/>
        <v>354738.15</v>
      </c>
      <c r="BD13" s="489"/>
      <c r="BE13" s="505"/>
      <c r="BF13" s="412"/>
    </row>
    <row r="14">
      <c r="A14" s="567" t="s">
        <v>2707</v>
      </c>
      <c r="B14" s="568" t="s">
        <v>56</v>
      </c>
      <c r="C14" s="567" t="s">
        <v>2708</v>
      </c>
      <c r="D14" s="567" t="s">
        <v>1763</v>
      </c>
      <c r="E14" s="569" t="s">
        <v>2709</v>
      </c>
      <c r="F14" s="569" t="s">
        <v>2760</v>
      </c>
      <c r="G14" s="461">
        <v>1.0501992E7</v>
      </c>
      <c r="H14" s="568" t="s">
        <v>3648</v>
      </c>
      <c r="I14" s="567" t="s">
        <v>25</v>
      </c>
      <c r="J14" s="461">
        <v>40.0</v>
      </c>
      <c r="K14" s="461">
        <v>30.0</v>
      </c>
      <c r="L14" s="461">
        <v>40.0</v>
      </c>
      <c r="M14" s="461">
        <v>31.0</v>
      </c>
      <c r="N14" s="461">
        <v>40.0</v>
      </c>
      <c r="O14" s="461">
        <v>56.0</v>
      </c>
      <c r="P14" s="461">
        <v>42.0</v>
      </c>
      <c r="Q14" s="461">
        <v>50.0</v>
      </c>
      <c r="R14" s="461">
        <v>6.0</v>
      </c>
      <c r="S14" s="490">
        <v>0.0</v>
      </c>
      <c r="T14" s="461">
        <v>0.0</v>
      </c>
      <c r="U14" s="533">
        <f t="shared" si="1"/>
        <v>335</v>
      </c>
      <c r="V14" s="461">
        <v>120.0</v>
      </c>
      <c r="W14" s="461">
        <v>90.0</v>
      </c>
      <c r="X14" s="461">
        <v>120.0</v>
      </c>
      <c r="Y14" s="461">
        <v>100.0</v>
      </c>
      <c r="Z14" s="461">
        <v>120.0</v>
      </c>
      <c r="AA14" s="461">
        <v>170.0</v>
      </c>
      <c r="AB14" s="461">
        <v>126.0</v>
      </c>
      <c r="AC14" s="461">
        <v>152.0</v>
      </c>
      <c r="AD14" s="461">
        <v>20.0</v>
      </c>
      <c r="AE14" s="461">
        <v>130.0</v>
      </c>
      <c r="AF14" s="461">
        <v>0.0</v>
      </c>
      <c r="AG14" s="534">
        <f t="shared" si="9"/>
        <v>1148</v>
      </c>
      <c r="AH14" s="461">
        <v>120.0</v>
      </c>
      <c r="AI14" s="461">
        <v>90.0</v>
      </c>
      <c r="AJ14" s="461">
        <v>120.0</v>
      </c>
      <c r="AK14" s="461">
        <v>100.0</v>
      </c>
      <c r="AL14" s="461">
        <v>120.0</v>
      </c>
      <c r="AM14" s="461">
        <v>170.0</v>
      </c>
      <c r="AN14" s="461">
        <v>126.0</v>
      </c>
      <c r="AO14" s="461">
        <v>152.0</v>
      </c>
      <c r="AP14" s="461">
        <v>20.0</v>
      </c>
      <c r="AQ14" s="461">
        <v>130.0</v>
      </c>
      <c r="AR14" s="461">
        <v>0.0</v>
      </c>
      <c r="AS14" s="533">
        <f t="shared" si="10"/>
        <v>1148</v>
      </c>
      <c r="AT14" s="1032">
        <f t="shared" si="4"/>
        <v>2631</v>
      </c>
      <c r="AU14" s="466">
        <v>0.0</v>
      </c>
      <c r="AV14" s="461">
        <v>2675.0</v>
      </c>
      <c r="AW14" s="461">
        <v>28.61</v>
      </c>
      <c r="AX14" s="461">
        <v>199.4117</v>
      </c>
      <c r="AY14" s="468"/>
      <c r="AZ14" s="469">
        <f t="shared" si="5"/>
        <v>66802.9195</v>
      </c>
      <c r="BA14" s="469">
        <f t="shared" si="6"/>
        <v>228924.6316</v>
      </c>
      <c r="BB14" s="469">
        <f t="shared" si="7"/>
        <v>228924.6316</v>
      </c>
      <c r="BC14" s="469">
        <f t="shared" si="8"/>
        <v>524652.1827</v>
      </c>
      <c r="BD14" s="471"/>
      <c r="BE14" s="469"/>
      <c r="BF14" s="412"/>
    </row>
    <row r="15">
      <c r="A15" s="571" t="s">
        <v>2852</v>
      </c>
      <c r="B15" s="571" t="s">
        <v>52</v>
      </c>
      <c r="C15" s="571" t="s">
        <v>2708</v>
      </c>
      <c r="D15" s="571" t="s">
        <v>1763</v>
      </c>
      <c r="E15" s="569" t="s">
        <v>2709</v>
      </c>
      <c r="F15" s="569" t="s">
        <v>2859</v>
      </c>
      <c r="G15" s="484">
        <v>1.059118E7</v>
      </c>
      <c r="H15" s="571" t="s">
        <v>144</v>
      </c>
      <c r="I15" s="571" t="s">
        <v>25</v>
      </c>
      <c r="J15" s="481">
        <v>0.0</v>
      </c>
      <c r="K15" s="481">
        <v>0.0</v>
      </c>
      <c r="L15" s="481">
        <v>0.0</v>
      </c>
      <c r="M15" s="482">
        <v>80.0</v>
      </c>
      <c r="N15" s="482">
        <v>80.0</v>
      </c>
      <c r="O15" s="482">
        <v>120.0</v>
      </c>
      <c r="P15" s="482">
        <v>50.0</v>
      </c>
      <c r="Q15" s="492">
        <v>50.0</v>
      </c>
      <c r="R15" s="481">
        <v>0.0</v>
      </c>
      <c r="S15" s="492">
        <v>0.0</v>
      </c>
      <c r="T15" s="481">
        <v>0.0</v>
      </c>
      <c r="U15" s="533">
        <f t="shared" si="1"/>
        <v>380</v>
      </c>
      <c r="V15" s="481">
        <v>50.0</v>
      </c>
      <c r="W15" s="481">
        <v>25.0</v>
      </c>
      <c r="X15" s="481">
        <v>50.0</v>
      </c>
      <c r="Y15" s="481">
        <v>80.0</v>
      </c>
      <c r="Z15" s="481">
        <v>80.0</v>
      </c>
      <c r="AA15" s="481">
        <v>120.0</v>
      </c>
      <c r="AB15" s="481">
        <v>50.0</v>
      </c>
      <c r="AC15" s="481">
        <v>50.0</v>
      </c>
      <c r="AD15" s="481">
        <v>20.0</v>
      </c>
      <c r="AE15" s="492">
        <v>0.0</v>
      </c>
      <c r="AF15" s="481">
        <v>0.0</v>
      </c>
      <c r="AG15" s="534">
        <f t="shared" si="9"/>
        <v>525</v>
      </c>
      <c r="AH15" s="481">
        <v>50.0</v>
      </c>
      <c r="AI15" s="481">
        <v>25.0</v>
      </c>
      <c r="AJ15" s="481">
        <v>50.0</v>
      </c>
      <c r="AK15" s="481">
        <v>80.0</v>
      </c>
      <c r="AL15" s="481">
        <v>80.0</v>
      </c>
      <c r="AM15" s="481">
        <v>120.0</v>
      </c>
      <c r="AN15" s="481">
        <v>50.0</v>
      </c>
      <c r="AO15" s="481">
        <v>50.0</v>
      </c>
      <c r="AP15" s="481">
        <v>20.0</v>
      </c>
      <c r="AQ15" s="492">
        <v>0.0</v>
      </c>
      <c r="AR15" s="481">
        <v>0.0</v>
      </c>
      <c r="AS15" s="533">
        <f t="shared" si="10"/>
        <v>525</v>
      </c>
      <c r="AT15" s="535">
        <f t="shared" si="4"/>
        <v>1430</v>
      </c>
      <c r="AU15" s="484">
        <v>1820.0</v>
      </c>
      <c r="AV15" s="484">
        <v>2990.0</v>
      </c>
      <c r="AW15" s="484">
        <v>22.77</v>
      </c>
      <c r="AX15" s="484">
        <v>158.7069</v>
      </c>
      <c r="AY15" s="504"/>
      <c r="AZ15" s="487">
        <f t="shared" si="5"/>
        <v>60308.622</v>
      </c>
      <c r="BA15" s="487">
        <f t="shared" si="6"/>
        <v>83321.1225</v>
      </c>
      <c r="BB15" s="487">
        <f t="shared" si="7"/>
        <v>83321.1225</v>
      </c>
      <c r="BC15" s="487">
        <f t="shared" si="8"/>
        <v>226950.867</v>
      </c>
      <c r="BD15" s="489"/>
      <c r="BE15" s="505"/>
      <c r="BF15" s="412"/>
    </row>
    <row r="16">
      <c r="A16" s="567" t="s">
        <v>2707</v>
      </c>
      <c r="B16" s="568" t="s">
        <v>150</v>
      </c>
      <c r="C16" s="567" t="s">
        <v>2722</v>
      </c>
      <c r="D16" s="567" t="s">
        <v>1763</v>
      </c>
      <c r="E16" s="569" t="s">
        <v>2723</v>
      </c>
      <c r="F16" s="569" t="s">
        <v>2861</v>
      </c>
      <c r="G16" s="461">
        <v>1.0873363E7</v>
      </c>
      <c r="H16" s="568" t="s">
        <v>3649</v>
      </c>
      <c r="I16" s="567" t="s">
        <v>25</v>
      </c>
      <c r="J16" s="461">
        <v>2.0</v>
      </c>
      <c r="K16" s="461">
        <v>1.0</v>
      </c>
      <c r="L16" s="461">
        <v>2.0</v>
      </c>
      <c r="M16" s="461">
        <v>2.0</v>
      </c>
      <c r="N16" s="461">
        <v>2.0</v>
      </c>
      <c r="O16" s="461">
        <v>2.0</v>
      </c>
      <c r="P16" s="461">
        <v>2.0</v>
      </c>
      <c r="Q16" s="461">
        <v>2.0</v>
      </c>
      <c r="R16" s="461">
        <v>0.0</v>
      </c>
      <c r="S16" s="490">
        <v>1.0</v>
      </c>
      <c r="T16" s="461">
        <v>0.0</v>
      </c>
      <c r="U16" s="533">
        <f t="shared" si="1"/>
        <v>16</v>
      </c>
      <c r="V16" s="461">
        <v>2.0</v>
      </c>
      <c r="W16" s="461">
        <v>1.0</v>
      </c>
      <c r="X16" s="461">
        <v>2.0</v>
      </c>
      <c r="Y16" s="461">
        <v>2.0</v>
      </c>
      <c r="Z16" s="461">
        <v>2.0</v>
      </c>
      <c r="AA16" s="461">
        <v>2.0</v>
      </c>
      <c r="AB16" s="461">
        <v>2.0</v>
      </c>
      <c r="AC16" s="461">
        <v>4.0</v>
      </c>
      <c r="AD16" s="461">
        <v>0.0</v>
      </c>
      <c r="AE16" s="490">
        <v>1.0</v>
      </c>
      <c r="AF16" s="461">
        <v>0.0</v>
      </c>
      <c r="AG16" s="534">
        <f t="shared" si="9"/>
        <v>18</v>
      </c>
      <c r="AH16" s="461">
        <v>2.0</v>
      </c>
      <c r="AI16" s="461">
        <v>1.0</v>
      </c>
      <c r="AJ16" s="461">
        <v>2.0</v>
      </c>
      <c r="AK16" s="461">
        <v>2.0</v>
      </c>
      <c r="AL16" s="461">
        <v>2.0</v>
      </c>
      <c r="AM16" s="461">
        <v>2.0</v>
      </c>
      <c r="AN16" s="461">
        <v>2.0</v>
      </c>
      <c r="AO16" s="461">
        <v>4.0</v>
      </c>
      <c r="AP16" s="462">
        <v>1.0</v>
      </c>
      <c r="AQ16" s="490">
        <v>1.0</v>
      </c>
      <c r="AR16" s="461">
        <v>0.0</v>
      </c>
      <c r="AS16" s="533">
        <f t="shared" si="10"/>
        <v>19</v>
      </c>
      <c r="AT16" s="1032">
        <f t="shared" si="4"/>
        <v>53</v>
      </c>
      <c r="AU16" s="466">
        <v>20.0</v>
      </c>
      <c r="AV16" s="461">
        <v>69.0</v>
      </c>
      <c r="AW16" s="461">
        <v>485.51</v>
      </c>
      <c r="AX16" s="461">
        <v>3384.0047</v>
      </c>
      <c r="AY16" s="468"/>
      <c r="AZ16" s="469">
        <f t="shared" si="5"/>
        <v>54144.0752</v>
      </c>
      <c r="BA16" s="469">
        <f t="shared" si="6"/>
        <v>60912.0846</v>
      </c>
      <c r="BB16" s="469">
        <f t="shared" si="7"/>
        <v>64296.0893</v>
      </c>
      <c r="BC16" s="469">
        <f t="shared" si="8"/>
        <v>179352.2491</v>
      </c>
      <c r="BD16" s="471"/>
      <c r="BE16" s="469"/>
      <c r="BF16" s="412"/>
    </row>
    <row r="17">
      <c r="A17" s="571" t="s">
        <v>2852</v>
      </c>
      <c r="B17" s="571" t="s">
        <v>52</v>
      </c>
      <c r="C17" s="571" t="s">
        <v>2708</v>
      </c>
      <c r="D17" s="571" t="s">
        <v>1763</v>
      </c>
      <c r="E17" s="569" t="s">
        <v>2709</v>
      </c>
      <c r="F17" s="569" t="s">
        <v>2860</v>
      </c>
      <c r="G17" s="484">
        <v>1.0274719E7</v>
      </c>
      <c r="H17" s="571" t="s">
        <v>168</v>
      </c>
      <c r="I17" s="571" t="s">
        <v>25</v>
      </c>
      <c r="J17" s="481">
        <v>0.0</v>
      </c>
      <c r="K17" s="481">
        <v>0.0</v>
      </c>
      <c r="L17" s="481">
        <v>0.0</v>
      </c>
      <c r="M17" s="481">
        <v>0.0</v>
      </c>
      <c r="N17" s="482">
        <v>25.0</v>
      </c>
      <c r="O17" s="481">
        <v>0.0</v>
      </c>
      <c r="P17" s="482">
        <v>50.0</v>
      </c>
      <c r="Q17" s="492">
        <v>50.0</v>
      </c>
      <c r="R17" s="481">
        <v>0.0</v>
      </c>
      <c r="S17" s="481">
        <v>0.0</v>
      </c>
      <c r="T17" s="481">
        <v>0.0</v>
      </c>
      <c r="U17" s="533">
        <f t="shared" si="1"/>
        <v>125</v>
      </c>
      <c r="V17" s="481">
        <v>35.0</v>
      </c>
      <c r="W17" s="481">
        <v>20.0</v>
      </c>
      <c r="X17" s="481">
        <v>35.0</v>
      </c>
      <c r="Y17" s="482">
        <v>40.0</v>
      </c>
      <c r="Z17" s="481">
        <v>25.0</v>
      </c>
      <c r="AA17" s="481">
        <v>42.0</v>
      </c>
      <c r="AB17" s="481">
        <v>72.0</v>
      </c>
      <c r="AC17" s="481">
        <v>50.0</v>
      </c>
      <c r="AD17" s="481">
        <v>12.0</v>
      </c>
      <c r="AE17" s="492">
        <v>0.0</v>
      </c>
      <c r="AF17" s="481">
        <v>0.0</v>
      </c>
      <c r="AG17" s="534">
        <f t="shared" si="9"/>
        <v>331</v>
      </c>
      <c r="AH17" s="481">
        <v>35.0</v>
      </c>
      <c r="AI17" s="481">
        <v>20.0</v>
      </c>
      <c r="AJ17" s="481">
        <v>35.0</v>
      </c>
      <c r="AK17" s="482">
        <v>40.0</v>
      </c>
      <c r="AL17" s="481">
        <v>25.0</v>
      </c>
      <c r="AM17" s="481">
        <v>42.0</v>
      </c>
      <c r="AN17" s="481">
        <v>72.0</v>
      </c>
      <c r="AO17" s="481">
        <v>50.0</v>
      </c>
      <c r="AP17" s="481">
        <v>12.0</v>
      </c>
      <c r="AQ17" s="492">
        <v>0.0</v>
      </c>
      <c r="AR17" s="481">
        <v>0.0</v>
      </c>
      <c r="AS17" s="533">
        <f t="shared" si="10"/>
        <v>331</v>
      </c>
      <c r="AT17" s="535">
        <f t="shared" si="4"/>
        <v>787</v>
      </c>
      <c r="AU17" s="484">
        <v>760.0</v>
      </c>
      <c r="AV17" s="484">
        <v>1572.0</v>
      </c>
      <c r="AW17" s="484">
        <v>33.73</v>
      </c>
      <c r="AX17" s="484">
        <v>235.09809999999996</v>
      </c>
      <c r="AY17" s="1036"/>
      <c r="AZ17" s="487">
        <f t="shared" si="5"/>
        <v>29387.2625</v>
      </c>
      <c r="BA17" s="487">
        <f t="shared" si="6"/>
        <v>77817.4711</v>
      </c>
      <c r="BB17" s="487">
        <f t="shared" si="7"/>
        <v>77817.4711</v>
      </c>
      <c r="BC17" s="487">
        <f t="shared" si="8"/>
        <v>185022.2047</v>
      </c>
      <c r="BD17" s="489"/>
      <c r="BE17" s="505"/>
      <c r="BF17" s="412"/>
    </row>
    <row r="18">
      <c r="A18" s="567" t="s">
        <v>2707</v>
      </c>
      <c r="B18" s="568" t="s">
        <v>785</v>
      </c>
      <c r="C18" s="567" t="s">
        <v>2708</v>
      </c>
      <c r="D18" s="567" t="s">
        <v>1763</v>
      </c>
      <c r="E18" s="569" t="s">
        <v>2709</v>
      </c>
      <c r="F18" s="569" t="s">
        <v>2791</v>
      </c>
      <c r="G18" s="461">
        <v>1.143034E7</v>
      </c>
      <c r="H18" s="568" t="s">
        <v>3650</v>
      </c>
      <c r="I18" s="567" t="s">
        <v>25</v>
      </c>
      <c r="J18" s="461">
        <v>8.0</v>
      </c>
      <c r="K18" s="461">
        <v>3.0</v>
      </c>
      <c r="L18" s="461">
        <v>8.0</v>
      </c>
      <c r="M18" s="461">
        <v>4.0</v>
      </c>
      <c r="N18" s="461">
        <v>5.0</v>
      </c>
      <c r="O18" s="461">
        <v>9.0</v>
      </c>
      <c r="P18" s="461">
        <v>0.0</v>
      </c>
      <c r="Q18" s="461">
        <v>0.0</v>
      </c>
      <c r="R18" s="461">
        <v>0.0</v>
      </c>
      <c r="S18" s="490">
        <v>8.0</v>
      </c>
      <c r="T18" s="461">
        <v>0.0</v>
      </c>
      <c r="U18" s="533">
        <f t="shared" si="1"/>
        <v>45</v>
      </c>
      <c r="V18" s="461">
        <v>8.0</v>
      </c>
      <c r="W18" s="461">
        <v>3.0</v>
      </c>
      <c r="X18" s="461">
        <v>8.0</v>
      </c>
      <c r="Y18" s="461">
        <v>5.0</v>
      </c>
      <c r="Z18" s="461">
        <v>5.0</v>
      </c>
      <c r="AA18" s="461">
        <v>10.0</v>
      </c>
      <c r="AB18" s="462">
        <v>0.0</v>
      </c>
      <c r="AC18" s="461">
        <v>0.0</v>
      </c>
      <c r="AD18" s="462">
        <v>0.0</v>
      </c>
      <c r="AE18" s="490">
        <v>8.0</v>
      </c>
      <c r="AF18" s="461">
        <v>0.0</v>
      </c>
      <c r="AG18" s="534">
        <f t="shared" si="9"/>
        <v>47</v>
      </c>
      <c r="AH18" s="461">
        <v>8.0</v>
      </c>
      <c r="AI18" s="461">
        <v>3.0</v>
      </c>
      <c r="AJ18" s="461">
        <v>8.0</v>
      </c>
      <c r="AK18" s="461">
        <v>5.0</v>
      </c>
      <c r="AL18" s="461">
        <v>5.0</v>
      </c>
      <c r="AM18" s="461">
        <v>10.0</v>
      </c>
      <c r="AN18" s="461">
        <v>0.0</v>
      </c>
      <c r="AO18" s="461">
        <v>0.0</v>
      </c>
      <c r="AP18" s="461">
        <v>0.0</v>
      </c>
      <c r="AQ18" s="490">
        <v>8.0</v>
      </c>
      <c r="AR18" s="461">
        <v>0.0</v>
      </c>
      <c r="AS18" s="533">
        <f t="shared" si="10"/>
        <v>47</v>
      </c>
      <c r="AT18" s="1032">
        <f t="shared" si="4"/>
        <v>139</v>
      </c>
      <c r="AU18" s="466">
        <v>0.0</v>
      </c>
      <c r="AV18" s="461">
        <v>115.0</v>
      </c>
      <c r="AW18" s="461">
        <v>70.99</v>
      </c>
      <c r="AX18" s="461">
        <v>494.80029999999994</v>
      </c>
      <c r="AY18" s="468"/>
      <c r="AZ18" s="469">
        <f t="shared" si="5"/>
        <v>22266.0135</v>
      </c>
      <c r="BA18" s="469">
        <f t="shared" si="6"/>
        <v>23255.6141</v>
      </c>
      <c r="BB18" s="469">
        <f t="shared" si="7"/>
        <v>23255.6141</v>
      </c>
      <c r="BC18" s="469">
        <f t="shared" si="8"/>
        <v>68777.2417</v>
      </c>
      <c r="BD18" s="471"/>
      <c r="BE18" s="469"/>
      <c r="BF18" s="412"/>
    </row>
    <row r="19">
      <c r="A19" s="562" t="s">
        <v>2707</v>
      </c>
      <c r="B19" s="571" t="s">
        <v>56</v>
      </c>
      <c r="C19" s="562" t="s">
        <v>2708</v>
      </c>
      <c r="D19" s="562" t="s">
        <v>1763</v>
      </c>
      <c r="E19" s="569" t="s">
        <v>2709</v>
      </c>
      <c r="F19" s="569" t="s">
        <v>2754</v>
      </c>
      <c r="G19" s="481">
        <v>1.0456209E7</v>
      </c>
      <c r="H19" s="571" t="s">
        <v>3558</v>
      </c>
      <c r="I19" s="562" t="s">
        <v>25</v>
      </c>
      <c r="J19" s="481">
        <v>14.0</v>
      </c>
      <c r="K19" s="481">
        <v>9.0</v>
      </c>
      <c r="L19" s="481">
        <v>14.0</v>
      </c>
      <c r="M19" s="481">
        <v>9.0</v>
      </c>
      <c r="N19" s="481">
        <v>9.0</v>
      </c>
      <c r="O19" s="481">
        <v>9.0</v>
      </c>
      <c r="P19" s="481">
        <v>4.0</v>
      </c>
      <c r="Q19" s="481">
        <v>5.0</v>
      </c>
      <c r="R19" s="481">
        <v>1.0</v>
      </c>
      <c r="S19" s="492">
        <v>0.0</v>
      </c>
      <c r="T19" s="481">
        <v>0.0</v>
      </c>
      <c r="U19" s="533">
        <f t="shared" si="1"/>
        <v>74</v>
      </c>
      <c r="V19" s="481">
        <v>15.0</v>
      </c>
      <c r="W19" s="481">
        <v>10.0</v>
      </c>
      <c r="X19" s="481">
        <v>15.0</v>
      </c>
      <c r="Y19" s="481">
        <v>10.0</v>
      </c>
      <c r="Z19" s="481">
        <v>10.0</v>
      </c>
      <c r="AA19" s="481">
        <v>10.0</v>
      </c>
      <c r="AB19" s="481">
        <v>4.0</v>
      </c>
      <c r="AC19" s="481">
        <v>5.0</v>
      </c>
      <c r="AD19" s="481">
        <v>1.0</v>
      </c>
      <c r="AE19" s="492">
        <v>0.0</v>
      </c>
      <c r="AF19" s="481">
        <v>0.0</v>
      </c>
      <c r="AG19" s="534">
        <f t="shared" si="9"/>
        <v>80</v>
      </c>
      <c r="AH19" s="481">
        <v>15.0</v>
      </c>
      <c r="AI19" s="481">
        <v>10.0</v>
      </c>
      <c r="AJ19" s="481">
        <v>15.0</v>
      </c>
      <c r="AK19" s="481">
        <v>10.0</v>
      </c>
      <c r="AL19" s="481">
        <v>10.0</v>
      </c>
      <c r="AM19" s="481">
        <v>10.0</v>
      </c>
      <c r="AN19" s="481">
        <v>4.0</v>
      </c>
      <c r="AO19" s="481">
        <v>5.0</v>
      </c>
      <c r="AP19" s="481">
        <v>1.0</v>
      </c>
      <c r="AQ19" s="481">
        <v>6.0</v>
      </c>
      <c r="AR19" s="481">
        <v>0.0</v>
      </c>
      <c r="AS19" s="533">
        <f t="shared" si="10"/>
        <v>86</v>
      </c>
      <c r="AT19" s="535">
        <f t="shared" si="4"/>
        <v>240</v>
      </c>
      <c r="AU19" s="484">
        <v>27.0</v>
      </c>
      <c r="AV19" s="481">
        <v>279.0</v>
      </c>
      <c r="AW19" s="481">
        <v>38.57</v>
      </c>
      <c r="AX19" s="481">
        <v>268.8329</v>
      </c>
      <c r="AY19" s="486"/>
      <c r="AZ19" s="487">
        <f t="shared" si="5"/>
        <v>19893.6346</v>
      </c>
      <c r="BA19" s="487">
        <f t="shared" si="6"/>
        <v>21506.632</v>
      </c>
      <c r="BB19" s="487">
        <f t="shared" si="7"/>
        <v>23119.6294</v>
      </c>
      <c r="BC19" s="487">
        <f t="shared" si="8"/>
        <v>64519.896</v>
      </c>
      <c r="BD19" s="489"/>
      <c r="BE19" s="487"/>
      <c r="BF19" s="412"/>
    </row>
    <row r="20">
      <c r="A20" s="567" t="s">
        <v>2707</v>
      </c>
      <c r="B20" s="568" t="s">
        <v>56</v>
      </c>
      <c r="C20" s="567" t="s">
        <v>2708</v>
      </c>
      <c r="D20" s="567" t="s">
        <v>1763</v>
      </c>
      <c r="E20" s="569" t="s">
        <v>2709</v>
      </c>
      <c r="F20" s="569" t="s">
        <v>2776</v>
      </c>
      <c r="G20" s="461">
        <v>1.0871377E7</v>
      </c>
      <c r="H20" s="568" t="s">
        <v>3651</v>
      </c>
      <c r="I20" s="567" t="s">
        <v>25</v>
      </c>
      <c r="J20" s="461">
        <v>25.0</v>
      </c>
      <c r="K20" s="461">
        <v>5.0</v>
      </c>
      <c r="L20" s="461">
        <v>25.0</v>
      </c>
      <c r="M20" s="461">
        <v>6.0</v>
      </c>
      <c r="N20" s="461">
        <v>4.0</v>
      </c>
      <c r="O20" s="461">
        <v>4.0</v>
      </c>
      <c r="P20" s="461">
        <v>1.0</v>
      </c>
      <c r="Q20" s="461">
        <v>2.0</v>
      </c>
      <c r="R20" s="461">
        <v>1.0</v>
      </c>
      <c r="S20" s="490">
        <v>30.0</v>
      </c>
      <c r="T20" s="461">
        <v>0.0</v>
      </c>
      <c r="U20" s="533">
        <f t="shared" si="1"/>
        <v>103</v>
      </c>
      <c r="V20" s="461">
        <v>25.0</v>
      </c>
      <c r="W20" s="461">
        <v>5.0</v>
      </c>
      <c r="X20" s="461">
        <v>25.0</v>
      </c>
      <c r="Y20" s="461">
        <v>6.0</v>
      </c>
      <c r="Z20" s="461">
        <v>4.0</v>
      </c>
      <c r="AA20" s="461">
        <v>4.0</v>
      </c>
      <c r="AB20" s="462">
        <v>2.0</v>
      </c>
      <c r="AC20" s="461">
        <v>2.0</v>
      </c>
      <c r="AD20" s="461">
        <v>1.0</v>
      </c>
      <c r="AE20" s="490">
        <v>30.0</v>
      </c>
      <c r="AF20" s="461">
        <v>0.0</v>
      </c>
      <c r="AG20" s="534">
        <f t="shared" si="9"/>
        <v>104</v>
      </c>
      <c r="AH20" s="461">
        <v>25.0</v>
      </c>
      <c r="AI20" s="461">
        <v>5.0</v>
      </c>
      <c r="AJ20" s="461">
        <v>25.0</v>
      </c>
      <c r="AK20" s="461">
        <v>6.0</v>
      </c>
      <c r="AL20" s="461">
        <v>4.0</v>
      </c>
      <c r="AM20" s="461">
        <v>4.0</v>
      </c>
      <c r="AN20" s="462">
        <v>2.0</v>
      </c>
      <c r="AO20" s="461">
        <v>2.0</v>
      </c>
      <c r="AP20" s="461">
        <v>1.0</v>
      </c>
      <c r="AQ20" s="490">
        <v>30.0</v>
      </c>
      <c r="AR20" s="461">
        <v>0.0</v>
      </c>
      <c r="AS20" s="533">
        <f t="shared" si="10"/>
        <v>104</v>
      </c>
      <c r="AT20" s="1032">
        <f t="shared" si="4"/>
        <v>311</v>
      </c>
      <c r="AU20" s="466">
        <v>270.0</v>
      </c>
      <c r="AV20" s="461">
        <v>639.0</v>
      </c>
      <c r="AW20" s="461">
        <v>26.07</v>
      </c>
      <c r="AX20" s="461">
        <v>181.7079</v>
      </c>
      <c r="AY20" s="468"/>
      <c r="AZ20" s="469">
        <f t="shared" si="5"/>
        <v>18715.9137</v>
      </c>
      <c r="BA20" s="469">
        <f t="shared" si="6"/>
        <v>18897.6216</v>
      </c>
      <c r="BB20" s="469">
        <f t="shared" si="7"/>
        <v>18897.6216</v>
      </c>
      <c r="BC20" s="469">
        <f t="shared" si="8"/>
        <v>56511.1569</v>
      </c>
      <c r="BD20" s="471"/>
      <c r="BE20" s="469"/>
      <c r="BF20" s="412"/>
    </row>
    <row r="21" ht="15.75" customHeight="1">
      <c r="A21" s="562" t="s">
        <v>2707</v>
      </c>
      <c r="B21" s="571" t="s">
        <v>56</v>
      </c>
      <c r="C21" s="562" t="s">
        <v>2708</v>
      </c>
      <c r="D21" s="562" t="s">
        <v>1763</v>
      </c>
      <c r="E21" s="569" t="s">
        <v>2709</v>
      </c>
      <c r="F21" s="569" t="s">
        <v>2775</v>
      </c>
      <c r="G21" s="481">
        <v>1.087137E7</v>
      </c>
      <c r="H21" s="571" t="s">
        <v>3652</v>
      </c>
      <c r="I21" s="562" t="s">
        <v>25</v>
      </c>
      <c r="J21" s="481">
        <v>25.0</v>
      </c>
      <c r="K21" s="481">
        <v>5.0</v>
      </c>
      <c r="L21" s="481">
        <v>25.0</v>
      </c>
      <c r="M21" s="481">
        <v>4.0</v>
      </c>
      <c r="N21" s="481">
        <v>4.0</v>
      </c>
      <c r="O21" s="481">
        <v>4.0</v>
      </c>
      <c r="P21" s="481">
        <v>2.0</v>
      </c>
      <c r="Q21" s="481">
        <v>2.0</v>
      </c>
      <c r="R21" s="481">
        <v>1.0</v>
      </c>
      <c r="S21" s="492">
        <v>30.0</v>
      </c>
      <c r="T21" s="481">
        <v>0.0</v>
      </c>
      <c r="U21" s="533">
        <f t="shared" si="1"/>
        <v>102</v>
      </c>
      <c r="V21" s="481">
        <v>25.0</v>
      </c>
      <c r="W21" s="481">
        <v>5.0</v>
      </c>
      <c r="X21" s="481">
        <v>25.0</v>
      </c>
      <c r="Y21" s="481">
        <v>4.0</v>
      </c>
      <c r="Z21" s="481">
        <v>4.0</v>
      </c>
      <c r="AA21" s="481">
        <v>4.0</v>
      </c>
      <c r="AB21" s="481">
        <v>2.0</v>
      </c>
      <c r="AC21" s="481">
        <v>2.0</v>
      </c>
      <c r="AD21" s="481">
        <v>1.0</v>
      </c>
      <c r="AE21" s="492">
        <v>30.0</v>
      </c>
      <c r="AF21" s="481">
        <v>0.0</v>
      </c>
      <c r="AG21" s="534">
        <f t="shared" si="9"/>
        <v>102</v>
      </c>
      <c r="AH21" s="481">
        <v>25.0</v>
      </c>
      <c r="AI21" s="481">
        <v>5.0</v>
      </c>
      <c r="AJ21" s="481">
        <v>25.0</v>
      </c>
      <c r="AK21" s="481">
        <v>4.0</v>
      </c>
      <c r="AL21" s="481">
        <v>4.0</v>
      </c>
      <c r="AM21" s="481">
        <v>4.0</v>
      </c>
      <c r="AN21" s="481">
        <v>2.0</v>
      </c>
      <c r="AO21" s="481">
        <v>2.0</v>
      </c>
      <c r="AP21" s="481">
        <v>1.0</v>
      </c>
      <c r="AQ21" s="492">
        <v>30.0</v>
      </c>
      <c r="AR21" s="481">
        <v>0.0</v>
      </c>
      <c r="AS21" s="533">
        <f t="shared" si="10"/>
        <v>102</v>
      </c>
      <c r="AT21" s="535">
        <f t="shared" si="4"/>
        <v>306</v>
      </c>
      <c r="AU21" s="484">
        <v>0.0</v>
      </c>
      <c r="AV21" s="481">
        <v>366.0</v>
      </c>
      <c r="AW21" s="481">
        <v>23.0</v>
      </c>
      <c r="AX21" s="481">
        <v>160.31</v>
      </c>
      <c r="AY21" s="486"/>
      <c r="AZ21" s="487">
        <f t="shared" si="5"/>
        <v>16351.62</v>
      </c>
      <c r="BA21" s="487">
        <f t="shared" si="6"/>
        <v>16351.62</v>
      </c>
      <c r="BB21" s="487">
        <f t="shared" si="7"/>
        <v>16351.62</v>
      </c>
      <c r="BC21" s="487">
        <f t="shared" si="8"/>
        <v>49054.86</v>
      </c>
      <c r="BD21" s="489"/>
      <c r="BE21" s="487"/>
      <c r="BF21" s="412"/>
    </row>
    <row r="22" ht="15.75" customHeight="1">
      <c r="A22" s="567" t="s">
        <v>2808</v>
      </c>
      <c r="B22" s="568" t="s">
        <v>118</v>
      </c>
      <c r="C22" s="567" t="s">
        <v>2708</v>
      </c>
      <c r="D22" s="567" t="s">
        <v>1763</v>
      </c>
      <c r="E22" s="569" t="s">
        <v>2709</v>
      </c>
      <c r="F22" s="569" t="s">
        <v>2887</v>
      </c>
      <c r="G22" s="461">
        <v>1.0252061E7</v>
      </c>
      <c r="H22" s="568" t="s">
        <v>2009</v>
      </c>
      <c r="I22" s="567" t="s">
        <v>25</v>
      </c>
      <c r="J22" s="461">
        <v>97.0</v>
      </c>
      <c r="K22" s="461">
        <v>91.0</v>
      </c>
      <c r="L22" s="461">
        <v>137.0</v>
      </c>
      <c r="M22" s="461">
        <v>0.0</v>
      </c>
      <c r="N22" s="462">
        <v>54.0</v>
      </c>
      <c r="O22" s="462">
        <v>66.0</v>
      </c>
      <c r="P22" s="461">
        <v>91.0</v>
      </c>
      <c r="Q22" s="461">
        <v>92.0</v>
      </c>
      <c r="R22" s="461">
        <v>0.0</v>
      </c>
      <c r="S22" s="461">
        <v>103.0</v>
      </c>
      <c r="T22" s="461">
        <v>0.0</v>
      </c>
      <c r="U22" s="533">
        <f t="shared" si="1"/>
        <v>731</v>
      </c>
      <c r="V22" s="461">
        <v>34.0</v>
      </c>
      <c r="W22" s="461">
        <v>32.0</v>
      </c>
      <c r="X22" s="461">
        <v>48.0</v>
      </c>
      <c r="Y22" s="461">
        <v>0.0</v>
      </c>
      <c r="Z22" s="461">
        <v>54.0</v>
      </c>
      <c r="AA22" s="461">
        <v>66.0</v>
      </c>
      <c r="AB22" s="461">
        <v>32.0</v>
      </c>
      <c r="AC22" s="461">
        <v>32.0</v>
      </c>
      <c r="AD22" s="461">
        <v>0.0</v>
      </c>
      <c r="AE22" s="461">
        <v>36.0</v>
      </c>
      <c r="AF22" s="461">
        <v>0.0</v>
      </c>
      <c r="AG22" s="534">
        <f t="shared" si="9"/>
        <v>334</v>
      </c>
      <c r="AH22" s="461">
        <v>34.0</v>
      </c>
      <c r="AI22" s="461">
        <v>32.0</v>
      </c>
      <c r="AJ22" s="461">
        <v>48.0</v>
      </c>
      <c r="AK22" s="461">
        <v>0.0</v>
      </c>
      <c r="AL22" s="461">
        <v>54.0</v>
      </c>
      <c r="AM22" s="461">
        <v>66.0</v>
      </c>
      <c r="AN22" s="461">
        <v>32.0</v>
      </c>
      <c r="AO22" s="461">
        <v>32.0</v>
      </c>
      <c r="AP22" s="461">
        <v>0.0</v>
      </c>
      <c r="AQ22" s="461">
        <v>36.0</v>
      </c>
      <c r="AR22" s="461">
        <v>0.0</v>
      </c>
      <c r="AS22" s="533">
        <f t="shared" si="10"/>
        <v>334</v>
      </c>
      <c r="AT22" s="1032">
        <f t="shared" si="4"/>
        <v>1399</v>
      </c>
      <c r="AU22" s="466">
        <v>0.0</v>
      </c>
      <c r="AV22" s="461">
        <v>1622.0</v>
      </c>
      <c r="AW22" s="461">
        <v>3.08</v>
      </c>
      <c r="AX22" s="461">
        <v>21.4676</v>
      </c>
      <c r="AY22" s="468"/>
      <c r="AZ22" s="469">
        <f t="shared" si="5"/>
        <v>15692.8156</v>
      </c>
      <c r="BA22" s="469">
        <f t="shared" si="6"/>
        <v>7170.1784</v>
      </c>
      <c r="BB22" s="469">
        <f t="shared" si="7"/>
        <v>7170.1784</v>
      </c>
      <c r="BC22" s="469">
        <f t="shared" si="8"/>
        <v>30033.1724</v>
      </c>
      <c r="BD22" s="471"/>
      <c r="BE22" s="469"/>
      <c r="BF22" s="412"/>
    </row>
    <row r="23" ht="15.75" customHeight="1">
      <c r="A23" s="571" t="s">
        <v>2852</v>
      </c>
      <c r="B23" s="571" t="s">
        <v>52</v>
      </c>
      <c r="C23" s="571" t="s">
        <v>2708</v>
      </c>
      <c r="D23" s="571" t="s">
        <v>1763</v>
      </c>
      <c r="E23" s="569" t="s">
        <v>2709</v>
      </c>
      <c r="F23" s="569" t="s">
        <v>2864</v>
      </c>
      <c r="G23" s="484">
        <v>1.0488425E7</v>
      </c>
      <c r="H23" s="571" t="s">
        <v>3653</v>
      </c>
      <c r="I23" s="571" t="s">
        <v>25</v>
      </c>
      <c r="J23" s="481">
        <v>1.0</v>
      </c>
      <c r="K23" s="481">
        <v>0.0</v>
      </c>
      <c r="L23" s="481">
        <v>1.0</v>
      </c>
      <c r="M23" s="481">
        <v>0.0</v>
      </c>
      <c r="N23" s="481">
        <v>0.0</v>
      </c>
      <c r="O23" s="481">
        <v>0.0</v>
      </c>
      <c r="P23" s="481">
        <v>1.0</v>
      </c>
      <c r="Q23" s="492">
        <v>2.0</v>
      </c>
      <c r="R23" s="481">
        <v>0.0</v>
      </c>
      <c r="S23" s="481">
        <v>0.0</v>
      </c>
      <c r="T23" s="481">
        <v>0.0</v>
      </c>
      <c r="U23" s="533">
        <f t="shared" si="1"/>
        <v>5</v>
      </c>
      <c r="V23" s="481">
        <v>4.0</v>
      </c>
      <c r="W23" s="481">
        <v>1.0</v>
      </c>
      <c r="X23" s="481">
        <v>4.0</v>
      </c>
      <c r="Y23" s="481">
        <v>1.0</v>
      </c>
      <c r="Z23" s="481">
        <v>1.0</v>
      </c>
      <c r="AA23" s="481">
        <v>1.0</v>
      </c>
      <c r="AB23" s="481">
        <v>6.0</v>
      </c>
      <c r="AC23" s="492">
        <v>3.0</v>
      </c>
      <c r="AD23" s="481">
        <v>1.0</v>
      </c>
      <c r="AE23" s="492">
        <v>0.0</v>
      </c>
      <c r="AF23" s="481">
        <v>0.0</v>
      </c>
      <c r="AG23" s="534">
        <f t="shared" si="9"/>
        <v>22</v>
      </c>
      <c r="AH23" s="481">
        <v>4.0</v>
      </c>
      <c r="AI23" s="481">
        <v>1.0</v>
      </c>
      <c r="AJ23" s="481">
        <v>4.0</v>
      </c>
      <c r="AK23" s="481">
        <v>1.0</v>
      </c>
      <c r="AL23" s="481">
        <v>1.0</v>
      </c>
      <c r="AM23" s="481">
        <v>1.0</v>
      </c>
      <c r="AN23" s="481">
        <v>6.0</v>
      </c>
      <c r="AO23" s="492">
        <v>3.0</v>
      </c>
      <c r="AP23" s="481">
        <v>1.0</v>
      </c>
      <c r="AQ23" s="492">
        <v>0.0</v>
      </c>
      <c r="AR23" s="481">
        <v>0.0</v>
      </c>
      <c r="AS23" s="533">
        <f t="shared" si="10"/>
        <v>22</v>
      </c>
      <c r="AT23" s="535">
        <f t="shared" si="4"/>
        <v>49</v>
      </c>
      <c r="AU23" s="484">
        <v>30.0</v>
      </c>
      <c r="AV23" s="484">
        <v>94.0</v>
      </c>
      <c r="AW23" s="484">
        <v>432.48</v>
      </c>
      <c r="AX23" s="484">
        <v>3014.3856</v>
      </c>
      <c r="AY23" s="504"/>
      <c r="AZ23" s="487">
        <f t="shared" si="5"/>
        <v>15071.928</v>
      </c>
      <c r="BA23" s="487">
        <f t="shared" si="6"/>
        <v>66316.4832</v>
      </c>
      <c r="BB23" s="487">
        <f t="shared" si="7"/>
        <v>66316.4832</v>
      </c>
      <c r="BC23" s="487">
        <f t="shared" si="8"/>
        <v>147704.8944</v>
      </c>
      <c r="BD23" s="489"/>
      <c r="BE23" s="505"/>
      <c r="BF23" s="412"/>
    </row>
    <row r="24" ht="15.75" customHeight="1">
      <c r="A24" s="567" t="s">
        <v>2707</v>
      </c>
      <c r="B24" s="568" t="s">
        <v>150</v>
      </c>
      <c r="C24" s="567" t="s">
        <v>2722</v>
      </c>
      <c r="D24" s="567" t="s">
        <v>1763</v>
      </c>
      <c r="E24" s="569" t="s">
        <v>2723</v>
      </c>
      <c r="F24" s="569" t="s">
        <v>2885</v>
      </c>
      <c r="G24" s="461">
        <v>1.0299843E7</v>
      </c>
      <c r="H24" s="568" t="s">
        <v>3160</v>
      </c>
      <c r="I24" s="567" t="s">
        <v>25</v>
      </c>
      <c r="J24" s="461">
        <v>0.0</v>
      </c>
      <c r="K24" s="461">
        <v>0.0</v>
      </c>
      <c r="L24" s="461">
        <v>0.0</v>
      </c>
      <c r="M24" s="461">
        <v>0.0</v>
      </c>
      <c r="N24" s="461">
        <v>0.0</v>
      </c>
      <c r="O24" s="461">
        <v>0.0</v>
      </c>
      <c r="P24" s="461">
        <v>0.0</v>
      </c>
      <c r="Q24" s="461">
        <v>1.0</v>
      </c>
      <c r="R24" s="461">
        <v>0.0</v>
      </c>
      <c r="S24" s="490">
        <v>1.0</v>
      </c>
      <c r="T24" s="461">
        <v>0.0</v>
      </c>
      <c r="U24" s="533">
        <f t="shared" si="1"/>
        <v>2</v>
      </c>
      <c r="V24" s="461">
        <v>0.0</v>
      </c>
      <c r="W24" s="461">
        <v>0.0</v>
      </c>
      <c r="X24" s="461">
        <v>0.0</v>
      </c>
      <c r="Y24" s="461">
        <v>0.0</v>
      </c>
      <c r="Z24" s="461">
        <v>0.0</v>
      </c>
      <c r="AA24" s="461">
        <v>0.0</v>
      </c>
      <c r="AB24" s="461">
        <v>0.0</v>
      </c>
      <c r="AC24" s="461">
        <v>1.0</v>
      </c>
      <c r="AD24" s="461">
        <v>0.0</v>
      </c>
      <c r="AE24" s="461">
        <v>0.0</v>
      </c>
      <c r="AF24" s="461">
        <v>0.0</v>
      </c>
      <c r="AG24" s="534">
        <f t="shared" si="9"/>
        <v>1</v>
      </c>
      <c r="AH24" s="461">
        <v>0.0</v>
      </c>
      <c r="AI24" s="461">
        <v>0.0</v>
      </c>
      <c r="AJ24" s="461">
        <v>0.0</v>
      </c>
      <c r="AK24" s="461">
        <v>0.0</v>
      </c>
      <c r="AL24" s="461">
        <v>0.0</v>
      </c>
      <c r="AM24" s="461">
        <v>0.0</v>
      </c>
      <c r="AN24" s="461">
        <v>0.0</v>
      </c>
      <c r="AO24" s="461">
        <v>1.0</v>
      </c>
      <c r="AP24" s="461">
        <v>0.0</v>
      </c>
      <c r="AQ24" s="461">
        <v>0.0</v>
      </c>
      <c r="AR24" s="461">
        <v>0.0</v>
      </c>
      <c r="AS24" s="533">
        <f t="shared" si="10"/>
        <v>1</v>
      </c>
      <c r="AT24" s="1032">
        <f t="shared" si="4"/>
        <v>4</v>
      </c>
      <c r="AU24" s="466">
        <v>2.0</v>
      </c>
      <c r="AV24" s="461">
        <v>5.0</v>
      </c>
      <c r="AW24" s="461">
        <v>1078.24</v>
      </c>
      <c r="AX24" s="461">
        <v>7515.3328</v>
      </c>
      <c r="AY24" s="468"/>
      <c r="AZ24" s="469">
        <f t="shared" si="5"/>
        <v>15030.6656</v>
      </c>
      <c r="BA24" s="469">
        <f t="shared" si="6"/>
        <v>7515.3328</v>
      </c>
      <c r="BB24" s="469">
        <f t="shared" si="7"/>
        <v>7515.3328</v>
      </c>
      <c r="BC24" s="469">
        <f t="shared" si="8"/>
        <v>30061.3312</v>
      </c>
      <c r="BD24" s="471"/>
      <c r="BE24" s="469"/>
      <c r="BF24" s="412"/>
    </row>
    <row r="25" ht="15.75" customHeight="1">
      <c r="A25" s="571" t="s">
        <v>2852</v>
      </c>
      <c r="B25" s="571" t="s">
        <v>52</v>
      </c>
      <c r="C25" s="571" t="s">
        <v>2708</v>
      </c>
      <c r="D25" s="571" t="s">
        <v>1763</v>
      </c>
      <c r="E25" s="569" t="s">
        <v>2709</v>
      </c>
      <c r="F25" s="569" t="s">
        <v>2879</v>
      </c>
      <c r="G25" s="484">
        <v>1.1531396E7</v>
      </c>
      <c r="H25" s="571" t="s">
        <v>3443</v>
      </c>
      <c r="I25" s="571" t="s">
        <v>25</v>
      </c>
      <c r="J25" s="481">
        <v>0.0</v>
      </c>
      <c r="K25" s="481">
        <v>0.0</v>
      </c>
      <c r="L25" s="481">
        <v>0.0</v>
      </c>
      <c r="M25" s="481">
        <v>0.0</v>
      </c>
      <c r="N25" s="481">
        <v>0.0</v>
      </c>
      <c r="O25" s="481">
        <v>0.0</v>
      </c>
      <c r="P25" s="481">
        <v>1.0</v>
      </c>
      <c r="Q25" s="481">
        <v>1.0</v>
      </c>
      <c r="R25" s="481">
        <v>1.0</v>
      </c>
      <c r="S25" s="481">
        <v>4.0</v>
      </c>
      <c r="T25" s="481">
        <v>0.0</v>
      </c>
      <c r="U25" s="533">
        <f t="shared" si="1"/>
        <v>7</v>
      </c>
      <c r="V25" s="481">
        <v>0.0</v>
      </c>
      <c r="W25" s="481">
        <v>0.0</v>
      </c>
      <c r="X25" s="481">
        <v>0.0</v>
      </c>
      <c r="Y25" s="481">
        <v>0.0</v>
      </c>
      <c r="Z25" s="481">
        <v>0.0</v>
      </c>
      <c r="AA25" s="481">
        <v>0.0</v>
      </c>
      <c r="AB25" s="481">
        <v>1.0</v>
      </c>
      <c r="AC25" s="481">
        <v>1.0</v>
      </c>
      <c r="AD25" s="481">
        <v>1.0</v>
      </c>
      <c r="AE25" s="481">
        <v>4.0</v>
      </c>
      <c r="AF25" s="481">
        <v>0.0</v>
      </c>
      <c r="AG25" s="534">
        <f t="shared" si="9"/>
        <v>7</v>
      </c>
      <c r="AH25" s="481">
        <v>0.0</v>
      </c>
      <c r="AI25" s="481">
        <v>0.0</v>
      </c>
      <c r="AJ25" s="481">
        <v>0.0</v>
      </c>
      <c r="AK25" s="481">
        <v>0.0</v>
      </c>
      <c r="AL25" s="481">
        <v>0.0</v>
      </c>
      <c r="AM25" s="481">
        <v>0.0</v>
      </c>
      <c r="AN25" s="481">
        <v>1.0</v>
      </c>
      <c r="AO25" s="481">
        <v>1.0</v>
      </c>
      <c r="AP25" s="481">
        <v>1.0</v>
      </c>
      <c r="AQ25" s="481">
        <v>4.0</v>
      </c>
      <c r="AR25" s="481">
        <v>0.0</v>
      </c>
      <c r="AS25" s="533">
        <f t="shared" si="10"/>
        <v>7</v>
      </c>
      <c r="AT25" s="535">
        <f t="shared" si="4"/>
        <v>21</v>
      </c>
      <c r="AU25" s="484">
        <v>70.0</v>
      </c>
      <c r="AV25" s="484">
        <v>91.0</v>
      </c>
      <c r="AW25" s="484">
        <v>302.61</v>
      </c>
      <c r="AX25" s="484">
        <v>2109.1917</v>
      </c>
      <c r="AY25" s="504"/>
      <c r="AZ25" s="487">
        <f t="shared" si="5"/>
        <v>14764.3419</v>
      </c>
      <c r="BA25" s="487">
        <f t="shared" si="6"/>
        <v>14764.3419</v>
      </c>
      <c r="BB25" s="487">
        <f t="shared" si="7"/>
        <v>14764.3419</v>
      </c>
      <c r="BC25" s="487">
        <f t="shared" si="8"/>
        <v>44293.0257</v>
      </c>
      <c r="BD25" s="489"/>
      <c r="BE25" s="505"/>
      <c r="BF25" s="412"/>
    </row>
    <row r="26" ht="15.75" customHeight="1">
      <c r="A26" s="567" t="s">
        <v>2707</v>
      </c>
      <c r="B26" s="568" t="s">
        <v>150</v>
      </c>
      <c r="C26" s="567" t="s">
        <v>2722</v>
      </c>
      <c r="D26" s="567" t="s">
        <v>1763</v>
      </c>
      <c r="E26" s="569" t="s">
        <v>2723</v>
      </c>
      <c r="F26" s="569" t="s">
        <v>2748</v>
      </c>
      <c r="G26" s="1037">
        <v>1.030203E7</v>
      </c>
      <c r="H26" s="981" t="s">
        <v>3654</v>
      </c>
      <c r="I26" s="567" t="s">
        <v>25</v>
      </c>
      <c r="J26" s="461">
        <v>2.0</v>
      </c>
      <c r="K26" s="461">
        <v>2.0</v>
      </c>
      <c r="L26" s="461">
        <v>2.0</v>
      </c>
      <c r="M26" s="461">
        <v>1.0</v>
      </c>
      <c r="N26" s="461">
        <v>2.0</v>
      </c>
      <c r="O26" s="461">
        <v>2.0</v>
      </c>
      <c r="P26" s="461">
        <v>2.0</v>
      </c>
      <c r="Q26" s="490">
        <v>0.0</v>
      </c>
      <c r="R26" s="461">
        <v>1.0</v>
      </c>
      <c r="S26" s="461">
        <v>2.0</v>
      </c>
      <c r="T26" s="461">
        <v>0.0</v>
      </c>
      <c r="U26" s="533">
        <f t="shared" si="1"/>
        <v>16</v>
      </c>
      <c r="V26" s="461">
        <v>2.0</v>
      </c>
      <c r="W26" s="461">
        <v>2.0</v>
      </c>
      <c r="X26" s="461">
        <v>2.0</v>
      </c>
      <c r="Y26" s="461">
        <v>1.0</v>
      </c>
      <c r="Z26" s="461">
        <v>2.0</v>
      </c>
      <c r="AA26" s="461">
        <v>2.0</v>
      </c>
      <c r="AB26" s="461">
        <v>2.0</v>
      </c>
      <c r="AC26" s="461">
        <v>2.0</v>
      </c>
      <c r="AD26" s="461">
        <v>1.0</v>
      </c>
      <c r="AE26" s="461">
        <v>2.0</v>
      </c>
      <c r="AF26" s="461">
        <v>0.0</v>
      </c>
      <c r="AG26" s="534">
        <f t="shared" si="9"/>
        <v>18</v>
      </c>
      <c r="AH26" s="461">
        <v>2.0</v>
      </c>
      <c r="AI26" s="461">
        <v>2.0</v>
      </c>
      <c r="AJ26" s="461">
        <v>2.0</v>
      </c>
      <c r="AK26" s="461">
        <v>1.0</v>
      </c>
      <c r="AL26" s="461">
        <v>2.0</v>
      </c>
      <c r="AM26" s="461">
        <v>2.0</v>
      </c>
      <c r="AN26" s="461">
        <v>2.0</v>
      </c>
      <c r="AO26" s="461">
        <v>2.0</v>
      </c>
      <c r="AP26" s="461">
        <v>1.0</v>
      </c>
      <c r="AQ26" s="461">
        <v>2.0</v>
      </c>
      <c r="AR26" s="461">
        <v>0.0</v>
      </c>
      <c r="AS26" s="533">
        <f t="shared" si="10"/>
        <v>18</v>
      </c>
      <c r="AT26" s="1032">
        <f t="shared" si="4"/>
        <v>52</v>
      </c>
      <c r="AU26" s="466">
        <v>9.0</v>
      </c>
      <c r="AV26" s="461">
        <v>63.0</v>
      </c>
      <c r="AW26" s="461">
        <v>131.21</v>
      </c>
      <c r="AX26" s="461">
        <v>914.5337000000001</v>
      </c>
      <c r="AY26" s="468"/>
      <c r="AZ26" s="469">
        <f t="shared" si="5"/>
        <v>14632.5392</v>
      </c>
      <c r="BA26" s="469">
        <f t="shared" si="6"/>
        <v>16461.6066</v>
      </c>
      <c r="BB26" s="469">
        <f t="shared" si="7"/>
        <v>16461.6066</v>
      </c>
      <c r="BC26" s="469">
        <f t="shared" si="8"/>
        <v>47555.7524</v>
      </c>
      <c r="BD26" s="471"/>
      <c r="BE26" s="469"/>
      <c r="BF26" s="412"/>
    </row>
    <row r="27" ht="15.75" customHeight="1">
      <c r="A27" s="562" t="s">
        <v>2707</v>
      </c>
      <c r="B27" s="571" t="s">
        <v>56</v>
      </c>
      <c r="C27" s="562" t="s">
        <v>2708</v>
      </c>
      <c r="D27" s="562" t="s">
        <v>1763</v>
      </c>
      <c r="E27" s="569" t="s">
        <v>2709</v>
      </c>
      <c r="F27" s="569" t="s">
        <v>2881</v>
      </c>
      <c r="G27" s="481">
        <v>1.0293344E7</v>
      </c>
      <c r="H27" s="571" t="s">
        <v>3655</v>
      </c>
      <c r="I27" s="562" t="s">
        <v>25</v>
      </c>
      <c r="J27" s="481">
        <v>5.0</v>
      </c>
      <c r="K27" s="481">
        <v>2.0</v>
      </c>
      <c r="L27" s="481">
        <v>5.0</v>
      </c>
      <c r="M27" s="481">
        <v>5.0</v>
      </c>
      <c r="N27" s="481">
        <v>5.0</v>
      </c>
      <c r="O27" s="482">
        <v>6.0</v>
      </c>
      <c r="P27" s="481">
        <v>4.0</v>
      </c>
      <c r="Q27" s="481">
        <v>5.0</v>
      </c>
      <c r="R27" s="481">
        <v>1.0</v>
      </c>
      <c r="S27" s="492">
        <v>0.0</v>
      </c>
      <c r="T27" s="481">
        <v>0.0</v>
      </c>
      <c r="U27" s="533">
        <f t="shared" si="1"/>
        <v>38</v>
      </c>
      <c r="V27" s="481">
        <v>5.0</v>
      </c>
      <c r="W27" s="481">
        <v>2.0</v>
      </c>
      <c r="X27" s="481">
        <v>5.0</v>
      </c>
      <c r="Y27" s="481">
        <v>5.0</v>
      </c>
      <c r="Z27" s="481">
        <v>5.0</v>
      </c>
      <c r="AA27" s="482">
        <v>6.0</v>
      </c>
      <c r="AB27" s="481">
        <v>4.0</v>
      </c>
      <c r="AC27" s="481">
        <v>5.0</v>
      </c>
      <c r="AD27" s="481">
        <v>1.0</v>
      </c>
      <c r="AE27" s="492">
        <v>0.0</v>
      </c>
      <c r="AF27" s="481">
        <v>0.0</v>
      </c>
      <c r="AG27" s="534">
        <f t="shared" si="9"/>
        <v>38</v>
      </c>
      <c r="AH27" s="481">
        <v>5.0</v>
      </c>
      <c r="AI27" s="481">
        <v>2.0</v>
      </c>
      <c r="AJ27" s="481">
        <v>5.0</v>
      </c>
      <c r="AK27" s="481">
        <v>5.0</v>
      </c>
      <c r="AL27" s="481">
        <v>5.0</v>
      </c>
      <c r="AM27" s="482">
        <v>6.0</v>
      </c>
      <c r="AN27" s="481">
        <v>4.0</v>
      </c>
      <c r="AO27" s="481">
        <v>5.0</v>
      </c>
      <c r="AP27" s="481">
        <v>1.0</v>
      </c>
      <c r="AQ27" s="492">
        <v>0.0</v>
      </c>
      <c r="AR27" s="481">
        <v>0.0</v>
      </c>
      <c r="AS27" s="533">
        <f t="shared" si="10"/>
        <v>38</v>
      </c>
      <c r="AT27" s="535">
        <f t="shared" si="4"/>
        <v>114</v>
      </c>
      <c r="AU27" s="484">
        <v>35.0</v>
      </c>
      <c r="AV27" s="481">
        <v>179.0</v>
      </c>
      <c r="AW27" s="481">
        <v>47.38</v>
      </c>
      <c r="AX27" s="481">
        <v>330.2386</v>
      </c>
      <c r="AY27" s="486"/>
      <c r="AZ27" s="487">
        <f t="shared" si="5"/>
        <v>12549.0668</v>
      </c>
      <c r="BA27" s="487">
        <f t="shared" si="6"/>
        <v>12549.0668</v>
      </c>
      <c r="BB27" s="487">
        <f t="shared" si="7"/>
        <v>12549.0668</v>
      </c>
      <c r="BC27" s="487">
        <f t="shared" si="8"/>
        <v>37647.2004</v>
      </c>
      <c r="BD27" s="489"/>
      <c r="BE27" s="487"/>
      <c r="BF27" s="412"/>
    </row>
    <row r="28" ht="15.75" customHeight="1">
      <c r="A28" s="568" t="s">
        <v>2852</v>
      </c>
      <c r="B28" s="568" t="s">
        <v>52</v>
      </c>
      <c r="C28" s="568" t="s">
        <v>2708</v>
      </c>
      <c r="D28" s="568" t="s">
        <v>1763</v>
      </c>
      <c r="E28" s="569" t="s">
        <v>2709</v>
      </c>
      <c r="F28" s="569" t="s">
        <v>2882</v>
      </c>
      <c r="G28" s="466">
        <v>1.0488427E7</v>
      </c>
      <c r="H28" s="568" t="s">
        <v>551</v>
      </c>
      <c r="I28" s="568" t="s">
        <v>25</v>
      </c>
      <c r="J28" s="461">
        <v>3.0</v>
      </c>
      <c r="K28" s="461">
        <v>1.0</v>
      </c>
      <c r="L28" s="461">
        <v>3.0</v>
      </c>
      <c r="M28" s="461">
        <v>2.0</v>
      </c>
      <c r="N28" s="461">
        <v>2.0</v>
      </c>
      <c r="O28" s="461">
        <v>2.0</v>
      </c>
      <c r="P28" s="461">
        <v>2.0</v>
      </c>
      <c r="Q28" s="461">
        <v>2.0</v>
      </c>
      <c r="R28" s="461">
        <v>1.0</v>
      </c>
      <c r="S28" s="490">
        <v>0.0</v>
      </c>
      <c r="T28" s="461">
        <v>0.0</v>
      </c>
      <c r="U28" s="533">
        <f t="shared" si="1"/>
        <v>18</v>
      </c>
      <c r="V28" s="461">
        <v>3.0</v>
      </c>
      <c r="W28" s="461">
        <v>1.0</v>
      </c>
      <c r="X28" s="461">
        <v>3.0</v>
      </c>
      <c r="Y28" s="461">
        <v>2.0</v>
      </c>
      <c r="Z28" s="461">
        <v>2.0</v>
      </c>
      <c r="AA28" s="461">
        <v>2.0</v>
      </c>
      <c r="AB28" s="461">
        <v>2.0</v>
      </c>
      <c r="AC28" s="461">
        <v>2.0</v>
      </c>
      <c r="AD28" s="461">
        <v>1.0</v>
      </c>
      <c r="AE28" s="490">
        <v>0.0</v>
      </c>
      <c r="AF28" s="461">
        <v>0.0</v>
      </c>
      <c r="AG28" s="534">
        <f t="shared" si="9"/>
        <v>18</v>
      </c>
      <c r="AH28" s="461">
        <v>3.0</v>
      </c>
      <c r="AI28" s="461">
        <v>1.0</v>
      </c>
      <c r="AJ28" s="461">
        <v>3.0</v>
      </c>
      <c r="AK28" s="461">
        <v>2.0</v>
      </c>
      <c r="AL28" s="461">
        <v>2.0</v>
      </c>
      <c r="AM28" s="461">
        <v>2.0</v>
      </c>
      <c r="AN28" s="461">
        <v>2.0</v>
      </c>
      <c r="AO28" s="461">
        <v>2.0</v>
      </c>
      <c r="AP28" s="461">
        <v>1.0</v>
      </c>
      <c r="AQ28" s="490">
        <v>0.0</v>
      </c>
      <c r="AR28" s="461">
        <v>0.0</v>
      </c>
      <c r="AS28" s="533">
        <f t="shared" si="10"/>
        <v>18</v>
      </c>
      <c r="AT28" s="1032">
        <f t="shared" si="4"/>
        <v>54</v>
      </c>
      <c r="AU28" s="466">
        <v>24.0</v>
      </c>
      <c r="AV28" s="466">
        <v>87.0</v>
      </c>
      <c r="AW28" s="466">
        <v>90.49</v>
      </c>
      <c r="AX28" s="466">
        <v>630.7153</v>
      </c>
      <c r="AY28" s="538"/>
      <c r="AZ28" s="469">
        <f t="shared" si="5"/>
        <v>11352.8754</v>
      </c>
      <c r="BA28" s="469">
        <f t="shared" si="6"/>
        <v>11352.8754</v>
      </c>
      <c r="BB28" s="469">
        <f t="shared" si="7"/>
        <v>11352.8754</v>
      </c>
      <c r="BC28" s="469">
        <f t="shared" si="8"/>
        <v>34058.6262</v>
      </c>
      <c r="BD28" s="471"/>
      <c r="BE28" s="518"/>
      <c r="BF28" s="412"/>
    </row>
    <row r="29" ht="15.75" customHeight="1">
      <c r="A29" s="571" t="s">
        <v>2852</v>
      </c>
      <c r="B29" s="571" t="s">
        <v>52</v>
      </c>
      <c r="C29" s="571" t="s">
        <v>2708</v>
      </c>
      <c r="D29" s="571" t="s">
        <v>1763</v>
      </c>
      <c r="E29" s="569" t="s">
        <v>2709</v>
      </c>
      <c r="F29" s="569" t="s">
        <v>2883</v>
      </c>
      <c r="G29" s="484">
        <v>1.070966E7</v>
      </c>
      <c r="H29" s="571" t="s">
        <v>492</v>
      </c>
      <c r="I29" s="571" t="s">
        <v>25</v>
      </c>
      <c r="J29" s="481">
        <v>1.0</v>
      </c>
      <c r="K29" s="481">
        <v>1.0</v>
      </c>
      <c r="L29" s="481">
        <v>1.0</v>
      </c>
      <c r="M29" s="481">
        <v>6.0</v>
      </c>
      <c r="N29" s="481">
        <v>6.0</v>
      </c>
      <c r="O29" s="481">
        <v>4.0</v>
      </c>
      <c r="P29" s="481">
        <v>6.0</v>
      </c>
      <c r="Q29" s="481">
        <v>6.0</v>
      </c>
      <c r="R29" s="481">
        <v>2.0</v>
      </c>
      <c r="S29" s="492">
        <v>0.0</v>
      </c>
      <c r="T29" s="481">
        <v>0.0</v>
      </c>
      <c r="U29" s="533">
        <f t="shared" si="1"/>
        <v>33</v>
      </c>
      <c r="V29" s="481">
        <v>1.0</v>
      </c>
      <c r="W29" s="481">
        <v>1.0</v>
      </c>
      <c r="X29" s="481">
        <v>1.0</v>
      </c>
      <c r="Y29" s="481">
        <v>6.0</v>
      </c>
      <c r="Z29" s="481">
        <v>6.0</v>
      </c>
      <c r="AA29" s="481">
        <v>4.0</v>
      </c>
      <c r="AB29" s="481">
        <v>6.0</v>
      </c>
      <c r="AC29" s="481">
        <v>6.0</v>
      </c>
      <c r="AD29" s="481">
        <v>2.0</v>
      </c>
      <c r="AE29" s="492">
        <v>0.0</v>
      </c>
      <c r="AF29" s="481">
        <v>0.0</v>
      </c>
      <c r="AG29" s="534">
        <f t="shared" si="9"/>
        <v>33</v>
      </c>
      <c r="AH29" s="481">
        <v>1.0</v>
      </c>
      <c r="AI29" s="481">
        <v>1.0</v>
      </c>
      <c r="AJ29" s="481">
        <v>1.0</v>
      </c>
      <c r="AK29" s="481">
        <v>6.0</v>
      </c>
      <c r="AL29" s="481">
        <v>6.0</v>
      </c>
      <c r="AM29" s="481">
        <v>4.0</v>
      </c>
      <c r="AN29" s="481">
        <v>6.0</v>
      </c>
      <c r="AO29" s="481">
        <v>6.0</v>
      </c>
      <c r="AP29" s="481">
        <v>2.0</v>
      </c>
      <c r="AQ29" s="492">
        <v>0.0</v>
      </c>
      <c r="AR29" s="481">
        <v>0.0</v>
      </c>
      <c r="AS29" s="533">
        <f t="shared" si="10"/>
        <v>33</v>
      </c>
      <c r="AT29" s="535">
        <f t="shared" si="4"/>
        <v>99</v>
      </c>
      <c r="AU29" s="484">
        <v>85.0</v>
      </c>
      <c r="AV29" s="484">
        <v>202.0</v>
      </c>
      <c r="AW29" s="484">
        <v>49.22</v>
      </c>
      <c r="AX29" s="484">
        <v>343.0634</v>
      </c>
      <c r="AY29" s="504"/>
      <c r="AZ29" s="487">
        <f t="shared" si="5"/>
        <v>11321.0922</v>
      </c>
      <c r="BA29" s="487">
        <f t="shared" si="6"/>
        <v>11321.0922</v>
      </c>
      <c r="BB29" s="487">
        <f t="shared" si="7"/>
        <v>11321.0922</v>
      </c>
      <c r="BC29" s="487">
        <f t="shared" si="8"/>
        <v>33963.2766</v>
      </c>
      <c r="BD29" s="489"/>
      <c r="BE29" s="505"/>
      <c r="BF29" s="412"/>
    </row>
    <row r="30" ht="15.75" customHeight="1">
      <c r="A30" s="567" t="s">
        <v>2707</v>
      </c>
      <c r="B30" s="568" t="s">
        <v>785</v>
      </c>
      <c r="C30" s="567" t="s">
        <v>2708</v>
      </c>
      <c r="D30" s="567" t="s">
        <v>1763</v>
      </c>
      <c r="E30" s="569" t="s">
        <v>2709</v>
      </c>
      <c r="F30" s="569" t="s">
        <v>2751</v>
      </c>
      <c r="G30" s="461">
        <v>1.0420185E7</v>
      </c>
      <c r="H30" s="568" t="s">
        <v>3656</v>
      </c>
      <c r="I30" s="567" t="s">
        <v>25</v>
      </c>
      <c r="J30" s="461">
        <v>33.0</v>
      </c>
      <c r="K30" s="461">
        <v>24.0</v>
      </c>
      <c r="L30" s="461">
        <v>33.0</v>
      </c>
      <c r="M30" s="462">
        <v>0.0</v>
      </c>
      <c r="N30" s="462">
        <v>0.0</v>
      </c>
      <c r="O30" s="462">
        <v>0.0</v>
      </c>
      <c r="P30" s="461">
        <v>33.0</v>
      </c>
      <c r="Q30" s="461">
        <v>33.0</v>
      </c>
      <c r="R30" s="461">
        <v>10.0</v>
      </c>
      <c r="S30" s="490">
        <v>0.0</v>
      </c>
      <c r="T30" s="461">
        <v>0.0</v>
      </c>
      <c r="U30" s="533">
        <f t="shared" si="1"/>
        <v>166</v>
      </c>
      <c r="V30" s="461">
        <v>112.0</v>
      </c>
      <c r="W30" s="461">
        <v>80.0</v>
      </c>
      <c r="X30" s="461">
        <v>112.0</v>
      </c>
      <c r="Y30" s="462">
        <v>40.0</v>
      </c>
      <c r="Z30" s="462">
        <v>56.0</v>
      </c>
      <c r="AA30" s="462">
        <v>88.0</v>
      </c>
      <c r="AB30" s="461">
        <v>112.0</v>
      </c>
      <c r="AC30" s="461">
        <v>112.0</v>
      </c>
      <c r="AD30" s="461">
        <v>32.0</v>
      </c>
      <c r="AE30" s="490">
        <v>50.0</v>
      </c>
      <c r="AF30" s="461">
        <v>0.0</v>
      </c>
      <c r="AG30" s="534">
        <f t="shared" si="9"/>
        <v>794</v>
      </c>
      <c r="AH30" s="461">
        <v>112.0</v>
      </c>
      <c r="AI30" s="461">
        <v>80.0</v>
      </c>
      <c r="AJ30" s="461">
        <v>112.0</v>
      </c>
      <c r="AK30" s="462">
        <v>40.0</v>
      </c>
      <c r="AL30" s="462">
        <v>56.0</v>
      </c>
      <c r="AM30" s="462">
        <v>88.0</v>
      </c>
      <c r="AN30" s="461">
        <v>112.0</v>
      </c>
      <c r="AO30" s="461">
        <v>112.0</v>
      </c>
      <c r="AP30" s="461">
        <v>32.0</v>
      </c>
      <c r="AQ30" s="461">
        <v>96.0</v>
      </c>
      <c r="AR30" s="461">
        <v>0.0</v>
      </c>
      <c r="AS30" s="533">
        <f t="shared" si="10"/>
        <v>840</v>
      </c>
      <c r="AT30" s="1032">
        <f t="shared" si="4"/>
        <v>1800</v>
      </c>
      <c r="AU30" s="466">
        <v>0.0</v>
      </c>
      <c r="AV30" s="461">
        <v>2353.0</v>
      </c>
      <c r="AW30" s="461">
        <v>9.31</v>
      </c>
      <c r="AX30" s="461">
        <v>64.8907</v>
      </c>
      <c r="AY30" s="468"/>
      <c r="AZ30" s="469">
        <f t="shared" si="5"/>
        <v>10771.8562</v>
      </c>
      <c r="BA30" s="469">
        <f t="shared" si="6"/>
        <v>51523.2158</v>
      </c>
      <c r="BB30" s="469">
        <f t="shared" si="7"/>
        <v>54508.188</v>
      </c>
      <c r="BC30" s="469">
        <f t="shared" si="8"/>
        <v>116803.26</v>
      </c>
      <c r="BD30" s="471"/>
      <c r="BE30" s="469" t="s">
        <v>2865</v>
      </c>
      <c r="BF30" s="412"/>
    </row>
    <row r="31" ht="15.75" customHeight="1">
      <c r="A31" s="562" t="s">
        <v>2808</v>
      </c>
      <c r="B31" s="571" t="s">
        <v>1215</v>
      </c>
      <c r="C31" s="562" t="s">
        <v>2708</v>
      </c>
      <c r="D31" s="562" t="s">
        <v>1763</v>
      </c>
      <c r="E31" s="569" t="s">
        <v>2709</v>
      </c>
      <c r="F31" s="569" t="s">
        <v>2884</v>
      </c>
      <c r="G31" s="481">
        <v>1.0752419E7</v>
      </c>
      <c r="H31" s="571" t="s">
        <v>3657</v>
      </c>
      <c r="I31" s="562" t="s">
        <v>25</v>
      </c>
      <c r="J31" s="481">
        <v>4.0</v>
      </c>
      <c r="K31" s="481">
        <v>4.0</v>
      </c>
      <c r="L31" s="481">
        <v>6.0</v>
      </c>
      <c r="M31" s="482">
        <v>0.0</v>
      </c>
      <c r="N31" s="481">
        <v>6.0</v>
      </c>
      <c r="O31" s="481">
        <v>8.0</v>
      </c>
      <c r="P31" s="481">
        <v>6.0</v>
      </c>
      <c r="Q31" s="481">
        <v>6.0</v>
      </c>
      <c r="R31" s="481">
        <v>2.0</v>
      </c>
      <c r="S31" s="481">
        <v>6.0</v>
      </c>
      <c r="T31" s="481">
        <v>0.0</v>
      </c>
      <c r="U31" s="533">
        <f t="shared" si="1"/>
        <v>48</v>
      </c>
      <c r="V31" s="481">
        <v>4.0</v>
      </c>
      <c r="W31" s="481">
        <v>4.0</v>
      </c>
      <c r="X31" s="481">
        <v>6.0</v>
      </c>
      <c r="Y31" s="481">
        <v>4.0</v>
      </c>
      <c r="Z31" s="481">
        <v>6.0</v>
      </c>
      <c r="AA31" s="481">
        <v>8.0</v>
      </c>
      <c r="AB31" s="481">
        <v>6.0</v>
      </c>
      <c r="AC31" s="481">
        <v>6.0</v>
      </c>
      <c r="AD31" s="481">
        <v>2.0</v>
      </c>
      <c r="AE31" s="481">
        <v>6.0</v>
      </c>
      <c r="AF31" s="481">
        <v>0.0</v>
      </c>
      <c r="AG31" s="534">
        <f t="shared" si="9"/>
        <v>52</v>
      </c>
      <c r="AH31" s="481">
        <v>4.0</v>
      </c>
      <c r="AI31" s="481">
        <v>4.0</v>
      </c>
      <c r="AJ31" s="481">
        <v>6.0</v>
      </c>
      <c r="AK31" s="481">
        <v>4.0</v>
      </c>
      <c r="AL31" s="481">
        <v>6.0</v>
      </c>
      <c r="AM31" s="481">
        <v>8.0</v>
      </c>
      <c r="AN31" s="481">
        <v>6.0</v>
      </c>
      <c r="AO31" s="481">
        <v>6.0</v>
      </c>
      <c r="AP31" s="481">
        <v>2.0</v>
      </c>
      <c r="AQ31" s="481">
        <v>6.0</v>
      </c>
      <c r="AR31" s="481">
        <v>0.0</v>
      </c>
      <c r="AS31" s="533">
        <f t="shared" si="10"/>
        <v>52</v>
      </c>
      <c r="AT31" s="535">
        <f t="shared" si="4"/>
        <v>152</v>
      </c>
      <c r="AU31" s="484">
        <v>0.0</v>
      </c>
      <c r="AV31" s="481">
        <v>156.0</v>
      </c>
      <c r="AW31" s="481">
        <v>30.65</v>
      </c>
      <c r="AX31" s="481">
        <v>213.63049999999998</v>
      </c>
      <c r="AY31" s="486"/>
      <c r="AZ31" s="487">
        <f t="shared" si="5"/>
        <v>10254.264</v>
      </c>
      <c r="BA31" s="487">
        <f t="shared" si="6"/>
        <v>11108.786</v>
      </c>
      <c r="BB31" s="487">
        <f t="shared" si="7"/>
        <v>11108.786</v>
      </c>
      <c r="BC31" s="487">
        <f t="shared" si="8"/>
        <v>32471.836</v>
      </c>
      <c r="BD31" s="489"/>
      <c r="BE31" s="487"/>
      <c r="BF31" s="412"/>
    </row>
    <row r="32" ht="15.75" customHeight="1">
      <c r="A32" s="568" t="s">
        <v>2852</v>
      </c>
      <c r="B32" s="568" t="s">
        <v>52</v>
      </c>
      <c r="C32" s="568" t="s">
        <v>2708</v>
      </c>
      <c r="D32" s="568" t="s">
        <v>1763</v>
      </c>
      <c r="E32" s="569" t="s">
        <v>2709</v>
      </c>
      <c r="F32" s="569" t="s">
        <v>2871</v>
      </c>
      <c r="G32" s="466">
        <v>1.0247398E7</v>
      </c>
      <c r="H32" s="568" t="s">
        <v>469</v>
      </c>
      <c r="I32" s="568" t="s">
        <v>25</v>
      </c>
      <c r="J32" s="461">
        <v>325.0</v>
      </c>
      <c r="K32" s="461">
        <v>193.0</v>
      </c>
      <c r="L32" s="461">
        <v>284.0</v>
      </c>
      <c r="M32" s="461">
        <v>181.0</v>
      </c>
      <c r="N32" s="462">
        <v>504.0</v>
      </c>
      <c r="O32" s="462">
        <v>0.0</v>
      </c>
      <c r="P32" s="462">
        <v>0.0</v>
      </c>
      <c r="Q32" s="461">
        <v>259.0</v>
      </c>
      <c r="R32" s="461">
        <v>45.0</v>
      </c>
      <c r="S32" s="490">
        <v>0.0</v>
      </c>
      <c r="T32" s="461">
        <v>0.0</v>
      </c>
      <c r="U32" s="533">
        <f t="shared" si="1"/>
        <v>1791</v>
      </c>
      <c r="V32" s="461">
        <v>788.0</v>
      </c>
      <c r="W32" s="461">
        <v>468.0</v>
      </c>
      <c r="X32" s="461">
        <v>688.0</v>
      </c>
      <c r="Y32" s="461">
        <v>440.0</v>
      </c>
      <c r="Z32" s="461">
        <v>504.0</v>
      </c>
      <c r="AA32" s="461">
        <v>832.0</v>
      </c>
      <c r="AB32" s="461">
        <v>532.0</v>
      </c>
      <c r="AC32" s="461">
        <v>628.0</v>
      </c>
      <c r="AD32" s="461">
        <v>108.0</v>
      </c>
      <c r="AE32" s="461">
        <v>670.0</v>
      </c>
      <c r="AF32" s="461">
        <v>0.0</v>
      </c>
      <c r="AG32" s="534">
        <f t="shared" si="9"/>
        <v>5658</v>
      </c>
      <c r="AH32" s="461">
        <v>788.0</v>
      </c>
      <c r="AI32" s="461">
        <v>468.0</v>
      </c>
      <c r="AJ32" s="461">
        <v>688.0</v>
      </c>
      <c r="AK32" s="461">
        <v>440.0</v>
      </c>
      <c r="AL32" s="461">
        <v>504.0</v>
      </c>
      <c r="AM32" s="461">
        <v>832.0</v>
      </c>
      <c r="AN32" s="461">
        <v>532.0</v>
      </c>
      <c r="AO32" s="461">
        <v>628.0</v>
      </c>
      <c r="AP32" s="461">
        <v>108.0</v>
      </c>
      <c r="AQ32" s="461">
        <v>670.0</v>
      </c>
      <c r="AR32" s="461">
        <v>0.0</v>
      </c>
      <c r="AS32" s="533">
        <f t="shared" si="10"/>
        <v>5658</v>
      </c>
      <c r="AT32" s="1032">
        <f t="shared" si="4"/>
        <v>13107</v>
      </c>
      <c r="AU32" s="466">
        <v>0.0</v>
      </c>
      <c r="AV32" s="466">
        <v>13649.0</v>
      </c>
      <c r="AW32" s="466">
        <v>0.81</v>
      </c>
      <c r="AX32" s="466">
        <v>5.645700000000001</v>
      </c>
      <c r="AY32" s="517"/>
      <c r="AZ32" s="469">
        <f t="shared" si="5"/>
        <v>10111.4487</v>
      </c>
      <c r="BA32" s="469">
        <f t="shared" si="6"/>
        <v>31943.3706</v>
      </c>
      <c r="BB32" s="469">
        <f t="shared" si="7"/>
        <v>31943.3706</v>
      </c>
      <c r="BC32" s="469">
        <f t="shared" si="8"/>
        <v>73998.1899</v>
      </c>
      <c r="BD32" s="471"/>
      <c r="BE32" s="518"/>
      <c r="BF32" s="412"/>
    </row>
    <row r="33" ht="15.75" customHeight="1">
      <c r="A33" s="562" t="s">
        <v>2707</v>
      </c>
      <c r="B33" s="571" t="s">
        <v>56</v>
      </c>
      <c r="C33" s="562" t="s">
        <v>2708</v>
      </c>
      <c r="D33" s="562" t="s">
        <v>1763</v>
      </c>
      <c r="E33" s="569" t="s">
        <v>2709</v>
      </c>
      <c r="F33" s="569" t="s">
        <v>2770</v>
      </c>
      <c r="G33" s="481">
        <v>1.0796747E7</v>
      </c>
      <c r="H33" s="571" t="s">
        <v>3658</v>
      </c>
      <c r="I33" s="562" t="s">
        <v>25</v>
      </c>
      <c r="J33" s="481">
        <v>4.0</v>
      </c>
      <c r="K33" s="481">
        <v>3.0</v>
      </c>
      <c r="L33" s="481">
        <v>4.0</v>
      </c>
      <c r="M33" s="481">
        <v>71.0</v>
      </c>
      <c r="N33" s="481">
        <v>85.0</v>
      </c>
      <c r="O33" s="481">
        <v>122.0</v>
      </c>
      <c r="P33" s="481">
        <v>90.0</v>
      </c>
      <c r="Q33" s="481">
        <v>108.0</v>
      </c>
      <c r="R33" s="481">
        <v>28.0</v>
      </c>
      <c r="S33" s="481">
        <v>72.0</v>
      </c>
      <c r="T33" s="481">
        <v>0.0</v>
      </c>
      <c r="U33" s="533">
        <f t="shared" si="1"/>
        <v>587</v>
      </c>
      <c r="V33" s="481">
        <v>3.0</v>
      </c>
      <c r="W33" s="481">
        <v>2.0</v>
      </c>
      <c r="X33" s="481">
        <v>3.0</v>
      </c>
      <c r="Y33" s="481">
        <v>50.0</v>
      </c>
      <c r="Z33" s="481">
        <v>60.0</v>
      </c>
      <c r="AA33" s="481">
        <v>85.0</v>
      </c>
      <c r="AB33" s="481">
        <v>63.0</v>
      </c>
      <c r="AC33" s="481">
        <v>76.0</v>
      </c>
      <c r="AD33" s="481">
        <v>20.0</v>
      </c>
      <c r="AE33" s="481">
        <v>50.0</v>
      </c>
      <c r="AF33" s="481">
        <v>0.0</v>
      </c>
      <c r="AG33" s="534">
        <f t="shared" si="9"/>
        <v>412</v>
      </c>
      <c r="AH33" s="481">
        <v>3.0</v>
      </c>
      <c r="AI33" s="481">
        <v>2.0</v>
      </c>
      <c r="AJ33" s="481">
        <v>3.0</v>
      </c>
      <c r="AK33" s="481">
        <v>50.0</v>
      </c>
      <c r="AL33" s="481">
        <v>60.0</v>
      </c>
      <c r="AM33" s="481">
        <v>85.0</v>
      </c>
      <c r="AN33" s="481">
        <v>63.0</v>
      </c>
      <c r="AO33" s="481">
        <v>76.0</v>
      </c>
      <c r="AP33" s="481">
        <v>20.0</v>
      </c>
      <c r="AQ33" s="481">
        <v>50.0</v>
      </c>
      <c r="AR33" s="481">
        <v>0.0</v>
      </c>
      <c r="AS33" s="533">
        <f t="shared" si="10"/>
        <v>412</v>
      </c>
      <c r="AT33" s="535">
        <f t="shared" si="4"/>
        <v>1411</v>
      </c>
      <c r="AU33" s="484">
        <v>0.0</v>
      </c>
      <c r="AV33" s="481">
        <v>1411.0</v>
      </c>
      <c r="AW33" s="481">
        <v>2.42</v>
      </c>
      <c r="AX33" s="481">
        <v>16.8674</v>
      </c>
      <c r="AY33" s="486"/>
      <c r="AZ33" s="487">
        <f t="shared" si="5"/>
        <v>9901.1638</v>
      </c>
      <c r="BA33" s="487">
        <f t="shared" si="6"/>
        <v>6949.3688</v>
      </c>
      <c r="BB33" s="487">
        <f t="shared" si="7"/>
        <v>6949.3688</v>
      </c>
      <c r="BC33" s="487">
        <f t="shared" si="8"/>
        <v>23799.9014</v>
      </c>
      <c r="BD33" s="489"/>
      <c r="BE33" s="487"/>
      <c r="BF33" s="412"/>
    </row>
    <row r="34" ht="15.75" customHeight="1">
      <c r="A34" s="567" t="s">
        <v>2852</v>
      </c>
      <c r="B34" s="568" t="s">
        <v>46</v>
      </c>
      <c r="C34" s="567" t="s">
        <v>2708</v>
      </c>
      <c r="D34" s="567" t="s">
        <v>1763</v>
      </c>
      <c r="E34" s="569" t="s">
        <v>2709</v>
      </c>
      <c r="F34" s="569" t="s">
        <v>2870</v>
      </c>
      <c r="G34" s="461">
        <v>1.0551491E7</v>
      </c>
      <c r="H34" s="568" t="s">
        <v>383</v>
      </c>
      <c r="I34" s="567" t="s">
        <v>25</v>
      </c>
      <c r="J34" s="461">
        <v>0.0</v>
      </c>
      <c r="K34" s="461">
        <v>0.0</v>
      </c>
      <c r="L34" s="461">
        <v>0.0</v>
      </c>
      <c r="M34" s="462">
        <v>40.0</v>
      </c>
      <c r="N34" s="462">
        <v>80.0</v>
      </c>
      <c r="O34" s="462">
        <v>10.0</v>
      </c>
      <c r="P34" s="461">
        <v>0.0</v>
      </c>
      <c r="Q34" s="461">
        <v>0.0</v>
      </c>
      <c r="R34" s="461">
        <v>0.0</v>
      </c>
      <c r="S34" s="490">
        <v>36.0</v>
      </c>
      <c r="T34" s="461">
        <v>0.0</v>
      </c>
      <c r="U34" s="533">
        <f t="shared" si="1"/>
        <v>166</v>
      </c>
      <c r="V34" s="461">
        <v>160.0</v>
      </c>
      <c r="W34" s="461">
        <v>120.0</v>
      </c>
      <c r="X34" s="461">
        <v>144.0</v>
      </c>
      <c r="Y34" s="461">
        <v>88.0</v>
      </c>
      <c r="Z34" s="461">
        <v>104.0</v>
      </c>
      <c r="AA34" s="461">
        <v>168.0</v>
      </c>
      <c r="AB34" s="462">
        <v>0.0</v>
      </c>
      <c r="AC34" s="490">
        <v>0.0</v>
      </c>
      <c r="AD34" s="461">
        <v>8.0</v>
      </c>
      <c r="AE34" s="461">
        <v>64.0</v>
      </c>
      <c r="AF34" s="461">
        <v>0.0</v>
      </c>
      <c r="AG34" s="534">
        <f t="shared" si="9"/>
        <v>856</v>
      </c>
      <c r="AH34" s="461">
        <v>160.0</v>
      </c>
      <c r="AI34" s="461">
        <v>120.0</v>
      </c>
      <c r="AJ34" s="461">
        <v>144.0</v>
      </c>
      <c r="AK34" s="461">
        <v>88.0</v>
      </c>
      <c r="AL34" s="461">
        <v>104.0</v>
      </c>
      <c r="AM34" s="461">
        <v>168.0</v>
      </c>
      <c r="AN34" s="462">
        <v>0.0</v>
      </c>
      <c r="AO34" s="490">
        <v>0.0</v>
      </c>
      <c r="AP34" s="461">
        <v>8.0</v>
      </c>
      <c r="AQ34" s="490">
        <v>136.0</v>
      </c>
      <c r="AR34" s="461">
        <v>0.0</v>
      </c>
      <c r="AS34" s="533">
        <f t="shared" si="10"/>
        <v>928</v>
      </c>
      <c r="AT34" s="1032">
        <f t="shared" si="4"/>
        <v>1950</v>
      </c>
      <c r="AU34" s="466">
        <v>0.0</v>
      </c>
      <c r="AV34" s="461">
        <v>1870.0</v>
      </c>
      <c r="AW34" s="461">
        <v>8.54</v>
      </c>
      <c r="AX34" s="461">
        <v>59.523799999999994</v>
      </c>
      <c r="AY34" s="468"/>
      <c r="AZ34" s="469">
        <f t="shared" si="5"/>
        <v>9880.9508</v>
      </c>
      <c r="BA34" s="469">
        <f t="shared" si="6"/>
        <v>50952.3728</v>
      </c>
      <c r="BB34" s="469">
        <f t="shared" si="7"/>
        <v>55238.0864</v>
      </c>
      <c r="BC34" s="469">
        <f t="shared" si="8"/>
        <v>116071.41</v>
      </c>
      <c r="BD34" s="471"/>
      <c r="BE34" s="469"/>
      <c r="BF34" s="412"/>
    </row>
    <row r="35" ht="15.75" customHeight="1">
      <c r="A35" s="562" t="s">
        <v>2707</v>
      </c>
      <c r="B35" s="571" t="s">
        <v>150</v>
      </c>
      <c r="C35" s="562" t="s">
        <v>2722</v>
      </c>
      <c r="D35" s="562" t="s">
        <v>1763</v>
      </c>
      <c r="E35" s="569" t="s">
        <v>2723</v>
      </c>
      <c r="F35" s="569" t="s">
        <v>2749</v>
      </c>
      <c r="G35" s="481">
        <v>1.0302032E7</v>
      </c>
      <c r="H35" s="571" t="s">
        <v>3659</v>
      </c>
      <c r="I35" s="562" t="s">
        <v>25</v>
      </c>
      <c r="J35" s="481">
        <v>2.0</v>
      </c>
      <c r="K35" s="481">
        <v>1.0</v>
      </c>
      <c r="L35" s="481">
        <v>2.0</v>
      </c>
      <c r="M35" s="481">
        <v>1.0</v>
      </c>
      <c r="N35" s="481">
        <v>2.0</v>
      </c>
      <c r="O35" s="482">
        <v>1.0</v>
      </c>
      <c r="P35" s="481">
        <v>0.0</v>
      </c>
      <c r="Q35" s="481">
        <v>0.0</v>
      </c>
      <c r="R35" s="481">
        <v>0.0</v>
      </c>
      <c r="S35" s="481">
        <v>0.0</v>
      </c>
      <c r="T35" s="481">
        <v>0.0</v>
      </c>
      <c r="U35" s="533">
        <f t="shared" si="1"/>
        <v>9</v>
      </c>
      <c r="V35" s="481">
        <v>2.0</v>
      </c>
      <c r="W35" s="481">
        <v>1.0</v>
      </c>
      <c r="X35" s="481">
        <v>2.0</v>
      </c>
      <c r="Y35" s="481">
        <v>1.0</v>
      </c>
      <c r="Z35" s="481">
        <v>2.0</v>
      </c>
      <c r="AA35" s="482">
        <v>1.0</v>
      </c>
      <c r="AB35" s="482">
        <v>1.0</v>
      </c>
      <c r="AC35" s="481">
        <v>0.0</v>
      </c>
      <c r="AD35" s="481">
        <v>0.0</v>
      </c>
      <c r="AE35" s="481">
        <v>0.0</v>
      </c>
      <c r="AF35" s="481">
        <v>0.0</v>
      </c>
      <c r="AG35" s="534">
        <f t="shared" si="9"/>
        <v>10</v>
      </c>
      <c r="AH35" s="481">
        <v>2.0</v>
      </c>
      <c r="AI35" s="481">
        <v>1.0</v>
      </c>
      <c r="AJ35" s="481">
        <v>2.0</v>
      </c>
      <c r="AK35" s="481">
        <v>1.0</v>
      </c>
      <c r="AL35" s="481">
        <v>2.0</v>
      </c>
      <c r="AM35" s="482">
        <v>1.0</v>
      </c>
      <c r="AN35" s="482">
        <v>1.0</v>
      </c>
      <c r="AO35" s="481">
        <v>0.0</v>
      </c>
      <c r="AP35" s="481">
        <v>0.0</v>
      </c>
      <c r="AQ35" s="481">
        <v>0.0</v>
      </c>
      <c r="AR35" s="481">
        <v>0.0</v>
      </c>
      <c r="AS35" s="533">
        <f t="shared" si="10"/>
        <v>10</v>
      </c>
      <c r="AT35" s="535">
        <f t="shared" si="4"/>
        <v>29</v>
      </c>
      <c r="AU35" s="484">
        <v>0.0</v>
      </c>
      <c r="AV35" s="481">
        <v>24.0</v>
      </c>
      <c r="AW35" s="481">
        <v>141.79</v>
      </c>
      <c r="AX35" s="481">
        <v>988.2762999999999</v>
      </c>
      <c r="AY35" s="486"/>
      <c r="AZ35" s="487">
        <f t="shared" si="5"/>
        <v>8894.4867</v>
      </c>
      <c r="BA35" s="487">
        <f t="shared" si="6"/>
        <v>9882.763</v>
      </c>
      <c r="BB35" s="487">
        <f t="shared" si="7"/>
        <v>9882.763</v>
      </c>
      <c r="BC35" s="487">
        <f t="shared" si="8"/>
        <v>28660.0127</v>
      </c>
      <c r="BD35" s="489"/>
      <c r="BE35" s="487"/>
      <c r="BF35" s="412"/>
    </row>
    <row r="36" ht="15.75" customHeight="1">
      <c r="A36" s="567" t="s">
        <v>2707</v>
      </c>
      <c r="B36" s="568" t="s">
        <v>785</v>
      </c>
      <c r="C36" s="567" t="s">
        <v>2708</v>
      </c>
      <c r="D36" s="567" t="s">
        <v>1763</v>
      </c>
      <c r="E36" s="569" t="s">
        <v>2709</v>
      </c>
      <c r="F36" s="569" t="s">
        <v>2770</v>
      </c>
      <c r="G36" s="461">
        <v>1.0796747E7</v>
      </c>
      <c r="H36" s="568" t="s">
        <v>3658</v>
      </c>
      <c r="I36" s="567" t="s">
        <v>25</v>
      </c>
      <c r="J36" s="461">
        <v>0.0</v>
      </c>
      <c r="K36" s="461">
        <v>0.0</v>
      </c>
      <c r="L36" s="461">
        <v>0.0</v>
      </c>
      <c r="M36" s="461">
        <v>65.0</v>
      </c>
      <c r="N36" s="461">
        <v>91.0</v>
      </c>
      <c r="O36" s="461">
        <v>143.0</v>
      </c>
      <c r="P36" s="461">
        <v>91.0</v>
      </c>
      <c r="Q36" s="461">
        <v>91.0</v>
      </c>
      <c r="R36" s="461">
        <v>28.0</v>
      </c>
      <c r="S36" s="490">
        <v>0.0</v>
      </c>
      <c r="T36" s="461">
        <v>0.0</v>
      </c>
      <c r="U36" s="533">
        <f t="shared" si="1"/>
        <v>509</v>
      </c>
      <c r="V36" s="461">
        <v>0.0</v>
      </c>
      <c r="W36" s="461">
        <v>0.0</v>
      </c>
      <c r="X36" s="461">
        <v>0.0</v>
      </c>
      <c r="Y36" s="461">
        <v>40.0</v>
      </c>
      <c r="Z36" s="461">
        <v>56.0</v>
      </c>
      <c r="AA36" s="461">
        <v>88.0</v>
      </c>
      <c r="AB36" s="461">
        <v>56.0</v>
      </c>
      <c r="AC36" s="461">
        <v>56.0</v>
      </c>
      <c r="AD36" s="461">
        <v>16.0</v>
      </c>
      <c r="AE36" s="461">
        <v>48.0</v>
      </c>
      <c r="AF36" s="461">
        <v>0.0</v>
      </c>
      <c r="AG36" s="534">
        <f t="shared" si="9"/>
        <v>360</v>
      </c>
      <c r="AH36" s="461">
        <v>0.0</v>
      </c>
      <c r="AI36" s="461">
        <v>0.0</v>
      </c>
      <c r="AJ36" s="461">
        <v>0.0</v>
      </c>
      <c r="AK36" s="461">
        <v>40.0</v>
      </c>
      <c r="AL36" s="461">
        <v>56.0</v>
      </c>
      <c r="AM36" s="461">
        <v>88.0</v>
      </c>
      <c r="AN36" s="461">
        <v>56.0</v>
      </c>
      <c r="AO36" s="461">
        <v>56.0</v>
      </c>
      <c r="AP36" s="461">
        <v>16.0</v>
      </c>
      <c r="AQ36" s="461">
        <v>48.0</v>
      </c>
      <c r="AR36" s="461">
        <v>0.0</v>
      </c>
      <c r="AS36" s="533">
        <f t="shared" si="10"/>
        <v>360</v>
      </c>
      <c r="AT36" s="1032">
        <f t="shared" si="4"/>
        <v>1229</v>
      </c>
      <c r="AU36" s="466">
        <v>0.0</v>
      </c>
      <c r="AV36" s="461">
        <v>1307.0</v>
      </c>
      <c r="AW36" s="461">
        <v>2.42</v>
      </c>
      <c r="AX36" s="461">
        <v>16.8674</v>
      </c>
      <c r="AY36" s="468"/>
      <c r="AZ36" s="469">
        <f t="shared" si="5"/>
        <v>8585.5066</v>
      </c>
      <c r="BA36" s="469">
        <f t="shared" si="6"/>
        <v>6072.264</v>
      </c>
      <c r="BB36" s="469">
        <f t="shared" si="7"/>
        <v>6072.264</v>
      </c>
      <c r="BC36" s="469">
        <f t="shared" si="8"/>
        <v>20730.0346</v>
      </c>
      <c r="BD36" s="471"/>
      <c r="BE36" s="469"/>
      <c r="BF36" s="412"/>
    </row>
    <row r="37" ht="15.75" customHeight="1">
      <c r="A37" s="571" t="s">
        <v>2852</v>
      </c>
      <c r="B37" s="571" t="s">
        <v>52</v>
      </c>
      <c r="C37" s="571" t="s">
        <v>2708</v>
      </c>
      <c r="D37" s="571" t="s">
        <v>1763</v>
      </c>
      <c r="E37" s="569" t="s">
        <v>2709</v>
      </c>
      <c r="F37" s="569" t="s">
        <v>2878</v>
      </c>
      <c r="G37" s="484">
        <v>1.0274057E7</v>
      </c>
      <c r="H37" s="571" t="s">
        <v>3450</v>
      </c>
      <c r="I37" s="571" t="s">
        <v>25</v>
      </c>
      <c r="J37" s="481">
        <v>0.0</v>
      </c>
      <c r="K37" s="481">
        <v>0.0</v>
      </c>
      <c r="L37" s="481">
        <v>0.0</v>
      </c>
      <c r="M37" s="481">
        <v>0.0</v>
      </c>
      <c r="N37" s="482">
        <v>50.0</v>
      </c>
      <c r="O37" s="482">
        <v>50.0</v>
      </c>
      <c r="P37" s="481">
        <v>0.0</v>
      </c>
      <c r="Q37" s="481">
        <v>0.0</v>
      </c>
      <c r="R37" s="481">
        <v>0.0</v>
      </c>
      <c r="S37" s="481">
        <v>0.0</v>
      </c>
      <c r="T37" s="481">
        <v>0.0</v>
      </c>
      <c r="U37" s="533">
        <f t="shared" si="1"/>
        <v>100</v>
      </c>
      <c r="V37" s="481">
        <v>30.0</v>
      </c>
      <c r="W37" s="481">
        <v>18.0</v>
      </c>
      <c r="X37" s="481">
        <v>26.0</v>
      </c>
      <c r="Y37" s="481">
        <v>30.0</v>
      </c>
      <c r="Z37" s="481">
        <v>50.0</v>
      </c>
      <c r="AA37" s="481">
        <v>50.0</v>
      </c>
      <c r="AB37" s="481">
        <v>10.0</v>
      </c>
      <c r="AC37" s="481">
        <v>10.0</v>
      </c>
      <c r="AD37" s="481">
        <v>2.0</v>
      </c>
      <c r="AE37" s="492">
        <v>0.0</v>
      </c>
      <c r="AF37" s="481">
        <v>0.0</v>
      </c>
      <c r="AG37" s="534">
        <f t="shared" si="9"/>
        <v>226</v>
      </c>
      <c r="AH37" s="481">
        <v>30.0</v>
      </c>
      <c r="AI37" s="481">
        <v>18.0</v>
      </c>
      <c r="AJ37" s="481">
        <v>26.0</v>
      </c>
      <c r="AK37" s="481">
        <v>30.0</v>
      </c>
      <c r="AL37" s="481">
        <v>50.0</v>
      </c>
      <c r="AM37" s="481">
        <v>50.0</v>
      </c>
      <c r="AN37" s="481">
        <v>10.0</v>
      </c>
      <c r="AO37" s="481">
        <v>10.0</v>
      </c>
      <c r="AP37" s="481">
        <v>2.0</v>
      </c>
      <c r="AQ37" s="492">
        <v>0.0</v>
      </c>
      <c r="AR37" s="481">
        <v>0.0</v>
      </c>
      <c r="AS37" s="533">
        <f t="shared" si="10"/>
        <v>226</v>
      </c>
      <c r="AT37" s="535">
        <f t="shared" si="4"/>
        <v>552</v>
      </c>
      <c r="AU37" s="484">
        <v>160.0</v>
      </c>
      <c r="AV37" s="484">
        <v>648.0</v>
      </c>
      <c r="AW37" s="484">
        <v>11.81</v>
      </c>
      <c r="AX37" s="484">
        <v>82.3157</v>
      </c>
      <c r="AY37" s="504"/>
      <c r="AZ37" s="487">
        <f t="shared" si="5"/>
        <v>8231.57</v>
      </c>
      <c r="BA37" s="487">
        <f t="shared" si="6"/>
        <v>18603.3482</v>
      </c>
      <c r="BB37" s="487">
        <f t="shared" si="7"/>
        <v>18603.3482</v>
      </c>
      <c r="BC37" s="487">
        <f t="shared" si="8"/>
        <v>45438.2664</v>
      </c>
      <c r="BD37" s="489"/>
      <c r="BE37" s="505"/>
      <c r="BF37" s="412"/>
    </row>
    <row r="38" ht="15.75" customHeight="1">
      <c r="A38" s="567" t="s">
        <v>2808</v>
      </c>
      <c r="B38" s="568" t="s">
        <v>118</v>
      </c>
      <c r="C38" s="567" t="s">
        <v>2708</v>
      </c>
      <c r="D38" s="567" t="s">
        <v>1763</v>
      </c>
      <c r="E38" s="569" t="s">
        <v>2709</v>
      </c>
      <c r="F38" s="569" t="s">
        <v>2890</v>
      </c>
      <c r="G38" s="461">
        <v>1.0919457E7</v>
      </c>
      <c r="H38" s="568" t="s">
        <v>3528</v>
      </c>
      <c r="I38" s="567" t="s">
        <v>25</v>
      </c>
      <c r="J38" s="461">
        <v>1.0</v>
      </c>
      <c r="K38" s="461">
        <v>0.0</v>
      </c>
      <c r="L38" s="461">
        <v>1.0</v>
      </c>
      <c r="M38" s="461">
        <v>0.0</v>
      </c>
      <c r="N38" s="461">
        <v>0.0</v>
      </c>
      <c r="O38" s="461">
        <v>0.0</v>
      </c>
      <c r="P38" s="461">
        <v>0.0</v>
      </c>
      <c r="Q38" s="461">
        <v>0.0</v>
      </c>
      <c r="R38" s="461">
        <v>0.0</v>
      </c>
      <c r="S38" s="461">
        <v>1.0</v>
      </c>
      <c r="T38" s="461">
        <v>0.0</v>
      </c>
      <c r="U38" s="533">
        <f t="shared" si="1"/>
        <v>3</v>
      </c>
      <c r="V38" s="461">
        <v>1.0</v>
      </c>
      <c r="W38" s="461">
        <v>0.0</v>
      </c>
      <c r="X38" s="461">
        <v>1.0</v>
      </c>
      <c r="Y38" s="461">
        <v>0.0</v>
      </c>
      <c r="Z38" s="461">
        <v>0.0</v>
      </c>
      <c r="AA38" s="461">
        <v>0.0</v>
      </c>
      <c r="AB38" s="461">
        <v>0.0</v>
      </c>
      <c r="AC38" s="461">
        <v>0.0</v>
      </c>
      <c r="AD38" s="461">
        <v>0.0</v>
      </c>
      <c r="AE38" s="461">
        <v>1.0</v>
      </c>
      <c r="AF38" s="461">
        <v>0.0</v>
      </c>
      <c r="AG38" s="534">
        <f t="shared" si="9"/>
        <v>3</v>
      </c>
      <c r="AH38" s="461">
        <v>1.0</v>
      </c>
      <c r="AI38" s="461">
        <v>0.0</v>
      </c>
      <c r="AJ38" s="461">
        <v>1.0</v>
      </c>
      <c r="AK38" s="461">
        <v>0.0</v>
      </c>
      <c r="AL38" s="461">
        <v>0.0</v>
      </c>
      <c r="AM38" s="461">
        <v>0.0</v>
      </c>
      <c r="AN38" s="461">
        <v>0.0</v>
      </c>
      <c r="AO38" s="461">
        <v>0.0</v>
      </c>
      <c r="AP38" s="461">
        <v>0.0</v>
      </c>
      <c r="AQ38" s="461">
        <v>1.0</v>
      </c>
      <c r="AR38" s="461">
        <v>0.0</v>
      </c>
      <c r="AS38" s="533">
        <f t="shared" si="10"/>
        <v>3</v>
      </c>
      <c r="AT38" s="1032">
        <f t="shared" si="4"/>
        <v>9</v>
      </c>
      <c r="AU38" s="466">
        <v>2.0</v>
      </c>
      <c r="AV38" s="461">
        <v>11.0</v>
      </c>
      <c r="AW38" s="461">
        <v>384.33</v>
      </c>
      <c r="AX38" s="461">
        <v>2678.7801</v>
      </c>
      <c r="AY38" s="468"/>
      <c r="AZ38" s="469">
        <f t="shared" si="5"/>
        <v>8036.3403</v>
      </c>
      <c r="BA38" s="469">
        <f t="shared" si="6"/>
        <v>8036.3403</v>
      </c>
      <c r="BB38" s="469">
        <f t="shared" si="7"/>
        <v>8036.3403</v>
      </c>
      <c r="BC38" s="469">
        <f t="shared" si="8"/>
        <v>24109.0209</v>
      </c>
      <c r="BD38" s="471"/>
      <c r="BE38" s="469"/>
      <c r="BF38" s="412"/>
    </row>
    <row r="39" ht="15.75" customHeight="1">
      <c r="A39" s="571" t="s">
        <v>2852</v>
      </c>
      <c r="B39" s="571" t="s">
        <v>52</v>
      </c>
      <c r="C39" s="571" t="s">
        <v>2708</v>
      </c>
      <c r="D39" s="571" t="s">
        <v>1763</v>
      </c>
      <c r="E39" s="569" t="s">
        <v>2709</v>
      </c>
      <c r="F39" s="569" t="s">
        <v>2874</v>
      </c>
      <c r="G39" s="484">
        <v>1.0441667E7</v>
      </c>
      <c r="H39" s="571" t="s">
        <v>3441</v>
      </c>
      <c r="I39" s="571" t="s">
        <v>25</v>
      </c>
      <c r="J39" s="481">
        <v>0.0</v>
      </c>
      <c r="K39" s="481">
        <v>0.0</v>
      </c>
      <c r="L39" s="481">
        <v>0.0</v>
      </c>
      <c r="M39" s="482">
        <v>2.0</v>
      </c>
      <c r="N39" s="482">
        <v>2.0</v>
      </c>
      <c r="O39" s="482">
        <v>4.0</v>
      </c>
      <c r="P39" s="481">
        <v>0.0</v>
      </c>
      <c r="Q39" s="481">
        <v>0.0</v>
      </c>
      <c r="R39" s="481">
        <v>0.0</v>
      </c>
      <c r="S39" s="481">
        <v>0.0</v>
      </c>
      <c r="T39" s="481">
        <v>0.0</v>
      </c>
      <c r="U39" s="533">
        <f t="shared" si="1"/>
        <v>8</v>
      </c>
      <c r="V39" s="481">
        <v>5.0</v>
      </c>
      <c r="W39" s="481">
        <v>3.0</v>
      </c>
      <c r="X39" s="481">
        <v>5.0</v>
      </c>
      <c r="Y39" s="481">
        <v>2.0</v>
      </c>
      <c r="Z39" s="481">
        <v>2.0</v>
      </c>
      <c r="AA39" s="481">
        <v>4.0</v>
      </c>
      <c r="AB39" s="481">
        <v>2.0</v>
      </c>
      <c r="AC39" s="481">
        <v>2.0</v>
      </c>
      <c r="AD39" s="481">
        <v>1.0</v>
      </c>
      <c r="AE39" s="492">
        <v>0.0</v>
      </c>
      <c r="AF39" s="481">
        <v>0.0</v>
      </c>
      <c r="AG39" s="534">
        <f t="shared" si="9"/>
        <v>26</v>
      </c>
      <c r="AH39" s="481">
        <v>5.0</v>
      </c>
      <c r="AI39" s="481">
        <v>3.0</v>
      </c>
      <c r="AJ39" s="481">
        <v>5.0</v>
      </c>
      <c r="AK39" s="481">
        <v>2.0</v>
      </c>
      <c r="AL39" s="481">
        <v>2.0</v>
      </c>
      <c r="AM39" s="481">
        <v>4.0</v>
      </c>
      <c r="AN39" s="481">
        <v>2.0</v>
      </c>
      <c r="AO39" s="481">
        <v>2.0</v>
      </c>
      <c r="AP39" s="481">
        <v>1.0</v>
      </c>
      <c r="AQ39" s="492">
        <v>0.0</v>
      </c>
      <c r="AR39" s="481">
        <v>0.0</v>
      </c>
      <c r="AS39" s="533">
        <f t="shared" si="10"/>
        <v>26</v>
      </c>
      <c r="AT39" s="535">
        <f t="shared" si="4"/>
        <v>60</v>
      </c>
      <c r="AU39" s="484">
        <v>632.0</v>
      </c>
      <c r="AV39" s="484">
        <v>692.0</v>
      </c>
      <c r="AW39" s="484">
        <v>133.56</v>
      </c>
      <c r="AX39" s="484">
        <v>930.9132</v>
      </c>
      <c r="AY39" s="504"/>
      <c r="AZ39" s="487">
        <f t="shared" si="5"/>
        <v>7447.3056</v>
      </c>
      <c r="BA39" s="487">
        <f t="shared" si="6"/>
        <v>24203.7432</v>
      </c>
      <c r="BB39" s="487">
        <f t="shared" si="7"/>
        <v>24203.7432</v>
      </c>
      <c r="BC39" s="487">
        <f t="shared" si="8"/>
        <v>55854.792</v>
      </c>
      <c r="BD39" s="489"/>
      <c r="BE39" s="505"/>
      <c r="BF39" s="412"/>
    </row>
    <row r="40" ht="15.75" customHeight="1">
      <c r="A40" s="567" t="s">
        <v>2808</v>
      </c>
      <c r="B40" s="568" t="s">
        <v>213</v>
      </c>
      <c r="C40" s="567" t="s">
        <v>2708</v>
      </c>
      <c r="D40" s="567" t="s">
        <v>1763</v>
      </c>
      <c r="E40" s="569" t="s">
        <v>2855</v>
      </c>
      <c r="F40" s="569" t="s">
        <v>2877</v>
      </c>
      <c r="G40" s="461">
        <v>1.0009733E7</v>
      </c>
      <c r="H40" s="568" t="s">
        <v>3660</v>
      </c>
      <c r="I40" s="567" t="s">
        <v>25</v>
      </c>
      <c r="J40" s="461">
        <v>8.0</v>
      </c>
      <c r="K40" s="461">
        <v>5.0</v>
      </c>
      <c r="L40" s="461">
        <v>10.0</v>
      </c>
      <c r="M40" s="462">
        <v>0.0</v>
      </c>
      <c r="N40" s="462">
        <v>0.0</v>
      </c>
      <c r="O40" s="462">
        <v>0.0</v>
      </c>
      <c r="P40" s="461">
        <v>10.0</v>
      </c>
      <c r="Q40" s="461">
        <v>10.0</v>
      </c>
      <c r="R40" s="461">
        <v>2.0</v>
      </c>
      <c r="S40" s="461">
        <v>10.0</v>
      </c>
      <c r="T40" s="461">
        <v>0.0</v>
      </c>
      <c r="U40" s="533">
        <f t="shared" si="1"/>
        <v>55</v>
      </c>
      <c r="V40" s="461">
        <v>15.0</v>
      </c>
      <c r="W40" s="461">
        <v>10.0</v>
      </c>
      <c r="X40" s="461">
        <v>20.0</v>
      </c>
      <c r="Y40" s="461">
        <v>17.0</v>
      </c>
      <c r="Z40" s="461">
        <v>17.0</v>
      </c>
      <c r="AA40" s="461">
        <v>26.0</v>
      </c>
      <c r="AB40" s="461">
        <v>20.0</v>
      </c>
      <c r="AC40" s="461">
        <v>20.0</v>
      </c>
      <c r="AD40" s="461">
        <v>5.0</v>
      </c>
      <c r="AE40" s="461">
        <v>20.0</v>
      </c>
      <c r="AF40" s="461">
        <v>0.0</v>
      </c>
      <c r="AG40" s="534">
        <f t="shared" si="9"/>
        <v>170</v>
      </c>
      <c r="AH40" s="461">
        <v>15.0</v>
      </c>
      <c r="AI40" s="461">
        <v>10.0</v>
      </c>
      <c r="AJ40" s="461">
        <v>20.0</v>
      </c>
      <c r="AK40" s="461">
        <v>17.0</v>
      </c>
      <c r="AL40" s="461">
        <v>17.0</v>
      </c>
      <c r="AM40" s="461">
        <v>26.0</v>
      </c>
      <c r="AN40" s="461">
        <v>20.0</v>
      </c>
      <c r="AO40" s="461">
        <v>20.0</v>
      </c>
      <c r="AP40" s="461">
        <v>5.0</v>
      </c>
      <c r="AQ40" s="461">
        <v>20.0</v>
      </c>
      <c r="AR40" s="461">
        <v>0.0</v>
      </c>
      <c r="AS40" s="533">
        <f t="shared" si="10"/>
        <v>170</v>
      </c>
      <c r="AT40" s="1032">
        <f t="shared" si="4"/>
        <v>395</v>
      </c>
      <c r="AU40" s="466">
        <v>0.0</v>
      </c>
      <c r="AV40" s="461">
        <v>426.0</v>
      </c>
      <c r="AW40" s="461">
        <v>19.19</v>
      </c>
      <c r="AX40" s="461">
        <v>133.7543</v>
      </c>
      <c r="AY40" s="468"/>
      <c r="AZ40" s="469">
        <f t="shared" si="5"/>
        <v>7356.4865</v>
      </c>
      <c r="BA40" s="469">
        <f t="shared" si="6"/>
        <v>22738.231</v>
      </c>
      <c r="BB40" s="469">
        <f t="shared" si="7"/>
        <v>22738.231</v>
      </c>
      <c r="BC40" s="469">
        <f t="shared" si="8"/>
        <v>52832.9485</v>
      </c>
      <c r="BD40" s="471"/>
      <c r="BE40" s="469"/>
      <c r="BF40" s="412"/>
    </row>
    <row r="41" ht="15.75" customHeight="1">
      <c r="A41" s="562" t="s">
        <v>2707</v>
      </c>
      <c r="B41" s="571" t="s">
        <v>785</v>
      </c>
      <c r="C41" s="562" t="s">
        <v>2708</v>
      </c>
      <c r="D41" s="562" t="s">
        <v>1763</v>
      </c>
      <c r="E41" s="569" t="s">
        <v>2709</v>
      </c>
      <c r="F41" s="569" t="s">
        <v>2741</v>
      </c>
      <c r="G41" s="481">
        <v>1.0288696E7</v>
      </c>
      <c r="H41" s="571" t="s">
        <v>612</v>
      </c>
      <c r="I41" s="562" t="s">
        <v>25</v>
      </c>
      <c r="J41" s="481">
        <v>5.0</v>
      </c>
      <c r="K41" s="481">
        <v>3.0</v>
      </c>
      <c r="L41" s="481">
        <v>5.0</v>
      </c>
      <c r="M41" s="481">
        <v>4.0</v>
      </c>
      <c r="N41" s="481">
        <v>4.0</v>
      </c>
      <c r="O41" s="481">
        <v>5.0</v>
      </c>
      <c r="P41" s="481">
        <v>6.0</v>
      </c>
      <c r="Q41" s="481">
        <v>6.0</v>
      </c>
      <c r="R41" s="481">
        <v>2.0</v>
      </c>
      <c r="S41" s="492">
        <v>0.0</v>
      </c>
      <c r="T41" s="481">
        <v>0.0</v>
      </c>
      <c r="U41" s="533">
        <f t="shared" si="1"/>
        <v>40</v>
      </c>
      <c r="V41" s="481">
        <v>5.0</v>
      </c>
      <c r="W41" s="481">
        <v>3.0</v>
      </c>
      <c r="X41" s="481">
        <v>5.0</v>
      </c>
      <c r="Y41" s="481">
        <v>4.0</v>
      </c>
      <c r="Z41" s="481">
        <v>4.0</v>
      </c>
      <c r="AA41" s="481">
        <v>5.0</v>
      </c>
      <c r="AB41" s="481">
        <v>6.0</v>
      </c>
      <c r="AC41" s="481">
        <v>6.0</v>
      </c>
      <c r="AD41" s="481">
        <v>2.0</v>
      </c>
      <c r="AE41" s="492">
        <v>0.0</v>
      </c>
      <c r="AF41" s="481">
        <v>0.0</v>
      </c>
      <c r="AG41" s="534">
        <f t="shared" si="9"/>
        <v>40</v>
      </c>
      <c r="AH41" s="481">
        <v>5.0</v>
      </c>
      <c r="AI41" s="481">
        <v>3.0</v>
      </c>
      <c r="AJ41" s="481">
        <v>5.0</v>
      </c>
      <c r="AK41" s="481">
        <v>4.0</v>
      </c>
      <c r="AL41" s="481">
        <v>4.0</v>
      </c>
      <c r="AM41" s="481">
        <v>5.0</v>
      </c>
      <c r="AN41" s="481">
        <v>6.0</v>
      </c>
      <c r="AO41" s="481">
        <v>6.0</v>
      </c>
      <c r="AP41" s="481">
        <v>2.0</v>
      </c>
      <c r="AQ41" s="481">
        <v>6.0</v>
      </c>
      <c r="AR41" s="481">
        <v>0.0</v>
      </c>
      <c r="AS41" s="533">
        <f t="shared" si="10"/>
        <v>46</v>
      </c>
      <c r="AT41" s="535">
        <f t="shared" si="4"/>
        <v>126</v>
      </c>
      <c r="AU41" s="484">
        <v>0.0</v>
      </c>
      <c r="AV41" s="481">
        <v>138.0</v>
      </c>
      <c r="AW41" s="481">
        <v>25.5</v>
      </c>
      <c r="AX41" s="481">
        <v>177.73499999999999</v>
      </c>
      <c r="AY41" s="486"/>
      <c r="AZ41" s="487">
        <f t="shared" si="5"/>
        <v>7109.4</v>
      </c>
      <c r="BA41" s="487">
        <f t="shared" si="6"/>
        <v>7109.4</v>
      </c>
      <c r="BB41" s="487">
        <f t="shared" si="7"/>
        <v>8175.81</v>
      </c>
      <c r="BC41" s="487">
        <f t="shared" si="8"/>
        <v>22394.61</v>
      </c>
      <c r="BD41" s="489"/>
      <c r="BE41" s="487"/>
      <c r="BF41" s="412"/>
    </row>
    <row r="42" ht="15.75" customHeight="1">
      <c r="A42" s="567" t="s">
        <v>2707</v>
      </c>
      <c r="B42" s="568" t="s">
        <v>56</v>
      </c>
      <c r="C42" s="567" t="s">
        <v>2708</v>
      </c>
      <c r="D42" s="567" t="s">
        <v>1763</v>
      </c>
      <c r="E42" s="569" t="s">
        <v>2709</v>
      </c>
      <c r="F42" s="569" t="s">
        <v>2887</v>
      </c>
      <c r="G42" s="461">
        <v>1.0252061E7</v>
      </c>
      <c r="H42" s="568" t="s">
        <v>2009</v>
      </c>
      <c r="I42" s="567" t="s">
        <v>25</v>
      </c>
      <c r="J42" s="461">
        <v>10.0</v>
      </c>
      <c r="K42" s="461">
        <v>6.0</v>
      </c>
      <c r="L42" s="461">
        <v>10.0</v>
      </c>
      <c r="M42" s="462">
        <v>30.0</v>
      </c>
      <c r="N42" s="462">
        <v>0.0</v>
      </c>
      <c r="O42" s="462">
        <v>0.0</v>
      </c>
      <c r="P42" s="461">
        <v>88.0</v>
      </c>
      <c r="Q42" s="461">
        <v>130.0</v>
      </c>
      <c r="R42" s="461">
        <v>39.0</v>
      </c>
      <c r="S42" s="490">
        <v>0.0</v>
      </c>
      <c r="T42" s="461">
        <v>0.0</v>
      </c>
      <c r="U42" s="533">
        <f t="shared" si="1"/>
        <v>313</v>
      </c>
      <c r="V42" s="461">
        <v>5.0</v>
      </c>
      <c r="W42" s="461">
        <v>3.0</v>
      </c>
      <c r="X42" s="461">
        <v>5.0</v>
      </c>
      <c r="Y42" s="461">
        <v>120.0</v>
      </c>
      <c r="Z42" s="461">
        <v>70.0</v>
      </c>
      <c r="AA42" s="461">
        <v>100.0</v>
      </c>
      <c r="AB42" s="461">
        <v>45.0</v>
      </c>
      <c r="AC42" s="461">
        <v>66.0</v>
      </c>
      <c r="AD42" s="461">
        <v>20.0</v>
      </c>
      <c r="AE42" s="490">
        <v>0.0</v>
      </c>
      <c r="AF42" s="461">
        <v>0.0</v>
      </c>
      <c r="AG42" s="534">
        <f t="shared" si="9"/>
        <v>434</v>
      </c>
      <c r="AH42" s="461">
        <v>5.0</v>
      </c>
      <c r="AI42" s="461">
        <v>3.0</v>
      </c>
      <c r="AJ42" s="461">
        <v>5.0</v>
      </c>
      <c r="AK42" s="461">
        <v>120.0</v>
      </c>
      <c r="AL42" s="461">
        <v>70.0</v>
      </c>
      <c r="AM42" s="461">
        <v>100.0</v>
      </c>
      <c r="AN42" s="461">
        <v>45.0</v>
      </c>
      <c r="AO42" s="461">
        <v>66.0</v>
      </c>
      <c r="AP42" s="461">
        <v>20.0</v>
      </c>
      <c r="AQ42" s="490">
        <v>0.0</v>
      </c>
      <c r="AR42" s="461">
        <v>0.0</v>
      </c>
      <c r="AS42" s="533">
        <f t="shared" si="10"/>
        <v>434</v>
      </c>
      <c r="AT42" s="1032">
        <f t="shared" si="4"/>
        <v>1181</v>
      </c>
      <c r="AU42" s="466">
        <v>0.0</v>
      </c>
      <c r="AV42" s="461">
        <v>1922.0</v>
      </c>
      <c r="AW42" s="461">
        <v>3.08</v>
      </c>
      <c r="AX42" s="461">
        <v>21.4676</v>
      </c>
      <c r="AY42" s="494"/>
      <c r="AZ42" s="469">
        <f t="shared" si="5"/>
        <v>6719.3588</v>
      </c>
      <c r="BA42" s="469">
        <f t="shared" si="6"/>
        <v>9316.9384</v>
      </c>
      <c r="BB42" s="469">
        <f t="shared" si="7"/>
        <v>9316.9384</v>
      </c>
      <c r="BC42" s="469">
        <f t="shared" si="8"/>
        <v>25353.2356</v>
      </c>
      <c r="BD42" s="471"/>
      <c r="BE42" s="469"/>
      <c r="BF42" s="412"/>
    </row>
    <row r="43" ht="15.75" customHeight="1">
      <c r="A43" s="571" t="s">
        <v>2852</v>
      </c>
      <c r="B43" s="571" t="s">
        <v>52</v>
      </c>
      <c r="C43" s="571" t="s">
        <v>2708</v>
      </c>
      <c r="D43" s="571" t="s">
        <v>1763</v>
      </c>
      <c r="E43" s="569" t="s">
        <v>2709</v>
      </c>
      <c r="F43" s="569" t="s">
        <v>2880</v>
      </c>
      <c r="G43" s="484">
        <v>1.0488429E7</v>
      </c>
      <c r="H43" s="571" t="s">
        <v>265</v>
      </c>
      <c r="I43" s="571" t="s">
        <v>25</v>
      </c>
      <c r="J43" s="481">
        <v>0.0</v>
      </c>
      <c r="K43" s="481">
        <v>0.0</v>
      </c>
      <c r="L43" s="481">
        <v>0.0</v>
      </c>
      <c r="M43" s="482">
        <v>6.0</v>
      </c>
      <c r="N43" s="482">
        <v>6.0</v>
      </c>
      <c r="O43" s="481">
        <v>0.0</v>
      </c>
      <c r="P43" s="481">
        <v>0.0</v>
      </c>
      <c r="Q43" s="492">
        <v>5.0</v>
      </c>
      <c r="R43" s="481">
        <v>0.0</v>
      </c>
      <c r="S43" s="492">
        <v>6.0</v>
      </c>
      <c r="T43" s="481">
        <v>0.0</v>
      </c>
      <c r="U43" s="533">
        <f t="shared" si="1"/>
        <v>23</v>
      </c>
      <c r="V43" s="481">
        <v>6.0</v>
      </c>
      <c r="W43" s="481">
        <v>3.0</v>
      </c>
      <c r="X43" s="481">
        <v>6.0</v>
      </c>
      <c r="Y43" s="481">
        <v>6.0</v>
      </c>
      <c r="Z43" s="481">
        <v>6.0</v>
      </c>
      <c r="AA43" s="481">
        <v>10.0</v>
      </c>
      <c r="AB43" s="481">
        <v>10.0</v>
      </c>
      <c r="AC43" s="492">
        <v>5.0</v>
      </c>
      <c r="AD43" s="481">
        <v>2.0</v>
      </c>
      <c r="AE43" s="481">
        <v>6.0</v>
      </c>
      <c r="AF43" s="481">
        <v>0.0</v>
      </c>
      <c r="AG43" s="534">
        <f t="shared" si="9"/>
        <v>60</v>
      </c>
      <c r="AH43" s="481">
        <v>6.0</v>
      </c>
      <c r="AI43" s="481">
        <v>3.0</v>
      </c>
      <c r="AJ43" s="481">
        <v>6.0</v>
      </c>
      <c r="AK43" s="481">
        <v>6.0</v>
      </c>
      <c r="AL43" s="481">
        <v>6.0</v>
      </c>
      <c r="AM43" s="481">
        <v>10.0</v>
      </c>
      <c r="AN43" s="481">
        <v>10.0</v>
      </c>
      <c r="AO43" s="481">
        <v>10.0</v>
      </c>
      <c r="AP43" s="481">
        <v>2.0</v>
      </c>
      <c r="AQ43" s="481">
        <v>6.0</v>
      </c>
      <c r="AR43" s="481">
        <v>0.0</v>
      </c>
      <c r="AS43" s="533">
        <f t="shared" si="10"/>
        <v>65</v>
      </c>
      <c r="AT43" s="535">
        <f t="shared" si="4"/>
        <v>148</v>
      </c>
      <c r="AU43" s="484">
        <v>576.0</v>
      </c>
      <c r="AV43" s="484">
        <v>706.0</v>
      </c>
      <c r="AW43" s="484">
        <v>40.61</v>
      </c>
      <c r="AX43" s="484">
        <v>283.0517</v>
      </c>
      <c r="AY43" s="1036"/>
      <c r="AZ43" s="487">
        <f t="shared" si="5"/>
        <v>6510.1891</v>
      </c>
      <c r="BA43" s="487">
        <f t="shared" si="6"/>
        <v>16983.102</v>
      </c>
      <c r="BB43" s="487">
        <f t="shared" si="7"/>
        <v>18398.3605</v>
      </c>
      <c r="BC43" s="487">
        <f t="shared" si="8"/>
        <v>41891.6516</v>
      </c>
      <c r="BD43" s="489"/>
      <c r="BE43" s="505"/>
      <c r="BF43" s="412"/>
    </row>
    <row r="44" ht="15.75" customHeight="1">
      <c r="A44" s="568" t="s">
        <v>2852</v>
      </c>
      <c r="B44" s="568" t="s">
        <v>52</v>
      </c>
      <c r="C44" s="568" t="s">
        <v>2708</v>
      </c>
      <c r="D44" s="568" t="s">
        <v>1763</v>
      </c>
      <c r="E44" s="569" t="s">
        <v>2709</v>
      </c>
      <c r="F44" s="569" t="s">
        <v>2899</v>
      </c>
      <c r="G44" s="466">
        <v>1.0000313E7</v>
      </c>
      <c r="H44" s="568" t="s">
        <v>786</v>
      </c>
      <c r="I44" s="568" t="s">
        <v>25</v>
      </c>
      <c r="J44" s="461">
        <v>197.0</v>
      </c>
      <c r="K44" s="461">
        <v>117.0</v>
      </c>
      <c r="L44" s="461">
        <v>172.0</v>
      </c>
      <c r="M44" s="461">
        <v>222.0</v>
      </c>
      <c r="N44" s="461">
        <v>254.0</v>
      </c>
      <c r="O44" s="461">
        <v>420.0</v>
      </c>
      <c r="P44" s="462">
        <v>0.0</v>
      </c>
      <c r="Q44" s="461">
        <v>314.0</v>
      </c>
      <c r="R44" s="461">
        <v>54.0</v>
      </c>
      <c r="S44" s="490">
        <v>0.0</v>
      </c>
      <c r="T44" s="461">
        <v>0.0</v>
      </c>
      <c r="U44" s="533">
        <f t="shared" si="1"/>
        <v>1750</v>
      </c>
      <c r="V44" s="461">
        <v>197.0</v>
      </c>
      <c r="W44" s="461">
        <v>117.0</v>
      </c>
      <c r="X44" s="461">
        <v>172.0</v>
      </c>
      <c r="Y44" s="461">
        <v>222.0</v>
      </c>
      <c r="Z44" s="461">
        <v>254.0</v>
      </c>
      <c r="AA44" s="461">
        <v>420.0</v>
      </c>
      <c r="AB44" s="462">
        <v>0.0</v>
      </c>
      <c r="AC44" s="461">
        <v>314.0</v>
      </c>
      <c r="AD44" s="461">
        <v>54.0</v>
      </c>
      <c r="AE44" s="490">
        <v>0.0</v>
      </c>
      <c r="AF44" s="461">
        <v>0.0</v>
      </c>
      <c r="AG44" s="534">
        <f t="shared" si="9"/>
        <v>1750</v>
      </c>
      <c r="AH44" s="461">
        <v>197.0</v>
      </c>
      <c r="AI44" s="461">
        <v>117.0</v>
      </c>
      <c r="AJ44" s="461">
        <v>172.0</v>
      </c>
      <c r="AK44" s="461">
        <v>222.0</v>
      </c>
      <c r="AL44" s="461">
        <v>254.0</v>
      </c>
      <c r="AM44" s="461">
        <v>420.0</v>
      </c>
      <c r="AN44" s="461">
        <v>266.0</v>
      </c>
      <c r="AO44" s="461">
        <v>314.0</v>
      </c>
      <c r="AP44" s="461">
        <v>54.0</v>
      </c>
      <c r="AQ44" s="461">
        <v>330.0</v>
      </c>
      <c r="AR44" s="461">
        <v>0.0</v>
      </c>
      <c r="AS44" s="533">
        <f t="shared" si="10"/>
        <v>2346</v>
      </c>
      <c r="AT44" s="1032">
        <f t="shared" si="4"/>
        <v>5846</v>
      </c>
      <c r="AU44" s="466">
        <v>0.0</v>
      </c>
      <c r="AV44" s="466">
        <v>7038.0</v>
      </c>
      <c r="AW44" s="466">
        <v>0.5</v>
      </c>
      <c r="AX44" s="466">
        <v>3.485</v>
      </c>
      <c r="AY44" s="538"/>
      <c r="AZ44" s="469">
        <f t="shared" si="5"/>
        <v>6098.75</v>
      </c>
      <c r="BA44" s="469">
        <f t="shared" si="6"/>
        <v>6098.75</v>
      </c>
      <c r="BB44" s="469">
        <f t="shared" si="7"/>
        <v>8175.81</v>
      </c>
      <c r="BC44" s="469">
        <f t="shared" si="8"/>
        <v>20373.31</v>
      </c>
      <c r="BD44" s="471"/>
      <c r="BE44" s="518"/>
      <c r="BF44" s="412"/>
    </row>
    <row r="45" ht="15.75" customHeight="1">
      <c r="A45" s="571" t="s">
        <v>2852</v>
      </c>
      <c r="B45" s="571" t="s">
        <v>52</v>
      </c>
      <c r="C45" s="571" t="s">
        <v>2708</v>
      </c>
      <c r="D45" s="571" t="s">
        <v>1763</v>
      </c>
      <c r="E45" s="569" t="s">
        <v>2709</v>
      </c>
      <c r="F45" s="569" t="s">
        <v>2900</v>
      </c>
      <c r="G45" s="484">
        <v>1.0274052E7</v>
      </c>
      <c r="H45" s="571" t="s">
        <v>726</v>
      </c>
      <c r="I45" s="571" t="s">
        <v>25</v>
      </c>
      <c r="J45" s="481">
        <v>23.0</v>
      </c>
      <c r="K45" s="481">
        <v>18.0</v>
      </c>
      <c r="L45" s="481">
        <v>28.0</v>
      </c>
      <c r="M45" s="481">
        <v>20.0</v>
      </c>
      <c r="N45" s="481">
        <v>23.0</v>
      </c>
      <c r="O45" s="481">
        <v>39.0</v>
      </c>
      <c r="P45" s="481">
        <v>18.0</v>
      </c>
      <c r="Q45" s="481">
        <v>18.0</v>
      </c>
      <c r="R45" s="481">
        <v>9.0</v>
      </c>
      <c r="S45" s="481">
        <v>28.0</v>
      </c>
      <c r="T45" s="481">
        <v>0.0</v>
      </c>
      <c r="U45" s="533">
        <f t="shared" si="1"/>
        <v>224</v>
      </c>
      <c r="V45" s="481">
        <v>25.0</v>
      </c>
      <c r="W45" s="481">
        <v>20.0</v>
      </c>
      <c r="X45" s="481">
        <v>30.0</v>
      </c>
      <c r="Y45" s="481">
        <v>22.0</v>
      </c>
      <c r="Z45" s="481">
        <v>25.0</v>
      </c>
      <c r="AA45" s="481">
        <v>42.0</v>
      </c>
      <c r="AB45" s="481">
        <v>20.0</v>
      </c>
      <c r="AC45" s="481">
        <v>20.0</v>
      </c>
      <c r="AD45" s="481">
        <v>10.0</v>
      </c>
      <c r="AE45" s="481">
        <v>30.0</v>
      </c>
      <c r="AF45" s="481">
        <v>0.0</v>
      </c>
      <c r="AG45" s="534">
        <f t="shared" si="9"/>
        <v>244</v>
      </c>
      <c r="AH45" s="481">
        <v>25.0</v>
      </c>
      <c r="AI45" s="481">
        <v>20.0</v>
      </c>
      <c r="AJ45" s="481">
        <v>30.0</v>
      </c>
      <c r="AK45" s="481">
        <v>22.0</v>
      </c>
      <c r="AL45" s="481">
        <v>25.0</v>
      </c>
      <c r="AM45" s="481">
        <v>42.0</v>
      </c>
      <c r="AN45" s="481">
        <v>20.0</v>
      </c>
      <c r="AO45" s="481">
        <v>20.0</v>
      </c>
      <c r="AP45" s="481">
        <v>10.0</v>
      </c>
      <c r="AQ45" s="481">
        <v>30.0</v>
      </c>
      <c r="AR45" s="481">
        <v>0.0</v>
      </c>
      <c r="AS45" s="533">
        <f t="shared" si="10"/>
        <v>244</v>
      </c>
      <c r="AT45" s="535">
        <f t="shared" si="4"/>
        <v>712</v>
      </c>
      <c r="AU45" s="484">
        <v>416.0</v>
      </c>
      <c r="AV45" s="484">
        <v>1128.0</v>
      </c>
      <c r="AW45" s="484">
        <v>3.81</v>
      </c>
      <c r="AX45" s="484">
        <v>26.555699999999998</v>
      </c>
      <c r="AY45" s="504"/>
      <c r="AZ45" s="487">
        <f t="shared" si="5"/>
        <v>5948.4768</v>
      </c>
      <c r="BA45" s="487">
        <f t="shared" si="6"/>
        <v>6479.5908</v>
      </c>
      <c r="BB45" s="487">
        <f t="shared" si="7"/>
        <v>6479.5908</v>
      </c>
      <c r="BC45" s="487">
        <f t="shared" si="8"/>
        <v>18907.6584</v>
      </c>
      <c r="BD45" s="489"/>
      <c r="BE45" s="505"/>
      <c r="BF45" s="412"/>
    </row>
    <row r="46" ht="15.75" customHeight="1">
      <c r="A46" s="568" t="s">
        <v>2852</v>
      </c>
      <c r="B46" s="568" t="s">
        <v>52</v>
      </c>
      <c r="C46" s="568" t="s">
        <v>2708</v>
      </c>
      <c r="D46" s="568" t="s">
        <v>1763</v>
      </c>
      <c r="E46" s="569" t="s">
        <v>2709</v>
      </c>
      <c r="F46" s="569" t="s">
        <v>2905</v>
      </c>
      <c r="G46" s="466">
        <v>1.0687475E7</v>
      </c>
      <c r="H46" s="568" t="s">
        <v>3451</v>
      </c>
      <c r="I46" s="568" t="s">
        <v>25</v>
      </c>
      <c r="J46" s="461">
        <v>4.0</v>
      </c>
      <c r="K46" s="461">
        <v>2.0</v>
      </c>
      <c r="L46" s="461">
        <v>4.0</v>
      </c>
      <c r="M46" s="461">
        <v>2.0</v>
      </c>
      <c r="N46" s="461">
        <v>2.0</v>
      </c>
      <c r="O46" s="461">
        <v>4.0</v>
      </c>
      <c r="P46" s="461">
        <v>1.0</v>
      </c>
      <c r="Q46" s="461">
        <v>1.0</v>
      </c>
      <c r="R46" s="461">
        <v>1.0</v>
      </c>
      <c r="S46" s="461">
        <v>1.0</v>
      </c>
      <c r="T46" s="461">
        <v>0.0</v>
      </c>
      <c r="U46" s="533">
        <f t="shared" si="1"/>
        <v>22</v>
      </c>
      <c r="V46" s="461">
        <v>4.0</v>
      </c>
      <c r="W46" s="461">
        <v>2.0</v>
      </c>
      <c r="X46" s="461">
        <v>4.0</v>
      </c>
      <c r="Y46" s="461">
        <v>2.0</v>
      </c>
      <c r="Z46" s="461">
        <v>2.0</v>
      </c>
      <c r="AA46" s="461">
        <v>4.0</v>
      </c>
      <c r="AB46" s="461">
        <v>1.0</v>
      </c>
      <c r="AC46" s="461">
        <v>1.0</v>
      </c>
      <c r="AD46" s="461">
        <v>1.0</v>
      </c>
      <c r="AE46" s="461">
        <v>1.0</v>
      </c>
      <c r="AF46" s="461">
        <v>0.0</v>
      </c>
      <c r="AG46" s="534">
        <f t="shared" si="9"/>
        <v>22</v>
      </c>
      <c r="AH46" s="461">
        <v>4.0</v>
      </c>
      <c r="AI46" s="461">
        <v>2.0</v>
      </c>
      <c r="AJ46" s="461">
        <v>4.0</v>
      </c>
      <c r="AK46" s="461">
        <v>2.0</v>
      </c>
      <c r="AL46" s="461">
        <v>2.0</v>
      </c>
      <c r="AM46" s="461">
        <v>4.0</v>
      </c>
      <c r="AN46" s="461">
        <v>1.0</v>
      </c>
      <c r="AO46" s="461">
        <v>1.0</v>
      </c>
      <c r="AP46" s="461">
        <v>1.0</v>
      </c>
      <c r="AQ46" s="461">
        <v>1.0</v>
      </c>
      <c r="AR46" s="461">
        <v>0.0</v>
      </c>
      <c r="AS46" s="533">
        <f t="shared" si="10"/>
        <v>22</v>
      </c>
      <c r="AT46" s="1032">
        <f t="shared" si="4"/>
        <v>66</v>
      </c>
      <c r="AU46" s="466">
        <v>34.0</v>
      </c>
      <c r="AV46" s="466">
        <v>100.0</v>
      </c>
      <c r="AW46" s="466">
        <v>33.92</v>
      </c>
      <c r="AX46" s="466">
        <v>236.4224</v>
      </c>
      <c r="AY46" s="538"/>
      <c r="AZ46" s="469">
        <f t="shared" si="5"/>
        <v>5201.2928</v>
      </c>
      <c r="BA46" s="469">
        <f t="shared" si="6"/>
        <v>5201.2928</v>
      </c>
      <c r="BB46" s="469">
        <f t="shared" si="7"/>
        <v>5201.2928</v>
      </c>
      <c r="BC46" s="469">
        <f t="shared" si="8"/>
        <v>15603.8784</v>
      </c>
      <c r="BD46" s="471"/>
      <c r="BE46" s="518"/>
      <c r="BF46" s="412"/>
    </row>
    <row r="47" ht="15.75" customHeight="1">
      <c r="A47" s="562" t="s">
        <v>2707</v>
      </c>
      <c r="B47" s="571" t="s">
        <v>150</v>
      </c>
      <c r="C47" s="562" t="s">
        <v>2722</v>
      </c>
      <c r="D47" s="562" t="s">
        <v>1763</v>
      </c>
      <c r="E47" s="569" t="s">
        <v>2723</v>
      </c>
      <c r="F47" s="569" t="s">
        <v>2747</v>
      </c>
      <c r="G47" s="481">
        <v>1.0302028E7</v>
      </c>
      <c r="H47" s="571" t="s">
        <v>3587</v>
      </c>
      <c r="I47" s="562" t="s">
        <v>25</v>
      </c>
      <c r="J47" s="481">
        <v>0.0</v>
      </c>
      <c r="K47" s="481">
        <v>0.0</v>
      </c>
      <c r="L47" s="481">
        <v>0.0</v>
      </c>
      <c r="M47" s="481">
        <v>0.0</v>
      </c>
      <c r="N47" s="481">
        <v>0.0</v>
      </c>
      <c r="O47" s="481">
        <v>0.0</v>
      </c>
      <c r="P47" s="481">
        <v>2.0</v>
      </c>
      <c r="Q47" s="481">
        <v>2.0</v>
      </c>
      <c r="R47" s="481">
        <v>0.0</v>
      </c>
      <c r="S47" s="481">
        <v>2.0</v>
      </c>
      <c r="T47" s="481">
        <v>0.0</v>
      </c>
      <c r="U47" s="533">
        <f t="shared" si="1"/>
        <v>6</v>
      </c>
      <c r="V47" s="481">
        <v>0.0</v>
      </c>
      <c r="W47" s="481">
        <v>0.0</v>
      </c>
      <c r="X47" s="481">
        <v>0.0</v>
      </c>
      <c r="Y47" s="481">
        <v>0.0</v>
      </c>
      <c r="Z47" s="481">
        <v>0.0</v>
      </c>
      <c r="AA47" s="481">
        <v>0.0</v>
      </c>
      <c r="AB47" s="481">
        <v>2.0</v>
      </c>
      <c r="AC47" s="481">
        <v>2.0</v>
      </c>
      <c r="AD47" s="481">
        <v>0.0</v>
      </c>
      <c r="AE47" s="481">
        <v>2.0</v>
      </c>
      <c r="AF47" s="481">
        <v>0.0</v>
      </c>
      <c r="AG47" s="534">
        <f t="shared" si="9"/>
        <v>6</v>
      </c>
      <c r="AH47" s="481">
        <v>0.0</v>
      </c>
      <c r="AI47" s="481">
        <v>0.0</v>
      </c>
      <c r="AJ47" s="481">
        <v>0.0</v>
      </c>
      <c r="AK47" s="481">
        <v>0.0</v>
      </c>
      <c r="AL47" s="481">
        <v>0.0</v>
      </c>
      <c r="AM47" s="481">
        <v>0.0</v>
      </c>
      <c r="AN47" s="481">
        <v>2.0</v>
      </c>
      <c r="AO47" s="481">
        <v>2.0</v>
      </c>
      <c r="AP47" s="481">
        <v>0.0</v>
      </c>
      <c r="AQ47" s="481">
        <v>2.0</v>
      </c>
      <c r="AR47" s="481">
        <v>0.0</v>
      </c>
      <c r="AS47" s="533">
        <f t="shared" si="10"/>
        <v>6</v>
      </c>
      <c r="AT47" s="535">
        <f t="shared" si="4"/>
        <v>18</v>
      </c>
      <c r="AU47" s="484">
        <v>6.0</v>
      </c>
      <c r="AV47" s="481">
        <v>24.0</v>
      </c>
      <c r="AW47" s="481">
        <v>120.56</v>
      </c>
      <c r="AX47" s="481">
        <v>840.3032</v>
      </c>
      <c r="AY47" s="486"/>
      <c r="AZ47" s="487">
        <f t="shared" si="5"/>
        <v>5041.8192</v>
      </c>
      <c r="BA47" s="487">
        <f t="shared" si="6"/>
        <v>5041.8192</v>
      </c>
      <c r="BB47" s="487">
        <f t="shared" si="7"/>
        <v>5041.8192</v>
      </c>
      <c r="BC47" s="487">
        <f t="shared" si="8"/>
        <v>15125.4576</v>
      </c>
      <c r="BD47" s="489"/>
      <c r="BE47" s="487"/>
      <c r="BF47" s="412"/>
    </row>
    <row r="48" ht="15.75" customHeight="1">
      <c r="A48" s="568" t="s">
        <v>2852</v>
      </c>
      <c r="B48" s="568" t="s">
        <v>52</v>
      </c>
      <c r="C48" s="568" t="s">
        <v>2708</v>
      </c>
      <c r="D48" s="568" t="s">
        <v>1763</v>
      </c>
      <c r="E48" s="569" t="s">
        <v>2709</v>
      </c>
      <c r="F48" s="1038"/>
      <c r="G48" s="466">
        <v>1.2006672E7</v>
      </c>
      <c r="H48" s="568" t="s">
        <v>3444</v>
      </c>
      <c r="I48" s="568" t="s">
        <v>25</v>
      </c>
      <c r="J48" s="461">
        <v>0.0</v>
      </c>
      <c r="K48" s="461">
        <v>0.0</v>
      </c>
      <c r="L48" s="461">
        <v>0.0</v>
      </c>
      <c r="M48" s="461">
        <v>0.0</v>
      </c>
      <c r="N48" s="461">
        <v>0.0</v>
      </c>
      <c r="O48" s="461">
        <v>0.0</v>
      </c>
      <c r="P48" s="461">
        <v>0.0</v>
      </c>
      <c r="Q48" s="490">
        <v>2.0</v>
      </c>
      <c r="R48" s="461">
        <v>0.0</v>
      </c>
      <c r="S48" s="461">
        <v>0.0</v>
      </c>
      <c r="T48" s="461">
        <v>0.0</v>
      </c>
      <c r="U48" s="533">
        <f t="shared" si="1"/>
        <v>2</v>
      </c>
      <c r="V48" s="461">
        <v>3.0</v>
      </c>
      <c r="W48" s="461">
        <v>2.0</v>
      </c>
      <c r="X48" s="461">
        <v>3.0</v>
      </c>
      <c r="Y48" s="461">
        <v>2.0</v>
      </c>
      <c r="Z48" s="461">
        <v>3.0</v>
      </c>
      <c r="AA48" s="461">
        <v>5.0</v>
      </c>
      <c r="AB48" s="461">
        <v>2.0</v>
      </c>
      <c r="AC48" s="461">
        <v>2.0</v>
      </c>
      <c r="AD48" s="461">
        <v>0.0</v>
      </c>
      <c r="AE48" s="490">
        <v>0.0</v>
      </c>
      <c r="AF48" s="461">
        <v>0.0</v>
      </c>
      <c r="AG48" s="534">
        <f t="shared" si="9"/>
        <v>22</v>
      </c>
      <c r="AH48" s="461">
        <v>3.0</v>
      </c>
      <c r="AI48" s="461">
        <v>2.0</v>
      </c>
      <c r="AJ48" s="461">
        <v>3.0</v>
      </c>
      <c r="AK48" s="461">
        <v>2.0</v>
      </c>
      <c r="AL48" s="461">
        <v>3.0</v>
      </c>
      <c r="AM48" s="461">
        <v>5.0</v>
      </c>
      <c r="AN48" s="461">
        <v>2.0</v>
      </c>
      <c r="AO48" s="461">
        <v>2.0</v>
      </c>
      <c r="AP48" s="461">
        <v>0.0</v>
      </c>
      <c r="AQ48" s="490">
        <v>0.0</v>
      </c>
      <c r="AR48" s="461">
        <v>0.0</v>
      </c>
      <c r="AS48" s="533">
        <f t="shared" si="10"/>
        <v>22</v>
      </c>
      <c r="AT48" s="1032">
        <f t="shared" si="4"/>
        <v>46</v>
      </c>
      <c r="AU48" s="466">
        <v>40.0</v>
      </c>
      <c r="AV48" s="466">
        <v>90.0</v>
      </c>
      <c r="AW48" s="466">
        <v>357.72</v>
      </c>
      <c r="AX48" s="466">
        <v>2493.3084</v>
      </c>
      <c r="AY48" s="538"/>
      <c r="AZ48" s="469">
        <f t="shared" si="5"/>
        <v>4986.6168</v>
      </c>
      <c r="BA48" s="469">
        <f t="shared" si="6"/>
        <v>54852.7848</v>
      </c>
      <c r="BB48" s="469">
        <f t="shared" si="7"/>
        <v>54852.7848</v>
      </c>
      <c r="BC48" s="469">
        <f t="shared" si="8"/>
        <v>114692.1864</v>
      </c>
      <c r="BD48" s="471"/>
      <c r="BE48" s="518"/>
      <c r="BF48" s="412"/>
    </row>
    <row r="49" ht="15.75" customHeight="1">
      <c r="A49" s="571" t="s">
        <v>2852</v>
      </c>
      <c r="B49" s="571" t="s">
        <v>52</v>
      </c>
      <c r="C49" s="571" t="s">
        <v>2708</v>
      </c>
      <c r="D49" s="571" t="s">
        <v>1763</v>
      </c>
      <c r="E49" s="569" t="s">
        <v>2709</v>
      </c>
      <c r="F49" s="569" t="s">
        <v>2876</v>
      </c>
      <c r="G49" s="484">
        <v>1.0274056E7</v>
      </c>
      <c r="H49" s="571" t="s">
        <v>3447</v>
      </c>
      <c r="I49" s="571" t="s">
        <v>25</v>
      </c>
      <c r="J49" s="481">
        <v>0.0</v>
      </c>
      <c r="K49" s="481">
        <v>0.0</v>
      </c>
      <c r="L49" s="481">
        <v>0.0</v>
      </c>
      <c r="M49" s="482">
        <v>20.0</v>
      </c>
      <c r="N49" s="482">
        <v>25.0</v>
      </c>
      <c r="O49" s="481">
        <v>0.0</v>
      </c>
      <c r="P49" s="481">
        <v>0.0</v>
      </c>
      <c r="Q49" s="481">
        <v>0.0</v>
      </c>
      <c r="R49" s="481">
        <v>0.0</v>
      </c>
      <c r="S49" s="481">
        <v>0.0</v>
      </c>
      <c r="T49" s="481">
        <v>0.0</v>
      </c>
      <c r="U49" s="533">
        <f t="shared" si="1"/>
        <v>45</v>
      </c>
      <c r="V49" s="481">
        <v>30.0</v>
      </c>
      <c r="W49" s="481">
        <v>18.0</v>
      </c>
      <c r="X49" s="481">
        <v>26.0</v>
      </c>
      <c r="Y49" s="481">
        <v>20.0</v>
      </c>
      <c r="Z49" s="481">
        <v>25.0</v>
      </c>
      <c r="AA49" s="481">
        <v>25.0</v>
      </c>
      <c r="AB49" s="481">
        <v>12.0</v>
      </c>
      <c r="AC49" s="481">
        <v>50.0</v>
      </c>
      <c r="AD49" s="481">
        <v>20.0</v>
      </c>
      <c r="AE49" s="492">
        <v>0.0</v>
      </c>
      <c r="AF49" s="481">
        <v>0.0</v>
      </c>
      <c r="AG49" s="534">
        <f t="shared" si="9"/>
        <v>226</v>
      </c>
      <c r="AH49" s="481">
        <v>30.0</v>
      </c>
      <c r="AI49" s="481">
        <v>18.0</v>
      </c>
      <c r="AJ49" s="481">
        <v>26.0</v>
      </c>
      <c r="AK49" s="481">
        <v>20.0</v>
      </c>
      <c r="AL49" s="481">
        <v>25.0</v>
      </c>
      <c r="AM49" s="481">
        <v>25.0</v>
      </c>
      <c r="AN49" s="481">
        <v>12.0</v>
      </c>
      <c r="AO49" s="481">
        <v>50.0</v>
      </c>
      <c r="AP49" s="481">
        <v>20.0</v>
      </c>
      <c r="AQ49" s="492">
        <v>0.0</v>
      </c>
      <c r="AR49" s="481">
        <v>0.0</v>
      </c>
      <c r="AS49" s="533">
        <f t="shared" si="10"/>
        <v>226</v>
      </c>
      <c r="AT49" s="535">
        <f t="shared" si="4"/>
        <v>497</v>
      </c>
      <c r="AU49" s="484">
        <v>170.0</v>
      </c>
      <c r="AV49" s="484">
        <v>662.0</v>
      </c>
      <c r="AW49" s="484">
        <v>15.65</v>
      </c>
      <c r="AX49" s="484">
        <v>109.0805</v>
      </c>
      <c r="AY49" s="504"/>
      <c r="AZ49" s="487">
        <f t="shared" si="5"/>
        <v>4908.6225</v>
      </c>
      <c r="BA49" s="487">
        <f t="shared" si="6"/>
        <v>24652.193</v>
      </c>
      <c r="BB49" s="487">
        <f t="shared" si="7"/>
        <v>24652.193</v>
      </c>
      <c r="BC49" s="487">
        <f t="shared" si="8"/>
        <v>54213.0085</v>
      </c>
      <c r="BD49" s="489"/>
      <c r="BE49" s="505"/>
      <c r="BF49" s="412"/>
    </row>
    <row r="50" ht="15.75" customHeight="1">
      <c r="A50" s="567" t="s">
        <v>2707</v>
      </c>
      <c r="B50" s="568" t="s">
        <v>150</v>
      </c>
      <c r="C50" s="567" t="s">
        <v>2722</v>
      </c>
      <c r="D50" s="567" t="s">
        <v>1763</v>
      </c>
      <c r="E50" s="569" t="s">
        <v>2723</v>
      </c>
      <c r="F50" s="569" t="s">
        <v>2907</v>
      </c>
      <c r="G50" s="461">
        <v>1.1131578E7</v>
      </c>
      <c r="H50" s="568" t="s">
        <v>3661</v>
      </c>
      <c r="I50" s="567" t="s">
        <v>25</v>
      </c>
      <c r="J50" s="461">
        <v>0.0</v>
      </c>
      <c r="K50" s="461">
        <v>0.0</v>
      </c>
      <c r="L50" s="461">
        <v>0.0</v>
      </c>
      <c r="M50" s="461">
        <v>0.0</v>
      </c>
      <c r="N50" s="461">
        <v>0.0</v>
      </c>
      <c r="O50" s="461">
        <v>0.0</v>
      </c>
      <c r="P50" s="461">
        <v>1.0</v>
      </c>
      <c r="Q50" s="461">
        <v>2.0</v>
      </c>
      <c r="R50" s="461">
        <v>0.0</v>
      </c>
      <c r="S50" s="490">
        <v>1.0</v>
      </c>
      <c r="T50" s="461">
        <v>0.0</v>
      </c>
      <c r="U50" s="533">
        <f t="shared" si="1"/>
        <v>4</v>
      </c>
      <c r="V50" s="461">
        <v>0.0</v>
      </c>
      <c r="W50" s="461">
        <v>0.0</v>
      </c>
      <c r="X50" s="461">
        <v>0.0</v>
      </c>
      <c r="Y50" s="461">
        <v>0.0</v>
      </c>
      <c r="Z50" s="461">
        <v>0.0</v>
      </c>
      <c r="AA50" s="461">
        <v>0.0</v>
      </c>
      <c r="AB50" s="461">
        <v>1.0</v>
      </c>
      <c r="AC50" s="461">
        <v>2.0</v>
      </c>
      <c r="AD50" s="461">
        <v>0.0</v>
      </c>
      <c r="AE50" s="490">
        <v>1.0</v>
      </c>
      <c r="AF50" s="461">
        <v>0.0</v>
      </c>
      <c r="AG50" s="534">
        <f t="shared" si="9"/>
        <v>4</v>
      </c>
      <c r="AH50" s="461">
        <v>0.0</v>
      </c>
      <c r="AI50" s="461">
        <v>0.0</v>
      </c>
      <c r="AJ50" s="461">
        <v>0.0</v>
      </c>
      <c r="AK50" s="461">
        <v>0.0</v>
      </c>
      <c r="AL50" s="461">
        <v>0.0</v>
      </c>
      <c r="AM50" s="461">
        <v>0.0</v>
      </c>
      <c r="AN50" s="461">
        <v>1.0</v>
      </c>
      <c r="AO50" s="461">
        <v>2.0</v>
      </c>
      <c r="AP50" s="461">
        <v>0.0</v>
      </c>
      <c r="AQ50" s="490">
        <v>1.0</v>
      </c>
      <c r="AR50" s="461">
        <v>0.0</v>
      </c>
      <c r="AS50" s="533">
        <f t="shared" si="10"/>
        <v>4</v>
      </c>
      <c r="AT50" s="1032">
        <f t="shared" si="4"/>
        <v>12</v>
      </c>
      <c r="AU50" s="466">
        <v>26.0</v>
      </c>
      <c r="AV50" s="461">
        <v>35.0</v>
      </c>
      <c r="AW50" s="461">
        <v>172.21</v>
      </c>
      <c r="AX50" s="461">
        <v>1200.3037</v>
      </c>
      <c r="AY50" s="468"/>
      <c r="AZ50" s="469">
        <f t="shared" si="5"/>
        <v>4801.2148</v>
      </c>
      <c r="BA50" s="469">
        <f t="shared" si="6"/>
        <v>4801.2148</v>
      </c>
      <c r="BB50" s="469">
        <f t="shared" si="7"/>
        <v>4801.2148</v>
      </c>
      <c r="BC50" s="469">
        <f t="shared" si="8"/>
        <v>14403.6444</v>
      </c>
      <c r="BD50" s="471"/>
      <c r="BE50" s="469"/>
      <c r="BF50" s="412"/>
    </row>
    <row r="51" ht="15.75" customHeight="1">
      <c r="A51" s="562" t="s">
        <v>2707</v>
      </c>
      <c r="B51" s="571" t="s">
        <v>150</v>
      </c>
      <c r="C51" s="562" t="s">
        <v>2722</v>
      </c>
      <c r="D51" s="562" t="s">
        <v>1763</v>
      </c>
      <c r="E51" s="569" t="s">
        <v>2723</v>
      </c>
      <c r="F51" s="569" t="s">
        <v>2746</v>
      </c>
      <c r="G51" s="481">
        <v>1.0302026E7</v>
      </c>
      <c r="H51" s="571" t="s">
        <v>3589</v>
      </c>
      <c r="I51" s="562" t="s">
        <v>25</v>
      </c>
      <c r="J51" s="481">
        <v>0.0</v>
      </c>
      <c r="K51" s="481">
        <v>0.0</v>
      </c>
      <c r="L51" s="481">
        <v>0.0</v>
      </c>
      <c r="M51" s="481">
        <v>0.0</v>
      </c>
      <c r="N51" s="481">
        <v>0.0</v>
      </c>
      <c r="O51" s="481">
        <v>0.0</v>
      </c>
      <c r="P51" s="481">
        <v>2.0</v>
      </c>
      <c r="Q51" s="481">
        <v>2.0</v>
      </c>
      <c r="R51" s="481">
        <v>0.0</v>
      </c>
      <c r="S51" s="481">
        <v>2.0</v>
      </c>
      <c r="T51" s="481">
        <v>0.0</v>
      </c>
      <c r="U51" s="533">
        <f t="shared" si="1"/>
        <v>6</v>
      </c>
      <c r="V51" s="481">
        <v>0.0</v>
      </c>
      <c r="W51" s="481">
        <v>0.0</v>
      </c>
      <c r="X51" s="481">
        <v>0.0</v>
      </c>
      <c r="Y51" s="481">
        <v>0.0</v>
      </c>
      <c r="Z51" s="481">
        <v>0.0</v>
      </c>
      <c r="AA51" s="481">
        <v>0.0</v>
      </c>
      <c r="AB51" s="481">
        <v>2.0</v>
      </c>
      <c r="AC51" s="481">
        <v>2.0</v>
      </c>
      <c r="AD51" s="481">
        <v>0.0</v>
      </c>
      <c r="AE51" s="481">
        <v>2.0</v>
      </c>
      <c r="AF51" s="481">
        <v>0.0</v>
      </c>
      <c r="AG51" s="534">
        <f t="shared" si="9"/>
        <v>6</v>
      </c>
      <c r="AH51" s="481">
        <v>0.0</v>
      </c>
      <c r="AI51" s="481">
        <v>0.0</v>
      </c>
      <c r="AJ51" s="481">
        <v>0.0</v>
      </c>
      <c r="AK51" s="481">
        <v>0.0</v>
      </c>
      <c r="AL51" s="481">
        <v>0.0</v>
      </c>
      <c r="AM51" s="481">
        <v>0.0</v>
      </c>
      <c r="AN51" s="481">
        <v>2.0</v>
      </c>
      <c r="AO51" s="481">
        <v>2.0</v>
      </c>
      <c r="AP51" s="481">
        <v>0.0</v>
      </c>
      <c r="AQ51" s="481">
        <v>2.0</v>
      </c>
      <c r="AR51" s="481">
        <v>0.0</v>
      </c>
      <c r="AS51" s="533">
        <f t="shared" si="10"/>
        <v>6</v>
      </c>
      <c r="AT51" s="535">
        <f t="shared" si="4"/>
        <v>18</v>
      </c>
      <c r="AU51" s="484">
        <v>5.0</v>
      </c>
      <c r="AV51" s="481">
        <v>23.0</v>
      </c>
      <c r="AW51" s="481">
        <v>111.25</v>
      </c>
      <c r="AX51" s="481">
        <v>775.4125</v>
      </c>
      <c r="AY51" s="486"/>
      <c r="AZ51" s="487">
        <f t="shared" si="5"/>
        <v>4652.475</v>
      </c>
      <c r="BA51" s="487">
        <f t="shared" si="6"/>
        <v>4652.475</v>
      </c>
      <c r="BB51" s="487">
        <f t="shared" si="7"/>
        <v>4652.475</v>
      </c>
      <c r="BC51" s="487">
        <f t="shared" si="8"/>
        <v>13957.425</v>
      </c>
      <c r="BD51" s="489"/>
      <c r="BE51" s="487"/>
      <c r="BF51" s="412"/>
    </row>
    <row r="52" ht="15.75" customHeight="1">
      <c r="A52" s="567" t="s">
        <v>2707</v>
      </c>
      <c r="B52" s="568" t="s">
        <v>56</v>
      </c>
      <c r="C52" s="567" t="s">
        <v>2708</v>
      </c>
      <c r="D52" s="567" t="s">
        <v>1763</v>
      </c>
      <c r="E52" s="569" t="s">
        <v>2709</v>
      </c>
      <c r="F52" s="569" t="s">
        <v>2795</v>
      </c>
      <c r="G52" s="461">
        <v>1.1430351E7</v>
      </c>
      <c r="H52" s="568" t="s">
        <v>3662</v>
      </c>
      <c r="I52" s="567" t="s">
        <v>25</v>
      </c>
      <c r="J52" s="461">
        <v>0.0</v>
      </c>
      <c r="K52" s="461">
        <v>0.0</v>
      </c>
      <c r="L52" s="461">
        <v>0.0</v>
      </c>
      <c r="M52" s="461">
        <v>0.0</v>
      </c>
      <c r="N52" s="461">
        <v>0.0</v>
      </c>
      <c r="O52" s="461">
        <v>0.0</v>
      </c>
      <c r="P52" s="461">
        <v>0.0</v>
      </c>
      <c r="Q52" s="461">
        <v>0.0</v>
      </c>
      <c r="R52" s="461">
        <v>0.0</v>
      </c>
      <c r="S52" s="490">
        <v>8.0</v>
      </c>
      <c r="T52" s="461">
        <v>0.0</v>
      </c>
      <c r="U52" s="533">
        <f t="shared" si="1"/>
        <v>8</v>
      </c>
      <c r="V52" s="461">
        <v>0.0</v>
      </c>
      <c r="W52" s="461">
        <v>0.0</v>
      </c>
      <c r="X52" s="461">
        <v>0.0</v>
      </c>
      <c r="Y52" s="461">
        <v>10.0</v>
      </c>
      <c r="Z52" s="461">
        <v>5.0</v>
      </c>
      <c r="AA52" s="461">
        <v>5.0</v>
      </c>
      <c r="AB52" s="461">
        <v>0.0</v>
      </c>
      <c r="AC52" s="461">
        <v>0.0</v>
      </c>
      <c r="AD52" s="461">
        <v>0.0</v>
      </c>
      <c r="AE52" s="490">
        <v>8.0</v>
      </c>
      <c r="AF52" s="461">
        <v>0.0</v>
      </c>
      <c r="AG52" s="534">
        <f t="shared" si="9"/>
        <v>28</v>
      </c>
      <c r="AH52" s="461">
        <v>0.0</v>
      </c>
      <c r="AI52" s="461">
        <v>0.0</v>
      </c>
      <c r="AJ52" s="461">
        <v>0.0</v>
      </c>
      <c r="AK52" s="461">
        <v>10.0</v>
      </c>
      <c r="AL52" s="461">
        <v>5.0</v>
      </c>
      <c r="AM52" s="461">
        <v>5.0</v>
      </c>
      <c r="AN52" s="461">
        <v>0.0</v>
      </c>
      <c r="AO52" s="461">
        <v>0.0</v>
      </c>
      <c r="AP52" s="461">
        <v>0.0</v>
      </c>
      <c r="AQ52" s="490">
        <v>8.0</v>
      </c>
      <c r="AR52" s="461">
        <v>0.0</v>
      </c>
      <c r="AS52" s="533">
        <f t="shared" si="10"/>
        <v>28</v>
      </c>
      <c r="AT52" s="1032">
        <f t="shared" si="4"/>
        <v>64</v>
      </c>
      <c r="AU52" s="466">
        <v>44.0</v>
      </c>
      <c r="AV52" s="461">
        <v>92.0</v>
      </c>
      <c r="AW52" s="461">
        <v>79.33</v>
      </c>
      <c r="AX52" s="461">
        <v>552.9300999999999</v>
      </c>
      <c r="AY52" s="468"/>
      <c r="AZ52" s="469">
        <f t="shared" si="5"/>
        <v>4423.4408</v>
      </c>
      <c r="BA52" s="469">
        <f t="shared" si="6"/>
        <v>15482.0428</v>
      </c>
      <c r="BB52" s="469">
        <f t="shared" si="7"/>
        <v>15482.0428</v>
      </c>
      <c r="BC52" s="469">
        <f t="shared" si="8"/>
        <v>35387.5264</v>
      </c>
      <c r="BD52" s="471"/>
      <c r="BE52" s="469"/>
      <c r="BF52" s="412"/>
    </row>
    <row r="53" ht="15.75" customHeight="1">
      <c r="A53" s="562" t="s">
        <v>2852</v>
      </c>
      <c r="B53" s="571" t="s">
        <v>46</v>
      </c>
      <c r="C53" s="562" t="s">
        <v>2708</v>
      </c>
      <c r="D53" s="562" t="s">
        <v>1763</v>
      </c>
      <c r="E53" s="569" t="s">
        <v>2709</v>
      </c>
      <c r="F53" s="569" t="s">
        <v>2901</v>
      </c>
      <c r="G53" s="481">
        <v>1.0752834E7</v>
      </c>
      <c r="H53" s="571" t="s">
        <v>3623</v>
      </c>
      <c r="I53" s="562" t="s">
        <v>25</v>
      </c>
      <c r="J53" s="481">
        <v>80.0</v>
      </c>
      <c r="K53" s="481">
        <v>60.0</v>
      </c>
      <c r="L53" s="481">
        <v>72.0</v>
      </c>
      <c r="M53" s="482">
        <v>0.0</v>
      </c>
      <c r="N53" s="482">
        <v>0.0</v>
      </c>
      <c r="O53" s="482">
        <v>0.0</v>
      </c>
      <c r="P53" s="482">
        <v>0.0</v>
      </c>
      <c r="Q53" s="481">
        <v>64.0</v>
      </c>
      <c r="R53" s="481">
        <v>12.0</v>
      </c>
      <c r="S53" s="492">
        <v>0.0</v>
      </c>
      <c r="T53" s="481">
        <v>0.0</v>
      </c>
      <c r="U53" s="533">
        <f t="shared" si="1"/>
        <v>288</v>
      </c>
      <c r="V53" s="481">
        <v>80.0</v>
      </c>
      <c r="W53" s="481">
        <v>60.0</v>
      </c>
      <c r="X53" s="481">
        <v>72.0</v>
      </c>
      <c r="Y53" s="481">
        <v>44.0</v>
      </c>
      <c r="Z53" s="481">
        <v>52.0</v>
      </c>
      <c r="AA53" s="481">
        <v>84.0</v>
      </c>
      <c r="AB53" s="481">
        <v>52.0</v>
      </c>
      <c r="AC53" s="481">
        <v>64.0</v>
      </c>
      <c r="AD53" s="481">
        <v>12.0</v>
      </c>
      <c r="AE53" s="492">
        <v>0.0</v>
      </c>
      <c r="AF53" s="481">
        <v>0.0</v>
      </c>
      <c r="AG53" s="534">
        <f t="shared" si="9"/>
        <v>520</v>
      </c>
      <c r="AH53" s="481">
        <v>80.0</v>
      </c>
      <c r="AI53" s="481">
        <v>60.0</v>
      </c>
      <c r="AJ53" s="481">
        <v>72.0</v>
      </c>
      <c r="AK53" s="481">
        <v>44.0</v>
      </c>
      <c r="AL53" s="481">
        <v>52.0</v>
      </c>
      <c r="AM53" s="481">
        <v>84.0</v>
      </c>
      <c r="AN53" s="481">
        <v>52.0</v>
      </c>
      <c r="AO53" s="481">
        <v>64.0</v>
      </c>
      <c r="AP53" s="481">
        <v>12.0</v>
      </c>
      <c r="AQ53" s="492">
        <v>0.0</v>
      </c>
      <c r="AR53" s="481">
        <v>0.0</v>
      </c>
      <c r="AS53" s="533">
        <f t="shared" si="10"/>
        <v>520</v>
      </c>
      <c r="AT53" s="535">
        <f t="shared" si="4"/>
        <v>1328</v>
      </c>
      <c r="AU53" s="484">
        <v>0.0</v>
      </c>
      <c r="AV53" s="481">
        <v>1764.0</v>
      </c>
      <c r="AW53" s="481">
        <v>2.04</v>
      </c>
      <c r="AX53" s="481">
        <v>14.2188</v>
      </c>
      <c r="AY53" s="486"/>
      <c r="AZ53" s="487">
        <f t="shared" si="5"/>
        <v>4095.0144</v>
      </c>
      <c r="BA53" s="487">
        <f t="shared" si="6"/>
        <v>7393.776</v>
      </c>
      <c r="BB53" s="487">
        <f t="shared" si="7"/>
        <v>7393.776</v>
      </c>
      <c r="BC53" s="487">
        <f t="shared" si="8"/>
        <v>18882.5664</v>
      </c>
      <c r="BD53" s="489"/>
      <c r="BE53" s="487"/>
      <c r="BF53" s="412"/>
    </row>
    <row r="54" ht="15.75" customHeight="1">
      <c r="A54" s="568" t="s">
        <v>2852</v>
      </c>
      <c r="B54" s="568" t="s">
        <v>52</v>
      </c>
      <c r="C54" s="568" t="s">
        <v>2708</v>
      </c>
      <c r="D54" s="568" t="s">
        <v>1763</v>
      </c>
      <c r="E54" s="569" t="s">
        <v>2709</v>
      </c>
      <c r="F54" s="569" t="s">
        <v>2910</v>
      </c>
      <c r="G54" s="466">
        <v>1.0488558E7</v>
      </c>
      <c r="H54" s="568" t="s">
        <v>2137</v>
      </c>
      <c r="I54" s="568" t="s">
        <v>25</v>
      </c>
      <c r="J54" s="461">
        <v>4.0</v>
      </c>
      <c r="K54" s="461">
        <v>4.0</v>
      </c>
      <c r="L54" s="461">
        <v>4.0</v>
      </c>
      <c r="M54" s="461">
        <v>4.0</v>
      </c>
      <c r="N54" s="461">
        <v>4.0</v>
      </c>
      <c r="O54" s="461">
        <v>4.0</v>
      </c>
      <c r="P54" s="461">
        <v>1.0</v>
      </c>
      <c r="Q54" s="461">
        <v>1.0</v>
      </c>
      <c r="R54" s="461">
        <v>1.0</v>
      </c>
      <c r="S54" s="461">
        <v>1.0</v>
      </c>
      <c r="T54" s="461">
        <v>0.0</v>
      </c>
      <c r="U54" s="533">
        <f t="shared" si="1"/>
        <v>28</v>
      </c>
      <c r="V54" s="461">
        <v>4.0</v>
      </c>
      <c r="W54" s="461">
        <v>4.0</v>
      </c>
      <c r="X54" s="461">
        <v>4.0</v>
      </c>
      <c r="Y54" s="461">
        <v>4.0</v>
      </c>
      <c r="Z54" s="461">
        <v>4.0</v>
      </c>
      <c r="AA54" s="461">
        <v>4.0</v>
      </c>
      <c r="AB54" s="461">
        <v>1.0</v>
      </c>
      <c r="AC54" s="461">
        <v>1.0</v>
      </c>
      <c r="AD54" s="461">
        <v>1.0</v>
      </c>
      <c r="AE54" s="461">
        <v>1.0</v>
      </c>
      <c r="AF54" s="461">
        <v>0.0</v>
      </c>
      <c r="AG54" s="534">
        <f t="shared" si="9"/>
        <v>28</v>
      </c>
      <c r="AH54" s="461">
        <v>4.0</v>
      </c>
      <c r="AI54" s="461">
        <v>4.0</v>
      </c>
      <c r="AJ54" s="461">
        <v>4.0</v>
      </c>
      <c r="AK54" s="461">
        <v>4.0</v>
      </c>
      <c r="AL54" s="461">
        <v>4.0</v>
      </c>
      <c r="AM54" s="461">
        <v>4.0</v>
      </c>
      <c r="AN54" s="462">
        <v>4.0</v>
      </c>
      <c r="AO54" s="461">
        <v>1.0</v>
      </c>
      <c r="AP54" s="462">
        <v>2.0</v>
      </c>
      <c r="AQ54" s="461">
        <v>1.0</v>
      </c>
      <c r="AR54" s="461">
        <v>0.0</v>
      </c>
      <c r="AS54" s="533">
        <f t="shared" si="10"/>
        <v>32</v>
      </c>
      <c r="AT54" s="1032">
        <f t="shared" si="4"/>
        <v>88</v>
      </c>
      <c r="AU54" s="466">
        <v>0.0</v>
      </c>
      <c r="AV54" s="466">
        <v>84.0</v>
      </c>
      <c r="AW54" s="466">
        <v>19.34</v>
      </c>
      <c r="AX54" s="466">
        <v>134.7998</v>
      </c>
      <c r="AY54" s="538"/>
      <c r="AZ54" s="469">
        <f t="shared" si="5"/>
        <v>3774.3944</v>
      </c>
      <c r="BA54" s="469">
        <f t="shared" si="6"/>
        <v>3774.3944</v>
      </c>
      <c r="BB54" s="469">
        <f t="shared" si="7"/>
        <v>4313.5936</v>
      </c>
      <c r="BC54" s="469">
        <f t="shared" si="8"/>
        <v>11862.3824</v>
      </c>
      <c r="BD54" s="471"/>
      <c r="BE54" s="518"/>
      <c r="BF54" s="412"/>
    </row>
    <row r="55" ht="15.75" customHeight="1">
      <c r="A55" s="571" t="s">
        <v>2852</v>
      </c>
      <c r="B55" s="571" t="s">
        <v>52</v>
      </c>
      <c r="C55" s="571" t="s">
        <v>2708</v>
      </c>
      <c r="D55" s="571" t="s">
        <v>1763</v>
      </c>
      <c r="E55" s="569" t="s">
        <v>2709</v>
      </c>
      <c r="F55" s="569" t="s">
        <v>2873</v>
      </c>
      <c r="G55" s="484">
        <v>1.0000594E7</v>
      </c>
      <c r="H55" s="571" t="s">
        <v>3663</v>
      </c>
      <c r="I55" s="571" t="s">
        <v>25</v>
      </c>
      <c r="J55" s="481">
        <v>0.0</v>
      </c>
      <c r="K55" s="481">
        <v>0.0</v>
      </c>
      <c r="L55" s="481">
        <v>0.0</v>
      </c>
      <c r="M55" s="482">
        <v>222.0</v>
      </c>
      <c r="N55" s="482">
        <v>104.0</v>
      </c>
      <c r="O55" s="481">
        <v>0.0</v>
      </c>
      <c r="P55" s="481">
        <v>0.0</v>
      </c>
      <c r="Q55" s="492">
        <v>40.0</v>
      </c>
      <c r="R55" s="481">
        <v>0.0</v>
      </c>
      <c r="S55" s="481">
        <v>0.0</v>
      </c>
      <c r="T55" s="481">
        <v>0.0</v>
      </c>
      <c r="U55" s="533">
        <f t="shared" si="1"/>
        <v>366</v>
      </c>
      <c r="V55" s="481">
        <v>394.0</v>
      </c>
      <c r="W55" s="481">
        <v>234.0</v>
      </c>
      <c r="X55" s="481">
        <v>344.0</v>
      </c>
      <c r="Y55" s="481">
        <v>222.0</v>
      </c>
      <c r="Z55" s="481">
        <v>254.0</v>
      </c>
      <c r="AA55" s="481">
        <v>420.0</v>
      </c>
      <c r="AB55" s="481">
        <v>266.0</v>
      </c>
      <c r="AC55" s="492">
        <v>354.0</v>
      </c>
      <c r="AD55" s="481">
        <v>54.0</v>
      </c>
      <c r="AE55" s="481">
        <v>350.0</v>
      </c>
      <c r="AF55" s="481">
        <v>0.0</v>
      </c>
      <c r="AG55" s="534">
        <f t="shared" si="9"/>
        <v>2892</v>
      </c>
      <c r="AH55" s="481">
        <v>394.0</v>
      </c>
      <c r="AI55" s="481">
        <v>234.0</v>
      </c>
      <c r="AJ55" s="481">
        <v>344.0</v>
      </c>
      <c r="AK55" s="481">
        <v>222.0</v>
      </c>
      <c r="AL55" s="481">
        <v>254.0</v>
      </c>
      <c r="AM55" s="481">
        <v>420.0</v>
      </c>
      <c r="AN55" s="481">
        <v>266.0</v>
      </c>
      <c r="AO55" s="492">
        <v>354.0</v>
      </c>
      <c r="AP55" s="481">
        <v>54.0</v>
      </c>
      <c r="AQ55" s="481">
        <v>350.0</v>
      </c>
      <c r="AR55" s="481">
        <v>0.0</v>
      </c>
      <c r="AS55" s="533">
        <f t="shared" si="10"/>
        <v>2892</v>
      </c>
      <c r="AT55" s="535">
        <f t="shared" si="4"/>
        <v>6150</v>
      </c>
      <c r="AU55" s="484">
        <v>0.0</v>
      </c>
      <c r="AV55" s="484">
        <v>5704.0</v>
      </c>
      <c r="AW55" s="484">
        <v>1.42</v>
      </c>
      <c r="AX55" s="484">
        <v>9.8974</v>
      </c>
      <c r="AY55" s="504"/>
      <c r="AZ55" s="487">
        <f t="shared" si="5"/>
        <v>3622.4484</v>
      </c>
      <c r="BA55" s="487">
        <f t="shared" si="6"/>
        <v>28623.2808</v>
      </c>
      <c r="BB55" s="487">
        <f t="shared" si="7"/>
        <v>28623.2808</v>
      </c>
      <c r="BC55" s="487">
        <f t="shared" si="8"/>
        <v>60869.01</v>
      </c>
      <c r="BD55" s="489"/>
      <c r="BE55" s="505"/>
      <c r="BF55" s="412"/>
    </row>
    <row r="56" ht="15.75" customHeight="1">
      <c r="A56" s="567" t="s">
        <v>2852</v>
      </c>
      <c r="B56" s="568" t="s">
        <v>46</v>
      </c>
      <c r="C56" s="567" t="s">
        <v>2708</v>
      </c>
      <c r="D56" s="567" t="s">
        <v>1763</v>
      </c>
      <c r="E56" s="569" t="s">
        <v>2709</v>
      </c>
      <c r="F56" s="569" t="s">
        <v>2711</v>
      </c>
      <c r="G56" s="461">
        <v>1.0000082E7</v>
      </c>
      <c r="H56" s="568" t="s">
        <v>3604</v>
      </c>
      <c r="I56" s="567" t="s">
        <v>25</v>
      </c>
      <c r="J56" s="461">
        <v>200.0</v>
      </c>
      <c r="K56" s="461">
        <v>150.0</v>
      </c>
      <c r="L56" s="461">
        <v>180.0</v>
      </c>
      <c r="M56" s="462">
        <v>0.0</v>
      </c>
      <c r="N56" s="462">
        <v>0.0</v>
      </c>
      <c r="O56" s="462">
        <v>0.0</v>
      </c>
      <c r="P56" s="462">
        <v>0.0</v>
      </c>
      <c r="Q56" s="490">
        <v>0.0</v>
      </c>
      <c r="R56" s="461">
        <v>30.0</v>
      </c>
      <c r="S56" s="551">
        <v>0.0</v>
      </c>
      <c r="T56" s="461">
        <v>0.0</v>
      </c>
      <c r="U56" s="533">
        <f t="shared" si="1"/>
        <v>560</v>
      </c>
      <c r="V56" s="461">
        <v>160.0</v>
      </c>
      <c r="W56" s="461">
        <v>120.0</v>
      </c>
      <c r="X56" s="461">
        <v>144.0</v>
      </c>
      <c r="Y56" s="461">
        <v>88.0</v>
      </c>
      <c r="Z56" s="461">
        <v>104.0</v>
      </c>
      <c r="AA56" s="461">
        <v>168.0</v>
      </c>
      <c r="AB56" s="461">
        <v>104.0</v>
      </c>
      <c r="AC56" s="490">
        <v>0.0</v>
      </c>
      <c r="AD56" s="461">
        <v>24.0</v>
      </c>
      <c r="AE56" s="551">
        <v>0.0</v>
      </c>
      <c r="AF56" s="461">
        <v>0.0</v>
      </c>
      <c r="AG56" s="534">
        <f t="shared" si="9"/>
        <v>912</v>
      </c>
      <c r="AH56" s="461">
        <v>160.0</v>
      </c>
      <c r="AI56" s="461">
        <v>120.0</v>
      </c>
      <c r="AJ56" s="461">
        <v>144.0</v>
      </c>
      <c r="AK56" s="461">
        <v>88.0</v>
      </c>
      <c r="AL56" s="461">
        <v>104.0</v>
      </c>
      <c r="AM56" s="461">
        <v>168.0</v>
      </c>
      <c r="AN56" s="461">
        <v>104.0</v>
      </c>
      <c r="AO56" s="490">
        <v>0.0</v>
      </c>
      <c r="AP56" s="461">
        <v>24.0</v>
      </c>
      <c r="AQ56" s="551">
        <v>0.0</v>
      </c>
      <c r="AR56" s="461">
        <v>0.0</v>
      </c>
      <c r="AS56" s="533">
        <f t="shared" si="10"/>
        <v>912</v>
      </c>
      <c r="AT56" s="1032">
        <f t="shared" si="4"/>
        <v>2384</v>
      </c>
      <c r="AU56" s="466">
        <v>0.0</v>
      </c>
      <c r="AV56" s="461">
        <v>3830.0</v>
      </c>
      <c r="AW56" s="461">
        <v>0.89</v>
      </c>
      <c r="AX56" s="461">
        <v>6.2033</v>
      </c>
      <c r="AY56" s="468"/>
      <c r="AZ56" s="469">
        <f t="shared" si="5"/>
        <v>3473.848</v>
      </c>
      <c r="BA56" s="469">
        <f t="shared" si="6"/>
        <v>5657.4096</v>
      </c>
      <c r="BB56" s="469">
        <f t="shared" si="7"/>
        <v>5657.4096</v>
      </c>
      <c r="BC56" s="469">
        <f t="shared" si="8"/>
        <v>14788.6672</v>
      </c>
      <c r="BD56" s="471"/>
      <c r="BE56" s="469"/>
      <c r="BF56" s="412"/>
    </row>
    <row r="57" ht="15.75" customHeight="1">
      <c r="A57" s="571" t="s">
        <v>2852</v>
      </c>
      <c r="B57" s="571" t="s">
        <v>52</v>
      </c>
      <c r="C57" s="571" t="s">
        <v>2708</v>
      </c>
      <c r="D57" s="571" t="s">
        <v>1763</v>
      </c>
      <c r="E57" s="569" t="s">
        <v>2709</v>
      </c>
      <c r="F57" s="569" t="s">
        <v>2903</v>
      </c>
      <c r="G57" s="484">
        <v>1.0000562E7</v>
      </c>
      <c r="H57" s="571" t="s">
        <v>3664</v>
      </c>
      <c r="I57" s="571" t="s">
        <v>25</v>
      </c>
      <c r="J57" s="481">
        <v>277.0</v>
      </c>
      <c r="K57" s="481">
        <v>165.0</v>
      </c>
      <c r="L57" s="481">
        <v>242.0</v>
      </c>
      <c r="M57" s="482">
        <v>0.0</v>
      </c>
      <c r="N57" s="482">
        <v>0.0</v>
      </c>
      <c r="O57" s="482">
        <v>0.0</v>
      </c>
      <c r="P57" s="482">
        <v>266.0</v>
      </c>
      <c r="Q57" s="492">
        <v>83.0</v>
      </c>
      <c r="R57" s="481">
        <v>38.0</v>
      </c>
      <c r="S57" s="492">
        <v>340.0</v>
      </c>
      <c r="T57" s="481">
        <v>0.0</v>
      </c>
      <c r="U57" s="533">
        <f t="shared" si="1"/>
        <v>1411</v>
      </c>
      <c r="V57" s="481">
        <v>394.0</v>
      </c>
      <c r="W57" s="481">
        <v>234.0</v>
      </c>
      <c r="X57" s="481">
        <v>344.0</v>
      </c>
      <c r="Y57" s="481">
        <v>222.0</v>
      </c>
      <c r="Z57" s="481">
        <v>254.0</v>
      </c>
      <c r="AA57" s="481">
        <v>420.0</v>
      </c>
      <c r="AB57" s="481">
        <v>266.0</v>
      </c>
      <c r="AC57" s="481">
        <v>314.0</v>
      </c>
      <c r="AD57" s="481">
        <v>54.0</v>
      </c>
      <c r="AE57" s="481">
        <v>330.0</v>
      </c>
      <c r="AF57" s="481">
        <v>0.0</v>
      </c>
      <c r="AG57" s="534">
        <f t="shared" si="9"/>
        <v>2832</v>
      </c>
      <c r="AH57" s="481">
        <v>394.0</v>
      </c>
      <c r="AI57" s="481">
        <v>234.0</v>
      </c>
      <c r="AJ57" s="481">
        <v>344.0</v>
      </c>
      <c r="AK57" s="481">
        <v>222.0</v>
      </c>
      <c r="AL57" s="481">
        <v>254.0</v>
      </c>
      <c r="AM57" s="481">
        <v>420.0</v>
      </c>
      <c r="AN57" s="481">
        <v>266.0</v>
      </c>
      <c r="AO57" s="481">
        <v>314.0</v>
      </c>
      <c r="AP57" s="481">
        <v>54.0</v>
      </c>
      <c r="AQ57" s="481">
        <v>330.0</v>
      </c>
      <c r="AR57" s="481">
        <v>0.0</v>
      </c>
      <c r="AS57" s="533">
        <f t="shared" si="10"/>
        <v>2832</v>
      </c>
      <c r="AT57" s="535">
        <f t="shared" si="4"/>
        <v>7075</v>
      </c>
      <c r="AU57" s="484">
        <v>0.0</v>
      </c>
      <c r="AV57" s="484">
        <v>7657.0</v>
      </c>
      <c r="AW57" s="484">
        <v>0.35</v>
      </c>
      <c r="AX57" s="484">
        <v>2.4395</v>
      </c>
      <c r="AY57" s="504"/>
      <c r="AZ57" s="487">
        <f t="shared" si="5"/>
        <v>3442.1345</v>
      </c>
      <c r="BA57" s="487">
        <f t="shared" si="6"/>
        <v>6908.664</v>
      </c>
      <c r="BB57" s="487">
        <f t="shared" si="7"/>
        <v>6908.664</v>
      </c>
      <c r="BC57" s="487">
        <f t="shared" si="8"/>
        <v>17259.4625</v>
      </c>
      <c r="BD57" s="489"/>
      <c r="BE57" s="505"/>
      <c r="BF57" s="412"/>
    </row>
    <row r="58" ht="15.75" customHeight="1">
      <c r="A58" s="567" t="s">
        <v>2808</v>
      </c>
      <c r="B58" s="568" t="s">
        <v>118</v>
      </c>
      <c r="C58" s="567" t="s">
        <v>2708</v>
      </c>
      <c r="D58" s="567" t="s">
        <v>1763</v>
      </c>
      <c r="E58" s="569" t="s">
        <v>2709</v>
      </c>
      <c r="F58" s="569" t="s">
        <v>2770</v>
      </c>
      <c r="G58" s="551">
        <v>1.0796747E7</v>
      </c>
      <c r="H58" s="568" t="s">
        <v>739</v>
      </c>
      <c r="I58" s="567" t="s">
        <v>25</v>
      </c>
      <c r="J58" s="461">
        <v>50.0</v>
      </c>
      <c r="K58" s="461">
        <v>25.0</v>
      </c>
      <c r="L58" s="461">
        <v>37.0</v>
      </c>
      <c r="M58" s="462">
        <v>0.0</v>
      </c>
      <c r="N58" s="462">
        <v>0.0</v>
      </c>
      <c r="O58" s="462">
        <v>0.0</v>
      </c>
      <c r="P58" s="461">
        <v>38.0</v>
      </c>
      <c r="Q58" s="461">
        <v>37.0</v>
      </c>
      <c r="R58" s="461">
        <v>12.0</v>
      </c>
      <c r="S58" s="490">
        <v>0.0</v>
      </c>
      <c r="T58" s="461">
        <v>0.0</v>
      </c>
      <c r="U58" s="533">
        <f t="shared" si="1"/>
        <v>199</v>
      </c>
      <c r="V58" s="461">
        <v>48.0</v>
      </c>
      <c r="W58" s="461">
        <v>24.0</v>
      </c>
      <c r="X58" s="461">
        <v>36.0</v>
      </c>
      <c r="Y58" s="461">
        <v>75.0</v>
      </c>
      <c r="Z58" s="461">
        <v>111.0</v>
      </c>
      <c r="AA58" s="461">
        <v>147.0</v>
      </c>
      <c r="AB58" s="462">
        <v>38.0</v>
      </c>
      <c r="AC58" s="461">
        <v>36.0</v>
      </c>
      <c r="AD58" s="461">
        <v>12.0</v>
      </c>
      <c r="AE58" s="490">
        <v>0.0</v>
      </c>
      <c r="AF58" s="461">
        <v>0.0</v>
      </c>
      <c r="AG58" s="534">
        <f t="shared" si="9"/>
        <v>527</v>
      </c>
      <c r="AH58" s="461">
        <v>48.0</v>
      </c>
      <c r="AI58" s="461">
        <v>24.0</v>
      </c>
      <c r="AJ58" s="461">
        <v>36.0</v>
      </c>
      <c r="AK58" s="461">
        <v>75.0</v>
      </c>
      <c r="AL58" s="461">
        <v>111.0</v>
      </c>
      <c r="AM58" s="461">
        <v>147.0</v>
      </c>
      <c r="AN58" s="462">
        <v>38.0</v>
      </c>
      <c r="AO58" s="461">
        <v>36.0</v>
      </c>
      <c r="AP58" s="461">
        <v>12.0</v>
      </c>
      <c r="AQ58" s="490">
        <v>0.0</v>
      </c>
      <c r="AR58" s="461">
        <v>0.0</v>
      </c>
      <c r="AS58" s="533">
        <f t="shared" si="10"/>
        <v>527</v>
      </c>
      <c r="AT58" s="1032">
        <f t="shared" si="4"/>
        <v>1253</v>
      </c>
      <c r="AU58" s="466">
        <v>0.0</v>
      </c>
      <c r="AV58" s="461">
        <v>1717.0</v>
      </c>
      <c r="AW58" s="461">
        <v>2.42</v>
      </c>
      <c r="AX58" s="461">
        <v>16.8674</v>
      </c>
      <c r="AY58" s="468"/>
      <c r="AZ58" s="469">
        <f t="shared" si="5"/>
        <v>3356.6126</v>
      </c>
      <c r="BA58" s="469">
        <f t="shared" si="6"/>
        <v>8889.1198</v>
      </c>
      <c r="BB58" s="469">
        <f t="shared" si="7"/>
        <v>8889.1198</v>
      </c>
      <c r="BC58" s="469">
        <f t="shared" si="8"/>
        <v>21134.8522</v>
      </c>
      <c r="BD58" s="471"/>
      <c r="BE58" s="469"/>
      <c r="BF58" s="412"/>
    </row>
    <row r="59" ht="15.75" customHeight="1">
      <c r="A59" s="571" t="s">
        <v>2852</v>
      </c>
      <c r="B59" s="571" t="s">
        <v>52</v>
      </c>
      <c r="C59" s="571" t="s">
        <v>2708</v>
      </c>
      <c r="D59" s="571" t="s">
        <v>1763</v>
      </c>
      <c r="E59" s="569" t="s">
        <v>2709</v>
      </c>
      <c r="F59" s="569" t="s">
        <v>2911</v>
      </c>
      <c r="G59" s="484">
        <v>1.1007503E7</v>
      </c>
      <c r="H59" s="571" t="s">
        <v>1016</v>
      </c>
      <c r="I59" s="571" t="s">
        <v>25</v>
      </c>
      <c r="J59" s="481">
        <v>4.0</v>
      </c>
      <c r="K59" s="481">
        <v>2.0</v>
      </c>
      <c r="L59" s="481">
        <v>4.0</v>
      </c>
      <c r="M59" s="481">
        <v>2.0</v>
      </c>
      <c r="N59" s="481">
        <v>2.0</v>
      </c>
      <c r="O59" s="481">
        <v>4.0</v>
      </c>
      <c r="P59" s="481">
        <v>2.0</v>
      </c>
      <c r="Q59" s="481">
        <v>2.0</v>
      </c>
      <c r="R59" s="481">
        <v>0.0</v>
      </c>
      <c r="S59" s="481">
        <v>2.0</v>
      </c>
      <c r="T59" s="481">
        <v>0.0</v>
      </c>
      <c r="U59" s="533">
        <f t="shared" si="1"/>
        <v>24</v>
      </c>
      <c r="V59" s="481">
        <v>5.0</v>
      </c>
      <c r="W59" s="481">
        <v>2.0</v>
      </c>
      <c r="X59" s="481">
        <v>5.0</v>
      </c>
      <c r="Y59" s="481">
        <v>2.0</v>
      </c>
      <c r="Z59" s="481">
        <v>2.0</v>
      </c>
      <c r="AA59" s="481">
        <v>4.0</v>
      </c>
      <c r="AB59" s="481">
        <v>2.0</v>
      </c>
      <c r="AC59" s="481">
        <v>2.0</v>
      </c>
      <c r="AD59" s="481">
        <v>0.0</v>
      </c>
      <c r="AE59" s="481">
        <v>2.0</v>
      </c>
      <c r="AF59" s="481">
        <v>0.0</v>
      </c>
      <c r="AG59" s="534">
        <f t="shared" si="9"/>
        <v>26</v>
      </c>
      <c r="AH59" s="481">
        <v>5.0</v>
      </c>
      <c r="AI59" s="481">
        <v>2.0</v>
      </c>
      <c r="AJ59" s="481">
        <v>5.0</v>
      </c>
      <c r="AK59" s="481">
        <v>2.0</v>
      </c>
      <c r="AL59" s="481">
        <v>2.0</v>
      </c>
      <c r="AM59" s="481">
        <v>4.0</v>
      </c>
      <c r="AN59" s="481">
        <v>2.0</v>
      </c>
      <c r="AO59" s="481">
        <v>2.0</v>
      </c>
      <c r="AP59" s="481">
        <v>0.0</v>
      </c>
      <c r="AQ59" s="481">
        <v>2.0</v>
      </c>
      <c r="AR59" s="481">
        <v>0.0</v>
      </c>
      <c r="AS59" s="533">
        <f t="shared" si="10"/>
        <v>26</v>
      </c>
      <c r="AT59" s="535">
        <f t="shared" si="4"/>
        <v>76</v>
      </c>
      <c r="AU59" s="484">
        <v>0.0</v>
      </c>
      <c r="AV59" s="484">
        <v>76.0</v>
      </c>
      <c r="AW59" s="484">
        <v>19.34</v>
      </c>
      <c r="AX59" s="484">
        <v>134.7998</v>
      </c>
      <c r="AY59" s="504"/>
      <c r="AZ59" s="487">
        <f t="shared" si="5"/>
        <v>3235.1952</v>
      </c>
      <c r="BA59" s="487">
        <f t="shared" si="6"/>
        <v>3504.7948</v>
      </c>
      <c r="BB59" s="487">
        <f t="shared" si="7"/>
        <v>3504.7948</v>
      </c>
      <c r="BC59" s="487">
        <f t="shared" si="8"/>
        <v>10244.7848</v>
      </c>
      <c r="BD59" s="489"/>
      <c r="BE59" s="505"/>
      <c r="BF59" s="412"/>
    </row>
    <row r="60" ht="15.75" customHeight="1">
      <c r="A60" s="567" t="s">
        <v>2707</v>
      </c>
      <c r="B60" s="568" t="s">
        <v>785</v>
      </c>
      <c r="C60" s="567" t="s">
        <v>2708</v>
      </c>
      <c r="D60" s="567" t="s">
        <v>1763</v>
      </c>
      <c r="E60" s="569" t="s">
        <v>2709</v>
      </c>
      <c r="F60" s="569" t="s">
        <v>2727</v>
      </c>
      <c r="G60" s="461">
        <v>1.0075741E7</v>
      </c>
      <c r="H60" s="568" t="s">
        <v>1042</v>
      </c>
      <c r="I60" s="567" t="s">
        <v>25</v>
      </c>
      <c r="J60" s="461">
        <v>8.0</v>
      </c>
      <c r="K60" s="461">
        <v>6.0</v>
      </c>
      <c r="L60" s="461">
        <v>8.0</v>
      </c>
      <c r="M60" s="461">
        <v>4.0</v>
      </c>
      <c r="N60" s="461">
        <v>4.0</v>
      </c>
      <c r="O60" s="461">
        <v>8.0</v>
      </c>
      <c r="P60" s="461">
        <v>2.0</v>
      </c>
      <c r="Q60" s="551">
        <v>0.0</v>
      </c>
      <c r="R60" s="461">
        <v>2.0</v>
      </c>
      <c r="S60" s="461">
        <v>2.0</v>
      </c>
      <c r="T60" s="461">
        <v>0.0</v>
      </c>
      <c r="U60" s="533">
        <f t="shared" si="1"/>
        <v>44</v>
      </c>
      <c r="V60" s="461">
        <v>8.0</v>
      </c>
      <c r="W60" s="461">
        <v>6.0</v>
      </c>
      <c r="X60" s="461">
        <v>8.0</v>
      </c>
      <c r="Y60" s="461">
        <v>4.0</v>
      </c>
      <c r="Z60" s="461">
        <v>4.0</v>
      </c>
      <c r="AA60" s="461">
        <v>8.0</v>
      </c>
      <c r="AB60" s="461">
        <v>2.0</v>
      </c>
      <c r="AC60" s="551">
        <v>0.0</v>
      </c>
      <c r="AD60" s="461">
        <v>2.0</v>
      </c>
      <c r="AE60" s="461">
        <v>2.0</v>
      </c>
      <c r="AF60" s="461">
        <v>0.0</v>
      </c>
      <c r="AG60" s="534">
        <f t="shared" si="9"/>
        <v>44</v>
      </c>
      <c r="AH60" s="461">
        <v>8.0</v>
      </c>
      <c r="AI60" s="461">
        <v>6.0</v>
      </c>
      <c r="AJ60" s="461">
        <v>8.0</v>
      </c>
      <c r="AK60" s="461">
        <v>4.0</v>
      </c>
      <c r="AL60" s="461">
        <v>4.0</v>
      </c>
      <c r="AM60" s="461">
        <v>8.0</v>
      </c>
      <c r="AN60" s="461">
        <v>2.0</v>
      </c>
      <c r="AO60" s="551">
        <v>0.0</v>
      </c>
      <c r="AP60" s="461">
        <v>2.0</v>
      </c>
      <c r="AQ60" s="461">
        <v>2.0</v>
      </c>
      <c r="AR60" s="461">
        <v>0.0</v>
      </c>
      <c r="AS60" s="533">
        <f t="shared" si="10"/>
        <v>44</v>
      </c>
      <c r="AT60" s="1032">
        <f t="shared" si="4"/>
        <v>132</v>
      </c>
      <c r="AU60" s="466">
        <v>0.0</v>
      </c>
      <c r="AV60" s="461">
        <v>138.0</v>
      </c>
      <c r="AW60" s="461">
        <v>9.81</v>
      </c>
      <c r="AX60" s="461">
        <v>68.3757</v>
      </c>
      <c r="AY60" s="468"/>
      <c r="AZ60" s="469">
        <f t="shared" si="5"/>
        <v>3008.5308</v>
      </c>
      <c r="BA60" s="469">
        <f t="shared" si="6"/>
        <v>3008.5308</v>
      </c>
      <c r="BB60" s="469">
        <f t="shared" si="7"/>
        <v>3008.5308</v>
      </c>
      <c r="BC60" s="469">
        <f t="shared" si="8"/>
        <v>9025.5924</v>
      </c>
      <c r="BD60" s="471"/>
      <c r="BE60" s="469"/>
      <c r="BF60" s="412"/>
    </row>
    <row r="61" ht="15.75" customHeight="1">
      <c r="A61" s="571" t="s">
        <v>2852</v>
      </c>
      <c r="B61" s="571" t="s">
        <v>52</v>
      </c>
      <c r="C61" s="571" t="s">
        <v>2708</v>
      </c>
      <c r="D61" s="571" t="s">
        <v>1763</v>
      </c>
      <c r="E61" s="569" t="s">
        <v>2709</v>
      </c>
      <c r="F61" s="569" t="s">
        <v>2909</v>
      </c>
      <c r="G61" s="484">
        <v>1.0000564E7</v>
      </c>
      <c r="H61" s="571" t="s">
        <v>3665</v>
      </c>
      <c r="I61" s="571" t="s">
        <v>25</v>
      </c>
      <c r="J61" s="481">
        <v>507.0</v>
      </c>
      <c r="K61" s="481">
        <v>301.0</v>
      </c>
      <c r="L61" s="481">
        <v>443.0</v>
      </c>
      <c r="M61" s="482">
        <v>0.0</v>
      </c>
      <c r="N61" s="482">
        <v>254.0</v>
      </c>
      <c r="O61" s="482">
        <v>0.0</v>
      </c>
      <c r="P61" s="482">
        <v>0.0</v>
      </c>
      <c r="Q61" s="492">
        <v>0.0</v>
      </c>
      <c r="R61" s="481">
        <v>70.0</v>
      </c>
      <c r="S61" s="492">
        <v>0.0</v>
      </c>
      <c r="T61" s="481">
        <v>0.0</v>
      </c>
      <c r="U61" s="533">
        <f t="shared" si="1"/>
        <v>1575</v>
      </c>
      <c r="V61" s="481">
        <v>394.0</v>
      </c>
      <c r="W61" s="481">
        <v>234.0</v>
      </c>
      <c r="X61" s="481">
        <v>344.0</v>
      </c>
      <c r="Y61" s="481">
        <v>222.0</v>
      </c>
      <c r="Z61" s="481">
        <v>254.0</v>
      </c>
      <c r="AA61" s="481">
        <v>420.0</v>
      </c>
      <c r="AB61" s="481">
        <v>266.0</v>
      </c>
      <c r="AC61" s="481">
        <v>314.0</v>
      </c>
      <c r="AD61" s="481">
        <v>54.0</v>
      </c>
      <c r="AE61" s="481">
        <v>330.0</v>
      </c>
      <c r="AF61" s="481">
        <v>0.0</v>
      </c>
      <c r="AG61" s="534">
        <f t="shared" si="9"/>
        <v>2832</v>
      </c>
      <c r="AH61" s="481">
        <v>394.0</v>
      </c>
      <c r="AI61" s="481">
        <v>234.0</v>
      </c>
      <c r="AJ61" s="481">
        <v>344.0</v>
      </c>
      <c r="AK61" s="481">
        <v>222.0</v>
      </c>
      <c r="AL61" s="481">
        <v>254.0</v>
      </c>
      <c r="AM61" s="481">
        <v>420.0</v>
      </c>
      <c r="AN61" s="481">
        <v>266.0</v>
      </c>
      <c r="AO61" s="481">
        <v>314.0</v>
      </c>
      <c r="AP61" s="481">
        <v>54.0</v>
      </c>
      <c r="AQ61" s="481">
        <v>330.0</v>
      </c>
      <c r="AR61" s="481">
        <v>0.0</v>
      </c>
      <c r="AS61" s="533">
        <f t="shared" si="10"/>
        <v>2832</v>
      </c>
      <c r="AT61" s="535">
        <f t="shared" si="4"/>
        <v>7239</v>
      </c>
      <c r="AU61" s="484">
        <v>0.0</v>
      </c>
      <c r="AV61" s="484">
        <v>9310.0</v>
      </c>
      <c r="AW61" s="484">
        <v>0.27</v>
      </c>
      <c r="AX61" s="484">
        <v>1.8819000000000001</v>
      </c>
      <c r="AY61" s="504"/>
      <c r="AZ61" s="487">
        <f t="shared" si="5"/>
        <v>2963.9925</v>
      </c>
      <c r="BA61" s="487">
        <f t="shared" si="6"/>
        <v>5329.5408</v>
      </c>
      <c r="BB61" s="487">
        <f t="shared" si="7"/>
        <v>5329.5408</v>
      </c>
      <c r="BC61" s="487">
        <f t="shared" si="8"/>
        <v>13623.0741</v>
      </c>
      <c r="BD61" s="489"/>
      <c r="BE61" s="505"/>
      <c r="BF61" s="412"/>
    </row>
    <row r="62" ht="15.75" customHeight="1">
      <c r="A62" s="568" t="s">
        <v>2852</v>
      </c>
      <c r="B62" s="568" t="s">
        <v>52</v>
      </c>
      <c r="C62" s="568" t="s">
        <v>2708</v>
      </c>
      <c r="D62" s="568" t="s">
        <v>1763</v>
      </c>
      <c r="E62" s="569" t="s">
        <v>2709</v>
      </c>
      <c r="F62" s="1038"/>
      <c r="G62" s="466">
        <v>1.0488431E7</v>
      </c>
      <c r="H62" s="568" t="s">
        <v>3452</v>
      </c>
      <c r="I62" s="568" t="s">
        <v>25</v>
      </c>
      <c r="J62" s="461">
        <v>1.0</v>
      </c>
      <c r="K62" s="461">
        <v>1.0</v>
      </c>
      <c r="L62" s="461">
        <v>1.0</v>
      </c>
      <c r="M62" s="461">
        <v>1.0</v>
      </c>
      <c r="N62" s="461">
        <v>1.0</v>
      </c>
      <c r="O62" s="461">
        <v>1.0</v>
      </c>
      <c r="P62" s="461">
        <v>1.0</v>
      </c>
      <c r="Q62" s="461">
        <v>1.0</v>
      </c>
      <c r="R62" s="461">
        <v>1.0</v>
      </c>
      <c r="S62" s="461">
        <v>1.0</v>
      </c>
      <c r="T62" s="461">
        <v>0.0</v>
      </c>
      <c r="U62" s="533">
        <f t="shared" si="1"/>
        <v>10</v>
      </c>
      <c r="V62" s="461">
        <v>1.0</v>
      </c>
      <c r="W62" s="461">
        <v>1.0</v>
      </c>
      <c r="X62" s="461">
        <v>1.0</v>
      </c>
      <c r="Y62" s="461">
        <v>1.0</v>
      </c>
      <c r="Z62" s="461">
        <v>1.0</v>
      </c>
      <c r="AA62" s="461">
        <v>1.0</v>
      </c>
      <c r="AB62" s="461">
        <v>1.0</v>
      </c>
      <c r="AC62" s="461">
        <v>1.0</v>
      </c>
      <c r="AD62" s="461">
        <v>1.0</v>
      </c>
      <c r="AE62" s="461">
        <v>1.0</v>
      </c>
      <c r="AF62" s="461">
        <v>0.0</v>
      </c>
      <c r="AG62" s="534">
        <f t="shared" si="9"/>
        <v>10</v>
      </c>
      <c r="AH62" s="461">
        <v>1.0</v>
      </c>
      <c r="AI62" s="461">
        <v>1.0</v>
      </c>
      <c r="AJ62" s="461">
        <v>1.0</v>
      </c>
      <c r="AK62" s="461">
        <v>1.0</v>
      </c>
      <c r="AL62" s="461">
        <v>1.0</v>
      </c>
      <c r="AM62" s="461">
        <v>1.0</v>
      </c>
      <c r="AN62" s="461">
        <v>1.0</v>
      </c>
      <c r="AO62" s="461">
        <v>1.0</v>
      </c>
      <c r="AP62" s="461">
        <v>1.0</v>
      </c>
      <c r="AQ62" s="461">
        <v>1.0</v>
      </c>
      <c r="AR62" s="461">
        <v>0.0</v>
      </c>
      <c r="AS62" s="533">
        <f t="shared" si="10"/>
        <v>10</v>
      </c>
      <c r="AT62" s="1032">
        <f t="shared" si="4"/>
        <v>30</v>
      </c>
      <c r="AU62" s="466">
        <v>10.0</v>
      </c>
      <c r="AV62" s="466">
        <v>40.0</v>
      </c>
      <c r="AW62" s="466">
        <v>40.65</v>
      </c>
      <c r="AX62" s="466">
        <v>283.3305</v>
      </c>
      <c r="AY62" s="538"/>
      <c r="AZ62" s="469">
        <f t="shared" si="5"/>
        <v>2833.305</v>
      </c>
      <c r="BA62" s="469">
        <f t="shared" si="6"/>
        <v>2833.305</v>
      </c>
      <c r="BB62" s="469">
        <f t="shared" si="7"/>
        <v>2833.305</v>
      </c>
      <c r="BC62" s="469">
        <f t="shared" si="8"/>
        <v>8499.915</v>
      </c>
      <c r="BD62" s="471"/>
      <c r="BE62" s="518"/>
      <c r="BF62" s="412"/>
    </row>
    <row r="63" ht="15.75" customHeight="1">
      <c r="A63" s="571" t="s">
        <v>2852</v>
      </c>
      <c r="B63" s="571" t="s">
        <v>52</v>
      </c>
      <c r="C63" s="571" t="s">
        <v>2708</v>
      </c>
      <c r="D63" s="571" t="s">
        <v>1763</v>
      </c>
      <c r="E63" s="569" t="s">
        <v>2709</v>
      </c>
      <c r="F63" s="569" t="s">
        <v>2919</v>
      </c>
      <c r="G63" s="484">
        <v>1.0274064E7</v>
      </c>
      <c r="H63" s="571" t="s">
        <v>1125</v>
      </c>
      <c r="I63" s="571" t="s">
        <v>25</v>
      </c>
      <c r="J63" s="481">
        <v>25.0</v>
      </c>
      <c r="K63" s="481">
        <v>20.0</v>
      </c>
      <c r="L63" s="481">
        <v>20.0</v>
      </c>
      <c r="M63" s="481">
        <v>30.0</v>
      </c>
      <c r="N63" s="481">
        <v>20.0</v>
      </c>
      <c r="O63" s="482">
        <v>50.0</v>
      </c>
      <c r="P63" s="481">
        <v>40.0</v>
      </c>
      <c r="Q63" s="481">
        <v>40.0</v>
      </c>
      <c r="R63" s="481">
        <v>20.0</v>
      </c>
      <c r="S63" s="492">
        <v>30.0</v>
      </c>
      <c r="T63" s="481">
        <v>0.0</v>
      </c>
      <c r="U63" s="533">
        <f t="shared" si="1"/>
        <v>295</v>
      </c>
      <c r="V63" s="481">
        <v>25.0</v>
      </c>
      <c r="W63" s="481">
        <v>20.0</v>
      </c>
      <c r="X63" s="481">
        <v>20.0</v>
      </c>
      <c r="Y63" s="481">
        <v>30.0</v>
      </c>
      <c r="Z63" s="481">
        <v>20.0</v>
      </c>
      <c r="AA63" s="482">
        <v>50.0</v>
      </c>
      <c r="AB63" s="481">
        <v>40.0</v>
      </c>
      <c r="AC63" s="481">
        <v>40.0</v>
      </c>
      <c r="AD63" s="481">
        <v>20.0</v>
      </c>
      <c r="AE63" s="492">
        <v>30.0</v>
      </c>
      <c r="AF63" s="481">
        <v>0.0</v>
      </c>
      <c r="AG63" s="534">
        <f t="shared" si="9"/>
        <v>295</v>
      </c>
      <c r="AH63" s="481">
        <v>25.0</v>
      </c>
      <c r="AI63" s="481">
        <v>20.0</v>
      </c>
      <c r="AJ63" s="481">
        <v>20.0</v>
      </c>
      <c r="AK63" s="481">
        <v>30.0</v>
      </c>
      <c r="AL63" s="481">
        <v>20.0</v>
      </c>
      <c r="AM63" s="482">
        <v>50.0</v>
      </c>
      <c r="AN63" s="481">
        <v>40.0</v>
      </c>
      <c r="AO63" s="481">
        <v>40.0</v>
      </c>
      <c r="AP63" s="481">
        <v>20.0</v>
      </c>
      <c r="AQ63" s="492">
        <v>30.0</v>
      </c>
      <c r="AR63" s="481">
        <v>0.0</v>
      </c>
      <c r="AS63" s="533">
        <f t="shared" si="10"/>
        <v>295</v>
      </c>
      <c r="AT63" s="535">
        <f t="shared" si="4"/>
        <v>885</v>
      </c>
      <c r="AU63" s="484">
        <v>0.0</v>
      </c>
      <c r="AV63" s="484">
        <v>885.0</v>
      </c>
      <c r="AW63" s="484">
        <v>1.04</v>
      </c>
      <c r="AX63" s="484">
        <v>7.2488</v>
      </c>
      <c r="AY63" s="504"/>
      <c r="AZ63" s="487">
        <f t="shared" si="5"/>
        <v>2138.396</v>
      </c>
      <c r="BA63" s="487">
        <f t="shared" si="6"/>
        <v>2138.396</v>
      </c>
      <c r="BB63" s="487">
        <f t="shared" si="7"/>
        <v>2138.396</v>
      </c>
      <c r="BC63" s="487">
        <f t="shared" si="8"/>
        <v>6415.188</v>
      </c>
      <c r="BD63" s="489"/>
      <c r="BE63" s="505"/>
      <c r="BF63" s="412"/>
    </row>
    <row r="64" ht="15.75" customHeight="1">
      <c r="A64" s="567" t="s">
        <v>2808</v>
      </c>
      <c r="B64" s="568" t="s">
        <v>118</v>
      </c>
      <c r="C64" s="567" t="s">
        <v>2708</v>
      </c>
      <c r="D64" s="567" t="s">
        <v>1763</v>
      </c>
      <c r="E64" s="569" t="s">
        <v>2709</v>
      </c>
      <c r="F64" s="569" t="s">
        <v>2912</v>
      </c>
      <c r="G64" s="461">
        <v>1.0505294E7</v>
      </c>
      <c r="H64" s="568" t="s">
        <v>486</v>
      </c>
      <c r="I64" s="567" t="s">
        <v>25</v>
      </c>
      <c r="J64" s="461">
        <v>1.0</v>
      </c>
      <c r="K64" s="461">
        <v>0.0</v>
      </c>
      <c r="L64" s="532">
        <v>0.0</v>
      </c>
      <c r="M64" s="461">
        <v>0.0</v>
      </c>
      <c r="N64" s="461">
        <v>0.0</v>
      </c>
      <c r="O64" s="461">
        <v>0.0</v>
      </c>
      <c r="P64" s="461">
        <v>0.0</v>
      </c>
      <c r="Q64" s="462">
        <v>0.0</v>
      </c>
      <c r="R64" s="461">
        <v>0.0</v>
      </c>
      <c r="S64" s="461">
        <v>0.0</v>
      </c>
      <c r="T64" s="461">
        <v>0.0</v>
      </c>
      <c r="U64" s="533">
        <f t="shared" si="1"/>
        <v>1</v>
      </c>
      <c r="V64" s="461">
        <v>1.0</v>
      </c>
      <c r="W64" s="461">
        <v>0.0</v>
      </c>
      <c r="X64" s="461">
        <v>1.0</v>
      </c>
      <c r="Y64" s="461">
        <v>0.0</v>
      </c>
      <c r="Z64" s="461">
        <v>0.0</v>
      </c>
      <c r="AA64" s="461">
        <v>0.0</v>
      </c>
      <c r="AB64" s="461">
        <v>0.0</v>
      </c>
      <c r="AC64" s="461">
        <v>0.0</v>
      </c>
      <c r="AD64" s="461">
        <v>0.0</v>
      </c>
      <c r="AE64" s="461">
        <v>0.0</v>
      </c>
      <c r="AF64" s="461">
        <v>0.0</v>
      </c>
      <c r="AG64" s="534">
        <f t="shared" si="9"/>
        <v>2</v>
      </c>
      <c r="AH64" s="461">
        <v>1.0</v>
      </c>
      <c r="AI64" s="461">
        <v>0.0</v>
      </c>
      <c r="AJ64" s="461">
        <v>1.0</v>
      </c>
      <c r="AK64" s="461">
        <v>0.0</v>
      </c>
      <c r="AL64" s="461">
        <v>0.0</v>
      </c>
      <c r="AM64" s="461">
        <v>0.0</v>
      </c>
      <c r="AN64" s="461">
        <v>0.0</v>
      </c>
      <c r="AO64" s="461">
        <v>0.0</v>
      </c>
      <c r="AP64" s="461">
        <v>0.0</v>
      </c>
      <c r="AQ64" s="461">
        <v>0.0</v>
      </c>
      <c r="AR64" s="461">
        <v>0.0</v>
      </c>
      <c r="AS64" s="533">
        <f t="shared" si="10"/>
        <v>2</v>
      </c>
      <c r="AT64" s="1032">
        <f t="shared" si="4"/>
        <v>5</v>
      </c>
      <c r="AU64" s="466">
        <v>36.0</v>
      </c>
      <c r="AV64" s="461">
        <v>41.0</v>
      </c>
      <c r="AW64" s="461">
        <v>279.15</v>
      </c>
      <c r="AX64" s="461">
        <v>1945.6754999999998</v>
      </c>
      <c r="AY64" s="468"/>
      <c r="AZ64" s="469">
        <f t="shared" si="5"/>
        <v>1945.6755</v>
      </c>
      <c r="BA64" s="469">
        <f t="shared" si="6"/>
        <v>3891.351</v>
      </c>
      <c r="BB64" s="469">
        <f t="shared" si="7"/>
        <v>3891.351</v>
      </c>
      <c r="BC64" s="469">
        <f t="shared" si="8"/>
        <v>9728.3775</v>
      </c>
      <c r="BD64" s="471"/>
      <c r="BE64" s="469"/>
      <c r="BF64" s="412"/>
    </row>
    <row r="65" ht="15.75" customHeight="1">
      <c r="A65" s="562" t="s">
        <v>2808</v>
      </c>
      <c r="B65" s="571" t="s">
        <v>590</v>
      </c>
      <c r="C65" s="562" t="s">
        <v>2708</v>
      </c>
      <c r="D65" s="562" t="s">
        <v>1763</v>
      </c>
      <c r="E65" s="569" t="s">
        <v>2709</v>
      </c>
      <c r="F65" s="569" t="s">
        <v>2913</v>
      </c>
      <c r="G65" s="481">
        <v>1.0607522E7</v>
      </c>
      <c r="H65" s="571" t="s">
        <v>3666</v>
      </c>
      <c r="I65" s="562" t="s">
        <v>25</v>
      </c>
      <c r="J65" s="481">
        <v>1.0</v>
      </c>
      <c r="K65" s="481">
        <v>1.0</v>
      </c>
      <c r="L65" s="481">
        <v>1.0</v>
      </c>
      <c r="M65" s="481">
        <v>0.0</v>
      </c>
      <c r="N65" s="481">
        <v>0.0</v>
      </c>
      <c r="O65" s="481">
        <v>0.0</v>
      </c>
      <c r="P65" s="481">
        <v>1.0</v>
      </c>
      <c r="Q65" s="481">
        <v>1.0</v>
      </c>
      <c r="R65" s="481">
        <v>0.0</v>
      </c>
      <c r="S65" s="481">
        <v>1.0</v>
      </c>
      <c r="T65" s="481">
        <v>0.0</v>
      </c>
      <c r="U65" s="533">
        <f t="shared" si="1"/>
        <v>6</v>
      </c>
      <c r="V65" s="481">
        <v>2.0</v>
      </c>
      <c r="W65" s="481">
        <v>1.0</v>
      </c>
      <c r="X65" s="481">
        <v>2.0</v>
      </c>
      <c r="Y65" s="481">
        <v>0.0</v>
      </c>
      <c r="Z65" s="481">
        <v>0.0</v>
      </c>
      <c r="AA65" s="481">
        <v>0.0</v>
      </c>
      <c r="AB65" s="481">
        <v>2.0</v>
      </c>
      <c r="AC65" s="481">
        <v>2.0</v>
      </c>
      <c r="AD65" s="481">
        <v>1.0</v>
      </c>
      <c r="AE65" s="481">
        <v>2.0</v>
      </c>
      <c r="AF65" s="481">
        <v>0.0</v>
      </c>
      <c r="AG65" s="534">
        <f t="shared" si="9"/>
        <v>12</v>
      </c>
      <c r="AH65" s="481">
        <v>2.0</v>
      </c>
      <c r="AI65" s="481">
        <v>1.0</v>
      </c>
      <c r="AJ65" s="481">
        <v>2.0</v>
      </c>
      <c r="AK65" s="481">
        <v>0.0</v>
      </c>
      <c r="AL65" s="481">
        <v>0.0</v>
      </c>
      <c r="AM65" s="481">
        <v>0.0</v>
      </c>
      <c r="AN65" s="481">
        <v>2.0</v>
      </c>
      <c r="AO65" s="481">
        <v>2.0</v>
      </c>
      <c r="AP65" s="481">
        <v>1.0</v>
      </c>
      <c r="AQ65" s="481">
        <v>2.0</v>
      </c>
      <c r="AR65" s="481">
        <v>0.0</v>
      </c>
      <c r="AS65" s="533">
        <f t="shared" si="10"/>
        <v>12</v>
      </c>
      <c r="AT65" s="535">
        <f t="shared" si="4"/>
        <v>30</v>
      </c>
      <c r="AU65" s="484">
        <v>46.0</v>
      </c>
      <c r="AV65" s="481">
        <v>76.0</v>
      </c>
      <c r="AW65" s="481">
        <v>45.03</v>
      </c>
      <c r="AX65" s="481">
        <v>313.8591</v>
      </c>
      <c r="AY65" s="486"/>
      <c r="AZ65" s="487">
        <f t="shared" si="5"/>
        <v>1883.1546</v>
      </c>
      <c r="BA65" s="487">
        <f t="shared" si="6"/>
        <v>3766.3092</v>
      </c>
      <c r="BB65" s="487">
        <f t="shared" si="7"/>
        <v>3766.3092</v>
      </c>
      <c r="BC65" s="487">
        <f t="shared" si="8"/>
        <v>9415.773</v>
      </c>
      <c r="BD65" s="489"/>
      <c r="BE65" s="487"/>
      <c r="BF65" s="412"/>
    </row>
    <row r="66" ht="15.75" customHeight="1">
      <c r="A66" s="568" t="s">
        <v>2852</v>
      </c>
      <c r="B66" s="568" t="s">
        <v>52</v>
      </c>
      <c r="C66" s="568" t="s">
        <v>2708</v>
      </c>
      <c r="D66" s="568" t="s">
        <v>1763</v>
      </c>
      <c r="E66" s="569" t="s">
        <v>2709</v>
      </c>
      <c r="F66" s="569" t="s">
        <v>2889</v>
      </c>
      <c r="G66" s="466">
        <v>1.0274054E7</v>
      </c>
      <c r="H66" s="568" t="s">
        <v>389</v>
      </c>
      <c r="I66" s="568" t="s">
        <v>25</v>
      </c>
      <c r="J66" s="461">
        <v>0.0</v>
      </c>
      <c r="K66" s="461">
        <v>0.0</v>
      </c>
      <c r="L66" s="461">
        <v>0.0</v>
      </c>
      <c r="M66" s="461">
        <v>0.0</v>
      </c>
      <c r="N66" s="462">
        <v>25.0</v>
      </c>
      <c r="O66" s="461">
        <v>0.0</v>
      </c>
      <c r="P66" s="461">
        <v>0.0</v>
      </c>
      <c r="Q66" s="461">
        <v>0.0</v>
      </c>
      <c r="R66" s="461">
        <v>0.0</v>
      </c>
      <c r="S66" s="461">
        <v>0.0</v>
      </c>
      <c r="T66" s="461">
        <v>0.0</v>
      </c>
      <c r="U66" s="533">
        <f t="shared" si="1"/>
        <v>25</v>
      </c>
      <c r="V66" s="461">
        <v>30.0</v>
      </c>
      <c r="W66" s="461">
        <v>18.0</v>
      </c>
      <c r="X66" s="461">
        <v>26.0</v>
      </c>
      <c r="Y66" s="461">
        <v>20.0</v>
      </c>
      <c r="Z66" s="461">
        <v>25.0</v>
      </c>
      <c r="AA66" s="461">
        <v>20.0</v>
      </c>
      <c r="AB66" s="461">
        <v>10.0</v>
      </c>
      <c r="AC66" s="461">
        <v>10.0</v>
      </c>
      <c r="AD66" s="461">
        <v>6.0</v>
      </c>
      <c r="AE66" s="490">
        <v>0.0</v>
      </c>
      <c r="AF66" s="461">
        <v>0.0</v>
      </c>
      <c r="AG66" s="534">
        <f t="shared" si="9"/>
        <v>165</v>
      </c>
      <c r="AH66" s="461">
        <v>30.0</v>
      </c>
      <c r="AI66" s="461">
        <v>18.0</v>
      </c>
      <c r="AJ66" s="461">
        <v>26.0</v>
      </c>
      <c r="AK66" s="461">
        <v>20.0</v>
      </c>
      <c r="AL66" s="461">
        <v>25.0</v>
      </c>
      <c r="AM66" s="461">
        <v>20.0</v>
      </c>
      <c r="AN66" s="461">
        <v>10.0</v>
      </c>
      <c r="AO66" s="461">
        <v>10.0</v>
      </c>
      <c r="AP66" s="461">
        <v>6.0</v>
      </c>
      <c r="AQ66" s="490">
        <v>0.0</v>
      </c>
      <c r="AR66" s="461">
        <v>0.0</v>
      </c>
      <c r="AS66" s="533">
        <f t="shared" si="10"/>
        <v>165</v>
      </c>
      <c r="AT66" s="1032">
        <f t="shared" si="4"/>
        <v>355</v>
      </c>
      <c r="AU66" s="466">
        <v>1124.0</v>
      </c>
      <c r="AV66" s="466">
        <v>1544.0</v>
      </c>
      <c r="AW66" s="466">
        <v>10.04</v>
      </c>
      <c r="AX66" s="466">
        <v>69.97879999999999</v>
      </c>
      <c r="AY66" s="538"/>
      <c r="AZ66" s="469">
        <f t="shared" si="5"/>
        <v>1749.47</v>
      </c>
      <c r="BA66" s="469">
        <f t="shared" si="6"/>
        <v>11546.502</v>
      </c>
      <c r="BB66" s="469">
        <f t="shared" si="7"/>
        <v>11546.502</v>
      </c>
      <c r="BC66" s="469">
        <f t="shared" si="8"/>
        <v>24842.474</v>
      </c>
      <c r="BD66" s="471"/>
      <c r="BE66" s="518"/>
      <c r="BF66" s="412"/>
    </row>
    <row r="67" ht="15.75" customHeight="1">
      <c r="A67" s="562" t="s">
        <v>2707</v>
      </c>
      <c r="B67" s="571" t="s">
        <v>785</v>
      </c>
      <c r="C67" s="562" t="s">
        <v>2708</v>
      </c>
      <c r="D67" s="562" t="s">
        <v>1763</v>
      </c>
      <c r="E67" s="569" t="s">
        <v>2709</v>
      </c>
      <c r="F67" s="569" t="s">
        <v>2923</v>
      </c>
      <c r="G67" s="481">
        <v>1.0531215E7</v>
      </c>
      <c r="H67" s="571" t="s">
        <v>1186</v>
      </c>
      <c r="I67" s="562" t="s">
        <v>25</v>
      </c>
      <c r="J67" s="481">
        <v>8.0</v>
      </c>
      <c r="K67" s="481">
        <v>3.0</v>
      </c>
      <c r="L67" s="481">
        <v>8.0</v>
      </c>
      <c r="M67" s="481">
        <v>8.0</v>
      </c>
      <c r="N67" s="481">
        <v>8.0</v>
      </c>
      <c r="O67" s="481">
        <v>10.0</v>
      </c>
      <c r="P67" s="481">
        <v>8.0</v>
      </c>
      <c r="Q67" s="481">
        <v>8.0</v>
      </c>
      <c r="R67" s="481">
        <v>8.0</v>
      </c>
      <c r="S67" s="481">
        <v>18.0</v>
      </c>
      <c r="T67" s="481">
        <v>0.0</v>
      </c>
      <c r="U67" s="533">
        <f t="shared" si="1"/>
        <v>87</v>
      </c>
      <c r="V67" s="481">
        <v>8.0</v>
      </c>
      <c r="W67" s="481">
        <v>3.0</v>
      </c>
      <c r="X67" s="481">
        <v>8.0</v>
      </c>
      <c r="Y67" s="481">
        <v>8.0</v>
      </c>
      <c r="Z67" s="481">
        <v>8.0</v>
      </c>
      <c r="AA67" s="481">
        <v>10.0</v>
      </c>
      <c r="AB67" s="481">
        <v>8.0</v>
      </c>
      <c r="AC67" s="481">
        <v>8.0</v>
      </c>
      <c r="AD67" s="481">
        <v>8.0</v>
      </c>
      <c r="AE67" s="481">
        <v>18.0</v>
      </c>
      <c r="AF67" s="481">
        <v>0.0</v>
      </c>
      <c r="AG67" s="534">
        <f t="shared" si="9"/>
        <v>87</v>
      </c>
      <c r="AH67" s="481">
        <v>8.0</v>
      </c>
      <c r="AI67" s="481">
        <v>3.0</v>
      </c>
      <c r="AJ67" s="481">
        <v>8.0</v>
      </c>
      <c r="AK67" s="481">
        <v>8.0</v>
      </c>
      <c r="AL67" s="481">
        <v>8.0</v>
      </c>
      <c r="AM67" s="481">
        <v>10.0</v>
      </c>
      <c r="AN67" s="481">
        <v>8.0</v>
      </c>
      <c r="AO67" s="481">
        <v>8.0</v>
      </c>
      <c r="AP67" s="481">
        <v>8.0</v>
      </c>
      <c r="AQ67" s="481">
        <v>18.0</v>
      </c>
      <c r="AR67" s="481">
        <v>0.0</v>
      </c>
      <c r="AS67" s="533">
        <f t="shared" si="10"/>
        <v>87</v>
      </c>
      <c r="AT67" s="535">
        <f t="shared" si="4"/>
        <v>261</v>
      </c>
      <c r="AU67" s="484">
        <v>0.0</v>
      </c>
      <c r="AV67" s="481">
        <v>261.0</v>
      </c>
      <c r="AW67" s="481">
        <v>2.85</v>
      </c>
      <c r="AX67" s="481">
        <v>19.8645</v>
      </c>
      <c r="AY67" s="486"/>
      <c r="AZ67" s="487">
        <f t="shared" si="5"/>
        <v>1728.2115</v>
      </c>
      <c r="BA67" s="487">
        <f t="shared" si="6"/>
        <v>1728.2115</v>
      </c>
      <c r="BB67" s="487">
        <f t="shared" si="7"/>
        <v>1728.2115</v>
      </c>
      <c r="BC67" s="487">
        <f t="shared" si="8"/>
        <v>5184.6345</v>
      </c>
      <c r="BD67" s="489"/>
      <c r="BE67" s="487"/>
      <c r="BF67" s="412"/>
    </row>
    <row r="68" ht="15.75" customHeight="1">
      <c r="A68" s="568" t="s">
        <v>2852</v>
      </c>
      <c r="B68" s="568" t="s">
        <v>52</v>
      </c>
      <c r="C68" s="568" t="s">
        <v>2708</v>
      </c>
      <c r="D68" s="568" t="s">
        <v>1763</v>
      </c>
      <c r="E68" s="569" t="s">
        <v>2709</v>
      </c>
      <c r="F68" s="569" t="s">
        <v>2924</v>
      </c>
      <c r="G68" s="466">
        <v>1.0000079E7</v>
      </c>
      <c r="H68" s="568" t="s">
        <v>1106</v>
      </c>
      <c r="I68" s="568" t="s">
        <v>25</v>
      </c>
      <c r="J68" s="461">
        <v>220.0</v>
      </c>
      <c r="K68" s="461">
        <v>131.0</v>
      </c>
      <c r="L68" s="461">
        <v>192.0</v>
      </c>
      <c r="M68" s="461">
        <v>124.0</v>
      </c>
      <c r="N68" s="461">
        <v>142.0</v>
      </c>
      <c r="O68" s="461">
        <v>235.0</v>
      </c>
      <c r="P68" s="462">
        <v>0.0</v>
      </c>
      <c r="Q68" s="490">
        <v>0.0</v>
      </c>
      <c r="R68" s="461">
        <v>30.0</v>
      </c>
      <c r="S68" s="490">
        <v>0.0</v>
      </c>
      <c r="T68" s="461">
        <v>0.0</v>
      </c>
      <c r="U68" s="533">
        <f t="shared" si="1"/>
        <v>1074</v>
      </c>
      <c r="V68" s="461">
        <v>197.0</v>
      </c>
      <c r="W68" s="461">
        <v>117.0</v>
      </c>
      <c r="X68" s="461">
        <v>172.0</v>
      </c>
      <c r="Y68" s="461">
        <v>111.0</v>
      </c>
      <c r="Z68" s="461">
        <v>127.0</v>
      </c>
      <c r="AA68" s="461">
        <v>210.0</v>
      </c>
      <c r="AB68" s="462">
        <v>0.0</v>
      </c>
      <c r="AC68" s="490">
        <v>0.0</v>
      </c>
      <c r="AD68" s="461">
        <v>27.0</v>
      </c>
      <c r="AE68" s="490">
        <v>0.0</v>
      </c>
      <c r="AF68" s="461">
        <v>0.0</v>
      </c>
      <c r="AG68" s="534">
        <f t="shared" si="9"/>
        <v>961</v>
      </c>
      <c r="AH68" s="461">
        <v>197.0</v>
      </c>
      <c r="AI68" s="461">
        <v>117.0</v>
      </c>
      <c r="AJ68" s="461">
        <v>172.0</v>
      </c>
      <c r="AK68" s="461">
        <v>111.0</v>
      </c>
      <c r="AL68" s="461">
        <v>127.0</v>
      </c>
      <c r="AM68" s="461">
        <v>210.0</v>
      </c>
      <c r="AN68" s="462">
        <v>0.0</v>
      </c>
      <c r="AO68" s="490">
        <v>0.0</v>
      </c>
      <c r="AP68" s="461">
        <v>27.0</v>
      </c>
      <c r="AQ68" s="490">
        <v>0.0</v>
      </c>
      <c r="AR68" s="461">
        <v>0.0</v>
      </c>
      <c r="AS68" s="533">
        <f t="shared" si="10"/>
        <v>961</v>
      </c>
      <c r="AT68" s="1032">
        <f t="shared" si="4"/>
        <v>2996</v>
      </c>
      <c r="AU68" s="466">
        <v>1360.0</v>
      </c>
      <c r="AV68" s="466">
        <v>5826.0</v>
      </c>
      <c r="AW68" s="466">
        <v>0.23</v>
      </c>
      <c r="AX68" s="466">
        <v>1.6031</v>
      </c>
      <c r="AY68" s="538"/>
      <c r="AZ68" s="469">
        <f t="shared" si="5"/>
        <v>1721.7294</v>
      </c>
      <c r="BA68" s="469">
        <f t="shared" si="6"/>
        <v>1540.5791</v>
      </c>
      <c r="BB68" s="469">
        <f t="shared" si="7"/>
        <v>1540.5791</v>
      </c>
      <c r="BC68" s="469">
        <f t="shared" si="8"/>
        <v>4802.8876</v>
      </c>
      <c r="BD68" s="471"/>
      <c r="BE68" s="518"/>
      <c r="BF68" s="412"/>
    </row>
    <row r="69" ht="15.75" customHeight="1">
      <c r="A69" s="562" t="s">
        <v>2852</v>
      </c>
      <c r="B69" s="571" t="s">
        <v>46</v>
      </c>
      <c r="C69" s="562" t="s">
        <v>2708</v>
      </c>
      <c r="D69" s="562" t="s">
        <v>1763</v>
      </c>
      <c r="E69" s="569" t="s">
        <v>2709</v>
      </c>
      <c r="F69" s="569" t="s">
        <v>2922</v>
      </c>
      <c r="G69" s="481">
        <v>1.0752839E7</v>
      </c>
      <c r="H69" s="571" t="s">
        <v>3667</v>
      </c>
      <c r="I69" s="562" t="s">
        <v>25</v>
      </c>
      <c r="J69" s="481">
        <v>80.0</v>
      </c>
      <c r="K69" s="481">
        <v>60.0</v>
      </c>
      <c r="L69" s="481">
        <v>72.0</v>
      </c>
      <c r="M69" s="481">
        <v>44.0</v>
      </c>
      <c r="N69" s="481">
        <v>52.0</v>
      </c>
      <c r="O69" s="481">
        <v>84.0</v>
      </c>
      <c r="P69" s="482">
        <v>0.0</v>
      </c>
      <c r="Q69" s="481">
        <v>64.0</v>
      </c>
      <c r="R69" s="481">
        <v>12.0</v>
      </c>
      <c r="S69" s="492">
        <v>0.0</v>
      </c>
      <c r="T69" s="481">
        <v>0.0</v>
      </c>
      <c r="U69" s="533">
        <f t="shared" si="1"/>
        <v>468</v>
      </c>
      <c r="V69" s="481">
        <v>80.0</v>
      </c>
      <c r="W69" s="481">
        <v>60.0</v>
      </c>
      <c r="X69" s="481">
        <v>72.0</v>
      </c>
      <c r="Y69" s="481">
        <v>44.0</v>
      </c>
      <c r="Z69" s="481">
        <v>52.0</v>
      </c>
      <c r="AA69" s="481">
        <v>84.0</v>
      </c>
      <c r="AB69" s="481">
        <v>52.0</v>
      </c>
      <c r="AC69" s="481">
        <v>64.0</v>
      </c>
      <c r="AD69" s="481">
        <v>12.0</v>
      </c>
      <c r="AE69" s="492">
        <v>0.0</v>
      </c>
      <c r="AF69" s="481">
        <v>0.0</v>
      </c>
      <c r="AG69" s="534">
        <f t="shared" si="9"/>
        <v>520</v>
      </c>
      <c r="AH69" s="481">
        <v>80.0</v>
      </c>
      <c r="AI69" s="481">
        <v>60.0</v>
      </c>
      <c r="AJ69" s="481">
        <v>72.0</v>
      </c>
      <c r="AK69" s="481">
        <v>44.0</v>
      </c>
      <c r="AL69" s="481">
        <v>52.0</v>
      </c>
      <c r="AM69" s="481">
        <v>84.0</v>
      </c>
      <c r="AN69" s="481">
        <v>52.0</v>
      </c>
      <c r="AO69" s="481">
        <v>64.0</v>
      </c>
      <c r="AP69" s="481">
        <v>12.0</v>
      </c>
      <c r="AQ69" s="492">
        <v>0.0</v>
      </c>
      <c r="AR69" s="481">
        <v>0.0</v>
      </c>
      <c r="AS69" s="533">
        <f t="shared" si="10"/>
        <v>520</v>
      </c>
      <c r="AT69" s="535">
        <f t="shared" si="4"/>
        <v>1508</v>
      </c>
      <c r="AU69" s="484">
        <v>0.0</v>
      </c>
      <c r="AV69" s="481">
        <v>1764.0</v>
      </c>
      <c r="AW69" s="481">
        <v>0.5</v>
      </c>
      <c r="AX69" s="481">
        <v>3.485</v>
      </c>
      <c r="AY69" s="486"/>
      <c r="AZ69" s="487">
        <f t="shared" si="5"/>
        <v>1630.98</v>
      </c>
      <c r="BA69" s="487">
        <f t="shared" si="6"/>
        <v>1812.2</v>
      </c>
      <c r="BB69" s="487">
        <f t="shared" si="7"/>
        <v>1812.2</v>
      </c>
      <c r="BC69" s="487">
        <f t="shared" si="8"/>
        <v>5255.38</v>
      </c>
      <c r="BD69" s="489"/>
      <c r="BE69" s="487"/>
      <c r="BF69" s="412"/>
    </row>
    <row r="70" ht="15.75" customHeight="1">
      <c r="A70" s="567" t="s">
        <v>2707</v>
      </c>
      <c r="B70" s="568" t="s">
        <v>785</v>
      </c>
      <c r="C70" s="567" t="s">
        <v>2708</v>
      </c>
      <c r="D70" s="567" t="s">
        <v>1763</v>
      </c>
      <c r="E70" s="569" t="s">
        <v>2709</v>
      </c>
      <c r="F70" s="569" t="s">
        <v>2711</v>
      </c>
      <c r="G70" s="461">
        <v>1.0000082E7</v>
      </c>
      <c r="H70" s="568" t="s">
        <v>803</v>
      </c>
      <c r="I70" s="567" t="s">
        <v>25</v>
      </c>
      <c r="J70" s="461">
        <v>11.0</v>
      </c>
      <c r="K70" s="461">
        <v>6.0</v>
      </c>
      <c r="L70" s="461">
        <v>10.0</v>
      </c>
      <c r="M70" s="462">
        <v>0.0</v>
      </c>
      <c r="N70" s="462">
        <v>0.0</v>
      </c>
      <c r="O70" s="462">
        <v>0.0</v>
      </c>
      <c r="P70" s="461">
        <v>170.0</v>
      </c>
      <c r="Q70" s="551">
        <v>0.0</v>
      </c>
      <c r="R70" s="461">
        <v>48.0</v>
      </c>
      <c r="S70" s="551">
        <v>0.0</v>
      </c>
      <c r="T70" s="461">
        <v>0.0</v>
      </c>
      <c r="U70" s="533">
        <f t="shared" si="1"/>
        <v>245</v>
      </c>
      <c r="V70" s="461">
        <v>44.0</v>
      </c>
      <c r="W70" s="461">
        <v>28.0</v>
      </c>
      <c r="X70" s="461">
        <v>44.0</v>
      </c>
      <c r="Y70" s="461">
        <v>20.0</v>
      </c>
      <c r="Z70" s="461">
        <v>28.0</v>
      </c>
      <c r="AA70" s="461">
        <v>44.0</v>
      </c>
      <c r="AB70" s="461">
        <v>28.0</v>
      </c>
      <c r="AC70" s="551">
        <v>0.0</v>
      </c>
      <c r="AD70" s="461">
        <v>8.0</v>
      </c>
      <c r="AE70" s="551">
        <v>0.0</v>
      </c>
      <c r="AF70" s="461">
        <v>0.0</v>
      </c>
      <c r="AG70" s="534">
        <f t="shared" si="9"/>
        <v>244</v>
      </c>
      <c r="AH70" s="461">
        <v>44.0</v>
      </c>
      <c r="AI70" s="461">
        <v>28.0</v>
      </c>
      <c r="AJ70" s="461">
        <v>44.0</v>
      </c>
      <c r="AK70" s="461">
        <v>20.0</v>
      </c>
      <c r="AL70" s="461">
        <v>28.0</v>
      </c>
      <c r="AM70" s="461">
        <v>44.0</v>
      </c>
      <c r="AN70" s="461">
        <v>28.0</v>
      </c>
      <c r="AO70" s="461">
        <v>28.0</v>
      </c>
      <c r="AP70" s="461">
        <v>8.0</v>
      </c>
      <c r="AQ70" s="551">
        <v>0.0</v>
      </c>
      <c r="AR70" s="461">
        <v>0.0</v>
      </c>
      <c r="AS70" s="533">
        <f t="shared" si="10"/>
        <v>272</v>
      </c>
      <c r="AT70" s="1032">
        <f t="shared" si="4"/>
        <v>761</v>
      </c>
      <c r="AU70" s="466">
        <v>0.0</v>
      </c>
      <c r="AV70" s="461">
        <v>1710.0</v>
      </c>
      <c r="AW70" s="461">
        <v>0.89</v>
      </c>
      <c r="AX70" s="461">
        <v>6.2033</v>
      </c>
      <c r="AY70" s="468"/>
      <c r="AZ70" s="469">
        <f t="shared" si="5"/>
        <v>1519.8085</v>
      </c>
      <c r="BA70" s="469">
        <f t="shared" si="6"/>
        <v>1513.6052</v>
      </c>
      <c r="BB70" s="469">
        <f t="shared" si="7"/>
        <v>1687.2976</v>
      </c>
      <c r="BC70" s="469">
        <f t="shared" si="8"/>
        <v>4720.7113</v>
      </c>
      <c r="BD70" s="471"/>
      <c r="BE70" s="469"/>
      <c r="BF70" s="412"/>
    </row>
    <row r="71" ht="15.75" customHeight="1">
      <c r="A71" s="571" t="s">
        <v>2852</v>
      </c>
      <c r="B71" s="571" t="s">
        <v>52</v>
      </c>
      <c r="C71" s="571" t="s">
        <v>2708</v>
      </c>
      <c r="D71" s="571" t="s">
        <v>1763</v>
      </c>
      <c r="E71" s="569" t="s">
        <v>2709</v>
      </c>
      <c r="F71" s="569" t="s">
        <v>2906</v>
      </c>
      <c r="G71" s="484">
        <v>1.0488571E7</v>
      </c>
      <c r="H71" s="571" t="s">
        <v>764</v>
      </c>
      <c r="I71" s="571" t="s">
        <v>25</v>
      </c>
      <c r="J71" s="481">
        <v>2.0</v>
      </c>
      <c r="K71" s="481">
        <v>2.0</v>
      </c>
      <c r="L71" s="481">
        <v>2.0</v>
      </c>
      <c r="M71" s="481">
        <v>2.0</v>
      </c>
      <c r="N71" s="481">
        <v>2.0</v>
      </c>
      <c r="O71" s="481">
        <v>2.0</v>
      </c>
      <c r="P71" s="481">
        <v>2.0</v>
      </c>
      <c r="Q71" s="481">
        <v>2.0</v>
      </c>
      <c r="R71" s="481">
        <v>1.0</v>
      </c>
      <c r="S71" s="492">
        <v>0.0</v>
      </c>
      <c r="T71" s="481">
        <v>0.0</v>
      </c>
      <c r="U71" s="533">
        <f t="shared" si="1"/>
        <v>17</v>
      </c>
      <c r="V71" s="481">
        <v>10.0</v>
      </c>
      <c r="W71" s="481">
        <v>10.0</v>
      </c>
      <c r="X71" s="481">
        <v>10.0</v>
      </c>
      <c r="Y71" s="481">
        <v>10.0</v>
      </c>
      <c r="Z71" s="481">
        <v>10.0</v>
      </c>
      <c r="AA71" s="481">
        <v>10.0</v>
      </c>
      <c r="AB71" s="481">
        <v>10.0</v>
      </c>
      <c r="AC71" s="481">
        <v>10.0</v>
      </c>
      <c r="AD71" s="481">
        <v>5.0</v>
      </c>
      <c r="AE71" s="492">
        <v>0.0</v>
      </c>
      <c r="AF71" s="481">
        <v>0.0</v>
      </c>
      <c r="AG71" s="534">
        <f t="shared" si="9"/>
        <v>85</v>
      </c>
      <c r="AH71" s="481">
        <v>10.0</v>
      </c>
      <c r="AI71" s="481">
        <v>10.0</v>
      </c>
      <c r="AJ71" s="481">
        <v>10.0</v>
      </c>
      <c r="AK71" s="481">
        <v>10.0</v>
      </c>
      <c r="AL71" s="481">
        <v>10.0</v>
      </c>
      <c r="AM71" s="481">
        <v>10.0</v>
      </c>
      <c r="AN71" s="481">
        <v>10.0</v>
      </c>
      <c r="AO71" s="481">
        <v>10.0</v>
      </c>
      <c r="AP71" s="481">
        <v>5.0</v>
      </c>
      <c r="AQ71" s="492">
        <v>0.0</v>
      </c>
      <c r="AR71" s="481">
        <v>0.0</v>
      </c>
      <c r="AS71" s="533">
        <f t="shared" si="10"/>
        <v>85</v>
      </c>
      <c r="AT71" s="535">
        <f t="shared" si="4"/>
        <v>187</v>
      </c>
      <c r="AU71" s="484">
        <v>330.0</v>
      </c>
      <c r="AV71" s="484">
        <v>550.0</v>
      </c>
      <c r="AW71" s="484">
        <v>11.11</v>
      </c>
      <c r="AX71" s="484">
        <v>77.43669999999999</v>
      </c>
      <c r="AY71" s="504"/>
      <c r="AZ71" s="487">
        <f t="shared" si="5"/>
        <v>1316.4239</v>
      </c>
      <c r="BA71" s="487">
        <f t="shared" si="6"/>
        <v>6582.1195</v>
      </c>
      <c r="BB71" s="487">
        <f t="shared" si="7"/>
        <v>6582.1195</v>
      </c>
      <c r="BC71" s="487">
        <f t="shared" si="8"/>
        <v>14480.6629</v>
      </c>
      <c r="BD71" s="489"/>
      <c r="BE71" s="505"/>
      <c r="BF71" s="412"/>
    </row>
    <row r="72" ht="15.75" customHeight="1">
      <c r="A72" s="567" t="s">
        <v>2707</v>
      </c>
      <c r="B72" s="568" t="s">
        <v>56</v>
      </c>
      <c r="C72" s="567" t="s">
        <v>2708</v>
      </c>
      <c r="D72" s="567" t="s">
        <v>1763</v>
      </c>
      <c r="E72" s="569" t="s">
        <v>2709</v>
      </c>
      <c r="F72" s="569" t="s">
        <v>2921</v>
      </c>
      <c r="G72" s="461">
        <v>1.0834428E7</v>
      </c>
      <c r="H72" s="568" t="s">
        <v>3668</v>
      </c>
      <c r="I72" s="567" t="s">
        <v>25</v>
      </c>
      <c r="J72" s="461">
        <v>0.0</v>
      </c>
      <c r="K72" s="461">
        <v>0.0</v>
      </c>
      <c r="L72" s="461">
        <v>0.0</v>
      </c>
      <c r="M72" s="461">
        <v>3.0</v>
      </c>
      <c r="N72" s="461">
        <v>3.0</v>
      </c>
      <c r="O72" s="461">
        <v>3.0</v>
      </c>
      <c r="P72" s="462">
        <v>1.0</v>
      </c>
      <c r="Q72" s="461">
        <v>1.0</v>
      </c>
      <c r="R72" s="461">
        <v>0.0</v>
      </c>
      <c r="S72" s="461">
        <v>1.0</v>
      </c>
      <c r="T72" s="461">
        <v>0.0</v>
      </c>
      <c r="U72" s="533">
        <f t="shared" si="1"/>
        <v>12</v>
      </c>
      <c r="V72" s="461">
        <v>0.0</v>
      </c>
      <c r="W72" s="461">
        <v>0.0</v>
      </c>
      <c r="X72" s="461">
        <v>0.0</v>
      </c>
      <c r="Y72" s="461">
        <v>5.0</v>
      </c>
      <c r="Z72" s="461">
        <v>5.0</v>
      </c>
      <c r="AA72" s="461">
        <v>5.0</v>
      </c>
      <c r="AB72" s="461">
        <v>2.0</v>
      </c>
      <c r="AC72" s="461">
        <v>2.0</v>
      </c>
      <c r="AD72" s="461">
        <v>0.0</v>
      </c>
      <c r="AE72" s="461">
        <v>2.0</v>
      </c>
      <c r="AF72" s="461">
        <v>0.0</v>
      </c>
      <c r="AG72" s="534">
        <f t="shared" si="9"/>
        <v>21</v>
      </c>
      <c r="AH72" s="461">
        <v>0.0</v>
      </c>
      <c r="AI72" s="461">
        <v>0.0</v>
      </c>
      <c r="AJ72" s="461">
        <v>0.0</v>
      </c>
      <c r="AK72" s="461">
        <v>5.0</v>
      </c>
      <c r="AL72" s="461">
        <v>5.0</v>
      </c>
      <c r="AM72" s="461">
        <v>5.0</v>
      </c>
      <c r="AN72" s="461">
        <v>2.0</v>
      </c>
      <c r="AO72" s="461">
        <v>2.0</v>
      </c>
      <c r="AP72" s="461">
        <v>0.0</v>
      </c>
      <c r="AQ72" s="461">
        <v>2.0</v>
      </c>
      <c r="AR72" s="461">
        <v>0.0</v>
      </c>
      <c r="AS72" s="533">
        <f t="shared" si="10"/>
        <v>21</v>
      </c>
      <c r="AT72" s="1032">
        <f t="shared" si="4"/>
        <v>54</v>
      </c>
      <c r="AU72" s="466">
        <v>24.0</v>
      </c>
      <c r="AV72" s="461">
        <v>77.0</v>
      </c>
      <c r="AW72" s="461">
        <v>14.31</v>
      </c>
      <c r="AX72" s="461">
        <v>99.7407</v>
      </c>
      <c r="AY72" s="468"/>
      <c r="AZ72" s="469">
        <f t="shared" si="5"/>
        <v>1196.8884</v>
      </c>
      <c r="BA72" s="469">
        <f t="shared" si="6"/>
        <v>2094.5547</v>
      </c>
      <c r="BB72" s="469">
        <f t="shared" si="7"/>
        <v>2094.5547</v>
      </c>
      <c r="BC72" s="469">
        <f t="shared" si="8"/>
        <v>5385.9978</v>
      </c>
      <c r="BD72" s="471"/>
      <c r="BE72" s="469"/>
      <c r="BF72" s="412"/>
    </row>
    <row r="73" ht="15.75" customHeight="1">
      <c r="A73" s="571" t="s">
        <v>2852</v>
      </c>
      <c r="B73" s="571" t="s">
        <v>52</v>
      </c>
      <c r="C73" s="571" t="s">
        <v>2708</v>
      </c>
      <c r="D73" s="571" t="s">
        <v>1763</v>
      </c>
      <c r="E73" s="569" t="s">
        <v>2709</v>
      </c>
      <c r="F73" s="569" t="s">
        <v>2925</v>
      </c>
      <c r="G73" s="484">
        <v>1.000186E7</v>
      </c>
      <c r="H73" s="571" t="s">
        <v>1283</v>
      </c>
      <c r="I73" s="571" t="s">
        <v>25</v>
      </c>
      <c r="J73" s="481">
        <v>14.0</v>
      </c>
      <c r="K73" s="481">
        <v>9.0</v>
      </c>
      <c r="L73" s="481">
        <v>14.0</v>
      </c>
      <c r="M73" s="481">
        <v>18.0</v>
      </c>
      <c r="N73" s="481">
        <v>152.0</v>
      </c>
      <c r="O73" s="481">
        <v>252.0</v>
      </c>
      <c r="P73" s="481">
        <v>5.0</v>
      </c>
      <c r="Q73" s="481">
        <v>5.0</v>
      </c>
      <c r="R73" s="481">
        <v>1.0</v>
      </c>
      <c r="S73" s="492">
        <v>0.0</v>
      </c>
      <c r="T73" s="481">
        <v>0.0</v>
      </c>
      <c r="U73" s="533">
        <f t="shared" si="1"/>
        <v>470</v>
      </c>
      <c r="V73" s="481">
        <v>15.0</v>
      </c>
      <c r="W73" s="481">
        <v>10.0</v>
      </c>
      <c r="X73" s="481">
        <v>15.0</v>
      </c>
      <c r="Y73" s="481">
        <v>20.0</v>
      </c>
      <c r="Z73" s="481">
        <v>168.0</v>
      </c>
      <c r="AA73" s="481">
        <v>278.0</v>
      </c>
      <c r="AB73" s="481">
        <v>6.0</v>
      </c>
      <c r="AC73" s="481">
        <v>6.0</v>
      </c>
      <c r="AD73" s="481">
        <v>1.0</v>
      </c>
      <c r="AE73" s="492">
        <v>0.0</v>
      </c>
      <c r="AF73" s="481">
        <v>0.0</v>
      </c>
      <c r="AG73" s="534">
        <f t="shared" si="9"/>
        <v>519</v>
      </c>
      <c r="AH73" s="481">
        <v>15.0</v>
      </c>
      <c r="AI73" s="481">
        <v>10.0</v>
      </c>
      <c r="AJ73" s="481">
        <v>15.0</v>
      </c>
      <c r="AK73" s="481">
        <v>20.0</v>
      </c>
      <c r="AL73" s="481">
        <v>168.0</v>
      </c>
      <c r="AM73" s="481">
        <v>278.0</v>
      </c>
      <c r="AN73" s="481">
        <v>6.0</v>
      </c>
      <c r="AO73" s="481">
        <v>6.0</v>
      </c>
      <c r="AP73" s="481">
        <v>1.0</v>
      </c>
      <c r="AQ73" s="492">
        <v>0.0</v>
      </c>
      <c r="AR73" s="481">
        <v>0.0</v>
      </c>
      <c r="AS73" s="533">
        <f t="shared" si="10"/>
        <v>519</v>
      </c>
      <c r="AT73" s="535">
        <f t="shared" si="4"/>
        <v>1508</v>
      </c>
      <c r="AU73" s="484">
        <v>240.0</v>
      </c>
      <c r="AV73" s="484">
        <v>1765.0</v>
      </c>
      <c r="AW73" s="484">
        <v>0.31</v>
      </c>
      <c r="AX73" s="484">
        <v>2.1607</v>
      </c>
      <c r="AY73" s="504"/>
      <c r="AZ73" s="487">
        <f t="shared" si="5"/>
        <v>1015.529</v>
      </c>
      <c r="BA73" s="487">
        <f t="shared" si="6"/>
        <v>1121.4033</v>
      </c>
      <c r="BB73" s="487">
        <f t="shared" si="7"/>
        <v>1121.4033</v>
      </c>
      <c r="BC73" s="487">
        <f t="shared" si="8"/>
        <v>3258.3356</v>
      </c>
      <c r="BD73" s="489"/>
      <c r="BE73" s="505"/>
      <c r="BF73" s="412"/>
    </row>
    <row r="74" ht="15.75" customHeight="1">
      <c r="A74" s="568" t="s">
        <v>2852</v>
      </c>
      <c r="B74" s="568" t="s">
        <v>52</v>
      </c>
      <c r="C74" s="568" t="s">
        <v>2708</v>
      </c>
      <c r="D74" s="568" t="s">
        <v>1763</v>
      </c>
      <c r="E74" s="569" t="s">
        <v>2709</v>
      </c>
      <c r="F74" s="569" t="s">
        <v>2926</v>
      </c>
      <c r="G74" s="466">
        <v>1.0488435E7</v>
      </c>
      <c r="H74" s="568" t="s">
        <v>1321</v>
      </c>
      <c r="I74" s="568" t="s">
        <v>25</v>
      </c>
      <c r="J74" s="461">
        <v>5.0</v>
      </c>
      <c r="K74" s="461">
        <v>5.0</v>
      </c>
      <c r="L74" s="461">
        <v>5.0</v>
      </c>
      <c r="M74" s="461">
        <v>4.0</v>
      </c>
      <c r="N74" s="461">
        <v>4.0</v>
      </c>
      <c r="O74" s="461">
        <v>6.0</v>
      </c>
      <c r="P74" s="461">
        <v>4.0</v>
      </c>
      <c r="Q74" s="461">
        <v>4.0</v>
      </c>
      <c r="R74" s="461">
        <v>2.0</v>
      </c>
      <c r="S74" s="461">
        <v>5.0</v>
      </c>
      <c r="T74" s="461">
        <v>0.0</v>
      </c>
      <c r="U74" s="533">
        <f t="shared" si="1"/>
        <v>44</v>
      </c>
      <c r="V74" s="461">
        <v>5.0</v>
      </c>
      <c r="W74" s="461">
        <v>5.0</v>
      </c>
      <c r="X74" s="461">
        <v>5.0</v>
      </c>
      <c r="Y74" s="461">
        <v>4.0</v>
      </c>
      <c r="Z74" s="461">
        <v>4.0</v>
      </c>
      <c r="AA74" s="461">
        <v>6.0</v>
      </c>
      <c r="AB74" s="461">
        <v>4.0</v>
      </c>
      <c r="AC74" s="461">
        <v>4.0</v>
      </c>
      <c r="AD74" s="461">
        <v>2.0</v>
      </c>
      <c r="AE74" s="461">
        <v>5.0</v>
      </c>
      <c r="AF74" s="461">
        <v>0.0</v>
      </c>
      <c r="AG74" s="534">
        <f t="shared" si="9"/>
        <v>44</v>
      </c>
      <c r="AH74" s="461">
        <v>5.0</v>
      </c>
      <c r="AI74" s="461">
        <v>5.0</v>
      </c>
      <c r="AJ74" s="461">
        <v>5.0</v>
      </c>
      <c r="AK74" s="461">
        <v>4.0</v>
      </c>
      <c r="AL74" s="461">
        <v>4.0</v>
      </c>
      <c r="AM74" s="461">
        <v>6.0</v>
      </c>
      <c r="AN74" s="461">
        <v>4.0</v>
      </c>
      <c r="AO74" s="461">
        <v>4.0</v>
      </c>
      <c r="AP74" s="461">
        <v>2.0</v>
      </c>
      <c r="AQ74" s="461">
        <v>5.0</v>
      </c>
      <c r="AR74" s="461">
        <v>0.0</v>
      </c>
      <c r="AS74" s="533">
        <f t="shared" si="10"/>
        <v>44</v>
      </c>
      <c r="AT74" s="1032">
        <f t="shared" si="4"/>
        <v>132</v>
      </c>
      <c r="AU74" s="466">
        <v>0.0</v>
      </c>
      <c r="AV74" s="466">
        <v>132.0</v>
      </c>
      <c r="AW74" s="466">
        <v>3.04</v>
      </c>
      <c r="AX74" s="466">
        <v>21.1888</v>
      </c>
      <c r="AY74" s="538"/>
      <c r="AZ74" s="469">
        <f t="shared" si="5"/>
        <v>932.3072</v>
      </c>
      <c r="BA74" s="469">
        <f t="shared" si="6"/>
        <v>932.3072</v>
      </c>
      <c r="BB74" s="469">
        <f t="shared" si="7"/>
        <v>932.3072</v>
      </c>
      <c r="BC74" s="469">
        <f t="shared" si="8"/>
        <v>2796.9216</v>
      </c>
      <c r="BD74" s="471"/>
      <c r="BE74" s="518"/>
      <c r="BF74" s="412"/>
    </row>
    <row r="75" ht="15.75" customHeight="1">
      <c r="A75" s="562" t="s">
        <v>2707</v>
      </c>
      <c r="B75" s="571" t="s">
        <v>150</v>
      </c>
      <c r="C75" s="562" t="s">
        <v>2722</v>
      </c>
      <c r="D75" s="562" t="s">
        <v>1763</v>
      </c>
      <c r="E75" s="569" t="s">
        <v>2723</v>
      </c>
      <c r="F75" s="569" t="s">
        <v>2927</v>
      </c>
      <c r="G75" s="481">
        <v>1.1436685E7</v>
      </c>
      <c r="H75" s="571" t="s">
        <v>3669</v>
      </c>
      <c r="I75" s="562" t="s">
        <v>25</v>
      </c>
      <c r="J75" s="481">
        <v>0.0</v>
      </c>
      <c r="K75" s="481">
        <v>0.0</v>
      </c>
      <c r="L75" s="481">
        <v>0.0</v>
      </c>
      <c r="M75" s="481">
        <v>0.0</v>
      </c>
      <c r="N75" s="481">
        <v>0.0</v>
      </c>
      <c r="O75" s="481">
        <v>0.0</v>
      </c>
      <c r="P75" s="481">
        <v>0.0</v>
      </c>
      <c r="Q75" s="481">
        <v>1.0</v>
      </c>
      <c r="R75" s="481">
        <v>0.0</v>
      </c>
      <c r="S75" s="492">
        <v>1.0</v>
      </c>
      <c r="T75" s="481">
        <v>0.0</v>
      </c>
      <c r="U75" s="533">
        <f t="shared" si="1"/>
        <v>2</v>
      </c>
      <c r="V75" s="481">
        <v>0.0</v>
      </c>
      <c r="W75" s="481">
        <v>0.0</v>
      </c>
      <c r="X75" s="481">
        <v>0.0</v>
      </c>
      <c r="Y75" s="481">
        <v>0.0</v>
      </c>
      <c r="Z75" s="481">
        <v>0.0</v>
      </c>
      <c r="AA75" s="481">
        <v>0.0</v>
      </c>
      <c r="AB75" s="481">
        <v>0.0</v>
      </c>
      <c r="AC75" s="481">
        <v>1.0</v>
      </c>
      <c r="AD75" s="481">
        <v>0.0</v>
      </c>
      <c r="AE75" s="492">
        <v>1.0</v>
      </c>
      <c r="AF75" s="481">
        <v>0.0</v>
      </c>
      <c r="AG75" s="534">
        <f t="shared" si="9"/>
        <v>2</v>
      </c>
      <c r="AH75" s="481">
        <v>0.0</v>
      </c>
      <c r="AI75" s="481">
        <v>0.0</v>
      </c>
      <c r="AJ75" s="481">
        <v>0.0</v>
      </c>
      <c r="AK75" s="481">
        <v>0.0</v>
      </c>
      <c r="AL75" s="481">
        <v>0.0</v>
      </c>
      <c r="AM75" s="481">
        <v>0.0</v>
      </c>
      <c r="AN75" s="481">
        <v>0.0</v>
      </c>
      <c r="AO75" s="481">
        <v>1.0</v>
      </c>
      <c r="AP75" s="481">
        <v>0.0</v>
      </c>
      <c r="AQ75" s="492">
        <v>1.0</v>
      </c>
      <c r="AR75" s="481">
        <v>0.0</v>
      </c>
      <c r="AS75" s="533">
        <f t="shared" si="10"/>
        <v>2</v>
      </c>
      <c r="AT75" s="535">
        <f t="shared" si="4"/>
        <v>6</v>
      </c>
      <c r="AU75" s="484">
        <v>0.0</v>
      </c>
      <c r="AV75" s="481">
        <v>3.0</v>
      </c>
      <c r="AW75" s="481">
        <v>66.72</v>
      </c>
      <c r="AX75" s="481">
        <v>465.03839999999997</v>
      </c>
      <c r="AY75" s="486"/>
      <c r="AZ75" s="487">
        <f t="shared" si="5"/>
        <v>930.0768</v>
      </c>
      <c r="BA75" s="487">
        <f t="shared" si="6"/>
        <v>930.0768</v>
      </c>
      <c r="BB75" s="487">
        <f t="shared" si="7"/>
        <v>930.0768</v>
      </c>
      <c r="BC75" s="487">
        <f t="shared" si="8"/>
        <v>2790.2304</v>
      </c>
      <c r="BD75" s="489"/>
      <c r="BE75" s="487"/>
      <c r="BF75" s="412"/>
    </row>
    <row r="76" ht="15.75" customHeight="1">
      <c r="A76" s="567" t="s">
        <v>2852</v>
      </c>
      <c r="B76" s="568" t="s">
        <v>46</v>
      </c>
      <c r="C76" s="567" t="s">
        <v>2708</v>
      </c>
      <c r="D76" s="567" t="s">
        <v>1763</v>
      </c>
      <c r="E76" s="569" t="s">
        <v>2709</v>
      </c>
      <c r="F76" s="569" t="s">
        <v>2918</v>
      </c>
      <c r="G76" s="461">
        <v>1.0752724E7</v>
      </c>
      <c r="H76" s="568" t="s">
        <v>3670</v>
      </c>
      <c r="I76" s="567" t="s">
        <v>25</v>
      </c>
      <c r="J76" s="461">
        <v>0.0</v>
      </c>
      <c r="K76" s="461">
        <v>0.0</v>
      </c>
      <c r="L76" s="461">
        <v>0.0</v>
      </c>
      <c r="M76" s="461">
        <v>0.0</v>
      </c>
      <c r="N76" s="461">
        <v>0.0</v>
      </c>
      <c r="O76" s="461">
        <v>0.0</v>
      </c>
      <c r="P76" s="461">
        <v>0.0</v>
      </c>
      <c r="Q76" s="551">
        <v>4.0</v>
      </c>
      <c r="R76" s="461">
        <v>0.0</v>
      </c>
      <c r="S76" s="461">
        <v>0.0</v>
      </c>
      <c r="T76" s="461">
        <v>0.0</v>
      </c>
      <c r="U76" s="533">
        <f t="shared" si="1"/>
        <v>4</v>
      </c>
      <c r="V76" s="461">
        <v>0.0</v>
      </c>
      <c r="W76" s="461">
        <v>0.0</v>
      </c>
      <c r="X76" s="461">
        <v>0.0</v>
      </c>
      <c r="Y76" s="461">
        <v>0.0</v>
      </c>
      <c r="Z76" s="461">
        <v>0.0</v>
      </c>
      <c r="AA76" s="461">
        <v>0.0</v>
      </c>
      <c r="AB76" s="461">
        <v>4.0</v>
      </c>
      <c r="AC76" s="461">
        <v>4.0</v>
      </c>
      <c r="AD76" s="461">
        <v>0.0</v>
      </c>
      <c r="AE76" s="461">
        <v>4.0</v>
      </c>
      <c r="AF76" s="461">
        <v>0.0</v>
      </c>
      <c r="AG76" s="534">
        <f t="shared" si="9"/>
        <v>12</v>
      </c>
      <c r="AH76" s="461">
        <v>0.0</v>
      </c>
      <c r="AI76" s="461">
        <v>0.0</v>
      </c>
      <c r="AJ76" s="461">
        <v>0.0</v>
      </c>
      <c r="AK76" s="461">
        <v>0.0</v>
      </c>
      <c r="AL76" s="461">
        <v>0.0</v>
      </c>
      <c r="AM76" s="461">
        <v>0.0</v>
      </c>
      <c r="AN76" s="461">
        <v>4.0</v>
      </c>
      <c r="AO76" s="461">
        <v>4.0</v>
      </c>
      <c r="AP76" s="461">
        <v>0.0</v>
      </c>
      <c r="AQ76" s="461">
        <v>4.0</v>
      </c>
      <c r="AR76" s="461">
        <v>0.0</v>
      </c>
      <c r="AS76" s="533">
        <f t="shared" si="10"/>
        <v>12</v>
      </c>
      <c r="AT76" s="1032">
        <f t="shared" si="4"/>
        <v>28</v>
      </c>
      <c r="AU76" s="466">
        <v>14.0</v>
      </c>
      <c r="AV76" s="461">
        <v>38.0</v>
      </c>
      <c r="AW76" s="461">
        <v>32.92</v>
      </c>
      <c r="AX76" s="461">
        <v>229.4524</v>
      </c>
      <c r="AY76" s="468"/>
      <c r="AZ76" s="469">
        <f t="shared" si="5"/>
        <v>917.8096</v>
      </c>
      <c r="BA76" s="469">
        <f t="shared" si="6"/>
        <v>2753.4288</v>
      </c>
      <c r="BB76" s="469">
        <f t="shared" si="7"/>
        <v>2753.4288</v>
      </c>
      <c r="BC76" s="469">
        <f t="shared" si="8"/>
        <v>6424.6672</v>
      </c>
      <c r="BD76" s="471"/>
      <c r="BE76" s="469"/>
      <c r="BF76" s="412"/>
    </row>
    <row r="77" ht="15.75" customHeight="1">
      <c r="A77" s="562" t="s">
        <v>2707</v>
      </c>
      <c r="B77" s="571" t="s">
        <v>785</v>
      </c>
      <c r="C77" s="562" t="s">
        <v>2708</v>
      </c>
      <c r="D77" s="562" t="s">
        <v>1763</v>
      </c>
      <c r="E77" s="569" t="s">
        <v>2709</v>
      </c>
      <c r="F77" s="569" t="s">
        <v>2769</v>
      </c>
      <c r="G77" s="481">
        <v>1.075299E7</v>
      </c>
      <c r="H77" s="571" t="s">
        <v>3054</v>
      </c>
      <c r="I77" s="562" t="s">
        <v>25</v>
      </c>
      <c r="J77" s="481">
        <v>6.0</v>
      </c>
      <c r="K77" s="481">
        <v>3.0</v>
      </c>
      <c r="L77" s="481">
        <v>6.0</v>
      </c>
      <c r="M77" s="481">
        <v>7.0</v>
      </c>
      <c r="N77" s="481">
        <v>7.0</v>
      </c>
      <c r="O77" s="481">
        <v>29.0</v>
      </c>
      <c r="P77" s="481">
        <v>0.0</v>
      </c>
      <c r="Q77" s="481">
        <v>0.0</v>
      </c>
      <c r="R77" s="481">
        <v>0.0</v>
      </c>
      <c r="S77" s="481">
        <v>0.0</v>
      </c>
      <c r="T77" s="481">
        <v>0.0</v>
      </c>
      <c r="U77" s="533">
        <f t="shared" si="1"/>
        <v>58</v>
      </c>
      <c r="V77" s="481">
        <v>4.0</v>
      </c>
      <c r="W77" s="481">
        <v>2.0</v>
      </c>
      <c r="X77" s="481">
        <v>4.0</v>
      </c>
      <c r="Y77" s="481">
        <v>5.0</v>
      </c>
      <c r="Z77" s="481">
        <v>5.0</v>
      </c>
      <c r="AA77" s="481">
        <v>20.0</v>
      </c>
      <c r="AB77" s="481">
        <v>0.0</v>
      </c>
      <c r="AC77" s="481">
        <v>0.0</v>
      </c>
      <c r="AD77" s="481">
        <v>0.0</v>
      </c>
      <c r="AE77" s="481">
        <v>0.0</v>
      </c>
      <c r="AF77" s="481">
        <v>0.0</v>
      </c>
      <c r="AG77" s="534">
        <f t="shared" si="9"/>
        <v>40</v>
      </c>
      <c r="AH77" s="481">
        <v>4.0</v>
      </c>
      <c r="AI77" s="481">
        <v>2.0</v>
      </c>
      <c r="AJ77" s="481">
        <v>4.0</v>
      </c>
      <c r="AK77" s="481">
        <v>5.0</v>
      </c>
      <c r="AL77" s="481">
        <v>5.0</v>
      </c>
      <c r="AM77" s="481">
        <v>20.0</v>
      </c>
      <c r="AN77" s="481">
        <v>0.0</v>
      </c>
      <c r="AO77" s="481">
        <v>0.0</v>
      </c>
      <c r="AP77" s="481">
        <v>0.0</v>
      </c>
      <c r="AQ77" s="481">
        <v>0.0</v>
      </c>
      <c r="AR77" s="481">
        <v>0.0</v>
      </c>
      <c r="AS77" s="533">
        <f t="shared" si="10"/>
        <v>40</v>
      </c>
      <c r="AT77" s="535">
        <f t="shared" si="4"/>
        <v>138</v>
      </c>
      <c r="AU77" s="484">
        <v>0.0</v>
      </c>
      <c r="AV77" s="481">
        <v>137.0</v>
      </c>
      <c r="AW77" s="481">
        <v>2.11</v>
      </c>
      <c r="AX77" s="481">
        <v>14.706699999999998</v>
      </c>
      <c r="AY77" s="486"/>
      <c r="AZ77" s="487">
        <f t="shared" si="5"/>
        <v>852.9886</v>
      </c>
      <c r="BA77" s="487">
        <f t="shared" si="6"/>
        <v>588.268</v>
      </c>
      <c r="BB77" s="487">
        <f t="shared" si="7"/>
        <v>588.268</v>
      </c>
      <c r="BC77" s="487">
        <f t="shared" si="8"/>
        <v>2029.5246</v>
      </c>
      <c r="BD77" s="489"/>
      <c r="BE77" s="487"/>
      <c r="BF77" s="412"/>
    </row>
    <row r="78" ht="15.75" customHeight="1">
      <c r="A78" s="567" t="s">
        <v>2808</v>
      </c>
      <c r="B78" s="568" t="s">
        <v>118</v>
      </c>
      <c r="C78" s="567" t="s">
        <v>2708</v>
      </c>
      <c r="D78" s="567" t="s">
        <v>1763</v>
      </c>
      <c r="E78" s="569" t="s">
        <v>2709</v>
      </c>
      <c r="F78" s="569" t="s">
        <v>2930</v>
      </c>
      <c r="G78" s="461">
        <v>1.0044149E7</v>
      </c>
      <c r="H78" s="568" t="s">
        <v>3671</v>
      </c>
      <c r="I78" s="567" t="s">
        <v>25</v>
      </c>
      <c r="J78" s="461">
        <v>1.0</v>
      </c>
      <c r="K78" s="461">
        <v>0.0</v>
      </c>
      <c r="L78" s="461">
        <v>1.0</v>
      </c>
      <c r="M78" s="461">
        <v>0.0</v>
      </c>
      <c r="N78" s="461">
        <v>0.0</v>
      </c>
      <c r="O78" s="461">
        <v>0.0</v>
      </c>
      <c r="P78" s="461">
        <v>1.0</v>
      </c>
      <c r="Q78" s="461">
        <v>1.0</v>
      </c>
      <c r="R78" s="461">
        <v>0.0</v>
      </c>
      <c r="S78" s="490">
        <v>0.0</v>
      </c>
      <c r="T78" s="461">
        <v>0.0</v>
      </c>
      <c r="U78" s="533">
        <f t="shared" si="1"/>
        <v>4</v>
      </c>
      <c r="V78" s="461">
        <v>1.0</v>
      </c>
      <c r="W78" s="461">
        <v>0.0</v>
      </c>
      <c r="X78" s="461">
        <v>1.0</v>
      </c>
      <c r="Y78" s="461">
        <v>0.0</v>
      </c>
      <c r="Z78" s="461">
        <v>0.0</v>
      </c>
      <c r="AA78" s="461">
        <v>0.0</v>
      </c>
      <c r="AB78" s="461">
        <v>1.0</v>
      </c>
      <c r="AC78" s="461">
        <v>1.0</v>
      </c>
      <c r="AD78" s="461">
        <v>0.0</v>
      </c>
      <c r="AE78" s="490">
        <v>0.0</v>
      </c>
      <c r="AF78" s="461">
        <v>0.0</v>
      </c>
      <c r="AG78" s="534">
        <f t="shared" si="9"/>
        <v>4</v>
      </c>
      <c r="AH78" s="461">
        <v>1.0</v>
      </c>
      <c r="AI78" s="461">
        <v>0.0</v>
      </c>
      <c r="AJ78" s="461">
        <v>1.0</v>
      </c>
      <c r="AK78" s="461">
        <v>0.0</v>
      </c>
      <c r="AL78" s="461">
        <v>0.0</v>
      </c>
      <c r="AM78" s="461">
        <v>0.0</v>
      </c>
      <c r="AN78" s="461">
        <v>1.0</v>
      </c>
      <c r="AO78" s="461">
        <v>1.0</v>
      </c>
      <c r="AP78" s="461">
        <v>0.0</v>
      </c>
      <c r="AQ78" s="490">
        <v>0.0</v>
      </c>
      <c r="AR78" s="461">
        <v>0.0</v>
      </c>
      <c r="AS78" s="533">
        <f t="shared" si="10"/>
        <v>4</v>
      </c>
      <c r="AT78" s="1032">
        <f t="shared" si="4"/>
        <v>12</v>
      </c>
      <c r="AU78" s="466">
        <v>0.0</v>
      </c>
      <c r="AV78" s="461">
        <v>15.0</v>
      </c>
      <c r="AW78" s="461">
        <v>30.11</v>
      </c>
      <c r="AX78" s="461">
        <v>209.86669999999998</v>
      </c>
      <c r="AY78" s="468"/>
      <c r="AZ78" s="469">
        <f t="shared" si="5"/>
        <v>839.4668</v>
      </c>
      <c r="BA78" s="469">
        <f t="shared" si="6"/>
        <v>839.4668</v>
      </c>
      <c r="BB78" s="469">
        <f t="shared" si="7"/>
        <v>839.4668</v>
      </c>
      <c r="BC78" s="469">
        <f t="shared" si="8"/>
        <v>2518.4004</v>
      </c>
      <c r="BD78" s="471"/>
      <c r="BE78" s="469"/>
      <c r="BF78" s="412"/>
    </row>
    <row r="79" ht="15.75" customHeight="1">
      <c r="A79" s="571" t="s">
        <v>2852</v>
      </c>
      <c r="B79" s="571" t="s">
        <v>52</v>
      </c>
      <c r="C79" s="571" t="s">
        <v>2708</v>
      </c>
      <c r="D79" s="571" t="s">
        <v>1763</v>
      </c>
      <c r="E79" s="569" t="s">
        <v>2709</v>
      </c>
      <c r="F79" s="569" t="s">
        <v>2769</v>
      </c>
      <c r="G79" s="484">
        <v>1.075299E7</v>
      </c>
      <c r="H79" s="571" t="s">
        <v>3054</v>
      </c>
      <c r="I79" s="571" t="s">
        <v>25</v>
      </c>
      <c r="J79" s="481">
        <v>15.0</v>
      </c>
      <c r="K79" s="481">
        <v>9.0</v>
      </c>
      <c r="L79" s="481">
        <v>4.0</v>
      </c>
      <c r="M79" s="481">
        <v>5.0</v>
      </c>
      <c r="N79" s="481">
        <v>5.0</v>
      </c>
      <c r="O79" s="481">
        <v>5.0</v>
      </c>
      <c r="P79" s="481">
        <v>4.0</v>
      </c>
      <c r="Q79" s="481">
        <v>4.0</v>
      </c>
      <c r="R79" s="481">
        <v>2.0</v>
      </c>
      <c r="S79" s="492">
        <v>0.0</v>
      </c>
      <c r="T79" s="481">
        <v>0.0</v>
      </c>
      <c r="U79" s="533">
        <f t="shared" si="1"/>
        <v>53</v>
      </c>
      <c r="V79" s="481">
        <v>15.0</v>
      </c>
      <c r="W79" s="481">
        <v>9.0</v>
      </c>
      <c r="X79" s="481">
        <v>4.0</v>
      </c>
      <c r="Y79" s="481">
        <v>5.0</v>
      </c>
      <c r="Z79" s="481">
        <v>5.0</v>
      </c>
      <c r="AA79" s="481">
        <v>5.0</v>
      </c>
      <c r="AB79" s="481">
        <v>4.0</v>
      </c>
      <c r="AC79" s="481">
        <v>4.0</v>
      </c>
      <c r="AD79" s="481">
        <v>2.0</v>
      </c>
      <c r="AE79" s="492">
        <v>0.0</v>
      </c>
      <c r="AF79" s="481">
        <v>0.0</v>
      </c>
      <c r="AG79" s="534">
        <f t="shared" si="9"/>
        <v>53</v>
      </c>
      <c r="AH79" s="481">
        <v>15.0</v>
      </c>
      <c r="AI79" s="481">
        <v>9.0</v>
      </c>
      <c r="AJ79" s="481">
        <v>4.0</v>
      </c>
      <c r="AK79" s="481">
        <v>5.0</v>
      </c>
      <c r="AL79" s="481">
        <v>5.0</v>
      </c>
      <c r="AM79" s="481">
        <v>5.0</v>
      </c>
      <c r="AN79" s="481">
        <v>4.0</v>
      </c>
      <c r="AO79" s="481">
        <v>4.0</v>
      </c>
      <c r="AP79" s="481">
        <v>2.0</v>
      </c>
      <c r="AQ79" s="492">
        <v>0.0</v>
      </c>
      <c r="AR79" s="481">
        <v>0.0</v>
      </c>
      <c r="AS79" s="533">
        <f t="shared" si="10"/>
        <v>53</v>
      </c>
      <c r="AT79" s="535">
        <f t="shared" si="4"/>
        <v>159</v>
      </c>
      <c r="AU79" s="484">
        <v>1576.0</v>
      </c>
      <c r="AV79" s="484">
        <v>1747.0</v>
      </c>
      <c r="AW79" s="484">
        <v>2.11</v>
      </c>
      <c r="AX79" s="484">
        <v>14.706699999999998</v>
      </c>
      <c r="AY79" s="504"/>
      <c r="AZ79" s="487">
        <f t="shared" si="5"/>
        <v>779.4551</v>
      </c>
      <c r="BA79" s="487">
        <f t="shared" si="6"/>
        <v>779.4551</v>
      </c>
      <c r="BB79" s="487">
        <f t="shared" si="7"/>
        <v>779.4551</v>
      </c>
      <c r="BC79" s="487">
        <f t="shared" si="8"/>
        <v>2338.3653</v>
      </c>
      <c r="BD79" s="489"/>
      <c r="BE79" s="505"/>
      <c r="BF79" s="412"/>
    </row>
    <row r="80" ht="15.75" customHeight="1">
      <c r="A80" s="568" t="s">
        <v>2852</v>
      </c>
      <c r="B80" s="568" t="s">
        <v>52</v>
      </c>
      <c r="C80" s="568" t="s">
        <v>2708</v>
      </c>
      <c r="D80" s="568" t="s">
        <v>1763</v>
      </c>
      <c r="E80" s="569" t="s">
        <v>2709</v>
      </c>
      <c r="F80" s="569" t="s">
        <v>2931</v>
      </c>
      <c r="G80" s="466">
        <v>1.0488487E7</v>
      </c>
      <c r="H80" s="568" t="s">
        <v>1353</v>
      </c>
      <c r="I80" s="568" t="s">
        <v>25</v>
      </c>
      <c r="J80" s="461">
        <v>5.0</v>
      </c>
      <c r="K80" s="461">
        <v>2.0</v>
      </c>
      <c r="L80" s="461">
        <v>2.0</v>
      </c>
      <c r="M80" s="461">
        <v>2.0</v>
      </c>
      <c r="N80" s="461">
        <v>2.0</v>
      </c>
      <c r="O80" s="461">
        <v>2.0</v>
      </c>
      <c r="P80" s="461">
        <v>2.0</v>
      </c>
      <c r="Q80" s="461">
        <v>2.0</v>
      </c>
      <c r="R80" s="461">
        <v>2.0</v>
      </c>
      <c r="S80" s="490">
        <v>0.0</v>
      </c>
      <c r="T80" s="461">
        <v>0.0</v>
      </c>
      <c r="U80" s="533">
        <f t="shared" si="1"/>
        <v>21</v>
      </c>
      <c r="V80" s="461">
        <v>5.0</v>
      </c>
      <c r="W80" s="461">
        <v>2.0</v>
      </c>
      <c r="X80" s="461">
        <v>2.0</v>
      </c>
      <c r="Y80" s="461">
        <v>2.0</v>
      </c>
      <c r="Z80" s="461">
        <v>2.0</v>
      </c>
      <c r="AA80" s="461">
        <v>2.0</v>
      </c>
      <c r="AB80" s="461">
        <v>2.0</v>
      </c>
      <c r="AC80" s="461">
        <v>2.0</v>
      </c>
      <c r="AD80" s="461">
        <v>2.0</v>
      </c>
      <c r="AE80" s="490">
        <v>0.0</v>
      </c>
      <c r="AF80" s="461">
        <v>0.0</v>
      </c>
      <c r="AG80" s="534">
        <f t="shared" si="9"/>
        <v>21</v>
      </c>
      <c r="AH80" s="461">
        <v>5.0</v>
      </c>
      <c r="AI80" s="461">
        <v>2.0</v>
      </c>
      <c r="AJ80" s="461">
        <v>2.0</v>
      </c>
      <c r="AK80" s="461">
        <v>2.0</v>
      </c>
      <c r="AL80" s="461">
        <v>2.0</v>
      </c>
      <c r="AM80" s="461">
        <v>2.0</v>
      </c>
      <c r="AN80" s="461">
        <v>2.0</v>
      </c>
      <c r="AO80" s="461">
        <v>2.0</v>
      </c>
      <c r="AP80" s="461">
        <v>2.0</v>
      </c>
      <c r="AQ80" s="490">
        <v>0.0</v>
      </c>
      <c r="AR80" s="461">
        <v>0.0</v>
      </c>
      <c r="AS80" s="533">
        <f t="shared" si="10"/>
        <v>21</v>
      </c>
      <c r="AT80" s="1032">
        <f t="shared" si="4"/>
        <v>63</v>
      </c>
      <c r="AU80" s="466">
        <v>0.0</v>
      </c>
      <c r="AV80" s="466">
        <v>69.0</v>
      </c>
      <c r="AW80" s="466">
        <v>5.0</v>
      </c>
      <c r="AX80" s="466">
        <v>34.85</v>
      </c>
      <c r="AY80" s="538"/>
      <c r="AZ80" s="469">
        <f t="shared" si="5"/>
        <v>731.85</v>
      </c>
      <c r="BA80" s="469">
        <f t="shared" si="6"/>
        <v>731.85</v>
      </c>
      <c r="BB80" s="469">
        <f t="shared" si="7"/>
        <v>731.85</v>
      </c>
      <c r="BC80" s="469">
        <f t="shared" si="8"/>
        <v>2195.55</v>
      </c>
      <c r="BD80" s="471"/>
      <c r="BE80" s="518"/>
      <c r="BF80" s="412"/>
    </row>
    <row r="81" ht="15.75" customHeight="1">
      <c r="A81" s="562" t="s">
        <v>2707</v>
      </c>
      <c r="B81" s="571" t="s">
        <v>150</v>
      </c>
      <c r="C81" s="562" t="s">
        <v>2722</v>
      </c>
      <c r="D81" s="562" t="s">
        <v>1763</v>
      </c>
      <c r="E81" s="569" t="s">
        <v>2723</v>
      </c>
      <c r="F81" s="569" t="s">
        <v>2932</v>
      </c>
      <c r="G81" s="481">
        <v>1.0495358E7</v>
      </c>
      <c r="H81" s="571" t="s">
        <v>3672</v>
      </c>
      <c r="I81" s="562" t="s">
        <v>25</v>
      </c>
      <c r="J81" s="481">
        <v>2.0</v>
      </c>
      <c r="K81" s="481">
        <v>2.0</v>
      </c>
      <c r="L81" s="481">
        <v>2.0</v>
      </c>
      <c r="M81" s="481">
        <v>2.0</v>
      </c>
      <c r="N81" s="481">
        <v>2.0</v>
      </c>
      <c r="O81" s="481">
        <v>2.0</v>
      </c>
      <c r="P81" s="481">
        <v>2.0</v>
      </c>
      <c r="Q81" s="481">
        <v>4.0</v>
      </c>
      <c r="R81" s="481">
        <v>2.0</v>
      </c>
      <c r="S81" s="481">
        <v>4.0</v>
      </c>
      <c r="T81" s="481">
        <v>0.0</v>
      </c>
      <c r="U81" s="533">
        <f t="shared" si="1"/>
        <v>24</v>
      </c>
      <c r="V81" s="481">
        <v>2.0</v>
      </c>
      <c r="W81" s="481">
        <v>2.0</v>
      </c>
      <c r="X81" s="481">
        <v>2.0</v>
      </c>
      <c r="Y81" s="481">
        <v>2.0</v>
      </c>
      <c r="Z81" s="481">
        <v>2.0</v>
      </c>
      <c r="AA81" s="481">
        <v>2.0</v>
      </c>
      <c r="AB81" s="481">
        <v>2.0</v>
      </c>
      <c r="AC81" s="481">
        <v>4.0</v>
      </c>
      <c r="AD81" s="481">
        <v>2.0</v>
      </c>
      <c r="AE81" s="481">
        <v>4.0</v>
      </c>
      <c r="AF81" s="481">
        <v>0.0</v>
      </c>
      <c r="AG81" s="534">
        <f t="shared" si="9"/>
        <v>24</v>
      </c>
      <c r="AH81" s="481">
        <v>2.0</v>
      </c>
      <c r="AI81" s="481">
        <v>2.0</v>
      </c>
      <c r="AJ81" s="481">
        <v>2.0</v>
      </c>
      <c r="AK81" s="481">
        <v>2.0</v>
      </c>
      <c r="AL81" s="481">
        <v>2.0</v>
      </c>
      <c r="AM81" s="481">
        <v>2.0</v>
      </c>
      <c r="AN81" s="481">
        <v>2.0</v>
      </c>
      <c r="AO81" s="481">
        <v>4.0</v>
      </c>
      <c r="AP81" s="481">
        <v>2.0</v>
      </c>
      <c r="AQ81" s="481">
        <v>4.0</v>
      </c>
      <c r="AR81" s="481">
        <v>0.0</v>
      </c>
      <c r="AS81" s="533">
        <f t="shared" si="10"/>
        <v>24</v>
      </c>
      <c r="AT81" s="535">
        <f t="shared" si="4"/>
        <v>72</v>
      </c>
      <c r="AU81" s="484">
        <v>0.0</v>
      </c>
      <c r="AV81" s="481">
        <v>72.0</v>
      </c>
      <c r="AW81" s="481">
        <v>3.35</v>
      </c>
      <c r="AX81" s="481">
        <v>23.3495</v>
      </c>
      <c r="AY81" s="486"/>
      <c r="AZ81" s="487">
        <f t="shared" si="5"/>
        <v>560.388</v>
      </c>
      <c r="BA81" s="487">
        <f t="shared" si="6"/>
        <v>560.388</v>
      </c>
      <c r="BB81" s="487">
        <f t="shared" si="7"/>
        <v>560.388</v>
      </c>
      <c r="BC81" s="487">
        <f t="shared" si="8"/>
        <v>1681.164</v>
      </c>
      <c r="BD81" s="489"/>
      <c r="BE81" s="487"/>
      <c r="BF81" s="412"/>
    </row>
    <row r="82" ht="15.75" customHeight="1">
      <c r="A82" s="567" t="s">
        <v>2707</v>
      </c>
      <c r="B82" s="568" t="s">
        <v>785</v>
      </c>
      <c r="C82" s="567" t="s">
        <v>2708</v>
      </c>
      <c r="D82" s="567" t="s">
        <v>1763</v>
      </c>
      <c r="E82" s="569" t="s">
        <v>2709</v>
      </c>
      <c r="F82" s="569" t="s">
        <v>2933</v>
      </c>
      <c r="G82" s="461">
        <v>1.1424677E7</v>
      </c>
      <c r="H82" s="568" t="s">
        <v>3553</v>
      </c>
      <c r="I82" s="567" t="s">
        <v>25</v>
      </c>
      <c r="J82" s="461">
        <v>4.0</v>
      </c>
      <c r="K82" s="461">
        <v>1.0</v>
      </c>
      <c r="L82" s="461">
        <v>2.0</v>
      </c>
      <c r="M82" s="461">
        <v>2.0</v>
      </c>
      <c r="N82" s="461">
        <v>2.0</v>
      </c>
      <c r="O82" s="461">
        <v>4.0</v>
      </c>
      <c r="P82" s="461">
        <v>2.0</v>
      </c>
      <c r="Q82" s="461">
        <v>2.0</v>
      </c>
      <c r="R82" s="461">
        <v>1.0</v>
      </c>
      <c r="S82" s="461">
        <v>2.0</v>
      </c>
      <c r="T82" s="461">
        <v>0.0</v>
      </c>
      <c r="U82" s="533">
        <f t="shared" si="1"/>
        <v>22</v>
      </c>
      <c r="V82" s="461">
        <v>2.0</v>
      </c>
      <c r="W82" s="461">
        <v>1.0</v>
      </c>
      <c r="X82" s="461">
        <v>2.0</v>
      </c>
      <c r="Y82" s="461">
        <v>2.0</v>
      </c>
      <c r="Z82" s="461">
        <v>2.0</v>
      </c>
      <c r="AA82" s="461">
        <v>4.0</v>
      </c>
      <c r="AB82" s="461">
        <v>2.0</v>
      </c>
      <c r="AC82" s="461">
        <v>2.0</v>
      </c>
      <c r="AD82" s="461">
        <v>1.0</v>
      </c>
      <c r="AE82" s="461">
        <v>2.0</v>
      </c>
      <c r="AF82" s="461">
        <v>0.0</v>
      </c>
      <c r="AG82" s="534">
        <f t="shared" si="9"/>
        <v>20</v>
      </c>
      <c r="AH82" s="461">
        <v>2.0</v>
      </c>
      <c r="AI82" s="461">
        <v>1.0</v>
      </c>
      <c r="AJ82" s="461">
        <v>2.0</v>
      </c>
      <c r="AK82" s="461">
        <v>2.0</v>
      </c>
      <c r="AL82" s="461">
        <v>2.0</v>
      </c>
      <c r="AM82" s="461">
        <v>4.0</v>
      </c>
      <c r="AN82" s="461">
        <v>2.0</v>
      </c>
      <c r="AO82" s="461">
        <v>2.0</v>
      </c>
      <c r="AP82" s="461">
        <v>1.0</v>
      </c>
      <c r="AQ82" s="461">
        <v>2.0</v>
      </c>
      <c r="AR82" s="461">
        <v>0.0</v>
      </c>
      <c r="AS82" s="533">
        <f t="shared" si="10"/>
        <v>20</v>
      </c>
      <c r="AT82" s="1032">
        <f t="shared" si="4"/>
        <v>62</v>
      </c>
      <c r="AU82" s="466">
        <v>0.0</v>
      </c>
      <c r="AV82" s="461">
        <v>62.0</v>
      </c>
      <c r="AW82" s="461">
        <v>3.19</v>
      </c>
      <c r="AX82" s="461">
        <v>22.234299999999998</v>
      </c>
      <c r="AY82" s="468"/>
      <c r="AZ82" s="469">
        <f t="shared" si="5"/>
        <v>489.1546</v>
      </c>
      <c r="BA82" s="469">
        <f t="shared" si="6"/>
        <v>444.686</v>
      </c>
      <c r="BB82" s="469">
        <f t="shared" si="7"/>
        <v>444.686</v>
      </c>
      <c r="BC82" s="469">
        <f t="shared" si="8"/>
        <v>1378.5266</v>
      </c>
      <c r="BD82" s="471"/>
      <c r="BE82" s="469"/>
      <c r="BF82" s="412"/>
    </row>
    <row r="83" ht="15.75" customHeight="1">
      <c r="A83" s="562" t="s">
        <v>2707</v>
      </c>
      <c r="B83" s="571" t="s">
        <v>150</v>
      </c>
      <c r="C83" s="562" t="s">
        <v>3673</v>
      </c>
      <c r="D83" s="562" t="s">
        <v>1763</v>
      </c>
      <c r="E83" s="569" t="s">
        <v>3102</v>
      </c>
      <c r="F83" s="569" t="s">
        <v>3674</v>
      </c>
      <c r="G83" s="481">
        <v>1.1007328E7</v>
      </c>
      <c r="H83" s="571" t="s">
        <v>3675</v>
      </c>
      <c r="I83" s="562" t="s">
        <v>25</v>
      </c>
      <c r="J83" s="481">
        <v>1.0</v>
      </c>
      <c r="K83" s="481">
        <v>1.0</v>
      </c>
      <c r="L83" s="481">
        <v>1.0</v>
      </c>
      <c r="M83" s="481"/>
      <c r="N83" s="481"/>
      <c r="O83" s="481"/>
      <c r="P83" s="481"/>
      <c r="Q83" s="481"/>
      <c r="R83" s="481"/>
      <c r="S83" s="481"/>
      <c r="T83" s="481"/>
      <c r="U83" s="533">
        <f t="shared" si="1"/>
        <v>3</v>
      </c>
      <c r="V83" s="481">
        <v>1.0</v>
      </c>
      <c r="W83" s="481">
        <v>1.0</v>
      </c>
      <c r="X83" s="481">
        <v>1.0</v>
      </c>
      <c r="Y83" s="481">
        <v>1.0</v>
      </c>
      <c r="Z83" s="481">
        <v>1.0</v>
      </c>
      <c r="AA83" s="481">
        <v>1.0</v>
      </c>
      <c r="AB83" s="481">
        <v>1.0</v>
      </c>
      <c r="AC83" s="520">
        <v>0.0</v>
      </c>
      <c r="AD83" s="482">
        <v>1.0</v>
      </c>
      <c r="AE83" s="481">
        <v>1.0</v>
      </c>
      <c r="AF83" s="481">
        <v>0.0</v>
      </c>
      <c r="AG83" s="534">
        <f t="shared" si="9"/>
        <v>9</v>
      </c>
      <c r="AH83" s="481">
        <v>1.0</v>
      </c>
      <c r="AI83" s="481">
        <v>1.0</v>
      </c>
      <c r="AJ83" s="481">
        <v>1.0</v>
      </c>
      <c r="AK83" s="481">
        <v>1.0</v>
      </c>
      <c r="AL83" s="481">
        <v>1.0</v>
      </c>
      <c r="AM83" s="481">
        <v>1.0</v>
      </c>
      <c r="AN83" s="481">
        <v>1.0</v>
      </c>
      <c r="AO83" s="520">
        <v>0.0</v>
      </c>
      <c r="AP83" s="482">
        <v>1.0</v>
      </c>
      <c r="AQ83" s="481">
        <v>1.0</v>
      </c>
      <c r="AR83" s="481">
        <v>0.0</v>
      </c>
      <c r="AS83" s="533">
        <f t="shared" si="10"/>
        <v>9</v>
      </c>
      <c r="AT83" s="535">
        <f t="shared" si="4"/>
        <v>21</v>
      </c>
      <c r="AU83" s="484">
        <v>0.0</v>
      </c>
      <c r="AV83" s="481">
        <v>21.0</v>
      </c>
      <c r="AW83" s="481">
        <v>20.19</v>
      </c>
      <c r="AX83" s="481">
        <v>140.7243</v>
      </c>
      <c r="AY83" s="486"/>
      <c r="AZ83" s="487">
        <f t="shared" si="5"/>
        <v>422.1729</v>
      </c>
      <c r="BA83" s="487">
        <f t="shared" si="6"/>
        <v>1266.5187</v>
      </c>
      <c r="BB83" s="487">
        <f t="shared" si="7"/>
        <v>1266.5187</v>
      </c>
      <c r="BC83" s="487">
        <f t="shared" si="8"/>
        <v>2955.2103</v>
      </c>
      <c r="BD83" s="489"/>
      <c r="BE83" s="487"/>
      <c r="BF83" s="412"/>
    </row>
    <row r="84" ht="15.75" customHeight="1">
      <c r="A84" s="567" t="s">
        <v>2707</v>
      </c>
      <c r="B84" s="568" t="s">
        <v>785</v>
      </c>
      <c r="C84" s="567" t="s">
        <v>2708</v>
      </c>
      <c r="D84" s="567" t="s">
        <v>1763</v>
      </c>
      <c r="E84" s="569" t="s">
        <v>2709</v>
      </c>
      <c r="F84" s="569" t="s">
        <v>2787</v>
      </c>
      <c r="G84" s="461">
        <v>1.1185351E7</v>
      </c>
      <c r="H84" s="568" t="s">
        <v>3676</v>
      </c>
      <c r="I84" s="567" t="s">
        <v>25</v>
      </c>
      <c r="J84" s="461">
        <v>4.0</v>
      </c>
      <c r="K84" s="461">
        <v>2.0</v>
      </c>
      <c r="L84" s="461">
        <v>4.0</v>
      </c>
      <c r="M84" s="461">
        <v>4.0</v>
      </c>
      <c r="N84" s="461">
        <v>6.0</v>
      </c>
      <c r="O84" s="461">
        <v>4.0</v>
      </c>
      <c r="P84" s="461">
        <v>0.0</v>
      </c>
      <c r="Q84" s="461">
        <v>0.0</v>
      </c>
      <c r="R84" s="461">
        <v>0.0</v>
      </c>
      <c r="S84" s="490">
        <v>4.0</v>
      </c>
      <c r="T84" s="461">
        <v>0.0</v>
      </c>
      <c r="U84" s="533">
        <f t="shared" si="1"/>
        <v>28</v>
      </c>
      <c r="V84" s="461">
        <v>4.0</v>
      </c>
      <c r="W84" s="461">
        <v>2.0</v>
      </c>
      <c r="X84" s="461">
        <v>4.0</v>
      </c>
      <c r="Y84" s="461">
        <v>4.0</v>
      </c>
      <c r="Z84" s="461">
        <v>6.0</v>
      </c>
      <c r="AA84" s="461">
        <v>4.0</v>
      </c>
      <c r="AB84" s="462">
        <v>4.0</v>
      </c>
      <c r="AC84" s="461">
        <v>0.0</v>
      </c>
      <c r="AD84" s="462">
        <v>2.0</v>
      </c>
      <c r="AE84" s="490">
        <v>4.0</v>
      </c>
      <c r="AF84" s="461">
        <v>0.0</v>
      </c>
      <c r="AG84" s="534">
        <f t="shared" si="9"/>
        <v>34</v>
      </c>
      <c r="AH84" s="461">
        <v>4.0</v>
      </c>
      <c r="AI84" s="461">
        <v>2.0</v>
      </c>
      <c r="AJ84" s="461">
        <v>4.0</v>
      </c>
      <c r="AK84" s="461">
        <v>4.0</v>
      </c>
      <c r="AL84" s="461">
        <v>6.0</v>
      </c>
      <c r="AM84" s="461">
        <v>4.0</v>
      </c>
      <c r="AN84" s="462">
        <v>4.0</v>
      </c>
      <c r="AO84" s="461">
        <v>0.0</v>
      </c>
      <c r="AP84" s="462">
        <v>2.0</v>
      </c>
      <c r="AQ84" s="490">
        <v>4.0</v>
      </c>
      <c r="AR84" s="461">
        <v>0.0</v>
      </c>
      <c r="AS84" s="533">
        <f t="shared" si="10"/>
        <v>34</v>
      </c>
      <c r="AT84" s="1032">
        <f t="shared" si="4"/>
        <v>96</v>
      </c>
      <c r="AU84" s="466">
        <v>0.0</v>
      </c>
      <c r="AV84" s="461">
        <v>72.0</v>
      </c>
      <c r="AW84" s="461">
        <v>1.96</v>
      </c>
      <c r="AX84" s="461">
        <v>13.6612</v>
      </c>
      <c r="AY84" s="468"/>
      <c r="AZ84" s="469">
        <f t="shared" si="5"/>
        <v>382.5136</v>
      </c>
      <c r="BA84" s="469">
        <f t="shared" si="6"/>
        <v>464.4808</v>
      </c>
      <c r="BB84" s="469">
        <f t="shared" si="7"/>
        <v>464.4808</v>
      </c>
      <c r="BC84" s="469">
        <f t="shared" si="8"/>
        <v>1311.4752</v>
      </c>
      <c r="BD84" s="471"/>
      <c r="BE84" s="469"/>
      <c r="BF84" s="412"/>
    </row>
    <row r="85" ht="21.0" customHeight="1">
      <c r="A85" s="562" t="s">
        <v>2707</v>
      </c>
      <c r="B85" s="571" t="s">
        <v>56</v>
      </c>
      <c r="C85" s="562" t="s">
        <v>2708</v>
      </c>
      <c r="D85" s="562" t="s">
        <v>1763</v>
      </c>
      <c r="E85" s="569" t="s">
        <v>2709</v>
      </c>
      <c r="F85" s="569" t="s">
        <v>2771</v>
      </c>
      <c r="G85" s="481">
        <v>1.0834216E7</v>
      </c>
      <c r="H85" s="571" t="s">
        <v>3677</v>
      </c>
      <c r="I85" s="562" t="s">
        <v>25</v>
      </c>
      <c r="J85" s="481">
        <v>0.0</v>
      </c>
      <c r="K85" s="481">
        <v>0.0</v>
      </c>
      <c r="L85" s="481">
        <v>0.0</v>
      </c>
      <c r="M85" s="481">
        <v>1.0</v>
      </c>
      <c r="N85" s="481">
        <v>1.0</v>
      </c>
      <c r="O85" s="481">
        <v>1.0</v>
      </c>
      <c r="P85" s="481">
        <v>0.0</v>
      </c>
      <c r="Q85" s="481">
        <v>0.0</v>
      </c>
      <c r="R85" s="481">
        <v>0.0</v>
      </c>
      <c r="S85" s="481">
        <v>0.0</v>
      </c>
      <c r="T85" s="481">
        <v>0.0</v>
      </c>
      <c r="U85" s="533">
        <f t="shared" si="1"/>
        <v>3</v>
      </c>
      <c r="V85" s="481">
        <v>0.0</v>
      </c>
      <c r="W85" s="481">
        <v>0.0</v>
      </c>
      <c r="X85" s="481">
        <v>0.0</v>
      </c>
      <c r="Y85" s="481">
        <v>5.0</v>
      </c>
      <c r="Z85" s="481">
        <v>5.0</v>
      </c>
      <c r="AA85" s="481">
        <v>5.0</v>
      </c>
      <c r="AB85" s="481">
        <v>0.0</v>
      </c>
      <c r="AC85" s="481">
        <v>0.0</v>
      </c>
      <c r="AD85" s="481">
        <v>0.0</v>
      </c>
      <c r="AE85" s="481">
        <v>2.0</v>
      </c>
      <c r="AF85" s="481">
        <v>0.0</v>
      </c>
      <c r="AG85" s="534">
        <f t="shared" si="9"/>
        <v>17</v>
      </c>
      <c r="AH85" s="481">
        <v>0.0</v>
      </c>
      <c r="AI85" s="481">
        <v>0.0</v>
      </c>
      <c r="AJ85" s="481">
        <v>0.0</v>
      </c>
      <c r="AK85" s="481">
        <v>5.0</v>
      </c>
      <c r="AL85" s="481">
        <v>5.0</v>
      </c>
      <c r="AM85" s="481">
        <v>5.0</v>
      </c>
      <c r="AN85" s="481">
        <v>0.0</v>
      </c>
      <c r="AO85" s="481">
        <v>0.0</v>
      </c>
      <c r="AP85" s="481">
        <v>0.0</v>
      </c>
      <c r="AQ85" s="481">
        <v>2.0</v>
      </c>
      <c r="AR85" s="481">
        <v>0.0</v>
      </c>
      <c r="AS85" s="533">
        <f t="shared" si="10"/>
        <v>17</v>
      </c>
      <c r="AT85" s="535">
        <f t="shared" si="4"/>
        <v>37</v>
      </c>
      <c r="AU85" s="484">
        <v>24.0</v>
      </c>
      <c r="AV85" s="481">
        <v>61.0</v>
      </c>
      <c r="AW85" s="481">
        <v>17.88</v>
      </c>
      <c r="AX85" s="481">
        <v>124.62359999999998</v>
      </c>
      <c r="AY85" s="486"/>
      <c r="AZ85" s="487">
        <f t="shared" si="5"/>
        <v>373.8708</v>
      </c>
      <c r="BA85" s="487">
        <f t="shared" si="6"/>
        <v>2118.6012</v>
      </c>
      <c r="BB85" s="487">
        <f t="shared" si="7"/>
        <v>2118.6012</v>
      </c>
      <c r="BC85" s="487">
        <f t="shared" si="8"/>
        <v>4611.0732</v>
      </c>
      <c r="BD85" s="489"/>
      <c r="BE85" s="487"/>
      <c r="BF85" s="412"/>
    </row>
    <row r="86" ht="15.75" customHeight="1">
      <c r="A86" s="567" t="s">
        <v>2707</v>
      </c>
      <c r="B86" s="568" t="s">
        <v>56</v>
      </c>
      <c r="C86" s="567" t="s">
        <v>2708</v>
      </c>
      <c r="D86" s="567" t="s">
        <v>1763</v>
      </c>
      <c r="E86" s="569" t="s">
        <v>2709</v>
      </c>
      <c r="F86" s="569" t="s">
        <v>2717</v>
      </c>
      <c r="G86" s="461">
        <v>1.00004E7</v>
      </c>
      <c r="H86" s="568" t="s">
        <v>3678</v>
      </c>
      <c r="I86" s="567" t="s">
        <v>25</v>
      </c>
      <c r="J86" s="461">
        <v>0.0</v>
      </c>
      <c r="K86" s="461">
        <v>0.0</v>
      </c>
      <c r="L86" s="461">
        <v>0.0</v>
      </c>
      <c r="M86" s="461">
        <v>6.0</v>
      </c>
      <c r="N86" s="461">
        <v>6.0</v>
      </c>
      <c r="O86" s="461">
        <v>6.0</v>
      </c>
      <c r="P86" s="461">
        <v>4.0</v>
      </c>
      <c r="Q86" s="461">
        <v>4.0</v>
      </c>
      <c r="R86" s="461">
        <v>0.0</v>
      </c>
      <c r="S86" s="461">
        <v>4.0</v>
      </c>
      <c r="T86" s="461">
        <v>0.0</v>
      </c>
      <c r="U86" s="533">
        <f t="shared" si="1"/>
        <v>30</v>
      </c>
      <c r="V86" s="461">
        <v>0.0</v>
      </c>
      <c r="W86" s="461">
        <v>0.0</v>
      </c>
      <c r="X86" s="461">
        <v>0.0</v>
      </c>
      <c r="Y86" s="461">
        <v>6.0</v>
      </c>
      <c r="Z86" s="461">
        <v>6.0</v>
      </c>
      <c r="AA86" s="461">
        <v>6.0</v>
      </c>
      <c r="AB86" s="461">
        <v>4.0</v>
      </c>
      <c r="AC86" s="461">
        <v>4.0</v>
      </c>
      <c r="AD86" s="461">
        <v>0.0</v>
      </c>
      <c r="AE86" s="461">
        <v>4.0</v>
      </c>
      <c r="AF86" s="461">
        <v>0.0</v>
      </c>
      <c r="AG86" s="534">
        <f t="shared" si="9"/>
        <v>30</v>
      </c>
      <c r="AH86" s="461">
        <v>0.0</v>
      </c>
      <c r="AI86" s="461">
        <v>0.0</v>
      </c>
      <c r="AJ86" s="461">
        <v>0.0</v>
      </c>
      <c r="AK86" s="461">
        <v>6.0</v>
      </c>
      <c r="AL86" s="461">
        <v>6.0</v>
      </c>
      <c r="AM86" s="461">
        <v>6.0</v>
      </c>
      <c r="AN86" s="461">
        <v>4.0</v>
      </c>
      <c r="AO86" s="461">
        <v>4.0</v>
      </c>
      <c r="AP86" s="461">
        <v>0.0</v>
      </c>
      <c r="AQ86" s="461">
        <v>4.0</v>
      </c>
      <c r="AR86" s="461">
        <v>0.0</v>
      </c>
      <c r="AS86" s="533">
        <f t="shared" si="10"/>
        <v>30</v>
      </c>
      <c r="AT86" s="1032">
        <f t="shared" si="4"/>
        <v>90</v>
      </c>
      <c r="AU86" s="466">
        <v>240.0</v>
      </c>
      <c r="AV86" s="461">
        <v>330.0</v>
      </c>
      <c r="AW86" s="461">
        <v>1.61</v>
      </c>
      <c r="AX86" s="461">
        <v>11.2217</v>
      </c>
      <c r="AY86" s="468"/>
      <c r="AZ86" s="469">
        <f t="shared" si="5"/>
        <v>336.651</v>
      </c>
      <c r="BA86" s="469">
        <f t="shared" si="6"/>
        <v>336.651</v>
      </c>
      <c r="BB86" s="469">
        <f t="shared" si="7"/>
        <v>336.651</v>
      </c>
      <c r="BC86" s="469">
        <f t="shared" si="8"/>
        <v>1009.953</v>
      </c>
      <c r="BD86" s="471"/>
      <c r="BE86" s="469" t="s">
        <v>2935</v>
      </c>
      <c r="BF86" s="412"/>
    </row>
    <row r="87" ht="15.75" customHeight="1">
      <c r="A87" s="571" t="s">
        <v>2852</v>
      </c>
      <c r="B87" s="571" t="s">
        <v>52</v>
      </c>
      <c r="C87" s="571" t="s">
        <v>2708</v>
      </c>
      <c r="D87" s="571" t="s">
        <v>1763</v>
      </c>
      <c r="E87" s="569" t="s">
        <v>2709</v>
      </c>
      <c r="F87" s="569" t="s">
        <v>2936</v>
      </c>
      <c r="G87" s="484">
        <v>1.1304628E7</v>
      </c>
      <c r="H87" s="571" t="s">
        <v>3453</v>
      </c>
      <c r="I87" s="571" t="s">
        <v>25</v>
      </c>
      <c r="J87" s="481">
        <v>15.0</v>
      </c>
      <c r="K87" s="481">
        <v>9.0</v>
      </c>
      <c r="L87" s="481">
        <v>4.0</v>
      </c>
      <c r="M87" s="481">
        <v>10.0</v>
      </c>
      <c r="N87" s="481">
        <v>10.0</v>
      </c>
      <c r="O87" s="481">
        <v>10.0</v>
      </c>
      <c r="P87" s="481">
        <v>2.0</v>
      </c>
      <c r="Q87" s="481">
        <v>2.0</v>
      </c>
      <c r="R87" s="481">
        <v>1.0</v>
      </c>
      <c r="S87" s="492">
        <v>0.0</v>
      </c>
      <c r="T87" s="481">
        <v>0.0</v>
      </c>
      <c r="U87" s="533">
        <f t="shared" si="1"/>
        <v>63</v>
      </c>
      <c r="V87" s="481">
        <v>15.0</v>
      </c>
      <c r="W87" s="481">
        <v>9.0</v>
      </c>
      <c r="X87" s="481">
        <v>4.0</v>
      </c>
      <c r="Y87" s="481">
        <v>10.0</v>
      </c>
      <c r="Z87" s="481">
        <v>10.0</v>
      </c>
      <c r="AA87" s="481">
        <v>10.0</v>
      </c>
      <c r="AB87" s="481">
        <v>2.0</v>
      </c>
      <c r="AC87" s="481">
        <v>2.0</v>
      </c>
      <c r="AD87" s="481">
        <v>1.0</v>
      </c>
      <c r="AE87" s="492">
        <v>0.0</v>
      </c>
      <c r="AF87" s="481">
        <v>0.0</v>
      </c>
      <c r="AG87" s="534">
        <f t="shared" si="9"/>
        <v>63</v>
      </c>
      <c r="AH87" s="481">
        <v>15.0</v>
      </c>
      <c r="AI87" s="481">
        <v>9.0</v>
      </c>
      <c r="AJ87" s="481">
        <v>4.0</v>
      </c>
      <c r="AK87" s="481">
        <v>10.0</v>
      </c>
      <c r="AL87" s="481">
        <v>10.0</v>
      </c>
      <c r="AM87" s="481">
        <v>10.0</v>
      </c>
      <c r="AN87" s="481">
        <v>2.0</v>
      </c>
      <c r="AO87" s="481">
        <v>2.0</v>
      </c>
      <c r="AP87" s="481">
        <v>1.0</v>
      </c>
      <c r="AQ87" s="492">
        <v>0.0</v>
      </c>
      <c r="AR87" s="481">
        <v>0.0</v>
      </c>
      <c r="AS87" s="533">
        <f t="shared" si="10"/>
        <v>63</v>
      </c>
      <c r="AT87" s="535">
        <f t="shared" si="4"/>
        <v>189</v>
      </c>
      <c r="AU87" s="484">
        <v>6460.0</v>
      </c>
      <c r="AV87" s="484">
        <v>6655.0</v>
      </c>
      <c r="AW87" s="484">
        <v>0.73</v>
      </c>
      <c r="AX87" s="484">
        <v>5.0881</v>
      </c>
      <c r="AY87" s="504"/>
      <c r="AZ87" s="487">
        <f t="shared" si="5"/>
        <v>320.5503</v>
      </c>
      <c r="BA87" s="487">
        <f t="shared" si="6"/>
        <v>320.5503</v>
      </c>
      <c r="BB87" s="487">
        <f t="shared" si="7"/>
        <v>320.5503</v>
      </c>
      <c r="BC87" s="487">
        <f t="shared" si="8"/>
        <v>961.6509</v>
      </c>
      <c r="BD87" s="489"/>
      <c r="BE87" s="505"/>
      <c r="BF87" s="412"/>
    </row>
    <row r="88" ht="15.75" customHeight="1">
      <c r="A88" s="567" t="s">
        <v>2852</v>
      </c>
      <c r="B88" s="568" t="s">
        <v>46</v>
      </c>
      <c r="C88" s="567" t="s">
        <v>2708</v>
      </c>
      <c r="D88" s="567" t="s">
        <v>1763</v>
      </c>
      <c r="E88" s="569" t="s">
        <v>2709</v>
      </c>
      <c r="F88" s="569" t="s">
        <v>2934</v>
      </c>
      <c r="G88" s="461">
        <v>1.0000449E7</v>
      </c>
      <c r="H88" s="568" t="s">
        <v>3606</v>
      </c>
      <c r="I88" s="567" t="s">
        <v>25</v>
      </c>
      <c r="J88" s="461">
        <v>202.0</v>
      </c>
      <c r="K88" s="461">
        <v>151.0</v>
      </c>
      <c r="L88" s="461">
        <v>182.0</v>
      </c>
      <c r="M88" s="462">
        <v>0.0</v>
      </c>
      <c r="N88" s="462">
        <v>0.0</v>
      </c>
      <c r="O88" s="462">
        <v>0.0</v>
      </c>
      <c r="P88" s="462">
        <v>0.0</v>
      </c>
      <c r="Q88" s="490">
        <v>0.0</v>
      </c>
      <c r="R88" s="461">
        <v>30.0</v>
      </c>
      <c r="S88" s="551">
        <v>0.0</v>
      </c>
      <c r="T88" s="461">
        <v>0.0</v>
      </c>
      <c r="U88" s="533">
        <f t="shared" si="1"/>
        <v>565</v>
      </c>
      <c r="V88" s="461">
        <v>160.0</v>
      </c>
      <c r="W88" s="461">
        <v>120.0</v>
      </c>
      <c r="X88" s="461">
        <v>144.0</v>
      </c>
      <c r="Y88" s="461">
        <v>88.0</v>
      </c>
      <c r="Z88" s="461">
        <v>104.0</v>
      </c>
      <c r="AA88" s="461">
        <v>168.0</v>
      </c>
      <c r="AB88" s="461">
        <v>104.0</v>
      </c>
      <c r="AC88" s="490">
        <v>0.0</v>
      </c>
      <c r="AD88" s="461">
        <v>24.0</v>
      </c>
      <c r="AE88" s="551">
        <v>0.0</v>
      </c>
      <c r="AF88" s="461">
        <v>0.0</v>
      </c>
      <c r="AG88" s="534">
        <f t="shared" si="9"/>
        <v>912</v>
      </c>
      <c r="AH88" s="461">
        <v>160.0</v>
      </c>
      <c r="AI88" s="461">
        <v>120.0</v>
      </c>
      <c r="AJ88" s="461">
        <v>144.0</v>
      </c>
      <c r="AK88" s="461">
        <v>88.0</v>
      </c>
      <c r="AL88" s="461">
        <v>104.0</v>
      </c>
      <c r="AM88" s="461">
        <v>168.0</v>
      </c>
      <c r="AN88" s="461">
        <v>104.0</v>
      </c>
      <c r="AO88" s="490">
        <v>0.0</v>
      </c>
      <c r="AP88" s="461">
        <v>24.0</v>
      </c>
      <c r="AQ88" s="551">
        <v>0.0</v>
      </c>
      <c r="AR88" s="461">
        <v>0.0</v>
      </c>
      <c r="AS88" s="533">
        <f t="shared" si="10"/>
        <v>912</v>
      </c>
      <c r="AT88" s="1032">
        <f t="shared" si="4"/>
        <v>2389</v>
      </c>
      <c r="AU88" s="466">
        <v>0.0</v>
      </c>
      <c r="AV88" s="461">
        <v>3835.0</v>
      </c>
      <c r="AW88" s="461">
        <v>0.08</v>
      </c>
      <c r="AX88" s="461">
        <v>0.5576</v>
      </c>
      <c r="AY88" s="468"/>
      <c r="AZ88" s="469">
        <f t="shared" si="5"/>
        <v>315.044</v>
      </c>
      <c r="BA88" s="469">
        <f t="shared" si="6"/>
        <v>508.5312</v>
      </c>
      <c r="BB88" s="469">
        <f t="shared" si="7"/>
        <v>508.5312</v>
      </c>
      <c r="BC88" s="469">
        <f t="shared" si="8"/>
        <v>1332.1064</v>
      </c>
      <c r="BD88" s="471"/>
      <c r="BE88" s="469"/>
      <c r="BF88" s="412"/>
    </row>
    <row r="89" ht="15.75" customHeight="1">
      <c r="A89" s="562" t="s">
        <v>2707</v>
      </c>
      <c r="B89" s="571" t="s">
        <v>785</v>
      </c>
      <c r="C89" s="562" t="s">
        <v>2708</v>
      </c>
      <c r="D89" s="562" t="s">
        <v>1763</v>
      </c>
      <c r="E89" s="569" t="s">
        <v>2709</v>
      </c>
      <c r="F89" s="569" t="s">
        <v>2716</v>
      </c>
      <c r="G89" s="481">
        <v>1.0000381E7</v>
      </c>
      <c r="H89" s="571" t="s">
        <v>3679</v>
      </c>
      <c r="I89" s="562" t="s">
        <v>25</v>
      </c>
      <c r="J89" s="481">
        <v>8.0</v>
      </c>
      <c r="K89" s="481">
        <v>6.0</v>
      </c>
      <c r="L89" s="481">
        <v>8.0</v>
      </c>
      <c r="M89" s="481">
        <v>4.0</v>
      </c>
      <c r="N89" s="481">
        <v>4.0</v>
      </c>
      <c r="O89" s="481">
        <v>6.0</v>
      </c>
      <c r="P89" s="481">
        <v>2.0</v>
      </c>
      <c r="Q89" s="481">
        <v>2.0</v>
      </c>
      <c r="R89" s="481">
        <v>1.0</v>
      </c>
      <c r="S89" s="492">
        <v>16.0</v>
      </c>
      <c r="T89" s="481">
        <v>0.0</v>
      </c>
      <c r="U89" s="533">
        <f t="shared" si="1"/>
        <v>57</v>
      </c>
      <c r="V89" s="481">
        <v>8.0</v>
      </c>
      <c r="W89" s="481">
        <v>6.0</v>
      </c>
      <c r="X89" s="481">
        <v>8.0</v>
      </c>
      <c r="Y89" s="481">
        <v>4.0</v>
      </c>
      <c r="Z89" s="481">
        <v>4.0</v>
      </c>
      <c r="AA89" s="481">
        <v>6.0</v>
      </c>
      <c r="AB89" s="481">
        <v>2.0</v>
      </c>
      <c r="AC89" s="481">
        <v>2.0</v>
      </c>
      <c r="AD89" s="481">
        <v>1.0</v>
      </c>
      <c r="AE89" s="492">
        <v>16.0</v>
      </c>
      <c r="AF89" s="481">
        <v>0.0</v>
      </c>
      <c r="AG89" s="534">
        <f t="shared" si="9"/>
        <v>57</v>
      </c>
      <c r="AH89" s="481">
        <v>8.0</v>
      </c>
      <c r="AI89" s="481">
        <v>6.0</v>
      </c>
      <c r="AJ89" s="481">
        <v>8.0</v>
      </c>
      <c r="AK89" s="481">
        <v>4.0</v>
      </c>
      <c r="AL89" s="481">
        <v>4.0</v>
      </c>
      <c r="AM89" s="481">
        <v>6.0</v>
      </c>
      <c r="AN89" s="481">
        <v>2.0</v>
      </c>
      <c r="AO89" s="481">
        <v>2.0</v>
      </c>
      <c r="AP89" s="481">
        <v>1.0</v>
      </c>
      <c r="AQ89" s="492">
        <v>16.0</v>
      </c>
      <c r="AR89" s="481">
        <v>0.0</v>
      </c>
      <c r="AS89" s="533">
        <f t="shared" si="10"/>
        <v>57</v>
      </c>
      <c r="AT89" s="535">
        <f t="shared" si="4"/>
        <v>171</v>
      </c>
      <c r="AU89" s="484">
        <v>0.0</v>
      </c>
      <c r="AV89" s="481">
        <v>129.0</v>
      </c>
      <c r="AW89" s="481">
        <v>0.69</v>
      </c>
      <c r="AX89" s="481">
        <v>4.8092999999999995</v>
      </c>
      <c r="AY89" s="486"/>
      <c r="AZ89" s="487">
        <f t="shared" si="5"/>
        <v>274.1301</v>
      </c>
      <c r="BA89" s="487">
        <f t="shared" si="6"/>
        <v>274.1301</v>
      </c>
      <c r="BB89" s="487">
        <f t="shared" si="7"/>
        <v>274.1301</v>
      </c>
      <c r="BC89" s="487">
        <f t="shared" si="8"/>
        <v>822.3903</v>
      </c>
      <c r="BD89" s="489"/>
      <c r="BE89" s="487"/>
      <c r="BF89" s="412"/>
    </row>
    <row r="90" ht="15.75" customHeight="1">
      <c r="A90" s="567" t="s">
        <v>2852</v>
      </c>
      <c r="B90" s="568" t="s">
        <v>46</v>
      </c>
      <c r="C90" s="567" t="s">
        <v>2708</v>
      </c>
      <c r="D90" s="567" t="s">
        <v>1763</v>
      </c>
      <c r="E90" s="569" t="s">
        <v>2709</v>
      </c>
      <c r="F90" s="569" t="s">
        <v>2937</v>
      </c>
      <c r="G90" s="461">
        <v>1.0000452E7</v>
      </c>
      <c r="H90" s="568" t="s">
        <v>3607</v>
      </c>
      <c r="I90" s="567" t="s">
        <v>25</v>
      </c>
      <c r="J90" s="461">
        <v>65.0</v>
      </c>
      <c r="K90" s="461">
        <v>48.0</v>
      </c>
      <c r="L90" s="461">
        <v>58.0</v>
      </c>
      <c r="M90" s="461">
        <v>36.0</v>
      </c>
      <c r="N90" s="461">
        <v>42.0</v>
      </c>
      <c r="O90" s="461">
        <v>68.0</v>
      </c>
      <c r="P90" s="462">
        <v>0.0</v>
      </c>
      <c r="Q90" s="490">
        <v>0.0</v>
      </c>
      <c r="R90" s="461">
        <v>10.0</v>
      </c>
      <c r="S90" s="551">
        <v>0.0</v>
      </c>
      <c r="T90" s="461">
        <v>0.0</v>
      </c>
      <c r="U90" s="533">
        <f t="shared" si="1"/>
        <v>327</v>
      </c>
      <c r="V90" s="461">
        <v>80.0</v>
      </c>
      <c r="W90" s="461">
        <v>60.0</v>
      </c>
      <c r="X90" s="461">
        <v>72.0</v>
      </c>
      <c r="Y90" s="461">
        <v>44.0</v>
      </c>
      <c r="Z90" s="461">
        <v>52.0</v>
      </c>
      <c r="AA90" s="461">
        <v>84.0</v>
      </c>
      <c r="AB90" s="461">
        <v>52.0</v>
      </c>
      <c r="AC90" s="490">
        <v>0.0</v>
      </c>
      <c r="AD90" s="461">
        <v>12.0</v>
      </c>
      <c r="AE90" s="551">
        <v>0.0</v>
      </c>
      <c r="AF90" s="461">
        <v>0.0</v>
      </c>
      <c r="AG90" s="534">
        <f t="shared" si="9"/>
        <v>456</v>
      </c>
      <c r="AH90" s="461">
        <v>80.0</v>
      </c>
      <c r="AI90" s="461">
        <v>60.0</v>
      </c>
      <c r="AJ90" s="461">
        <v>72.0</v>
      </c>
      <c r="AK90" s="461">
        <v>44.0</v>
      </c>
      <c r="AL90" s="461">
        <v>52.0</v>
      </c>
      <c r="AM90" s="461">
        <v>84.0</v>
      </c>
      <c r="AN90" s="461">
        <v>52.0</v>
      </c>
      <c r="AO90" s="490">
        <v>0.0</v>
      </c>
      <c r="AP90" s="461">
        <v>12.0</v>
      </c>
      <c r="AQ90" s="551">
        <v>0.0</v>
      </c>
      <c r="AR90" s="461">
        <v>0.0</v>
      </c>
      <c r="AS90" s="533">
        <f t="shared" si="10"/>
        <v>456</v>
      </c>
      <c r="AT90" s="1032">
        <f t="shared" si="4"/>
        <v>1239</v>
      </c>
      <c r="AU90" s="466">
        <v>0.0</v>
      </c>
      <c r="AV90" s="461">
        <v>1652.0</v>
      </c>
      <c r="AW90" s="461">
        <v>0.11</v>
      </c>
      <c r="AX90" s="461">
        <v>0.7666999999999999</v>
      </c>
      <c r="AY90" s="468"/>
      <c r="AZ90" s="469">
        <f t="shared" si="5"/>
        <v>250.7109</v>
      </c>
      <c r="BA90" s="469">
        <f t="shared" si="6"/>
        <v>349.6152</v>
      </c>
      <c r="BB90" s="469">
        <f t="shared" si="7"/>
        <v>349.6152</v>
      </c>
      <c r="BC90" s="469">
        <f t="shared" si="8"/>
        <v>949.9413</v>
      </c>
      <c r="BD90" s="471"/>
      <c r="BE90" s="469"/>
      <c r="BF90" s="412"/>
    </row>
    <row r="91" ht="15.75" customHeight="1">
      <c r="A91" s="562" t="s">
        <v>2707</v>
      </c>
      <c r="B91" s="571" t="s">
        <v>785</v>
      </c>
      <c r="C91" s="562" t="s">
        <v>2708</v>
      </c>
      <c r="D91" s="562" t="s">
        <v>1763</v>
      </c>
      <c r="E91" s="569" t="s">
        <v>2709</v>
      </c>
      <c r="F91" s="569" t="s">
        <v>2938</v>
      </c>
      <c r="G91" s="481">
        <v>1.113688E7</v>
      </c>
      <c r="H91" s="571" t="s">
        <v>3680</v>
      </c>
      <c r="I91" s="562" t="s">
        <v>25</v>
      </c>
      <c r="J91" s="481">
        <v>4.0</v>
      </c>
      <c r="K91" s="481">
        <v>2.0</v>
      </c>
      <c r="L91" s="481">
        <v>4.0</v>
      </c>
      <c r="M91" s="481">
        <v>4.0</v>
      </c>
      <c r="N91" s="481">
        <v>6.0</v>
      </c>
      <c r="O91" s="481">
        <v>4.0</v>
      </c>
      <c r="P91" s="481">
        <v>0.0</v>
      </c>
      <c r="Q91" s="481">
        <v>0.0</v>
      </c>
      <c r="R91" s="481">
        <v>0.0</v>
      </c>
      <c r="S91" s="492">
        <v>2.0</v>
      </c>
      <c r="T91" s="481">
        <v>0.0</v>
      </c>
      <c r="U91" s="533">
        <f t="shared" si="1"/>
        <v>26</v>
      </c>
      <c r="V91" s="481">
        <v>4.0</v>
      </c>
      <c r="W91" s="481">
        <v>2.0</v>
      </c>
      <c r="X91" s="481">
        <v>4.0</v>
      </c>
      <c r="Y91" s="481">
        <v>4.0</v>
      </c>
      <c r="Z91" s="481">
        <v>6.0</v>
      </c>
      <c r="AA91" s="481">
        <v>4.0</v>
      </c>
      <c r="AB91" s="482">
        <v>4.0</v>
      </c>
      <c r="AC91" s="481">
        <v>0.0</v>
      </c>
      <c r="AD91" s="482">
        <v>2.0</v>
      </c>
      <c r="AE91" s="492">
        <v>2.0</v>
      </c>
      <c r="AF91" s="481">
        <v>0.0</v>
      </c>
      <c r="AG91" s="534">
        <f t="shared" si="9"/>
        <v>32</v>
      </c>
      <c r="AH91" s="481">
        <v>4.0</v>
      </c>
      <c r="AI91" s="481">
        <v>2.0</v>
      </c>
      <c r="AJ91" s="481">
        <v>4.0</v>
      </c>
      <c r="AK91" s="481">
        <v>4.0</v>
      </c>
      <c r="AL91" s="481">
        <v>6.0</v>
      </c>
      <c r="AM91" s="481">
        <v>4.0</v>
      </c>
      <c r="AN91" s="482">
        <v>4.0</v>
      </c>
      <c r="AO91" s="481">
        <v>0.0</v>
      </c>
      <c r="AP91" s="482">
        <v>2.0</v>
      </c>
      <c r="AQ91" s="492">
        <v>2.0</v>
      </c>
      <c r="AR91" s="481">
        <v>0.0</v>
      </c>
      <c r="AS91" s="533">
        <f t="shared" si="10"/>
        <v>32</v>
      </c>
      <c r="AT91" s="535">
        <f t="shared" si="4"/>
        <v>90</v>
      </c>
      <c r="AU91" s="484">
        <v>0.0</v>
      </c>
      <c r="AV91" s="481">
        <v>72.0</v>
      </c>
      <c r="AW91" s="481">
        <v>1.31</v>
      </c>
      <c r="AX91" s="481">
        <v>9.130700000000001</v>
      </c>
      <c r="AY91" s="486"/>
      <c r="AZ91" s="487">
        <f t="shared" si="5"/>
        <v>237.3982</v>
      </c>
      <c r="BA91" s="487">
        <f t="shared" si="6"/>
        <v>292.1824</v>
      </c>
      <c r="BB91" s="487">
        <f t="shared" si="7"/>
        <v>292.1824</v>
      </c>
      <c r="BC91" s="487">
        <f t="shared" si="8"/>
        <v>821.763</v>
      </c>
      <c r="BD91" s="489"/>
      <c r="BE91" s="487"/>
      <c r="BF91" s="412"/>
    </row>
    <row r="92" ht="15.75" customHeight="1">
      <c r="A92" s="567" t="s">
        <v>2808</v>
      </c>
      <c r="B92" s="568" t="s">
        <v>590</v>
      </c>
      <c r="C92" s="567" t="s">
        <v>2708</v>
      </c>
      <c r="D92" s="567" t="s">
        <v>1763</v>
      </c>
      <c r="E92" s="569" t="s">
        <v>2709</v>
      </c>
      <c r="F92" s="569" t="s">
        <v>2728</v>
      </c>
      <c r="G92" s="461">
        <v>1.0083913E7</v>
      </c>
      <c r="H92" s="568" t="s">
        <v>627</v>
      </c>
      <c r="I92" s="567" t="s">
        <v>25</v>
      </c>
      <c r="J92" s="461">
        <v>0.0</v>
      </c>
      <c r="K92" s="461">
        <v>0.0</v>
      </c>
      <c r="L92" s="461">
        <v>0.0</v>
      </c>
      <c r="M92" s="461">
        <v>0.0</v>
      </c>
      <c r="N92" s="461">
        <v>0.0</v>
      </c>
      <c r="O92" s="461">
        <v>0.0</v>
      </c>
      <c r="P92" s="462">
        <v>2.0</v>
      </c>
      <c r="Q92" s="490">
        <v>2.0</v>
      </c>
      <c r="R92" s="461">
        <v>0.0</v>
      </c>
      <c r="S92" s="461">
        <v>0.0</v>
      </c>
      <c r="T92" s="461">
        <v>0.0</v>
      </c>
      <c r="U92" s="533">
        <f t="shared" si="1"/>
        <v>4</v>
      </c>
      <c r="V92" s="461">
        <v>2.0</v>
      </c>
      <c r="W92" s="461">
        <v>2.0</v>
      </c>
      <c r="X92" s="461">
        <v>2.0</v>
      </c>
      <c r="Y92" s="461">
        <v>0.0</v>
      </c>
      <c r="Z92" s="461">
        <v>0.0</v>
      </c>
      <c r="AA92" s="461">
        <v>0.0</v>
      </c>
      <c r="AB92" s="461">
        <v>4.0</v>
      </c>
      <c r="AC92" s="461">
        <v>4.0</v>
      </c>
      <c r="AD92" s="461">
        <v>2.0</v>
      </c>
      <c r="AE92" s="461">
        <v>4.0</v>
      </c>
      <c r="AF92" s="461">
        <v>0.0</v>
      </c>
      <c r="AG92" s="534">
        <f t="shared" si="9"/>
        <v>20</v>
      </c>
      <c r="AH92" s="461">
        <v>2.0</v>
      </c>
      <c r="AI92" s="461">
        <v>2.0</v>
      </c>
      <c r="AJ92" s="461">
        <v>2.0</v>
      </c>
      <c r="AK92" s="461">
        <v>0.0</v>
      </c>
      <c r="AL92" s="461">
        <v>0.0</v>
      </c>
      <c r="AM92" s="461">
        <v>0.0</v>
      </c>
      <c r="AN92" s="461">
        <v>4.0</v>
      </c>
      <c r="AO92" s="461">
        <v>4.0</v>
      </c>
      <c r="AP92" s="461">
        <v>2.0</v>
      </c>
      <c r="AQ92" s="461">
        <v>4.0</v>
      </c>
      <c r="AR92" s="461">
        <v>0.0</v>
      </c>
      <c r="AS92" s="533">
        <f t="shared" si="10"/>
        <v>20</v>
      </c>
      <c r="AT92" s="1032">
        <f t="shared" si="4"/>
        <v>44</v>
      </c>
      <c r="AU92" s="466">
        <v>239.0</v>
      </c>
      <c r="AV92" s="461">
        <v>279.0</v>
      </c>
      <c r="AW92" s="461">
        <v>8.11</v>
      </c>
      <c r="AX92" s="461">
        <v>56.52669999999999</v>
      </c>
      <c r="AY92" s="468"/>
      <c r="AZ92" s="469">
        <f t="shared" si="5"/>
        <v>226.1068</v>
      </c>
      <c r="BA92" s="469">
        <f t="shared" si="6"/>
        <v>1130.534</v>
      </c>
      <c r="BB92" s="469">
        <f t="shared" si="7"/>
        <v>1130.534</v>
      </c>
      <c r="BC92" s="469">
        <f t="shared" si="8"/>
        <v>2487.1748</v>
      </c>
      <c r="BD92" s="471"/>
      <c r="BE92" s="469"/>
      <c r="BF92" s="412"/>
    </row>
    <row r="93" ht="15.75" customHeight="1">
      <c r="A93" s="571" t="s">
        <v>2852</v>
      </c>
      <c r="B93" s="571" t="s">
        <v>52</v>
      </c>
      <c r="C93" s="571" t="s">
        <v>2708</v>
      </c>
      <c r="D93" s="571" t="s">
        <v>1763</v>
      </c>
      <c r="E93" s="569" t="s">
        <v>2709</v>
      </c>
      <c r="F93" s="569" t="s">
        <v>2940</v>
      </c>
      <c r="G93" s="484">
        <v>1.1125072E7</v>
      </c>
      <c r="H93" s="571" t="s">
        <v>3455</v>
      </c>
      <c r="I93" s="571" t="s">
        <v>25</v>
      </c>
      <c r="J93" s="481">
        <v>20.0</v>
      </c>
      <c r="K93" s="481">
        <v>12.0</v>
      </c>
      <c r="L93" s="481">
        <v>17.0</v>
      </c>
      <c r="M93" s="481">
        <v>0.0</v>
      </c>
      <c r="N93" s="481">
        <v>0.0</v>
      </c>
      <c r="O93" s="481">
        <v>0.0</v>
      </c>
      <c r="P93" s="481">
        <v>6.0</v>
      </c>
      <c r="Q93" s="492">
        <v>2.0</v>
      </c>
      <c r="R93" s="481">
        <v>3.0</v>
      </c>
      <c r="S93" s="492">
        <v>0.0</v>
      </c>
      <c r="T93" s="481">
        <v>0.0</v>
      </c>
      <c r="U93" s="533">
        <f t="shared" si="1"/>
        <v>60</v>
      </c>
      <c r="V93" s="481">
        <v>30.0</v>
      </c>
      <c r="W93" s="481">
        <v>18.0</v>
      </c>
      <c r="X93" s="481">
        <v>26.0</v>
      </c>
      <c r="Y93" s="481">
        <v>0.0</v>
      </c>
      <c r="Z93" s="481">
        <v>0.0</v>
      </c>
      <c r="AA93" s="481">
        <v>0.0</v>
      </c>
      <c r="AB93" s="481">
        <v>10.0</v>
      </c>
      <c r="AC93" s="481">
        <v>10.0</v>
      </c>
      <c r="AD93" s="481">
        <v>5.0</v>
      </c>
      <c r="AE93" s="492">
        <v>0.0</v>
      </c>
      <c r="AF93" s="481">
        <v>0.0</v>
      </c>
      <c r="AG93" s="534">
        <f t="shared" si="9"/>
        <v>99</v>
      </c>
      <c r="AH93" s="481">
        <v>30.0</v>
      </c>
      <c r="AI93" s="481">
        <v>18.0</v>
      </c>
      <c r="AJ93" s="481">
        <v>26.0</v>
      </c>
      <c r="AK93" s="481">
        <v>0.0</v>
      </c>
      <c r="AL93" s="481">
        <v>0.0</v>
      </c>
      <c r="AM93" s="481">
        <v>0.0</v>
      </c>
      <c r="AN93" s="481">
        <v>10.0</v>
      </c>
      <c r="AO93" s="481">
        <v>10.0</v>
      </c>
      <c r="AP93" s="481">
        <v>5.0</v>
      </c>
      <c r="AQ93" s="492">
        <v>0.0</v>
      </c>
      <c r="AR93" s="481">
        <v>0.0</v>
      </c>
      <c r="AS93" s="533">
        <f t="shared" si="10"/>
        <v>99</v>
      </c>
      <c r="AT93" s="535">
        <f t="shared" si="4"/>
        <v>258</v>
      </c>
      <c r="AU93" s="484">
        <v>2012.0</v>
      </c>
      <c r="AV93" s="484">
        <v>2314.0</v>
      </c>
      <c r="AW93" s="484">
        <v>0.39</v>
      </c>
      <c r="AX93" s="484">
        <v>2.7183</v>
      </c>
      <c r="AY93" s="504"/>
      <c r="AZ93" s="487">
        <f t="shared" si="5"/>
        <v>163.098</v>
      </c>
      <c r="BA93" s="487">
        <f t="shared" si="6"/>
        <v>269.1117</v>
      </c>
      <c r="BB93" s="487">
        <f t="shared" si="7"/>
        <v>269.1117</v>
      </c>
      <c r="BC93" s="487">
        <f t="shared" si="8"/>
        <v>701.3214</v>
      </c>
      <c r="BD93" s="489"/>
      <c r="BE93" s="505"/>
      <c r="BF93" s="412"/>
    </row>
    <row r="94" ht="15.75" customHeight="1">
      <c r="A94" s="567" t="s">
        <v>2707</v>
      </c>
      <c r="B94" s="568" t="s">
        <v>785</v>
      </c>
      <c r="C94" s="567" t="s">
        <v>2708</v>
      </c>
      <c r="D94" s="567" t="s">
        <v>1763</v>
      </c>
      <c r="E94" s="569" t="s">
        <v>2709</v>
      </c>
      <c r="F94" s="569" t="s">
        <v>2721</v>
      </c>
      <c r="G94" s="461">
        <v>1.0006287E7</v>
      </c>
      <c r="H94" s="568" t="s">
        <v>3058</v>
      </c>
      <c r="I94" s="567" t="s">
        <v>25</v>
      </c>
      <c r="J94" s="461">
        <v>8.0</v>
      </c>
      <c r="K94" s="461">
        <v>3.0</v>
      </c>
      <c r="L94" s="461">
        <v>8.0</v>
      </c>
      <c r="M94" s="461">
        <v>15.0</v>
      </c>
      <c r="N94" s="461">
        <v>15.0</v>
      </c>
      <c r="O94" s="461">
        <v>15.0</v>
      </c>
      <c r="P94" s="461">
        <v>0.0</v>
      </c>
      <c r="Q94" s="461">
        <v>0.0</v>
      </c>
      <c r="R94" s="461">
        <v>0.0</v>
      </c>
      <c r="S94" s="490">
        <v>8.0</v>
      </c>
      <c r="T94" s="461">
        <v>0.0</v>
      </c>
      <c r="U94" s="533">
        <f t="shared" si="1"/>
        <v>72</v>
      </c>
      <c r="V94" s="461">
        <v>8.0</v>
      </c>
      <c r="W94" s="461">
        <v>3.0</v>
      </c>
      <c r="X94" s="461">
        <v>8.0</v>
      </c>
      <c r="Y94" s="461">
        <v>15.0</v>
      </c>
      <c r="Z94" s="461">
        <v>15.0</v>
      </c>
      <c r="AA94" s="461">
        <v>15.0</v>
      </c>
      <c r="AB94" s="461">
        <v>0.0</v>
      </c>
      <c r="AC94" s="461">
        <v>0.0</v>
      </c>
      <c r="AD94" s="461">
        <v>0.0</v>
      </c>
      <c r="AE94" s="490">
        <v>8.0</v>
      </c>
      <c r="AF94" s="461">
        <v>0.0</v>
      </c>
      <c r="AG94" s="534">
        <f t="shared" si="9"/>
        <v>72</v>
      </c>
      <c r="AH94" s="461">
        <v>8.0</v>
      </c>
      <c r="AI94" s="461">
        <v>3.0</v>
      </c>
      <c r="AJ94" s="461">
        <v>8.0</v>
      </c>
      <c r="AK94" s="461">
        <v>15.0</v>
      </c>
      <c r="AL94" s="461">
        <v>15.0</v>
      </c>
      <c r="AM94" s="461">
        <v>15.0</v>
      </c>
      <c r="AN94" s="461">
        <v>0.0</v>
      </c>
      <c r="AO94" s="461">
        <v>0.0</v>
      </c>
      <c r="AP94" s="461">
        <v>0.0</v>
      </c>
      <c r="AQ94" s="490">
        <v>8.0</v>
      </c>
      <c r="AR94" s="461">
        <v>0.0</v>
      </c>
      <c r="AS94" s="533">
        <f t="shared" si="10"/>
        <v>72</v>
      </c>
      <c r="AT94" s="1032">
        <f t="shared" si="4"/>
        <v>216</v>
      </c>
      <c r="AU94" s="466">
        <v>0.0</v>
      </c>
      <c r="AV94" s="461">
        <v>192.0</v>
      </c>
      <c r="AW94" s="461">
        <v>0.27</v>
      </c>
      <c r="AX94" s="461">
        <v>1.8819000000000001</v>
      </c>
      <c r="AY94" s="468"/>
      <c r="AZ94" s="469">
        <f t="shared" si="5"/>
        <v>135.4968</v>
      </c>
      <c r="BA94" s="469">
        <f t="shared" si="6"/>
        <v>135.4968</v>
      </c>
      <c r="BB94" s="469">
        <f t="shared" si="7"/>
        <v>135.4968</v>
      </c>
      <c r="BC94" s="469">
        <f t="shared" si="8"/>
        <v>406.4904</v>
      </c>
      <c r="BD94" s="471"/>
      <c r="BE94" s="469"/>
      <c r="BF94" s="412"/>
    </row>
    <row r="95" ht="15.75" customHeight="1">
      <c r="A95" s="562" t="s">
        <v>2707</v>
      </c>
      <c r="B95" s="571" t="s">
        <v>56</v>
      </c>
      <c r="C95" s="562" t="s">
        <v>2708</v>
      </c>
      <c r="D95" s="562" t="s">
        <v>1763</v>
      </c>
      <c r="E95" s="569" t="s">
        <v>2709</v>
      </c>
      <c r="F95" s="569" t="s">
        <v>2718</v>
      </c>
      <c r="G95" s="481">
        <v>1.0000409E7</v>
      </c>
      <c r="H95" s="571" t="s">
        <v>3536</v>
      </c>
      <c r="I95" s="562" t="s">
        <v>25</v>
      </c>
      <c r="J95" s="481">
        <v>0.0</v>
      </c>
      <c r="K95" s="481">
        <v>0.0</v>
      </c>
      <c r="L95" s="481">
        <v>0.0</v>
      </c>
      <c r="M95" s="481">
        <v>0.0</v>
      </c>
      <c r="N95" s="481">
        <v>0.0</v>
      </c>
      <c r="O95" s="481">
        <v>0.0</v>
      </c>
      <c r="P95" s="481">
        <v>0.0</v>
      </c>
      <c r="Q95" s="481">
        <v>0.0</v>
      </c>
      <c r="R95" s="481">
        <v>0.0</v>
      </c>
      <c r="S95" s="520">
        <v>4.0</v>
      </c>
      <c r="T95" s="481">
        <v>0.0</v>
      </c>
      <c r="U95" s="533">
        <f t="shared" si="1"/>
        <v>4</v>
      </c>
      <c r="V95" s="481">
        <v>0.0</v>
      </c>
      <c r="W95" s="481">
        <v>0.0</v>
      </c>
      <c r="X95" s="481">
        <v>0.0</v>
      </c>
      <c r="Y95" s="481">
        <v>6.0</v>
      </c>
      <c r="Z95" s="481">
        <v>6.0</v>
      </c>
      <c r="AA95" s="481">
        <v>6.0</v>
      </c>
      <c r="AB95" s="481">
        <v>2.0</v>
      </c>
      <c r="AC95" s="481">
        <v>2.0</v>
      </c>
      <c r="AD95" s="481">
        <v>0.0</v>
      </c>
      <c r="AE95" s="481">
        <v>4.0</v>
      </c>
      <c r="AF95" s="481">
        <v>0.0</v>
      </c>
      <c r="AG95" s="534">
        <f t="shared" si="9"/>
        <v>26</v>
      </c>
      <c r="AH95" s="481">
        <v>0.0</v>
      </c>
      <c r="AI95" s="481">
        <v>0.0</v>
      </c>
      <c r="AJ95" s="481">
        <v>0.0</v>
      </c>
      <c r="AK95" s="481">
        <v>6.0</v>
      </c>
      <c r="AL95" s="481">
        <v>6.0</v>
      </c>
      <c r="AM95" s="481">
        <v>6.0</v>
      </c>
      <c r="AN95" s="481">
        <v>2.0</v>
      </c>
      <c r="AO95" s="481">
        <v>2.0</v>
      </c>
      <c r="AP95" s="481">
        <v>0.0</v>
      </c>
      <c r="AQ95" s="481">
        <v>4.0</v>
      </c>
      <c r="AR95" s="481">
        <v>0.0</v>
      </c>
      <c r="AS95" s="533">
        <f t="shared" si="10"/>
        <v>26</v>
      </c>
      <c r="AT95" s="535">
        <f t="shared" si="4"/>
        <v>56</v>
      </c>
      <c r="AU95" s="484">
        <v>117.0</v>
      </c>
      <c r="AV95" s="481">
        <v>169.0</v>
      </c>
      <c r="AW95" s="481">
        <v>4.73</v>
      </c>
      <c r="AX95" s="481">
        <v>32.9681</v>
      </c>
      <c r="AY95" s="486"/>
      <c r="AZ95" s="487">
        <f t="shared" si="5"/>
        <v>131.8724</v>
      </c>
      <c r="BA95" s="487">
        <f t="shared" si="6"/>
        <v>857.1706</v>
      </c>
      <c r="BB95" s="487">
        <f t="shared" si="7"/>
        <v>857.1706</v>
      </c>
      <c r="BC95" s="487">
        <f t="shared" si="8"/>
        <v>1846.2136</v>
      </c>
      <c r="BD95" s="489"/>
      <c r="BE95" s="487"/>
      <c r="BF95" s="412"/>
    </row>
    <row r="96" ht="15.75" customHeight="1">
      <c r="A96" s="567" t="s">
        <v>2707</v>
      </c>
      <c r="B96" s="568" t="s">
        <v>785</v>
      </c>
      <c r="C96" s="567" t="s">
        <v>2708</v>
      </c>
      <c r="D96" s="567" t="s">
        <v>1763</v>
      </c>
      <c r="E96" s="569" t="s">
        <v>2709</v>
      </c>
      <c r="F96" s="569" t="s">
        <v>2737</v>
      </c>
      <c r="G96" s="461">
        <v>1.0167525E7</v>
      </c>
      <c r="H96" s="568" t="s">
        <v>1179</v>
      </c>
      <c r="I96" s="567" t="s">
        <v>25</v>
      </c>
      <c r="J96" s="461">
        <v>0.0</v>
      </c>
      <c r="K96" s="461">
        <v>0.0</v>
      </c>
      <c r="L96" s="461">
        <v>0.0</v>
      </c>
      <c r="M96" s="461">
        <v>0.0</v>
      </c>
      <c r="N96" s="461">
        <v>0.0</v>
      </c>
      <c r="O96" s="461">
        <v>0.0</v>
      </c>
      <c r="P96" s="461">
        <v>0.0</v>
      </c>
      <c r="Q96" s="461">
        <v>0.0</v>
      </c>
      <c r="R96" s="461">
        <v>0.0</v>
      </c>
      <c r="S96" s="551">
        <v>2.0</v>
      </c>
      <c r="T96" s="461">
        <v>0.0</v>
      </c>
      <c r="U96" s="533">
        <f t="shared" si="1"/>
        <v>2</v>
      </c>
      <c r="V96" s="461">
        <v>6.0</v>
      </c>
      <c r="W96" s="461">
        <v>4.0</v>
      </c>
      <c r="X96" s="461">
        <v>6.0</v>
      </c>
      <c r="Y96" s="461">
        <v>2.0</v>
      </c>
      <c r="Z96" s="461">
        <v>2.0</v>
      </c>
      <c r="AA96" s="461">
        <v>4.0</v>
      </c>
      <c r="AB96" s="461">
        <v>2.0</v>
      </c>
      <c r="AC96" s="461">
        <v>2.0</v>
      </c>
      <c r="AD96" s="461">
        <v>1.0</v>
      </c>
      <c r="AE96" s="461">
        <v>2.0</v>
      </c>
      <c r="AF96" s="461">
        <v>0.0</v>
      </c>
      <c r="AG96" s="534">
        <f t="shared" si="9"/>
        <v>31</v>
      </c>
      <c r="AH96" s="461">
        <v>6.0</v>
      </c>
      <c r="AI96" s="461">
        <v>4.0</v>
      </c>
      <c r="AJ96" s="461">
        <v>6.0</v>
      </c>
      <c r="AK96" s="461">
        <v>2.0</v>
      </c>
      <c r="AL96" s="461">
        <v>2.0</v>
      </c>
      <c r="AM96" s="461">
        <v>4.0</v>
      </c>
      <c r="AN96" s="461">
        <v>2.0</v>
      </c>
      <c r="AO96" s="461">
        <v>2.0</v>
      </c>
      <c r="AP96" s="461">
        <v>1.0</v>
      </c>
      <c r="AQ96" s="461">
        <v>2.0</v>
      </c>
      <c r="AR96" s="461">
        <v>0.0</v>
      </c>
      <c r="AS96" s="533">
        <f t="shared" si="10"/>
        <v>31</v>
      </c>
      <c r="AT96" s="1032">
        <f t="shared" si="4"/>
        <v>64</v>
      </c>
      <c r="AU96" s="466">
        <v>0.0</v>
      </c>
      <c r="AV96" s="461">
        <v>62.0</v>
      </c>
      <c r="AW96" s="461">
        <v>9.15</v>
      </c>
      <c r="AX96" s="461">
        <v>63.7755</v>
      </c>
      <c r="AY96" s="468"/>
      <c r="AZ96" s="469">
        <f t="shared" si="5"/>
        <v>127.551</v>
      </c>
      <c r="BA96" s="469">
        <f t="shared" si="6"/>
        <v>1977.0405</v>
      </c>
      <c r="BB96" s="469">
        <f t="shared" si="7"/>
        <v>1977.0405</v>
      </c>
      <c r="BC96" s="469">
        <f t="shared" si="8"/>
        <v>4081.632</v>
      </c>
      <c r="BD96" s="471"/>
      <c r="BE96" s="469"/>
      <c r="BF96" s="412"/>
    </row>
    <row r="97" ht="15.75" customHeight="1">
      <c r="A97" s="562" t="s">
        <v>2852</v>
      </c>
      <c r="B97" s="571" t="s">
        <v>46</v>
      </c>
      <c r="C97" s="562" t="s">
        <v>2708</v>
      </c>
      <c r="D97" s="562" t="s">
        <v>1763</v>
      </c>
      <c r="E97" s="569" t="s">
        <v>2709</v>
      </c>
      <c r="F97" s="569" t="s">
        <v>2939</v>
      </c>
      <c r="G97" s="481">
        <v>1.0000078E7</v>
      </c>
      <c r="H97" s="571" t="s">
        <v>3602</v>
      </c>
      <c r="I97" s="562" t="s">
        <v>25</v>
      </c>
      <c r="J97" s="481">
        <v>24.0</v>
      </c>
      <c r="K97" s="481">
        <v>18.0</v>
      </c>
      <c r="L97" s="481">
        <v>21.0</v>
      </c>
      <c r="M97" s="481">
        <v>13.0</v>
      </c>
      <c r="N97" s="481">
        <v>15.0</v>
      </c>
      <c r="O97" s="481">
        <v>25.0</v>
      </c>
      <c r="P97" s="481">
        <v>20.0</v>
      </c>
      <c r="Q97" s="481">
        <v>24.0</v>
      </c>
      <c r="R97" s="481">
        <v>4.0</v>
      </c>
      <c r="S97" s="520">
        <v>0.0</v>
      </c>
      <c r="T97" s="481">
        <v>0.0</v>
      </c>
      <c r="U97" s="533">
        <f t="shared" si="1"/>
        <v>164</v>
      </c>
      <c r="V97" s="481">
        <v>80.0</v>
      </c>
      <c r="W97" s="481">
        <v>60.0</v>
      </c>
      <c r="X97" s="481">
        <v>72.0</v>
      </c>
      <c r="Y97" s="481">
        <v>44.0</v>
      </c>
      <c r="Z97" s="481">
        <v>52.0</v>
      </c>
      <c r="AA97" s="481">
        <v>84.0</v>
      </c>
      <c r="AB97" s="481">
        <v>65.0</v>
      </c>
      <c r="AC97" s="481">
        <v>80.0</v>
      </c>
      <c r="AD97" s="481">
        <v>15.0</v>
      </c>
      <c r="AE97" s="520">
        <v>0.0</v>
      </c>
      <c r="AF97" s="481">
        <v>0.0</v>
      </c>
      <c r="AG97" s="534">
        <f t="shared" si="9"/>
        <v>552</v>
      </c>
      <c r="AH97" s="481">
        <v>80.0</v>
      </c>
      <c r="AI97" s="481">
        <v>60.0</v>
      </c>
      <c r="AJ97" s="481">
        <v>72.0</v>
      </c>
      <c r="AK97" s="481">
        <v>44.0</v>
      </c>
      <c r="AL97" s="481">
        <v>52.0</v>
      </c>
      <c r="AM97" s="481">
        <v>84.0</v>
      </c>
      <c r="AN97" s="481">
        <v>65.0</v>
      </c>
      <c r="AO97" s="481">
        <v>80.0</v>
      </c>
      <c r="AP97" s="481">
        <v>15.0</v>
      </c>
      <c r="AQ97" s="520">
        <v>0.0</v>
      </c>
      <c r="AR97" s="481">
        <v>0.0</v>
      </c>
      <c r="AS97" s="533">
        <f t="shared" si="10"/>
        <v>552</v>
      </c>
      <c r="AT97" s="535">
        <f t="shared" si="4"/>
        <v>1268</v>
      </c>
      <c r="AU97" s="484">
        <v>12.0</v>
      </c>
      <c r="AV97" s="481">
        <v>1613.0</v>
      </c>
      <c r="AW97" s="481">
        <v>0.08</v>
      </c>
      <c r="AX97" s="481">
        <v>0.5576</v>
      </c>
      <c r="AY97" s="486"/>
      <c r="AZ97" s="487">
        <f t="shared" si="5"/>
        <v>91.4464</v>
      </c>
      <c r="BA97" s="487">
        <f t="shared" si="6"/>
        <v>307.7952</v>
      </c>
      <c r="BB97" s="487">
        <f t="shared" si="7"/>
        <v>307.7952</v>
      </c>
      <c r="BC97" s="487">
        <f t="shared" si="8"/>
        <v>707.0368</v>
      </c>
      <c r="BD97" s="489"/>
      <c r="BE97" s="487"/>
      <c r="BF97" s="412"/>
    </row>
    <row r="98" ht="15.75" customHeight="1">
      <c r="A98" s="567" t="s">
        <v>2707</v>
      </c>
      <c r="B98" s="568" t="s">
        <v>785</v>
      </c>
      <c r="C98" s="567" t="s">
        <v>2708</v>
      </c>
      <c r="D98" s="567" t="s">
        <v>1763</v>
      </c>
      <c r="E98" s="569" t="s">
        <v>2709</v>
      </c>
      <c r="F98" s="569" t="s">
        <v>2779</v>
      </c>
      <c r="G98" s="461">
        <v>1.0873673E7</v>
      </c>
      <c r="H98" s="568" t="s">
        <v>3475</v>
      </c>
      <c r="I98" s="567" t="s">
        <v>25</v>
      </c>
      <c r="J98" s="461">
        <v>2.0</v>
      </c>
      <c r="K98" s="461">
        <v>1.0</v>
      </c>
      <c r="L98" s="461">
        <v>2.0</v>
      </c>
      <c r="M98" s="461">
        <v>0.0</v>
      </c>
      <c r="N98" s="461">
        <v>0.0</v>
      </c>
      <c r="O98" s="461">
        <v>0.0</v>
      </c>
      <c r="P98" s="461">
        <v>2.0</v>
      </c>
      <c r="Q98" s="461">
        <v>2.0</v>
      </c>
      <c r="R98" s="461">
        <v>1.0</v>
      </c>
      <c r="S98" s="461">
        <v>2.0</v>
      </c>
      <c r="T98" s="461">
        <v>0.0</v>
      </c>
      <c r="U98" s="533">
        <f t="shared" si="1"/>
        <v>12</v>
      </c>
      <c r="V98" s="461">
        <v>2.0</v>
      </c>
      <c r="W98" s="461">
        <v>1.0</v>
      </c>
      <c r="X98" s="461">
        <v>2.0</v>
      </c>
      <c r="Y98" s="461">
        <v>0.0</v>
      </c>
      <c r="Z98" s="461">
        <v>0.0</v>
      </c>
      <c r="AA98" s="461">
        <v>0.0</v>
      </c>
      <c r="AB98" s="461">
        <v>2.0</v>
      </c>
      <c r="AC98" s="461">
        <v>2.0</v>
      </c>
      <c r="AD98" s="461">
        <v>1.0</v>
      </c>
      <c r="AE98" s="461">
        <v>2.0</v>
      </c>
      <c r="AF98" s="461">
        <v>0.0</v>
      </c>
      <c r="AG98" s="534">
        <f t="shared" si="9"/>
        <v>12</v>
      </c>
      <c r="AH98" s="461">
        <v>2.0</v>
      </c>
      <c r="AI98" s="461">
        <v>1.0</v>
      </c>
      <c r="AJ98" s="461">
        <v>2.0</v>
      </c>
      <c r="AK98" s="461">
        <v>0.0</v>
      </c>
      <c r="AL98" s="461">
        <v>0.0</v>
      </c>
      <c r="AM98" s="461">
        <v>0.0</v>
      </c>
      <c r="AN98" s="461">
        <v>2.0</v>
      </c>
      <c r="AO98" s="461">
        <v>2.0</v>
      </c>
      <c r="AP98" s="461">
        <v>1.0</v>
      </c>
      <c r="AQ98" s="461">
        <v>2.0</v>
      </c>
      <c r="AR98" s="461">
        <v>0.0</v>
      </c>
      <c r="AS98" s="533">
        <f t="shared" si="10"/>
        <v>12</v>
      </c>
      <c r="AT98" s="1032">
        <f t="shared" si="4"/>
        <v>36</v>
      </c>
      <c r="AU98" s="466">
        <v>0.0</v>
      </c>
      <c r="AV98" s="461">
        <v>36.0</v>
      </c>
      <c r="AW98" s="461">
        <v>0.65</v>
      </c>
      <c r="AX98" s="461">
        <v>4.5305</v>
      </c>
      <c r="AY98" s="468"/>
      <c r="AZ98" s="469">
        <f t="shared" si="5"/>
        <v>54.366</v>
      </c>
      <c r="BA98" s="469">
        <f t="shared" si="6"/>
        <v>54.366</v>
      </c>
      <c r="BB98" s="469">
        <f t="shared" si="7"/>
        <v>54.366</v>
      </c>
      <c r="BC98" s="469">
        <f t="shared" si="8"/>
        <v>163.098</v>
      </c>
      <c r="BD98" s="471"/>
      <c r="BE98" s="469"/>
      <c r="BF98" s="412"/>
    </row>
    <row r="99" ht="15.75" customHeight="1">
      <c r="A99" s="562" t="s">
        <v>2808</v>
      </c>
      <c r="B99" s="571" t="s">
        <v>133</v>
      </c>
      <c r="C99" s="562" t="s">
        <v>3028</v>
      </c>
      <c r="D99" s="562" t="s">
        <v>1763</v>
      </c>
      <c r="E99" s="569"/>
      <c r="F99" s="569" t="s">
        <v>3681</v>
      </c>
      <c r="G99" s="481">
        <v>1.0550848E7</v>
      </c>
      <c r="H99" s="571" t="s">
        <v>3682</v>
      </c>
      <c r="I99" s="562" t="s">
        <v>3683</v>
      </c>
      <c r="J99" s="481">
        <v>24.0</v>
      </c>
      <c r="K99" s="481">
        <v>6.0</v>
      </c>
      <c r="L99" s="481">
        <v>30.0</v>
      </c>
      <c r="M99" s="481">
        <v>12.0</v>
      </c>
      <c r="N99" s="481">
        <v>14.399999999999999</v>
      </c>
      <c r="O99" s="481">
        <v>14.399999999999999</v>
      </c>
      <c r="P99" s="481">
        <v>12.0</v>
      </c>
      <c r="Q99" s="481">
        <v>30.0</v>
      </c>
      <c r="R99" s="481">
        <v>6.0</v>
      </c>
      <c r="S99" s="492">
        <v>30.0</v>
      </c>
      <c r="T99" s="481">
        <v>0.0</v>
      </c>
      <c r="U99" s="522"/>
      <c r="V99" s="481"/>
      <c r="W99" s="481"/>
      <c r="X99" s="481"/>
      <c r="Y99" s="481"/>
      <c r="Z99" s="481"/>
      <c r="AA99" s="481"/>
      <c r="AB99" s="481"/>
      <c r="AC99" s="481"/>
      <c r="AD99" s="481"/>
      <c r="AE99" s="481"/>
      <c r="AF99" s="481"/>
      <c r="AG99" s="522"/>
      <c r="AH99" s="481"/>
      <c r="AI99" s="481"/>
      <c r="AJ99" s="481"/>
      <c r="AK99" s="481"/>
      <c r="AL99" s="481"/>
      <c r="AM99" s="481"/>
      <c r="AN99" s="481"/>
      <c r="AO99" s="481"/>
      <c r="AP99" s="481"/>
      <c r="AQ99" s="481"/>
      <c r="AR99" s="481"/>
      <c r="AS99" s="522"/>
      <c r="AT99" s="481"/>
      <c r="AU99" s="484">
        <v>0.0</v>
      </c>
      <c r="AV99" s="481">
        <v>966.0</v>
      </c>
      <c r="AW99" s="481"/>
      <c r="AX99" s="481"/>
      <c r="AY99" s="486"/>
      <c r="AZ99" s="487">
        <f t="shared" si="5"/>
        <v>0</v>
      </c>
      <c r="BA99" s="487">
        <f t="shared" si="6"/>
        <v>0</v>
      </c>
      <c r="BB99" s="487">
        <f t="shared" si="7"/>
        <v>0</v>
      </c>
      <c r="BC99" s="487">
        <f t="shared" si="8"/>
        <v>0</v>
      </c>
      <c r="BD99" s="508"/>
      <c r="BE99" s="509" t="s">
        <v>3684</v>
      </c>
      <c r="BF99" s="412"/>
    </row>
    <row r="100" ht="15.75" customHeight="1">
      <c r="A100" s="567" t="s">
        <v>2808</v>
      </c>
      <c r="B100" s="568" t="s">
        <v>842</v>
      </c>
      <c r="C100" s="567" t="s">
        <v>3028</v>
      </c>
      <c r="D100" s="567" t="s">
        <v>1763</v>
      </c>
      <c r="E100" s="569"/>
      <c r="F100" s="569" t="s">
        <v>3681</v>
      </c>
      <c r="G100" s="461">
        <v>1.0550848E7</v>
      </c>
      <c r="H100" s="568" t="s">
        <v>3682</v>
      </c>
      <c r="I100" s="567" t="s">
        <v>3683</v>
      </c>
      <c r="J100" s="461">
        <v>1.0</v>
      </c>
      <c r="K100" s="461">
        <v>0.5</v>
      </c>
      <c r="L100" s="461">
        <v>1.25</v>
      </c>
      <c r="M100" s="461">
        <v>1.0</v>
      </c>
      <c r="N100" s="461">
        <v>1.0</v>
      </c>
      <c r="O100" s="461">
        <v>1.0</v>
      </c>
      <c r="P100" s="461">
        <v>1.0</v>
      </c>
      <c r="Q100" s="461">
        <v>1.25</v>
      </c>
      <c r="R100" s="461">
        <v>0.5</v>
      </c>
      <c r="S100" s="461">
        <v>1.0</v>
      </c>
      <c r="T100" s="461">
        <v>0.0</v>
      </c>
      <c r="U100" s="522"/>
      <c r="V100" s="461"/>
      <c r="W100" s="461"/>
      <c r="X100" s="461"/>
      <c r="Y100" s="461"/>
      <c r="Z100" s="461"/>
      <c r="AA100" s="461"/>
      <c r="AB100" s="461"/>
      <c r="AC100" s="461"/>
      <c r="AD100" s="461"/>
      <c r="AE100" s="461"/>
      <c r="AF100" s="461"/>
      <c r="AG100" s="522"/>
      <c r="AH100" s="461"/>
      <c r="AI100" s="461"/>
      <c r="AJ100" s="461"/>
      <c r="AK100" s="461"/>
      <c r="AL100" s="461"/>
      <c r="AM100" s="461"/>
      <c r="AN100" s="461"/>
      <c r="AO100" s="461"/>
      <c r="AP100" s="461"/>
      <c r="AQ100" s="461"/>
      <c r="AR100" s="461"/>
      <c r="AS100" s="522"/>
      <c r="AT100" s="461"/>
      <c r="AU100" s="466">
        <v>0.0</v>
      </c>
      <c r="AV100" s="461">
        <v>38.0</v>
      </c>
      <c r="AW100" s="461"/>
      <c r="AX100" s="461"/>
      <c r="AY100" s="468"/>
      <c r="AZ100" s="469">
        <f t="shared" si="5"/>
        <v>0</v>
      </c>
      <c r="BA100" s="469">
        <f t="shared" si="6"/>
        <v>0</v>
      </c>
      <c r="BB100" s="469">
        <f t="shared" si="7"/>
        <v>0</v>
      </c>
      <c r="BC100" s="469">
        <f t="shared" si="8"/>
        <v>0</v>
      </c>
      <c r="BD100" s="498"/>
      <c r="BE100" s="499" t="s">
        <v>3684</v>
      </c>
      <c r="BF100" s="412"/>
    </row>
    <row r="101" ht="15.75" customHeight="1">
      <c r="A101" s="562" t="s">
        <v>2808</v>
      </c>
      <c r="B101" s="571" t="s">
        <v>61</v>
      </c>
      <c r="C101" s="562" t="s">
        <v>2708</v>
      </c>
      <c r="D101" s="562" t="s">
        <v>1763</v>
      </c>
      <c r="E101" s="569" t="s">
        <v>2709</v>
      </c>
      <c r="F101" s="569" t="s">
        <v>2875</v>
      </c>
      <c r="G101" s="481">
        <v>1.0067767E7</v>
      </c>
      <c r="H101" s="571" t="s">
        <v>548</v>
      </c>
      <c r="I101" s="562" t="s">
        <v>25</v>
      </c>
      <c r="J101" s="481">
        <v>0.0</v>
      </c>
      <c r="K101" s="481">
        <v>0.0</v>
      </c>
      <c r="L101" s="481">
        <v>0.0</v>
      </c>
      <c r="M101" s="481">
        <v>0.0</v>
      </c>
      <c r="N101" s="481">
        <v>0.0</v>
      </c>
      <c r="O101" s="481">
        <v>0.0</v>
      </c>
      <c r="P101" s="481">
        <v>0.0</v>
      </c>
      <c r="Q101" s="481">
        <v>0.0</v>
      </c>
      <c r="R101" s="481">
        <v>0.0</v>
      </c>
      <c r="S101" s="481">
        <v>0.0</v>
      </c>
      <c r="T101" s="481">
        <v>0.0</v>
      </c>
      <c r="U101" s="533">
        <f t="shared" ref="U101:U107" si="11">SUM(J101:T101)</f>
        <v>0</v>
      </c>
      <c r="V101" s="481">
        <v>10.0</v>
      </c>
      <c r="W101" s="481">
        <v>10.0</v>
      </c>
      <c r="X101" s="481">
        <v>10.0</v>
      </c>
      <c r="Y101" s="481">
        <v>0.0</v>
      </c>
      <c r="Z101" s="481">
        <v>0.0</v>
      </c>
      <c r="AA101" s="481">
        <v>10.0</v>
      </c>
      <c r="AB101" s="481">
        <v>0.0</v>
      </c>
      <c r="AC101" s="481">
        <v>0.0</v>
      </c>
      <c r="AD101" s="481">
        <v>0.0</v>
      </c>
      <c r="AE101" s="481">
        <v>0.0</v>
      </c>
      <c r="AF101" s="481">
        <v>0.0</v>
      </c>
      <c r="AG101" s="534">
        <f t="shared" ref="AG101:AG107" si="12">SUM(V101:AF101)</f>
        <v>40</v>
      </c>
      <c r="AH101" s="481">
        <v>10.0</v>
      </c>
      <c r="AI101" s="481">
        <v>10.0</v>
      </c>
      <c r="AJ101" s="481">
        <v>10.0</v>
      </c>
      <c r="AK101" s="481">
        <v>0.0</v>
      </c>
      <c r="AL101" s="481">
        <v>0.0</v>
      </c>
      <c r="AM101" s="481">
        <v>10.0</v>
      </c>
      <c r="AN101" s="481">
        <v>0.0</v>
      </c>
      <c r="AO101" s="481">
        <v>0.0</v>
      </c>
      <c r="AP101" s="481">
        <v>0.0</v>
      </c>
      <c r="AQ101" s="481">
        <v>0.0</v>
      </c>
      <c r="AR101" s="481">
        <v>0.0</v>
      </c>
      <c r="AS101" s="533">
        <f t="shared" ref="AS101:AS107" si="13">ROUNDUP( SUM(AH101:AR101))</f>
        <v>40</v>
      </c>
      <c r="AT101" s="535">
        <f t="shared" ref="AT101:AT107" si="14">U101+AG101+AS101</f>
        <v>80</v>
      </c>
      <c r="AU101" s="484">
        <v>0.0</v>
      </c>
      <c r="AV101" s="481">
        <v>80.0</v>
      </c>
      <c r="AW101" s="481">
        <v>99.68</v>
      </c>
      <c r="AX101" s="481">
        <v>694.7696</v>
      </c>
      <c r="AY101" s="486"/>
      <c r="AZ101" s="487">
        <f t="shared" si="5"/>
        <v>0</v>
      </c>
      <c r="BA101" s="487">
        <f t="shared" si="6"/>
        <v>27790.784</v>
      </c>
      <c r="BB101" s="487">
        <f t="shared" si="7"/>
        <v>27790.784</v>
      </c>
      <c r="BC101" s="487">
        <f t="shared" si="8"/>
        <v>55581.568</v>
      </c>
      <c r="BD101" s="489"/>
      <c r="BE101" s="487"/>
      <c r="BF101" s="412"/>
    </row>
    <row r="102" ht="15.75" customHeight="1">
      <c r="A102" s="567" t="s">
        <v>2808</v>
      </c>
      <c r="B102" s="568" t="s">
        <v>61</v>
      </c>
      <c r="C102" s="567" t="s">
        <v>2708</v>
      </c>
      <c r="D102" s="567" t="s">
        <v>1763</v>
      </c>
      <c r="E102" s="569" t="s">
        <v>2709</v>
      </c>
      <c r="F102" s="569" t="s">
        <v>2863</v>
      </c>
      <c r="G102" s="461">
        <v>1.0082482E7</v>
      </c>
      <c r="H102" s="568" t="s">
        <v>99</v>
      </c>
      <c r="I102" s="567" t="s">
        <v>25</v>
      </c>
      <c r="J102" s="461">
        <v>0.0</v>
      </c>
      <c r="K102" s="461">
        <v>0.0</v>
      </c>
      <c r="L102" s="461">
        <v>0.0</v>
      </c>
      <c r="M102" s="461">
        <v>0.0</v>
      </c>
      <c r="N102" s="461">
        <v>0.0</v>
      </c>
      <c r="O102" s="461">
        <v>0.0</v>
      </c>
      <c r="P102" s="461">
        <v>0.0</v>
      </c>
      <c r="Q102" s="461">
        <v>0.0</v>
      </c>
      <c r="R102" s="461">
        <v>0.0</v>
      </c>
      <c r="S102" s="461">
        <v>0.0</v>
      </c>
      <c r="T102" s="461">
        <v>0.0</v>
      </c>
      <c r="U102" s="533">
        <f t="shared" si="11"/>
        <v>0</v>
      </c>
      <c r="V102" s="461">
        <v>20.0</v>
      </c>
      <c r="W102" s="461">
        <v>10.0</v>
      </c>
      <c r="X102" s="461">
        <v>15.0</v>
      </c>
      <c r="Y102" s="461">
        <v>30.0</v>
      </c>
      <c r="Z102" s="461">
        <v>50.0</v>
      </c>
      <c r="AA102" s="461">
        <v>80.0</v>
      </c>
      <c r="AB102" s="519">
        <v>0.0</v>
      </c>
      <c r="AC102" s="490">
        <v>0.0</v>
      </c>
      <c r="AD102" s="461">
        <v>8.0</v>
      </c>
      <c r="AE102" s="490">
        <v>0.0</v>
      </c>
      <c r="AF102" s="461">
        <v>0.0</v>
      </c>
      <c r="AG102" s="534">
        <f t="shared" si="12"/>
        <v>213</v>
      </c>
      <c r="AH102" s="461">
        <v>20.0</v>
      </c>
      <c r="AI102" s="461">
        <v>10.0</v>
      </c>
      <c r="AJ102" s="461">
        <v>15.0</v>
      </c>
      <c r="AK102" s="461">
        <v>30.0</v>
      </c>
      <c r="AL102" s="461">
        <v>50.0</v>
      </c>
      <c r="AM102" s="461">
        <v>80.0</v>
      </c>
      <c r="AN102" s="461">
        <v>10.0</v>
      </c>
      <c r="AO102" s="461">
        <v>15.0</v>
      </c>
      <c r="AP102" s="461">
        <v>8.0</v>
      </c>
      <c r="AQ102" s="490">
        <v>0.0</v>
      </c>
      <c r="AR102" s="461">
        <v>0.0</v>
      </c>
      <c r="AS102" s="533">
        <f t="shared" si="13"/>
        <v>238</v>
      </c>
      <c r="AT102" s="1032">
        <f t="shared" si="14"/>
        <v>451</v>
      </c>
      <c r="AU102" s="466">
        <v>2082.0</v>
      </c>
      <c r="AV102" s="461">
        <v>2598.0</v>
      </c>
      <c r="AW102" s="461">
        <v>55.84</v>
      </c>
      <c r="AX102" s="461">
        <v>389.20480000000003</v>
      </c>
      <c r="AY102" s="468"/>
      <c r="AZ102" s="469">
        <f t="shared" si="5"/>
        <v>0</v>
      </c>
      <c r="BA102" s="469">
        <f t="shared" si="6"/>
        <v>82900.6224</v>
      </c>
      <c r="BB102" s="469">
        <f t="shared" si="7"/>
        <v>92630.7424</v>
      </c>
      <c r="BC102" s="469">
        <f t="shared" si="8"/>
        <v>175531.3648</v>
      </c>
      <c r="BD102" s="471"/>
      <c r="BE102" s="469"/>
      <c r="BF102" s="412"/>
    </row>
    <row r="103" ht="15.75" customHeight="1">
      <c r="A103" s="562" t="s">
        <v>2808</v>
      </c>
      <c r="B103" s="571" t="s">
        <v>61</v>
      </c>
      <c r="C103" s="562" t="s">
        <v>2708</v>
      </c>
      <c r="D103" s="562" t="s">
        <v>1763</v>
      </c>
      <c r="E103" s="569" t="s">
        <v>2709</v>
      </c>
      <c r="F103" s="569" t="s">
        <v>2858</v>
      </c>
      <c r="G103" s="481">
        <v>1.0217238E7</v>
      </c>
      <c r="H103" s="571" t="s">
        <v>571</v>
      </c>
      <c r="I103" s="562" t="s">
        <v>25</v>
      </c>
      <c r="J103" s="481">
        <v>0.0</v>
      </c>
      <c r="K103" s="481">
        <v>0.0</v>
      </c>
      <c r="L103" s="481">
        <v>0.0</v>
      </c>
      <c r="M103" s="481">
        <v>0.0</v>
      </c>
      <c r="N103" s="481">
        <v>0.0</v>
      </c>
      <c r="O103" s="481">
        <v>0.0</v>
      </c>
      <c r="P103" s="481">
        <v>0.0</v>
      </c>
      <c r="Q103" s="481">
        <v>0.0</v>
      </c>
      <c r="R103" s="481">
        <v>0.0</v>
      </c>
      <c r="S103" s="481">
        <v>0.0</v>
      </c>
      <c r="T103" s="481">
        <v>0.0</v>
      </c>
      <c r="U103" s="533">
        <f t="shared" si="11"/>
        <v>0</v>
      </c>
      <c r="V103" s="481">
        <v>0.0</v>
      </c>
      <c r="W103" s="481">
        <v>0.0</v>
      </c>
      <c r="X103" s="481">
        <v>0.0</v>
      </c>
      <c r="Y103" s="481">
        <v>0.0</v>
      </c>
      <c r="Z103" s="481">
        <v>0.0</v>
      </c>
      <c r="AA103" s="481">
        <v>0.0</v>
      </c>
      <c r="AB103" s="481">
        <v>0.0</v>
      </c>
      <c r="AC103" s="492">
        <v>0.0</v>
      </c>
      <c r="AD103" s="481">
        <v>0.0</v>
      </c>
      <c r="AE103" s="481">
        <v>0.0</v>
      </c>
      <c r="AF103" s="481">
        <v>0.0</v>
      </c>
      <c r="AG103" s="534">
        <f t="shared" si="12"/>
        <v>0</v>
      </c>
      <c r="AH103" s="481">
        <v>0.0</v>
      </c>
      <c r="AI103" s="481">
        <v>0.0</v>
      </c>
      <c r="AJ103" s="481">
        <v>0.0</v>
      </c>
      <c r="AK103" s="481">
        <v>0.0</v>
      </c>
      <c r="AL103" s="481">
        <v>0.0</v>
      </c>
      <c r="AM103" s="481">
        <v>0.0</v>
      </c>
      <c r="AN103" s="481">
        <v>0.0</v>
      </c>
      <c r="AO103" s="492">
        <v>0.0</v>
      </c>
      <c r="AP103" s="481">
        <v>0.0</v>
      </c>
      <c r="AQ103" s="481">
        <v>0.0</v>
      </c>
      <c r="AR103" s="481">
        <v>0.0</v>
      </c>
      <c r="AS103" s="533">
        <f t="shared" si="13"/>
        <v>0</v>
      </c>
      <c r="AT103" s="481">
        <f t="shared" si="14"/>
        <v>0</v>
      </c>
      <c r="AU103" s="484">
        <v>79.0</v>
      </c>
      <c r="AV103" s="481">
        <v>81.0</v>
      </c>
      <c r="AW103" s="481">
        <v>92.68</v>
      </c>
      <c r="AX103" s="481">
        <v>645.9796</v>
      </c>
      <c r="AY103" s="486"/>
      <c r="AZ103" s="487">
        <f t="shared" si="5"/>
        <v>0</v>
      </c>
      <c r="BA103" s="487">
        <f t="shared" si="6"/>
        <v>0</v>
      </c>
      <c r="BB103" s="487">
        <f t="shared" si="7"/>
        <v>0</v>
      </c>
      <c r="BC103" s="487">
        <f t="shared" si="8"/>
        <v>0</v>
      </c>
      <c r="BD103" s="508"/>
      <c r="BE103" s="487"/>
      <c r="BF103" s="412"/>
    </row>
    <row r="104" ht="15.75" customHeight="1">
      <c r="A104" s="567" t="s">
        <v>2808</v>
      </c>
      <c r="B104" s="568" t="s">
        <v>61</v>
      </c>
      <c r="C104" s="567" t="s">
        <v>2708</v>
      </c>
      <c r="D104" s="567" t="s">
        <v>1763</v>
      </c>
      <c r="E104" s="569" t="s">
        <v>2709</v>
      </c>
      <c r="F104" s="569" t="s">
        <v>2891</v>
      </c>
      <c r="G104" s="461">
        <v>1.0241558E7</v>
      </c>
      <c r="H104" s="568" t="s">
        <v>732</v>
      </c>
      <c r="I104" s="567" t="s">
        <v>25</v>
      </c>
      <c r="J104" s="461">
        <v>0.0</v>
      </c>
      <c r="K104" s="461">
        <v>0.0</v>
      </c>
      <c r="L104" s="461">
        <v>0.0</v>
      </c>
      <c r="M104" s="461">
        <v>0.0</v>
      </c>
      <c r="N104" s="461">
        <v>0.0</v>
      </c>
      <c r="O104" s="461">
        <v>0.0</v>
      </c>
      <c r="P104" s="461">
        <v>0.0</v>
      </c>
      <c r="Q104" s="461">
        <v>0.0</v>
      </c>
      <c r="R104" s="461">
        <v>0.0</v>
      </c>
      <c r="S104" s="461">
        <v>0.0</v>
      </c>
      <c r="T104" s="461">
        <v>0.0</v>
      </c>
      <c r="U104" s="533">
        <f t="shared" si="11"/>
        <v>0</v>
      </c>
      <c r="V104" s="461">
        <v>0.0</v>
      </c>
      <c r="W104" s="461">
        <v>0.0</v>
      </c>
      <c r="X104" s="461">
        <v>0.0</v>
      </c>
      <c r="Y104" s="461">
        <v>0.0</v>
      </c>
      <c r="Z104" s="461">
        <v>0.0</v>
      </c>
      <c r="AA104" s="461">
        <v>0.0</v>
      </c>
      <c r="AB104" s="461">
        <v>0.0</v>
      </c>
      <c r="AC104" s="490">
        <v>5.0</v>
      </c>
      <c r="AD104" s="461">
        <v>0.0</v>
      </c>
      <c r="AE104" s="461">
        <v>10.0</v>
      </c>
      <c r="AF104" s="461">
        <v>0.0</v>
      </c>
      <c r="AG104" s="534">
        <f t="shared" si="12"/>
        <v>15</v>
      </c>
      <c r="AH104" s="461">
        <v>0.0</v>
      </c>
      <c r="AI104" s="461">
        <v>0.0</v>
      </c>
      <c r="AJ104" s="461">
        <v>0.0</v>
      </c>
      <c r="AK104" s="461">
        <v>0.0</v>
      </c>
      <c r="AL104" s="461">
        <v>0.0</v>
      </c>
      <c r="AM104" s="461">
        <v>0.0</v>
      </c>
      <c r="AN104" s="462">
        <v>10.0</v>
      </c>
      <c r="AO104" s="490">
        <v>5.0</v>
      </c>
      <c r="AP104" s="461">
        <v>0.0</v>
      </c>
      <c r="AQ104" s="461">
        <v>10.0</v>
      </c>
      <c r="AR104" s="461">
        <v>0.0</v>
      </c>
      <c r="AS104" s="533">
        <f t="shared" si="13"/>
        <v>25</v>
      </c>
      <c r="AT104" s="1032">
        <f t="shared" si="14"/>
        <v>40</v>
      </c>
      <c r="AU104" s="466">
        <v>43.0</v>
      </c>
      <c r="AV104" s="461">
        <v>93.0</v>
      </c>
      <c r="AW104" s="461">
        <v>83.87</v>
      </c>
      <c r="AX104" s="461">
        <v>584.5739</v>
      </c>
      <c r="AY104" s="468"/>
      <c r="AZ104" s="469">
        <f t="shared" si="5"/>
        <v>0</v>
      </c>
      <c r="BA104" s="469">
        <f t="shared" si="6"/>
        <v>8768.6085</v>
      </c>
      <c r="BB104" s="469">
        <f t="shared" si="7"/>
        <v>14614.3475</v>
      </c>
      <c r="BC104" s="469">
        <f t="shared" si="8"/>
        <v>23382.956</v>
      </c>
      <c r="BD104" s="471"/>
      <c r="BE104" s="469"/>
      <c r="BF104" s="412"/>
    </row>
    <row r="105" ht="15.75" customHeight="1">
      <c r="A105" s="562" t="s">
        <v>2808</v>
      </c>
      <c r="B105" s="571" t="s">
        <v>61</v>
      </c>
      <c r="C105" s="562" t="s">
        <v>2708</v>
      </c>
      <c r="D105" s="562" t="s">
        <v>1763</v>
      </c>
      <c r="E105" s="569" t="s">
        <v>2709</v>
      </c>
      <c r="F105" s="569" t="s">
        <v>2902</v>
      </c>
      <c r="G105" s="481">
        <v>1.0319011E7</v>
      </c>
      <c r="H105" s="571" t="s">
        <v>882</v>
      </c>
      <c r="I105" s="562" t="s">
        <v>25</v>
      </c>
      <c r="J105" s="481">
        <v>0.0</v>
      </c>
      <c r="K105" s="481">
        <v>0.0</v>
      </c>
      <c r="L105" s="481">
        <v>0.0</v>
      </c>
      <c r="M105" s="481">
        <v>0.0</v>
      </c>
      <c r="N105" s="481">
        <v>0.0</v>
      </c>
      <c r="O105" s="481">
        <v>0.0</v>
      </c>
      <c r="P105" s="481">
        <v>0.0</v>
      </c>
      <c r="Q105" s="481">
        <v>0.0</v>
      </c>
      <c r="R105" s="481">
        <v>0.0</v>
      </c>
      <c r="S105" s="481">
        <v>0.0</v>
      </c>
      <c r="T105" s="481">
        <v>0.0</v>
      </c>
      <c r="U105" s="533">
        <f t="shared" si="11"/>
        <v>0</v>
      </c>
      <c r="V105" s="481">
        <v>0.0</v>
      </c>
      <c r="W105" s="481">
        <v>0.0</v>
      </c>
      <c r="X105" s="481">
        <v>0.0</v>
      </c>
      <c r="Y105" s="481">
        <v>0.0</v>
      </c>
      <c r="Z105" s="481">
        <v>0.0</v>
      </c>
      <c r="AA105" s="481">
        <v>0.0</v>
      </c>
      <c r="AB105" s="481">
        <v>0.0</v>
      </c>
      <c r="AC105" s="492">
        <v>6.0</v>
      </c>
      <c r="AD105" s="481">
        <v>0.0</v>
      </c>
      <c r="AE105" s="481">
        <v>10.0</v>
      </c>
      <c r="AF105" s="481">
        <v>0.0</v>
      </c>
      <c r="AG105" s="534">
        <f t="shared" si="12"/>
        <v>16</v>
      </c>
      <c r="AH105" s="481">
        <v>0.0</v>
      </c>
      <c r="AI105" s="481">
        <v>0.0</v>
      </c>
      <c r="AJ105" s="481">
        <v>0.0</v>
      </c>
      <c r="AK105" s="481">
        <v>0.0</v>
      </c>
      <c r="AL105" s="481">
        <v>0.0</v>
      </c>
      <c r="AM105" s="481">
        <v>0.0</v>
      </c>
      <c r="AN105" s="482">
        <v>10.0</v>
      </c>
      <c r="AO105" s="492">
        <v>6.0</v>
      </c>
      <c r="AP105" s="481">
        <v>0.0</v>
      </c>
      <c r="AQ105" s="481">
        <v>10.0</v>
      </c>
      <c r="AR105" s="481">
        <v>0.0</v>
      </c>
      <c r="AS105" s="533">
        <f t="shared" si="13"/>
        <v>26</v>
      </c>
      <c r="AT105" s="535">
        <f t="shared" si="14"/>
        <v>42</v>
      </c>
      <c r="AU105" s="484">
        <v>25.0</v>
      </c>
      <c r="AV105" s="481">
        <v>61.0</v>
      </c>
      <c r="AW105" s="481">
        <v>64.26</v>
      </c>
      <c r="AX105" s="481">
        <v>447.8922</v>
      </c>
      <c r="AY105" s="486"/>
      <c r="AZ105" s="487">
        <f t="shared" si="5"/>
        <v>0</v>
      </c>
      <c r="BA105" s="487">
        <f t="shared" si="6"/>
        <v>7166.2752</v>
      </c>
      <c r="BB105" s="487">
        <f t="shared" si="7"/>
        <v>11645.1972</v>
      </c>
      <c r="BC105" s="487">
        <f t="shared" si="8"/>
        <v>18811.4724</v>
      </c>
      <c r="BD105" s="489"/>
      <c r="BE105" s="487"/>
      <c r="BF105" s="412"/>
    </row>
    <row r="106" ht="15.75" customHeight="1">
      <c r="A106" s="567" t="s">
        <v>2808</v>
      </c>
      <c r="B106" s="568" t="s">
        <v>61</v>
      </c>
      <c r="C106" s="567" t="s">
        <v>2708</v>
      </c>
      <c r="D106" s="567" t="s">
        <v>1763</v>
      </c>
      <c r="E106" s="569" t="s">
        <v>2709</v>
      </c>
      <c r="F106" s="569" t="s">
        <v>2920</v>
      </c>
      <c r="G106" s="461">
        <v>1.0360353E7</v>
      </c>
      <c r="H106" s="568" t="s">
        <v>630</v>
      </c>
      <c r="I106" s="567" t="s">
        <v>25</v>
      </c>
      <c r="J106" s="461">
        <v>0.0</v>
      </c>
      <c r="K106" s="461">
        <v>0.0</v>
      </c>
      <c r="L106" s="461">
        <v>0.0</v>
      </c>
      <c r="M106" s="461">
        <v>0.0</v>
      </c>
      <c r="N106" s="461">
        <v>0.0</v>
      </c>
      <c r="O106" s="461">
        <v>0.0</v>
      </c>
      <c r="P106" s="461">
        <v>0.0</v>
      </c>
      <c r="Q106" s="461">
        <v>0.0</v>
      </c>
      <c r="R106" s="461">
        <v>0.0</v>
      </c>
      <c r="S106" s="461">
        <v>0.0</v>
      </c>
      <c r="T106" s="461">
        <v>0.0</v>
      </c>
      <c r="U106" s="533">
        <f t="shared" si="11"/>
        <v>0</v>
      </c>
      <c r="V106" s="461">
        <v>0.0</v>
      </c>
      <c r="W106" s="461">
        <v>0.0</v>
      </c>
      <c r="X106" s="461">
        <v>0.0</v>
      </c>
      <c r="Y106" s="461">
        <v>0.0</v>
      </c>
      <c r="Z106" s="461">
        <v>0.0</v>
      </c>
      <c r="AA106" s="461">
        <v>0.0</v>
      </c>
      <c r="AB106" s="461">
        <v>0.0</v>
      </c>
      <c r="AC106" s="490">
        <v>4.0</v>
      </c>
      <c r="AD106" s="461">
        <v>0.0</v>
      </c>
      <c r="AE106" s="461">
        <v>0.0</v>
      </c>
      <c r="AF106" s="461">
        <v>0.0</v>
      </c>
      <c r="AG106" s="534">
        <f t="shared" si="12"/>
        <v>4</v>
      </c>
      <c r="AH106" s="461">
        <v>0.0</v>
      </c>
      <c r="AI106" s="461">
        <v>0.0</v>
      </c>
      <c r="AJ106" s="461">
        <v>0.0</v>
      </c>
      <c r="AK106" s="461">
        <v>0.0</v>
      </c>
      <c r="AL106" s="461">
        <v>0.0</v>
      </c>
      <c r="AM106" s="461">
        <v>0.0</v>
      </c>
      <c r="AN106" s="461">
        <v>0.0</v>
      </c>
      <c r="AO106" s="490">
        <v>4.0</v>
      </c>
      <c r="AP106" s="461">
        <v>0.0</v>
      </c>
      <c r="AQ106" s="461">
        <v>0.0</v>
      </c>
      <c r="AR106" s="461">
        <v>0.0</v>
      </c>
      <c r="AS106" s="533">
        <f t="shared" si="13"/>
        <v>4</v>
      </c>
      <c r="AT106" s="1032">
        <f t="shared" si="14"/>
        <v>8</v>
      </c>
      <c r="AU106" s="466">
        <v>45.0</v>
      </c>
      <c r="AV106" s="461">
        <v>55.0</v>
      </c>
      <c r="AW106" s="461">
        <v>100.29</v>
      </c>
      <c r="AX106" s="461">
        <v>699.0213</v>
      </c>
      <c r="AY106" s="468"/>
      <c r="AZ106" s="469">
        <f t="shared" si="5"/>
        <v>0</v>
      </c>
      <c r="BA106" s="469">
        <f t="shared" si="6"/>
        <v>2796.0852</v>
      </c>
      <c r="BB106" s="469">
        <f t="shared" si="7"/>
        <v>2796.0852</v>
      </c>
      <c r="BC106" s="469">
        <f t="shared" si="8"/>
        <v>5592.1704</v>
      </c>
      <c r="BD106" s="471"/>
      <c r="BE106" s="469"/>
      <c r="BF106" s="412"/>
    </row>
    <row r="107" ht="15.75" customHeight="1">
      <c r="A107" s="562" t="s">
        <v>2808</v>
      </c>
      <c r="B107" s="571" t="s">
        <v>61</v>
      </c>
      <c r="C107" s="562" t="s">
        <v>2708</v>
      </c>
      <c r="D107" s="562" t="s">
        <v>1763</v>
      </c>
      <c r="E107" s="569" t="s">
        <v>2709</v>
      </c>
      <c r="F107" s="569" t="s">
        <v>2872</v>
      </c>
      <c r="G107" s="481">
        <v>1.0388513E7</v>
      </c>
      <c r="H107" s="571" t="s">
        <v>507</v>
      </c>
      <c r="I107" s="562" t="s">
        <v>25</v>
      </c>
      <c r="J107" s="481">
        <v>0.0</v>
      </c>
      <c r="K107" s="481">
        <v>0.0</v>
      </c>
      <c r="L107" s="481">
        <v>0.0</v>
      </c>
      <c r="M107" s="481">
        <v>0.0</v>
      </c>
      <c r="N107" s="481">
        <v>0.0</v>
      </c>
      <c r="O107" s="481">
        <v>0.0</v>
      </c>
      <c r="P107" s="481">
        <v>0.0</v>
      </c>
      <c r="Q107" s="481">
        <v>0.0</v>
      </c>
      <c r="R107" s="481">
        <v>0.0</v>
      </c>
      <c r="S107" s="481">
        <v>0.0</v>
      </c>
      <c r="T107" s="481">
        <v>0.0</v>
      </c>
      <c r="U107" s="533">
        <f t="shared" si="11"/>
        <v>0</v>
      </c>
      <c r="V107" s="481">
        <v>15.0</v>
      </c>
      <c r="W107" s="481">
        <v>10.0</v>
      </c>
      <c r="X107" s="481">
        <v>15.0</v>
      </c>
      <c r="Y107" s="481">
        <v>0.0</v>
      </c>
      <c r="Z107" s="481">
        <v>12.0</v>
      </c>
      <c r="AA107" s="481">
        <v>0.0</v>
      </c>
      <c r="AB107" s="481">
        <v>0.0</v>
      </c>
      <c r="AC107" s="481">
        <v>0.0</v>
      </c>
      <c r="AD107" s="481">
        <v>2.0</v>
      </c>
      <c r="AE107" s="481">
        <v>0.0</v>
      </c>
      <c r="AF107" s="481">
        <v>0.0</v>
      </c>
      <c r="AG107" s="534">
        <f t="shared" si="12"/>
        <v>54</v>
      </c>
      <c r="AH107" s="481">
        <v>15.0</v>
      </c>
      <c r="AI107" s="481">
        <v>10.0</v>
      </c>
      <c r="AJ107" s="481">
        <v>15.0</v>
      </c>
      <c r="AK107" s="481">
        <v>0.0</v>
      </c>
      <c r="AL107" s="481">
        <v>12.0</v>
      </c>
      <c r="AM107" s="481">
        <v>0.0</v>
      </c>
      <c r="AN107" s="481">
        <v>0.0</v>
      </c>
      <c r="AO107" s="481">
        <v>0.0</v>
      </c>
      <c r="AP107" s="481">
        <v>2.0</v>
      </c>
      <c r="AQ107" s="481">
        <v>0.0</v>
      </c>
      <c r="AR107" s="481">
        <v>0.0</v>
      </c>
      <c r="AS107" s="533">
        <f t="shared" si="13"/>
        <v>54</v>
      </c>
      <c r="AT107" s="535">
        <f t="shared" si="14"/>
        <v>108</v>
      </c>
      <c r="AU107" s="484">
        <v>43.0</v>
      </c>
      <c r="AV107" s="481">
        <v>151.0</v>
      </c>
      <c r="AW107" s="481">
        <v>86.76</v>
      </c>
      <c r="AX107" s="481">
        <v>604.7172</v>
      </c>
      <c r="AY107" s="486"/>
      <c r="AZ107" s="487">
        <f t="shared" si="5"/>
        <v>0</v>
      </c>
      <c r="BA107" s="487">
        <f t="shared" si="6"/>
        <v>32654.7288</v>
      </c>
      <c r="BB107" s="487">
        <f t="shared" si="7"/>
        <v>32654.7288</v>
      </c>
      <c r="BC107" s="487">
        <f t="shared" si="8"/>
        <v>65309.4576</v>
      </c>
      <c r="BD107" s="489"/>
      <c r="BE107" s="487"/>
      <c r="BF107" s="412"/>
    </row>
    <row r="108" ht="15.75" customHeight="1">
      <c r="A108" s="567" t="s">
        <v>2808</v>
      </c>
      <c r="B108" s="568" t="s">
        <v>822</v>
      </c>
      <c r="C108" s="567" t="s">
        <v>3028</v>
      </c>
      <c r="D108" s="567" t="s">
        <v>1763</v>
      </c>
      <c r="E108" s="569"/>
      <c r="F108" s="569" t="s">
        <v>3685</v>
      </c>
      <c r="G108" s="461">
        <v>1.1527131E7</v>
      </c>
      <c r="H108" s="568" t="s">
        <v>3686</v>
      </c>
      <c r="I108" s="567" t="s">
        <v>3687</v>
      </c>
      <c r="J108" s="461">
        <v>3.9960000000000004</v>
      </c>
      <c r="K108" s="461">
        <v>1.9992</v>
      </c>
      <c r="L108" s="461">
        <v>4.9992</v>
      </c>
      <c r="M108" s="461">
        <v>3.9996</v>
      </c>
      <c r="N108" s="461">
        <v>3.9960000000000004</v>
      </c>
      <c r="O108" s="461">
        <v>3.9960000000000004</v>
      </c>
      <c r="P108" s="461">
        <v>3.9960000000000004</v>
      </c>
      <c r="Q108" s="490">
        <v>0.0</v>
      </c>
      <c r="R108" s="461">
        <v>1.992</v>
      </c>
      <c r="S108" s="461">
        <v>3.9960000000000004</v>
      </c>
      <c r="T108" s="461">
        <v>0.0</v>
      </c>
      <c r="U108" s="522"/>
      <c r="V108" s="461"/>
      <c r="W108" s="461"/>
      <c r="X108" s="461"/>
      <c r="Y108" s="461"/>
      <c r="Z108" s="461"/>
      <c r="AA108" s="461"/>
      <c r="AB108" s="461"/>
      <c r="AC108" s="551"/>
      <c r="AD108" s="461"/>
      <c r="AE108" s="461"/>
      <c r="AF108" s="461"/>
      <c r="AG108" s="522"/>
      <c r="AH108" s="461"/>
      <c r="AI108" s="461"/>
      <c r="AJ108" s="461"/>
      <c r="AK108" s="461"/>
      <c r="AL108" s="461"/>
      <c r="AM108" s="461"/>
      <c r="AN108" s="461"/>
      <c r="AO108" s="551"/>
      <c r="AP108" s="461"/>
      <c r="AQ108" s="461"/>
      <c r="AR108" s="461"/>
      <c r="AS108" s="522"/>
      <c r="AT108" s="461"/>
      <c r="AU108" s="466">
        <v>0.0</v>
      </c>
      <c r="AV108" s="461">
        <v>96.0</v>
      </c>
      <c r="AW108" s="461"/>
      <c r="AX108" s="461"/>
      <c r="AY108" s="468"/>
      <c r="AZ108" s="469">
        <f t="shared" si="5"/>
        <v>0</v>
      </c>
      <c r="BA108" s="469">
        <f t="shared" si="6"/>
        <v>0</v>
      </c>
      <c r="BB108" s="469">
        <f t="shared" si="7"/>
        <v>0</v>
      </c>
      <c r="BC108" s="469">
        <f t="shared" si="8"/>
        <v>0</v>
      </c>
      <c r="BD108" s="498"/>
      <c r="BE108" s="499" t="s">
        <v>3684</v>
      </c>
      <c r="BF108" s="412"/>
    </row>
    <row r="109" ht="15.75" customHeight="1">
      <c r="A109" s="562"/>
      <c r="B109" s="562"/>
      <c r="C109" s="562"/>
      <c r="D109" s="562"/>
      <c r="E109" s="562"/>
      <c r="F109" s="562"/>
      <c r="G109" s="481"/>
      <c r="H109" s="571"/>
      <c r="I109" s="562"/>
      <c r="J109" s="481"/>
      <c r="K109" s="481"/>
      <c r="L109" s="481"/>
      <c r="M109" s="481"/>
      <c r="N109" s="481"/>
      <c r="O109" s="481"/>
      <c r="P109" s="481"/>
      <c r="Q109" s="481"/>
      <c r="R109" s="481"/>
      <c r="S109" s="481"/>
      <c r="T109" s="481"/>
      <c r="U109" s="481"/>
      <c r="V109" s="481"/>
      <c r="W109" s="481"/>
      <c r="X109" s="481"/>
      <c r="Y109" s="481"/>
      <c r="Z109" s="481"/>
      <c r="AA109" s="481"/>
      <c r="AB109" s="481"/>
      <c r="AC109" s="481"/>
      <c r="AD109" s="481"/>
      <c r="AE109" s="481"/>
      <c r="AF109" s="481"/>
      <c r="AG109" s="481"/>
      <c r="AH109" s="481"/>
      <c r="AI109" s="481"/>
      <c r="AJ109" s="481"/>
      <c r="AK109" s="481"/>
      <c r="AL109" s="481"/>
      <c r="AM109" s="481"/>
      <c r="AN109" s="481"/>
      <c r="AO109" s="481"/>
      <c r="AP109" s="481"/>
      <c r="AQ109" s="481"/>
      <c r="AR109" s="481"/>
      <c r="AS109" s="481"/>
      <c r="AT109" s="481"/>
      <c r="AU109" s="484"/>
      <c r="AV109" s="481"/>
      <c r="AW109" s="481"/>
      <c r="AX109" s="481"/>
      <c r="AY109" s="486"/>
      <c r="AZ109" s="487">
        <f t="shared" si="5"/>
        <v>0</v>
      </c>
      <c r="BA109" s="487">
        <f t="shared" si="6"/>
        <v>0</v>
      </c>
      <c r="BB109" s="487">
        <f t="shared" si="7"/>
        <v>0</v>
      </c>
      <c r="BC109" s="487">
        <f t="shared" si="8"/>
        <v>0</v>
      </c>
      <c r="BD109" s="508"/>
      <c r="BE109" s="487"/>
      <c r="BF109" s="412"/>
    </row>
    <row r="110" ht="15.75" customHeight="1">
      <c r="A110" s="567" t="s">
        <v>2808</v>
      </c>
      <c r="B110" s="567" t="s">
        <v>80</v>
      </c>
      <c r="C110" s="567" t="s">
        <v>3028</v>
      </c>
      <c r="D110" s="567" t="s">
        <v>1774</v>
      </c>
      <c r="E110" s="567"/>
      <c r="F110" s="1039"/>
      <c r="G110" s="461">
        <v>1.1181921E7</v>
      </c>
      <c r="H110" s="568" t="s">
        <v>3688</v>
      </c>
      <c r="I110" s="567" t="s">
        <v>3689</v>
      </c>
      <c r="J110" s="461">
        <v>48.0</v>
      </c>
      <c r="K110" s="461">
        <v>30.0</v>
      </c>
      <c r="L110" s="461">
        <v>54.0</v>
      </c>
      <c r="M110" s="461">
        <v>48.0</v>
      </c>
      <c r="N110" s="461">
        <v>54.0</v>
      </c>
      <c r="O110" s="461">
        <v>60.0</v>
      </c>
      <c r="P110" s="461">
        <v>48.0</v>
      </c>
      <c r="Q110" s="461">
        <v>54.0</v>
      </c>
      <c r="R110" s="461">
        <v>18.0</v>
      </c>
      <c r="S110" s="461">
        <v>54.0</v>
      </c>
      <c r="T110" s="461">
        <v>0.0</v>
      </c>
      <c r="U110" s="522"/>
      <c r="V110" s="461"/>
      <c r="W110" s="461"/>
      <c r="X110" s="461"/>
      <c r="Y110" s="461"/>
      <c r="Z110" s="461"/>
      <c r="AA110" s="461"/>
      <c r="AB110" s="461"/>
      <c r="AC110" s="461"/>
      <c r="AD110" s="461"/>
      <c r="AE110" s="461"/>
      <c r="AF110" s="461"/>
      <c r="AG110" s="522"/>
      <c r="AH110" s="461"/>
      <c r="AI110" s="461"/>
      <c r="AJ110" s="461"/>
      <c r="AK110" s="461"/>
      <c r="AL110" s="461"/>
      <c r="AM110" s="461"/>
      <c r="AN110" s="461"/>
      <c r="AO110" s="461"/>
      <c r="AP110" s="461"/>
      <c r="AQ110" s="461"/>
      <c r="AR110" s="461"/>
      <c r="AS110" s="522"/>
      <c r="AT110" s="461"/>
      <c r="AU110" s="466">
        <v>0.0</v>
      </c>
      <c r="AV110" s="461">
        <v>57.0</v>
      </c>
      <c r="AW110" s="461"/>
      <c r="AX110" s="462"/>
      <c r="AY110" s="468">
        <v>0.0</v>
      </c>
      <c r="AZ110" s="469">
        <f t="shared" si="5"/>
        <v>0</v>
      </c>
      <c r="BA110" s="469">
        <f t="shared" si="6"/>
        <v>0</v>
      </c>
      <c r="BB110" s="469">
        <f t="shared" si="7"/>
        <v>0</v>
      </c>
      <c r="BC110" s="469">
        <f t="shared" si="8"/>
        <v>0</v>
      </c>
      <c r="BD110" s="498"/>
      <c r="BE110" s="499" t="s">
        <v>3684</v>
      </c>
      <c r="BF110" s="412"/>
    </row>
    <row r="111" ht="15.75" customHeight="1">
      <c r="A111" s="562"/>
      <c r="B111" s="562"/>
      <c r="C111" s="562"/>
      <c r="D111" s="562"/>
      <c r="E111" s="562"/>
      <c r="F111" s="562"/>
      <c r="G111" s="481"/>
      <c r="H111" s="571"/>
      <c r="I111" s="562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  <c r="AA111" s="481"/>
      <c r="AB111" s="481"/>
      <c r="AC111" s="481"/>
      <c r="AD111" s="481"/>
      <c r="AE111" s="481"/>
      <c r="AF111" s="481"/>
      <c r="AG111" s="481"/>
      <c r="AH111" s="481"/>
      <c r="AI111" s="481"/>
      <c r="AJ111" s="481"/>
      <c r="AK111" s="481"/>
      <c r="AL111" s="481"/>
      <c r="AM111" s="481"/>
      <c r="AN111" s="481"/>
      <c r="AO111" s="481"/>
      <c r="AP111" s="481"/>
      <c r="AQ111" s="481"/>
      <c r="AR111" s="481"/>
      <c r="AS111" s="481"/>
      <c r="AT111" s="481"/>
      <c r="AU111" s="484"/>
      <c r="AV111" s="481"/>
      <c r="AW111" s="481"/>
      <c r="AX111" s="481"/>
      <c r="AY111" s="486"/>
      <c r="AZ111" s="487">
        <f t="shared" si="5"/>
        <v>0</v>
      </c>
      <c r="BA111" s="487">
        <f t="shared" si="6"/>
        <v>0</v>
      </c>
      <c r="BB111" s="487">
        <f t="shared" si="7"/>
        <v>0</v>
      </c>
      <c r="BC111" s="487">
        <f t="shared" si="8"/>
        <v>0</v>
      </c>
      <c r="BD111" s="508"/>
      <c r="BE111" s="487"/>
      <c r="BF111" s="412"/>
    </row>
    <row r="112" ht="15.75" customHeight="1">
      <c r="A112" s="567" t="s">
        <v>2808</v>
      </c>
      <c r="B112" s="568" t="s">
        <v>362</v>
      </c>
      <c r="C112" s="567" t="s">
        <v>3270</v>
      </c>
      <c r="D112" s="567" t="s">
        <v>1763</v>
      </c>
      <c r="E112" s="569" t="s">
        <v>3029</v>
      </c>
      <c r="F112" s="569" t="s">
        <v>3690</v>
      </c>
      <c r="G112" s="461">
        <v>1.0867102E7</v>
      </c>
      <c r="H112" s="568" t="s">
        <v>3691</v>
      </c>
      <c r="I112" s="567" t="s">
        <v>25</v>
      </c>
      <c r="J112" s="461">
        <v>2.0</v>
      </c>
      <c r="K112" s="461">
        <v>2.0</v>
      </c>
      <c r="L112" s="461">
        <v>2.0</v>
      </c>
      <c r="M112" s="462">
        <v>0.0</v>
      </c>
      <c r="N112" s="462">
        <v>0.0</v>
      </c>
      <c r="O112" s="462">
        <v>0.0</v>
      </c>
      <c r="P112" s="461">
        <v>4.0</v>
      </c>
      <c r="Q112" s="490">
        <v>0.0</v>
      </c>
      <c r="R112" s="461">
        <v>2.0</v>
      </c>
      <c r="S112" s="461">
        <v>2.0</v>
      </c>
      <c r="T112" s="461">
        <v>0.0</v>
      </c>
      <c r="U112" s="533">
        <f t="shared" ref="U112:U113" si="15">SUM(J112:T112)</f>
        <v>14</v>
      </c>
      <c r="V112" s="461">
        <v>2.0</v>
      </c>
      <c r="W112" s="461">
        <v>2.0</v>
      </c>
      <c r="X112" s="461">
        <v>2.0</v>
      </c>
      <c r="Y112" s="462">
        <v>0.0</v>
      </c>
      <c r="Z112" s="462">
        <v>0.0</v>
      </c>
      <c r="AA112" s="462">
        <v>0.0</v>
      </c>
      <c r="AB112" s="461">
        <v>4.0</v>
      </c>
      <c r="AC112" s="490">
        <v>0.0</v>
      </c>
      <c r="AD112" s="461">
        <v>2.0</v>
      </c>
      <c r="AE112" s="461">
        <v>2.0</v>
      </c>
      <c r="AF112" s="461">
        <v>0.0</v>
      </c>
      <c r="AG112" s="534"/>
      <c r="AH112" s="461">
        <v>2.0</v>
      </c>
      <c r="AI112" s="461">
        <v>2.0</v>
      </c>
      <c r="AJ112" s="461">
        <v>2.0</v>
      </c>
      <c r="AK112" s="462">
        <v>0.0</v>
      </c>
      <c r="AL112" s="462">
        <v>0.0</v>
      </c>
      <c r="AM112" s="462">
        <v>0.0</v>
      </c>
      <c r="AN112" s="461">
        <v>4.0</v>
      </c>
      <c r="AO112" s="490">
        <v>0.0</v>
      </c>
      <c r="AP112" s="461">
        <v>2.0</v>
      </c>
      <c r="AQ112" s="461">
        <v>2.0</v>
      </c>
      <c r="AR112" s="461">
        <v>0.0</v>
      </c>
      <c r="AS112" s="533">
        <f t="shared" ref="AS112:AS113" si="16">ROUNDUP( SUM(AH112:AR112))</f>
        <v>14</v>
      </c>
      <c r="AT112" s="461"/>
      <c r="AU112" s="466">
        <v>0.0</v>
      </c>
      <c r="AV112" s="461">
        <v>72.0</v>
      </c>
      <c r="AW112" s="461"/>
      <c r="AX112" s="461"/>
      <c r="AY112" s="468"/>
      <c r="AZ112" s="469">
        <f t="shared" si="5"/>
        <v>0</v>
      </c>
      <c r="BA112" s="469">
        <f t="shared" si="6"/>
        <v>0</v>
      </c>
      <c r="BB112" s="469">
        <f t="shared" si="7"/>
        <v>0</v>
      </c>
      <c r="BC112" s="469">
        <f t="shared" si="8"/>
        <v>0</v>
      </c>
      <c r="BD112" s="498"/>
      <c r="BE112" s="499" t="s">
        <v>3692</v>
      </c>
      <c r="BF112" s="412"/>
    </row>
    <row r="113" ht="15.75" customHeight="1">
      <c r="A113" s="562" t="s">
        <v>2808</v>
      </c>
      <c r="B113" s="571" t="s">
        <v>362</v>
      </c>
      <c r="C113" s="562" t="s">
        <v>2708</v>
      </c>
      <c r="D113" s="562" t="s">
        <v>1763</v>
      </c>
      <c r="E113" s="569" t="s">
        <v>2709</v>
      </c>
      <c r="F113" s="569" t="s">
        <v>2866</v>
      </c>
      <c r="G113" s="481">
        <v>1.0863213E7</v>
      </c>
      <c r="H113" s="571" t="s">
        <v>2867</v>
      </c>
      <c r="I113" s="562" t="s">
        <v>25</v>
      </c>
      <c r="J113" s="482">
        <v>0.0</v>
      </c>
      <c r="K113" s="482">
        <v>0.0</v>
      </c>
      <c r="L113" s="482">
        <v>0.0</v>
      </c>
      <c r="M113" s="481">
        <v>0.0</v>
      </c>
      <c r="N113" s="481">
        <v>0.0</v>
      </c>
      <c r="O113" s="481">
        <v>0.0</v>
      </c>
      <c r="P113" s="482">
        <v>0.0</v>
      </c>
      <c r="Q113" s="492">
        <v>0.0</v>
      </c>
      <c r="R113" s="482">
        <v>0.0</v>
      </c>
      <c r="S113" s="481">
        <v>0.0</v>
      </c>
      <c r="T113" s="481">
        <v>0.0</v>
      </c>
      <c r="U113" s="533">
        <f t="shared" si="15"/>
        <v>0</v>
      </c>
      <c r="V113" s="482">
        <v>0.0</v>
      </c>
      <c r="W113" s="482">
        <v>0.0</v>
      </c>
      <c r="X113" s="482">
        <v>0.0</v>
      </c>
      <c r="Y113" s="481">
        <v>0.0</v>
      </c>
      <c r="Z113" s="481">
        <v>0.0</v>
      </c>
      <c r="AA113" s="481">
        <v>0.0</v>
      </c>
      <c r="AB113" s="482">
        <v>0.0</v>
      </c>
      <c r="AC113" s="482">
        <v>0.0</v>
      </c>
      <c r="AD113" s="482">
        <v>0.0</v>
      </c>
      <c r="AE113" s="481">
        <v>0.0</v>
      </c>
      <c r="AF113" s="481">
        <v>0.0</v>
      </c>
      <c r="AG113" s="534"/>
      <c r="AH113" s="482">
        <v>0.0</v>
      </c>
      <c r="AI113" s="482">
        <v>0.0</v>
      </c>
      <c r="AJ113" s="482">
        <v>0.0</v>
      </c>
      <c r="AK113" s="481">
        <v>0.0</v>
      </c>
      <c r="AL113" s="481">
        <v>0.0</v>
      </c>
      <c r="AM113" s="481">
        <v>0.0</v>
      </c>
      <c r="AN113" s="482">
        <v>0.0</v>
      </c>
      <c r="AO113" s="482">
        <v>0.0</v>
      </c>
      <c r="AP113" s="482">
        <v>0.0</v>
      </c>
      <c r="AQ113" s="481">
        <v>0.0</v>
      </c>
      <c r="AR113" s="481">
        <v>0.0</v>
      </c>
      <c r="AS113" s="533">
        <f t="shared" si="16"/>
        <v>0</v>
      </c>
      <c r="AT113" s="481">
        <f>U113+AG113+AS113</f>
        <v>0</v>
      </c>
      <c r="AU113" s="484">
        <v>42.0</v>
      </c>
      <c r="AV113" s="481">
        <v>75.0</v>
      </c>
      <c r="AW113" s="481">
        <v>35.57</v>
      </c>
      <c r="AX113" s="481">
        <v>247.9229</v>
      </c>
      <c r="AY113" s="486"/>
      <c r="AZ113" s="487">
        <f t="shared" si="5"/>
        <v>0</v>
      </c>
      <c r="BA113" s="487">
        <f t="shared" si="6"/>
        <v>0</v>
      </c>
      <c r="BB113" s="487">
        <f t="shared" si="7"/>
        <v>0</v>
      </c>
      <c r="BC113" s="487">
        <f t="shared" si="8"/>
        <v>0</v>
      </c>
      <c r="BD113" s="508"/>
      <c r="BE113" s="509"/>
      <c r="BF113" s="412"/>
    </row>
    <row r="114" ht="15.75" customHeight="1">
      <c r="A114" s="567" t="s">
        <v>2808</v>
      </c>
      <c r="B114" s="567" t="s">
        <v>620</v>
      </c>
      <c r="C114" s="567" t="s">
        <v>3028</v>
      </c>
      <c r="D114" s="567" t="s">
        <v>1774</v>
      </c>
      <c r="E114" s="567"/>
      <c r="F114" s="567" t="s">
        <v>3693</v>
      </c>
      <c r="G114" s="461">
        <v>1.1178143E7</v>
      </c>
      <c r="H114" s="568" t="s">
        <v>3694</v>
      </c>
      <c r="I114" s="567" t="s">
        <v>3695</v>
      </c>
      <c r="J114" s="461">
        <v>720.0</v>
      </c>
      <c r="K114" s="461">
        <v>320.0</v>
      </c>
      <c r="L114" s="461">
        <v>680.0</v>
      </c>
      <c r="M114" s="461">
        <v>560.0</v>
      </c>
      <c r="N114" s="461">
        <v>620.0</v>
      </c>
      <c r="O114" s="461">
        <v>620.0</v>
      </c>
      <c r="P114" s="461">
        <v>500.0</v>
      </c>
      <c r="Q114" s="461">
        <v>500.0</v>
      </c>
      <c r="R114" s="461">
        <v>210.0</v>
      </c>
      <c r="S114" s="461">
        <v>560.0</v>
      </c>
      <c r="T114" s="461">
        <v>0.0</v>
      </c>
      <c r="U114" s="522"/>
      <c r="V114" s="461"/>
      <c r="W114" s="461"/>
      <c r="X114" s="461"/>
      <c r="Y114" s="461"/>
      <c r="Z114" s="461"/>
      <c r="AA114" s="461"/>
      <c r="AB114" s="461"/>
      <c r="AC114" s="461"/>
      <c r="AD114" s="461"/>
      <c r="AE114" s="461"/>
      <c r="AF114" s="461"/>
      <c r="AG114" s="522"/>
      <c r="AH114" s="461"/>
      <c r="AI114" s="461"/>
      <c r="AJ114" s="461"/>
      <c r="AK114" s="461"/>
      <c r="AL114" s="461"/>
      <c r="AM114" s="461"/>
      <c r="AN114" s="461"/>
      <c r="AO114" s="461"/>
      <c r="AP114" s="461"/>
      <c r="AQ114" s="461"/>
      <c r="AR114" s="461"/>
      <c r="AS114" s="524"/>
      <c r="AT114" s="461"/>
      <c r="AU114" s="466">
        <v>0.0</v>
      </c>
      <c r="AV114" s="461">
        <v>77.0</v>
      </c>
      <c r="AW114" s="461"/>
      <c r="AX114" s="462"/>
      <c r="AY114" s="468">
        <v>0.0</v>
      </c>
      <c r="AZ114" s="469">
        <v>0.0</v>
      </c>
      <c r="BA114" s="469">
        <v>0.0</v>
      </c>
      <c r="BB114" s="469">
        <v>0.0</v>
      </c>
      <c r="BC114" s="469">
        <v>0.0</v>
      </c>
      <c r="BD114" s="498"/>
      <c r="BE114" s="499" t="s">
        <v>3684</v>
      </c>
      <c r="BF114" s="412"/>
    </row>
    <row r="115" ht="15.75" customHeight="1">
      <c r="A115" s="562" t="s">
        <v>2808</v>
      </c>
      <c r="B115" s="571" t="s">
        <v>620</v>
      </c>
      <c r="C115" s="562" t="s">
        <v>3028</v>
      </c>
      <c r="D115" s="562" t="s">
        <v>1763</v>
      </c>
      <c r="E115" s="569"/>
      <c r="F115" s="569" t="s">
        <v>3696</v>
      </c>
      <c r="G115" s="481">
        <v>1.2156706E7</v>
      </c>
      <c r="H115" s="571" t="s">
        <v>3697</v>
      </c>
      <c r="I115" s="562" t="s">
        <v>3698</v>
      </c>
      <c r="J115" s="1040">
        <v>400.0</v>
      </c>
      <c r="K115" s="1040">
        <v>400.0</v>
      </c>
      <c r="L115" s="1040">
        <v>0.0</v>
      </c>
      <c r="M115" s="1040">
        <v>0.0</v>
      </c>
      <c r="N115" s="1040">
        <v>0.0</v>
      </c>
      <c r="O115" s="1040">
        <v>0.0</v>
      </c>
      <c r="P115" s="1040">
        <v>0.0</v>
      </c>
      <c r="Q115" s="1040">
        <v>0.0</v>
      </c>
      <c r="R115" s="1040">
        <v>400.0</v>
      </c>
      <c r="S115" s="481">
        <v>400.0</v>
      </c>
      <c r="T115" s="481">
        <v>0.0</v>
      </c>
      <c r="U115" s="522"/>
      <c r="V115" s="1040"/>
      <c r="W115" s="1040"/>
      <c r="X115" s="1040"/>
      <c r="Y115" s="1040"/>
      <c r="Z115" s="1040"/>
      <c r="AA115" s="1040"/>
      <c r="AB115" s="1041"/>
      <c r="AC115" s="1040"/>
      <c r="AD115" s="1040"/>
      <c r="AE115" s="481"/>
      <c r="AF115" s="481"/>
      <c r="AG115" s="1042"/>
      <c r="AH115" s="1040"/>
      <c r="AI115" s="1040"/>
      <c r="AJ115" s="1040"/>
      <c r="AK115" s="1040"/>
      <c r="AL115" s="1040"/>
      <c r="AM115" s="1040"/>
      <c r="AN115" s="1040"/>
      <c r="AO115" s="1041"/>
      <c r="AP115" s="1040"/>
      <c r="AQ115" s="481"/>
      <c r="AR115" s="481"/>
      <c r="AS115" s="1043"/>
      <c r="AT115" s="481"/>
      <c r="AU115" s="484">
        <v>0.0</v>
      </c>
      <c r="AV115" s="481">
        <v>6.0</v>
      </c>
      <c r="AW115" s="481"/>
      <c r="AX115" s="481"/>
      <c r="AY115" s="486"/>
      <c r="AZ115" s="487">
        <f t="shared" ref="AZ115:AZ116" si="17">AX115*U115</f>
        <v>0</v>
      </c>
      <c r="BA115" s="487">
        <f t="shared" ref="BA115:BA116" si="18">AX115*AG115</f>
        <v>0</v>
      </c>
      <c r="BB115" s="487">
        <f t="shared" ref="BB115:BB116" si="19">AX115*AS115</f>
        <v>0</v>
      </c>
      <c r="BC115" s="487">
        <f t="shared" ref="BC115:BC116" si="20">AZ115+BA115+BB115</f>
        <v>0</v>
      </c>
      <c r="BD115" s="508"/>
      <c r="BE115" s="509" t="s">
        <v>3684</v>
      </c>
      <c r="BF115" s="412"/>
    </row>
    <row r="116" ht="15.75" customHeight="1">
      <c r="A116" s="567" t="s">
        <v>2808</v>
      </c>
      <c r="B116" s="568" t="s">
        <v>620</v>
      </c>
      <c r="C116" s="567" t="s">
        <v>3028</v>
      </c>
      <c r="D116" s="567" t="s">
        <v>1763</v>
      </c>
      <c r="E116" s="569"/>
      <c r="F116" s="569" t="s">
        <v>3699</v>
      </c>
      <c r="G116" s="462">
        <v>1.1309149E7</v>
      </c>
      <c r="H116" s="1044" t="s">
        <v>3700</v>
      </c>
      <c r="I116" s="567" t="s">
        <v>3698</v>
      </c>
      <c r="J116" s="461"/>
      <c r="K116" s="461"/>
      <c r="L116" s="461"/>
      <c r="M116" s="461"/>
      <c r="N116" s="461"/>
      <c r="O116" s="461"/>
      <c r="P116" s="461"/>
      <c r="Q116" s="461"/>
      <c r="R116" s="461"/>
      <c r="S116" s="461"/>
      <c r="T116" s="461"/>
      <c r="U116" s="533"/>
      <c r="V116" s="461"/>
      <c r="W116" s="461"/>
      <c r="X116" s="461"/>
      <c r="Y116" s="461"/>
      <c r="Z116" s="461"/>
      <c r="AA116" s="461"/>
      <c r="AB116" s="461"/>
      <c r="AC116" s="461"/>
      <c r="AD116" s="461"/>
      <c r="AE116" s="461"/>
      <c r="AF116" s="461"/>
      <c r="AG116" s="534"/>
      <c r="AH116" s="461"/>
      <c r="AI116" s="461"/>
      <c r="AJ116" s="461"/>
      <c r="AK116" s="461"/>
      <c r="AL116" s="461"/>
      <c r="AM116" s="461"/>
      <c r="AN116" s="461"/>
      <c r="AO116" s="461"/>
      <c r="AP116" s="461"/>
      <c r="AQ116" s="461"/>
      <c r="AR116" s="461"/>
      <c r="AS116" s="522"/>
      <c r="AT116" s="461"/>
      <c r="AU116" s="466">
        <v>2253.0</v>
      </c>
      <c r="AV116" s="461">
        <v>2253.0</v>
      </c>
      <c r="AW116" s="461"/>
      <c r="AX116" s="461"/>
      <c r="AY116" s="468"/>
      <c r="AZ116" s="469">
        <f t="shared" si="17"/>
        <v>0</v>
      </c>
      <c r="BA116" s="469">
        <f t="shared" si="18"/>
        <v>0</v>
      </c>
      <c r="BB116" s="469">
        <f t="shared" si="19"/>
        <v>0</v>
      </c>
      <c r="BC116" s="469">
        <f t="shared" si="20"/>
        <v>0</v>
      </c>
      <c r="BD116" s="498"/>
      <c r="BE116" s="499" t="s">
        <v>3684</v>
      </c>
      <c r="BF116" s="412"/>
    </row>
    <row r="117" ht="15.75" customHeight="1">
      <c r="A117" s="562" t="s">
        <v>2808</v>
      </c>
      <c r="B117" s="562" t="s">
        <v>620</v>
      </c>
      <c r="C117" s="562" t="s">
        <v>3028</v>
      </c>
      <c r="D117" s="562" t="s">
        <v>1774</v>
      </c>
      <c r="E117" s="562"/>
      <c r="F117" s="562" t="s">
        <v>3701</v>
      </c>
      <c r="G117" s="481"/>
      <c r="H117" s="571" t="s">
        <v>3702</v>
      </c>
      <c r="I117" s="562" t="s">
        <v>3703</v>
      </c>
      <c r="J117" s="481">
        <v>400.0</v>
      </c>
      <c r="K117" s="481">
        <v>0.0</v>
      </c>
      <c r="L117" s="481">
        <v>400.0</v>
      </c>
      <c r="M117" s="481">
        <v>400.0</v>
      </c>
      <c r="N117" s="481">
        <v>0.0</v>
      </c>
      <c r="O117" s="481">
        <v>0.0</v>
      </c>
      <c r="P117" s="481">
        <v>0.0</v>
      </c>
      <c r="Q117" s="481">
        <v>0.0</v>
      </c>
      <c r="R117" s="481">
        <v>0.0</v>
      </c>
      <c r="S117" s="481">
        <v>400.0</v>
      </c>
      <c r="T117" s="481">
        <v>0.0</v>
      </c>
      <c r="U117" s="522"/>
      <c r="V117" s="481"/>
      <c r="W117" s="481"/>
      <c r="X117" s="481"/>
      <c r="Y117" s="481"/>
      <c r="Z117" s="481"/>
      <c r="AA117" s="481"/>
      <c r="AB117" s="481"/>
      <c r="AC117" s="481"/>
      <c r="AD117" s="481"/>
      <c r="AE117" s="481"/>
      <c r="AF117" s="481"/>
      <c r="AG117" s="522"/>
      <c r="AH117" s="481"/>
      <c r="AI117" s="481"/>
      <c r="AJ117" s="481"/>
      <c r="AK117" s="481"/>
      <c r="AL117" s="481"/>
      <c r="AM117" s="481"/>
      <c r="AN117" s="481"/>
      <c r="AO117" s="481"/>
      <c r="AP117" s="481"/>
      <c r="AQ117" s="481"/>
      <c r="AR117" s="481"/>
      <c r="AS117" s="522"/>
      <c r="AT117" s="481"/>
      <c r="AU117" s="484">
        <v>2253.0</v>
      </c>
      <c r="AV117" s="481">
        <v>2265.0</v>
      </c>
      <c r="AW117" s="481"/>
      <c r="AX117" s="481"/>
      <c r="AY117" s="486">
        <v>0.0</v>
      </c>
      <c r="AZ117" s="487">
        <v>0.0</v>
      </c>
      <c r="BA117" s="487">
        <v>0.0</v>
      </c>
      <c r="BB117" s="487">
        <v>0.0</v>
      </c>
      <c r="BC117" s="487">
        <v>0.0</v>
      </c>
      <c r="BD117" s="508"/>
      <c r="BE117" s="509" t="s">
        <v>3684</v>
      </c>
      <c r="BF117" s="412"/>
    </row>
    <row r="118" ht="15.75" customHeight="1">
      <c r="A118" s="567" t="s">
        <v>2808</v>
      </c>
      <c r="B118" s="567" t="s">
        <v>590</v>
      </c>
      <c r="C118" s="567" t="s">
        <v>3028</v>
      </c>
      <c r="D118" s="567" t="s">
        <v>1774</v>
      </c>
      <c r="E118" s="567"/>
      <c r="F118" s="567" t="s">
        <v>3704</v>
      </c>
      <c r="G118" s="461">
        <v>1.1180975E7</v>
      </c>
      <c r="H118" s="568" t="s">
        <v>3705</v>
      </c>
      <c r="I118" s="567" t="s">
        <v>3706</v>
      </c>
      <c r="J118" s="461">
        <v>30000.0</v>
      </c>
      <c r="K118" s="461">
        <v>20000.0</v>
      </c>
      <c r="L118" s="461">
        <v>30000.0</v>
      </c>
      <c r="M118" s="461">
        <v>20000.0</v>
      </c>
      <c r="N118" s="461">
        <v>20000.0</v>
      </c>
      <c r="O118" s="461">
        <v>30000.0</v>
      </c>
      <c r="P118" s="461">
        <v>20000.0</v>
      </c>
      <c r="Q118" s="461">
        <v>30000.0</v>
      </c>
      <c r="R118" s="461">
        <v>20000.0</v>
      </c>
      <c r="S118" s="461">
        <v>20000.0</v>
      </c>
      <c r="T118" s="461">
        <v>0.0</v>
      </c>
      <c r="U118" s="522"/>
      <c r="V118" s="461"/>
      <c r="W118" s="461"/>
      <c r="X118" s="461"/>
      <c r="Y118" s="461"/>
      <c r="Z118" s="461"/>
      <c r="AA118" s="461"/>
      <c r="AB118" s="461"/>
      <c r="AC118" s="461"/>
      <c r="AD118" s="461"/>
      <c r="AE118" s="461"/>
      <c r="AF118" s="461"/>
      <c r="AG118" s="522"/>
      <c r="AH118" s="461"/>
      <c r="AI118" s="461"/>
      <c r="AJ118" s="461"/>
      <c r="AK118" s="461"/>
      <c r="AL118" s="461"/>
      <c r="AM118" s="461"/>
      <c r="AN118" s="461"/>
      <c r="AO118" s="461"/>
      <c r="AP118" s="461"/>
      <c r="AQ118" s="461"/>
      <c r="AR118" s="461"/>
      <c r="AS118" s="522"/>
      <c r="AT118" s="461"/>
      <c r="AU118" s="466">
        <v>0.0</v>
      </c>
      <c r="AV118" s="461">
        <v>15.0</v>
      </c>
      <c r="AW118" s="461"/>
      <c r="AX118" s="461"/>
      <c r="AY118" s="468">
        <v>0.0</v>
      </c>
      <c r="AZ118" s="469">
        <v>0.0</v>
      </c>
      <c r="BA118" s="469">
        <v>0.0</v>
      </c>
      <c r="BB118" s="469">
        <v>0.0</v>
      </c>
      <c r="BC118" s="469">
        <v>0.0</v>
      </c>
      <c r="BD118" s="498"/>
      <c r="BE118" s="499" t="s">
        <v>3684</v>
      </c>
      <c r="BF118" s="412"/>
    </row>
    <row r="119" ht="15.75" customHeight="1">
      <c r="A119" s="562" t="s">
        <v>2808</v>
      </c>
      <c r="B119" s="571" t="s">
        <v>590</v>
      </c>
      <c r="C119" s="562" t="s">
        <v>2708</v>
      </c>
      <c r="D119" s="562" t="s">
        <v>1763</v>
      </c>
      <c r="E119" s="569" t="s">
        <v>2709</v>
      </c>
      <c r="F119" s="569" t="s">
        <v>2916</v>
      </c>
      <c r="G119" s="481">
        <v>1.0317357E7</v>
      </c>
      <c r="H119" s="571" t="s">
        <v>591</v>
      </c>
      <c r="I119" s="562" t="s">
        <v>25</v>
      </c>
      <c r="J119" s="481">
        <v>0.0</v>
      </c>
      <c r="K119" s="481">
        <v>0.0</v>
      </c>
      <c r="L119" s="481">
        <v>0.0</v>
      </c>
      <c r="M119" s="481">
        <v>0.0</v>
      </c>
      <c r="N119" s="481">
        <v>0.0</v>
      </c>
      <c r="O119" s="481">
        <v>0.0</v>
      </c>
      <c r="P119" s="481">
        <v>0.0</v>
      </c>
      <c r="Q119" s="481">
        <v>0.0</v>
      </c>
      <c r="R119" s="481">
        <v>0.0</v>
      </c>
      <c r="S119" s="481">
        <v>0.0</v>
      </c>
      <c r="T119" s="481">
        <v>0.0</v>
      </c>
      <c r="U119" s="533">
        <f>SUM(J119:T119)</f>
        <v>0</v>
      </c>
      <c r="V119" s="481">
        <v>2.0</v>
      </c>
      <c r="W119" s="481">
        <v>0.0</v>
      </c>
      <c r="X119" s="481">
        <v>2.0</v>
      </c>
      <c r="Y119" s="481">
        <v>0.0</v>
      </c>
      <c r="Z119" s="481">
        <v>0.0</v>
      </c>
      <c r="AA119" s="481">
        <v>0.0</v>
      </c>
      <c r="AB119" s="481">
        <v>0.0</v>
      </c>
      <c r="AC119" s="481">
        <v>0.0</v>
      </c>
      <c r="AD119" s="481">
        <v>0.0</v>
      </c>
      <c r="AE119" s="481">
        <v>0.0</v>
      </c>
      <c r="AF119" s="481">
        <v>0.0</v>
      </c>
      <c r="AG119" s="534">
        <f>SUM(V119:AF119)</f>
        <v>4</v>
      </c>
      <c r="AH119" s="481">
        <v>2.0</v>
      </c>
      <c r="AI119" s="481">
        <v>0.0</v>
      </c>
      <c r="AJ119" s="481">
        <v>2.0</v>
      </c>
      <c r="AK119" s="481">
        <v>0.0</v>
      </c>
      <c r="AL119" s="481">
        <v>0.0</v>
      </c>
      <c r="AM119" s="481">
        <v>0.0</v>
      </c>
      <c r="AN119" s="481">
        <v>0.0</v>
      </c>
      <c r="AO119" s="481">
        <v>0.0</v>
      </c>
      <c r="AP119" s="481">
        <v>0.0</v>
      </c>
      <c r="AQ119" s="481">
        <v>0.0</v>
      </c>
      <c r="AR119" s="481">
        <v>0.0</v>
      </c>
      <c r="AS119" s="533">
        <f>ROUNDUP( SUM(AH119:AR119))</f>
        <v>4</v>
      </c>
      <c r="AT119" s="535">
        <f>U119+AG119+AS119</f>
        <v>8</v>
      </c>
      <c r="AU119" s="484">
        <v>48.0</v>
      </c>
      <c r="AV119" s="481">
        <v>56.0</v>
      </c>
      <c r="AW119" s="481">
        <v>145.09</v>
      </c>
      <c r="AX119" s="481">
        <v>1011.2773</v>
      </c>
      <c r="AY119" s="486"/>
      <c r="AZ119" s="487">
        <f>AX119*U119</f>
        <v>0</v>
      </c>
      <c r="BA119" s="487">
        <f>AX119*AG119</f>
        <v>4045.1092</v>
      </c>
      <c r="BB119" s="487">
        <f>AX119*AS119</f>
        <v>4045.1092</v>
      </c>
      <c r="BC119" s="487">
        <f>AZ119+BA119+BB119</f>
        <v>8090.2184</v>
      </c>
      <c r="BD119" s="489"/>
      <c r="BE119" s="487"/>
      <c r="BF119" s="412"/>
    </row>
    <row r="120" ht="15.75" customHeight="1">
      <c r="A120" s="567" t="s">
        <v>2808</v>
      </c>
      <c r="B120" s="567" t="s">
        <v>118</v>
      </c>
      <c r="C120" s="567" t="s">
        <v>3028</v>
      </c>
      <c r="D120" s="567" t="s">
        <v>1774</v>
      </c>
      <c r="E120" s="567"/>
      <c r="F120" s="567" t="s">
        <v>3704</v>
      </c>
      <c r="G120" s="461">
        <v>1.1180975E7</v>
      </c>
      <c r="H120" s="568" t="s">
        <v>3705</v>
      </c>
      <c r="I120" s="567" t="s">
        <v>3706</v>
      </c>
      <c r="J120" s="461">
        <v>38400.0</v>
      </c>
      <c r="K120" s="461">
        <v>48000.0</v>
      </c>
      <c r="L120" s="461">
        <v>48000.0</v>
      </c>
      <c r="M120" s="461">
        <v>67200.0</v>
      </c>
      <c r="N120" s="461">
        <v>112800.0</v>
      </c>
      <c r="O120" s="461">
        <v>316800.0</v>
      </c>
      <c r="P120" s="461">
        <v>72000.0</v>
      </c>
      <c r="Q120" s="461">
        <v>48000.0</v>
      </c>
      <c r="R120" s="461">
        <v>19200.0</v>
      </c>
      <c r="S120" s="461">
        <v>48000.0</v>
      </c>
      <c r="T120" s="461">
        <v>0.0</v>
      </c>
      <c r="U120" s="522"/>
      <c r="V120" s="461"/>
      <c r="W120" s="461"/>
      <c r="X120" s="461"/>
      <c r="Y120" s="461"/>
      <c r="Z120" s="461"/>
      <c r="AA120" s="461"/>
      <c r="AB120" s="461"/>
      <c r="AC120" s="461"/>
      <c r="AD120" s="461"/>
      <c r="AE120" s="461"/>
      <c r="AF120" s="461"/>
      <c r="AG120" s="522"/>
      <c r="AH120" s="461"/>
      <c r="AI120" s="461"/>
      <c r="AJ120" s="461"/>
      <c r="AK120" s="461"/>
      <c r="AL120" s="461"/>
      <c r="AM120" s="461"/>
      <c r="AN120" s="461"/>
      <c r="AO120" s="461"/>
      <c r="AP120" s="461"/>
      <c r="AQ120" s="461"/>
      <c r="AR120" s="461"/>
      <c r="AS120" s="522"/>
      <c r="AT120" s="461"/>
      <c r="AU120" s="466">
        <v>0.0</v>
      </c>
      <c r="AV120" s="461">
        <v>51.0</v>
      </c>
      <c r="AW120" s="461"/>
      <c r="AX120" s="461"/>
      <c r="AY120" s="468">
        <v>0.0</v>
      </c>
      <c r="AZ120" s="469">
        <v>0.0</v>
      </c>
      <c r="BA120" s="469">
        <v>0.0</v>
      </c>
      <c r="BB120" s="469">
        <v>0.0</v>
      </c>
      <c r="BC120" s="469">
        <v>0.0</v>
      </c>
      <c r="BD120" s="498"/>
      <c r="BE120" s="499" t="s">
        <v>3684</v>
      </c>
      <c r="BF120" s="412"/>
    </row>
    <row r="121" ht="15.75" customHeight="1">
      <c r="A121" s="562" t="s">
        <v>2808</v>
      </c>
      <c r="B121" s="571" t="s">
        <v>118</v>
      </c>
      <c r="C121" s="562" t="s">
        <v>2708</v>
      </c>
      <c r="D121" s="562" t="s">
        <v>1763</v>
      </c>
      <c r="E121" s="569" t="s">
        <v>2709</v>
      </c>
      <c r="F121" s="569" t="s">
        <v>2760</v>
      </c>
      <c r="G121" s="481">
        <v>1.0501992E7</v>
      </c>
      <c r="H121" s="571" t="s">
        <v>3648</v>
      </c>
      <c r="I121" s="562" t="s">
        <v>25</v>
      </c>
      <c r="J121" s="481">
        <v>0.0</v>
      </c>
      <c r="K121" s="481">
        <v>0.0</v>
      </c>
      <c r="L121" s="481">
        <v>0.0</v>
      </c>
      <c r="M121" s="481">
        <v>0.0</v>
      </c>
      <c r="N121" s="481">
        <v>0.0</v>
      </c>
      <c r="O121" s="481">
        <v>0.0</v>
      </c>
      <c r="P121" s="481">
        <v>0.0</v>
      </c>
      <c r="Q121" s="481">
        <v>0.0</v>
      </c>
      <c r="R121" s="481">
        <v>0.0</v>
      </c>
      <c r="S121" s="481">
        <v>0.0</v>
      </c>
      <c r="T121" s="481">
        <v>0.0</v>
      </c>
      <c r="U121" s="533">
        <f t="shared" ref="U121:U122" si="21">SUM(J121:T121)</f>
        <v>0</v>
      </c>
      <c r="V121" s="481">
        <v>48.0</v>
      </c>
      <c r="W121" s="481">
        <v>48.0</v>
      </c>
      <c r="X121" s="481">
        <v>72.0</v>
      </c>
      <c r="Y121" s="481">
        <v>50.0</v>
      </c>
      <c r="Z121" s="481">
        <v>74.0</v>
      </c>
      <c r="AA121" s="481">
        <v>98.0</v>
      </c>
      <c r="AB121" s="481">
        <v>88.0</v>
      </c>
      <c r="AC121" s="481">
        <v>88.0</v>
      </c>
      <c r="AD121" s="481">
        <v>32.0</v>
      </c>
      <c r="AE121" s="492">
        <v>0.0</v>
      </c>
      <c r="AF121" s="481">
        <v>0.0</v>
      </c>
      <c r="AG121" s="534">
        <f t="shared" ref="AG121:AG122" si="22">SUM(V121:AF121)</f>
        <v>598</v>
      </c>
      <c r="AH121" s="481">
        <v>48.0</v>
      </c>
      <c r="AI121" s="481">
        <v>48.0</v>
      </c>
      <c r="AJ121" s="481">
        <v>72.0</v>
      </c>
      <c r="AK121" s="481">
        <v>50.0</v>
      </c>
      <c r="AL121" s="481">
        <v>74.0</v>
      </c>
      <c r="AM121" s="481">
        <v>98.0</v>
      </c>
      <c r="AN121" s="481">
        <v>88.0</v>
      </c>
      <c r="AO121" s="481">
        <v>88.0</v>
      </c>
      <c r="AP121" s="481">
        <v>32.0</v>
      </c>
      <c r="AQ121" s="492">
        <v>0.0</v>
      </c>
      <c r="AR121" s="481">
        <v>0.0</v>
      </c>
      <c r="AS121" s="533">
        <f t="shared" ref="AS121:AS122" si="23">ROUNDUP( SUM(AH121:AR121))</f>
        <v>598</v>
      </c>
      <c r="AT121" s="535">
        <f t="shared" ref="AT121:AT122" si="24">U121+AG121+AS121</f>
        <v>1196</v>
      </c>
      <c r="AU121" s="484">
        <v>0.0</v>
      </c>
      <c r="AV121" s="481">
        <v>1268.0</v>
      </c>
      <c r="AW121" s="481">
        <v>28.61</v>
      </c>
      <c r="AX121" s="481">
        <v>199.4117</v>
      </c>
      <c r="AY121" s="486"/>
      <c r="AZ121" s="487">
        <f t="shared" ref="AZ121:AZ125" si="25">AX121*U121</f>
        <v>0</v>
      </c>
      <c r="BA121" s="487">
        <f t="shared" ref="BA121:BA125" si="26">AX121*AG121</f>
        <v>119248.1966</v>
      </c>
      <c r="BB121" s="487">
        <f t="shared" ref="BB121:BB125" si="27">AX121*AS121</f>
        <v>119248.1966</v>
      </c>
      <c r="BC121" s="487">
        <f t="shared" ref="BC121:BC125" si="28">AZ121+BA121+BB121</f>
        <v>238496.3932</v>
      </c>
      <c r="BD121" s="489"/>
      <c r="BE121" s="487"/>
      <c r="BF121" s="412"/>
    </row>
    <row r="122" ht="15.75" customHeight="1">
      <c r="A122" s="567" t="s">
        <v>2808</v>
      </c>
      <c r="B122" s="568" t="s">
        <v>118</v>
      </c>
      <c r="C122" s="567" t="s">
        <v>2708</v>
      </c>
      <c r="D122" s="567" t="s">
        <v>1763</v>
      </c>
      <c r="E122" s="569" t="s">
        <v>2709</v>
      </c>
      <c r="F122" s="569" t="s">
        <v>2850</v>
      </c>
      <c r="G122" s="461">
        <v>1.1592082E7</v>
      </c>
      <c r="H122" s="568" t="s">
        <v>3707</v>
      </c>
      <c r="I122" s="567" t="s">
        <v>25</v>
      </c>
      <c r="J122" s="461">
        <v>0.0</v>
      </c>
      <c r="K122" s="461">
        <v>0.0</v>
      </c>
      <c r="L122" s="461">
        <v>0.0</v>
      </c>
      <c r="M122" s="461">
        <v>0.0</v>
      </c>
      <c r="N122" s="461">
        <v>0.0</v>
      </c>
      <c r="O122" s="461">
        <v>0.0</v>
      </c>
      <c r="P122" s="461">
        <v>0.0</v>
      </c>
      <c r="Q122" s="461">
        <v>0.0</v>
      </c>
      <c r="R122" s="461">
        <v>0.0</v>
      </c>
      <c r="S122" s="461">
        <v>0.0</v>
      </c>
      <c r="T122" s="461">
        <v>0.0</v>
      </c>
      <c r="U122" s="533">
        <f t="shared" si="21"/>
        <v>0</v>
      </c>
      <c r="V122" s="461">
        <v>20.0</v>
      </c>
      <c r="W122" s="461">
        <v>8.0</v>
      </c>
      <c r="X122" s="461">
        <v>24.0</v>
      </c>
      <c r="Y122" s="461">
        <v>16.0</v>
      </c>
      <c r="Z122" s="461">
        <v>24.0</v>
      </c>
      <c r="AA122" s="461">
        <v>16.0</v>
      </c>
      <c r="AB122" s="461">
        <v>12.0</v>
      </c>
      <c r="AC122" s="461">
        <v>12.0</v>
      </c>
      <c r="AD122" s="461">
        <v>4.0</v>
      </c>
      <c r="AE122" s="461">
        <v>9.0</v>
      </c>
      <c r="AF122" s="461">
        <v>0.0</v>
      </c>
      <c r="AG122" s="534">
        <f t="shared" si="22"/>
        <v>145</v>
      </c>
      <c r="AH122" s="461">
        <v>20.0</v>
      </c>
      <c r="AI122" s="461">
        <v>8.0</v>
      </c>
      <c r="AJ122" s="461">
        <v>24.0</v>
      </c>
      <c r="AK122" s="461">
        <v>16.0</v>
      </c>
      <c r="AL122" s="461">
        <v>24.0</v>
      </c>
      <c r="AM122" s="461">
        <v>16.0</v>
      </c>
      <c r="AN122" s="461">
        <v>12.0</v>
      </c>
      <c r="AO122" s="461">
        <v>12.0</v>
      </c>
      <c r="AP122" s="461">
        <v>4.0</v>
      </c>
      <c r="AQ122" s="490">
        <v>12.0</v>
      </c>
      <c r="AR122" s="461">
        <v>0.0</v>
      </c>
      <c r="AS122" s="533">
        <f t="shared" si="23"/>
        <v>148</v>
      </c>
      <c r="AT122" s="1032">
        <f t="shared" si="24"/>
        <v>293</v>
      </c>
      <c r="AU122" s="466">
        <v>0.0</v>
      </c>
      <c r="AV122" s="461">
        <v>290.0</v>
      </c>
      <c r="AW122" s="461">
        <v>409.98</v>
      </c>
      <c r="AX122" s="461">
        <v>2857.5606000000002</v>
      </c>
      <c r="AY122" s="468"/>
      <c r="AZ122" s="469">
        <f t="shared" si="25"/>
        <v>0</v>
      </c>
      <c r="BA122" s="469">
        <f t="shared" si="26"/>
        <v>414346.287</v>
      </c>
      <c r="BB122" s="469">
        <f t="shared" si="27"/>
        <v>422918.9688</v>
      </c>
      <c r="BC122" s="469">
        <f t="shared" si="28"/>
        <v>837265.2558</v>
      </c>
      <c r="BD122" s="471"/>
      <c r="BE122" s="469"/>
      <c r="BF122" s="412"/>
    </row>
    <row r="123" ht="15.75" customHeight="1">
      <c r="A123" s="562" t="s">
        <v>2808</v>
      </c>
      <c r="B123" s="571" t="s">
        <v>208</v>
      </c>
      <c r="C123" s="562" t="s">
        <v>3028</v>
      </c>
      <c r="D123" s="562" t="s">
        <v>1763</v>
      </c>
      <c r="E123" s="569"/>
      <c r="F123" s="569" t="s">
        <v>3103</v>
      </c>
      <c r="G123" s="481">
        <v>1.0541941E7</v>
      </c>
      <c r="H123" s="571" t="s">
        <v>3708</v>
      </c>
      <c r="I123" s="562" t="s">
        <v>3709</v>
      </c>
      <c r="J123" s="481">
        <v>4.0</v>
      </c>
      <c r="K123" s="481">
        <v>4.0</v>
      </c>
      <c r="L123" s="481">
        <v>8.0</v>
      </c>
      <c r="M123" s="481">
        <v>4.0</v>
      </c>
      <c r="N123" s="481">
        <v>4.0</v>
      </c>
      <c r="O123" s="481">
        <v>8.0</v>
      </c>
      <c r="P123" s="481">
        <v>4.0</v>
      </c>
      <c r="Q123" s="492">
        <v>14.0</v>
      </c>
      <c r="R123" s="481">
        <v>2.0</v>
      </c>
      <c r="S123" s="492">
        <v>12.0</v>
      </c>
      <c r="T123" s="481">
        <v>0.0</v>
      </c>
      <c r="U123" s="533"/>
      <c r="V123" s="481"/>
      <c r="W123" s="481"/>
      <c r="X123" s="481"/>
      <c r="Y123" s="481"/>
      <c r="Z123" s="481"/>
      <c r="AA123" s="481"/>
      <c r="AB123" s="481"/>
      <c r="AC123" s="492"/>
      <c r="AD123" s="481"/>
      <c r="AE123" s="1045"/>
      <c r="AF123" s="481"/>
      <c r="AG123" s="522"/>
      <c r="AH123" s="481"/>
      <c r="AI123" s="481"/>
      <c r="AJ123" s="481"/>
      <c r="AK123" s="481"/>
      <c r="AL123" s="481"/>
      <c r="AM123" s="481"/>
      <c r="AN123" s="481"/>
      <c r="AO123" s="492"/>
      <c r="AP123" s="481"/>
      <c r="AQ123" s="1045"/>
      <c r="AR123" s="481"/>
      <c r="AS123" s="522"/>
      <c r="AT123" s="481"/>
      <c r="AU123" s="484">
        <v>60.0</v>
      </c>
      <c r="AV123" s="481">
        <v>425.0</v>
      </c>
      <c r="AW123" s="481"/>
      <c r="AX123" s="481"/>
      <c r="AY123" s="486"/>
      <c r="AZ123" s="487">
        <f t="shared" si="25"/>
        <v>0</v>
      </c>
      <c r="BA123" s="487">
        <f t="shared" si="26"/>
        <v>0</v>
      </c>
      <c r="BB123" s="487">
        <f t="shared" si="27"/>
        <v>0</v>
      </c>
      <c r="BC123" s="487">
        <f t="shared" si="28"/>
        <v>0</v>
      </c>
      <c r="BD123" s="508"/>
      <c r="BE123" s="509" t="s">
        <v>3684</v>
      </c>
      <c r="BF123" s="412"/>
    </row>
    <row r="124" ht="15.75" customHeight="1">
      <c r="A124" s="567" t="s">
        <v>2707</v>
      </c>
      <c r="B124" s="568" t="s">
        <v>785</v>
      </c>
      <c r="C124" s="567" t="s">
        <v>2708</v>
      </c>
      <c r="D124" s="567" t="s">
        <v>1763</v>
      </c>
      <c r="E124" s="569" t="s">
        <v>2709</v>
      </c>
      <c r="F124" s="569" t="s">
        <v>2728</v>
      </c>
      <c r="G124" s="461">
        <v>1.0083913E7</v>
      </c>
      <c r="H124" s="568" t="s">
        <v>627</v>
      </c>
      <c r="I124" s="567" t="s">
        <v>25</v>
      </c>
      <c r="J124" s="461">
        <v>0.0</v>
      </c>
      <c r="K124" s="461">
        <v>0.0</v>
      </c>
      <c r="L124" s="461">
        <v>0.0</v>
      </c>
      <c r="M124" s="461">
        <v>0.0</v>
      </c>
      <c r="N124" s="461">
        <v>0.0</v>
      </c>
      <c r="O124" s="461">
        <v>0.0</v>
      </c>
      <c r="P124" s="461">
        <v>0.0</v>
      </c>
      <c r="Q124" s="461">
        <v>0.0</v>
      </c>
      <c r="R124" s="461">
        <v>0.0</v>
      </c>
      <c r="S124" s="461">
        <v>0.0</v>
      </c>
      <c r="T124" s="461">
        <v>0.0</v>
      </c>
      <c r="U124" s="533">
        <f t="shared" ref="U124:U125" si="29">SUM(J124:T124)</f>
        <v>0</v>
      </c>
      <c r="V124" s="461">
        <v>6.0</v>
      </c>
      <c r="W124" s="461">
        <v>3.0</v>
      </c>
      <c r="X124" s="461">
        <v>6.0</v>
      </c>
      <c r="Y124" s="461">
        <v>40.0</v>
      </c>
      <c r="Z124" s="461">
        <v>56.0</v>
      </c>
      <c r="AA124" s="461">
        <v>88.0</v>
      </c>
      <c r="AB124" s="461">
        <v>56.0</v>
      </c>
      <c r="AC124" s="461">
        <v>56.0</v>
      </c>
      <c r="AD124" s="461">
        <v>16.0</v>
      </c>
      <c r="AE124" s="461">
        <v>48.0</v>
      </c>
      <c r="AF124" s="461">
        <v>0.0</v>
      </c>
      <c r="AG124" s="534">
        <f t="shared" ref="AG124:AG125" si="30">SUM(V124:AF124)</f>
        <v>375</v>
      </c>
      <c r="AH124" s="461">
        <v>6.0</v>
      </c>
      <c r="AI124" s="461">
        <v>3.0</v>
      </c>
      <c r="AJ124" s="461">
        <v>6.0</v>
      </c>
      <c r="AK124" s="461">
        <v>40.0</v>
      </c>
      <c r="AL124" s="461">
        <v>56.0</v>
      </c>
      <c r="AM124" s="461">
        <v>88.0</v>
      </c>
      <c r="AN124" s="461">
        <v>56.0</v>
      </c>
      <c r="AO124" s="461">
        <v>56.0</v>
      </c>
      <c r="AP124" s="461">
        <v>16.0</v>
      </c>
      <c r="AQ124" s="461">
        <v>48.0</v>
      </c>
      <c r="AR124" s="461">
        <v>0.0</v>
      </c>
      <c r="AS124" s="533">
        <f t="shared" ref="AS124:AS125" si="31">ROUNDUP( SUM(AH124:AR124))</f>
        <v>375</v>
      </c>
      <c r="AT124" s="1032">
        <f t="shared" ref="AT124:AT125" si="32">U124+AG124+AS124</f>
        <v>750</v>
      </c>
      <c r="AU124" s="466">
        <v>0.0</v>
      </c>
      <c r="AV124" s="461">
        <v>750.0</v>
      </c>
      <c r="AW124" s="461">
        <v>8.11</v>
      </c>
      <c r="AX124" s="461">
        <v>56.52669999999999</v>
      </c>
      <c r="AY124" s="468"/>
      <c r="AZ124" s="469">
        <f t="shared" si="25"/>
        <v>0</v>
      </c>
      <c r="BA124" s="469">
        <f t="shared" si="26"/>
        <v>21197.5125</v>
      </c>
      <c r="BB124" s="469">
        <f t="shared" si="27"/>
        <v>21197.5125</v>
      </c>
      <c r="BC124" s="469">
        <f t="shared" si="28"/>
        <v>42395.025</v>
      </c>
      <c r="BD124" s="471"/>
      <c r="BE124" s="469"/>
      <c r="BF124" s="412"/>
    </row>
    <row r="125" ht="15.75" customHeight="1">
      <c r="A125" s="562" t="s">
        <v>2707</v>
      </c>
      <c r="B125" s="571" t="s">
        <v>785</v>
      </c>
      <c r="C125" s="562" t="s">
        <v>2708</v>
      </c>
      <c r="D125" s="562" t="s">
        <v>1763</v>
      </c>
      <c r="E125" s="569" t="s">
        <v>2709</v>
      </c>
      <c r="F125" s="569" t="s">
        <v>2762</v>
      </c>
      <c r="G125" s="481">
        <v>1.0531093E7</v>
      </c>
      <c r="H125" s="571" t="s">
        <v>489</v>
      </c>
      <c r="I125" s="562" t="s">
        <v>25</v>
      </c>
      <c r="J125" s="481">
        <v>0.0</v>
      </c>
      <c r="K125" s="481">
        <v>0.0</v>
      </c>
      <c r="L125" s="481">
        <v>0.0</v>
      </c>
      <c r="M125" s="481">
        <v>0.0</v>
      </c>
      <c r="N125" s="481">
        <v>0.0</v>
      </c>
      <c r="O125" s="481">
        <v>0.0</v>
      </c>
      <c r="P125" s="481">
        <v>0.0</v>
      </c>
      <c r="Q125" s="481">
        <v>0.0</v>
      </c>
      <c r="R125" s="481">
        <v>0.0</v>
      </c>
      <c r="S125" s="481">
        <v>0.0</v>
      </c>
      <c r="T125" s="481">
        <v>0.0</v>
      </c>
      <c r="U125" s="533">
        <f t="shared" si="29"/>
        <v>0</v>
      </c>
      <c r="V125" s="481">
        <v>8.0</v>
      </c>
      <c r="W125" s="481">
        <v>3.0</v>
      </c>
      <c r="X125" s="481">
        <v>8.0</v>
      </c>
      <c r="Y125" s="481">
        <v>2.0</v>
      </c>
      <c r="Z125" s="481">
        <v>2.0</v>
      </c>
      <c r="AA125" s="481">
        <v>3.0</v>
      </c>
      <c r="AB125" s="481">
        <v>14.0</v>
      </c>
      <c r="AC125" s="481">
        <v>14.0</v>
      </c>
      <c r="AD125" s="481">
        <v>4.0</v>
      </c>
      <c r="AE125" s="481">
        <v>16.0</v>
      </c>
      <c r="AF125" s="481">
        <v>0.0</v>
      </c>
      <c r="AG125" s="534">
        <f t="shared" si="30"/>
        <v>74</v>
      </c>
      <c r="AH125" s="481">
        <v>8.0</v>
      </c>
      <c r="AI125" s="481">
        <v>3.0</v>
      </c>
      <c r="AJ125" s="481">
        <v>8.0</v>
      </c>
      <c r="AK125" s="481">
        <v>2.0</v>
      </c>
      <c r="AL125" s="481">
        <v>2.0</v>
      </c>
      <c r="AM125" s="481">
        <v>3.0</v>
      </c>
      <c r="AN125" s="481">
        <v>14.0</v>
      </c>
      <c r="AO125" s="481">
        <v>14.0</v>
      </c>
      <c r="AP125" s="481">
        <v>4.0</v>
      </c>
      <c r="AQ125" s="481">
        <v>16.0</v>
      </c>
      <c r="AR125" s="481">
        <v>0.0</v>
      </c>
      <c r="AS125" s="533">
        <f t="shared" si="31"/>
        <v>74</v>
      </c>
      <c r="AT125" s="535">
        <f t="shared" si="32"/>
        <v>148</v>
      </c>
      <c r="AU125" s="484">
        <v>0.0</v>
      </c>
      <c r="AV125" s="481">
        <v>148.0</v>
      </c>
      <c r="AW125" s="481">
        <v>58.61</v>
      </c>
      <c r="AX125" s="481">
        <v>408.51169999999996</v>
      </c>
      <c r="AY125" s="486"/>
      <c r="AZ125" s="487">
        <f t="shared" si="25"/>
        <v>0</v>
      </c>
      <c r="BA125" s="487">
        <f t="shared" si="26"/>
        <v>30229.8658</v>
      </c>
      <c r="BB125" s="487">
        <f t="shared" si="27"/>
        <v>30229.8658</v>
      </c>
      <c r="BC125" s="487">
        <f t="shared" si="28"/>
        <v>60459.7316</v>
      </c>
      <c r="BD125" s="489"/>
      <c r="BE125" s="487"/>
      <c r="BF125" s="412"/>
    </row>
    <row r="126" ht="15.75" customHeight="1">
      <c r="A126" s="567" t="s">
        <v>2707</v>
      </c>
      <c r="B126" s="567" t="s">
        <v>56</v>
      </c>
      <c r="C126" s="567" t="s">
        <v>3028</v>
      </c>
      <c r="D126" s="567" t="s">
        <v>1774</v>
      </c>
      <c r="E126" s="567"/>
      <c r="F126" s="567" t="s">
        <v>3704</v>
      </c>
      <c r="G126" s="461">
        <v>1.1180975E7</v>
      </c>
      <c r="H126" s="568" t="s">
        <v>3705</v>
      </c>
      <c r="I126" s="567" t="s">
        <v>3706</v>
      </c>
      <c r="J126" s="461">
        <v>204000.0</v>
      </c>
      <c r="K126" s="461">
        <v>126000.0</v>
      </c>
      <c r="L126" s="461">
        <v>186000.0</v>
      </c>
      <c r="M126" s="461">
        <v>114000.0</v>
      </c>
      <c r="N126" s="461">
        <v>156000.0</v>
      </c>
      <c r="O126" s="461">
        <v>228000.0</v>
      </c>
      <c r="P126" s="461">
        <v>162000.0</v>
      </c>
      <c r="Q126" s="461">
        <v>156000.0</v>
      </c>
      <c r="R126" s="461">
        <v>42000.0</v>
      </c>
      <c r="S126" s="461">
        <v>174000.0</v>
      </c>
      <c r="T126" s="461">
        <v>0.0</v>
      </c>
      <c r="U126" s="522"/>
      <c r="V126" s="461"/>
      <c r="W126" s="461"/>
      <c r="X126" s="461"/>
      <c r="Y126" s="461"/>
      <c r="Z126" s="461"/>
      <c r="AA126" s="461"/>
      <c r="AB126" s="461"/>
      <c r="AC126" s="461"/>
      <c r="AD126" s="461"/>
      <c r="AE126" s="461"/>
      <c r="AF126" s="461"/>
      <c r="AG126" s="522"/>
      <c r="AH126" s="461"/>
      <c r="AI126" s="461"/>
      <c r="AJ126" s="461"/>
      <c r="AK126" s="461"/>
      <c r="AL126" s="461"/>
      <c r="AM126" s="461"/>
      <c r="AN126" s="461"/>
      <c r="AO126" s="461"/>
      <c r="AP126" s="461"/>
      <c r="AQ126" s="461"/>
      <c r="AR126" s="461"/>
      <c r="AS126" s="522"/>
      <c r="AT126" s="461"/>
      <c r="AU126" s="466">
        <v>0.0</v>
      </c>
      <c r="AV126" s="461">
        <v>93.0</v>
      </c>
      <c r="AW126" s="461"/>
      <c r="AX126" s="461"/>
      <c r="AY126" s="468">
        <v>0.0</v>
      </c>
      <c r="AZ126" s="469">
        <v>0.0</v>
      </c>
      <c r="BA126" s="469">
        <v>0.0</v>
      </c>
      <c r="BB126" s="469">
        <v>0.0</v>
      </c>
      <c r="BC126" s="469">
        <v>0.0</v>
      </c>
      <c r="BD126" s="498"/>
      <c r="BE126" s="499" t="s">
        <v>3684</v>
      </c>
      <c r="BF126" s="412"/>
    </row>
    <row r="127" ht="15.75" customHeight="1">
      <c r="A127" s="562" t="s">
        <v>2707</v>
      </c>
      <c r="B127" s="571" t="s">
        <v>56</v>
      </c>
      <c r="C127" s="562" t="s">
        <v>2708</v>
      </c>
      <c r="D127" s="562" t="s">
        <v>1763</v>
      </c>
      <c r="E127" s="569" t="s">
        <v>2709</v>
      </c>
      <c r="F127" s="569" t="s">
        <v>2917</v>
      </c>
      <c r="G127" s="481">
        <v>1.0465474E7</v>
      </c>
      <c r="H127" s="571" t="s">
        <v>454</v>
      </c>
      <c r="I127" s="562" t="s">
        <v>25</v>
      </c>
      <c r="J127" s="481">
        <v>0.0</v>
      </c>
      <c r="K127" s="481">
        <v>0.0</v>
      </c>
      <c r="L127" s="481">
        <v>0.0</v>
      </c>
      <c r="M127" s="481">
        <v>0.0</v>
      </c>
      <c r="N127" s="481">
        <v>0.0</v>
      </c>
      <c r="O127" s="481">
        <v>0.0</v>
      </c>
      <c r="P127" s="481">
        <v>0.0</v>
      </c>
      <c r="Q127" s="481">
        <v>0.0</v>
      </c>
      <c r="R127" s="481">
        <v>0.0</v>
      </c>
      <c r="S127" s="481">
        <v>0.0</v>
      </c>
      <c r="T127" s="481">
        <v>0.0</v>
      </c>
      <c r="U127" s="533">
        <f t="shared" ref="U127:U129" si="33">SUM(J127:T127)</f>
        <v>0</v>
      </c>
      <c r="V127" s="481">
        <v>0.0</v>
      </c>
      <c r="W127" s="481">
        <v>0.0</v>
      </c>
      <c r="X127" s="481">
        <v>0.0</v>
      </c>
      <c r="Y127" s="481">
        <v>0.0</v>
      </c>
      <c r="Z127" s="481">
        <v>0.0</v>
      </c>
      <c r="AA127" s="481">
        <v>0.0</v>
      </c>
      <c r="AB127" s="481">
        <v>0.0</v>
      </c>
      <c r="AC127" s="481">
        <v>0.0</v>
      </c>
      <c r="AD127" s="481">
        <v>0.0</v>
      </c>
      <c r="AE127" s="481">
        <v>1.0</v>
      </c>
      <c r="AF127" s="481">
        <v>0.0</v>
      </c>
      <c r="AG127" s="534">
        <f t="shared" ref="AG127:AG129" si="34">SUM(V127:AF127)</f>
        <v>1</v>
      </c>
      <c r="AH127" s="481">
        <v>0.0</v>
      </c>
      <c r="AI127" s="481">
        <v>0.0</v>
      </c>
      <c r="AJ127" s="481">
        <v>0.0</v>
      </c>
      <c r="AK127" s="481">
        <v>0.0</v>
      </c>
      <c r="AL127" s="481">
        <v>0.0</v>
      </c>
      <c r="AM127" s="481">
        <v>0.0</v>
      </c>
      <c r="AN127" s="481">
        <v>0.0</v>
      </c>
      <c r="AO127" s="481">
        <v>0.0</v>
      </c>
      <c r="AP127" s="481">
        <v>0.0</v>
      </c>
      <c r="AQ127" s="481">
        <v>1.0</v>
      </c>
      <c r="AR127" s="481">
        <v>0.0</v>
      </c>
      <c r="AS127" s="533">
        <f t="shared" ref="AS127:AS129" si="35">ROUNDUP( SUM(AH127:AR127))</f>
        <v>1</v>
      </c>
      <c r="AT127" s="535">
        <f t="shared" ref="AT127:AT129" si="36">U127+AG127+AS127</f>
        <v>2</v>
      </c>
      <c r="AU127" s="484">
        <v>19.0</v>
      </c>
      <c r="AV127" s="481">
        <v>21.0</v>
      </c>
      <c r="AW127" s="481">
        <v>571.27</v>
      </c>
      <c r="AX127" s="481">
        <v>3981.7518999999998</v>
      </c>
      <c r="AY127" s="486"/>
      <c r="AZ127" s="487">
        <f t="shared" ref="AZ127:AZ135" si="37">AX127*U127</f>
        <v>0</v>
      </c>
      <c r="BA127" s="487">
        <f t="shared" ref="BA127:BA135" si="38">AX127*AG127</f>
        <v>3981.7519</v>
      </c>
      <c r="BB127" s="487">
        <f t="shared" ref="BB127:BB135" si="39">AX127*AS127</f>
        <v>3981.7519</v>
      </c>
      <c r="BC127" s="487">
        <f t="shared" ref="BC127:BC135" si="40">AZ127+BA127+BB127</f>
        <v>7963.5038</v>
      </c>
      <c r="BD127" s="489"/>
      <c r="BE127" s="487"/>
      <c r="BF127" s="412"/>
    </row>
    <row r="128" ht="15.75" customHeight="1">
      <c r="A128" s="567" t="s">
        <v>2707</v>
      </c>
      <c r="B128" s="568" t="s">
        <v>56</v>
      </c>
      <c r="C128" s="567" t="s">
        <v>2708</v>
      </c>
      <c r="D128" s="567" t="s">
        <v>1763</v>
      </c>
      <c r="E128" s="569" t="s">
        <v>2709</v>
      </c>
      <c r="F128" s="569" t="s">
        <v>2793</v>
      </c>
      <c r="G128" s="461">
        <v>1.1430348E7</v>
      </c>
      <c r="H128" s="568" t="s">
        <v>624</v>
      </c>
      <c r="I128" s="567" t="s">
        <v>25</v>
      </c>
      <c r="J128" s="461">
        <v>0.0</v>
      </c>
      <c r="K128" s="461">
        <v>0.0</v>
      </c>
      <c r="L128" s="461">
        <v>0.0</v>
      </c>
      <c r="M128" s="461">
        <v>0.0</v>
      </c>
      <c r="N128" s="461">
        <v>0.0</v>
      </c>
      <c r="O128" s="461">
        <v>0.0</v>
      </c>
      <c r="P128" s="461">
        <v>0.0</v>
      </c>
      <c r="Q128" s="461">
        <v>0.0</v>
      </c>
      <c r="R128" s="461">
        <v>0.0</v>
      </c>
      <c r="S128" s="461">
        <v>0.0</v>
      </c>
      <c r="T128" s="461">
        <v>0.0</v>
      </c>
      <c r="U128" s="533">
        <f t="shared" si="33"/>
        <v>0</v>
      </c>
      <c r="V128" s="461">
        <v>0.0</v>
      </c>
      <c r="W128" s="461">
        <v>0.0</v>
      </c>
      <c r="X128" s="461">
        <v>0.0</v>
      </c>
      <c r="Y128" s="461">
        <v>5.0</v>
      </c>
      <c r="Z128" s="461">
        <v>5.0</v>
      </c>
      <c r="AA128" s="461">
        <v>6.0</v>
      </c>
      <c r="AB128" s="461">
        <v>2.0</v>
      </c>
      <c r="AC128" s="461">
        <v>2.0</v>
      </c>
      <c r="AD128" s="461">
        <v>0.0</v>
      </c>
      <c r="AE128" s="551">
        <v>0.0</v>
      </c>
      <c r="AF128" s="461">
        <v>0.0</v>
      </c>
      <c r="AG128" s="534">
        <f t="shared" si="34"/>
        <v>20</v>
      </c>
      <c r="AH128" s="461">
        <v>0.0</v>
      </c>
      <c r="AI128" s="461">
        <v>0.0</v>
      </c>
      <c r="AJ128" s="461">
        <v>0.0</v>
      </c>
      <c r="AK128" s="461">
        <v>5.0</v>
      </c>
      <c r="AL128" s="461">
        <v>5.0</v>
      </c>
      <c r="AM128" s="461">
        <v>6.0</v>
      </c>
      <c r="AN128" s="461">
        <v>2.0</v>
      </c>
      <c r="AO128" s="461">
        <v>2.0</v>
      </c>
      <c r="AP128" s="461">
        <v>0.0</v>
      </c>
      <c r="AQ128" s="551">
        <v>0.0</v>
      </c>
      <c r="AR128" s="461">
        <v>0.0</v>
      </c>
      <c r="AS128" s="533">
        <f t="shared" si="35"/>
        <v>20</v>
      </c>
      <c r="AT128" s="1032">
        <f t="shared" si="36"/>
        <v>40</v>
      </c>
      <c r="AU128" s="466">
        <v>16.0</v>
      </c>
      <c r="AV128" s="461">
        <v>60.0</v>
      </c>
      <c r="AW128" s="461">
        <v>50.92</v>
      </c>
      <c r="AX128" s="461">
        <v>354.9124</v>
      </c>
      <c r="AY128" s="468"/>
      <c r="AZ128" s="469">
        <f t="shared" si="37"/>
        <v>0</v>
      </c>
      <c r="BA128" s="469">
        <f t="shared" si="38"/>
        <v>7098.248</v>
      </c>
      <c r="BB128" s="469">
        <f t="shared" si="39"/>
        <v>7098.248</v>
      </c>
      <c r="BC128" s="469">
        <f t="shared" si="40"/>
        <v>14196.496</v>
      </c>
      <c r="BD128" s="471"/>
      <c r="BE128" s="469"/>
      <c r="BF128" s="412"/>
    </row>
    <row r="129" ht="15.75" customHeight="1">
      <c r="A129" s="562" t="s">
        <v>2707</v>
      </c>
      <c r="B129" s="571" t="s">
        <v>150</v>
      </c>
      <c r="C129" s="562" t="s">
        <v>2722</v>
      </c>
      <c r="D129" s="562" t="s">
        <v>1763</v>
      </c>
      <c r="E129" s="569" t="s">
        <v>2723</v>
      </c>
      <c r="F129" s="569" t="s">
        <v>2941</v>
      </c>
      <c r="G129" s="562">
        <v>1.1822382E7</v>
      </c>
      <c r="H129" s="571" t="s">
        <v>2942</v>
      </c>
      <c r="I129" s="562" t="s">
        <v>25</v>
      </c>
      <c r="J129" s="481">
        <v>0.0</v>
      </c>
      <c r="K129" s="481">
        <v>0.0</v>
      </c>
      <c r="L129" s="481">
        <v>0.0</v>
      </c>
      <c r="M129" s="481">
        <v>0.0</v>
      </c>
      <c r="N129" s="481">
        <v>0.0</v>
      </c>
      <c r="O129" s="481">
        <v>0.0</v>
      </c>
      <c r="P129" s="500">
        <v>0.0</v>
      </c>
      <c r="Q129" s="500">
        <v>0.0</v>
      </c>
      <c r="R129" s="481">
        <v>0.0</v>
      </c>
      <c r="S129" s="550">
        <v>0.0</v>
      </c>
      <c r="T129" s="481">
        <v>0.0</v>
      </c>
      <c r="U129" s="533">
        <f t="shared" si="33"/>
        <v>0</v>
      </c>
      <c r="V129" s="481">
        <v>0.0</v>
      </c>
      <c r="W129" s="481">
        <v>0.0</v>
      </c>
      <c r="X129" s="481">
        <v>0.0</v>
      </c>
      <c r="Y129" s="481">
        <v>0.0</v>
      </c>
      <c r="Z129" s="481">
        <v>0.0</v>
      </c>
      <c r="AA129" s="481">
        <v>0.0</v>
      </c>
      <c r="AB129" s="549"/>
      <c r="AC129" s="549"/>
      <c r="AD129" s="481">
        <v>0.0</v>
      </c>
      <c r="AE129" s="550"/>
      <c r="AF129" s="481">
        <v>0.0</v>
      </c>
      <c r="AG129" s="534">
        <f t="shared" si="34"/>
        <v>0</v>
      </c>
      <c r="AH129" s="481">
        <v>0.0</v>
      </c>
      <c r="AI129" s="481">
        <v>0.0</v>
      </c>
      <c r="AJ129" s="481">
        <v>0.0</v>
      </c>
      <c r="AK129" s="481">
        <v>0.0</v>
      </c>
      <c r="AL129" s="481">
        <v>0.0</v>
      </c>
      <c r="AM129" s="481">
        <v>0.0</v>
      </c>
      <c r="AN129" s="549"/>
      <c r="AO129" s="549"/>
      <c r="AP129" s="481">
        <v>0.0</v>
      </c>
      <c r="AQ129" s="550"/>
      <c r="AR129" s="481">
        <v>0.0</v>
      </c>
      <c r="AS129" s="533">
        <f t="shared" si="35"/>
        <v>0</v>
      </c>
      <c r="AT129" s="481">
        <f t="shared" si="36"/>
        <v>0</v>
      </c>
      <c r="AU129" s="484">
        <v>11.0</v>
      </c>
      <c r="AV129" s="481">
        <v>23.0</v>
      </c>
      <c r="AW129" s="481">
        <v>282.77</v>
      </c>
      <c r="AX129" s="481">
        <v>1970.9068999999997</v>
      </c>
      <c r="AY129" s="486"/>
      <c r="AZ129" s="487">
        <f t="shared" si="37"/>
        <v>0</v>
      </c>
      <c r="BA129" s="487">
        <f t="shared" si="38"/>
        <v>0</v>
      </c>
      <c r="BB129" s="487">
        <f t="shared" si="39"/>
        <v>0</v>
      </c>
      <c r="BC129" s="487">
        <f t="shared" si="40"/>
        <v>0</v>
      </c>
      <c r="BD129" s="508"/>
      <c r="BE129" s="487"/>
      <c r="BF129" s="412"/>
    </row>
    <row r="130" ht="15.75" customHeight="1">
      <c r="A130" s="567" t="s">
        <v>2852</v>
      </c>
      <c r="B130" s="568" t="s">
        <v>46</v>
      </c>
      <c r="C130" s="567" t="s">
        <v>3028</v>
      </c>
      <c r="D130" s="567" t="s">
        <v>1763</v>
      </c>
      <c r="E130" s="569"/>
      <c r="F130" s="569" t="s">
        <v>3710</v>
      </c>
      <c r="G130" s="461">
        <v>1.0072704E7</v>
      </c>
      <c r="H130" s="568" t="s">
        <v>3711</v>
      </c>
      <c r="I130" s="567" t="s">
        <v>3712</v>
      </c>
      <c r="J130" s="461">
        <v>1.0</v>
      </c>
      <c r="K130" s="461">
        <v>1.0</v>
      </c>
      <c r="L130" s="461">
        <v>1.0</v>
      </c>
      <c r="M130" s="461">
        <v>1.0</v>
      </c>
      <c r="N130" s="461">
        <v>1.0</v>
      </c>
      <c r="O130" s="461">
        <v>1.0</v>
      </c>
      <c r="P130" s="462">
        <v>0.0</v>
      </c>
      <c r="Q130" s="490">
        <v>0.0</v>
      </c>
      <c r="R130" s="462">
        <v>0.0</v>
      </c>
      <c r="S130" s="461">
        <v>1.0</v>
      </c>
      <c r="T130" s="461">
        <v>0.0</v>
      </c>
      <c r="U130" s="522"/>
      <c r="V130" s="461"/>
      <c r="W130" s="461"/>
      <c r="X130" s="461"/>
      <c r="Y130" s="461"/>
      <c r="Z130" s="461"/>
      <c r="AA130" s="461"/>
      <c r="AB130" s="462"/>
      <c r="AC130" s="490"/>
      <c r="AD130" s="461"/>
      <c r="AE130" s="461"/>
      <c r="AF130" s="461"/>
      <c r="AG130" s="522"/>
      <c r="AH130" s="461"/>
      <c r="AI130" s="461"/>
      <c r="AJ130" s="461"/>
      <c r="AK130" s="461"/>
      <c r="AL130" s="461"/>
      <c r="AM130" s="461"/>
      <c r="AN130" s="462"/>
      <c r="AO130" s="490"/>
      <c r="AP130" s="461"/>
      <c r="AQ130" s="461"/>
      <c r="AR130" s="461"/>
      <c r="AS130" s="522"/>
      <c r="AT130" s="461"/>
      <c r="AU130" s="466">
        <v>0.0</v>
      </c>
      <c r="AV130" s="461">
        <v>27.0</v>
      </c>
      <c r="AW130" s="461"/>
      <c r="AX130" s="461"/>
      <c r="AY130" s="468"/>
      <c r="AZ130" s="469">
        <f t="shared" si="37"/>
        <v>0</v>
      </c>
      <c r="BA130" s="469">
        <f t="shared" si="38"/>
        <v>0</v>
      </c>
      <c r="BB130" s="469">
        <f t="shared" si="39"/>
        <v>0</v>
      </c>
      <c r="BC130" s="469">
        <f t="shared" si="40"/>
        <v>0</v>
      </c>
      <c r="BD130" s="498"/>
      <c r="BE130" s="499" t="s">
        <v>3684</v>
      </c>
      <c r="BF130" s="412"/>
    </row>
    <row r="131" ht="15.75" customHeight="1">
      <c r="A131" s="562" t="s">
        <v>2852</v>
      </c>
      <c r="B131" s="571" t="s">
        <v>46</v>
      </c>
      <c r="C131" s="562" t="s">
        <v>2708</v>
      </c>
      <c r="D131" s="562" t="s">
        <v>1763</v>
      </c>
      <c r="E131" s="569" t="s">
        <v>2709</v>
      </c>
      <c r="F131" s="569" t="s">
        <v>2924</v>
      </c>
      <c r="G131" s="481">
        <v>1.0000079E7</v>
      </c>
      <c r="H131" s="571" t="s">
        <v>3603</v>
      </c>
      <c r="I131" s="562" t="s">
        <v>25</v>
      </c>
      <c r="J131" s="481">
        <v>0.0</v>
      </c>
      <c r="K131" s="481">
        <v>0.0</v>
      </c>
      <c r="L131" s="481">
        <v>0.0</v>
      </c>
      <c r="M131" s="481">
        <v>0.0</v>
      </c>
      <c r="N131" s="481">
        <v>0.0</v>
      </c>
      <c r="O131" s="481">
        <v>0.0</v>
      </c>
      <c r="P131" s="481">
        <v>0.0</v>
      </c>
      <c r="Q131" s="481">
        <v>0.0</v>
      </c>
      <c r="R131" s="481">
        <v>0.0</v>
      </c>
      <c r="S131" s="481">
        <v>0.0</v>
      </c>
      <c r="T131" s="481">
        <v>0.0</v>
      </c>
      <c r="U131" s="533">
        <f t="shared" ref="U131:U134" si="41">SUM(J131:T131)</f>
        <v>0</v>
      </c>
      <c r="V131" s="481">
        <v>20.0</v>
      </c>
      <c r="W131" s="481">
        <v>15.0</v>
      </c>
      <c r="X131" s="481">
        <v>18.0</v>
      </c>
      <c r="Y131" s="481">
        <v>11.0</v>
      </c>
      <c r="Z131" s="481">
        <v>13.0</v>
      </c>
      <c r="AA131" s="481">
        <v>21.0</v>
      </c>
      <c r="AB131" s="481">
        <v>13.0</v>
      </c>
      <c r="AC131" s="481">
        <v>16.0</v>
      </c>
      <c r="AD131" s="481">
        <v>3.0</v>
      </c>
      <c r="AE131" s="481">
        <v>0.0</v>
      </c>
      <c r="AF131" s="481">
        <v>0.0</v>
      </c>
      <c r="AG131" s="534">
        <f t="shared" ref="AG131:AG134" si="42">SUM(V131:AF131)</f>
        <v>130</v>
      </c>
      <c r="AH131" s="481">
        <v>20.0</v>
      </c>
      <c r="AI131" s="481">
        <v>15.0</v>
      </c>
      <c r="AJ131" s="481">
        <v>18.0</v>
      </c>
      <c r="AK131" s="481">
        <v>11.0</v>
      </c>
      <c r="AL131" s="481">
        <v>13.0</v>
      </c>
      <c r="AM131" s="481">
        <v>21.0</v>
      </c>
      <c r="AN131" s="481">
        <v>13.0</v>
      </c>
      <c r="AO131" s="481">
        <v>16.0</v>
      </c>
      <c r="AP131" s="481">
        <v>3.0</v>
      </c>
      <c r="AQ131" s="481">
        <v>0.0</v>
      </c>
      <c r="AR131" s="481">
        <v>0.0</v>
      </c>
      <c r="AS131" s="533">
        <f t="shared" ref="AS131:AS133" si="43">ROUNDUP( SUM(AH131:AR131))</f>
        <v>130</v>
      </c>
      <c r="AT131" s="535">
        <f t="shared" ref="AT131:AT134" si="44">U131+AG131+AS131</f>
        <v>260</v>
      </c>
      <c r="AU131" s="484">
        <v>1360.0</v>
      </c>
      <c r="AV131" s="481">
        <v>1620.0</v>
      </c>
      <c r="AW131" s="481">
        <v>0.23</v>
      </c>
      <c r="AX131" s="481">
        <v>1.6031</v>
      </c>
      <c r="AY131" s="486"/>
      <c r="AZ131" s="487">
        <f t="shared" si="37"/>
        <v>0</v>
      </c>
      <c r="BA131" s="487">
        <f t="shared" si="38"/>
        <v>208.403</v>
      </c>
      <c r="BB131" s="487">
        <f t="shared" si="39"/>
        <v>208.403</v>
      </c>
      <c r="BC131" s="487">
        <f t="shared" si="40"/>
        <v>416.806</v>
      </c>
      <c r="BD131" s="489"/>
      <c r="BE131" s="487"/>
      <c r="BF131" s="412"/>
    </row>
    <row r="132" ht="15.75" customHeight="1">
      <c r="A132" s="567" t="s">
        <v>2852</v>
      </c>
      <c r="B132" s="568" t="s">
        <v>46</v>
      </c>
      <c r="C132" s="567" t="s">
        <v>2708</v>
      </c>
      <c r="D132" s="567" t="s">
        <v>1763</v>
      </c>
      <c r="E132" s="569" t="s">
        <v>2709</v>
      </c>
      <c r="F132" s="569" t="s">
        <v>2854</v>
      </c>
      <c r="G132" s="461">
        <v>1.0182756E7</v>
      </c>
      <c r="H132" s="568" t="s">
        <v>196</v>
      </c>
      <c r="I132" s="567" t="s">
        <v>25</v>
      </c>
      <c r="J132" s="461">
        <v>0.0</v>
      </c>
      <c r="K132" s="461">
        <v>0.0</v>
      </c>
      <c r="L132" s="461">
        <v>0.0</v>
      </c>
      <c r="M132" s="461">
        <v>0.0</v>
      </c>
      <c r="N132" s="461">
        <v>0.0</v>
      </c>
      <c r="O132" s="461">
        <v>0.0</v>
      </c>
      <c r="P132" s="461">
        <v>0.0</v>
      </c>
      <c r="Q132" s="461">
        <v>0.0</v>
      </c>
      <c r="R132" s="461">
        <v>0.0</v>
      </c>
      <c r="S132" s="461">
        <v>0.0</v>
      </c>
      <c r="T132" s="461">
        <v>0.0</v>
      </c>
      <c r="U132" s="533">
        <f t="shared" si="41"/>
        <v>0</v>
      </c>
      <c r="V132" s="461">
        <v>320.0</v>
      </c>
      <c r="W132" s="461">
        <v>240.0</v>
      </c>
      <c r="X132" s="461">
        <v>108.0</v>
      </c>
      <c r="Y132" s="461">
        <v>176.0</v>
      </c>
      <c r="Z132" s="461">
        <v>202.0</v>
      </c>
      <c r="AA132" s="461">
        <v>336.0</v>
      </c>
      <c r="AB132" s="462">
        <v>0.0</v>
      </c>
      <c r="AC132" s="490">
        <v>0.0</v>
      </c>
      <c r="AD132" s="461">
        <v>16.0</v>
      </c>
      <c r="AE132" s="490">
        <v>0.0</v>
      </c>
      <c r="AF132" s="461">
        <v>0.0</v>
      </c>
      <c r="AG132" s="534">
        <f t="shared" si="42"/>
        <v>1398</v>
      </c>
      <c r="AH132" s="461">
        <v>320.0</v>
      </c>
      <c r="AI132" s="461">
        <v>240.0</v>
      </c>
      <c r="AJ132" s="461">
        <v>108.0</v>
      </c>
      <c r="AK132" s="461">
        <v>176.0</v>
      </c>
      <c r="AL132" s="461">
        <v>202.0</v>
      </c>
      <c r="AM132" s="461">
        <v>336.0</v>
      </c>
      <c r="AN132" s="462">
        <v>0.0</v>
      </c>
      <c r="AO132" s="490">
        <v>0.0</v>
      </c>
      <c r="AP132" s="461">
        <v>16.0</v>
      </c>
      <c r="AQ132" s="490">
        <v>280.0</v>
      </c>
      <c r="AR132" s="461">
        <v>0.0</v>
      </c>
      <c r="AS132" s="533">
        <f t="shared" si="43"/>
        <v>1678</v>
      </c>
      <c r="AT132" s="1032">
        <f t="shared" si="44"/>
        <v>3076</v>
      </c>
      <c r="AU132" s="466">
        <v>0.0</v>
      </c>
      <c r="AV132" s="461">
        <v>3364.0</v>
      </c>
      <c r="AW132" s="461">
        <v>13.23</v>
      </c>
      <c r="AX132" s="461">
        <v>92.2131</v>
      </c>
      <c r="AY132" s="468"/>
      <c r="AZ132" s="469">
        <f t="shared" si="37"/>
        <v>0</v>
      </c>
      <c r="BA132" s="469">
        <f t="shared" si="38"/>
        <v>128913.9138</v>
      </c>
      <c r="BB132" s="469">
        <f t="shared" si="39"/>
        <v>154733.5818</v>
      </c>
      <c r="BC132" s="469">
        <f t="shared" si="40"/>
        <v>283647.4956</v>
      </c>
      <c r="BD132" s="471"/>
      <c r="BE132" s="469"/>
      <c r="BF132" s="412"/>
    </row>
    <row r="133" ht="15.75" customHeight="1">
      <c r="A133" s="562" t="s">
        <v>2852</v>
      </c>
      <c r="B133" s="571" t="s">
        <v>46</v>
      </c>
      <c r="C133" s="562" t="s">
        <v>2708</v>
      </c>
      <c r="D133" s="562" t="s">
        <v>1763</v>
      </c>
      <c r="E133" s="569" t="s">
        <v>2709</v>
      </c>
      <c r="F133" s="569" t="s">
        <v>2871</v>
      </c>
      <c r="G133" s="481">
        <v>1.0247398E7</v>
      </c>
      <c r="H133" s="571" t="s">
        <v>3613</v>
      </c>
      <c r="I133" s="562" t="s">
        <v>25</v>
      </c>
      <c r="J133" s="481">
        <v>0.0</v>
      </c>
      <c r="K133" s="481">
        <v>0.0</v>
      </c>
      <c r="L133" s="481">
        <v>0.0</v>
      </c>
      <c r="M133" s="481">
        <v>0.0</v>
      </c>
      <c r="N133" s="481">
        <v>0.0</v>
      </c>
      <c r="O133" s="481">
        <v>0.0</v>
      </c>
      <c r="P133" s="481">
        <v>0.0</v>
      </c>
      <c r="Q133" s="481">
        <v>0.0</v>
      </c>
      <c r="R133" s="481">
        <v>0.0</v>
      </c>
      <c r="S133" s="481">
        <v>0.0</v>
      </c>
      <c r="T133" s="481">
        <v>0.0</v>
      </c>
      <c r="U133" s="533">
        <f t="shared" si="41"/>
        <v>0</v>
      </c>
      <c r="V133" s="481">
        <v>40.0</v>
      </c>
      <c r="W133" s="481">
        <v>30.0</v>
      </c>
      <c r="X133" s="481">
        <v>36.0</v>
      </c>
      <c r="Y133" s="481">
        <v>22.0</v>
      </c>
      <c r="Z133" s="481">
        <v>26.0</v>
      </c>
      <c r="AA133" s="481">
        <v>42.0</v>
      </c>
      <c r="AB133" s="482">
        <v>0.0</v>
      </c>
      <c r="AC133" s="492">
        <v>0.0</v>
      </c>
      <c r="AD133" s="481">
        <v>12.0</v>
      </c>
      <c r="AE133" s="481">
        <v>0.0</v>
      </c>
      <c r="AF133" s="481">
        <v>0.0</v>
      </c>
      <c r="AG133" s="534">
        <f t="shared" si="42"/>
        <v>208</v>
      </c>
      <c r="AH133" s="481">
        <v>40.0</v>
      </c>
      <c r="AI133" s="481">
        <v>30.0</v>
      </c>
      <c r="AJ133" s="481">
        <v>36.0</v>
      </c>
      <c r="AK133" s="481">
        <v>22.0</v>
      </c>
      <c r="AL133" s="481">
        <v>26.0</v>
      </c>
      <c r="AM133" s="481">
        <v>42.0</v>
      </c>
      <c r="AN133" s="482">
        <v>0.0</v>
      </c>
      <c r="AO133" s="492">
        <v>0.0</v>
      </c>
      <c r="AP133" s="481">
        <v>12.0</v>
      </c>
      <c r="AQ133" s="481">
        <v>0.0</v>
      </c>
      <c r="AR133" s="481">
        <v>0.0</v>
      </c>
      <c r="AS133" s="533">
        <f t="shared" si="43"/>
        <v>208</v>
      </c>
      <c r="AT133" s="535">
        <f t="shared" si="44"/>
        <v>416</v>
      </c>
      <c r="AU133" s="484">
        <v>0.0</v>
      </c>
      <c r="AV133" s="481">
        <v>648.0</v>
      </c>
      <c r="AW133" s="481">
        <v>0.81</v>
      </c>
      <c r="AX133" s="481">
        <v>5.645700000000001</v>
      </c>
      <c r="AY133" s="486"/>
      <c r="AZ133" s="487">
        <f t="shared" si="37"/>
        <v>0</v>
      </c>
      <c r="BA133" s="487">
        <f t="shared" si="38"/>
        <v>1174.3056</v>
      </c>
      <c r="BB133" s="487">
        <f t="shared" si="39"/>
        <v>1174.3056</v>
      </c>
      <c r="BC133" s="487">
        <f t="shared" si="40"/>
        <v>2348.6112</v>
      </c>
      <c r="BD133" s="489"/>
      <c r="BE133" s="487"/>
      <c r="BF133" s="412"/>
    </row>
    <row r="134" ht="15.75" customHeight="1">
      <c r="A134" s="567" t="s">
        <v>2852</v>
      </c>
      <c r="B134" s="568" t="s">
        <v>46</v>
      </c>
      <c r="C134" s="567" t="s">
        <v>2708</v>
      </c>
      <c r="D134" s="567" t="s">
        <v>1763</v>
      </c>
      <c r="E134" s="569" t="s">
        <v>2709</v>
      </c>
      <c r="F134" s="569" t="s">
        <v>2893</v>
      </c>
      <c r="G134" s="523" t="s">
        <v>60</v>
      </c>
      <c r="H134" s="1046" t="s">
        <v>62</v>
      </c>
      <c r="I134" s="567" t="s">
        <v>25</v>
      </c>
      <c r="J134" s="461">
        <v>0.0</v>
      </c>
      <c r="K134" s="461">
        <v>0.0</v>
      </c>
      <c r="L134" s="461">
        <v>0.0</v>
      </c>
      <c r="M134" s="461">
        <v>0.0</v>
      </c>
      <c r="N134" s="461">
        <v>0.0</v>
      </c>
      <c r="O134" s="461">
        <v>0.0</v>
      </c>
      <c r="P134" s="461">
        <v>0.0</v>
      </c>
      <c r="Q134" s="461">
        <v>0.0</v>
      </c>
      <c r="R134" s="461">
        <v>0.0</v>
      </c>
      <c r="S134" s="461">
        <v>0.0</v>
      </c>
      <c r="T134" s="461">
        <v>0.0</v>
      </c>
      <c r="U134" s="533">
        <f t="shared" si="41"/>
        <v>0</v>
      </c>
      <c r="V134" s="461">
        <v>1.0</v>
      </c>
      <c r="W134" s="546"/>
      <c r="X134" s="546"/>
      <c r="Y134" s="461">
        <v>0.0</v>
      </c>
      <c r="Z134" s="461">
        <v>0.0</v>
      </c>
      <c r="AA134" s="461">
        <v>0.0</v>
      </c>
      <c r="AB134" s="546"/>
      <c r="AC134" s="546"/>
      <c r="AD134" s="546"/>
      <c r="AE134" s="546"/>
      <c r="AF134" s="461">
        <v>0.0</v>
      </c>
      <c r="AG134" s="1042">
        <f t="shared" si="42"/>
        <v>1</v>
      </c>
      <c r="AH134" s="461">
        <v>1.0</v>
      </c>
      <c r="AI134" s="461">
        <v>1.0</v>
      </c>
      <c r="AJ134" s="461">
        <v>1.0</v>
      </c>
      <c r="AK134" s="461">
        <v>0.0</v>
      </c>
      <c r="AL134" s="461">
        <v>0.0</v>
      </c>
      <c r="AM134" s="461">
        <v>0.0</v>
      </c>
      <c r="AN134" s="461">
        <v>1.0</v>
      </c>
      <c r="AO134" s="461">
        <v>1.0</v>
      </c>
      <c r="AP134" s="461">
        <v>1.0</v>
      </c>
      <c r="AQ134" s="461">
        <v>1.0</v>
      </c>
      <c r="AR134" s="461">
        <v>0.0</v>
      </c>
      <c r="AS134" s="1042">
        <v>0.0</v>
      </c>
      <c r="AT134" s="1032">
        <f t="shared" si="44"/>
        <v>1</v>
      </c>
      <c r="AU134" s="466">
        <v>0.0</v>
      </c>
      <c r="AV134" s="461">
        <v>4.0</v>
      </c>
      <c r="AW134" s="461">
        <v>2937.98</v>
      </c>
      <c r="AX134" s="461">
        <v>20477.7206</v>
      </c>
      <c r="AY134" s="468"/>
      <c r="AZ134" s="469">
        <f t="shared" si="37"/>
        <v>0</v>
      </c>
      <c r="BA134" s="469">
        <f t="shared" si="38"/>
        <v>20477.7206</v>
      </c>
      <c r="BB134" s="469">
        <f t="shared" si="39"/>
        <v>0</v>
      </c>
      <c r="BC134" s="469">
        <f t="shared" si="40"/>
        <v>20477.7206</v>
      </c>
      <c r="BE134" s="547" t="s">
        <v>3713</v>
      </c>
      <c r="BF134" s="412"/>
    </row>
    <row r="135" ht="15.75" customHeight="1">
      <c r="A135" s="562" t="s">
        <v>2852</v>
      </c>
      <c r="B135" s="571" t="s">
        <v>185</v>
      </c>
      <c r="C135" s="562" t="s">
        <v>3028</v>
      </c>
      <c r="D135" s="562" t="s">
        <v>1763</v>
      </c>
      <c r="E135" s="569"/>
      <c r="F135" s="569" t="s">
        <v>3714</v>
      </c>
      <c r="G135" s="481">
        <v>1.0498861E7</v>
      </c>
      <c r="H135" s="571" t="s">
        <v>3715</v>
      </c>
      <c r="I135" s="562" t="s">
        <v>3698</v>
      </c>
      <c r="J135" s="481">
        <v>3167.0</v>
      </c>
      <c r="K135" s="481">
        <v>1950.0</v>
      </c>
      <c r="L135" s="481">
        <v>2817.0</v>
      </c>
      <c r="M135" s="481">
        <v>1817.0</v>
      </c>
      <c r="N135" s="481">
        <v>2183.0</v>
      </c>
      <c r="O135" s="481">
        <v>3500.0</v>
      </c>
      <c r="P135" s="481">
        <v>2183.0</v>
      </c>
      <c r="Q135" s="481">
        <v>2650.0</v>
      </c>
      <c r="R135" s="481">
        <v>433.0</v>
      </c>
      <c r="S135" s="492">
        <v>0.0</v>
      </c>
      <c r="T135" s="481">
        <v>0.0</v>
      </c>
      <c r="U135" s="522"/>
      <c r="V135" s="481"/>
      <c r="W135" s="481"/>
      <c r="X135" s="481"/>
      <c r="Y135" s="481"/>
      <c r="Z135" s="481"/>
      <c r="AA135" s="481"/>
      <c r="AB135" s="481"/>
      <c r="AC135" s="481"/>
      <c r="AD135" s="481"/>
      <c r="AE135" s="492"/>
      <c r="AF135" s="481"/>
      <c r="AG135" s="1042"/>
      <c r="AH135" s="481"/>
      <c r="AI135" s="481"/>
      <c r="AJ135" s="481"/>
      <c r="AK135" s="481"/>
      <c r="AL135" s="481"/>
      <c r="AM135" s="481"/>
      <c r="AN135" s="481"/>
      <c r="AO135" s="481"/>
      <c r="AP135" s="481"/>
      <c r="AQ135" s="481"/>
      <c r="AR135" s="481"/>
      <c r="AS135" s="522"/>
      <c r="AT135" s="481"/>
      <c r="AU135" s="484">
        <v>0.0</v>
      </c>
      <c r="AV135" s="481">
        <v>72.0</v>
      </c>
      <c r="AW135" s="481"/>
      <c r="AX135" s="481"/>
      <c r="AY135" s="486"/>
      <c r="AZ135" s="487">
        <f t="shared" si="37"/>
        <v>0</v>
      </c>
      <c r="BA135" s="487">
        <f t="shared" si="38"/>
        <v>0</v>
      </c>
      <c r="BB135" s="487">
        <f t="shared" si="39"/>
        <v>0</v>
      </c>
      <c r="BC135" s="487">
        <f t="shared" si="40"/>
        <v>0</v>
      </c>
      <c r="BD135" s="508"/>
      <c r="BE135" s="509" t="s">
        <v>3684</v>
      </c>
      <c r="BF135" s="412"/>
    </row>
    <row r="136" ht="15.75" customHeight="1">
      <c r="A136" s="568" t="s">
        <v>2852</v>
      </c>
      <c r="B136" s="568" t="s">
        <v>52</v>
      </c>
      <c r="C136" s="568" t="s">
        <v>3028</v>
      </c>
      <c r="D136" s="568" t="s">
        <v>1774</v>
      </c>
      <c r="E136" s="568"/>
      <c r="F136" s="568" t="s">
        <v>3704</v>
      </c>
      <c r="G136" s="466">
        <v>1.1180975E7</v>
      </c>
      <c r="H136" s="568" t="s">
        <v>3705</v>
      </c>
      <c r="I136" s="568" t="s">
        <v>3706</v>
      </c>
      <c r="J136" s="461">
        <v>9500.0</v>
      </c>
      <c r="K136" s="461">
        <v>5850.0</v>
      </c>
      <c r="L136" s="461">
        <v>8450.0</v>
      </c>
      <c r="M136" s="461">
        <v>5450.0</v>
      </c>
      <c r="N136" s="461">
        <v>6350.0</v>
      </c>
      <c r="O136" s="461">
        <v>10500.0</v>
      </c>
      <c r="P136" s="461">
        <v>6550.0</v>
      </c>
      <c r="Q136" s="461">
        <v>7950.0</v>
      </c>
      <c r="R136" s="461">
        <v>1300.0</v>
      </c>
      <c r="S136" s="461">
        <v>8250.0</v>
      </c>
      <c r="T136" s="461">
        <v>0.0</v>
      </c>
      <c r="U136" s="522"/>
      <c r="V136" s="461"/>
      <c r="W136" s="461"/>
      <c r="X136" s="461"/>
      <c r="Y136" s="461"/>
      <c r="Z136" s="461"/>
      <c r="AA136" s="461"/>
      <c r="AB136" s="461"/>
      <c r="AC136" s="461"/>
      <c r="AD136" s="461"/>
      <c r="AE136" s="461"/>
      <c r="AF136" s="461"/>
      <c r="AG136" s="522"/>
      <c r="AH136" s="461"/>
      <c r="AI136" s="461"/>
      <c r="AJ136" s="461"/>
      <c r="AK136" s="461"/>
      <c r="AL136" s="461"/>
      <c r="AM136" s="461"/>
      <c r="AN136" s="461"/>
      <c r="AO136" s="461"/>
      <c r="AP136" s="461"/>
      <c r="AQ136" s="461"/>
      <c r="AR136" s="461"/>
      <c r="AS136" s="522"/>
      <c r="AT136" s="466"/>
      <c r="AU136" s="466">
        <v>0.0</v>
      </c>
      <c r="AV136" s="466">
        <v>70154.0</v>
      </c>
      <c r="AW136" s="466"/>
      <c r="AX136" s="466"/>
      <c r="AY136" s="468">
        <v>0.0</v>
      </c>
      <c r="AZ136" s="469">
        <v>0.0</v>
      </c>
      <c r="BA136" s="469">
        <v>0.0</v>
      </c>
      <c r="BB136" s="469">
        <v>0.0</v>
      </c>
      <c r="BC136" s="469">
        <v>0.0</v>
      </c>
      <c r="BD136" s="498"/>
      <c r="BE136" s="499" t="s">
        <v>3684</v>
      </c>
      <c r="BF136" s="412"/>
    </row>
    <row r="137" ht="15.75" customHeight="1">
      <c r="A137" s="571" t="s">
        <v>2852</v>
      </c>
      <c r="B137" s="571" t="s">
        <v>52</v>
      </c>
      <c r="C137" s="571" t="s">
        <v>2708</v>
      </c>
      <c r="D137" s="571" t="s">
        <v>1763</v>
      </c>
      <c r="E137" s="569" t="s">
        <v>2709</v>
      </c>
      <c r="F137" s="569" t="s">
        <v>2914</v>
      </c>
      <c r="G137" s="484">
        <v>1.000046E7</v>
      </c>
      <c r="H137" s="571" t="s">
        <v>1052</v>
      </c>
      <c r="I137" s="571" t="s">
        <v>25</v>
      </c>
      <c r="J137" s="481">
        <v>0.0</v>
      </c>
      <c r="K137" s="481">
        <v>0.0</v>
      </c>
      <c r="L137" s="481">
        <v>0.0</v>
      </c>
      <c r="M137" s="481">
        <v>0.0</v>
      </c>
      <c r="N137" s="481">
        <v>0.0</v>
      </c>
      <c r="O137" s="481">
        <v>0.0</v>
      </c>
      <c r="P137" s="481">
        <v>0.0</v>
      </c>
      <c r="Q137" s="481">
        <v>0.0</v>
      </c>
      <c r="R137" s="481">
        <v>0.0</v>
      </c>
      <c r="S137" s="481">
        <v>0.0</v>
      </c>
      <c r="T137" s="481">
        <v>0.0</v>
      </c>
      <c r="U137" s="533">
        <f t="shared" ref="U137:U145" si="45">SUM(J137:T137)</f>
        <v>0</v>
      </c>
      <c r="V137" s="481">
        <v>394.0</v>
      </c>
      <c r="W137" s="481">
        <v>234.0</v>
      </c>
      <c r="X137" s="481">
        <v>344.0</v>
      </c>
      <c r="Y137" s="481">
        <v>222.0</v>
      </c>
      <c r="Z137" s="481">
        <v>254.0</v>
      </c>
      <c r="AA137" s="481">
        <v>420.0</v>
      </c>
      <c r="AB137" s="481">
        <v>266.0</v>
      </c>
      <c r="AC137" s="481">
        <v>314.0</v>
      </c>
      <c r="AD137" s="481">
        <v>54.0</v>
      </c>
      <c r="AE137" s="492">
        <v>100.0</v>
      </c>
      <c r="AF137" s="481">
        <v>0.0</v>
      </c>
      <c r="AG137" s="534">
        <f t="shared" ref="AG137:AG145" si="46">SUM(V137:AF137)</f>
        <v>2602</v>
      </c>
      <c r="AH137" s="481">
        <v>394.0</v>
      </c>
      <c r="AI137" s="481">
        <v>234.0</v>
      </c>
      <c r="AJ137" s="481">
        <v>344.0</v>
      </c>
      <c r="AK137" s="481">
        <v>222.0</v>
      </c>
      <c r="AL137" s="481">
        <v>254.0</v>
      </c>
      <c r="AM137" s="481">
        <v>420.0</v>
      </c>
      <c r="AN137" s="481">
        <v>266.0</v>
      </c>
      <c r="AO137" s="481">
        <v>314.0</v>
      </c>
      <c r="AP137" s="481">
        <v>54.0</v>
      </c>
      <c r="AQ137" s="481">
        <v>330.0</v>
      </c>
      <c r="AR137" s="481">
        <v>0.0</v>
      </c>
      <c r="AS137" s="533">
        <f t="shared" ref="AS137:AS145" si="47">ROUNDUP( SUM(AH137:AR137))</f>
        <v>2832</v>
      </c>
      <c r="AT137" s="535">
        <f t="shared" ref="AT137:AT145" si="48">U137+AG137+AS137</f>
        <v>5434</v>
      </c>
      <c r="AU137" s="484">
        <v>0.0</v>
      </c>
      <c r="AV137" s="484">
        <v>5664.0</v>
      </c>
      <c r="AW137" s="484">
        <v>0.23</v>
      </c>
      <c r="AX137" s="484">
        <v>1.6031</v>
      </c>
      <c r="AY137" s="504"/>
      <c r="AZ137" s="487">
        <f t="shared" ref="AZ137:AZ145" si="49">AX137*U137</f>
        <v>0</v>
      </c>
      <c r="BA137" s="487">
        <f t="shared" ref="BA137:BA145" si="50">AX137*AG137</f>
        <v>4171.2662</v>
      </c>
      <c r="BB137" s="487">
        <f t="shared" ref="BB137:BB145" si="51">AX137*AS137</f>
        <v>4539.9792</v>
      </c>
      <c r="BC137" s="487">
        <f t="shared" ref="BC137:BC145" si="52">AZ137+BA137+BB137</f>
        <v>8711.2454</v>
      </c>
      <c r="BD137" s="489"/>
      <c r="BE137" s="505"/>
      <c r="BF137" s="412"/>
    </row>
    <row r="138" ht="15.75" customHeight="1">
      <c r="A138" s="568" t="s">
        <v>2852</v>
      </c>
      <c r="B138" s="568" t="s">
        <v>52</v>
      </c>
      <c r="C138" s="568" t="s">
        <v>2708</v>
      </c>
      <c r="D138" s="568" t="s">
        <v>1763</v>
      </c>
      <c r="E138" s="569" t="s">
        <v>2709</v>
      </c>
      <c r="F138" s="569" t="s">
        <v>2888</v>
      </c>
      <c r="G138" s="466">
        <v>1.0083923E7</v>
      </c>
      <c r="H138" s="568" t="s">
        <v>328</v>
      </c>
      <c r="I138" s="568" t="s">
        <v>25</v>
      </c>
      <c r="J138" s="461">
        <v>0.0</v>
      </c>
      <c r="K138" s="461">
        <v>0.0</v>
      </c>
      <c r="L138" s="461">
        <v>0.0</v>
      </c>
      <c r="M138" s="461">
        <v>0.0</v>
      </c>
      <c r="N138" s="461">
        <v>0.0</v>
      </c>
      <c r="O138" s="461">
        <v>0.0</v>
      </c>
      <c r="P138" s="461">
        <v>0.0</v>
      </c>
      <c r="Q138" s="461">
        <v>0.0</v>
      </c>
      <c r="R138" s="461">
        <v>0.0</v>
      </c>
      <c r="S138" s="461">
        <v>0.0</v>
      </c>
      <c r="T138" s="461">
        <v>0.0</v>
      </c>
      <c r="U138" s="533">
        <f t="shared" si="45"/>
        <v>0</v>
      </c>
      <c r="V138" s="461">
        <v>30.0</v>
      </c>
      <c r="W138" s="461">
        <v>18.0</v>
      </c>
      <c r="X138" s="461">
        <v>26.0</v>
      </c>
      <c r="Y138" s="461">
        <v>10.0</v>
      </c>
      <c r="Z138" s="461">
        <v>25.0</v>
      </c>
      <c r="AA138" s="461">
        <v>20.0</v>
      </c>
      <c r="AB138" s="461">
        <v>10.0</v>
      </c>
      <c r="AC138" s="461">
        <v>10.0</v>
      </c>
      <c r="AD138" s="461">
        <v>6.0</v>
      </c>
      <c r="AE138" s="461">
        <v>0.0</v>
      </c>
      <c r="AF138" s="461">
        <v>0.0</v>
      </c>
      <c r="AG138" s="534">
        <f t="shared" si="46"/>
        <v>155</v>
      </c>
      <c r="AH138" s="461">
        <v>30.0</v>
      </c>
      <c r="AI138" s="461">
        <v>18.0</v>
      </c>
      <c r="AJ138" s="461">
        <v>26.0</v>
      </c>
      <c r="AK138" s="461">
        <v>10.0</v>
      </c>
      <c r="AL138" s="461">
        <v>25.0</v>
      </c>
      <c r="AM138" s="461">
        <v>20.0</v>
      </c>
      <c r="AN138" s="461">
        <v>10.0</v>
      </c>
      <c r="AO138" s="461">
        <v>10.0</v>
      </c>
      <c r="AP138" s="461">
        <v>6.0</v>
      </c>
      <c r="AQ138" s="461">
        <v>0.0</v>
      </c>
      <c r="AR138" s="461">
        <v>0.0</v>
      </c>
      <c r="AS138" s="533">
        <f t="shared" si="47"/>
        <v>155</v>
      </c>
      <c r="AT138" s="1032">
        <f t="shared" si="48"/>
        <v>310</v>
      </c>
      <c r="AU138" s="466">
        <v>1164.0</v>
      </c>
      <c r="AV138" s="466">
        <v>1474.0</v>
      </c>
      <c r="AW138" s="466">
        <v>13.42</v>
      </c>
      <c r="AX138" s="466">
        <v>93.53739999999999</v>
      </c>
      <c r="AY138" s="517"/>
      <c r="AZ138" s="469">
        <f t="shared" si="49"/>
        <v>0</v>
      </c>
      <c r="BA138" s="469">
        <f t="shared" si="50"/>
        <v>14498.297</v>
      </c>
      <c r="BB138" s="469">
        <f t="shared" si="51"/>
        <v>14498.297</v>
      </c>
      <c r="BC138" s="469">
        <f t="shared" si="52"/>
        <v>28996.594</v>
      </c>
      <c r="BD138" s="471"/>
      <c r="BE138" s="518"/>
      <c r="BF138" s="412"/>
    </row>
    <row r="139" ht="15.75" customHeight="1">
      <c r="A139" s="571" t="s">
        <v>2852</v>
      </c>
      <c r="B139" s="571" t="s">
        <v>52</v>
      </c>
      <c r="C139" s="571" t="s">
        <v>2708</v>
      </c>
      <c r="D139" s="571" t="s">
        <v>1763</v>
      </c>
      <c r="E139" s="569" t="s">
        <v>2709</v>
      </c>
      <c r="F139" s="569" t="s">
        <v>2928</v>
      </c>
      <c r="G139" s="484">
        <v>1.0292406E7</v>
      </c>
      <c r="H139" s="571" t="s">
        <v>3454</v>
      </c>
      <c r="I139" s="571" t="s">
        <v>25</v>
      </c>
      <c r="J139" s="481">
        <v>0.0</v>
      </c>
      <c r="K139" s="481">
        <v>0.0</v>
      </c>
      <c r="L139" s="481">
        <v>0.0</v>
      </c>
      <c r="M139" s="481">
        <v>0.0</v>
      </c>
      <c r="N139" s="481">
        <v>0.0</v>
      </c>
      <c r="O139" s="481">
        <v>0.0</v>
      </c>
      <c r="P139" s="481">
        <v>0.0</v>
      </c>
      <c r="Q139" s="481">
        <v>0.0</v>
      </c>
      <c r="R139" s="481">
        <v>0.0</v>
      </c>
      <c r="S139" s="481">
        <v>0.0</v>
      </c>
      <c r="T139" s="481">
        <v>0.0</v>
      </c>
      <c r="U139" s="533">
        <f t="shared" si="45"/>
        <v>0</v>
      </c>
      <c r="V139" s="481">
        <v>2.0</v>
      </c>
      <c r="W139" s="481">
        <v>2.0</v>
      </c>
      <c r="X139" s="481">
        <v>2.0</v>
      </c>
      <c r="Y139" s="481">
        <v>2.0</v>
      </c>
      <c r="Z139" s="481">
        <v>2.0</v>
      </c>
      <c r="AA139" s="481">
        <v>4.0</v>
      </c>
      <c r="AB139" s="481">
        <v>1.0</v>
      </c>
      <c r="AC139" s="481">
        <v>1.0</v>
      </c>
      <c r="AD139" s="481">
        <v>1.0</v>
      </c>
      <c r="AE139" s="492">
        <v>0.0</v>
      </c>
      <c r="AF139" s="481">
        <v>0.0</v>
      </c>
      <c r="AG139" s="534">
        <f t="shared" si="46"/>
        <v>17</v>
      </c>
      <c r="AH139" s="481">
        <v>2.0</v>
      </c>
      <c r="AI139" s="481">
        <v>2.0</v>
      </c>
      <c r="AJ139" s="481">
        <v>2.0</v>
      </c>
      <c r="AK139" s="481">
        <v>2.0</v>
      </c>
      <c r="AL139" s="481">
        <v>2.0</v>
      </c>
      <c r="AM139" s="481">
        <v>4.0</v>
      </c>
      <c r="AN139" s="481">
        <v>1.0</v>
      </c>
      <c r="AO139" s="481">
        <v>1.0</v>
      </c>
      <c r="AP139" s="481">
        <v>1.0</v>
      </c>
      <c r="AQ139" s="492">
        <v>0.0</v>
      </c>
      <c r="AR139" s="481">
        <v>0.0</v>
      </c>
      <c r="AS139" s="533">
        <f t="shared" si="47"/>
        <v>17</v>
      </c>
      <c r="AT139" s="535">
        <f t="shared" si="48"/>
        <v>34</v>
      </c>
      <c r="AU139" s="484">
        <v>15.0</v>
      </c>
      <c r="AV139" s="484">
        <v>51.0</v>
      </c>
      <c r="AW139" s="484">
        <v>10.96</v>
      </c>
      <c r="AX139" s="484">
        <v>76.3912</v>
      </c>
      <c r="AY139" s="504"/>
      <c r="AZ139" s="487">
        <f t="shared" si="49"/>
        <v>0</v>
      </c>
      <c r="BA139" s="487">
        <f t="shared" si="50"/>
        <v>1298.6504</v>
      </c>
      <c r="BB139" s="487">
        <f t="shared" si="51"/>
        <v>1298.6504</v>
      </c>
      <c r="BC139" s="487">
        <f t="shared" si="52"/>
        <v>2597.3008</v>
      </c>
      <c r="BD139" s="489"/>
      <c r="BE139" s="505"/>
      <c r="BF139" s="412"/>
    </row>
    <row r="140" ht="15.75" customHeight="1">
      <c r="A140" s="568" t="s">
        <v>2852</v>
      </c>
      <c r="B140" s="568" t="s">
        <v>52</v>
      </c>
      <c r="C140" s="568" t="s">
        <v>2708</v>
      </c>
      <c r="D140" s="568" t="s">
        <v>1763</v>
      </c>
      <c r="E140" s="569" t="s">
        <v>2709</v>
      </c>
      <c r="F140" s="569" t="s">
        <v>2915</v>
      </c>
      <c r="G140" s="466">
        <v>1.0625658E7</v>
      </c>
      <c r="H140" s="568" t="s">
        <v>780</v>
      </c>
      <c r="I140" s="568" t="s">
        <v>25</v>
      </c>
      <c r="J140" s="461">
        <v>0.0</v>
      </c>
      <c r="K140" s="461">
        <v>0.0</v>
      </c>
      <c r="L140" s="461">
        <v>0.0</v>
      </c>
      <c r="M140" s="461">
        <v>0.0</v>
      </c>
      <c r="N140" s="461">
        <v>0.0</v>
      </c>
      <c r="O140" s="461">
        <v>0.0</v>
      </c>
      <c r="P140" s="461">
        <v>0.0</v>
      </c>
      <c r="Q140" s="461">
        <v>0.0</v>
      </c>
      <c r="R140" s="461">
        <v>0.0</v>
      </c>
      <c r="S140" s="461">
        <v>0.0</v>
      </c>
      <c r="T140" s="461">
        <v>0.0</v>
      </c>
      <c r="U140" s="533">
        <f t="shared" si="45"/>
        <v>0</v>
      </c>
      <c r="V140" s="461">
        <v>6.0</v>
      </c>
      <c r="W140" s="461">
        <v>3.0</v>
      </c>
      <c r="X140" s="461">
        <v>10.0</v>
      </c>
      <c r="Y140" s="461">
        <v>2.0</v>
      </c>
      <c r="Z140" s="461">
        <v>2.0</v>
      </c>
      <c r="AA140" s="461">
        <v>10.0</v>
      </c>
      <c r="AB140" s="461">
        <v>3.0</v>
      </c>
      <c r="AC140" s="461">
        <v>3.0</v>
      </c>
      <c r="AD140" s="461">
        <v>1.0</v>
      </c>
      <c r="AE140" s="490">
        <v>0.0</v>
      </c>
      <c r="AF140" s="461">
        <v>0.0</v>
      </c>
      <c r="AG140" s="534">
        <f t="shared" si="46"/>
        <v>40</v>
      </c>
      <c r="AH140" s="461">
        <v>6.0</v>
      </c>
      <c r="AI140" s="461">
        <v>3.0</v>
      </c>
      <c r="AJ140" s="461">
        <v>10.0</v>
      </c>
      <c r="AK140" s="461">
        <v>2.0</v>
      </c>
      <c r="AL140" s="461">
        <v>2.0</v>
      </c>
      <c r="AM140" s="461">
        <v>10.0</v>
      </c>
      <c r="AN140" s="461">
        <v>3.0</v>
      </c>
      <c r="AO140" s="461">
        <v>3.0</v>
      </c>
      <c r="AP140" s="461">
        <v>1.0</v>
      </c>
      <c r="AQ140" s="490">
        <v>0.0</v>
      </c>
      <c r="AR140" s="461">
        <v>0.0</v>
      </c>
      <c r="AS140" s="533">
        <f t="shared" si="47"/>
        <v>40</v>
      </c>
      <c r="AT140" s="1032">
        <f t="shared" si="48"/>
        <v>80</v>
      </c>
      <c r="AU140" s="466">
        <v>236.0</v>
      </c>
      <c r="AV140" s="466">
        <v>332.0</v>
      </c>
      <c r="AW140" s="466">
        <v>14.96</v>
      </c>
      <c r="AX140" s="466">
        <v>104.27120000000001</v>
      </c>
      <c r="AY140" s="538"/>
      <c r="AZ140" s="469">
        <f t="shared" si="49"/>
        <v>0</v>
      </c>
      <c r="BA140" s="469">
        <f t="shared" si="50"/>
        <v>4170.848</v>
      </c>
      <c r="BB140" s="469">
        <f t="shared" si="51"/>
        <v>4170.848</v>
      </c>
      <c r="BC140" s="469">
        <f t="shared" si="52"/>
        <v>8341.696</v>
      </c>
      <c r="BD140" s="471"/>
      <c r="BE140" s="518"/>
      <c r="BF140" s="412"/>
    </row>
    <row r="141" ht="15.75" customHeight="1">
      <c r="A141" s="571" t="s">
        <v>2852</v>
      </c>
      <c r="B141" s="571" t="s">
        <v>52</v>
      </c>
      <c r="C141" s="571" t="s">
        <v>2708</v>
      </c>
      <c r="D141" s="571" t="s">
        <v>1763</v>
      </c>
      <c r="E141" s="569" t="s">
        <v>2709</v>
      </c>
      <c r="F141" s="569" t="s">
        <v>2929</v>
      </c>
      <c r="G141" s="484">
        <v>1.0958255E7</v>
      </c>
      <c r="H141" s="571" t="s">
        <v>1343</v>
      </c>
      <c r="I141" s="571" t="s">
        <v>25</v>
      </c>
      <c r="J141" s="481">
        <v>0.0</v>
      </c>
      <c r="K141" s="481">
        <v>0.0</v>
      </c>
      <c r="L141" s="481">
        <v>0.0</v>
      </c>
      <c r="M141" s="481">
        <v>0.0</v>
      </c>
      <c r="N141" s="481">
        <v>0.0</v>
      </c>
      <c r="O141" s="481">
        <v>0.0</v>
      </c>
      <c r="P141" s="481">
        <v>0.0</v>
      </c>
      <c r="Q141" s="481">
        <v>0.0</v>
      </c>
      <c r="R141" s="481">
        <v>0.0</v>
      </c>
      <c r="S141" s="481">
        <v>0.0</v>
      </c>
      <c r="T141" s="481">
        <v>0.0</v>
      </c>
      <c r="U141" s="533">
        <f t="shared" si="45"/>
        <v>0</v>
      </c>
      <c r="V141" s="481">
        <v>1.0</v>
      </c>
      <c r="W141" s="481">
        <v>0.0</v>
      </c>
      <c r="X141" s="481">
        <v>0.0</v>
      </c>
      <c r="Y141" s="481">
        <v>0.0</v>
      </c>
      <c r="Z141" s="481">
        <v>0.0</v>
      </c>
      <c r="AA141" s="481">
        <v>0.0</v>
      </c>
      <c r="AB141" s="481">
        <v>0.0</v>
      </c>
      <c r="AC141" s="481">
        <v>0.0</v>
      </c>
      <c r="AD141" s="481">
        <v>0.0</v>
      </c>
      <c r="AE141" s="481">
        <v>0.0</v>
      </c>
      <c r="AF141" s="481">
        <v>0.0</v>
      </c>
      <c r="AG141" s="534">
        <f t="shared" si="46"/>
        <v>1</v>
      </c>
      <c r="AH141" s="481">
        <v>1.0</v>
      </c>
      <c r="AI141" s="481">
        <v>0.0</v>
      </c>
      <c r="AJ141" s="481">
        <v>0.0</v>
      </c>
      <c r="AK141" s="481">
        <v>0.0</v>
      </c>
      <c r="AL141" s="481">
        <v>0.0</v>
      </c>
      <c r="AM141" s="481">
        <v>0.0</v>
      </c>
      <c r="AN141" s="481">
        <v>0.0</v>
      </c>
      <c r="AO141" s="481">
        <v>0.0</v>
      </c>
      <c r="AP141" s="481">
        <v>0.0</v>
      </c>
      <c r="AQ141" s="481">
        <v>0.0</v>
      </c>
      <c r="AR141" s="481">
        <v>0.0</v>
      </c>
      <c r="AS141" s="533">
        <f t="shared" si="47"/>
        <v>1</v>
      </c>
      <c r="AT141" s="535">
        <f t="shared" si="48"/>
        <v>2</v>
      </c>
      <c r="AU141" s="484">
        <v>0.0</v>
      </c>
      <c r="AV141" s="484">
        <v>2.0</v>
      </c>
      <c r="AW141" s="484">
        <v>184.9</v>
      </c>
      <c r="AX141" s="484">
        <v>1288.753</v>
      </c>
      <c r="AY141" s="504"/>
      <c r="AZ141" s="487">
        <f t="shared" si="49"/>
        <v>0</v>
      </c>
      <c r="BA141" s="487">
        <f t="shared" si="50"/>
        <v>1288.753</v>
      </c>
      <c r="BB141" s="487">
        <f t="shared" si="51"/>
        <v>1288.753</v>
      </c>
      <c r="BC141" s="487">
        <f t="shared" si="52"/>
        <v>2577.506</v>
      </c>
      <c r="BD141" s="489"/>
      <c r="BE141" s="505"/>
      <c r="BF141" s="412"/>
    </row>
    <row r="142" ht="15.75" customHeight="1">
      <c r="A142" s="568" t="s">
        <v>2852</v>
      </c>
      <c r="B142" s="568" t="s">
        <v>52</v>
      </c>
      <c r="C142" s="568" t="s">
        <v>2708</v>
      </c>
      <c r="D142" s="568" t="s">
        <v>1763</v>
      </c>
      <c r="E142" s="569" t="s">
        <v>2709</v>
      </c>
      <c r="F142" s="1038"/>
      <c r="G142" s="466">
        <v>1.1355248E7</v>
      </c>
      <c r="H142" s="568" t="s">
        <v>2892</v>
      </c>
      <c r="I142" s="568" t="s">
        <v>25</v>
      </c>
      <c r="J142" s="461">
        <v>0.0</v>
      </c>
      <c r="K142" s="461">
        <v>0.0</v>
      </c>
      <c r="L142" s="461">
        <v>0.0</v>
      </c>
      <c r="M142" s="461">
        <v>0.0</v>
      </c>
      <c r="N142" s="461">
        <v>0.0</v>
      </c>
      <c r="O142" s="461">
        <v>0.0</v>
      </c>
      <c r="P142" s="461">
        <v>0.0</v>
      </c>
      <c r="Q142" s="490">
        <v>0.0</v>
      </c>
      <c r="R142" s="461">
        <v>0.0</v>
      </c>
      <c r="S142" s="461">
        <v>0.0</v>
      </c>
      <c r="T142" s="461">
        <v>0.0</v>
      </c>
      <c r="U142" s="533">
        <f t="shared" si="45"/>
        <v>0</v>
      </c>
      <c r="V142" s="461">
        <v>0.0</v>
      </c>
      <c r="W142" s="461">
        <v>0.0</v>
      </c>
      <c r="X142" s="461">
        <v>0.0</v>
      </c>
      <c r="Y142" s="461">
        <v>0.0</v>
      </c>
      <c r="Z142" s="461">
        <v>0.0</v>
      </c>
      <c r="AA142" s="461">
        <v>0.0</v>
      </c>
      <c r="AB142" s="461">
        <v>0.0</v>
      </c>
      <c r="AC142" s="490">
        <v>0.0</v>
      </c>
      <c r="AD142" s="461">
        <v>0.0</v>
      </c>
      <c r="AE142" s="461">
        <v>0.0</v>
      </c>
      <c r="AF142" s="461">
        <v>0.0</v>
      </c>
      <c r="AG142" s="534">
        <f t="shared" si="46"/>
        <v>0</v>
      </c>
      <c r="AH142" s="461">
        <v>0.0</v>
      </c>
      <c r="AI142" s="461">
        <v>0.0</v>
      </c>
      <c r="AJ142" s="461">
        <v>0.0</v>
      </c>
      <c r="AK142" s="461">
        <v>0.0</v>
      </c>
      <c r="AL142" s="461">
        <v>0.0</v>
      </c>
      <c r="AM142" s="461">
        <v>0.0</v>
      </c>
      <c r="AN142" s="461">
        <v>0.0</v>
      </c>
      <c r="AO142" s="490">
        <v>0.0</v>
      </c>
      <c r="AP142" s="461">
        <v>0.0</v>
      </c>
      <c r="AQ142" s="461">
        <v>0.0</v>
      </c>
      <c r="AR142" s="461">
        <v>0.0</v>
      </c>
      <c r="AS142" s="533">
        <f t="shared" si="47"/>
        <v>0</v>
      </c>
      <c r="AT142" s="461">
        <f t="shared" si="48"/>
        <v>0</v>
      </c>
      <c r="AU142" s="466">
        <v>312.0</v>
      </c>
      <c r="AV142" s="466">
        <v>342.0</v>
      </c>
      <c r="AW142" s="466">
        <v>93.64</v>
      </c>
      <c r="AX142" s="466">
        <v>652.6708</v>
      </c>
      <c r="AY142" s="538"/>
      <c r="AZ142" s="469">
        <f t="shared" si="49"/>
        <v>0</v>
      </c>
      <c r="BA142" s="469">
        <f t="shared" si="50"/>
        <v>0</v>
      </c>
      <c r="BB142" s="469">
        <f t="shared" si="51"/>
        <v>0</v>
      </c>
      <c r="BC142" s="469">
        <f t="shared" si="52"/>
        <v>0</v>
      </c>
      <c r="BD142" s="498"/>
      <c r="BE142" s="518"/>
      <c r="BF142" s="412"/>
    </row>
    <row r="143" ht="15.75" customHeight="1">
      <c r="A143" s="571" t="s">
        <v>2852</v>
      </c>
      <c r="B143" s="571" t="s">
        <v>52</v>
      </c>
      <c r="C143" s="571" t="s">
        <v>2708</v>
      </c>
      <c r="D143" s="571" t="s">
        <v>1763</v>
      </c>
      <c r="E143" s="569" t="s">
        <v>2709</v>
      </c>
      <c r="F143" s="569" t="s">
        <v>2853</v>
      </c>
      <c r="G143" s="484">
        <v>1.1359422E7</v>
      </c>
      <c r="H143" s="571" t="s">
        <v>165</v>
      </c>
      <c r="I143" s="571" t="s">
        <v>25</v>
      </c>
      <c r="J143" s="481">
        <v>0.0</v>
      </c>
      <c r="K143" s="481">
        <v>0.0</v>
      </c>
      <c r="L143" s="481">
        <v>0.0</v>
      </c>
      <c r="M143" s="481">
        <v>0.0</v>
      </c>
      <c r="N143" s="481">
        <v>0.0</v>
      </c>
      <c r="O143" s="481">
        <v>0.0</v>
      </c>
      <c r="P143" s="481">
        <v>0.0</v>
      </c>
      <c r="Q143" s="481">
        <v>0.0</v>
      </c>
      <c r="R143" s="481">
        <v>0.0</v>
      </c>
      <c r="S143" s="481">
        <v>0.0</v>
      </c>
      <c r="T143" s="481">
        <v>0.0</v>
      </c>
      <c r="U143" s="533">
        <f t="shared" si="45"/>
        <v>0</v>
      </c>
      <c r="V143" s="481">
        <v>300.0</v>
      </c>
      <c r="W143" s="481">
        <v>0.0</v>
      </c>
      <c r="X143" s="481">
        <v>0.0</v>
      </c>
      <c r="Y143" s="481">
        <v>0.0</v>
      </c>
      <c r="Z143" s="481">
        <v>0.0</v>
      </c>
      <c r="AA143" s="481">
        <v>0.0</v>
      </c>
      <c r="AB143" s="481">
        <v>0.0</v>
      </c>
      <c r="AC143" s="481">
        <v>0.0</v>
      </c>
      <c r="AD143" s="481">
        <v>0.0</v>
      </c>
      <c r="AE143" s="481">
        <v>0.0</v>
      </c>
      <c r="AF143" s="481">
        <v>0.0</v>
      </c>
      <c r="AG143" s="534">
        <f t="shared" si="46"/>
        <v>300</v>
      </c>
      <c r="AH143" s="481">
        <v>300.0</v>
      </c>
      <c r="AI143" s="481">
        <v>0.0</v>
      </c>
      <c r="AJ143" s="481">
        <v>0.0</v>
      </c>
      <c r="AK143" s="481">
        <v>0.0</v>
      </c>
      <c r="AL143" s="481">
        <v>0.0</v>
      </c>
      <c r="AM143" s="481">
        <v>0.0</v>
      </c>
      <c r="AN143" s="481">
        <v>0.0</v>
      </c>
      <c r="AO143" s="481">
        <v>0.0</v>
      </c>
      <c r="AP143" s="481">
        <v>0.0</v>
      </c>
      <c r="AQ143" s="481">
        <v>0.0</v>
      </c>
      <c r="AR143" s="481">
        <v>0.0</v>
      </c>
      <c r="AS143" s="533">
        <f t="shared" si="47"/>
        <v>300</v>
      </c>
      <c r="AT143" s="535">
        <f t="shared" si="48"/>
        <v>600</v>
      </c>
      <c r="AU143" s="484">
        <v>0.0</v>
      </c>
      <c r="AV143" s="484">
        <v>600.0</v>
      </c>
      <c r="AW143" s="484">
        <v>91.95</v>
      </c>
      <c r="AX143" s="484">
        <v>640.8915</v>
      </c>
      <c r="AY143" s="504"/>
      <c r="AZ143" s="487">
        <f t="shared" si="49"/>
        <v>0</v>
      </c>
      <c r="BA143" s="487">
        <f t="shared" si="50"/>
        <v>192267.45</v>
      </c>
      <c r="BB143" s="487">
        <f t="shared" si="51"/>
        <v>192267.45</v>
      </c>
      <c r="BC143" s="487">
        <f t="shared" si="52"/>
        <v>384534.9</v>
      </c>
      <c r="BD143" s="489"/>
      <c r="BE143" s="505"/>
      <c r="BF143" s="412"/>
    </row>
    <row r="144" ht="15.75" customHeight="1">
      <c r="A144" s="568" t="s">
        <v>2852</v>
      </c>
      <c r="B144" s="568" t="s">
        <v>52</v>
      </c>
      <c r="C144" s="568" t="s">
        <v>2708</v>
      </c>
      <c r="D144" s="568" t="s">
        <v>1763</v>
      </c>
      <c r="E144" s="569" t="s">
        <v>2709</v>
      </c>
      <c r="F144" s="1047" t="s">
        <v>2895</v>
      </c>
      <c r="G144" s="466">
        <v>1.1982756E7</v>
      </c>
      <c r="H144" s="568" t="s">
        <v>2897</v>
      </c>
      <c r="I144" s="568" t="s">
        <v>25</v>
      </c>
      <c r="J144" s="549"/>
      <c r="K144" s="549"/>
      <c r="L144" s="549"/>
      <c r="M144" s="549"/>
      <c r="N144" s="549"/>
      <c r="O144" s="549"/>
      <c r="P144" s="500"/>
      <c r="Q144" s="550"/>
      <c r="R144" s="549"/>
      <c r="S144" s="550"/>
      <c r="T144" s="549"/>
      <c r="U144" s="533">
        <f t="shared" si="45"/>
        <v>0</v>
      </c>
      <c r="V144" s="461">
        <v>10.0</v>
      </c>
      <c r="W144" s="461">
        <v>5.0</v>
      </c>
      <c r="X144" s="461">
        <v>10.0</v>
      </c>
      <c r="Y144" s="461">
        <v>30.0</v>
      </c>
      <c r="Z144" s="461">
        <v>30.0</v>
      </c>
      <c r="AA144" s="461">
        <v>40.0</v>
      </c>
      <c r="AB144" s="461">
        <v>15.0</v>
      </c>
      <c r="AC144" s="490">
        <v>10.0</v>
      </c>
      <c r="AD144" s="461">
        <v>3.0</v>
      </c>
      <c r="AE144" s="490">
        <v>0.0</v>
      </c>
      <c r="AF144" s="461">
        <v>0.0</v>
      </c>
      <c r="AG144" s="534">
        <f t="shared" si="46"/>
        <v>153</v>
      </c>
      <c r="AH144" s="461">
        <v>10.0</v>
      </c>
      <c r="AI144" s="461">
        <v>5.0</v>
      </c>
      <c r="AJ144" s="461">
        <v>10.0</v>
      </c>
      <c r="AK144" s="461">
        <v>30.0</v>
      </c>
      <c r="AL144" s="461">
        <v>30.0</v>
      </c>
      <c r="AM144" s="461">
        <v>40.0</v>
      </c>
      <c r="AN144" s="461">
        <v>15.0</v>
      </c>
      <c r="AO144" s="490">
        <v>10.0</v>
      </c>
      <c r="AP144" s="461">
        <v>3.0</v>
      </c>
      <c r="AQ144" s="490">
        <v>0.0</v>
      </c>
      <c r="AR144" s="461">
        <v>0.0</v>
      </c>
      <c r="AS144" s="533">
        <f t="shared" si="47"/>
        <v>153</v>
      </c>
      <c r="AT144" s="1032">
        <f t="shared" si="48"/>
        <v>306</v>
      </c>
      <c r="AU144" s="466">
        <v>430.0</v>
      </c>
      <c r="AV144" s="466">
        <v>985.0</v>
      </c>
      <c r="AW144" s="466">
        <v>439.02</v>
      </c>
      <c r="AX144" s="466">
        <v>3059.9694</v>
      </c>
      <c r="AY144" s="538"/>
      <c r="AZ144" s="469">
        <f t="shared" si="49"/>
        <v>0</v>
      </c>
      <c r="BA144" s="469">
        <f t="shared" si="50"/>
        <v>468175.3182</v>
      </c>
      <c r="BB144" s="469">
        <f t="shared" si="51"/>
        <v>468175.3182</v>
      </c>
      <c r="BC144" s="469">
        <f t="shared" si="52"/>
        <v>936350.6364</v>
      </c>
      <c r="BD144" s="471"/>
      <c r="BE144" s="518" t="s">
        <v>2898</v>
      </c>
      <c r="BF144" s="412"/>
    </row>
    <row r="145" ht="15.75" customHeight="1">
      <c r="A145" s="571" t="s">
        <v>2852</v>
      </c>
      <c r="B145" s="571" t="s">
        <v>52</v>
      </c>
      <c r="C145" s="571" t="s">
        <v>2708</v>
      </c>
      <c r="D145" s="571" t="s">
        <v>1763</v>
      </c>
      <c r="E145" s="569" t="s">
        <v>2709</v>
      </c>
      <c r="F145" s="569" t="s">
        <v>2904</v>
      </c>
      <c r="G145" s="484">
        <v>1.202324E7</v>
      </c>
      <c r="H145" s="571" t="s">
        <v>3446</v>
      </c>
      <c r="I145" s="571" t="s">
        <v>25</v>
      </c>
      <c r="J145" s="481">
        <v>0.0</v>
      </c>
      <c r="K145" s="481">
        <v>0.0</v>
      </c>
      <c r="L145" s="481">
        <v>0.0</v>
      </c>
      <c r="M145" s="481">
        <v>0.0</v>
      </c>
      <c r="N145" s="481">
        <v>0.0</v>
      </c>
      <c r="O145" s="481">
        <v>0.0</v>
      </c>
      <c r="P145" s="481">
        <v>0.0</v>
      </c>
      <c r="Q145" s="481">
        <v>0.0</v>
      </c>
      <c r="R145" s="481">
        <v>0.0</v>
      </c>
      <c r="S145" s="481">
        <v>0.0</v>
      </c>
      <c r="T145" s="481">
        <v>0.0</v>
      </c>
      <c r="U145" s="533">
        <f t="shared" si="45"/>
        <v>0</v>
      </c>
      <c r="V145" s="481">
        <v>2.0</v>
      </c>
      <c r="W145" s="481">
        <v>2.0</v>
      </c>
      <c r="X145" s="481">
        <v>2.0</v>
      </c>
      <c r="Y145" s="481">
        <v>2.0</v>
      </c>
      <c r="Z145" s="481">
        <v>2.0</v>
      </c>
      <c r="AA145" s="481">
        <v>4.0</v>
      </c>
      <c r="AB145" s="481">
        <v>4.0</v>
      </c>
      <c r="AC145" s="481">
        <v>0.0</v>
      </c>
      <c r="AD145" s="481">
        <v>0.0</v>
      </c>
      <c r="AE145" s="492">
        <v>0.0</v>
      </c>
      <c r="AF145" s="481">
        <v>0.0</v>
      </c>
      <c r="AG145" s="534">
        <f t="shared" si="46"/>
        <v>18</v>
      </c>
      <c r="AH145" s="481">
        <v>2.0</v>
      </c>
      <c r="AI145" s="481">
        <v>2.0</v>
      </c>
      <c r="AJ145" s="481">
        <v>2.0</v>
      </c>
      <c r="AK145" s="481">
        <v>2.0</v>
      </c>
      <c r="AL145" s="481">
        <v>2.0</v>
      </c>
      <c r="AM145" s="481">
        <v>4.0</v>
      </c>
      <c r="AN145" s="481">
        <v>4.0</v>
      </c>
      <c r="AO145" s="481">
        <v>0.0</v>
      </c>
      <c r="AP145" s="481">
        <v>0.0</v>
      </c>
      <c r="AQ145" s="492">
        <v>0.0</v>
      </c>
      <c r="AR145" s="481">
        <v>0.0</v>
      </c>
      <c r="AS145" s="533">
        <f t="shared" si="47"/>
        <v>18</v>
      </c>
      <c r="AT145" s="535">
        <f t="shared" si="48"/>
        <v>36</v>
      </c>
      <c r="AU145" s="484">
        <v>347.0</v>
      </c>
      <c r="AV145" s="484">
        <v>393.0</v>
      </c>
      <c r="AW145" s="484">
        <v>65.03</v>
      </c>
      <c r="AX145" s="484">
        <v>453.2591</v>
      </c>
      <c r="AY145" s="504"/>
      <c r="AZ145" s="487">
        <f t="shared" si="49"/>
        <v>0</v>
      </c>
      <c r="BA145" s="487">
        <f t="shared" si="50"/>
        <v>8158.6638</v>
      </c>
      <c r="BB145" s="487">
        <f t="shared" si="51"/>
        <v>8158.6638</v>
      </c>
      <c r="BC145" s="487">
        <f t="shared" si="52"/>
        <v>16317.3276</v>
      </c>
      <c r="BD145" s="489"/>
      <c r="BE145" s="505"/>
      <c r="BF145" s="412"/>
    </row>
    <row r="146" ht="15.75" customHeight="1">
      <c r="A146" s="567" t="s">
        <v>2852</v>
      </c>
      <c r="B146" s="567" t="s">
        <v>3716</v>
      </c>
      <c r="C146" s="567" t="s">
        <v>3028</v>
      </c>
      <c r="D146" s="567" t="s">
        <v>1774</v>
      </c>
      <c r="E146" s="567"/>
      <c r="F146" s="567" t="s">
        <v>3704</v>
      </c>
      <c r="G146" s="461">
        <v>1.1180975E7</v>
      </c>
      <c r="H146" s="568" t="s">
        <v>3705</v>
      </c>
      <c r="I146" s="567" t="s">
        <v>3706</v>
      </c>
      <c r="J146" s="461">
        <v>102600.0</v>
      </c>
      <c r="K146" s="461">
        <v>63180.0</v>
      </c>
      <c r="L146" s="461">
        <v>91260.0</v>
      </c>
      <c r="M146" s="461">
        <v>58860.0</v>
      </c>
      <c r="N146" s="461">
        <v>43200.0</v>
      </c>
      <c r="O146" s="461">
        <v>113400.0</v>
      </c>
      <c r="P146" s="461">
        <v>70740.0</v>
      </c>
      <c r="Q146" s="461">
        <v>85860.0</v>
      </c>
      <c r="R146" s="461">
        <v>14040.0</v>
      </c>
      <c r="S146" s="461">
        <v>45900.0</v>
      </c>
      <c r="T146" s="461">
        <v>0.0</v>
      </c>
      <c r="U146" s="522"/>
      <c r="V146" s="461"/>
      <c r="W146" s="461"/>
      <c r="X146" s="461"/>
      <c r="Y146" s="461"/>
      <c r="Z146" s="461"/>
      <c r="AA146" s="461"/>
      <c r="AB146" s="461"/>
      <c r="AC146" s="461"/>
      <c r="AD146" s="461"/>
      <c r="AE146" s="461"/>
      <c r="AF146" s="461"/>
      <c r="AG146" s="522"/>
      <c r="AH146" s="461"/>
      <c r="AI146" s="461"/>
      <c r="AJ146" s="461"/>
      <c r="AK146" s="461"/>
      <c r="AL146" s="461"/>
      <c r="AM146" s="461"/>
      <c r="AN146" s="461"/>
      <c r="AO146" s="461"/>
      <c r="AP146" s="461"/>
      <c r="AQ146" s="461"/>
      <c r="AR146" s="461"/>
      <c r="AS146" s="522"/>
      <c r="AT146" s="572"/>
      <c r="AU146" s="573">
        <v>0.0</v>
      </c>
      <c r="AV146" s="572">
        <v>42.0</v>
      </c>
      <c r="AW146" s="461"/>
      <c r="AX146" s="461"/>
      <c r="AY146" s="468">
        <v>0.0</v>
      </c>
      <c r="AZ146" s="469">
        <v>0.0</v>
      </c>
      <c r="BA146" s="469">
        <v>0.0</v>
      </c>
      <c r="BB146" s="469">
        <v>0.0</v>
      </c>
      <c r="BC146" s="469">
        <v>0.0</v>
      </c>
      <c r="BD146" s="498"/>
      <c r="BE146" s="499" t="s">
        <v>3684</v>
      </c>
      <c r="BF146" s="412"/>
    </row>
    <row r="147" ht="15.75" customHeight="1">
      <c r="A147" s="562"/>
      <c r="B147" s="562"/>
      <c r="C147" s="562"/>
      <c r="D147" s="562"/>
      <c r="E147" s="562"/>
      <c r="F147" s="562"/>
      <c r="G147" s="481"/>
      <c r="H147" s="571"/>
      <c r="I147" s="562"/>
      <c r="J147" s="481"/>
      <c r="K147" s="481"/>
      <c r="L147" s="481"/>
      <c r="M147" s="481"/>
      <c r="N147" s="481"/>
      <c r="O147" s="481"/>
      <c r="P147" s="481"/>
      <c r="Q147" s="481"/>
      <c r="R147" s="481"/>
      <c r="S147" s="481"/>
      <c r="T147" s="481"/>
      <c r="U147" s="481"/>
      <c r="V147" s="481"/>
      <c r="W147" s="481"/>
      <c r="X147" s="481"/>
      <c r="Y147" s="481"/>
      <c r="Z147" s="481"/>
      <c r="AA147" s="481"/>
      <c r="AB147" s="481"/>
      <c r="AC147" s="481"/>
      <c r="AD147" s="481"/>
      <c r="AE147" s="481"/>
      <c r="AF147" s="481"/>
      <c r="AG147" s="481"/>
      <c r="AH147" s="481"/>
      <c r="AI147" s="481"/>
      <c r="AJ147" s="481"/>
      <c r="AK147" s="481"/>
      <c r="AL147" s="481"/>
      <c r="AM147" s="481"/>
      <c r="AN147" s="481"/>
      <c r="AO147" s="481"/>
      <c r="AP147" s="481"/>
      <c r="AQ147" s="481"/>
      <c r="AR147" s="481"/>
      <c r="AS147" s="481"/>
      <c r="AT147" s="481"/>
      <c r="AU147" s="484"/>
      <c r="AV147" s="481"/>
      <c r="AW147" s="481"/>
      <c r="AX147" s="481"/>
      <c r="AY147" s="486"/>
      <c r="AZ147" s="487"/>
      <c r="BA147" s="487"/>
      <c r="BB147" s="487"/>
      <c r="BC147" s="487"/>
      <c r="BD147" s="508"/>
      <c r="BE147" s="487"/>
      <c r="BF147" s="412" t="s">
        <v>1782</v>
      </c>
    </row>
    <row r="148" ht="15.75" customHeight="1">
      <c r="A148" s="568"/>
      <c r="B148" s="568"/>
      <c r="C148" s="568"/>
      <c r="D148" s="568"/>
      <c r="E148" s="568"/>
      <c r="F148" s="568"/>
      <c r="G148" s="466"/>
      <c r="H148" s="568"/>
      <c r="I148" s="568"/>
      <c r="J148" s="461"/>
      <c r="K148" s="461"/>
      <c r="L148" s="461"/>
      <c r="M148" s="461"/>
      <c r="N148" s="461"/>
      <c r="O148" s="461"/>
      <c r="P148" s="461"/>
      <c r="Q148" s="461"/>
      <c r="R148" s="461"/>
      <c r="S148" s="461"/>
      <c r="T148" s="461"/>
      <c r="U148" s="466"/>
      <c r="V148" s="461"/>
      <c r="W148" s="461"/>
      <c r="X148" s="461"/>
      <c r="Y148" s="461"/>
      <c r="Z148" s="461"/>
      <c r="AA148" s="461"/>
      <c r="AB148" s="461"/>
      <c r="AC148" s="461"/>
      <c r="AD148" s="461"/>
      <c r="AE148" s="461"/>
      <c r="AF148" s="461"/>
      <c r="AG148" s="466"/>
      <c r="AH148" s="461"/>
      <c r="AI148" s="461"/>
      <c r="AJ148" s="461"/>
      <c r="AK148" s="461"/>
      <c r="AL148" s="461"/>
      <c r="AM148" s="461"/>
      <c r="AN148" s="461"/>
      <c r="AO148" s="461"/>
      <c r="AP148" s="461"/>
      <c r="AQ148" s="461"/>
      <c r="AR148" s="461"/>
      <c r="AS148" s="466"/>
      <c r="AT148" s="466"/>
      <c r="AU148" s="466"/>
      <c r="AV148" s="466"/>
      <c r="AW148" s="466"/>
      <c r="AX148" s="466"/>
      <c r="AY148" s="468"/>
      <c r="AZ148" s="469"/>
      <c r="BA148" s="469"/>
      <c r="BB148" s="469"/>
      <c r="BC148" s="469"/>
      <c r="BD148" s="498"/>
      <c r="BE148" s="518"/>
      <c r="BF148" s="412"/>
    </row>
    <row r="149" ht="15.75" customHeight="1">
      <c r="A149" s="578"/>
      <c r="B149" s="578"/>
      <c r="C149" s="578"/>
      <c r="D149" s="578"/>
      <c r="E149" s="579"/>
      <c r="F149" s="579"/>
      <c r="G149" s="580"/>
      <c r="H149" s="578"/>
      <c r="I149" s="578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2"/>
      <c r="V149" s="581"/>
      <c r="W149" s="581"/>
      <c r="X149" s="581"/>
      <c r="Y149" s="581"/>
      <c r="Z149" s="581"/>
      <c r="AA149" s="581"/>
      <c r="AB149" s="581"/>
      <c r="AC149" s="581"/>
      <c r="AD149" s="581"/>
      <c r="AE149" s="583"/>
      <c r="AF149" s="581"/>
      <c r="AG149" s="582"/>
      <c r="AH149" s="581"/>
      <c r="AI149" s="581"/>
      <c r="AJ149" s="581"/>
      <c r="AK149" s="581"/>
      <c r="AL149" s="581"/>
      <c r="AM149" s="581"/>
      <c r="AN149" s="581"/>
      <c r="AO149" s="581"/>
      <c r="AP149" s="581"/>
      <c r="AQ149" s="583"/>
      <c r="AR149" s="581"/>
      <c r="AS149" s="582"/>
      <c r="AT149" s="584"/>
      <c r="AU149" s="585"/>
      <c r="AV149" s="585"/>
      <c r="AW149" s="580"/>
      <c r="AX149" s="580"/>
      <c r="AY149" s="586"/>
      <c r="AZ149" s="587"/>
      <c r="BA149" s="587"/>
      <c r="BB149" s="587"/>
      <c r="BC149" s="587"/>
      <c r="BD149" s="412"/>
      <c r="BE149" s="1048" t="s">
        <v>3717</v>
      </c>
      <c r="BF149" s="412"/>
    </row>
    <row r="150" ht="15.75" customHeight="1">
      <c r="A150" s="590" t="s">
        <v>1820</v>
      </c>
      <c r="B150" s="591"/>
      <c r="C150" s="590"/>
      <c r="D150" s="590"/>
      <c r="E150" s="592"/>
      <c r="F150" s="592"/>
      <c r="G150" s="593"/>
      <c r="H150" s="591"/>
      <c r="I150" s="590"/>
      <c r="J150" s="590"/>
      <c r="K150" s="590"/>
      <c r="L150" s="590"/>
      <c r="M150" s="590"/>
      <c r="N150" s="590"/>
      <c r="O150" s="590"/>
      <c r="P150" s="590"/>
      <c r="Q150" s="590"/>
      <c r="R150" s="590"/>
      <c r="S150" s="590"/>
      <c r="T150" s="590"/>
      <c r="U150" s="588">
        <f>SUMIF($D$4:$D$149,"=TDB",U4:$AZ$149)</f>
        <v>21444</v>
      </c>
      <c r="V150" s="590"/>
      <c r="W150" s="590"/>
      <c r="X150" s="590"/>
      <c r="Y150" s="590"/>
      <c r="Z150" s="590"/>
      <c r="AA150" s="590"/>
      <c r="AB150" s="590"/>
      <c r="AC150" s="590"/>
      <c r="AD150" s="590"/>
      <c r="AE150" s="590"/>
      <c r="AF150" s="590"/>
      <c r="AG150" s="593"/>
      <c r="AH150" s="590"/>
      <c r="AI150" s="590"/>
      <c r="AJ150" s="590"/>
      <c r="AK150" s="590"/>
      <c r="AL150" s="590"/>
      <c r="AM150" s="590"/>
      <c r="AN150" s="590"/>
      <c r="AO150" s="590"/>
      <c r="AP150" s="590"/>
      <c r="AQ150" s="590"/>
      <c r="AR150" s="590"/>
      <c r="AS150" s="593"/>
      <c r="AT150" s="1049">
        <f>SUM(AT4:AT147)</f>
        <v>108067</v>
      </c>
      <c r="AU150" s="593"/>
      <c r="AV150" s="593"/>
      <c r="AW150" s="593"/>
      <c r="AX150" s="412"/>
      <c r="AY150" s="588"/>
      <c r="AZ150" s="588">
        <f>SUMIF($D$4:$D$149,"=TDB",AZ4:$AZ$149)</f>
        <v>5612149.069</v>
      </c>
      <c r="BA150" s="588">
        <f>SUMIF($D$4:$D$149,"=TDB",$BA$4:$BA$149)</f>
        <v>10683114.58</v>
      </c>
      <c r="BB150" s="588">
        <f>SUMIF($D$4:$D$149,"=TDB",$BB$4:$BB$149)</f>
        <v>10734992.01</v>
      </c>
      <c r="BC150" s="588">
        <f t="shared" ref="BC150:BC151" si="53">BB150+BA150+AZ150</f>
        <v>27030255.66</v>
      </c>
      <c r="BD150" s="597" t="s">
        <v>2943</v>
      </c>
      <c r="BE150" s="588"/>
      <c r="BF150" s="412"/>
    </row>
    <row r="151" ht="15.75" customHeight="1">
      <c r="A151" s="590"/>
      <c r="B151" s="591"/>
      <c r="C151" s="590"/>
      <c r="D151" s="590"/>
      <c r="E151" s="592"/>
      <c r="F151" s="592"/>
      <c r="G151" s="593"/>
      <c r="H151" s="591"/>
      <c r="I151" s="590"/>
      <c r="J151" s="590"/>
      <c r="K151" s="590"/>
      <c r="L151" s="590"/>
      <c r="M151" s="590"/>
      <c r="N151" s="590"/>
      <c r="O151" s="590"/>
      <c r="P151" s="590"/>
      <c r="Q151" s="590"/>
      <c r="R151" s="590"/>
      <c r="S151" s="590"/>
      <c r="T151" s="590"/>
      <c r="U151" s="593"/>
      <c r="V151" s="590"/>
      <c r="W151" s="590"/>
      <c r="X151" s="590"/>
      <c r="Y151" s="590"/>
      <c r="Z151" s="590"/>
      <c r="AA151" s="590"/>
      <c r="AB151" s="590"/>
      <c r="AC151" s="590"/>
      <c r="AD151" s="590"/>
      <c r="AE151" s="590"/>
      <c r="AF151" s="590"/>
      <c r="AG151" s="593"/>
      <c r="AH151" s="590"/>
      <c r="AI151" s="590"/>
      <c r="AJ151" s="590"/>
      <c r="AK151" s="590"/>
      <c r="AL151" s="590"/>
      <c r="AM151" s="590"/>
      <c r="AN151" s="590"/>
      <c r="AO151" s="590"/>
      <c r="AP151" s="590"/>
      <c r="AQ151" s="590"/>
      <c r="AR151" s="590"/>
      <c r="AS151" s="593"/>
      <c r="AT151" s="593"/>
      <c r="AU151" s="593"/>
      <c r="AV151" s="593"/>
      <c r="AW151" s="593"/>
      <c r="AX151" s="412"/>
      <c r="AY151" s="588"/>
      <c r="AZ151" s="588">
        <f>SUMIF($D$4:$D$149,"=LOCAL",$AZ$4:$AZ$149)</f>
        <v>0</v>
      </c>
      <c r="BA151" s="588">
        <f>SUMIF($D$4:$D$149,"=LOCAL",$BA$4:$BA$149)</f>
        <v>0</v>
      </c>
      <c r="BB151" s="588">
        <f>SUMIF($D$4:$D$149,"=LOCAL",$BB$4:$BB$149)</f>
        <v>0</v>
      </c>
      <c r="BC151" s="588">
        <f t="shared" si="53"/>
        <v>0</v>
      </c>
      <c r="BD151" s="597" t="s">
        <v>2944</v>
      </c>
      <c r="BE151" s="588"/>
      <c r="BF151" s="412"/>
    </row>
  </sheetData>
  <autoFilter ref="$A$3:$BE$149">
    <sortState ref="A3:BE149">
      <sortCondition descending="1" ref="AZ3:AZ149"/>
    </sortState>
  </autoFilter>
  <customSheetViews>
    <customSheetView guid="{C0B14D99-5A09-4773-B0A4-8BF91D71F9EE}" filter="1" showAutoFilter="1">
      <autoFilter ref="$A$3:$AX$150"/>
    </customSheetView>
  </customSheetViews>
  <mergeCells count="1">
    <mergeCell ref="AW2:AX2"/>
  </mergeCells>
  <printOptions/>
  <pageMargins bottom="0.75" footer="0.0" header="0.0" left="0.7" right="0.7" top="0.75"/>
  <pageSetup orientation="portrait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4" max="4" width="49.71"/>
    <col customWidth="1" min="6" max="6" width="9.86"/>
    <col customWidth="1" min="9" max="9" width="16.43"/>
  </cols>
  <sheetData>
    <row r="1">
      <c r="A1" s="90" t="s">
        <v>79</v>
      </c>
      <c r="B1" s="1050" t="s">
        <v>1770</v>
      </c>
      <c r="D1" s="93"/>
      <c r="G1" s="93"/>
      <c r="I1" s="93"/>
      <c r="L1" s="1051"/>
      <c r="M1" s="1051"/>
      <c r="N1" s="1051"/>
    </row>
    <row r="2">
      <c r="A2" s="90" t="s">
        <v>1758</v>
      </c>
      <c r="B2" s="90" t="s">
        <v>2656</v>
      </c>
      <c r="C2" s="103" t="str">
        <f>IFERROR(__xludf.DUMMYFUNCTION("IMPORTRANGE(B1,""RESUMEN!A2:U"")"),"ID Cotizado")</f>
        <v>ID Cotizado</v>
      </c>
      <c r="D2" s="93" t="str">
        <f>IFERROR(__xludf.DUMMYFUNCTION("""COMPUTED_VALUE"""),"Descripción del Bien")</f>
        <v>Descripción del Bien</v>
      </c>
      <c r="E2" s="1"/>
      <c r="F2" s="1" t="str">
        <f>IFERROR(__xludf.DUMMYFUNCTION("""COMPUTED_VALUE"""),"Fuente")</f>
        <v>Fuente</v>
      </c>
      <c r="G2" s="93" t="str">
        <f>IFERROR(__xludf.DUMMYFUNCTION("""COMPUTED_VALUE"""),"Proveedor")</f>
        <v>Proveedor</v>
      </c>
      <c r="H2" s="1" t="str">
        <f>IFERROR(__xludf.DUMMYFUNCTION("""COMPUTED_VALUE"""),"Unid.")</f>
        <v>Unid.</v>
      </c>
      <c r="I2" s="93" t="str">
        <f>IFERROR(__xludf.DUMMYFUNCTION("""COMPUTED_VALUE"""),"Unidad")</f>
        <v>Unidad</v>
      </c>
      <c r="J2" s="1" t="str">
        <f>IFERROR(__xludf.DUMMYFUNCTION("""COMPUTED_VALUE"""),"Precio Unitario")</f>
        <v>Precio Unitario</v>
      </c>
      <c r="K2" s="1" t="str">
        <f>IFERROR(__xludf.DUMMYFUNCTION("""COMPUTED_VALUE"""),"Q 2024")</f>
        <v>Q 2024</v>
      </c>
      <c r="L2" s="1" t="str">
        <f>IFERROR(__xludf.DUMMYFUNCTION("""COMPUTED_VALUE"""),"Q 2025")</f>
        <v>Q 2025</v>
      </c>
      <c r="M2" s="1" t="str">
        <f>IFERROR(__xludf.DUMMYFUNCTION("""COMPUTED_VALUE"""),"Q 2026")</f>
        <v>Q 2026</v>
      </c>
      <c r="N2" s="1" t="str">
        <f>IFERROR(__xludf.DUMMYFUNCTION("""COMPUTED_VALUE"""),"Q Total")</f>
        <v>Q Total</v>
      </c>
      <c r="O2" s="1" t="str">
        <f>IFERROR(__xludf.DUMMYFUNCTION("""COMPUTED_VALUE"""),"Bs 2024")</f>
        <v>Bs 2024</v>
      </c>
      <c r="P2" s="1" t="str">
        <f>IFERROR(__xludf.DUMMYFUNCTION("""COMPUTED_VALUE"""),"Bs 2025")</f>
        <v>Bs 2025</v>
      </c>
      <c r="Q2" s="1" t="str">
        <f>IFERROR(__xludf.DUMMYFUNCTION("""COMPUTED_VALUE"""),"Bs 2026")</f>
        <v>Bs 2026</v>
      </c>
      <c r="R2" s="1" t="str">
        <f>IFERROR(__xludf.DUMMYFUNCTION("""COMPUTED_VALUE"""),"TOTAL BS")</f>
        <v>TOTAL BS</v>
      </c>
      <c r="S2" s="1" t="str">
        <f>IFERROR(__xludf.DUMMYFUNCTION("""COMPUTED_VALUE"""),"Observaciones")</f>
        <v>Observaciones</v>
      </c>
      <c r="T2" s="1" t="str">
        <f>IFERROR(__xludf.DUMMYFUNCTION("""COMPUTED_VALUE"""),"Notas")</f>
        <v>Notas</v>
      </c>
      <c r="U2" s="104" t="str">
        <f>IFERROR(__xludf.DUMMYFUNCTION("""COMPUTED_VALUE"""),"Precio $us")</f>
        <v>Precio $us</v>
      </c>
      <c r="V2" s="1" t="str">
        <f>IFERROR(__xludf.DUMMYFUNCTION("""COMPUTED_VALUE"""),"Entrega 2024")</f>
        <v>Entrega 2024</v>
      </c>
      <c r="W2" s="1" t="str">
        <f>IFERROR(__xludf.DUMMYFUNCTION("""COMPUTED_VALUE"""),"Entrega 2025")</f>
        <v>Entrega 2025</v>
      </c>
    </row>
    <row r="3">
      <c r="A3" s="90" t="s">
        <v>79</v>
      </c>
      <c r="B3" s="90">
        <v>13.0</v>
      </c>
      <c r="C3" s="103" t="str">
        <f>IFERROR(__xludf.DUMMYFUNCTION("""COMPUTED_VALUE"""),"3-02-00033")</f>
        <v>3-02-00033</v>
      </c>
      <c r="D3" s="93" t="str">
        <f>IFERROR(__xludf.DUMMYFUNCTION("""COMPUTED_VALUE"""),"GRASA ROJA 
 MOBILITCH 460 SHC - VOLANTES Y  
(COMPRA LOCAL 2023)  ")</f>
        <v>GRASA ROJA 
 MOBILITCH 460 SHC - VOLANTES Y  
(COMPRA LOCAL 2023)  </v>
      </c>
      <c r="E3" s="1" t="b">
        <f>IFERROR(__xludf.DUMMYFUNCTION("""COMPUTED_VALUE"""),TRUE)</f>
        <v>1</v>
      </c>
      <c r="F3" s="1" t="str">
        <f>IFERROR(__xludf.DUMMYFUNCTION("""COMPUTED_VALUE"""),"LOCAL")</f>
        <v>LOCAL</v>
      </c>
      <c r="G3" s="93" t="str">
        <f>IFERROR(__xludf.DUMMYFUNCTION("""COMPUTED_VALUE"""),"COMSER")</f>
        <v>COMSER</v>
      </c>
      <c r="H3" s="1" t="str">
        <f>IFERROR(__xludf.DUMMYFUNCTION("""COMPUTED_VALUE"""),"Balde")</f>
        <v>Balde</v>
      </c>
      <c r="I3" s="93" t="str">
        <f>IFERROR(__xludf.DUMMYFUNCTION("""COMPUTED_VALUE"""),"BALDES 16 KILOGRAMOS  ")</f>
        <v>BALDES 16 KILOGRAMOS  </v>
      </c>
      <c r="J3" s="104">
        <f>IFERROR(__xludf.DUMMYFUNCTION("""COMPUTED_VALUE"""),4715.0)</f>
        <v>4715</v>
      </c>
      <c r="K3" s="1052">
        <f>IFERROR(__xludf.DUMMYFUNCTION("""COMPUTED_VALUE"""),19.0)</f>
        <v>19</v>
      </c>
      <c r="L3" s="1052">
        <f>IFERROR(__xludf.DUMMYFUNCTION("""COMPUTED_VALUE"""),19.0)</f>
        <v>19</v>
      </c>
      <c r="M3" s="1052">
        <f>IFERROR(__xludf.DUMMYFUNCTION("""COMPUTED_VALUE"""),19.0)</f>
        <v>19</v>
      </c>
      <c r="N3" s="1052">
        <f>IFERROR(__xludf.DUMMYFUNCTION("""COMPUTED_VALUE"""),57.0)</f>
        <v>57</v>
      </c>
      <c r="O3" s="104">
        <f>IFERROR(__xludf.DUMMYFUNCTION("""COMPUTED_VALUE"""),89585.0)</f>
        <v>89585</v>
      </c>
      <c r="P3" s="104">
        <f>IFERROR(__xludf.DUMMYFUNCTION("""COMPUTED_VALUE"""),89585.0)</f>
        <v>89585</v>
      </c>
      <c r="Q3" s="104">
        <f>IFERROR(__xludf.DUMMYFUNCTION("""COMPUTED_VALUE"""),89585.0)</f>
        <v>89585</v>
      </c>
      <c r="R3" s="104">
        <f>IFERROR(__xludf.DUMMYFUNCTION("""COMPUTED_VALUE"""),268755.0)</f>
        <v>268755</v>
      </c>
      <c r="S3" s="1"/>
      <c r="T3" s="1"/>
      <c r="U3" s="1"/>
      <c r="V3" s="1">
        <f>IFERROR(__xludf.DUMMYFUNCTION("""COMPUTED_VALUE"""),1.0)</f>
        <v>1</v>
      </c>
      <c r="W3" s="1">
        <f>IFERROR(__xludf.DUMMYFUNCTION("""COMPUTED_VALUE"""),1.0)</f>
        <v>1</v>
      </c>
    </row>
    <row r="4">
      <c r="A4" s="90" t="s">
        <v>79</v>
      </c>
      <c r="B4" s="90">
        <v>14.0</v>
      </c>
      <c r="C4" s="103" t="str">
        <f>IFERROR(__xludf.DUMMYFUNCTION("""COMPUTED_VALUE"""),"3-02-00001")</f>
        <v>3-02-00001</v>
      </c>
      <c r="D4" s="93" t="str">
        <f>IFERROR(__xludf.DUMMYFUNCTION("""COMPUTED_VALUE"""),"GRASA BLANCA
INTERLFON LT 2 - PINZAS DE CABINAS 
(COMPRA LOCAL 2023)  ")</f>
        <v>GRASA BLANCA
INTERLFON LT 2 - PINZAS DE CABINAS 
(COMPRA LOCAL 2023)  </v>
      </c>
      <c r="E4" s="1" t="b">
        <f>IFERROR(__xludf.DUMMYFUNCTION("""COMPUTED_VALUE"""),TRUE)</f>
        <v>1</v>
      </c>
      <c r="F4" s="1" t="str">
        <f>IFERROR(__xludf.DUMMYFUNCTION("""COMPUTED_VALUE"""),"LOCAL")</f>
        <v>LOCAL</v>
      </c>
      <c r="G4" s="93" t="str">
        <f>IFERROR(__xludf.DUMMYFUNCTION("""COMPUTED_VALUE"""),"EMPRESA SOLUCIONES INDUSTRIALES SAMAN")</f>
        <v>EMPRESA SOLUCIONES INDUSTRIALES SAMAN</v>
      </c>
      <c r="H4" s="1" t="str">
        <f>IFERROR(__xludf.DUMMYFUNCTION("""COMPUTED_VALUE"""),"Pza")</f>
        <v>Pza</v>
      </c>
      <c r="I4" s="93" t="str">
        <f>IFERROR(__xludf.DUMMYFUNCTION("""COMPUTED_VALUE"""),"CARTUCHOS 400 GRAMOS ")</f>
        <v>CARTUCHOS 400 GRAMOS </v>
      </c>
      <c r="J4" s="104">
        <f>IFERROR(__xludf.DUMMYFUNCTION("""COMPUTED_VALUE"""),489.45)</f>
        <v>489.45</v>
      </c>
      <c r="K4" s="1052">
        <f>IFERROR(__xludf.DUMMYFUNCTION("""COMPUTED_VALUE"""),704.715)</f>
        <v>704.715</v>
      </c>
      <c r="L4" s="1052">
        <f>IFERROR(__xludf.DUMMYFUNCTION("""COMPUTED_VALUE"""),804.715)</f>
        <v>804.715</v>
      </c>
      <c r="M4" s="1052">
        <f>IFERROR(__xludf.DUMMYFUNCTION("""COMPUTED_VALUE"""),804.715)</f>
        <v>804.715</v>
      </c>
      <c r="N4" s="1052">
        <f>IFERROR(__xludf.DUMMYFUNCTION("""COMPUTED_VALUE"""),2314.145)</f>
        <v>2314.145</v>
      </c>
      <c r="O4" s="104">
        <f>IFERROR(__xludf.DUMMYFUNCTION("""COMPUTED_VALUE"""),344922.75675)</f>
        <v>344922.7568</v>
      </c>
      <c r="P4" s="104">
        <f>IFERROR(__xludf.DUMMYFUNCTION("""COMPUTED_VALUE"""),393867.75675)</f>
        <v>393867.7568</v>
      </c>
      <c r="Q4" s="104">
        <f>IFERROR(__xludf.DUMMYFUNCTION("""COMPUTED_VALUE"""),393867.75675)</f>
        <v>393867.7568</v>
      </c>
      <c r="R4" s="104">
        <f>IFERROR(__xludf.DUMMYFUNCTION("""COMPUTED_VALUE"""),1132658.27025)</f>
        <v>1132658.27</v>
      </c>
      <c r="S4" s="1"/>
      <c r="T4" s="1052" t="str">
        <f>IFERROR(__xludf.DUMMYFUNCTION("""COMPUTED_VALUE"""),"146 almcaen")</f>
        <v>146 almcaen</v>
      </c>
      <c r="U4" s="1"/>
      <c r="V4" s="1">
        <f>IFERROR(__xludf.DUMMYFUNCTION("""COMPUTED_VALUE"""),1.0)</f>
        <v>1</v>
      </c>
      <c r="W4" s="1"/>
    </row>
    <row r="5">
      <c r="A5" s="90" t="s">
        <v>79</v>
      </c>
      <c r="B5" s="90">
        <v>13.0</v>
      </c>
      <c r="C5" s="103" t="str">
        <f>IFERROR(__xludf.DUMMYFUNCTION("""COMPUTED_VALUE"""),"3-02-00002")</f>
        <v>3-02-00002</v>
      </c>
      <c r="D5" s="93" t="str">
        <f>IFERROR(__xludf.DUMMYFUNCTION("""COMPUTED_VALUE"""),"GRASA AZUL 
XHP222 - MOBIL - CABINAS - BALANCINES - RODAMIENTOS 
(COMPRA LOCAL 2023)  ")</f>
        <v>GRASA AZUL 
XHP222 - MOBIL - CABINAS - BALANCINES - RODAMIENTOS 
(COMPRA LOCAL 2023)  </v>
      </c>
      <c r="E5" s="1" t="b">
        <f>IFERROR(__xludf.DUMMYFUNCTION("""COMPUTED_VALUE"""),TRUE)</f>
        <v>1</v>
      </c>
      <c r="F5" s="1" t="str">
        <f>IFERROR(__xludf.DUMMYFUNCTION("""COMPUTED_VALUE"""),"LOCAL")</f>
        <v>LOCAL</v>
      </c>
      <c r="G5" s="93" t="str">
        <f>IFERROR(__xludf.DUMMYFUNCTION("""COMPUTED_VALUE"""),"COMSER")</f>
        <v>COMSER</v>
      </c>
      <c r="H5" s="1" t="str">
        <f>IFERROR(__xludf.DUMMYFUNCTION("""COMPUTED_VALUE"""),"Balde")</f>
        <v>Balde</v>
      </c>
      <c r="I5" s="93" t="str">
        <f>IFERROR(__xludf.DUMMYFUNCTION("""COMPUTED_VALUE"""),"BALDES DE 20 KILOGRAMOS ")</f>
        <v>BALDES DE 20 KILOGRAMOS </v>
      </c>
      <c r="J5" s="104">
        <f>IFERROR(__xludf.DUMMYFUNCTION("""COMPUTED_VALUE"""),2885.0)</f>
        <v>2885</v>
      </c>
      <c r="K5" s="1052">
        <f>IFERROR(__xludf.DUMMYFUNCTION("""COMPUTED_VALUE"""),160.0)</f>
        <v>160</v>
      </c>
      <c r="L5" s="1052">
        <f>IFERROR(__xludf.DUMMYFUNCTION("""COMPUTED_VALUE"""),179.5035)</f>
        <v>179.5035</v>
      </c>
      <c r="M5" s="1052">
        <f>IFERROR(__xludf.DUMMYFUNCTION("""COMPUTED_VALUE"""),179.5035)</f>
        <v>179.5035</v>
      </c>
      <c r="N5" s="1052">
        <f>IFERROR(__xludf.DUMMYFUNCTION("""COMPUTED_VALUE"""),519.0070000000001)</f>
        <v>519.007</v>
      </c>
      <c r="O5" s="104">
        <f>IFERROR(__xludf.DUMMYFUNCTION("""COMPUTED_VALUE"""),461600.0)</f>
        <v>461600</v>
      </c>
      <c r="P5" s="104">
        <f>IFERROR(__xludf.DUMMYFUNCTION("""COMPUTED_VALUE"""),517867.59750000003)</f>
        <v>517867.5975</v>
      </c>
      <c r="Q5" s="104">
        <f>IFERROR(__xludf.DUMMYFUNCTION("""COMPUTED_VALUE"""),517867.59750000003)</f>
        <v>517867.5975</v>
      </c>
      <c r="R5" s="104">
        <f>IFERROR(__xludf.DUMMYFUNCTION("""COMPUTED_VALUE"""),1497335.195)</f>
        <v>1497335.195</v>
      </c>
      <c r="S5" s="1"/>
      <c r="T5" s="1052" t="str">
        <f>IFERROR(__xludf.DUMMYFUNCTION("""COMPUTED_VALUE"""),"Se considera segun lo conversado con TRM. Ya se coordino con TRM.
70% asignar a lineas.
30% almacenar.
27 baldes almacen")</f>
        <v>Se considera segun lo conversado con TRM. Ya se coordino con TRM.
70% asignar a lineas.
30% almacenar.
27 baldes almacen</v>
      </c>
      <c r="U5" s="1"/>
      <c r="V5" s="1">
        <f>IFERROR(__xludf.DUMMYFUNCTION("""COMPUTED_VALUE"""),1.0)</f>
        <v>1</v>
      </c>
      <c r="W5" s="1"/>
    </row>
    <row r="6">
      <c r="A6" s="1053" t="s">
        <v>1827</v>
      </c>
      <c r="B6" s="90">
        <v>2.0</v>
      </c>
      <c r="C6" s="103" t="str">
        <f>IFERROR(__xludf.DUMMYFUNCTION("""COMPUTED_VALUE"""),"10072704")</f>
        <v>10072704</v>
      </c>
      <c r="D6" s="93" t="str">
        <f>IFERROR(__xludf.DUMMYFUNCTION("""COMPUTED_VALUE""")," ISO FLEX NBU 15 - Kluber 
GRASA PARA PERNOS DE SUSPENCIÓN ")</f>
        <v> ISO FLEX NBU 15 - Kluber 
GRASA PARA PERNOS DE SUSPENCIÓN </v>
      </c>
      <c r="E6" s="1" t="b">
        <f>IFERROR(__xludf.DUMMYFUNCTION("""COMPUTED_VALUE"""),FALSE)</f>
        <v>0</v>
      </c>
      <c r="F6" s="1" t="str">
        <f>IFERROR(__xludf.DUMMYFUNCTION("""COMPUTED_VALUE"""),"TDB")</f>
        <v>TDB</v>
      </c>
      <c r="G6" s="93" t="str">
        <f>IFERROR(__xludf.DUMMYFUNCTION("""COMPUTED_VALUE"""),"TDB")</f>
        <v>TDB</v>
      </c>
      <c r="H6" s="1" t="str">
        <f>IFERROR(__xludf.DUMMYFUNCTION("""COMPUTED_VALUE"""),"Pza")</f>
        <v>Pza</v>
      </c>
      <c r="I6" s="93" t="str">
        <f>IFERROR(__xludf.DUMMYFUNCTION("""COMPUTED_VALUE"""),"ENVASES DE 1 KILOGRAMO ")</f>
        <v>ENVASES DE 1 KILOGRAMO </v>
      </c>
      <c r="J6" s="104">
        <f>IFERROR(__xludf.DUMMYFUNCTION("""COMPUTED_VALUE"""),6423.732)</f>
        <v>6423.732</v>
      </c>
      <c r="K6" s="1052">
        <f>IFERROR(__xludf.DUMMYFUNCTION("""COMPUTED_VALUE"""),17.0)</f>
        <v>17</v>
      </c>
      <c r="L6" s="1052">
        <f>IFERROR(__xludf.DUMMYFUNCTION("""COMPUTED_VALUE"""),20.0)</f>
        <v>20</v>
      </c>
      <c r="M6" s="1052">
        <f>IFERROR(__xludf.DUMMYFUNCTION("""COMPUTED_VALUE"""),20.0)</f>
        <v>20</v>
      </c>
      <c r="N6" s="1052">
        <f>IFERROR(__xludf.DUMMYFUNCTION("""COMPUTED_VALUE"""),57.0)</f>
        <v>57</v>
      </c>
      <c r="O6" s="104">
        <f>IFERROR(__xludf.DUMMYFUNCTION("""COMPUTED_VALUE"""),109203.444)</f>
        <v>109203.444</v>
      </c>
      <c r="P6" s="104">
        <f>IFERROR(__xludf.DUMMYFUNCTION("""COMPUTED_VALUE"""),128474.64)</f>
        <v>128474.64</v>
      </c>
      <c r="Q6" s="104">
        <f>IFERROR(__xludf.DUMMYFUNCTION("""COMPUTED_VALUE"""),128474.64)</f>
        <v>128474.64</v>
      </c>
      <c r="R6" s="104">
        <f>IFERROR(__xludf.DUMMYFUNCTION("""COMPUTED_VALUE"""),366152.724)</f>
        <v>366152.724</v>
      </c>
      <c r="S6" s="1"/>
      <c r="T6" s="1052" t="str">
        <f>IFERROR(__xludf.DUMMYFUNCTION("""COMPUTED_VALUE"""),"3Kg en almacen")</f>
        <v>3Kg en almacen</v>
      </c>
      <c r="U6" s="104">
        <f>IFERROR(__xludf.DUMMYFUNCTION("""COMPUTED_VALUE"""),922.95)</f>
        <v>922.95</v>
      </c>
      <c r="V6" s="1">
        <f>IFERROR(__xludf.DUMMYFUNCTION("""COMPUTED_VALUE"""),1.0)</f>
        <v>1</v>
      </c>
      <c r="W6" s="1"/>
    </row>
    <row r="7">
      <c r="A7" s="1053" t="s">
        <v>1827</v>
      </c>
      <c r="B7" s="90">
        <v>2.0</v>
      </c>
      <c r="C7" s="103" t="str">
        <f>IFERROR(__xludf.DUMMYFUNCTION("""COMPUTED_VALUE"""),"10498861")</f>
        <v>10498861</v>
      </c>
      <c r="D7" s="93" t="str">
        <f>IFERROR(__xludf.DUMMYFUNCTION("""COMPUTED_VALUE"""),"UNISILKON GLK112 
GRASA LUBRICANTE - CABLE METFLEX ")</f>
        <v>UNISILKON GLK112 
GRASA LUBRICANTE - CABLE METFLEX </v>
      </c>
      <c r="E7" s="1" t="b">
        <f>IFERROR(__xludf.DUMMYFUNCTION("""COMPUTED_VALUE"""),TRUE)</f>
        <v>1</v>
      </c>
      <c r="F7" s="1" t="str">
        <f>IFERROR(__xludf.DUMMYFUNCTION("""COMPUTED_VALUE"""),"TDB")</f>
        <v>TDB</v>
      </c>
      <c r="G7" s="93" t="str">
        <f>IFERROR(__xludf.DUMMYFUNCTION("""COMPUTED_VALUE"""),"TDB")</f>
        <v>TDB</v>
      </c>
      <c r="H7" s="1" t="str">
        <f>IFERROR(__xludf.DUMMYFUNCTION("""COMPUTED_VALUE"""),"Pza")</f>
        <v>Pza</v>
      </c>
      <c r="I7" s="93" t="str">
        <f>IFERROR(__xludf.DUMMYFUNCTION("""COMPUTED_VALUE"""),"ENVASES DE 1 KILOGRAMO ")</f>
        <v>ENVASES DE 1 KILOGRAMO </v>
      </c>
      <c r="J7" s="104">
        <f>IFERROR(__xludf.DUMMYFUNCTION("""COMPUTED_VALUE"""),4458.0887999999995)</f>
        <v>4458.0888</v>
      </c>
      <c r="K7" s="1052">
        <f>IFERROR(__xludf.DUMMYFUNCTION("""COMPUTED_VALUE"""),25.0)</f>
        <v>25</v>
      </c>
      <c r="L7" s="1052">
        <f>IFERROR(__xludf.DUMMYFUNCTION("""COMPUTED_VALUE"""),25.0)</f>
        <v>25</v>
      </c>
      <c r="M7" s="1052">
        <f>IFERROR(__xludf.DUMMYFUNCTION("""COMPUTED_VALUE"""),25.0)</f>
        <v>25</v>
      </c>
      <c r="N7" s="1052">
        <f>IFERROR(__xludf.DUMMYFUNCTION("""COMPUTED_VALUE"""),75.0)</f>
        <v>75</v>
      </c>
      <c r="O7" s="104">
        <f>IFERROR(__xludf.DUMMYFUNCTION("""COMPUTED_VALUE"""),111452.21999999999)</f>
        <v>111452.22</v>
      </c>
      <c r="P7" s="104">
        <f>IFERROR(__xludf.DUMMYFUNCTION("""COMPUTED_VALUE"""),111452.21999999999)</f>
        <v>111452.22</v>
      </c>
      <c r="Q7" s="104">
        <f>IFERROR(__xludf.DUMMYFUNCTION("""COMPUTED_VALUE"""),111452.21999999999)</f>
        <v>111452.22</v>
      </c>
      <c r="R7" s="104">
        <f>IFERROR(__xludf.DUMMYFUNCTION("""COMPUTED_VALUE"""),334356.66)</f>
        <v>334356.66</v>
      </c>
      <c r="S7" s="1"/>
      <c r="T7" s="1052" t="str">
        <f>IFERROR(__xludf.DUMMYFUNCTION("""COMPUTED_VALUE"""),"No se tiene en almacen central.
No se reporta en lineas.
Necesario relevamiento en lineas")</f>
        <v>No se tiene en almacen central.
No se reporta en lineas.
Necesario relevamiento en lineas</v>
      </c>
      <c r="U7" s="104">
        <f>IFERROR(__xludf.DUMMYFUNCTION("""COMPUTED_VALUE"""),640.53)</f>
        <v>640.53</v>
      </c>
      <c r="V7" s="1">
        <f>IFERROR(__xludf.DUMMYFUNCTION("""COMPUTED_VALUE"""),1.0)</f>
        <v>1</v>
      </c>
      <c r="W7" s="1"/>
    </row>
    <row r="8">
      <c r="A8" s="1053" t="s">
        <v>1827</v>
      </c>
      <c r="B8" s="90">
        <v>2.0</v>
      </c>
      <c r="C8" s="103" t="str">
        <f>IFERROR(__xludf.DUMMYFUNCTION("""COMPUTED_VALUE"""),"10541941")</f>
        <v>10541941</v>
      </c>
      <c r="D8" s="93" t="str">
        <f>IFERROR(__xludf.DUMMYFUNCTION("""COMPUTED_VALUE"""),"RENOLD 
GRASA PARA CADENAS TRANSPORTADORAS DE VEHICULOS 
(TDB)")</f>
        <v>RENOLD 
GRASA PARA CADENAS TRANSPORTADORAS DE VEHICULOS 
(TDB)</v>
      </c>
      <c r="E8" s="1" t="b">
        <f>IFERROR(__xludf.DUMMYFUNCTION("""COMPUTED_VALUE"""),TRUE)</f>
        <v>1</v>
      </c>
      <c r="F8" s="1" t="str">
        <f>IFERROR(__xludf.DUMMYFUNCTION("""COMPUTED_VALUE"""),"TDB")</f>
        <v>TDB</v>
      </c>
      <c r="G8" s="93" t="str">
        <f>IFERROR(__xludf.DUMMYFUNCTION("""COMPUTED_VALUE"""),"TDB")</f>
        <v>TDB</v>
      </c>
      <c r="H8" s="1" t="str">
        <f>IFERROR(__xludf.DUMMYFUNCTION("""COMPUTED_VALUE"""),"Pza")</f>
        <v>Pza</v>
      </c>
      <c r="I8" s="93" t="str">
        <f>IFERROR(__xludf.DUMMYFUNCTION("""COMPUTED_VALUE"""),"LATAS DE GRASA EN SPRAY")</f>
        <v>LATAS DE GRASA EN SPRAY</v>
      </c>
      <c r="J8" s="104">
        <f>IFERROR(__xludf.DUMMYFUNCTION("""COMPUTED_VALUE"""),802.4184)</f>
        <v>802.4184</v>
      </c>
      <c r="K8" s="1052">
        <f>IFERROR(__xludf.DUMMYFUNCTION("""COMPUTED_VALUE"""),16.0)</f>
        <v>16</v>
      </c>
      <c r="L8" s="1052">
        <f>IFERROR(__xludf.DUMMYFUNCTION("""COMPUTED_VALUE"""),28.0)</f>
        <v>28</v>
      </c>
      <c r="M8" s="1052">
        <f>IFERROR(__xludf.DUMMYFUNCTION("""COMPUTED_VALUE"""),75.0)</f>
        <v>75</v>
      </c>
      <c r="N8" s="1052">
        <f>IFERROR(__xludf.DUMMYFUNCTION("""COMPUTED_VALUE"""),119.0)</f>
        <v>119</v>
      </c>
      <c r="O8" s="104">
        <f>IFERROR(__xludf.DUMMYFUNCTION("""COMPUTED_VALUE"""),12838.6944)</f>
        <v>12838.6944</v>
      </c>
      <c r="P8" s="104">
        <f>IFERROR(__xludf.DUMMYFUNCTION("""COMPUTED_VALUE"""),22467.7152)</f>
        <v>22467.7152</v>
      </c>
      <c r="Q8" s="104">
        <f>IFERROR(__xludf.DUMMYFUNCTION("""COMPUTED_VALUE"""),60181.380000000005)</f>
        <v>60181.38</v>
      </c>
      <c r="R8" s="104">
        <f>IFERROR(__xludf.DUMMYFUNCTION("""COMPUTED_VALUE"""),95487.7896)</f>
        <v>95487.7896</v>
      </c>
      <c r="S8" s="1"/>
      <c r="T8" s="1052" t="str">
        <f>IFERROR(__xludf.DUMMYFUNCTION("""COMPUTED_VALUE"""),"Se quita de listado de repuestos y se añade a listado de lubricantes.
6 en almacen
137 en almacenes de linea
")</f>
        <v>Se quita de listado de repuestos y se añade a listado de lubricantes.
6 en almacen
137 en almacenes de linea
</v>
      </c>
      <c r="U8" s="104">
        <f>IFERROR(__xludf.DUMMYFUNCTION("""COMPUTED_VALUE"""),115.29)</f>
        <v>115.29</v>
      </c>
      <c r="V8" s="1">
        <f>IFERROR(__xludf.DUMMYFUNCTION("""COMPUTED_VALUE"""),1.0)</f>
        <v>1</v>
      </c>
      <c r="W8" s="1"/>
    </row>
    <row r="9">
      <c r="A9" s="90" t="s">
        <v>79</v>
      </c>
      <c r="B9" s="90">
        <v>13.0</v>
      </c>
      <c r="C9" s="103" t="str">
        <f>IFERROR(__xludf.DUMMYFUNCTION("""COMPUTED_VALUE"""),"3-01-00042")</f>
        <v>3-01-00042</v>
      </c>
      <c r="D9" s="93" t="str">
        <f>IFERROR(__xludf.DUMMYFUNCTION("""COMPUTED_VALUE"""),"Aceite Mobil shc 630 ")</f>
        <v>Aceite Mobil shc 630 </v>
      </c>
      <c r="E9" s="1" t="b">
        <f>IFERROR(__xludf.DUMMYFUNCTION("""COMPUTED_VALUE"""),TRUE)</f>
        <v>1</v>
      </c>
      <c r="F9" s="1" t="str">
        <f>IFERROR(__xludf.DUMMYFUNCTION("""COMPUTED_VALUE"""),"LOCAL")</f>
        <v>LOCAL</v>
      </c>
      <c r="G9" s="93" t="str">
        <f>IFERROR(__xludf.DUMMYFUNCTION("""COMPUTED_VALUE"""),"COMSER")</f>
        <v>COMSER</v>
      </c>
      <c r="H9" s="1" t="str">
        <f>IFERROR(__xludf.DUMMYFUNCTION("""COMPUTED_VALUE"""),"Balde")</f>
        <v>Balde</v>
      </c>
      <c r="I9" s="93" t="str">
        <f>IFERROR(__xludf.DUMMYFUNCTION("""COMPUTED_VALUE"""),"balde de 18,9 lts")</f>
        <v>balde de 18,9 lts</v>
      </c>
      <c r="J9" s="104">
        <f>IFERROR(__xludf.DUMMYFUNCTION("""COMPUTED_VALUE"""),6196.0)</f>
        <v>6196</v>
      </c>
      <c r="K9" s="1052">
        <f>IFERROR(__xludf.DUMMYFUNCTION("""COMPUTED_VALUE"""),4.0)</f>
        <v>4</v>
      </c>
      <c r="L9" s="104">
        <f>IFERROR(__xludf.DUMMYFUNCTION("""COMPUTED_VALUE"""),0.0)</f>
        <v>0</v>
      </c>
      <c r="M9" s="104">
        <f>IFERROR(__xludf.DUMMYFUNCTION("""COMPUTED_VALUE"""),0.0)</f>
        <v>0</v>
      </c>
      <c r="N9" s="1052">
        <f>IFERROR(__xludf.DUMMYFUNCTION("""COMPUTED_VALUE"""),4.0)</f>
        <v>4</v>
      </c>
      <c r="O9" s="104">
        <f>IFERROR(__xludf.DUMMYFUNCTION("""COMPUTED_VALUE"""),24784.0)</f>
        <v>24784</v>
      </c>
      <c r="P9" s="104">
        <f>IFERROR(__xludf.DUMMYFUNCTION("""COMPUTED_VALUE"""),0.0)</f>
        <v>0</v>
      </c>
      <c r="Q9" s="104">
        <f>IFERROR(__xludf.DUMMYFUNCTION("""COMPUTED_VALUE"""),0.0)</f>
        <v>0</v>
      </c>
      <c r="R9" s="104">
        <f>IFERROR(__xludf.DUMMYFUNCTION("""COMPUTED_VALUE"""),24784.0)</f>
        <v>24784</v>
      </c>
      <c r="S9" s="1"/>
      <c r="T9" s="1052" t="str">
        <f>IFERROR(__xludf.DUMMYFUNCTION("""COMPUTED_VALUE"""),"Se compra baldes para tener por emergencia. Precio referencial aceite omala.
Shell. ")</f>
        <v>Se compra baldes para tener por emergencia. Precio referencial aceite omala.
Shell. </v>
      </c>
      <c r="U9" s="1"/>
      <c r="V9" s="1">
        <f>IFERROR(__xludf.DUMMYFUNCTION("""COMPUTED_VALUE"""),1.0)</f>
        <v>1</v>
      </c>
      <c r="W9" s="1"/>
    </row>
    <row r="10">
      <c r="A10" s="90" t="s">
        <v>79</v>
      </c>
      <c r="B10" s="90">
        <v>31.0</v>
      </c>
      <c r="C10" s="103" t="str">
        <f>IFERROR(__xludf.DUMMYFUNCTION("""COMPUTED_VALUE"""),"3-03-00008")</f>
        <v>3-03-00008</v>
      </c>
      <c r="D10" s="93" t="str">
        <f>IFERROR(__xludf.DUMMYFUNCTION("""COMPUTED_VALUE"""),"LUBRICANTE PARA CABLE TRACTOR 
""WD 40""
(EXISTEN NUEVAS INSTRUCCIONES EMITIDAS POR FATZER EN CUANTO AL USO DE LUBRICANTES PAR CABLE - VERIFICAR) ")</f>
        <v>LUBRICANTE PARA CABLE TRACTOR 
"WD 40"
(EXISTEN NUEVAS INSTRUCCIONES EMITIDAS POR FATZER EN CUANTO AL USO DE LUBRICANTES PAR CABLE - VERIFICAR) </v>
      </c>
      <c r="E10" s="1" t="b">
        <f>IFERROR(__xludf.DUMMYFUNCTION("""COMPUTED_VALUE"""),TRUE)</f>
        <v>1</v>
      </c>
      <c r="F10" s="1" t="str">
        <f>IFERROR(__xludf.DUMMYFUNCTION("""COMPUTED_VALUE"""),"LOCAL")</f>
        <v>LOCAL</v>
      </c>
      <c r="G10" s="93" t="str">
        <f>IFERROR(__xludf.DUMMYFUNCTION("""COMPUTED_VALUE"""),"FERROMIX 7MILIMETROS ANCEDES FERRETERIAS EN GENERAL")</f>
        <v>FERROMIX 7MILIMETROS ANCEDES FERRETERIAS EN GENERAL</v>
      </c>
      <c r="H10" s="1" t="str">
        <f>IFERROR(__xludf.DUMMYFUNCTION("""COMPUTED_VALUE"""),"Pza")</f>
        <v>Pza</v>
      </c>
      <c r="I10" s="93" t="str">
        <f>IFERROR(__xludf.DUMMYFUNCTION("""COMPUTED_VALUE"""),"LATAS EN SPRAY")</f>
        <v>LATAS EN SPRAY</v>
      </c>
      <c r="J10" s="104">
        <f>IFERROR(__xludf.DUMMYFUNCTION("""COMPUTED_VALUE"""),55.0)</f>
        <v>55</v>
      </c>
      <c r="K10" s="1052">
        <f>IFERROR(__xludf.DUMMYFUNCTION("""COMPUTED_VALUE"""),100.0)</f>
        <v>100</v>
      </c>
      <c r="L10" s="1052">
        <f>IFERROR(__xludf.DUMMYFUNCTION("""COMPUTED_VALUE"""),138.0)</f>
        <v>138</v>
      </c>
      <c r="M10" s="1052">
        <f>IFERROR(__xludf.DUMMYFUNCTION("""COMPUTED_VALUE"""),138.0)</f>
        <v>138</v>
      </c>
      <c r="N10" s="1052">
        <f>IFERROR(__xludf.DUMMYFUNCTION("""COMPUTED_VALUE"""),376.0)</f>
        <v>376</v>
      </c>
      <c r="O10" s="104">
        <f>IFERROR(__xludf.DUMMYFUNCTION("""COMPUTED_VALUE"""),5500.0)</f>
        <v>5500</v>
      </c>
      <c r="P10" s="104">
        <f>IFERROR(__xludf.DUMMYFUNCTION("""COMPUTED_VALUE"""),7590.0)</f>
        <v>7590</v>
      </c>
      <c r="Q10" s="104">
        <f>IFERROR(__xludf.DUMMYFUNCTION("""COMPUTED_VALUE"""),7590.0)</f>
        <v>7590</v>
      </c>
      <c r="R10" s="104">
        <f>IFERROR(__xludf.DUMMYFUNCTION("""COMPUTED_VALUE"""),20680.0)</f>
        <v>20680</v>
      </c>
      <c r="S10" s="1"/>
      <c r="T10" s="1052" t="str">
        <f>IFERROR(__xludf.DUMMYFUNCTION("""COMPUTED_VALUE"""),"47 en almacen.
Revisar frecuencia con valerio. ")</f>
        <v>47 en almacen.
Revisar frecuencia con valerio. </v>
      </c>
      <c r="U10" s="1"/>
      <c r="V10" s="1">
        <f>IFERROR(__xludf.DUMMYFUNCTION("""COMPUTED_VALUE"""),1.0)</f>
        <v>1</v>
      </c>
      <c r="W10" s="1"/>
    </row>
    <row r="11">
      <c r="A11" s="90" t="s">
        <v>79</v>
      </c>
      <c r="B11" s="90">
        <v>13.0</v>
      </c>
      <c r="C11" s="103" t="str">
        <f>IFERROR(__xludf.DUMMYFUNCTION("""COMPUTED_VALUE"""),"3-01-00035")</f>
        <v>3-01-00035</v>
      </c>
      <c r="D11" s="93" t="str">
        <f>IFERROR(__xludf.DUMMYFUNCTION("""COMPUTED_VALUE"""),"80W90 GL-5 PARA ENGRANAJES 
REDUCTORES PRINCIPALES 
(COMPRA LOCAL 2023)  ")</f>
        <v>80W90 GL-5 PARA ENGRANAJES 
REDUCTORES PRINCIPALES 
(COMPRA LOCAL 2023)  </v>
      </c>
      <c r="E11" s="1" t="b">
        <f>IFERROR(__xludf.DUMMYFUNCTION("""COMPUTED_VALUE"""),TRUE)</f>
        <v>1</v>
      </c>
      <c r="F11" s="1" t="str">
        <f>IFERROR(__xludf.DUMMYFUNCTION("""COMPUTED_VALUE"""),"LOCAL")</f>
        <v>LOCAL</v>
      </c>
      <c r="G11" s="93" t="str">
        <f>IFERROR(__xludf.DUMMYFUNCTION("""COMPUTED_VALUE"""),"COMSER")</f>
        <v>COMSER</v>
      </c>
      <c r="H11" s="1" t="str">
        <f>IFERROR(__xludf.DUMMYFUNCTION("""COMPUTED_VALUE"""),"Turril")</f>
        <v>Turril</v>
      </c>
      <c r="I11" s="93" t="str">
        <f>IFERROR(__xludf.DUMMYFUNCTION("""COMPUTED_VALUE"""),"TURRILES DE 200 LITROS ")</f>
        <v>TURRILES DE 200 LITROS </v>
      </c>
      <c r="J11" s="104">
        <f>IFERROR(__xludf.DUMMYFUNCTION("""COMPUTED_VALUE"""),10274.0)</f>
        <v>10274</v>
      </c>
      <c r="K11" s="1052">
        <f>IFERROR(__xludf.DUMMYFUNCTION("""COMPUTED_VALUE"""),28.0)</f>
        <v>28</v>
      </c>
      <c r="L11" s="1052">
        <f>IFERROR(__xludf.DUMMYFUNCTION("""COMPUTED_VALUE"""),30.450000000000003)</f>
        <v>30.45</v>
      </c>
      <c r="M11" s="1052">
        <f>IFERROR(__xludf.DUMMYFUNCTION("""COMPUTED_VALUE"""),30.450000000000003)</f>
        <v>30.45</v>
      </c>
      <c r="N11" s="1052">
        <f>IFERROR(__xludf.DUMMYFUNCTION("""COMPUTED_VALUE"""),88.9)</f>
        <v>88.9</v>
      </c>
      <c r="O11" s="104">
        <f>IFERROR(__xludf.DUMMYFUNCTION("""COMPUTED_VALUE"""),287672.0)</f>
        <v>287672</v>
      </c>
      <c r="P11" s="104">
        <f>IFERROR(__xludf.DUMMYFUNCTION("""COMPUTED_VALUE"""),312843.30000000005)</f>
        <v>312843.3</v>
      </c>
      <c r="Q11" s="104">
        <f>IFERROR(__xludf.DUMMYFUNCTION("""COMPUTED_VALUE"""),312843.30000000005)</f>
        <v>312843.3</v>
      </c>
      <c r="R11" s="104">
        <f>IFERROR(__xludf.DUMMYFUNCTION("""COMPUTED_VALUE"""),913358.6000000001)</f>
        <v>913358.6</v>
      </c>
      <c r="S11" s="1"/>
      <c r="T11" s="1"/>
      <c r="U11" s="1"/>
      <c r="V11" s="1">
        <f>IFERROR(__xludf.DUMMYFUNCTION("""COMPUTED_VALUE"""),1.0)</f>
        <v>1</v>
      </c>
      <c r="W11" s="1"/>
    </row>
    <row r="12">
      <c r="A12" s="1053" t="s">
        <v>1827</v>
      </c>
      <c r="B12" s="90">
        <v>2.0</v>
      </c>
      <c r="C12" s="103" t="str">
        <f>IFERROR(__xludf.DUMMYFUNCTION("""COMPUTED_VALUE"""),"11309149")</f>
        <v>11309149</v>
      </c>
      <c r="D12" s="93" t="str">
        <f>IFERROR(__xludf.DUMMYFUNCTION("""COMPUTED_VALUE"""),"NBU 8 EP - KLUBER 
 GRASA PARA MOTORES ELÉCTRICOS PRINCIPALES ")</f>
        <v>NBU 8 EP - KLUBER 
 GRASA PARA MOTORES ELÉCTRICOS PRINCIPALES </v>
      </c>
      <c r="E12" s="1" t="b">
        <f>IFERROR(__xludf.DUMMYFUNCTION("""COMPUTED_VALUE"""),FALSE)</f>
        <v>0</v>
      </c>
      <c r="F12" s="1" t="str">
        <f>IFERROR(__xludf.DUMMYFUNCTION("""COMPUTED_VALUE"""),"TDB")</f>
        <v>TDB</v>
      </c>
      <c r="G12" s="93" t="str">
        <f>IFERROR(__xludf.DUMMYFUNCTION("""COMPUTED_VALUE"""),"TDB")</f>
        <v>TDB</v>
      </c>
      <c r="H12" s="1" t="str">
        <f>IFERROR(__xludf.DUMMYFUNCTION("""COMPUTED_VALUE"""),"Pza")</f>
        <v>Pza</v>
      </c>
      <c r="I12" s="93" t="str">
        <f>IFERROR(__xludf.DUMMYFUNCTION("""COMPUTED_VALUE"""),"CARTUCHOS 400 GRAMOS ")</f>
        <v>CARTUCHOS 400 GRAMOS </v>
      </c>
      <c r="J12" s="104">
        <f>IFERROR(__xludf.DUMMYFUNCTION("""COMPUTED_VALUE"""),0.0)</f>
        <v>0</v>
      </c>
      <c r="K12" s="1052">
        <f>IFERROR(__xludf.DUMMYFUNCTION("""COMPUTED_VALUE"""),0.0)</f>
        <v>0</v>
      </c>
      <c r="L12" s="104">
        <f>IFERROR(__xludf.DUMMYFUNCTION("""COMPUTED_VALUE"""),0.0)</f>
        <v>0</v>
      </c>
      <c r="M12" s="104">
        <f>IFERROR(__xludf.DUMMYFUNCTION("""COMPUTED_VALUE"""),0.0)</f>
        <v>0</v>
      </c>
      <c r="N12" s="1052">
        <f>IFERROR(__xludf.DUMMYFUNCTION("""COMPUTED_VALUE"""),0.0)</f>
        <v>0</v>
      </c>
      <c r="O12" s="104">
        <f>IFERROR(__xludf.DUMMYFUNCTION("""COMPUTED_VALUE"""),0.0)</f>
        <v>0</v>
      </c>
      <c r="P12" s="104">
        <f>IFERROR(__xludf.DUMMYFUNCTION("""COMPUTED_VALUE"""),0.0)</f>
        <v>0</v>
      </c>
      <c r="Q12" s="104">
        <f>IFERROR(__xludf.DUMMYFUNCTION("""COMPUTED_VALUE"""),0.0)</f>
        <v>0</v>
      </c>
      <c r="R12" s="104">
        <f>IFERROR(__xludf.DUMMYFUNCTION("""COMPUTED_VALUE"""),0.0)</f>
        <v>0</v>
      </c>
      <c r="S12" s="1"/>
      <c r="T12" s="1052" t="str">
        <f>IFERROR(__xludf.DUMMYFUNCTION("""COMPUTED_VALUE"""),"Se tiene en almacen 10 Kg")</f>
        <v>Se tiene en almacen 10 Kg</v>
      </c>
      <c r="U12" s="1"/>
      <c r="V12" s="1">
        <f>IFERROR(__xludf.DUMMYFUNCTION("""COMPUTED_VALUE"""),1.0)</f>
        <v>1</v>
      </c>
      <c r="W12" s="1"/>
    </row>
    <row r="13">
      <c r="A13" s="1053" t="s">
        <v>1827</v>
      </c>
      <c r="B13" s="90">
        <v>2.0</v>
      </c>
      <c r="C13" s="103" t="str">
        <f>IFERROR(__xludf.DUMMYFUNCTION("""COMPUTED_VALUE"""),"10550848")</f>
        <v>10550848</v>
      </c>
      <c r="D13" s="93" t="str">
        <f>IFERROR(__xludf.DUMMYFUNCTION("""COMPUTED_VALUE"""),"GRIZZLY GREASE N°1
CORONA Y PIÑON - VOLANTES (TDB) ")</f>
        <v>GRIZZLY GREASE N°1
CORONA Y PIÑON - VOLANTES (TDB) </v>
      </c>
      <c r="E13" s="1" t="b">
        <f>IFERROR(__xludf.DUMMYFUNCTION("""COMPUTED_VALUE"""),TRUE)</f>
        <v>1</v>
      </c>
      <c r="F13" s="1" t="str">
        <f>IFERROR(__xludf.DUMMYFUNCTION("""COMPUTED_VALUE"""),"TDB")</f>
        <v>TDB</v>
      </c>
      <c r="G13" s="93" t="str">
        <f>IFERROR(__xludf.DUMMYFUNCTION("""COMPUTED_VALUE"""),"TDB")</f>
        <v>TDB</v>
      </c>
      <c r="H13" s="1" t="str">
        <f>IFERROR(__xludf.DUMMYFUNCTION("""COMPUTED_VALUE"""),"Pza")</f>
        <v>Pza</v>
      </c>
      <c r="I13" s="93" t="str">
        <f>IFERROR(__xludf.DUMMYFUNCTION("""COMPUTED_VALUE"""),"LATAS DE GRASA EN SPRAY")</f>
        <v>LATAS DE GRASA EN SPRAY</v>
      </c>
      <c r="J13" s="104">
        <f>IFERROR(__xludf.DUMMYFUNCTION("""COMPUTED_VALUE"""),503.4864)</f>
        <v>503.4864</v>
      </c>
      <c r="K13" s="1052">
        <f>IFERROR(__xludf.DUMMYFUNCTION("""COMPUTED_VALUE"""),0.0)</f>
        <v>0</v>
      </c>
      <c r="L13" s="104">
        <f>IFERROR(__xludf.DUMMYFUNCTION("""COMPUTED_VALUE"""),0.0)</f>
        <v>0</v>
      </c>
      <c r="M13" s="104">
        <f>IFERROR(__xludf.DUMMYFUNCTION("""COMPUTED_VALUE"""),95.0)</f>
        <v>95</v>
      </c>
      <c r="N13" s="1052">
        <f>IFERROR(__xludf.DUMMYFUNCTION("""COMPUTED_VALUE"""),95.0)</f>
        <v>95</v>
      </c>
      <c r="O13" s="104">
        <f>IFERROR(__xludf.DUMMYFUNCTION("""COMPUTED_VALUE"""),0.0)</f>
        <v>0</v>
      </c>
      <c r="P13" s="104">
        <f>IFERROR(__xludf.DUMMYFUNCTION("""COMPUTED_VALUE"""),0.0)</f>
        <v>0</v>
      </c>
      <c r="Q13" s="104">
        <f>IFERROR(__xludf.DUMMYFUNCTION("""COMPUTED_VALUE"""),47831.208)</f>
        <v>47831.208</v>
      </c>
      <c r="R13" s="104">
        <f>IFERROR(__xludf.DUMMYFUNCTION("""COMPUTED_VALUE"""),47831.208)</f>
        <v>47831.208</v>
      </c>
      <c r="S13" s="1"/>
      <c r="T13" s="1052" t="str">
        <f>IFERROR(__xludf.DUMMYFUNCTION("""COMPUTED_VALUE"""),"419 en almacen.
En el 2026 se baja a 95 unidades. considerando la frecuencia cada 2 meses.
Consultar avimael")</f>
        <v>419 en almacen.
En el 2026 se baja a 95 unidades. considerando la frecuencia cada 2 meses.
Consultar avimael</v>
      </c>
      <c r="U13" s="104">
        <f>IFERROR(__xludf.DUMMYFUNCTION("""COMPUTED_VALUE"""),72.34)</f>
        <v>72.34</v>
      </c>
      <c r="V13" s="1">
        <f>IFERROR(__xludf.DUMMYFUNCTION("""COMPUTED_VALUE"""),1.0)</f>
        <v>1</v>
      </c>
      <c r="W13" s="1"/>
    </row>
    <row r="14">
      <c r="A14" s="90" t="s">
        <v>79</v>
      </c>
      <c r="C14" s="103" t="str">
        <f>IFERROR(__xludf.DUMMYFUNCTION("""COMPUTED_VALUE"""),"Sin Cotizacion")</f>
        <v>Sin Cotizacion</v>
      </c>
      <c r="D14" s="93" t="str">
        <f>IFERROR(__xludf.DUMMYFUNCTION("""COMPUTED_VALUE"""),"SILICONA WACKER AK350 - 190KG")</f>
        <v>SILICONA WACKER AK350 - 190KG</v>
      </c>
      <c r="E14" s="1" t="b">
        <f>IFERROR(__xludf.DUMMYFUNCTION("""COMPUTED_VALUE"""),FALSE)</f>
        <v>0</v>
      </c>
      <c r="F14" s="1" t="str">
        <f>IFERROR(__xludf.DUMMYFUNCTION("""COMPUTED_VALUE"""),"LOCAL")</f>
        <v>LOCAL</v>
      </c>
      <c r="G14" s="93" t="str">
        <f>IFERROR(__xludf.DUMMYFUNCTION("""COMPUTED_VALUE"""),"ANDERS")</f>
        <v>ANDERS</v>
      </c>
      <c r="H14" s="1" t="str">
        <f>IFERROR(__xludf.DUMMYFUNCTION("""COMPUTED_VALUE"""),"Turril")</f>
        <v>Turril</v>
      </c>
      <c r="I14" s="93" t="str">
        <f>IFERROR(__xludf.DUMMYFUNCTION("""COMPUTED_VALUE"""),"TURRIL 190 KG")</f>
        <v>TURRIL 190 KG</v>
      </c>
      <c r="J14" s="104">
        <f>IFERROR(__xludf.DUMMYFUNCTION("""COMPUTED_VALUE"""),11163.849)</f>
        <v>11163.849</v>
      </c>
      <c r="K14" s="1054">
        <f>IFERROR(__xludf.DUMMYFUNCTION("""COMPUTED_VALUE"""),0.0)</f>
        <v>0</v>
      </c>
      <c r="L14" s="104">
        <f>IFERROR(__xludf.DUMMYFUNCTION("""COMPUTED_VALUE"""),0.5)</f>
        <v>0.5</v>
      </c>
      <c r="M14" s="1054">
        <f>IFERROR(__xludf.DUMMYFUNCTION("""COMPUTED_VALUE"""),2.6526315789473682)</f>
        <v>2.652631579</v>
      </c>
      <c r="N14" s="1052">
        <f>IFERROR(__xludf.DUMMYFUNCTION("""COMPUTED_VALUE"""),3.1526315789473682)</f>
        <v>3.152631579</v>
      </c>
      <c r="O14" s="104">
        <f>IFERROR(__xludf.DUMMYFUNCTION("""COMPUTED_VALUE"""),0.0)</f>
        <v>0</v>
      </c>
      <c r="P14" s="104">
        <f>IFERROR(__xludf.DUMMYFUNCTION("""COMPUTED_VALUE"""),5581.9245)</f>
        <v>5581.9245</v>
      </c>
      <c r="Q14" s="104">
        <f>IFERROR(__xludf.DUMMYFUNCTION("""COMPUTED_VALUE"""),29613.5784)</f>
        <v>29613.5784</v>
      </c>
      <c r="R14" s="104">
        <f>IFERROR(__xludf.DUMMYFUNCTION("""COMPUTED_VALUE"""),35195.5029)</f>
        <v>35195.5029</v>
      </c>
      <c r="S14" s="1"/>
      <c r="T14" s="1052" t="str">
        <f>IFERROR(__xludf.DUMMYFUNCTION("""COMPUTED_VALUE"""),"Se recorta de compras 2024 y 2025. Necesario realizar el relevamiento de cuanto se tiene en linieas.
Segun relevamiento de diciembre se tienen 1150 Lts distribuidos en las lineas.
Para el 2025 se recomienda comprar 1/2 turril el 2025")</f>
        <v>Se recorta de compras 2024 y 2025. Necesario realizar el relevamiento de cuanto se tiene en linieas.
Segun relevamiento de diciembre se tienen 1150 Lts distribuidos en las lineas.
Para el 2025 se recomienda comprar 1/2 turril el 2025</v>
      </c>
      <c r="U14" s="1"/>
      <c r="V14" s="1">
        <f>IFERROR(__xludf.DUMMYFUNCTION("""COMPUTED_VALUE"""),1.0)</f>
        <v>1</v>
      </c>
      <c r="W14" s="1"/>
    </row>
    <row r="15">
      <c r="A15" s="1053" t="s">
        <v>1827</v>
      </c>
      <c r="B15" s="90">
        <v>2.0</v>
      </c>
      <c r="C15" s="103" t="str">
        <f>IFERROR(__xludf.DUMMYFUNCTION("""COMPUTED_VALUE"""),"10961484")</f>
        <v>10961484</v>
      </c>
      <c r="D15" s="93" t="str">
        <f>IFERROR(__xludf.DUMMYFUNCTION("""COMPUTED_VALUE"""),"GRASA  PARA CUIDADO CONTACTOS (SPRAY AEROSOL)   200ML.")</f>
        <v>GRASA  PARA CUIDADO CONTACTOS (SPRAY AEROSOL)   200ML.</v>
      </c>
      <c r="E15" s="1" t="b">
        <f>IFERROR(__xludf.DUMMYFUNCTION("""COMPUTED_VALUE"""),TRUE)</f>
        <v>1</v>
      </c>
      <c r="F15" s="1" t="str">
        <f>IFERROR(__xludf.DUMMYFUNCTION("""COMPUTED_VALUE"""),"TDB")</f>
        <v>TDB</v>
      </c>
      <c r="G15" s="93" t="str">
        <f>IFERROR(__xludf.DUMMYFUNCTION("""COMPUTED_VALUE"""),"TDB")</f>
        <v>TDB</v>
      </c>
      <c r="H15" s="1" t="str">
        <f>IFERROR(__xludf.DUMMYFUNCTION("""COMPUTED_VALUE"""),"Pza")</f>
        <v>Pza</v>
      </c>
      <c r="I15" s="93" t="str">
        <f>IFERROR(__xludf.DUMMYFUNCTION("""COMPUTED_VALUE"""),"CARTUCHOS 400 GRAMOS ")</f>
        <v>CARTUCHOS 400 GRAMOS </v>
      </c>
      <c r="J15" s="104">
        <f>IFERROR(__xludf.DUMMYFUNCTION("""COMPUTED_VALUE"""),453.9312)</f>
        <v>453.9312</v>
      </c>
      <c r="K15" s="1052">
        <f>IFERROR(__xludf.DUMMYFUNCTION("""COMPUTED_VALUE"""),10.0)</f>
        <v>10</v>
      </c>
      <c r="L15" s="104">
        <f>IFERROR(__xludf.DUMMYFUNCTION("""COMPUTED_VALUE"""),6.0)</f>
        <v>6</v>
      </c>
      <c r="M15" s="104">
        <f>IFERROR(__xludf.DUMMYFUNCTION("""COMPUTED_VALUE"""),6.0)</f>
        <v>6</v>
      </c>
      <c r="N15" s="1052">
        <f>IFERROR(__xludf.DUMMYFUNCTION("""COMPUTED_VALUE"""),22.0)</f>
        <v>22</v>
      </c>
      <c r="O15" s="104">
        <f>IFERROR(__xludf.DUMMYFUNCTION("""COMPUTED_VALUE"""),4539.312)</f>
        <v>4539.312</v>
      </c>
      <c r="P15" s="104">
        <f>IFERROR(__xludf.DUMMYFUNCTION("""COMPUTED_VALUE"""),2723.5872)</f>
        <v>2723.5872</v>
      </c>
      <c r="Q15" s="104">
        <f>IFERROR(__xludf.DUMMYFUNCTION("""COMPUTED_VALUE"""),2723.5872)</f>
        <v>2723.5872</v>
      </c>
      <c r="R15" s="104">
        <f>IFERROR(__xludf.DUMMYFUNCTION("""COMPUTED_VALUE"""),9986.4864)</f>
        <v>9986.4864</v>
      </c>
      <c r="S15" s="1"/>
      <c r="T15" s="1052" t="str">
        <f>IFERROR(__xludf.DUMMYFUNCTION("""COMPUTED_VALUE"""),"No se tomo en cuenta, se mueve de listado de compras locales. Se requiere cotizar")</f>
        <v>No se tomo en cuenta, se mueve de listado de compras locales. Se requiere cotizar</v>
      </c>
      <c r="U15" s="104">
        <f>IFERROR(__xludf.DUMMYFUNCTION("""COMPUTED_VALUE"""),65.22)</f>
        <v>65.22</v>
      </c>
      <c r="V15" s="1">
        <f>IFERROR(__xludf.DUMMYFUNCTION("""COMPUTED_VALUE"""),1.0)</f>
        <v>1</v>
      </c>
      <c r="W15" s="1"/>
    </row>
    <row r="16">
      <c r="A16" s="1053" t="s">
        <v>1827</v>
      </c>
      <c r="C16" s="103" t="str">
        <f>IFERROR(__xludf.DUMMYFUNCTION("""COMPUTED_VALUE"""),"10867102")</f>
        <v>10867102</v>
      </c>
      <c r="D16" s="93" t="str">
        <f>IFERROR(__xludf.DUMMYFUNCTION("""COMPUTED_VALUE"""),"DOKUSIL - ELEMENTO LUBRICADOR 
PARA RODETES DE CABINAS ")</f>
        <v>DOKUSIL - ELEMENTO LUBRICADOR 
PARA RODETES DE CABINAS </v>
      </c>
      <c r="E16" s="1" t="b">
        <f>IFERROR(__xludf.DUMMYFUNCTION("""COMPUTED_VALUE"""),TRUE)</f>
        <v>1</v>
      </c>
      <c r="F16" s="1" t="str">
        <f>IFERROR(__xludf.DUMMYFUNCTION("""COMPUTED_VALUE"""),"TDB")</f>
        <v>TDB</v>
      </c>
      <c r="G16" s="93" t="str">
        <f>IFERROR(__xludf.DUMMYFUNCTION("""COMPUTED_VALUE"""),"TDB")</f>
        <v>TDB</v>
      </c>
      <c r="H16" s="1" t="str">
        <f>IFERROR(__xludf.DUMMYFUNCTION("""COMPUTED_VALUE"""),"Pza")</f>
        <v>Pza</v>
      </c>
      <c r="I16" s="93" t="str">
        <f>IFERROR(__xludf.DUMMYFUNCTION("""COMPUTED_VALUE"""),"ELEMENTO LUBRICADOR ")</f>
        <v>ELEMENTO LUBRICADOR </v>
      </c>
      <c r="J16" s="1"/>
      <c r="K16" s="1052">
        <f>IFERROR(__xludf.DUMMYFUNCTION("""COMPUTED_VALUE"""),0.0)</f>
        <v>0</v>
      </c>
      <c r="L16" s="1052">
        <f>IFERROR(__xludf.DUMMYFUNCTION("""COMPUTED_VALUE"""),0.0)</f>
        <v>0</v>
      </c>
      <c r="M16" s="1052">
        <f>IFERROR(__xludf.DUMMYFUNCTION("""COMPUTED_VALUE"""),0.0)</f>
        <v>0</v>
      </c>
      <c r="N16" s="1052">
        <f>IFERROR(__xludf.DUMMYFUNCTION("""COMPUTED_VALUE"""),0.0)</f>
        <v>0</v>
      </c>
      <c r="O16" s="104">
        <f>IFERROR(__xludf.DUMMYFUNCTION("""COMPUTED_VALUE"""),0.0)</f>
        <v>0</v>
      </c>
      <c r="P16" s="104">
        <f>IFERROR(__xludf.DUMMYFUNCTION("""COMPUTED_VALUE"""),0.0)</f>
        <v>0</v>
      </c>
      <c r="Q16" s="104">
        <f>IFERROR(__xludf.DUMMYFUNCTION("""COMPUTED_VALUE"""),0.0)</f>
        <v>0</v>
      </c>
      <c r="R16" s="104">
        <f>IFERROR(__xludf.DUMMYFUNCTION("""COMPUTED_VALUE"""),0.0)</f>
        <v>0</v>
      </c>
      <c r="S16" s="1"/>
      <c r="T16" s="1052" t="str">
        <f>IFERROR(__xludf.DUMMYFUNCTION("""COMPUTED_VALUE"""),"5 en almacen central.
Se tienen 136 en lineas (Consultar estado de los mismos en lineas)")</f>
        <v>5 en almacen central.
Se tienen 136 en lineas (Consultar estado de los mismos en lineas)</v>
      </c>
      <c r="U16" s="1"/>
      <c r="V16" s="1">
        <f>IFERROR(__xludf.DUMMYFUNCTION("""COMPUTED_VALUE"""),1.0)</f>
        <v>1</v>
      </c>
      <c r="W16" s="1"/>
    </row>
    <row r="17">
      <c r="A17" s="1053" t="s">
        <v>1827</v>
      </c>
      <c r="B17" s="90">
        <v>2.0</v>
      </c>
      <c r="C17" s="103" t="str">
        <f>IFERROR(__xludf.DUMMYFUNCTION("""COMPUTED_VALUE"""),"11007328")</f>
        <v>11007328</v>
      </c>
      <c r="D17" s="93" t="str">
        <f>IFERROR(__xludf.DUMMYFUNCTION("""COMPUTED_VALUE"""),"GRASA DE VASELINA 17223 BLANCO CARTUCHO DE 0,4KG")</f>
        <v>GRASA DE VASELINA 17223 BLANCO CARTUCHO DE 0,4KG</v>
      </c>
      <c r="E17" s="1" t="b">
        <f>IFERROR(__xludf.DUMMYFUNCTION("""COMPUTED_VALUE"""),TRUE)</f>
        <v>1</v>
      </c>
      <c r="F17" s="1" t="str">
        <f>IFERROR(__xludf.DUMMYFUNCTION("""COMPUTED_VALUE"""),"TDB")</f>
        <v>TDB</v>
      </c>
      <c r="G17" s="93" t="str">
        <f>IFERROR(__xludf.DUMMYFUNCTION("""COMPUTED_VALUE"""),"TDB")</f>
        <v>TDB</v>
      </c>
      <c r="H17" s="1" t="str">
        <f>IFERROR(__xludf.DUMMYFUNCTION("""COMPUTED_VALUE"""),"Pza")</f>
        <v>Pza</v>
      </c>
      <c r="I17" s="93" t="str">
        <f>IFERROR(__xludf.DUMMYFUNCTION("""COMPUTED_VALUE"""),"CARTUCHOS 400 GRAMOS ")</f>
        <v>CARTUCHOS 400 GRAMOS </v>
      </c>
      <c r="J17" s="104">
        <f>IFERROR(__xludf.DUMMYFUNCTION("""COMPUTED_VALUE"""),140.5224)</f>
        <v>140.5224</v>
      </c>
      <c r="K17" s="1052">
        <f>IFERROR(__xludf.DUMMYFUNCTION("""COMPUTED_VALUE"""),3.0)</f>
        <v>3</v>
      </c>
      <c r="L17" s="104">
        <f>IFERROR(__xludf.DUMMYFUNCTION("""COMPUTED_VALUE"""),9.0)</f>
        <v>9</v>
      </c>
      <c r="M17" s="104">
        <f>IFERROR(__xludf.DUMMYFUNCTION("""COMPUTED_VALUE"""),9.0)</f>
        <v>9</v>
      </c>
      <c r="N17" s="1052">
        <f>IFERROR(__xludf.DUMMYFUNCTION("""COMPUTED_VALUE"""),21.0)</f>
        <v>21</v>
      </c>
      <c r="O17" s="104">
        <f>IFERROR(__xludf.DUMMYFUNCTION("""COMPUTED_VALUE"""),421.5672)</f>
        <v>421.5672</v>
      </c>
      <c r="P17" s="104">
        <f>IFERROR(__xludf.DUMMYFUNCTION("""COMPUTED_VALUE"""),1264.7016)</f>
        <v>1264.7016</v>
      </c>
      <c r="Q17" s="104">
        <f>IFERROR(__xludf.DUMMYFUNCTION("""COMPUTED_VALUE"""),1264.7016)</f>
        <v>1264.7016</v>
      </c>
      <c r="R17" s="104">
        <f>IFERROR(__xludf.DUMMYFUNCTION("""COMPUTED_VALUE"""),2950.9704)</f>
        <v>2950.9704</v>
      </c>
      <c r="S17" s="1052" t="str">
        <f>IFERROR(__xludf.DUMMYFUNCTION("""COMPUTED_VALUE"""),"Se movio de repuestos a lubricantes")</f>
        <v>Se movio de repuestos a lubricantes</v>
      </c>
      <c r="T17" s="1"/>
      <c r="U17" s="104">
        <f>IFERROR(__xludf.DUMMYFUNCTION("""COMPUTED_VALUE"""),20.19)</f>
        <v>20.19</v>
      </c>
      <c r="V17" s="1">
        <f>IFERROR(__xludf.DUMMYFUNCTION("""COMPUTED_VALUE"""),1.0)</f>
        <v>1</v>
      </c>
      <c r="W17" s="1"/>
    </row>
    <row r="18">
      <c r="A18" s="1053" t="s">
        <v>1827</v>
      </c>
      <c r="B18" s="90">
        <v>2.0</v>
      </c>
      <c r="C18" s="103" t="str">
        <f>IFERROR(__xludf.DUMMYFUNCTION("""COMPUTED_VALUE"""),"11527131")</f>
        <v>11527131</v>
      </c>
      <c r="D18" s="93" t="str">
        <f>IFERROR(__xludf.DUMMYFUNCTION("""COMPUTED_VALUE"""),"ANTICORIT OHK - 
ACEITE PARA VASTAGOS DE CILINDROS HIDRAULICOS ")</f>
        <v>ANTICORIT OHK - 
ACEITE PARA VASTAGOS DE CILINDROS HIDRAULICOS </v>
      </c>
      <c r="E18" s="1" t="b">
        <f>IFERROR(__xludf.DUMMYFUNCTION("""COMPUTED_VALUE"""),TRUE)</f>
        <v>1</v>
      </c>
      <c r="F18" s="1" t="str">
        <f>IFERROR(__xludf.DUMMYFUNCTION("""COMPUTED_VALUE"""),"TDB")</f>
        <v>TDB</v>
      </c>
      <c r="G18" s="93" t="str">
        <f>IFERROR(__xludf.DUMMYFUNCTION("""COMPUTED_VALUE"""),"TDB")</f>
        <v>TDB</v>
      </c>
      <c r="H18" s="1" t="str">
        <f>IFERROR(__xludf.DUMMYFUNCTION("""COMPUTED_VALUE"""),"Pza")</f>
        <v>Pza</v>
      </c>
      <c r="I18" s="93" t="str">
        <f>IFERROR(__xludf.DUMMYFUNCTION("""COMPUTED_VALUE"""),"ENVASES DE 1 LITRO ")</f>
        <v>ENVASES DE 1 LITRO </v>
      </c>
      <c r="J18" s="104">
        <f>IFERROR(__xludf.DUMMYFUNCTION("""COMPUTED_VALUE"""),222.4416)</f>
        <v>222.4416</v>
      </c>
      <c r="K18" s="1052">
        <f>IFERROR(__xludf.DUMMYFUNCTION("""COMPUTED_VALUE"""),0.0)</f>
        <v>0</v>
      </c>
      <c r="L18" s="1052">
        <f>IFERROR(__xludf.DUMMYFUNCTION("""COMPUTED_VALUE"""),0.0)</f>
        <v>0</v>
      </c>
      <c r="M18" s="1052">
        <f>IFERROR(__xludf.DUMMYFUNCTION("""COMPUTED_VALUE"""),10.0)</f>
        <v>10</v>
      </c>
      <c r="N18" s="1052">
        <f>IFERROR(__xludf.DUMMYFUNCTION("""COMPUTED_VALUE"""),10.0)</f>
        <v>10</v>
      </c>
      <c r="O18" s="104">
        <f>IFERROR(__xludf.DUMMYFUNCTION("""COMPUTED_VALUE"""),0.0)</f>
        <v>0</v>
      </c>
      <c r="P18" s="104">
        <f>IFERROR(__xludf.DUMMYFUNCTION("""COMPUTED_VALUE"""),0.0)</f>
        <v>0</v>
      </c>
      <c r="Q18" s="104">
        <f>IFERROR(__xludf.DUMMYFUNCTION("""COMPUTED_VALUE"""),2224.416)</f>
        <v>2224.416</v>
      </c>
      <c r="R18" s="104">
        <f>IFERROR(__xludf.DUMMYFUNCTION("""COMPUTED_VALUE"""),2224.416)</f>
        <v>2224.416</v>
      </c>
      <c r="S18" s="1"/>
      <c r="T18" s="1052" t="str">
        <f>IFERROR(__xludf.DUMMYFUNCTION("""COMPUTED_VALUE"""),"18 en almacen central
73 en lineas.
2025 se requieren 38, pero se comprara 10u.")</f>
        <v>18 en almacen central
73 en lineas.
2025 se requieren 38, pero se comprara 10u.</v>
      </c>
      <c r="U18" s="104">
        <f>IFERROR(__xludf.DUMMYFUNCTION("""COMPUTED_VALUE"""),31.96)</f>
        <v>31.96</v>
      </c>
      <c r="V18" s="1">
        <f>IFERROR(__xludf.DUMMYFUNCTION("""COMPUTED_VALUE"""),1.0)</f>
        <v>1</v>
      </c>
      <c r="W18" s="1"/>
    </row>
    <row r="19">
      <c r="A19" s="90" t="s">
        <v>79</v>
      </c>
      <c r="B19" s="90">
        <v>13.0</v>
      </c>
      <c r="C19" s="103" t="str">
        <f>IFERROR(__xludf.DUMMYFUNCTION("""COMPUTED_VALUE"""),"3-02-00044")</f>
        <v>3-02-00044</v>
      </c>
      <c r="D19" s="93" t="str">
        <f>IFERROR(__xludf.DUMMYFUNCTION("""COMPUTED_VALUE"""),"POLYREX EM  - MOBIL 
 GRASA PARA MOTORES ELÉCTRICOS PRINCIPALES 
(COMPRA LOCAL 2023)")</f>
        <v>POLYREX EM  - MOBIL 
 GRASA PARA MOTORES ELÉCTRICOS PRINCIPALES 
(COMPRA LOCAL 2023)</v>
      </c>
      <c r="E19" s="1" t="b">
        <f>IFERROR(__xludf.DUMMYFUNCTION("""COMPUTED_VALUE"""),TRUE)</f>
        <v>1</v>
      </c>
      <c r="F19" s="1" t="str">
        <f>IFERROR(__xludf.DUMMYFUNCTION("""COMPUTED_VALUE"""),"LOCAL")</f>
        <v>LOCAL</v>
      </c>
      <c r="G19" s="93" t="str">
        <f>IFERROR(__xludf.DUMMYFUNCTION("""COMPUTED_VALUE"""),"COMSER")</f>
        <v>COMSER</v>
      </c>
      <c r="H19" s="1" t="str">
        <f>IFERROR(__xludf.DUMMYFUNCTION("""COMPUTED_VALUE"""),"Pza")</f>
        <v>Pza</v>
      </c>
      <c r="I19" s="93" t="str">
        <f>IFERROR(__xludf.DUMMYFUNCTION("""COMPUTED_VALUE"""),"CARTUCHOS 400 GRAMOS ")</f>
        <v>CARTUCHOS 400 GRAMOS </v>
      </c>
      <c r="J19" s="104">
        <f>IFERROR(__xludf.DUMMYFUNCTION("""COMPUTED_VALUE"""),3967.0)</f>
        <v>3967</v>
      </c>
      <c r="K19" s="1052">
        <f>IFERROR(__xludf.DUMMYFUNCTION("""COMPUTED_VALUE"""),12.0)</f>
        <v>12</v>
      </c>
      <c r="L19" s="104">
        <f>IFERROR(__xludf.DUMMYFUNCTION("""COMPUTED_VALUE"""),6.0)</f>
        <v>6</v>
      </c>
      <c r="M19" s="104">
        <f>IFERROR(__xludf.DUMMYFUNCTION("""COMPUTED_VALUE"""),6.0)</f>
        <v>6</v>
      </c>
      <c r="N19" s="1052">
        <f>IFERROR(__xludf.DUMMYFUNCTION("""COMPUTED_VALUE"""),24.0)</f>
        <v>24</v>
      </c>
      <c r="O19" s="104">
        <f>IFERROR(__xludf.DUMMYFUNCTION("""COMPUTED_VALUE"""),47604.0)</f>
        <v>47604</v>
      </c>
      <c r="P19" s="104">
        <f>IFERROR(__xludf.DUMMYFUNCTION("""COMPUTED_VALUE"""),23802.0)</f>
        <v>23802</v>
      </c>
      <c r="Q19" s="104">
        <f>IFERROR(__xludf.DUMMYFUNCTION("""COMPUTED_VALUE"""),23802.0)</f>
        <v>23802</v>
      </c>
      <c r="R19" s="104">
        <f>IFERROR(__xludf.DUMMYFUNCTION("""COMPUTED_VALUE"""),95208.0)</f>
        <v>95208</v>
      </c>
      <c r="S19" s="1"/>
      <c r="T19" s="1"/>
      <c r="U19" s="1"/>
      <c r="V19" s="1">
        <f>IFERROR(__xludf.DUMMYFUNCTION("""COMPUTED_VALUE"""),1.0)</f>
        <v>1</v>
      </c>
      <c r="W19" s="1"/>
    </row>
    <row r="20">
      <c r="A20" s="90" t="s">
        <v>79</v>
      </c>
      <c r="B20" s="90">
        <v>13.0</v>
      </c>
      <c r="C20" s="103" t="str">
        <f>IFERROR(__xludf.DUMMYFUNCTION("""COMPUTED_VALUE"""),"3-01-00007")</f>
        <v>3-01-00007</v>
      </c>
      <c r="D20" s="93" t="str">
        <f>IFERROR(__xludf.DUMMYFUNCTION("""COMPUTED_VALUE"""),"ACEITE 15W40 
PARA MOTORES DE COMBUSTION INTERNA A DIESEL 
(COMPRA LOCAL 2023)")</f>
        <v>ACEITE 15W40 
PARA MOTORES DE COMBUSTION INTERNA A DIESEL 
(COMPRA LOCAL 2023)</v>
      </c>
      <c r="E20" s="1" t="b">
        <f>IFERROR(__xludf.DUMMYFUNCTION("""COMPUTED_VALUE"""),TRUE)</f>
        <v>1</v>
      </c>
      <c r="F20" s="1" t="str">
        <f>IFERROR(__xludf.DUMMYFUNCTION("""COMPUTED_VALUE"""),"LOCAL")</f>
        <v>LOCAL</v>
      </c>
      <c r="G20" s="93" t="str">
        <f>IFERROR(__xludf.DUMMYFUNCTION("""COMPUTED_VALUE"""),"COMSER")</f>
        <v>COMSER</v>
      </c>
      <c r="H20" s="1" t="str">
        <f>IFERROR(__xludf.DUMMYFUNCTION("""COMPUTED_VALUE"""),"Turril")</f>
        <v>Turril</v>
      </c>
      <c r="I20" s="93" t="str">
        <f>IFERROR(__xludf.DUMMYFUNCTION("""COMPUTED_VALUE"""),"TURRILES DE 200 LITROS ")</f>
        <v>TURRILES DE 200 LITROS </v>
      </c>
      <c r="J20" s="104">
        <f>IFERROR(__xludf.DUMMYFUNCTION("""COMPUTED_VALUE"""),6550.67)</f>
        <v>6550.67</v>
      </c>
      <c r="K20" s="1052">
        <f>IFERROR(__xludf.DUMMYFUNCTION("""COMPUTED_VALUE"""),0.0)</f>
        <v>0</v>
      </c>
      <c r="L20" s="104">
        <f>IFERROR(__xludf.DUMMYFUNCTION("""COMPUTED_VALUE"""),10.0)</f>
        <v>10</v>
      </c>
      <c r="M20" s="104">
        <f>IFERROR(__xludf.DUMMYFUNCTION("""COMPUTED_VALUE"""),10.0)</f>
        <v>10</v>
      </c>
      <c r="N20" s="1052">
        <f>IFERROR(__xludf.DUMMYFUNCTION("""COMPUTED_VALUE"""),20.0)</f>
        <v>20</v>
      </c>
      <c r="O20" s="104">
        <f>IFERROR(__xludf.DUMMYFUNCTION("""COMPUTED_VALUE"""),0.0)</f>
        <v>0</v>
      </c>
      <c r="P20" s="104">
        <f>IFERROR(__xludf.DUMMYFUNCTION("""COMPUTED_VALUE"""),65506.7)</f>
        <v>65506.7</v>
      </c>
      <c r="Q20" s="104">
        <f>IFERROR(__xludf.DUMMYFUNCTION("""COMPUTED_VALUE"""),65506.7)</f>
        <v>65506.7</v>
      </c>
      <c r="R20" s="104">
        <f>IFERROR(__xludf.DUMMYFUNCTION("""COMPUTED_VALUE"""),131013.4)</f>
        <v>131013.4</v>
      </c>
      <c r="S20" s="1"/>
      <c r="T20" s="1052" t="str">
        <f>IFERROR(__xludf.DUMMYFUNCTION("""COMPUTED_VALUE"""),"Almacen 17 turriles.
2 turriles LVE.
Es necsario hacer el relevamiento.
En 2024 de las 23u se comprara 10 y 2025 tambien")</f>
        <v>Almacen 17 turriles.
2 turriles LVE.
Es necsario hacer el relevamiento.
En 2024 de las 23u se comprara 10 y 2025 tambien</v>
      </c>
      <c r="U20" s="1"/>
      <c r="V20" s="1">
        <f>IFERROR(__xludf.DUMMYFUNCTION("""COMPUTED_VALUE"""),1.0)</f>
        <v>1</v>
      </c>
      <c r="W20" s="1"/>
    </row>
    <row r="21">
      <c r="A21" s="90" t="s">
        <v>79</v>
      </c>
      <c r="B21" s="90">
        <v>42.0</v>
      </c>
      <c r="C21" s="103" t="str">
        <f>IFERROR(__xludf.DUMMYFUNCTION("""COMPUTED_VALUE"""),"Compra nueva")</f>
        <v>Compra nueva</v>
      </c>
      <c r="D21" s="93" t="str">
        <f>IFERROR(__xludf.DUMMYFUNCTION("""COMPUTED_VALUE"""),"Aceite para compresores.
Turbine/Compressor Oil R&amp;O ISO 68")</f>
        <v>Aceite para compresores.
Turbine/Compressor Oil R&amp;O ISO 68</v>
      </c>
      <c r="E21" s="1" t="b">
        <f>IFERROR(__xludf.DUMMYFUNCTION("""COMPUTED_VALUE"""),TRUE)</f>
        <v>1</v>
      </c>
      <c r="F21" s="1" t="str">
        <f>IFERROR(__xludf.DUMMYFUNCTION("""COMPUTED_VALUE"""),"LOCAL")</f>
        <v>LOCAL</v>
      </c>
      <c r="G21" s="93" t="str">
        <f>IFERROR(__xludf.DUMMYFUNCTION("""COMPUTED_VALUE"""),"WIDMAN")</f>
        <v>WIDMAN</v>
      </c>
      <c r="H21" s="1" t="str">
        <f>IFERROR(__xludf.DUMMYFUNCTION("""COMPUTED_VALUE"""),"Pza")</f>
        <v>Pza</v>
      </c>
      <c r="I21" s="93" t="str">
        <f>IFERROR(__xludf.DUMMYFUNCTION("""COMPUTED_VALUE"""),"Envase de 0,95 L")</f>
        <v>Envase de 0,95 L</v>
      </c>
      <c r="J21" s="104">
        <f>IFERROR(__xludf.DUMMYFUNCTION("""COMPUTED_VALUE"""),56.83)</f>
        <v>56.83</v>
      </c>
      <c r="K21" s="1052">
        <f>IFERROR(__xludf.DUMMYFUNCTION("""COMPUTED_VALUE"""),28.0)</f>
        <v>28</v>
      </c>
      <c r="L21" s="1052">
        <f>IFERROR(__xludf.DUMMYFUNCTION("""COMPUTED_VALUE"""),28.0)</f>
        <v>28</v>
      </c>
      <c r="M21" s="1052">
        <f>IFERROR(__xludf.DUMMYFUNCTION("""COMPUTED_VALUE"""),28.0)</f>
        <v>28</v>
      </c>
      <c r="N21" s="1052">
        <f>IFERROR(__xludf.DUMMYFUNCTION("""COMPUTED_VALUE"""),84.0)</f>
        <v>84</v>
      </c>
      <c r="O21" s="104">
        <f>IFERROR(__xludf.DUMMYFUNCTION("""COMPUTED_VALUE"""),1591.24)</f>
        <v>1591.24</v>
      </c>
      <c r="P21" s="104">
        <f>IFERROR(__xludf.DUMMYFUNCTION("""COMPUTED_VALUE"""),1591.24)</f>
        <v>1591.24</v>
      </c>
      <c r="Q21" s="104">
        <f>IFERROR(__xludf.DUMMYFUNCTION("""COMPUTED_VALUE"""),1591.24)</f>
        <v>1591.24</v>
      </c>
      <c r="R21" s="104">
        <f>IFERROR(__xludf.DUMMYFUNCTION("""COMPUTED_VALUE"""),4773.72)</f>
        <v>4773.72</v>
      </c>
      <c r="S21" s="1"/>
      <c r="T21" s="1"/>
      <c r="U21" s="1"/>
      <c r="V21" s="1">
        <f>IFERROR(__xludf.DUMMYFUNCTION("""COMPUTED_VALUE"""),1.0)</f>
        <v>1</v>
      </c>
      <c r="W21" s="1"/>
    </row>
    <row r="22">
      <c r="A22" s="1053" t="s">
        <v>1827</v>
      </c>
      <c r="B22" s="90">
        <v>2.0</v>
      </c>
      <c r="C22" s="103" t="str">
        <f>IFERROR(__xludf.DUMMYFUNCTION("""COMPUTED_VALUE"""),"12156706")</f>
        <v>12156706</v>
      </c>
      <c r="D22" s="93" t="str">
        <f>IFERROR(__xludf.DUMMYFUNCTION("""COMPUTED_VALUE"""),"BQH72 - 102 - KLUBER 
 GRASA PARA MOTORES ELÉCTRICOS PRINCIPALES ")</f>
        <v>BQH72 - 102 - KLUBER 
 GRASA PARA MOTORES ELÉCTRICOS PRINCIPALES </v>
      </c>
      <c r="E22" s="1" t="b">
        <f>IFERROR(__xludf.DUMMYFUNCTION("""COMPUTED_VALUE"""),TRUE)</f>
        <v>1</v>
      </c>
      <c r="F22" s="1" t="str">
        <f>IFERROR(__xludf.DUMMYFUNCTION("""COMPUTED_VALUE"""),"TDB")</f>
        <v>TDB</v>
      </c>
      <c r="G22" s="93" t="str">
        <f>IFERROR(__xludf.DUMMYFUNCTION("""COMPUTED_VALUE"""),"TDB")</f>
        <v>TDB</v>
      </c>
      <c r="H22" s="1" t="str">
        <f>IFERROR(__xludf.DUMMYFUNCTION("""COMPUTED_VALUE"""),"Pza")</f>
        <v>Pza</v>
      </c>
      <c r="I22" s="93" t="str">
        <f>IFERROR(__xludf.DUMMYFUNCTION("""COMPUTED_VALUE"""),"CARTUCHOS 400 GRAMOS ")</f>
        <v>CARTUCHOS 400 GRAMOS </v>
      </c>
      <c r="J22" s="104">
        <f>IFERROR(__xludf.DUMMYFUNCTION("""COMPUTED_VALUE"""),7329.228)</f>
        <v>7329.228</v>
      </c>
      <c r="K22" s="1052">
        <f>IFERROR(__xludf.DUMMYFUNCTION("""COMPUTED_VALUE"""),0.0)</f>
        <v>0</v>
      </c>
      <c r="L22" s="104">
        <f>IFERROR(__xludf.DUMMYFUNCTION("""COMPUTED_VALUE"""),2.0)</f>
        <v>2</v>
      </c>
      <c r="M22" s="104">
        <f>IFERROR(__xludf.DUMMYFUNCTION("""COMPUTED_VALUE"""),2.0)</f>
        <v>2</v>
      </c>
      <c r="N22" s="1052">
        <f>IFERROR(__xludf.DUMMYFUNCTION("""COMPUTED_VALUE"""),4.0)</f>
        <v>4</v>
      </c>
      <c r="O22" s="104">
        <f>IFERROR(__xludf.DUMMYFUNCTION("""COMPUTED_VALUE"""),0.0)</f>
        <v>0</v>
      </c>
      <c r="P22" s="104">
        <f>IFERROR(__xludf.DUMMYFUNCTION("""COMPUTED_VALUE"""),14658.456)</f>
        <v>14658.456</v>
      </c>
      <c r="Q22" s="104">
        <f>IFERROR(__xludf.DUMMYFUNCTION("""COMPUTED_VALUE"""),14658.456)</f>
        <v>14658.456</v>
      </c>
      <c r="R22" s="104">
        <f>IFERROR(__xludf.DUMMYFUNCTION("""COMPUTED_VALUE"""),29316.912)</f>
        <v>29316.912</v>
      </c>
      <c r="S22" s="1"/>
      <c r="T22" s="1"/>
      <c r="U22" s="104">
        <f>IFERROR(__xludf.DUMMYFUNCTION("""COMPUTED_VALUE"""),1053.05)</f>
        <v>1053.05</v>
      </c>
      <c r="V22" s="1">
        <f>IFERROR(__xludf.DUMMYFUNCTION("""COMPUTED_VALUE"""),1.0)</f>
        <v>1</v>
      </c>
      <c r="W22" s="1"/>
    </row>
    <row r="23">
      <c r="A23" s="1053" t="s">
        <v>1827</v>
      </c>
      <c r="B23" s="90">
        <v>2.0</v>
      </c>
      <c r="C23" s="103" t="str">
        <f>IFERROR(__xludf.DUMMYFUNCTION("""COMPUTED_VALUE"""),"12157993")</f>
        <v>12157993</v>
      </c>
      <c r="D23" s="93" t="str">
        <f>IFERROR(__xludf.DUMMYFUNCTION("""COMPUTED_VALUE"""),"ACEITE ISO 220 - MONOGRADO  SINTETICO 
MOTOREDUCTORES NORD ")</f>
        <v>ACEITE ISO 220 - MONOGRADO  SINTETICO 
MOTOREDUCTORES NORD </v>
      </c>
      <c r="E23" s="1" t="b">
        <f>IFERROR(__xludf.DUMMYFUNCTION("""COMPUTED_VALUE"""),TRUE)</f>
        <v>1</v>
      </c>
      <c r="F23" s="1" t="str">
        <f>IFERROR(__xludf.DUMMYFUNCTION("""COMPUTED_VALUE"""),"TDB")</f>
        <v>TDB</v>
      </c>
      <c r="G23" s="93" t="str">
        <f>IFERROR(__xludf.DUMMYFUNCTION("""COMPUTED_VALUE"""),"TDB")</f>
        <v>TDB</v>
      </c>
      <c r="H23" s="1" t="str">
        <f>IFERROR(__xludf.DUMMYFUNCTION("""COMPUTED_VALUE"""),"Pza")</f>
        <v>Pza</v>
      </c>
      <c r="I23" s="93" t="str">
        <f>IFERROR(__xludf.DUMMYFUNCTION("""COMPUTED_VALUE"""),"Turril 208 L")</f>
        <v>Turril 208 L</v>
      </c>
      <c r="J23" s="104">
        <f>IFERROR(__xludf.DUMMYFUNCTION("""COMPUTED_VALUE"""),65747.988)</f>
        <v>65747.988</v>
      </c>
      <c r="K23" s="1052">
        <f>IFERROR(__xludf.DUMMYFUNCTION("""COMPUTED_VALUE"""),0.0)</f>
        <v>0</v>
      </c>
      <c r="L23" s="104">
        <f>IFERROR(__xludf.DUMMYFUNCTION("""COMPUTED_VALUE"""),4.0)</f>
        <v>4</v>
      </c>
      <c r="M23" s="104">
        <f>IFERROR(__xludf.DUMMYFUNCTION("""COMPUTED_VALUE"""),3.0)</f>
        <v>3</v>
      </c>
      <c r="N23" s="1052">
        <f>IFERROR(__xludf.DUMMYFUNCTION("""COMPUTED_VALUE"""),7.0)</f>
        <v>7</v>
      </c>
      <c r="O23" s="104">
        <f>IFERROR(__xludf.DUMMYFUNCTION("""COMPUTED_VALUE"""),0.0)</f>
        <v>0</v>
      </c>
      <c r="P23" s="104">
        <f>IFERROR(__xludf.DUMMYFUNCTION("""COMPUTED_VALUE"""),262991.952)</f>
        <v>262991.952</v>
      </c>
      <c r="Q23" s="104">
        <f>IFERROR(__xludf.DUMMYFUNCTION("""COMPUTED_VALUE"""),197243.96399999998)</f>
        <v>197243.964</v>
      </c>
      <c r="R23" s="104">
        <f>IFERROR(__xludf.DUMMYFUNCTION("""COMPUTED_VALUE"""),460235.91599999997)</f>
        <v>460235.916</v>
      </c>
      <c r="S23" s="1"/>
      <c r="T23" s="1052" t="str">
        <f>IFERROR(__xludf.DUMMYFUNCTION("""COMPUTED_VALUE"""),"No se compraran en gestión 2024. Necesario coordinar con RMZ reporgramar cambios de aceite en lineas el 2025")</f>
        <v>No se compraran en gestión 2024. Necesario coordinar con RMZ reporgramar cambios de aceite en lineas el 2025</v>
      </c>
      <c r="U23" s="104">
        <f>IFERROR(__xludf.DUMMYFUNCTION("""COMPUTED_VALUE"""),9446.55)</f>
        <v>9446.55</v>
      </c>
      <c r="V23" s="1">
        <f>IFERROR(__xludf.DUMMYFUNCTION("""COMPUTED_VALUE"""),1.0)</f>
        <v>1</v>
      </c>
      <c r="W23" s="1">
        <f>IFERROR(__xludf.DUMMYFUNCTION("""COMPUTED_VALUE"""),1.0)</f>
        <v>1</v>
      </c>
    </row>
    <row r="24">
      <c r="C24" s="1"/>
      <c r="D24" s="93"/>
      <c r="E24" s="1"/>
      <c r="F24" s="1"/>
      <c r="G24" s="93"/>
      <c r="H24" s="1"/>
      <c r="I24" s="93"/>
      <c r="J24" s="1"/>
      <c r="K24" s="1"/>
      <c r="L24" s="1"/>
      <c r="M24" s="1052" t="str">
        <f>IFERROR(__xludf.DUMMYFUNCTION("""COMPUTED_VALUE"""),"Total Gestiones")</f>
        <v>Total Gestiones</v>
      </c>
      <c r="N24" s="1052">
        <f>IFERROR(__xludf.DUMMYFUNCTION("""COMPUTED_VALUE"""),0.0)</f>
        <v>0</v>
      </c>
      <c r="O24" s="104">
        <f>IFERROR(__xludf.DUMMYFUNCTION("""COMPUTED_VALUE"""),1501714.2343499998)</f>
        <v>1501714.234</v>
      </c>
      <c r="P24" s="104">
        <f>IFERROR(__xludf.DUMMYFUNCTION("""COMPUTED_VALUE"""),1962268.79075)</f>
        <v>1962268.791</v>
      </c>
      <c r="Q24" s="104">
        <f>IFERROR(__xludf.DUMMYFUNCTION("""COMPUTED_VALUE"""),2008321.74545)</f>
        <v>2008321.745</v>
      </c>
      <c r="R24" s="104">
        <f>IFERROR(__xludf.DUMMYFUNCTION("""COMPUTED_VALUE"""),5472304.77055)</f>
        <v>5472304.771</v>
      </c>
      <c r="S24" s="1"/>
      <c r="T24" s="1"/>
      <c r="U24" s="1"/>
      <c r="V24" s="1"/>
      <c r="W24" s="1"/>
    </row>
    <row r="25">
      <c r="C25" s="1"/>
      <c r="D25" s="93"/>
      <c r="E25" s="1"/>
      <c r="F25" s="1"/>
      <c r="G25" s="93"/>
      <c r="H25" s="1"/>
      <c r="I25" s="93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>
      <c r="C26" s="1"/>
      <c r="D26" s="93"/>
      <c r="E26" s="1"/>
      <c r="F26" s="1"/>
      <c r="G26" s="93"/>
      <c r="H26" s="1"/>
      <c r="I26" s="93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>
      <c r="C27" s="1"/>
      <c r="D27" s="93"/>
      <c r="E27" s="1"/>
      <c r="F27" s="1"/>
      <c r="G27" s="93"/>
      <c r="H27" s="1"/>
      <c r="I27" s="93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>
      <c r="C28" s="1"/>
      <c r="D28" s="93"/>
      <c r="E28" s="1"/>
      <c r="F28" s="1"/>
      <c r="G28" s="93"/>
      <c r="H28" s="1"/>
      <c r="I28" s="93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>
      <c r="C29" s="1"/>
      <c r="D29" s="93"/>
      <c r="E29" s="1"/>
      <c r="F29" s="1"/>
      <c r="G29" s="93"/>
      <c r="H29" s="1"/>
      <c r="I29" s="93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>
      <c r="C30" s="1"/>
      <c r="D30" s="93"/>
      <c r="E30" s="1"/>
      <c r="F30" s="1"/>
      <c r="G30" s="93"/>
      <c r="H30" s="1"/>
      <c r="I30" s="93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>
      <c r="C31" s="1"/>
      <c r="D31" s="93" t="str">
        <f>IFERROR(__xludf.DUMMYFUNCTION("""COMPUTED_VALUE"""),"RESUMEN")</f>
        <v>RESUMEN</v>
      </c>
      <c r="E31" s="1"/>
      <c r="F31" s="1"/>
      <c r="G31" s="93"/>
      <c r="H31" s="1"/>
      <c r="I31" s="93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>
      <c r="C32" s="1"/>
      <c r="D32" s="93" t="str">
        <f>IFERROR(__xludf.DUMMYFUNCTION("""COMPUTED_VALUE"""),"Fuente")</f>
        <v>Fuente</v>
      </c>
      <c r="E32" s="1" t="str">
        <f>IFERROR(__xludf.DUMMYFUNCTION("""COMPUTED_VALUE"""),"SUM de Bs 2024")</f>
        <v>SUM de Bs 2024</v>
      </c>
      <c r="F32" s="1" t="str">
        <f>IFERROR(__xludf.DUMMYFUNCTION("""COMPUTED_VALUE"""),"SUM de Bs 2025")</f>
        <v>SUM de Bs 2025</v>
      </c>
      <c r="G32" s="93" t="str">
        <f>IFERROR(__xludf.DUMMYFUNCTION("""COMPUTED_VALUE"""),"SUM de Bs 2026")</f>
        <v>SUM de Bs 2026</v>
      </c>
      <c r="H32" s="1" t="str">
        <f>IFERROR(__xludf.DUMMYFUNCTION("""COMPUTED_VALUE"""),"TOTALES")</f>
        <v>TOTALES</v>
      </c>
      <c r="I32" s="93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>
      <c r="C33" s="1"/>
      <c r="D33" s="93" t="str">
        <f>IFERROR(__xludf.DUMMYFUNCTION("""COMPUTED_VALUE"""),"LOCAL")</f>
        <v>LOCAL</v>
      </c>
      <c r="E33" s="104">
        <f>IFERROR(__xludf.DUMMYFUNCTION("""COMPUTED_VALUE"""),1263258.99675)</f>
        <v>1263258.997</v>
      </c>
      <c r="F33" s="104">
        <f>IFERROR(__xludf.DUMMYFUNCTION("""COMPUTED_VALUE"""),1418235.51875)</f>
        <v>1418235.519</v>
      </c>
      <c r="G33" s="1055">
        <f>IFERROR(__xludf.DUMMYFUNCTION("""COMPUTED_VALUE"""),1442267.17265)</f>
        <v>1442267.173</v>
      </c>
      <c r="H33" s="104">
        <f>IFERROR(__xludf.DUMMYFUNCTION("""COMPUTED_VALUE"""),4123761.6881500008)</f>
        <v>4123761.688</v>
      </c>
      <c r="I33" s="93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>
      <c r="C34" s="1"/>
      <c r="D34" s="93" t="str">
        <f>IFERROR(__xludf.DUMMYFUNCTION("""COMPUTED_VALUE"""),"TDB")</f>
        <v>TDB</v>
      </c>
      <c r="E34" s="104">
        <f>IFERROR(__xludf.DUMMYFUNCTION("""COMPUTED_VALUE"""),238455.2376)</f>
        <v>238455.2376</v>
      </c>
      <c r="F34" s="104">
        <f>IFERROR(__xludf.DUMMYFUNCTION("""COMPUTED_VALUE"""),544033.2719999999)</f>
        <v>544033.272</v>
      </c>
      <c r="G34" s="1055">
        <f>IFERROR(__xludf.DUMMYFUNCTION("""COMPUTED_VALUE"""),566054.5728)</f>
        <v>566054.5728</v>
      </c>
      <c r="H34" s="104">
        <f>IFERROR(__xludf.DUMMYFUNCTION("""COMPUTED_VALUE"""),1348543.0824)</f>
        <v>1348543.082</v>
      </c>
      <c r="I34" s="93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>
      <c r="C35" s="1"/>
      <c r="D35" s="93" t="str">
        <f>IFERROR(__xludf.DUMMYFUNCTION("""COMPUTED_VALUE"""),"Suma total")</f>
        <v>Suma total</v>
      </c>
      <c r="E35" s="104">
        <f>IFERROR(__xludf.DUMMYFUNCTION("""COMPUTED_VALUE"""),1501714.2343499998)</f>
        <v>1501714.234</v>
      </c>
      <c r="F35" s="104">
        <f>IFERROR(__xludf.DUMMYFUNCTION("""COMPUTED_VALUE"""),1962268.79075)</f>
        <v>1962268.791</v>
      </c>
      <c r="G35" s="1055">
        <f>IFERROR(__xludf.DUMMYFUNCTION("""COMPUTED_VALUE"""),2008321.74545)</f>
        <v>2008321.745</v>
      </c>
      <c r="H35" s="104">
        <f>IFERROR(__xludf.DUMMYFUNCTION("""COMPUTED_VALUE"""),5472304.77055)</f>
        <v>5472304.771</v>
      </c>
      <c r="I35" s="93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>
      <c r="C36" s="1"/>
      <c r="D36" s="93"/>
      <c r="E36" s="1"/>
      <c r="F36" s="1"/>
      <c r="G36" s="93"/>
      <c r="H36" s="1"/>
      <c r="I36" s="93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>
      <c r="C37" s="1"/>
      <c r="D37" s="93"/>
      <c r="E37" s="1"/>
      <c r="F37" s="1"/>
      <c r="G37" s="93"/>
      <c r="H37" s="1"/>
      <c r="I37" s="93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>
      <c r="C38" s="1"/>
      <c r="D38" s="93" t="str">
        <f>IFERROR(__xludf.DUMMYFUNCTION("""COMPUTED_VALUE"""),"Fuente")</f>
        <v>Fuente</v>
      </c>
      <c r="E38" s="1" t="str">
        <f>IFERROR(__xludf.DUMMYFUNCTION("""COMPUTED_VALUE"""),"Proveedor")</f>
        <v>Proveedor</v>
      </c>
      <c r="F38" s="1" t="str">
        <f>IFERROR(__xludf.DUMMYFUNCTION("""COMPUTED_VALUE"""),"SUM de Bs 2024")</f>
        <v>SUM de Bs 2024</v>
      </c>
      <c r="G38" s="93" t="str">
        <f>IFERROR(__xludf.DUMMYFUNCTION("""COMPUTED_VALUE"""),"SUM de Bs 2025")</f>
        <v>SUM de Bs 2025</v>
      </c>
      <c r="H38" s="1" t="str">
        <f>IFERROR(__xludf.DUMMYFUNCTION("""COMPUTED_VALUE"""),"SUM de Bs 2026")</f>
        <v>SUM de Bs 2026</v>
      </c>
      <c r="I38" s="93" t="str">
        <f>IFERROR(__xludf.DUMMYFUNCTION("""COMPUTED_VALUE"""),"TOTALES")</f>
        <v>TOTALES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>
      <c r="C39" s="1"/>
      <c r="D39" s="93" t="str">
        <f>IFERROR(__xludf.DUMMYFUNCTION("""COMPUTED_VALUE"""),"LOCAL")</f>
        <v>LOCAL</v>
      </c>
      <c r="E39" s="1" t="str">
        <f>IFERROR(__xludf.DUMMYFUNCTION("""COMPUTED_VALUE"""),"ANDERS")</f>
        <v>ANDERS</v>
      </c>
      <c r="F39" s="104">
        <f>IFERROR(__xludf.DUMMYFUNCTION("""COMPUTED_VALUE"""),0.0)</f>
        <v>0</v>
      </c>
      <c r="G39" s="1055">
        <f>IFERROR(__xludf.DUMMYFUNCTION("""COMPUTED_VALUE"""),5581.9245)</f>
        <v>5581.9245</v>
      </c>
      <c r="H39" s="104">
        <f>IFERROR(__xludf.DUMMYFUNCTION("""COMPUTED_VALUE"""),29613.5784)</f>
        <v>29613.5784</v>
      </c>
      <c r="I39" s="1055">
        <f>IFERROR(__xludf.DUMMYFUNCTION("""COMPUTED_VALUE"""),35195.5029)</f>
        <v>35195.5029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>
      <c r="C40" s="1"/>
      <c r="D40" s="93"/>
      <c r="E40" s="1" t="str">
        <f>IFERROR(__xludf.DUMMYFUNCTION("""COMPUTED_VALUE"""),"COMSER")</f>
        <v>COMSER</v>
      </c>
      <c r="F40" s="104">
        <f>IFERROR(__xludf.DUMMYFUNCTION("""COMPUTED_VALUE"""),911245.0)</f>
        <v>911245</v>
      </c>
      <c r="G40" s="1055">
        <f>IFERROR(__xludf.DUMMYFUNCTION("""COMPUTED_VALUE"""),1009604.5975)</f>
        <v>1009604.598</v>
      </c>
      <c r="H40" s="104">
        <f>IFERROR(__xludf.DUMMYFUNCTION("""COMPUTED_VALUE"""),1009604.5975)</f>
        <v>1009604.598</v>
      </c>
      <c r="I40" s="1055">
        <f>IFERROR(__xludf.DUMMYFUNCTION("""COMPUTED_VALUE"""),2930454.195)</f>
        <v>2930454.195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>
      <c r="C41" s="1"/>
      <c r="D41" s="93"/>
      <c r="E41" s="1" t="str">
        <f>IFERROR(__xludf.DUMMYFUNCTION("""COMPUTED_VALUE"""),"EMPRESA SOLUCIONES INDUSTRIALES SAMAN")</f>
        <v>EMPRESA SOLUCIONES INDUSTRIALES SAMAN</v>
      </c>
      <c r="F41" s="104">
        <f>IFERROR(__xludf.DUMMYFUNCTION("""COMPUTED_VALUE"""),344922.75675)</f>
        <v>344922.7568</v>
      </c>
      <c r="G41" s="1055">
        <f>IFERROR(__xludf.DUMMYFUNCTION("""COMPUTED_VALUE"""),393867.75675)</f>
        <v>393867.7568</v>
      </c>
      <c r="H41" s="104">
        <f>IFERROR(__xludf.DUMMYFUNCTION("""COMPUTED_VALUE"""),393867.75675)</f>
        <v>393867.7568</v>
      </c>
      <c r="I41" s="1055">
        <f>IFERROR(__xludf.DUMMYFUNCTION("""COMPUTED_VALUE"""),1132658.27025)</f>
        <v>1132658.27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>
      <c r="C42" s="1"/>
      <c r="D42" s="93"/>
      <c r="E42" s="1" t="str">
        <f>IFERROR(__xludf.DUMMYFUNCTION("""COMPUTED_VALUE"""),"FERROMIX 7MILIMETROS ANCEDES FERRETERIAS EN GENERAL")</f>
        <v>FERROMIX 7MILIMETROS ANCEDES FERRETERIAS EN GENERAL</v>
      </c>
      <c r="F42" s="104">
        <f>IFERROR(__xludf.DUMMYFUNCTION("""COMPUTED_VALUE"""),5500.0)</f>
        <v>5500</v>
      </c>
      <c r="G42" s="1055">
        <f>IFERROR(__xludf.DUMMYFUNCTION("""COMPUTED_VALUE"""),7590.0)</f>
        <v>7590</v>
      </c>
      <c r="H42" s="104">
        <f>IFERROR(__xludf.DUMMYFUNCTION("""COMPUTED_VALUE"""),7590.0)</f>
        <v>7590</v>
      </c>
      <c r="I42" s="1055">
        <f>IFERROR(__xludf.DUMMYFUNCTION("""COMPUTED_VALUE"""),20680.0)</f>
        <v>20680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>
      <c r="C43" s="1"/>
      <c r="D43" s="93"/>
      <c r="E43" s="1" t="str">
        <f>IFERROR(__xludf.DUMMYFUNCTION("""COMPUTED_VALUE"""),"WIDMAN")</f>
        <v>WIDMAN</v>
      </c>
      <c r="F43" s="104">
        <f>IFERROR(__xludf.DUMMYFUNCTION("""COMPUTED_VALUE"""),1591.24)</f>
        <v>1591.24</v>
      </c>
      <c r="G43" s="1055">
        <f>IFERROR(__xludf.DUMMYFUNCTION("""COMPUTED_VALUE"""),1591.24)</f>
        <v>1591.24</v>
      </c>
      <c r="H43" s="104">
        <f>IFERROR(__xludf.DUMMYFUNCTION("""COMPUTED_VALUE"""),1591.24)</f>
        <v>1591.24</v>
      </c>
      <c r="I43" s="1055">
        <f>IFERROR(__xludf.DUMMYFUNCTION("""COMPUTED_VALUE"""),4773.72)</f>
        <v>4773.72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>
      <c r="C44" s="1"/>
      <c r="D44" s="93" t="str">
        <f>IFERROR(__xludf.DUMMYFUNCTION("""COMPUTED_VALUE"""),"Suma total")</f>
        <v>Suma total</v>
      </c>
      <c r="E44" s="1"/>
      <c r="F44" s="104">
        <f>IFERROR(__xludf.DUMMYFUNCTION("""COMPUTED_VALUE"""),1263258.99675)</f>
        <v>1263258.997</v>
      </c>
      <c r="G44" s="1055">
        <f>IFERROR(__xludf.DUMMYFUNCTION("""COMPUTED_VALUE"""),1418235.51875)</f>
        <v>1418235.519</v>
      </c>
      <c r="H44" s="104">
        <f>IFERROR(__xludf.DUMMYFUNCTION("""COMPUTED_VALUE"""),1442267.17265)</f>
        <v>1442267.173</v>
      </c>
      <c r="I44" s="1055">
        <f>IFERROR(__xludf.DUMMYFUNCTION("""COMPUTED_VALUE"""),4123761.6881500008)</f>
        <v>4123761.688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>
      <c r="C45" s="1"/>
      <c r="D45" s="93"/>
      <c r="E45" s="1"/>
      <c r="F45" s="1"/>
      <c r="G45" s="93"/>
      <c r="H45" s="1"/>
      <c r="I45" s="93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>
      <c r="C46" s="1"/>
      <c r="D46" s="93"/>
      <c r="E46" s="1"/>
      <c r="F46" s="1"/>
      <c r="G46" s="93"/>
      <c r="H46" s="1"/>
      <c r="I46" s="9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>
      <c r="C47" s="1"/>
      <c r="D47" s="93"/>
      <c r="E47" s="1"/>
      <c r="F47" s="1"/>
      <c r="G47" s="93"/>
      <c r="H47" s="1"/>
      <c r="I47" s="93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>
      <c r="C48" s="1"/>
      <c r="D48" s="93"/>
      <c r="E48" s="1"/>
      <c r="F48" s="1"/>
      <c r="G48" s="93"/>
      <c r="H48" s="1"/>
      <c r="I48" s="93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>
      <c r="C49" s="1"/>
      <c r="D49" s="93"/>
      <c r="E49" s="1"/>
      <c r="F49" s="1"/>
      <c r="G49" s="93"/>
      <c r="H49" s="1"/>
      <c r="I49" s="93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>
      <c r="C50" s="1"/>
      <c r="D50" s="93"/>
      <c r="E50" s="1"/>
      <c r="F50" s="1"/>
      <c r="G50" s="93"/>
      <c r="H50" s="1"/>
      <c r="I50" s="93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>
      <c r="C51" s="1"/>
      <c r="D51" s="1056"/>
      <c r="E51" s="1051"/>
      <c r="F51" s="1051"/>
      <c r="G51" s="93"/>
      <c r="H51" s="1"/>
      <c r="I51" s="93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>
      <c r="C52" s="1"/>
      <c r="D52" s="93"/>
      <c r="E52" s="1"/>
      <c r="F52" s="1"/>
      <c r="G52" s="93"/>
      <c r="H52" s="1"/>
      <c r="I52" s="93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>
      <c r="C53" s="1"/>
      <c r="D53" s="93"/>
      <c r="E53" s="1"/>
      <c r="F53" s="1"/>
      <c r="G53" s="93"/>
      <c r="H53" s="1"/>
      <c r="I53" s="93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>
      <c r="C54" s="1"/>
      <c r="D54" s="93"/>
      <c r="E54" s="1"/>
      <c r="F54" s="1"/>
      <c r="G54" s="93"/>
      <c r="H54" s="1"/>
      <c r="I54" s="93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>
      <c r="C55" s="1"/>
      <c r="D55" s="93"/>
      <c r="E55" s="1"/>
      <c r="F55" s="1"/>
      <c r="G55" s="93"/>
      <c r="H55" s="1"/>
      <c r="I55" s="93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>
      <c r="C56" s="1"/>
      <c r="D56" s="93"/>
      <c r="E56" s="1"/>
      <c r="F56" s="1"/>
      <c r="G56" s="93"/>
      <c r="H56" s="1"/>
      <c r="I56" s="93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>
      <c r="C57" s="1"/>
      <c r="D57" s="93"/>
      <c r="E57" s="1"/>
      <c r="F57" s="1"/>
      <c r="G57" s="93"/>
      <c r="H57" s="1"/>
      <c r="I57" s="93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>
      <c r="C58" s="1"/>
      <c r="D58" s="93"/>
      <c r="E58" s="1"/>
      <c r="F58" s="1"/>
      <c r="G58" s="93"/>
      <c r="H58" s="1"/>
      <c r="I58" s="93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>
      <c r="C59" s="1"/>
      <c r="D59" s="93"/>
      <c r="E59" s="1"/>
      <c r="F59" s="1"/>
      <c r="G59" s="93"/>
      <c r="H59" s="1"/>
      <c r="I59" s="93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>
      <c r="C60" s="1"/>
      <c r="D60" s="93"/>
      <c r="E60" s="1"/>
      <c r="F60" s="1"/>
      <c r="G60" s="93"/>
      <c r="H60" s="1"/>
      <c r="I60" s="93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>
      <c r="C61" s="1"/>
      <c r="D61" s="93"/>
      <c r="E61" s="1"/>
      <c r="F61" s="1"/>
      <c r="G61" s="93"/>
      <c r="H61" s="1"/>
      <c r="I61" s="93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>
      <c r="C62" s="1"/>
      <c r="D62" s="93"/>
      <c r="E62" s="1"/>
      <c r="F62" s="1"/>
      <c r="G62" s="93"/>
      <c r="H62" s="1"/>
      <c r="I62" s="93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>
      <c r="C63" s="1"/>
      <c r="D63" s="93"/>
      <c r="E63" s="1"/>
      <c r="F63" s="1"/>
      <c r="G63" s="93"/>
      <c r="H63" s="1"/>
      <c r="I63" s="93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>
      <c r="C64" s="1"/>
      <c r="D64" s="93"/>
      <c r="E64" s="1"/>
      <c r="F64" s="1"/>
      <c r="G64" s="93"/>
      <c r="H64" s="1"/>
      <c r="I64" s="93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>
      <c r="C65" s="1"/>
      <c r="D65" s="93"/>
      <c r="E65" s="1"/>
      <c r="F65" s="1"/>
      <c r="G65" s="93"/>
      <c r="H65" s="1"/>
      <c r="I65" s="93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>
      <c r="C66" s="1"/>
      <c r="D66" s="93"/>
      <c r="E66" s="1"/>
      <c r="F66" s="1"/>
      <c r="G66" s="93"/>
      <c r="H66" s="1"/>
      <c r="I66" s="93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>
      <c r="C67" s="1"/>
      <c r="D67" s="93"/>
      <c r="E67" s="1"/>
      <c r="F67" s="1"/>
      <c r="G67" s="93"/>
      <c r="H67" s="1"/>
      <c r="I67" s="93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>
      <c r="C68" s="1"/>
      <c r="D68" s="93"/>
      <c r="E68" s="1"/>
      <c r="F68" s="1"/>
      <c r="G68" s="93"/>
      <c r="H68" s="1"/>
      <c r="I68" s="93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>
      <c r="C69" s="1"/>
      <c r="D69" s="93"/>
      <c r="E69" s="1"/>
      <c r="F69" s="1"/>
      <c r="G69" s="93"/>
      <c r="H69" s="1"/>
      <c r="I69" s="93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>
      <c r="C70" s="1"/>
      <c r="D70" s="93"/>
      <c r="E70" s="1"/>
      <c r="F70" s="1"/>
      <c r="G70" s="93"/>
      <c r="H70" s="1"/>
      <c r="I70" s="93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>
      <c r="C71" s="1"/>
      <c r="D71" s="93"/>
      <c r="E71" s="1"/>
      <c r="F71" s="1"/>
      <c r="G71" s="93"/>
      <c r="H71" s="1"/>
      <c r="I71" s="93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>
      <c r="C72" s="1"/>
      <c r="D72" s="93"/>
      <c r="E72" s="1"/>
      <c r="F72" s="1"/>
      <c r="G72" s="93"/>
      <c r="H72" s="1"/>
      <c r="I72" s="93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>
      <c r="C73" s="1"/>
      <c r="D73" s="93"/>
      <c r="E73" s="1"/>
      <c r="F73" s="1"/>
      <c r="G73" s="93"/>
      <c r="H73" s="1"/>
      <c r="I73" s="93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>
      <c r="C74" s="1"/>
      <c r="D74" s="93"/>
      <c r="E74" s="1"/>
      <c r="F74" s="1"/>
      <c r="G74" s="93"/>
      <c r="H74" s="1"/>
      <c r="I74" s="93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>
      <c r="C75" s="1"/>
      <c r="D75" s="93"/>
      <c r="E75" s="1"/>
      <c r="F75" s="1"/>
      <c r="G75" s="93"/>
      <c r="H75" s="1"/>
      <c r="I75" s="93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>
      <c r="C76" s="1"/>
      <c r="D76" s="93"/>
      <c r="E76" s="1"/>
      <c r="F76" s="1"/>
      <c r="G76" s="93"/>
      <c r="H76" s="1"/>
      <c r="I76" s="93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>
      <c r="C77" s="1"/>
      <c r="D77" s="93"/>
      <c r="E77" s="1"/>
      <c r="F77" s="1"/>
      <c r="G77" s="93"/>
      <c r="H77" s="1"/>
      <c r="I77" s="93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>
      <c r="C78" s="1"/>
      <c r="D78" s="93"/>
      <c r="E78" s="1"/>
      <c r="F78" s="1"/>
      <c r="G78" s="93"/>
      <c r="H78" s="1"/>
      <c r="I78" s="93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>
      <c r="C79" s="1"/>
      <c r="D79" s="93"/>
      <c r="E79" s="1"/>
      <c r="F79" s="1"/>
      <c r="G79" s="93"/>
      <c r="H79" s="1"/>
      <c r="I79" s="93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>
      <c r="C80" s="1"/>
      <c r="D80" s="93"/>
      <c r="E80" s="1"/>
      <c r="F80" s="1"/>
      <c r="G80" s="93"/>
      <c r="H80" s="1"/>
      <c r="I80" s="93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>
      <c r="C81" s="1"/>
      <c r="D81" s="93"/>
      <c r="E81" s="1"/>
      <c r="F81" s="1"/>
      <c r="G81" s="93"/>
      <c r="H81" s="1"/>
      <c r="I81" s="93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>
      <c r="C82" s="1"/>
      <c r="D82" s="93"/>
      <c r="E82" s="1"/>
      <c r="F82" s="1"/>
      <c r="G82" s="93"/>
      <c r="H82" s="1"/>
      <c r="I82" s="93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>
      <c r="C83" s="1"/>
      <c r="D83" s="93"/>
      <c r="E83" s="1"/>
      <c r="F83" s="1"/>
      <c r="G83" s="93"/>
      <c r="H83" s="1"/>
      <c r="I83" s="93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>
      <c r="C84" s="1"/>
      <c r="D84" s="93"/>
      <c r="E84" s="1"/>
      <c r="F84" s="1"/>
      <c r="G84" s="93"/>
      <c r="H84" s="1"/>
      <c r="I84" s="93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>
      <c r="C85" s="1"/>
      <c r="D85" s="93"/>
      <c r="E85" s="1"/>
      <c r="F85" s="1"/>
      <c r="G85" s="93"/>
      <c r="H85" s="1"/>
      <c r="I85" s="93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>
      <c r="C86" s="1"/>
      <c r="D86" s="93"/>
      <c r="E86" s="1"/>
      <c r="F86" s="1"/>
      <c r="G86" s="93"/>
      <c r="H86" s="1"/>
      <c r="I86" s="93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>
      <c r="C87" s="1"/>
      <c r="D87" s="93"/>
      <c r="E87" s="1"/>
      <c r="F87" s="1"/>
      <c r="G87" s="93"/>
      <c r="H87" s="1"/>
      <c r="I87" s="93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>
      <c r="C88" s="1"/>
      <c r="D88" s="93"/>
      <c r="E88" s="1"/>
      <c r="F88" s="1"/>
      <c r="G88" s="93"/>
      <c r="H88" s="1"/>
      <c r="I88" s="93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>
      <c r="C89" s="1"/>
      <c r="D89" s="93"/>
      <c r="E89" s="1"/>
      <c r="F89" s="1"/>
      <c r="G89" s="93"/>
      <c r="H89" s="1"/>
      <c r="I89" s="93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>
      <c r="C90" s="1"/>
      <c r="D90" s="93"/>
      <c r="E90" s="1"/>
      <c r="F90" s="1"/>
      <c r="G90" s="93"/>
      <c r="H90" s="1"/>
      <c r="I90" s="93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>
      <c r="C91" s="1"/>
      <c r="D91" s="93"/>
      <c r="E91" s="1"/>
      <c r="F91" s="1"/>
      <c r="G91" s="93"/>
      <c r="H91" s="1"/>
      <c r="I91" s="93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>
      <c r="C92" s="1"/>
      <c r="D92" s="93"/>
      <c r="E92" s="1"/>
      <c r="F92" s="1"/>
      <c r="G92" s="93"/>
      <c r="H92" s="1"/>
      <c r="I92" s="93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>
      <c r="C93" s="1"/>
      <c r="D93" s="93"/>
      <c r="E93" s="1"/>
      <c r="F93" s="1"/>
      <c r="G93" s="93"/>
      <c r="H93" s="1"/>
      <c r="I93" s="93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>
      <c r="C94" s="1"/>
      <c r="D94" s="93"/>
      <c r="E94" s="1"/>
      <c r="F94" s="1"/>
      <c r="G94" s="93"/>
      <c r="H94" s="1"/>
      <c r="I94" s="93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>
      <c r="C95" s="1"/>
      <c r="D95" s="93"/>
      <c r="E95" s="1"/>
      <c r="F95" s="1"/>
      <c r="G95" s="93"/>
      <c r="H95" s="1"/>
      <c r="I95" s="93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>
      <c r="C96" s="1"/>
      <c r="D96" s="93"/>
      <c r="E96" s="1"/>
      <c r="F96" s="1"/>
      <c r="G96" s="93"/>
      <c r="H96" s="1"/>
      <c r="I96" s="93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>
      <c r="C97" s="1"/>
      <c r="D97" s="93"/>
      <c r="E97" s="1"/>
      <c r="F97" s="1"/>
      <c r="G97" s="93"/>
      <c r="H97" s="1"/>
      <c r="I97" s="93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>
      <c r="C98" s="1"/>
      <c r="D98" s="93"/>
      <c r="E98" s="1"/>
      <c r="F98" s="1"/>
      <c r="G98" s="93"/>
      <c r="H98" s="1"/>
      <c r="I98" s="93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>
      <c r="C99" s="1"/>
      <c r="D99" s="93"/>
      <c r="E99" s="1"/>
      <c r="F99" s="1"/>
      <c r="G99" s="93"/>
      <c r="H99" s="1"/>
      <c r="I99" s="93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>
      <c r="C100" s="1"/>
      <c r="D100" s="93"/>
      <c r="E100" s="1"/>
      <c r="F100" s="1"/>
      <c r="G100" s="93"/>
      <c r="H100" s="1"/>
      <c r="I100" s="93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>
      <c r="C101" s="1"/>
      <c r="D101" s="93"/>
      <c r="E101" s="1"/>
      <c r="F101" s="1"/>
      <c r="G101" s="93"/>
      <c r="H101" s="1"/>
      <c r="I101" s="93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>
      <c r="C102" s="1"/>
      <c r="D102" s="93"/>
      <c r="E102" s="1"/>
      <c r="F102" s="1"/>
      <c r="G102" s="93"/>
      <c r="H102" s="1"/>
      <c r="I102" s="93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>
      <c r="C103" s="1"/>
      <c r="D103" s="93"/>
      <c r="E103" s="1"/>
      <c r="F103" s="1"/>
      <c r="G103" s="93"/>
      <c r="H103" s="1"/>
      <c r="I103" s="93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>
      <c r="C104" s="1"/>
      <c r="D104" s="93"/>
      <c r="E104" s="1"/>
      <c r="F104" s="1"/>
      <c r="G104" s="93"/>
      <c r="H104" s="1"/>
      <c r="I104" s="93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>
      <c r="C105" s="1"/>
      <c r="D105" s="93"/>
      <c r="E105" s="1"/>
      <c r="F105" s="1"/>
      <c r="G105" s="93"/>
      <c r="H105" s="1"/>
      <c r="I105" s="93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>
      <c r="C106" s="1"/>
      <c r="D106" s="93"/>
      <c r="E106" s="1"/>
      <c r="F106" s="1"/>
      <c r="G106" s="93"/>
      <c r="H106" s="1"/>
      <c r="I106" s="93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>
      <c r="C107" s="1"/>
      <c r="D107" s="93"/>
      <c r="E107" s="1"/>
      <c r="F107" s="1"/>
      <c r="G107" s="93"/>
      <c r="H107" s="1"/>
      <c r="I107" s="93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>
      <c r="C108" s="1"/>
      <c r="D108" s="93"/>
      <c r="E108" s="1"/>
      <c r="F108" s="1"/>
      <c r="G108" s="93"/>
      <c r="H108" s="1"/>
      <c r="I108" s="93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>
      <c r="C109" s="1"/>
      <c r="D109" s="93"/>
      <c r="E109" s="1"/>
      <c r="F109" s="1"/>
      <c r="G109" s="93"/>
      <c r="H109" s="1"/>
      <c r="I109" s="93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>
      <c r="C110" s="1"/>
      <c r="D110" s="93"/>
      <c r="E110" s="1"/>
      <c r="F110" s="1"/>
      <c r="G110" s="93"/>
      <c r="H110" s="1"/>
      <c r="I110" s="93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>
      <c r="C111" s="1"/>
      <c r="D111" s="93"/>
      <c r="E111" s="1"/>
      <c r="F111" s="1"/>
      <c r="G111" s="93"/>
      <c r="H111" s="1"/>
      <c r="I111" s="93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>
      <c r="C112" s="1"/>
      <c r="D112" s="93"/>
      <c r="E112" s="1"/>
      <c r="F112" s="1"/>
      <c r="G112" s="93"/>
      <c r="H112" s="1"/>
      <c r="I112" s="93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>
      <c r="C113" s="1"/>
      <c r="D113" s="93"/>
      <c r="E113" s="1"/>
      <c r="F113" s="1"/>
      <c r="G113" s="93"/>
      <c r="H113" s="1"/>
      <c r="I113" s="93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>
      <c r="C114" s="1"/>
      <c r="D114" s="93"/>
      <c r="E114" s="1"/>
      <c r="F114" s="1"/>
      <c r="G114" s="93"/>
      <c r="H114" s="1"/>
      <c r="I114" s="93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>
      <c r="C115" s="1"/>
      <c r="D115" s="93"/>
      <c r="E115" s="1"/>
      <c r="F115" s="1"/>
      <c r="G115" s="93"/>
      <c r="H115" s="1"/>
      <c r="I115" s="93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>
      <c r="C116" s="1"/>
      <c r="D116" s="93"/>
      <c r="E116" s="1"/>
      <c r="F116" s="1"/>
      <c r="G116" s="93"/>
      <c r="H116" s="1"/>
      <c r="I116" s="93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>
      <c r="C117" s="1"/>
      <c r="D117" s="93"/>
      <c r="E117" s="1"/>
      <c r="F117" s="1"/>
      <c r="G117" s="93"/>
      <c r="H117" s="1"/>
      <c r="I117" s="93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>
      <c r="C118" s="1"/>
      <c r="D118" s="93"/>
      <c r="E118" s="1"/>
      <c r="F118" s="1"/>
      <c r="G118" s="93"/>
      <c r="H118" s="1"/>
      <c r="I118" s="93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>
      <c r="C119" s="1"/>
      <c r="D119" s="93"/>
      <c r="E119" s="1"/>
      <c r="F119" s="1"/>
      <c r="G119" s="93"/>
      <c r="H119" s="1"/>
      <c r="I119" s="93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>
      <c r="C120" s="1"/>
      <c r="D120" s="93"/>
      <c r="E120" s="1"/>
      <c r="F120" s="1"/>
      <c r="G120" s="93"/>
      <c r="H120" s="1"/>
      <c r="I120" s="93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>
      <c r="C121" s="1"/>
      <c r="D121" s="93"/>
      <c r="E121" s="1"/>
      <c r="F121" s="1"/>
      <c r="G121" s="93"/>
      <c r="H121" s="1"/>
      <c r="I121" s="93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>
      <c r="C122" s="1"/>
      <c r="D122" s="93"/>
      <c r="E122" s="1"/>
      <c r="F122" s="1"/>
      <c r="G122" s="93"/>
      <c r="H122" s="1"/>
      <c r="I122" s="93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>
      <c r="C123" s="1"/>
      <c r="D123" s="93"/>
      <c r="E123" s="1"/>
      <c r="F123" s="1"/>
      <c r="G123" s="93"/>
      <c r="H123" s="1"/>
      <c r="I123" s="93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>
      <c r="C124" s="1"/>
      <c r="D124" s="93"/>
      <c r="E124" s="1"/>
      <c r="F124" s="1"/>
      <c r="G124" s="93"/>
      <c r="H124" s="1"/>
      <c r="I124" s="93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>
      <c r="C125" s="1"/>
      <c r="D125" s="93"/>
      <c r="E125" s="1"/>
      <c r="F125" s="1"/>
      <c r="G125" s="93"/>
      <c r="H125" s="1"/>
      <c r="I125" s="93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>
      <c r="C126" s="1"/>
      <c r="D126" s="93"/>
      <c r="E126" s="1"/>
      <c r="F126" s="1"/>
      <c r="G126" s="93"/>
      <c r="H126" s="1"/>
      <c r="I126" s="93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>
      <c r="C127" s="1"/>
      <c r="D127" s="93"/>
      <c r="E127" s="1"/>
      <c r="F127" s="1"/>
      <c r="G127" s="93"/>
      <c r="H127" s="1"/>
      <c r="I127" s="93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>
      <c r="C128" s="1"/>
      <c r="D128" s="93"/>
      <c r="E128" s="1"/>
      <c r="F128" s="1"/>
      <c r="G128" s="93"/>
      <c r="H128" s="1"/>
      <c r="I128" s="93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>
      <c r="C129" s="1"/>
      <c r="D129" s="93"/>
      <c r="E129" s="1"/>
      <c r="F129" s="1"/>
      <c r="G129" s="93"/>
      <c r="H129" s="1"/>
      <c r="I129" s="93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>
      <c r="C130" s="1"/>
      <c r="D130" s="93"/>
      <c r="E130" s="1"/>
      <c r="F130" s="1"/>
      <c r="G130" s="93"/>
      <c r="H130" s="1"/>
      <c r="I130" s="93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>
      <c r="C131" s="1"/>
      <c r="D131" s="93"/>
      <c r="E131" s="1"/>
      <c r="F131" s="1"/>
      <c r="G131" s="93"/>
      <c r="H131" s="1"/>
      <c r="I131" s="93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>
      <c r="C132" s="1"/>
      <c r="D132" s="93"/>
      <c r="E132" s="1"/>
      <c r="F132" s="1"/>
      <c r="G132" s="93"/>
      <c r="H132" s="1"/>
      <c r="I132" s="93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>
      <c r="C133" s="1"/>
      <c r="D133" s="93"/>
      <c r="E133" s="1"/>
      <c r="F133" s="1"/>
      <c r="G133" s="93"/>
      <c r="H133" s="1"/>
      <c r="I133" s="93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>
      <c r="C134" s="1"/>
      <c r="D134" s="93"/>
      <c r="E134" s="1"/>
      <c r="F134" s="1"/>
      <c r="G134" s="93"/>
      <c r="H134" s="1"/>
      <c r="I134" s="93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>
      <c r="C135" s="1"/>
      <c r="D135" s="93"/>
      <c r="E135" s="1"/>
      <c r="F135" s="1"/>
      <c r="G135" s="93"/>
      <c r="H135" s="1"/>
      <c r="I135" s="93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>
      <c r="C136" s="1"/>
      <c r="D136" s="93"/>
      <c r="E136" s="1"/>
      <c r="F136" s="1"/>
      <c r="G136" s="93"/>
      <c r="H136" s="1"/>
      <c r="I136" s="93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>
      <c r="C137" s="1"/>
      <c r="D137" s="93"/>
      <c r="E137" s="1"/>
      <c r="F137" s="1"/>
      <c r="G137" s="93"/>
      <c r="H137" s="1"/>
      <c r="I137" s="93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>
      <c r="C138" s="1"/>
      <c r="D138" s="93"/>
      <c r="E138" s="1"/>
      <c r="F138" s="1"/>
      <c r="G138" s="93"/>
      <c r="H138" s="1"/>
      <c r="I138" s="93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>
      <c r="C139" s="1"/>
      <c r="D139" s="93"/>
      <c r="E139" s="1"/>
      <c r="F139" s="1"/>
      <c r="G139" s="93"/>
      <c r="H139" s="1"/>
      <c r="I139" s="93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>
      <c r="C140" s="1"/>
      <c r="D140" s="93"/>
      <c r="E140" s="1"/>
      <c r="F140" s="1"/>
      <c r="G140" s="93"/>
      <c r="H140" s="1"/>
      <c r="I140" s="93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>
      <c r="C141" s="1"/>
      <c r="D141" s="93"/>
      <c r="E141" s="1"/>
      <c r="F141" s="1"/>
      <c r="G141" s="93"/>
      <c r="H141" s="1"/>
      <c r="I141" s="93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>
      <c r="C142" s="1"/>
      <c r="D142" s="93"/>
      <c r="E142" s="1"/>
      <c r="F142" s="1"/>
      <c r="G142" s="93"/>
      <c r="H142" s="1"/>
      <c r="I142" s="93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>
      <c r="C143" s="1"/>
      <c r="D143" s="93"/>
      <c r="E143" s="1"/>
      <c r="F143" s="1"/>
      <c r="G143" s="93"/>
      <c r="H143" s="1"/>
      <c r="I143" s="93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>
      <c r="C144" s="1"/>
      <c r="D144" s="93"/>
      <c r="E144" s="1"/>
      <c r="F144" s="1"/>
      <c r="G144" s="93"/>
      <c r="H144" s="1"/>
      <c r="I144" s="93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>
      <c r="C145" s="1"/>
      <c r="D145" s="93"/>
      <c r="E145" s="1"/>
      <c r="F145" s="1"/>
      <c r="G145" s="93"/>
      <c r="H145" s="1"/>
      <c r="I145" s="93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>
      <c r="C146" s="1"/>
      <c r="D146" s="93"/>
      <c r="E146" s="1"/>
      <c r="F146" s="1"/>
      <c r="G146" s="93"/>
      <c r="H146" s="1"/>
      <c r="I146" s="93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>
      <c r="C147" s="1"/>
      <c r="D147" s="93"/>
      <c r="E147" s="1"/>
      <c r="F147" s="1"/>
      <c r="G147" s="93"/>
      <c r="H147" s="1"/>
      <c r="I147" s="93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>
      <c r="C148" s="1"/>
      <c r="D148" s="93"/>
      <c r="E148" s="1"/>
      <c r="F148" s="1"/>
      <c r="G148" s="93"/>
      <c r="H148" s="1"/>
      <c r="I148" s="93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>
      <c r="C149" s="1"/>
      <c r="D149" s="93"/>
      <c r="E149" s="1"/>
      <c r="F149" s="1"/>
      <c r="G149" s="93"/>
      <c r="H149" s="1"/>
      <c r="I149" s="93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>
      <c r="C150" s="1"/>
      <c r="D150" s="93"/>
      <c r="E150" s="1"/>
      <c r="F150" s="1"/>
      <c r="G150" s="93"/>
      <c r="H150" s="1"/>
      <c r="I150" s="93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>
      <c r="C151" s="1"/>
      <c r="D151" s="93"/>
      <c r="E151" s="1"/>
      <c r="F151" s="1"/>
      <c r="G151" s="93"/>
      <c r="H151" s="1"/>
      <c r="I151" s="93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>
      <c r="C152" s="1"/>
      <c r="D152" s="93"/>
      <c r="E152" s="1"/>
      <c r="F152" s="1"/>
      <c r="G152" s="93"/>
      <c r="H152" s="1"/>
      <c r="I152" s="93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>
      <c r="C153" s="1"/>
      <c r="D153" s="93"/>
      <c r="E153" s="1"/>
      <c r="F153" s="1"/>
      <c r="G153" s="93"/>
      <c r="H153" s="1"/>
      <c r="I153" s="93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>
      <c r="C154" s="1"/>
      <c r="D154" s="93"/>
      <c r="E154" s="1"/>
      <c r="F154" s="1"/>
      <c r="G154" s="93"/>
      <c r="H154" s="1"/>
      <c r="I154" s="93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>
      <c r="C155" s="1"/>
      <c r="D155" s="93"/>
      <c r="E155" s="1"/>
      <c r="F155" s="1"/>
      <c r="G155" s="93"/>
      <c r="H155" s="1"/>
      <c r="I155" s="93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>
      <c r="C156" s="1"/>
      <c r="D156" s="93"/>
      <c r="E156" s="1"/>
      <c r="F156" s="1"/>
      <c r="G156" s="93"/>
      <c r="H156" s="1"/>
      <c r="I156" s="93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>
      <c r="C157" s="1"/>
      <c r="D157" s="93"/>
      <c r="E157" s="1"/>
      <c r="F157" s="1"/>
      <c r="G157" s="93"/>
      <c r="H157" s="1"/>
      <c r="I157" s="93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>
      <c r="C158" s="1"/>
      <c r="D158" s="93"/>
      <c r="E158" s="1"/>
      <c r="F158" s="1"/>
      <c r="G158" s="93"/>
      <c r="H158" s="1"/>
      <c r="I158" s="93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>
      <c r="C159" s="1"/>
      <c r="D159" s="93"/>
      <c r="E159" s="1"/>
      <c r="F159" s="1"/>
      <c r="G159" s="93"/>
      <c r="H159" s="1"/>
      <c r="I159" s="93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>
      <c r="C160" s="1"/>
      <c r="D160" s="93"/>
      <c r="E160" s="1"/>
      <c r="F160" s="1"/>
      <c r="G160" s="93"/>
      <c r="H160" s="1"/>
      <c r="I160" s="93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>
      <c r="C161" s="1"/>
      <c r="D161" s="93"/>
      <c r="E161" s="1"/>
      <c r="F161" s="1"/>
      <c r="G161" s="93"/>
      <c r="H161" s="1"/>
      <c r="I161" s="93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>
      <c r="C162" s="1"/>
      <c r="D162" s="93"/>
      <c r="E162" s="1"/>
      <c r="F162" s="1"/>
      <c r="G162" s="93"/>
      <c r="H162" s="1"/>
      <c r="I162" s="93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>
      <c r="C163" s="1"/>
      <c r="D163" s="93"/>
      <c r="E163" s="1"/>
      <c r="F163" s="1"/>
      <c r="G163" s="93"/>
      <c r="H163" s="1"/>
      <c r="I163" s="93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>
      <c r="C164" s="1"/>
      <c r="D164" s="93"/>
      <c r="E164" s="1"/>
      <c r="F164" s="1"/>
      <c r="G164" s="93"/>
      <c r="H164" s="1"/>
      <c r="I164" s="93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>
      <c r="C165" s="1"/>
      <c r="D165" s="93"/>
      <c r="E165" s="1"/>
      <c r="F165" s="1"/>
      <c r="G165" s="93"/>
      <c r="H165" s="1"/>
      <c r="I165" s="93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>
      <c r="C166" s="1"/>
      <c r="D166" s="93"/>
      <c r="E166" s="1"/>
      <c r="F166" s="1"/>
      <c r="G166" s="93"/>
      <c r="H166" s="1"/>
      <c r="I166" s="93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>
      <c r="C167" s="1"/>
      <c r="D167" s="93"/>
      <c r="E167" s="1"/>
      <c r="F167" s="1"/>
      <c r="G167" s="93"/>
      <c r="H167" s="1"/>
      <c r="I167" s="93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>
      <c r="C168" s="1"/>
      <c r="D168" s="93"/>
      <c r="E168" s="1"/>
      <c r="F168" s="1"/>
      <c r="G168" s="93"/>
      <c r="H168" s="1"/>
      <c r="I168" s="93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>
      <c r="C169" s="1"/>
      <c r="D169" s="93"/>
      <c r="E169" s="1"/>
      <c r="F169" s="1"/>
      <c r="G169" s="93"/>
      <c r="H169" s="1"/>
      <c r="I169" s="93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>
      <c r="C170" s="1"/>
      <c r="D170" s="93"/>
      <c r="E170" s="1"/>
      <c r="F170" s="1"/>
      <c r="G170" s="93"/>
      <c r="H170" s="1"/>
      <c r="I170" s="93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>
      <c r="C171" s="1"/>
      <c r="D171" s="93"/>
      <c r="E171" s="1"/>
      <c r="F171" s="1"/>
      <c r="G171" s="93"/>
      <c r="H171" s="1"/>
      <c r="I171" s="93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>
      <c r="C172" s="1"/>
      <c r="D172" s="93"/>
      <c r="E172" s="1"/>
      <c r="F172" s="1"/>
      <c r="G172" s="93"/>
      <c r="H172" s="1"/>
      <c r="I172" s="93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>
      <c r="C173" s="1"/>
      <c r="D173" s="93"/>
      <c r="E173" s="1"/>
      <c r="F173" s="1"/>
      <c r="G173" s="93"/>
      <c r="H173" s="1"/>
      <c r="I173" s="93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>
      <c r="C174" s="1"/>
      <c r="D174" s="93"/>
      <c r="E174" s="1"/>
      <c r="F174" s="1"/>
      <c r="G174" s="93"/>
      <c r="H174" s="1"/>
      <c r="I174" s="93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>
      <c r="C175" s="1"/>
      <c r="D175" s="93"/>
      <c r="E175" s="1"/>
      <c r="F175" s="1"/>
      <c r="G175" s="93"/>
      <c r="H175" s="1"/>
      <c r="I175" s="93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>
      <c r="C176" s="1"/>
      <c r="D176" s="93"/>
      <c r="E176" s="1"/>
      <c r="F176" s="1"/>
      <c r="G176" s="93"/>
      <c r="H176" s="1"/>
      <c r="I176" s="93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>
      <c r="C177" s="1"/>
      <c r="D177" s="93"/>
      <c r="E177" s="1"/>
      <c r="F177" s="1"/>
      <c r="G177" s="93"/>
      <c r="H177" s="1"/>
      <c r="I177" s="93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>
      <c r="C178" s="1"/>
      <c r="D178" s="93"/>
      <c r="E178" s="1"/>
      <c r="F178" s="1"/>
      <c r="G178" s="93"/>
      <c r="H178" s="1"/>
      <c r="I178" s="93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>
      <c r="C179" s="1"/>
      <c r="D179" s="93"/>
      <c r="E179" s="1"/>
      <c r="F179" s="1"/>
      <c r="G179" s="93"/>
      <c r="H179" s="1"/>
      <c r="I179" s="93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>
      <c r="C180" s="1"/>
      <c r="D180" s="93"/>
      <c r="E180" s="1"/>
      <c r="F180" s="1"/>
      <c r="G180" s="93"/>
      <c r="H180" s="1"/>
      <c r="I180" s="93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>
      <c r="C181" s="1"/>
      <c r="D181" s="93"/>
      <c r="E181" s="1"/>
      <c r="F181" s="1"/>
      <c r="G181" s="93"/>
      <c r="H181" s="1"/>
      <c r="I181" s="93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>
      <c r="C182" s="1"/>
      <c r="D182" s="93"/>
      <c r="E182" s="1"/>
      <c r="F182" s="1"/>
      <c r="G182" s="93"/>
      <c r="H182" s="1"/>
      <c r="I182" s="93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>
      <c r="C183" s="1"/>
      <c r="D183" s="93"/>
      <c r="E183" s="1"/>
      <c r="F183" s="1"/>
      <c r="G183" s="93"/>
      <c r="H183" s="1"/>
      <c r="I183" s="93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>
      <c r="C184" s="1"/>
      <c r="D184" s="93"/>
      <c r="E184" s="1"/>
      <c r="F184" s="1"/>
      <c r="G184" s="93"/>
      <c r="H184" s="1"/>
      <c r="I184" s="93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>
      <c r="C185" s="1"/>
      <c r="D185" s="93"/>
      <c r="E185" s="1"/>
      <c r="F185" s="1"/>
      <c r="G185" s="93"/>
      <c r="H185" s="1"/>
      <c r="I185" s="93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>
      <c r="C186" s="1"/>
      <c r="D186" s="93"/>
      <c r="E186" s="1"/>
      <c r="F186" s="1"/>
      <c r="G186" s="93"/>
      <c r="H186" s="1"/>
      <c r="I186" s="93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>
      <c r="C187" s="1"/>
      <c r="D187" s="93"/>
      <c r="E187" s="1"/>
      <c r="F187" s="1"/>
      <c r="G187" s="93"/>
      <c r="H187" s="1"/>
      <c r="I187" s="93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>
      <c r="C188" s="1"/>
      <c r="D188" s="93"/>
      <c r="E188" s="1"/>
      <c r="F188" s="1"/>
      <c r="G188" s="93"/>
      <c r="H188" s="1"/>
      <c r="I188" s="93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>
      <c r="C189" s="1"/>
      <c r="D189" s="93"/>
      <c r="E189" s="1"/>
      <c r="F189" s="1"/>
      <c r="G189" s="93"/>
      <c r="H189" s="1"/>
      <c r="I189" s="93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>
      <c r="C190" s="1"/>
      <c r="D190" s="93"/>
      <c r="E190" s="1"/>
      <c r="F190" s="1"/>
      <c r="G190" s="93"/>
      <c r="H190" s="1"/>
      <c r="I190" s="93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>
      <c r="C191" s="1"/>
      <c r="D191" s="93"/>
      <c r="E191" s="1"/>
      <c r="F191" s="1"/>
      <c r="G191" s="93"/>
      <c r="H191" s="1"/>
      <c r="I191" s="93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>
      <c r="C192" s="1"/>
      <c r="D192" s="93"/>
      <c r="E192" s="1"/>
      <c r="F192" s="1"/>
      <c r="G192" s="93"/>
      <c r="H192" s="1"/>
      <c r="I192" s="93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>
      <c r="C193" s="1"/>
      <c r="D193" s="93"/>
      <c r="E193" s="1"/>
      <c r="F193" s="1"/>
      <c r="G193" s="93"/>
      <c r="H193" s="1"/>
      <c r="I193" s="93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>
      <c r="C194" s="1"/>
      <c r="D194" s="93"/>
      <c r="E194" s="1"/>
      <c r="F194" s="1"/>
      <c r="G194" s="93"/>
      <c r="H194" s="1"/>
      <c r="I194" s="93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>
      <c r="C195" s="1"/>
      <c r="D195" s="93"/>
      <c r="E195" s="1"/>
      <c r="F195" s="1"/>
      <c r="G195" s="93"/>
      <c r="H195" s="1"/>
      <c r="I195" s="93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>
      <c r="C196" s="1"/>
      <c r="D196" s="93"/>
      <c r="E196" s="1"/>
      <c r="F196" s="1"/>
      <c r="G196" s="93"/>
      <c r="H196" s="1"/>
      <c r="I196" s="93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>
      <c r="C197" s="1"/>
      <c r="D197" s="93"/>
      <c r="E197" s="1"/>
      <c r="F197" s="1"/>
      <c r="G197" s="93"/>
      <c r="H197" s="1"/>
      <c r="I197" s="93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>
      <c r="C198" s="1"/>
      <c r="D198" s="93"/>
      <c r="E198" s="1"/>
      <c r="F198" s="1"/>
      <c r="G198" s="93"/>
      <c r="H198" s="1"/>
      <c r="I198" s="93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>
      <c r="C199" s="1"/>
      <c r="D199" s="93"/>
      <c r="E199" s="1"/>
      <c r="F199" s="1"/>
      <c r="G199" s="93"/>
      <c r="H199" s="1"/>
      <c r="I199" s="93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>
      <c r="C200" s="1"/>
      <c r="D200" s="93"/>
      <c r="E200" s="1"/>
      <c r="F200" s="1"/>
      <c r="G200" s="93"/>
      <c r="H200" s="1"/>
      <c r="I200" s="93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>
      <c r="C201" s="1"/>
      <c r="D201" s="93"/>
      <c r="E201" s="1"/>
      <c r="F201" s="1"/>
      <c r="G201" s="93"/>
      <c r="H201" s="1"/>
      <c r="I201" s="93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>
      <c r="C202" s="1"/>
      <c r="D202" s="93"/>
      <c r="E202" s="1"/>
      <c r="F202" s="1"/>
      <c r="G202" s="93"/>
      <c r="H202" s="1"/>
      <c r="I202" s="93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>
      <c r="C203" s="1"/>
      <c r="D203" s="93"/>
      <c r="E203" s="1"/>
      <c r="F203" s="1"/>
      <c r="G203" s="93"/>
      <c r="H203" s="1"/>
      <c r="I203" s="93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>
      <c r="C204" s="1"/>
      <c r="D204" s="93"/>
      <c r="E204" s="1"/>
      <c r="F204" s="1"/>
      <c r="G204" s="93"/>
      <c r="H204" s="1"/>
      <c r="I204" s="93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>
      <c r="C205" s="1"/>
      <c r="D205" s="93"/>
      <c r="E205" s="1"/>
      <c r="F205" s="1"/>
      <c r="G205" s="93"/>
      <c r="H205" s="1"/>
      <c r="I205" s="93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>
      <c r="C206" s="1"/>
      <c r="D206" s="93"/>
      <c r="E206" s="1"/>
      <c r="F206" s="1"/>
      <c r="G206" s="93"/>
      <c r="H206" s="1"/>
      <c r="I206" s="93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>
      <c r="C207" s="1"/>
      <c r="D207" s="93"/>
      <c r="E207" s="1"/>
      <c r="F207" s="1"/>
      <c r="G207" s="93"/>
      <c r="H207" s="1"/>
      <c r="I207" s="93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>
      <c r="C208" s="1"/>
      <c r="D208" s="93"/>
      <c r="E208" s="1"/>
      <c r="F208" s="1"/>
      <c r="G208" s="93"/>
      <c r="H208" s="1"/>
      <c r="I208" s="93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>
      <c r="C209" s="1"/>
      <c r="D209" s="93"/>
      <c r="E209" s="1"/>
      <c r="F209" s="1"/>
      <c r="G209" s="93"/>
      <c r="H209" s="1"/>
      <c r="I209" s="93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>
      <c r="C210" s="1"/>
      <c r="D210" s="93"/>
      <c r="E210" s="1"/>
      <c r="F210" s="1"/>
      <c r="G210" s="93"/>
      <c r="H210" s="1"/>
      <c r="I210" s="93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>
      <c r="C211" s="1"/>
      <c r="D211" s="93"/>
      <c r="E211" s="1"/>
      <c r="F211" s="1"/>
      <c r="G211" s="93"/>
      <c r="H211" s="1"/>
      <c r="I211" s="93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>
      <c r="C212" s="1"/>
      <c r="D212" s="93"/>
      <c r="E212" s="1"/>
      <c r="F212" s="1"/>
      <c r="G212" s="93"/>
      <c r="H212" s="1"/>
      <c r="I212" s="93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>
      <c r="C213" s="1"/>
      <c r="D213" s="93"/>
      <c r="E213" s="1"/>
      <c r="F213" s="1"/>
      <c r="G213" s="93"/>
      <c r="H213" s="1"/>
      <c r="I213" s="93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>
      <c r="C214" s="1"/>
      <c r="D214" s="93"/>
      <c r="E214" s="1"/>
      <c r="F214" s="1"/>
      <c r="G214" s="93"/>
      <c r="H214" s="1"/>
      <c r="I214" s="93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>
      <c r="C215" s="1"/>
      <c r="D215" s="93"/>
      <c r="E215" s="1"/>
      <c r="F215" s="1"/>
      <c r="G215" s="93"/>
      <c r="H215" s="1"/>
      <c r="I215" s="93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>
      <c r="C216" s="1"/>
      <c r="D216" s="93"/>
      <c r="E216" s="1"/>
      <c r="F216" s="1"/>
      <c r="G216" s="93"/>
      <c r="H216" s="1"/>
      <c r="I216" s="93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>
      <c r="C217" s="1"/>
      <c r="D217" s="93"/>
      <c r="E217" s="1"/>
      <c r="F217" s="1"/>
      <c r="G217" s="93"/>
      <c r="H217" s="1"/>
      <c r="I217" s="93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>
      <c r="C218" s="1"/>
      <c r="D218" s="93"/>
      <c r="E218" s="1"/>
      <c r="F218" s="1"/>
      <c r="G218" s="93"/>
      <c r="H218" s="1"/>
      <c r="I218" s="93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>
      <c r="C219" s="1"/>
      <c r="D219" s="93"/>
      <c r="E219" s="1"/>
      <c r="F219" s="1"/>
      <c r="G219" s="93"/>
      <c r="H219" s="1"/>
      <c r="I219" s="93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>
      <c r="C220" s="1"/>
      <c r="D220" s="93"/>
      <c r="E220" s="1"/>
      <c r="F220" s="1"/>
      <c r="G220" s="93"/>
      <c r="H220" s="1"/>
      <c r="I220" s="93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>
      <c r="C221" s="1"/>
      <c r="D221" s="93"/>
      <c r="E221" s="1"/>
      <c r="F221" s="1"/>
      <c r="G221" s="93"/>
      <c r="H221" s="1"/>
      <c r="I221" s="93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>
      <c r="C222" s="1"/>
      <c r="D222" s="93"/>
      <c r="E222" s="1"/>
      <c r="F222" s="1"/>
      <c r="G222" s="93"/>
      <c r="H222" s="1"/>
      <c r="I222" s="93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>
      <c r="C223" s="1"/>
      <c r="D223" s="93"/>
      <c r="E223" s="1"/>
      <c r="F223" s="1"/>
      <c r="G223" s="93"/>
      <c r="H223" s="1"/>
      <c r="I223" s="93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>
      <c r="C224" s="1"/>
      <c r="D224" s="93"/>
      <c r="E224" s="1"/>
      <c r="F224" s="1"/>
      <c r="G224" s="93"/>
      <c r="H224" s="1"/>
      <c r="I224" s="93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>
      <c r="C225" s="1"/>
      <c r="D225" s="93"/>
      <c r="E225" s="1"/>
      <c r="F225" s="1"/>
      <c r="G225" s="93"/>
      <c r="H225" s="1"/>
      <c r="I225" s="93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>
      <c r="C226" s="1"/>
      <c r="D226" s="93"/>
      <c r="E226" s="1"/>
      <c r="F226" s="1"/>
      <c r="G226" s="93"/>
      <c r="H226" s="1"/>
      <c r="I226" s="93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>
      <c r="C227" s="1"/>
      <c r="D227" s="93"/>
      <c r="E227" s="1"/>
      <c r="F227" s="1"/>
      <c r="G227" s="93"/>
      <c r="H227" s="1"/>
      <c r="I227" s="93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>
      <c r="C228" s="1"/>
      <c r="D228" s="93"/>
      <c r="E228" s="1"/>
      <c r="F228" s="1"/>
      <c r="G228" s="93"/>
      <c r="H228" s="1"/>
      <c r="I228" s="93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>
      <c r="C229" s="1"/>
      <c r="D229" s="93"/>
      <c r="E229" s="1"/>
      <c r="F229" s="1"/>
      <c r="G229" s="93"/>
      <c r="H229" s="1"/>
      <c r="I229" s="93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>
      <c r="C230" s="1"/>
      <c r="D230" s="93"/>
      <c r="E230" s="1"/>
      <c r="F230" s="1"/>
      <c r="G230" s="93"/>
      <c r="H230" s="1"/>
      <c r="I230" s="93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>
      <c r="C231" s="1"/>
      <c r="D231" s="93"/>
      <c r="E231" s="1"/>
      <c r="F231" s="1"/>
      <c r="G231" s="93"/>
      <c r="H231" s="1"/>
      <c r="I231" s="93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>
      <c r="C232" s="1"/>
      <c r="D232" s="93"/>
      <c r="E232" s="1"/>
      <c r="F232" s="1"/>
      <c r="G232" s="93"/>
      <c r="H232" s="1"/>
      <c r="I232" s="93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>
      <c r="C233" s="1"/>
      <c r="D233" s="93"/>
      <c r="E233" s="1"/>
      <c r="F233" s="1"/>
      <c r="G233" s="93"/>
      <c r="H233" s="1"/>
      <c r="I233" s="93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>
      <c r="C234" s="1"/>
      <c r="D234" s="93"/>
      <c r="E234" s="1"/>
      <c r="F234" s="1"/>
      <c r="G234" s="93"/>
      <c r="H234" s="1"/>
      <c r="I234" s="93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>
      <c r="C235" s="1"/>
      <c r="D235" s="93"/>
      <c r="E235" s="1"/>
      <c r="F235" s="1"/>
      <c r="G235" s="93"/>
      <c r="H235" s="1"/>
      <c r="I235" s="93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>
      <c r="C236" s="1"/>
      <c r="D236" s="93"/>
      <c r="E236" s="1"/>
      <c r="F236" s="1"/>
      <c r="G236" s="93"/>
      <c r="H236" s="1"/>
      <c r="I236" s="93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>
      <c r="C237" s="1"/>
      <c r="D237" s="93"/>
      <c r="E237" s="1"/>
      <c r="F237" s="1"/>
      <c r="G237" s="93"/>
      <c r="H237" s="1"/>
      <c r="I237" s="93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>
      <c r="C238" s="1"/>
      <c r="D238" s="93"/>
      <c r="E238" s="1"/>
      <c r="F238" s="1"/>
      <c r="G238" s="93"/>
      <c r="H238" s="1"/>
      <c r="I238" s="93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>
      <c r="C239" s="1"/>
      <c r="D239" s="93"/>
      <c r="E239" s="1"/>
      <c r="F239" s="1"/>
      <c r="G239" s="93"/>
      <c r="H239" s="1"/>
      <c r="I239" s="93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>
      <c r="C240" s="1"/>
      <c r="D240" s="93"/>
      <c r="E240" s="1"/>
      <c r="F240" s="1"/>
      <c r="G240" s="93"/>
      <c r="H240" s="1"/>
      <c r="I240" s="93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>
      <c r="C241" s="1"/>
      <c r="D241" s="93"/>
      <c r="E241" s="1"/>
      <c r="F241" s="1"/>
      <c r="G241" s="93"/>
      <c r="H241" s="1"/>
      <c r="I241" s="93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>
      <c r="C242" s="1"/>
      <c r="D242" s="93"/>
      <c r="E242" s="1"/>
      <c r="F242" s="1"/>
      <c r="G242" s="93"/>
      <c r="H242" s="1"/>
      <c r="I242" s="93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>
      <c r="C243" s="1"/>
      <c r="D243" s="93"/>
      <c r="E243" s="1"/>
      <c r="F243" s="1"/>
      <c r="G243" s="93"/>
      <c r="H243" s="1"/>
      <c r="I243" s="93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>
      <c r="C244" s="1"/>
      <c r="D244" s="93"/>
      <c r="E244" s="1"/>
      <c r="F244" s="1"/>
      <c r="G244" s="93"/>
      <c r="H244" s="1"/>
      <c r="I244" s="93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>
      <c r="C245" s="1"/>
      <c r="D245" s="93"/>
      <c r="E245" s="1"/>
      <c r="F245" s="1"/>
      <c r="G245" s="93"/>
      <c r="H245" s="1"/>
      <c r="I245" s="93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>
      <c r="C246" s="1"/>
      <c r="D246" s="93"/>
      <c r="E246" s="1"/>
      <c r="F246" s="1"/>
      <c r="G246" s="93"/>
      <c r="H246" s="1"/>
      <c r="I246" s="93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>
      <c r="C247" s="1"/>
      <c r="D247" s="93"/>
      <c r="E247" s="1"/>
      <c r="F247" s="1"/>
      <c r="G247" s="93"/>
      <c r="H247" s="1"/>
      <c r="I247" s="93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>
      <c r="C248" s="1"/>
      <c r="D248" s="93"/>
      <c r="E248" s="1"/>
      <c r="F248" s="1"/>
      <c r="G248" s="93"/>
      <c r="H248" s="1"/>
      <c r="I248" s="93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>
      <c r="C249" s="1"/>
      <c r="D249" s="93"/>
      <c r="E249" s="1"/>
      <c r="F249" s="1"/>
      <c r="G249" s="93"/>
      <c r="H249" s="1"/>
      <c r="I249" s="93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>
      <c r="C250" s="1"/>
      <c r="D250" s="93"/>
      <c r="E250" s="1"/>
      <c r="F250" s="1"/>
      <c r="G250" s="93"/>
      <c r="H250" s="1"/>
      <c r="I250" s="93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>
      <c r="C251" s="1"/>
      <c r="D251" s="93"/>
      <c r="E251" s="1"/>
      <c r="F251" s="1"/>
      <c r="G251" s="93"/>
      <c r="H251" s="1"/>
      <c r="I251" s="93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>
      <c r="C252" s="1"/>
      <c r="D252" s="93"/>
      <c r="E252" s="1"/>
      <c r="F252" s="1"/>
      <c r="G252" s="93"/>
      <c r="H252" s="1"/>
      <c r="I252" s="93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>
      <c r="C253" s="1"/>
      <c r="D253" s="93"/>
      <c r="E253" s="1"/>
      <c r="F253" s="1"/>
      <c r="G253" s="93"/>
      <c r="H253" s="1"/>
      <c r="I253" s="93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>
      <c r="C254" s="1"/>
      <c r="D254" s="93"/>
      <c r="E254" s="1"/>
      <c r="F254" s="1"/>
      <c r="G254" s="93"/>
      <c r="H254" s="1"/>
      <c r="I254" s="93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>
      <c r="C255" s="1"/>
      <c r="D255" s="93"/>
      <c r="E255" s="1"/>
      <c r="F255" s="1"/>
      <c r="G255" s="93"/>
      <c r="H255" s="1"/>
      <c r="I255" s="93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>
      <c r="C256" s="1"/>
      <c r="D256" s="93"/>
      <c r="E256" s="1"/>
      <c r="F256" s="1"/>
      <c r="G256" s="93"/>
      <c r="H256" s="1"/>
      <c r="I256" s="93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>
      <c r="C257" s="1"/>
      <c r="D257" s="93"/>
      <c r="E257" s="1"/>
      <c r="F257" s="1"/>
      <c r="G257" s="93"/>
      <c r="H257" s="1"/>
      <c r="I257" s="93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>
      <c r="C258" s="1"/>
      <c r="D258" s="93"/>
      <c r="E258" s="1"/>
      <c r="F258" s="1"/>
      <c r="G258" s="93"/>
      <c r="H258" s="1"/>
      <c r="I258" s="93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>
      <c r="C259" s="1"/>
      <c r="D259" s="93"/>
      <c r="E259" s="1"/>
      <c r="F259" s="1"/>
      <c r="G259" s="93"/>
      <c r="H259" s="1"/>
      <c r="I259" s="93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>
      <c r="C260" s="1"/>
      <c r="D260" s="93"/>
      <c r="E260" s="1"/>
      <c r="F260" s="1"/>
      <c r="G260" s="93"/>
      <c r="H260" s="1"/>
      <c r="I260" s="93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>
      <c r="C261" s="1"/>
      <c r="D261" s="93"/>
      <c r="E261" s="1"/>
      <c r="F261" s="1"/>
      <c r="G261" s="93"/>
      <c r="H261" s="1"/>
      <c r="I261" s="93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>
      <c r="C262" s="1"/>
      <c r="D262" s="93"/>
      <c r="E262" s="1"/>
      <c r="F262" s="1"/>
      <c r="G262" s="93"/>
      <c r="H262" s="1"/>
      <c r="I262" s="93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>
      <c r="C263" s="1"/>
      <c r="D263" s="93"/>
      <c r="E263" s="1"/>
      <c r="F263" s="1"/>
      <c r="G263" s="93"/>
      <c r="H263" s="1"/>
      <c r="I263" s="93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>
      <c r="C264" s="1"/>
      <c r="D264" s="93"/>
      <c r="E264" s="1"/>
      <c r="F264" s="1"/>
      <c r="G264" s="93"/>
      <c r="H264" s="1"/>
      <c r="I264" s="93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>
      <c r="C265" s="1"/>
      <c r="D265" s="93"/>
      <c r="E265" s="1"/>
      <c r="F265" s="1"/>
      <c r="G265" s="93"/>
      <c r="H265" s="1"/>
      <c r="I265" s="93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>
      <c r="C266" s="1"/>
      <c r="D266" s="93"/>
      <c r="E266" s="1"/>
      <c r="F266" s="1"/>
      <c r="G266" s="93"/>
      <c r="H266" s="1"/>
      <c r="I266" s="93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>
      <c r="C267" s="1"/>
      <c r="D267" s="93"/>
      <c r="E267" s="1"/>
      <c r="F267" s="1"/>
      <c r="G267" s="93"/>
      <c r="H267" s="1"/>
      <c r="I267" s="93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>
      <c r="C268" s="1"/>
      <c r="D268" s="93"/>
      <c r="E268" s="1"/>
      <c r="F268" s="1"/>
      <c r="G268" s="93"/>
      <c r="H268" s="1"/>
      <c r="I268" s="93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>
      <c r="C269" s="1"/>
      <c r="D269" s="93"/>
      <c r="E269" s="1"/>
      <c r="F269" s="1"/>
      <c r="G269" s="93"/>
      <c r="H269" s="1"/>
      <c r="I269" s="93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>
      <c r="C270" s="1"/>
      <c r="D270" s="93"/>
      <c r="E270" s="1"/>
      <c r="F270" s="1"/>
      <c r="G270" s="93"/>
      <c r="H270" s="1"/>
      <c r="I270" s="93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>
      <c r="C271" s="1"/>
      <c r="D271" s="93"/>
      <c r="E271" s="1"/>
      <c r="F271" s="1"/>
      <c r="G271" s="93"/>
      <c r="H271" s="1"/>
      <c r="I271" s="93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>
      <c r="C272" s="1"/>
      <c r="D272" s="93"/>
      <c r="E272" s="1"/>
      <c r="F272" s="1"/>
      <c r="G272" s="93"/>
      <c r="H272" s="1"/>
      <c r="I272" s="93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>
      <c r="C273" s="1"/>
      <c r="D273" s="93"/>
      <c r="E273" s="1"/>
      <c r="F273" s="1"/>
      <c r="G273" s="93"/>
      <c r="H273" s="1"/>
      <c r="I273" s="93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>
      <c r="C274" s="1"/>
      <c r="D274" s="93"/>
      <c r="E274" s="1"/>
      <c r="F274" s="1"/>
      <c r="G274" s="93"/>
      <c r="H274" s="1"/>
      <c r="I274" s="93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>
      <c r="C275" s="1"/>
      <c r="D275" s="93"/>
      <c r="E275" s="1"/>
      <c r="F275" s="1"/>
      <c r="G275" s="93"/>
      <c r="H275" s="1"/>
      <c r="I275" s="93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>
      <c r="C276" s="1"/>
      <c r="D276" s="93"/>
      <c r="E276" s="1"/>
      <c r="F276" s="1"/>
      <c r="G276" s="93"/>
      <c r="H276" s="1"/>
      <c r="I276" s="93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>
      <c r="C277" s="1"/>
      <c r="D277" s="93"/>
      <c r="E277" s="1"/>
      <c r="F277" s="1"/>
      <c r="G277" s="93"/>
      <c r="H277" s="1"/>
      <c r="I277" s="93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>
      <c r="C278" s="1"/>
      <c r="D278" s="93"/>
      <c r="E278" s="1"/>
      <c r="F278" s="1"/>
      <c r="G278" s="93"/>
      <c r="H278" s="1"/>
      <c r="I278" s="93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>
      <c r="C279" s="1"/>
      <c r="D279" s="93"/>
      <c r="E279" s="1"/>
      <c r="F279" s="1"/>
      <c r="G279" s="93"/>
      <c r="H279" s="1"/>
      <c r="I279" s="93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>
      <c r="C280" s="1"/>
      <c r="D280" s="93"/>
      <c r="E280" s="1"/>
      <c r="F280" s="1"/>
      <c r="G280" s="93"/>
      <c r="H280" s="1"/>
      <c r="I280" s="93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>
      <c r="C281" s="1"/>
      <c r="D281" s="93"/>
      <c r="E281" s="1"/>
      <c r="F281" s="1"/>
      <c r="G281" s="93"/>
      <c r="H281" s="1"/>
      <c r="I281" s="93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>
      <c r="C282" s="1"/>
      <c r="D282" s="93"/>
      <c r="E282" s="1"/>
      <c r="F282" s="1"/>
      <c r="G282" s="93"/>
      <c r="H282" s="1"/>
      <c r="I282" s="93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>
      <c r="C283" s="1"/>
      <c r="D283" s="93"/>
      <c r="E283" s="1"/>
      <c r="F283" s="1"/>
      <c r="G283" s="93"/>
      <c r="H283" s="1"/>
      <c r="I283" s="93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>
      <c r="C284" s="1"/>
      <c r="D284" s="93"/>
      <c r="E284" s="1"/>
      <c r="F284" s="1"/>
      <c r="G284" s="93"/>
      <c r="H284" s="1"/>
      <c r="I284" s="93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>
      <c r="C285" s="1"/>
      <c r="D285" s="93"/>
      <c r="E285" s="1"/>
      <c r="F285" s="1"/>
      <c r="G285" s="93"/>
      <c r="H285" s="1"/>
      <c r="I285" s="93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>
      <c r="C286" s="1"/>
      <c r="D286" s="93"/>
      <c r="E286" s="1"/>
      <c r="F286" s="1"/>
      <c r="G286" s="93"/>
      <c r="H286" s="1"/>
      <c r="I286" s="93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>
      <c r="C287" s="1"/>
      <c r="D287" s="93"/>
      <c r="E287" s="1"/>
      <c r="F287" s="1"/>
      <c r="G287" s="93"/>
      <c r="H287" s="1"/>
      <c r="I287" s="93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>
      <c r="C288" s="1"/>
      <c r="D288" s="93"/>
      <c r="E288" s="1"/>
      <c r="F288" s="1"/>
      <c r="G288" s="93"/>
      <c r="H288" s="1"/>
      <c r="I288" s="93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>
      <c r="C289" s="1"/>
      <c r="D289" s="93"/>
      <c r="E289" s="1"/>
      <c r="F289" s="1"/>
      <c r="G289" s="93"/>
      <c r="H289" s="1"/>
      <c r="I289" s="93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>
      <c r="C290" s="1"/>
      <c r="D290" s="93"/>
      <c r="E290" s="1"/>
      <c r="F290" s="1"/>
      <c r="G290" s="93"/>
      <c r="H290" s="1"/>
      <c r="I290" s="93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>
      <c r="C291" s="1"/>
      <c r="D291" s="93"/>
      <c r="E291" s="1"/>
      <c r="F291" s="1"/>
      <c r="G291" s="93"/>
      <c r="H291" s="1"/>
      <c r="I291" s="93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>
      <c r="C292" s="1"/>
      <c r="D292" s="93"/>
      <c r="E292" s="1"/>
      <c r="F292" s="1"/>
      <c r="G292" s="93"/>
      <c r="H292" s="1"/>
      <c r="I292" s="93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>
      <c r="C293" s="1"/>
      <c r="D293" s="93"/>
      <c r="E293" s="1"/>
      <c r="F293" s="1"/>
      <c r="G293" s="93"/>
      <c r="H293" s="1"/>
      <c r="I293" s="93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>
      <c r="C294" s="1"/>
      <c r="D294" s="93"/>
      <c r="E294" s="1"/>
      <c r="F294" s="1"/>
      <c r="G294" s="93"/>
      <c r="H294" s="1"/>
      <c r="I294" s="93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>
      <c r="C295" s="1"/>
      <c r="D295" s="93"/>
      <c r="E295" s="1"/>
      <c r="F295" s="1"/>
      <c r="G295" s="93"/>
      <c r="H295" s="1"/>
      <c r="I295" s="93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>
      <c r="C296" s="1"/>
      <c r="D296" s="93"/>
      <c r="E296" s="1"/>
      <c r="F296" s="1"/>
      <c r="G296" s="93"/>
      <c r="H296" s="1"/>
      <c r="I296" s="93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>
      <c r="C297" s="1"/>
      <c r="D297" s="93"/>
      <c r="E297" s="1"/>
      <c r="F297" s="1"/>
      <c r="G297" s="93"/>
      <c r="H297" s="1"/>
      <c r="I297" s="93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>
      <c r="C298" s="1"/>
      <c r="D298" s="93"/>
      <c r="E298" s="1"/>
      <c r="F298" s="1"/>
      <c r="G298" s="93"/>
      <c r="H298" s="1"/>
      <c r="I298" s="93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>
      <c r="C299" s="1"/>
      <c r="D299" s="93"/>
      <c r="E299" s="1"/>
      <c r="F299" s="1"/>
      <c r="G299" s="93"/>
      <c r="H299" s="1"/>
      <c r="I299" s="93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>
      <c r="C300" s="1"/>
      <c r="D300" s="93"/>
      <c r="E300" s="1"/>
      <c r="F300" s="1"/>
      <c r="G300" s="93"/>
      <c r="H300" s="1"/>
      <c r="I300" s="93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>
      <c r="C301" s="1"/>
      <c r="D301" s="93"/>
      <c r="E301" s="1"/>
      <c r="F301" s="1"/>
      <c r="G301" s="93"/>
      <c r="H301" s="1"/>
      <c r="I301" s="93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>
      <c r="C302" s="1"/>
      <c r="D302" s="93"/>
      <c r="E302" s="1"/>
      <c r="F302" s="1"/>
      <c r="G302" s="93"/>
      <c r="H302" s="1"/>
      <c r="I302" s="93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>
      <c r="C303" s="1"/>
      <c r="D303" s="93"/>
      <c r="E303" s="1"/>
      <c r="F303" s="1"/>
      <c r="G303" s="93"/>
      <c r="H303" s="1"/>
      <c r="I303" s="93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>
      <c r="C304" s="1"/>
      <c r="D304" s="93"/>
      <c r="E304" s="1"/>
      <c r="F304" s="1"/>
      <c r="G304" s="93"/>
      <c r="H304" s="1"/>
      <c r="I304" s="93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>
      <c r="C305" s="1"/>
      <c r="D305" s="93"/>
      <c r="E305" s="1"/>
      <c r="F305" s="1"/>
      <c r="G305" s="93"/>
      <c r="H305" s="1"/>
      <c r="I305" s="93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>
      <c r="C306" s="1"/>
      <c r="D306" s="93"/>
      <c r="E306" s="1"/>
      <c r="F306" s="1"/>
      <c r="G306" s="93"/>
      <c r="H306" s="1"/>
      <c r="I306" s="93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>
      <c r="C307" s="1"/>
      <c r="D307" s="93"/>
      <c r="E307" s="1"/>
      <c r="F307" s="1"/>
      <c r="G307" s="93"/>
      <c r="H307" s="1"/>
      <c r="I307" s="93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>
      <c r="C308" s="1"/>
      <c r="D308" s="93"/>
      <c r="E308" s="1"/>
      <c r="F308" s="1"/>
      <c r="G308" s="93"/>
      <c r="H308" s="1"/>
      <c r="I308" s="93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>
      <c r="C309" s="1"/>
      <c r="D309" s="93"/>
      <c r="E309" s="1"/>
      <c r="F309" s="1"/>
      <c r="G309" s="93"/>
      <c r="H309" s="1"/>
      <c r="I309" s="93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>
      <c r="C310" s="1"/>
      <c r="D310" s="93"/>
      <c r="E310" s="1"/>
      <c r="F310" s="1"/>
      <c r="G310" s="93"/>
      <c r="H310" s="1"/>
      <c r="I310" s="93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>
      <c r="C311" s="1"/>
      <c r="D311" s="93"/>
      <c r="E311" s="1"/>
      <c r="F311" s="1"/>
      <c r="G311" s="93"/>
      <c r="H311" s="1"/>
      <c r="I311" s="93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>
      <c r="C312" s="1"/>
      <c r="D312" s="93"/>
      <c r="E312" s="1"/>
      <c r="F312" s="1"/>
      <c r="G312" s="93"/>
      <c r="H312" s="1"/>
      <c r="I312" s="93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>
      <c r="C313" s="1"/>
      <c r="D313" s="93"/>
      <c r="E313" s="1"/>
      <c r="F313" s="1"/>
      <c r="G313" s="93"/>
      <c r="H313" s="1"/>
      <c r="I313" s="93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>
      <c r="C314" s="1"/>
      <c r="D314" s="93"/>
      <c r="E314" s="1"/>
      <c r="F314" s="1"/>
      <c r="G314" s="93"/>
      <c r="H314" s="1"/>
      <c r="I314" s="93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>
      <c r="C315" s="1"/>
      <c r="D315" s="93"/>
      <c r="E315" s="1"/>
      <c r="F315" s="1"/>
      <c r="G315" s="93"/>
      <c r="H315" s="1"/>
      <c r="I315" s="93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>
      <c r="C316" s="1"/>
      <c r="D316" s="93"/>
      <c r="E316" s="1"/>
      <c r="F316" s="1"/>
      <c r="G316" s="93"/>
      <c r="H316" s="1"/>
      <c r="I316" s="93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>
      <c r="C317" s="1"/>
      <c r="D317" s="93"/>
      <c r="E317" s="1"/>
      <c r="F317" s="1"/>
      <c r="G317" s="93"/>
      <c r="H317" s="1"/>
      <c r="I317" s="93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>
      <c r="C318" s="1"/>
      <c r="D318" s="93"/>
      <c r="E318" s="1"/>
      <c r="F318" s="1"/>
      <c r="G318" s="93"/>
      <c r="H318" s="1"/>
      <c r="I318" s="93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>
      <c r="C319" s="1"/>
      <c r="D319" s="93"/>
      <c r="E319" s="1"/>
      <c r="F319" s="1"/>
      <c r="G319" s="93"/>
      <c r="H319" s="1"/>
      <c r="I319" s="93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>
      <c r="C320" s="1"/>
      <c r="D320" s="93"/>
      <c r="E320" s="1"/>
      <c r="F320" s="1"/>
      <c r="G320" s="93"/>
      <c r="H320" s="1"/>
      <c r="I320" s="93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>
      <c r="C321" s="1"/>
      <c r="D321" s="93"/>
      <c r="E321" s="1"/>
      <c r="F321" s="1"/>
      <c r="G321" s="93"/>
      <c r="H321" s="1"/>
      <c r="I321" s="93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>
      <c r="C322" s="1"/>
      <c r="D322" s="93"/>
      <c r="E322" s="1"/>
      <c r="F322" s="1"/>
      <c r="G322" s="93"/>
      <c r="H322" s="1"/>
      <c r="I322" s="93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>
      <c r="C323" s="1"/>
      <c r="D323" s="93"/>
      <c r="E323" s="1"/>
      <c r="F323" s="1"/>
      <c r="G323" s="93"/>
      <c r="H323" s="1"/>
      <c r="I323" s="93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>
      <c r="C324" s="1"/>
      <c r="D324" s="93"/>
      <c r="E324" s="1"/>
      <c r="F324" s="1"/>
      <c r="G324" s="93"/>
      <c r="H324" s="1"/>
      <c r="I324" s="93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>
      <c r="C325" s="1"/>
      <c r="D325" s="93"/>
      <c r="E325" s="1"/>
      <c r="F325" s="1"/>
      <c r="G325" s="93"/>
      <c r="H325" s="1"/>
      <c r="I325" s="93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>
      <c r="C326" s="1"/>
      <c r="D326" s="93"/>
      <c r="E326" s="1"/>
      <c r="F326" s="1"/>
      <c r="G326" s="93"/>
      <c r="H326" s="1"/>
      <c r="I326" s="93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>
      <c r="C327" s="1"/>
      <c r="D327" s="93"/>
      <c r="E327" s="1"/>
      <c r="F327" s="1"/>
      <c r="G327" s="93"/>
      <c r="H327" s="1"/>
      <c r="I327" s="93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>
      <c r="C328" s="1"/>
      <c r="D328" s="93"/>
      <c r="E328" s="1"/>
      <c r="F328" s="1"/>
      <c r="G328" s="93"/>
      <c r="H328" s="1"/>
      <c r="I328" s="93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>
      <c r="C329" s="1"/>
      <c r="D329" s="93"/>
      <c r="E329" s="1"/>
      <c r="F329" s="1"/>
      <c r="G329" s="93"/>
      <c r="H329" s="1"/>
      <c r="I329" s="93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>
      <c r="C330" s="1"/>
      <c r="D330" s="93"/>
      <c r="E330" s="1"/>
      <c r="F330" s="1"/>
      <c r="G330" s="93"/>
      <c r="H330" s="1"/>
      <c r="I330" s="93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>
      <c r="C331" s="1"/>
      <c r="D331" s="93"/>
      <c r="E331" s="1"/>
      <c r="F331" s="1"/>
      <c r="G331" s="93"/>
      <c r="H331" s="1"/>
      <c r="I331" s="93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>
      <c r="C332" s="1"/>
      <c r="D332" s="93"/>
      <c r="E332" s="1"/>
      <c r="F332" s="1"/>
      <c r="G332" s="93"/>
      <c r="H332" s="1"/>
      <c r="I332" s="93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>
      <c r="C333" s="1"/>
      <c r="D333" s="93"/>
      <c r="E333" s="1"/>
      <c r="F333" s="1"/>
      <c r="G333" s="93"/>
      <c r="H333" s="1"/>
      <c r="I333" s="93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>
      <c r="C334" s="1"/>
      <c r="D334" s="93"/>
      <c r="E334" s="1"/>
      <c r="F334" s="1"/>
      <c r="G334" s="93"/>
      <c r="H334" s="1"/>
      <c r="I334" s="93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>
      <c r="C335" s="1"/>
      <c r="D335" s="93"/>
      <c r="E335" s="1"/>
      <c r="F335" s="1"/>
      <c r="G335" s="93"/>
      <c r="H335" s="1"/>
      <c r="I335" s="93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>
      <c r="C336" s="1"/>
      <c r="D336" s="93"/>
      <c r="E336" s="1"/>
      <c r="F336" s="1"/>
      <c r="G336" s="93"/>
      <c r="H336" s="1"/>
      <c r="I336" s="93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>
      <c r="C337" s="1"/>
      <c r="D337" s="93"/>
      <c r="E337" s="1"/>
      <c r="F337" s="1"/>
      <c r="G337" s="93"/>
      <c r="H337" s="1"/>
      <c r="I337" s="93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>
      <c r="C338" s="1"/>
      <c r="D338" s="93"/>
      <c r="E338" s="1"/>
      <c r="F338" s="1"/>
      <c r="G338" s="93"/>
      <c r="H338" s="1"/>
      <c r="I338" s="93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>
      <c r="C339" s="1"/>
      <c r="D339" s="93"/>
      <c r="E339" s="1"/>
      <c r="F339" s="1"/>
      <c r="G339" s="93"/>
      <c r="H339" s="1"/>
      <c r="I339" s="93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>
      <c r="C340" s="1"/>
      <c r="D340" s="93"/>
      <c r="E340" s="1"/>
      <c r="F340" s="1"/>
      <c r="G340" s="93"/>
      <c r="H340" s="1"/>
      <c r="I340" s="93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>
      <c r="C341" s="1"/>
      <c r="D341" s="93"/>
      <c r="E341" s="1"/>
      <c r="F341" s="1"/>
      <c r="G341" s="93"/>
      <c r="H341" s="1"/>
      <c r="I341" s="93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>
      <c r="C342" s="1"/>
      <c r="D342" s="93"/>
      <c r="E342" s="1"/>
      <c r="F342" s="1"/>
      <c r="G342" s="93"/>
      <c r="H342" s="1"/>
      <c r="I342" s="93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>
      <c r="C343" s="1"/>
      <c r="D343" s="93"/>
      <c r="E343" s="1"/>
      <c r="F343" s="1"/>
      <c r="G343" s="93"/>
      <c r="H343" s="1"/>
      <c r="I343" s="93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>
      <c r="C344" s="1"/>
      <c r="D344" s="93"/>
      <c r="E344" s="1"/>
      <c r="F344" s="1"/>
      <c r="G344" s="93"/>
      <c r="H344" s="1"/>
      <c r="I344" s="93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>
      <c r="C345" s="1"/>
      <c r="D345" s="93"/>
      <c r="E345" s="1"/>
      <c r="F345" s="1"/>
      <c r="G345" s="93"/>
      <c r="H345" s="1"/>
      <c r="I345" s="93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>
      <c r="C346" s="1"/>
      <c r="D346" s="93"/>
      <c r="E346" s="1"/>
      <c r="F346" s="1"/>
      <c r="G346" s="93"/>
      <c r="H346" s="1"/>
      <c r="I346" s="93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>
      <c r="C347" s="1"/>
      <c r="D347" s="93"/>
      <c r="E347" s="1"/>
      <c r="F347" s="1"/>
      <c r="G347" s="93"/>
      <c r="H347" s="1"/>
      <c r="I347" s="93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>
      <c r="C348" s="1"/>
      <c r="D348" s="93"/>
      <c r="E348" s="1"/>
      <c r="F348" s="1"/>
      <c r="G348" s="93"/>
      <c r="H348" s="1"/>
      <c r="I348" s="93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>
      <c r="C349" s="1"/>
      <c r="D349" s="93"/>
      <c r="E349" s="1"/>
      <c r="F349" s="1"/>
      <c r="G349" s="93"/>
      <c r="H349" s="1"/>
      <c r="I349" s="93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>
      <c r="C350" s="1"/>
      <c r="D350" s="93"/>
      <c r="E350" s="1"/>
      <c r="F350" s="1"/>
      <c r="G350" s="93"/>
      <c r="H350" s="1"/>
      <c r="I350" s="93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>
      <c r="C351" s="1"/>
      <c r="D351" s="93"/>
      <c r="E351" s="1"/>
      <c r="F351" s="1"/>
      <c r="G351" s="93"/>
      <c r="H351" s="1"/>
      <c r="I351" s="93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>
      <c r="C352" s="1"/>
      <c r="D352" s="93"/>
      <c r="E352" s="1"/>
      <c r="F352" s="1"/>
      <c r="G352" s="93"/>
      <c r="H352" s="1"/>
      <c r="I352" s="93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>
      <c r="C353" s="1"/>
      <c r="D353" s="93"/>
      <c r="E353" s="1"/>
      <c r="F353" s="1"/>
      <c r="G353" s="93"/>
      <c r="H353" s="1"/>
      <c r="I353" s="93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>
      <c r="C354" s="1"/>
      <c r="D354" s="93"/>
      <c r="E354" s="1"/>
      <c r="F354" s="1"/>
      <c r="G354" s="93"/>
      <c r="H354" s="1"/>
      <c r="I354" s="93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>
      <c r="C355" s="1"/>
      <c r="D355" s="93"/>
      <c r="E355" s="1"/>
      <c r="F355" s="1"/>
      <c r="G355" s="93"/>
      <c r="H355" s="1"/>
      <c r="I355" s="93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>
      <c r="C356" s="1"/>
      <c r="D356" s="93"/>
      <c r="E356" s="1"/>
      <c r="F356" s="1"/>
      <c r="G356" s="93"/>
      <c r="H356" s="1"/>
      <c r="I356" s="93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>
      <c r="C357" s="1"/>
      <c r="D357" s="93"/>
      <c r="E357" s="1"/>
      <c r="F357" s="1"/>
      <c r="G357" s="93"/>
      <c r="H357" s="1"/>
      <c r="I357" s="93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>
      <c r="C358" s="1"/>
      <c r="D358" s="93"/>
      <c r="E358" s="1"/>
      <c r="F358" s="1"/>
      <c r="G358" s="93"/>
      <c r="H358" s="1"/>
      <c r="I358" s="93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>
      <c r="C359" s="1"/>
      <c r="D359" s="93"/>
      <c r="E359" s="1"/>
      <c r="F359" s="1"/>
      <c r="G359" s="93"/>
      <c r="H359" s="1"/>
      <c r="I359" s="93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>
      <c r="C360" s="1"/>
      <c r="D360" s="93"/>
      <c r="E360" s="1"/>
      <c r="F360" s="1"/>
      <c r="G360" s="93"/>
      <c r="H360" s="1"/>
      <c r="I360" s="93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>
      <c r="C361" s="1"/>
      <c r="D361" s="93"/>
      <c r="E361" s="1"/>
      <c r="F361" s="1"/>
      <c r="G361" s="93"/>
      <c r="H361" s="1"/>
      <c r="I361" s="93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>
      <c r="C362" s="1"/>
      <c r="D362" s="93"/>
      <c r="E362" s="1"/>
      <c r="F362" s="1"/>
      <c r="G362" s="93"/>
      <c r="H362" s="1"/>
      <c r="I362" s="93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>
      <c r="C363" s="1"/>
      <c r="D363" s="93"/>
      <c r="E363" s="1"/>
      <c r="F363" s="1"/>
      <c r="G363" s="93"/>
      <c r="H363" s="1"/>
      <c r="I363" s="93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>
      <c r="C364" s="1"/>
      <c r="D364" s="93"/>
      <c r="E364" s="1"/>
      <c r="F364" s="1"/>
      <c r="G364" s="93"/>
      <c r="H364" s="1"/>
      <c r="I364" s="93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>
      <c r="C365" s="1"/>
      <c r="D365" s="93"/>
      <c r="E365" s="1"/>
      <c r="F365" s="1"/>
      <c r="G365" s="93"/>
      <c r="H365" s="1"/>
      <c r="I365" s="93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>
      <c r="C366" s="1"/>
      <c r="D366" s="93"/>
      <c r="E366" s="1"/>
      <c r="F366" s="1"/>
      <c r="G366" s="93"/>
      <c r="H366" s="1"/>
      <c r="I366" s="93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>
      <c r="C367" s="1"/>
      <c r="D367" s="93"/>
      <c r="E367" s="1"/>
      <c r="F367" s="1"/>
      <c r="G367" s="93"/>
      <c r="H367" s="1"/>
      <c r="I367" s="93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>
      <c r="C368" s="1"/>
      <c r="D368" s="93"/>
      <c r="E368" s="1"/>
      <c r="F368" s="1"/>
      <c r="G368" s="93"/>
      <c r="H368" s="1"/>
      <c r="I368" s="93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>
      <c r="C369" s="1"/>
      <c r="D369" s="93"/>
      <c r="E369" s="1"/>
      <c r="F369" s="1"/>
      <c r="G369" s="93"/>
      <c r="H369" s="1"/>
      <c r="I369" s="93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>
      <c r="C370" s="1"/>
      <c r="D370" s="93"/>
      <c r="E370" s="1"/>
      <c r="F370" s="1"/>
      <c r="G370" s="93"/>
      <c r="H370" s="1"/>
      <c r="I370" s="93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>
      <c r="C371" s="1"/>
      <c r="D371" s="93"/>
      <c r="E371" s="1"/>
      <c r="F371" s="1"/>
      <c r="G371" s="93"/>
      <c r="H371" s="1"/>
      <c r="I371" s="93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>
      <c r="C372" s="1"/>
      <c r="D372" s="93"/>
      <c r="E372" s="1"/>
      <c r="F372" s="1"/>
      <c r="G372" s="93"/>
      <c r="H372" s="1"/>
      <c r="I372" s="93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>
      <c r="C373" s="1"/>
      <c r="D373" s="93"/>
      <c r="E373" s="1"/>
      <c r="F373" s="1"/>
      <c r="G373" s="93"/>
      <c r="H373" s="1"/>
      <c r="I373" s="93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>
      <c r="C374" s="1"/>
      <c r="D374" s="93"/>
      <c r="E374" s="1"/>
      <c r="F374" s="1"/>
      <c r="G374" s="93"/>
      <c r="H374" s="1"/>
      <c r="I374" s="93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>
      <c r="C375" s="1"/>
      <c r="D375" s="93"/>
      <c r="E375" s="1"/>
      <c r="F375" s="1"/>
      <c r="G375" s="93"/>
      <c r="H375" s="1"/>
      <c r="I375" s="93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>
      <c r="C376" s="1"/>
      <c r="D376" s="93"/>
      <c r="E376" s="1"/>
      <c r="F376" s="1"/>
      <c r="G376" s="93"/>
      <c r="H376" s="1"/>
      <c r="I376" s="93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>
      <c r="C377" s="1"/>
      <c r="D377" s="93"/>
      <c r="E377" s="1"/>
      <c r="F377" s="1"/>
      <c r="G377" s="93"/>
      <c r="H377" s="1"/>
      <c r="I377" s="93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>
      <c r="C378" s="1"/>
      <c r="D378" s="93"/>
      <c r="E378" s="1"/>
      <c r="F378" s="1"/>
      <c r="G378" s="93"/>
      <c r="H378" s="1"/>
      <c r="I378" s="93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>
      <c r="C379" s="1"/>
      <c r="D379" s="93"/>
      <c r="E379" s="1"/>
      <c r="F379" s="1"/>
      <c r="G379" s="93"/>
      <c r="H379" s="1"/>
      <c r="I379" s="93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>
      <c r="C380" s="1"/>
      <c r="D380" s="93"/>
      <c r="E380" s="1"/>
      <c r="F380" s="1"/>
      <c r="G380" s="93"/>
      <c r="H380" s="1"/>
      <c r="I380" s="93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>
      <c r="C381" s="1"/>
      <c r="D381" s="93"/>
      <c r="E381" s="1"/>
      <c r="F381" s="1"/>
      <c r="G381" s="93"/>
      <c r="H381" s="1"/>
      <c r="I381" s="93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>
      <c r="C382" s="1"/>
      <c r="D382" s="93"/>
      <c r="E382" s="1"/>
      <c r="F382" s="1"/>
      <c r="G382" s="93"/>
      <c r="H382" s="1"/>
      <c r="I382" s="93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>
      <c r="C383" s="1"/>
      <c r="D383" s="93"/>
      <c r="E383" s="1"/>
      <c r="F383" s="1"/>
      <c r="G383" s="93"/>
      <c r="H383" s="1"/>
      <c r="I383" s="93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>
      <c r="C384" s="1"/>
      <c r="D384" s="93"/>
      <c r="E384" s="1"/>
      <c r="F384" s="1"/>
      <c r="G384" s="93"/>
      <c r="H384" s="1"/>
      <c r="I384" s="93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>
      <c r="C385" s="1"/>
      <c r="D385" s="93"/>
      <c r="E385" s="1"/>
      <c r="F385" s="1"/>
      <c r="G385" s="93"/>
      <c r="H385" s="1"/>
      <c r="I385" s="93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>
      <c r="C386" s="1"/>
      <c r="D386" s="93"/>
      <c r="E386" s="1"/>
      <c r="F386" s="1"/>
      <c r="G386" s="93"/>
      <c r="H386" s="1"/>
      <c r="I386" s="93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>
      <c r="C387" s="1"/>
      <c r="D387" s="93"/>
      <c r="E387" s="1"/>
      <c r="F387" s="1"/>
      <c r="G387" s="93"/>
      <c r="H387" s="1"/>
      <c r="I387" s="93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>
      <c r="C388" s="1"/>
      <c r="D388" s="93"/>
      <c r="E388" s="1"/>
      <c r="F388" s="1"/>
      <c r="G388" s="93"/>
      <c r="H388" s="1"/>
      <c r="I388" s="93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>
      <c r="C389" s="1"/>
      <c r="D389" s="93"/>
      <c r="E389" s="1"/>
      <c r="F389" s="1"/>
      <c r="G389" s="93"/>
      <c r="H389" s="1"/>
      <c r="I389" s="93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>
      <c r="C390" s="1"/>
      <c r="D390" s="93"/>
      <c r="E390" s="1"/>
      <c r="F390" s="1"/>
      <c r="G390" s="93"/>
      <c r="H390" s="1"/>
      <c r="I390" s="93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>
      <c r="C391" s="1"/>
      <c r="D391" s="93"/>
      <c r="E391" s="1"/>
      <c r="F391" s="1"/>
      <c r="G391" s="93"/>
      <c r="H391" s="1"/>
      <c r="I391" s="93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>
      <c r="C392" s="1"/>
      <c r="D392" s="93"/>
      <c r="E392" s="1"/>
      <c r="F392" s="1"/>
      <c r="G392" s="93"/>
      <c r="H392" s="1"/>
      <c r="I392" s="93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>
      <c r="C393" s="1"/>
      <c r="D393" s="93"/>
      <c r="E393" s="1"/>
      <c r="F393" s="1"/>
      <c r="G393" s="93"/>
      <c r="H393" s="1"/>
      <c r="I393" s="93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>
      <c r="C394" s="1"/>
      <c r="D394" s="93"/>
      <c r="E394" s="1"/>
      <c r="F394" s="1"/>
      <c r="G394" s="93"/>
      <c r="H394" s="1"/>
      <c r="I394" s="93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>
      <c r="C395" s="1"/>
      <c r="D395" s="93"/>
      <c r="E395" s="1"/>
      <c r="F395" s="1"/>
      <c r="G395" s="93"/>
      <c r="H395" s="1"/>
      <c r="I395" s="93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>
      <c r="C396" s="1"/>
      <c r="D396" s="93"/>
      <c r="E396" s="1"/>
      <c r="F396" s="1"/>
      <c r="G396" s="93"/>
      <c r="H396" s="1"/>
      <c r="I396" s="93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>
      <c r="C397" s="1"/>
      <c r="D397" s="93"/>
      <c r="E397" s="1"/>
      <c r="F397" s="1"/>
      <c r="G397" s="93"/>
      <c r="H397" s="1"/>
      <c r="I397" s="93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>
      <c r="C398" s="1"/>
      <c r="D398" s="93"/>
      <c r="E398" s="1"/>
      <c r="F398" s="1"/>
      <c r="G398" s="93"/>
      <c r="H398" s="1"/>
      <c r="I398" s="93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>
      <c r="C399" s="1"/>
      <c r="D399" s="93"/>
      <c r="E399" s="1"/>
      <c r="F399" s="1"/>
      <c r="G399" s="93"/>
      <c r="H399" s="1"/>
      <c r="I399" s="93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>
      <c r="C400" s="1"/>
      <c r="D400" s="93"/>
      <c r="E400" s="1"/>
      <c r="F400" s="1"/>
      <c r="G400" s="93"/>
      <c r="H400" s="1"/>
      <c r="I400" s="93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>
      <c r="C401" s="1"/>
      <c r="D401" s="93"/>
      <c r="E401" s="1"/>
      <c r="F401" s="1"/>
      <c r="G401" s="93"/>
      <c r="H401" s="1"/>
      <c r="I401" s="93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>
      <c r="C402" s="1"/>
      <c r="D402" s="93"/>
      <c r="E402" s="1"/>
      <c r="F402" s="1"/>
      <c r="G402" s="93"/>
      <c r="H402" s="1"/>
      <c r="I402" s="93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>
      <c r="C403" s="1"/>
      <c r="D403" s="93"/>
      <c r="E403" s="1"/>
      <c r="F403" s="1"/>
      <c r="G403" s="93"/>
      <c r="H403" s="1"/>
      <c r="I403" s="93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>
      <c r="C404" s="1"/>
      <c r="D404" s="93"/>
      <c r="E404" s="1"/>
      <c r="F404" s="1"/>
      <c r="G404" s="93"/>
      <c r="H404" s="1"/>
      <c r="I404" s="93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>
      <c r="C405" s="1"/>
      <c r="D405" s="93"/>
      <c r="E405" s="1"/>
      <c r="F405" s="1"/>
      <c r="G405" s="93"/>
      <c r="H405" s="1"/>
      <c r="I405" s="93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>
      <c r="C406" s="1"/>
      <c r="D406" s="93"/>
      <c r="E406" s="1"/>
      <c r="F406" s="1"/>
      <c r="G406" s="93"/>
      <c r="H406" s="1"/>
      <c r="I406" s="93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>
      <c r="C407" s="1"/>
      <c r="D407" s="93"/>
      <c r="E407" s="1"/>
      <c r="F407" s="1"/>
      <c r="G407" s="93"/>
      <c r="H407" s="1"/>
      <c r="I407" s="93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>
      <c r="C408" s="1"/>
      <c r="D408" s="93"/>
      <c r="E408" s="1"/>
      <c r="F408" s="1"/>
      <c r="G408" s="93"/>
      <c r="H408" s="1"/>
      <c r="I408" s="93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>
      <c r="C409" s="1"/>
      <c r="D409" s="93"/>
      <c r="E409" s="1"/>
      <c r="F409" s="1"/>
      <c r="G409" s="93"/>
      <c r="H409" s="1"/>
      <c r="I409" s="93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>
      <c r="C410" s="1"/>
      <c r="D410" s="93"/>
      <c r="E410" s="1"/>
      <c r="F410" s="1"/>
      <c r="G410" s="93"/>
      <c r="H410" s="1"/>
      <c r="I410" s="93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>
      <c r="C411" s="1"/>
      <c r="D411" s="93"/>
      <c r="E411" s="1"/>
      <c r="F411" s="1"/>
      <c r="G411" s="93"/>
      <c r="H411" s="1"/>
      <c r="I411" s="93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>
      <c r="C412" s="1"/>
      <c r="D412" s="93"/>
      <c r="E412" s="1"/>
      <c r="F412" s="1"/>
      <c r="G412" s="93"/>
      <c r="H412" s="1"/>
      <c r="I412" s="93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>
      <c r="C413" s="1"/>
      <c r="D413" s="93"/>
      <c r="E413" s="1"/>
      <c r="F413" s="1"/>
      <c r="G413" s="93"/>
      <c r="H413" s="1"/>
      <c r="I413" s="93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>
      <c r="C414" s="1"/>
      <c r="D414" s="93"/>
      <c r="E414" s="1"/>
      <c r="F414" s="1"/>
      <c r="G414" s="93"/>
      <c r="H414" s="1"/>
      <c r="I414" s="93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>
      <c r="C415" s="1"/>
      <c r="D415" s="93"/>
      <c r="E415" s="1"/>
      <c r="F415" s="1"/>
      <c r="G415" s="93"/>
      <c r="H415" s="1"/>
      <c r="I415" s="93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>
      <c r="C416" s="1"/>
      <c r="D416" s="93"/>
      <c r="E416" s="1"/>
      <c r="F416" s="1"/>
      <c r="G416" s="93"/>
      <c r="H416" s="1"/>
      <c r="I416" s="93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>
      <c r="C417" s="1"/>
      <c r="D417" s="93"/>
      <c r="E417" s="1"/>
      <c r="F417" s="1"/>
      <c r="G417" s="93"/>
      <c r="H417" s="1"/>
      <c r="I417" s="93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>
      <c r="C418" s="1"/>
      <c r="D418" s="93"/>
      <c r="E418" s="1"/>
      <c r="F418" s="1"/>
      <c r="G418" s="93"/>
      <c r="H418" s="1"/>
      <c r="I418" s="93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>
      <c r="C419" s="1"/>
      <c r="D419" s="93"/>
      <c r="E419" s="1"/>
      <c r="F419" s="1"/>
      <c r="G419" s="93"/>
      <c r="H419" s="1"/>
      <c r="I419" s="93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>
      <c r="C420" s="1"/>
      <c r="D420" s="93"/>
      <c r="E420" s="1"/>
      <c r="F420" s="1"/>
      <c r="G420" s="93"/>
      <c r="H420" s="1"/>
      <c r="I420" s="93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>
      <c r="C421" s="1"/>
      <c r="D421" s="93"/>
      <c r="E421" s="1"/>
      <c r="F421" s="1"/>
      <c r="G421" s="93"/>
      <c r="H421" s="1"/>
      <c r="I421" s="93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>
      <c r="C422" s="1"/>
      <c r="D422" s="93"/>
      <c r="E422" s="1"/>
      <c r="F422" s="1"/>
      <c r="G422" s="93"/>
      <c r="H422" s="1"/>
      <c r="I422" s="93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>
      <c r="C423" s="1"/>
      <c r="D423" s="93"/>
      <c r="E423" s="1"/>
      <c r="F423" s="1"/>
      <c r="G423" s="93"/>
      <c r="H423" s="1"/>
      <c r="I423" s="93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>
      <c r="C424" s="1"/>
      <c r="D424" s="93"/>
      <c r="E424" s="1"/>
      <c r="F424" s="1"/>
      <c r="G424" s="93"/>
      <c r="H424" s="1"/>
      <c r="I424" s="93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>
      <c r="C425" s="1"/>
      <c r="D425" s="93"/>
      <c r="E425" s="1"/>
      <c r="F425" s="1"/>
      <c r="G425" s="93"/>
      <c r="H425" s="1"/>
      <c r="I425" s="93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>
      <c r="C426" s="1"/>
      <c r="D426" s="93"/>
      <c r="E426" s="1"/>
      <c r="F426" s="1"/>
      <c r="G426" s="93"/>
      <c r="H426" s="1"/>
      <c r="I426" s="93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>
      <c r="C427" s="1"/>
      <c r="D427" s="93"/>
      <c r="E427" s="1"/>
      <c r="F427" s="1"/>
      <c r="G427" s="93"/>
      <c r="H427" s="1"/>
      <c r="I427" s="93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>
      <c r="C428" s="1"/>
      <c r="D428" s="93"/>
      <c r="E428" s="1"/>
      <c r="F428" s="1"/>
      <c r="G428" s="93"/>
      <c r="H428" s="1"/>
      <c r="I428" s="93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>
      <c r="C429" s="1"/>
      <c r="D429" s="93"/>
      <c r="E429" s="1"/>
      <c r="F429" s="1"/>
      <c r="G429" s="93"/>
      <c r="H429" s="1"/>
      <c r="I429" s="93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>
      <c r="C430" s="1"/>
      <c r="D430" s="93"/>
      <c r="E430" s="1"/>
      <c r="F430" s="1"/>
      <c r="G430" s="93"/>
      <c r="H430" s="1"/>
      <c r="I430" s="93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>
      <c r="C431" s="1"/>
      <c r="D431" s="93"/>
      <c r="E431" s="1"/>
      <c r="F431" s="1"/>
      <c r="G431" s="93"/>
      <c r="H431" s="1"/>
      <c r="I431" s="93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>
      <c r="C432" s="1"/>
      <c r="D432" s="93"/>
      <c r="E432" s="1"/>
      <c r="F432" s="1"/>
      <c r="G432" s="93"/>
      <c r="H432" s="1"/>
      <c r="I432" s="93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>
      <c r="C433" s="1"/>
      <c r="D433" s="93"/>
      <c r="E433" s="1"/>
      <c r="F433" s="1"/>
      <c r="G433" s="93"/>
      <c r="H433" s="1"/>
      <c r="I433" s="93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>
      <c r="C434" s="1"/>
      <c r="D434" s="93"/>
      <c r="E434" s="1"/>
      <c r="F434" s="1"/>
      <c r="G434" s="93"/>
      <c r="H434" s="1"/>
      <c r="I434" s="93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>
      <c r="C435" s="1"/>
      <c r="D435" s="93"/>
      <c r="E435" s="1"/>
      <c r="F435" s="1"/>
      <c r="G435" s="93"/>
      <c r="H435" s="1"/>
      <c r="I435" s="93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>
      <c r="C436" s="1"/>
      <c r="D436" s="93"/>
      <c r="E436" s="1"/>
      <c r="F436" s="1"/>
      <c r="G436" s="93"/>
      <c r="H436" s="1"/>
      <c r="I436" s="93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>
      <c r="C437" s="1"/>
      <c r="D437" s="93"/>
      <c r="E437" s="1"/>
      <c r="F437" s="1"/>
      <c r="G437" s="93"/>
      <c r="H437" s="1"/>
      <c r="I437" s="93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>
      <c r="C438" s="1"/>
      <c r="D438" s="93"/>
      <c r="E438" s="1"/>
      <c r="F438" s="1"/>
      <c r="G438" s="93"/>
      <c r="H438" s="1"/>
      <c r="I438" s="93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>
      <c r="C439" s="1"/>
      <c r="D439" s="93"/>
      <c r="E439" s="1"/>
      <c r="F439" s="1"/>
      <c r="G439" s="93"/>
      <c r="H439" s="1"/>
      <c r="I439" s="93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>
      <c r="C440" s="1"/>
      <c r="D440" s="93"/>
      <c r="E440" s="1"/>
      <c r="F440" s="1"/>
      <c r="G440" s="93"/>
      <c r="H440" s="1"/>
      <c r="I440" s="93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>
      <c r="C441" s="1"/>
      <c r="D441" s="93"/>
      <c r="E441" s="1"/>
      <c r="F441" s="1"/>
      <c r="G441" s="93"/>
      <c r="H441" s="1"/>
      <c r="I441" s="93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>
      <c r="C442" s="1"/>
      <c r="D442" s="93"/>
      <c r="E442" s="1"/>
      <c r="F442" s="1"/>
      <c r="G442" s="93"/>
      <c r="H442" s="1"/>
      <c r="I442" s="93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>
      <c r="C443" s="1"/>
      <c r="D443" s="93"/>
      <c r="E443" s="1"/>
      <c r="F443" s="1"/>
      <c r="G443" s="93"/>
      <c r="H443" s="1"/>
      <c r="I443" s="93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>
      <c r="C444" s="1"/>
      <c r="D444" s="93"/>
      <c r="E444" s="1"/>
      <c r="F444" s="1"/>
      <c r="G444" s="93"/>
      <c r="H444" s="1"/>
      <c r="I444" s="93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>
      <c r="C445" s="1"/>
      <c r="D445" s="93"/>
      <c r="E445" s="1"/>
      <c r="F445" s="1"/>
      <c r="G445" s="93"/>
      <c r="H445" s="1"/>
      <c r="I445" s="93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>
      <c r="C446" s="1"/>
      <c r="D446" s="93"/>
      <c r="E446" s="1"/>
      <c r="F446" s="1"/>
      <c r="G446" s="93"/>
      <c r="H446" s="1"/>
      <c r="I446" s="93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>
      <c r="C447" s="1"/>
      <c r="D447" s="93"/>
      <c r="E447" s="1"/>
      <c r="F447" s="1"/>
      <c r="G447" s="93"/>
      <c r="H447" s="1"/>
      <c r="I447" s="93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>
      <c r="C448" s="1"/>
      <c r="D448" s="93"/>
      <c r="E448" s="1"/>
      <c r="F448" s="1"/>
      <c r="G448" s="93"/>
      <c r="H448" s="1"/>
      <c r="I448" s="93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>
      <c r="C449" s="1"/>
      <c r="D449" s="93"/>
      <c r="E449" s="1"/>
      <c r="F449" s="1"/>
      <c r="G449" s="93"/>
      <c r="H449" s="1"/>
      <c r="I449" s="93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>
      <c r="C450" s="1"/>
      <c r="D450" s="93"/>
      <c r="E450" s="1"/>
      <c r="F450" s="1"/>
      <c r="G450" s="93"/>
      <c r="H450" s="1"/>
      <c r="I450" s="93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>
      <c r="C451" s="1"/>
      <c r="D451" s="93"/>
      <c r="E451" s="1"/>
      <c r="F451" s="1"/>
      <c r="G451" s="93"/>
      <c r="H451" s="1"/>
      <c r="I451" s="93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>
      <c r="C452" s="1"/>
      <c r="D452" s="93"/>
      <c r="E452" s="1"/>
      <c r="F452" s="1"/>
      <c r="G452" s="93"/>
      <c r="H452" s="1"/>
      <c r="I452" s="93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>
      <c r="C453" s="1"/>
      <c r="D453" s="93"/>
      <c r="E453" s="1"/>
      <c r="F453" s="1"/>
      <c r="G453" s="93"/>
      <c r="H453" s="1"/>
      <c r="I453" s="93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>
      <c r="C454" s="1"/>
      <c r="D454" s="93"/>
      <c r="E454" s="1"/>
      <c r="F454" s="1"/>
      <c r="G454" s="93"/>
      <c r="H454" s="1"/>
      <c r="I454" s="93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>
      <c r="C455" s="1"/>
      <c r="D455" s="93"/>
      <c r="E455" s="1"/>
      <c r="F455" s="1"/>
      <c r="G455" s="93"/>
      <c r="H455" s="1"/>
      <c r="I455" s="93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>
      <c r="C456" s="1"/>
      <c r="D456" s="93"/>
      <c r="E456" s="1"/>
      <c r="F456" s="1"/>
      <c r="G456" s="93"/>
      <c r="H456" s="1"/>
      <c r="I456" s="93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>
      <c r="C457" s="1"/>
      <c r="D457" s="93"/>
      <c r="E457" s="1"/>
      <c r="F457" s="1"/>
      <c r="G457" s="93"/>
      <c r="H457" s="1"/>
      <c r="I457" s="93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>
      <c r="C458" s="1"/>
      <c r="D458" s="93"/>
      <c r="E458" s="1"/>
      <c r="F458" s="1"/>
      <c r="G458" s="93"/>
      <c r="H458" s="1"/>
      <c r="I458" s="93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>
      <c r="C459" s="1"/>
      <c r="D459" s="93"/>
      <c r="E459" s="1"/>
      <c r="F459" s="1"/>
      <c r="G459" s="93"/>
      <c r="H459" s="1"/>
      <c r="I459" s="93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>
      <c r="C460" s="1"/>
      <c r="D460" s="93"/>
      <c r="E460" s="1"/>
      <c r="F460" s="1"/>
      <c r="G460" s="93"/>
      <c r="H460" s="1"/>
      <c r="I460" s="93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>
      <c r="C461" s="1"/>
      <c r="D461" s="93"/>
      <c r="E461" s="1"/>
      <c r="F461" s="1"/>
      <c r="G461" s="93"/>
      <c r="H461" s="1"/>
      <c r="I461" s="93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>
      <c r="C462" s="1"/>
      <c r="D462" s="93"/>
      <c r="E462" s="1"/>
      <c r="F462" s="1"/>
      <c r="G462" s="93"/>
      <c r="H462" s="1"/>
      <c r="I462" s="93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>
      <c r="C463" s="1"/>
      <c r="D463" s="93"/>
      <c r="E463" s="1"/>
      <c r="F463" s="1"/>
      <c r="G463" s="93"/>
      <c r="H463" s="1"/>
      <c r="I463" s="93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>
      <c r="C464" s="1"/>
      <c r="D464" s="93"/>
      <c r="E464" s="1"/>
      <c r="F464" s="1"/>
      <c r="G464" s="93"/>
      <c r="H464" s="1"/>
      <c r="I464" s="93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>
      <c r="C465" s="1"/>
      <c r="D465" s="93"/>
      <c r="E465" s="1"/>
      <c r="F465" s="1"/>
      <c r="G465" s="93"/>
      <c r="H465" s="1"/>
      <c r="I465" s="93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>
      <c r="C466" s="1"/>
      <c r="D466" s="93"/>
      <c r="E466" s="1"/>
      <c r="F466" s="1"/>
      <c r="G466" s="93"/>
      <c r="H466" s="1"/>
      <c r="I466" s="93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>
      <c r="C467" s="1"/>
      <c r="D467" s="93"/>
      <c r="E467" s="1"/>
      <c r="F467" s="1"/>
      <c r="G467" s="93"/>
      <c r="H467" s="1"/>
      <c r="I467" s="93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>
      <c r="C468" s="1"/>
      <c r="D468" s="93"/>
      <c r="E468" s="1"/>
      <c r="F468" s="1"/>
      <c r="G468" s="93"/>
      <c r="H468" s="1"/>
      <c r="I468" s="93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>
      <c r="C469" s="1"/>
      <c r="D469" s="93"/>
      <c r="E469" s="1"/>
      <c r="F469" s="1"/>
      <c r="G469" s="93"/>
      <c r="H469" s="1"/>
      <c r="I469" s="93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>
      <c r="C470" s="1"/>
      <c r="D470" s="93"/>
      <c r="E470" s="1"/>
      <c r="F470" s="1"/>
      <c r="G470" s="93"/>
      <c r="H470" s="1"/>
      <c r="I470" s="93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>
      <c r="C471" s="1"/>
      <c r="D471" s="93"/>
      <c r="E471" s="1"/>
      <c r="F471" s="1"/>
      <c r="G471" s="93"/>
      <c r="H471" s="1"/>
      <c r="I471" s="93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>
      <c r="C472" s="1"/>
      <c r="D472" s="93"/>
      <c r="E472" s="1"/>
      <c r="F472" s="1"/>
      <c r="G472" s="93"/>
      <c r="H472" s="1"/>
      <c r="I472" s="93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>
      <c r="C473" s="1"/>
      <c r="D473" s="93"/>
      <c r="E473" s="1"/>
      <c r="F473" s="1"/>
      <c r="G473" s="93"/>
      <c r="H473" s="1"/>
      <c r="I473" s="93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>
      <c r="C474" s="1"/>
      <c r="D474" s="93"/>
      <c r="E474" s="1"/>
      <c r="F474" s="1"/>
      <c r="G474" s="93"/>
      <c r="H474" s="1"/>
      <c r="I474" s="93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>
      <c r="C475" s="1"/>
      <c r="D475" s="93"/>
      <c r="E475" s="1"/>
      <c r="F475" s="1"/>
      <c r="G475" s="93"/>
      <c r="H475" s="1"/>
      <c r="I475" s="93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>
      <c r="C476" s="1"/>
      <c r="D476" s="93"/>
      <c r="E476" s="1"/>
      <c r="F476" s="1"/>
      <c r="G476" s="93"/>
      <c r="H476" s="1"/>
      <c r="I476" s="93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>
      <c r="C477" s="1"/>
      <c r="D477" s="93"/>
      <c r="E477" s="1"/>
      <c r="F477" s="1"/>
      <c r="G477" s="93"/>
      <c r="H477" s="1"/>
      <c r="I477" s="93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>
      <c r="C478" s="1"/>
      <c r="D478" s="93"/>
      <c r="E478" s="1"/>
      <c r="F478" s="1"/>
      <c r="G478" s="93"/>
      <c r="H478" s="1"/>
      <c r="I478" s="93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>
      <c r="C479" s="1"/>
      <c r="D479" s="93"/>
      <c r="E479" s="1"/>
      <c r="F479" s="1"/>
      <c r="G479" s="93"/>
      <c r="H479" s="1"/>
      <c r="I479" s="93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>
      <c r="C480" s="1"/>
      <c r="D480" s="93"/>
      <c r="E480" s="1"/>
      <c r="F480" s="1"/>
      <c r="G480" s="93"/>
      <c r="H480" s="1"/>
      <c r="I480" s="93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>
      <c r="C481" s="1"/>
      <c r="D481" s="93"/>
      <c r="E481" s="1"/>
      <c r="F481" s="1"/>
      <c r="G481" s="93"/>
      <c r="H481" s="1"/>
      <c r="I481" s="93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>
      <c r="C482" s="1"/>
      <c r="D482" s="93"/>
      <c r="E482" s="1"/>
      <c r="F482" s="1"/>
      <c r="G482" s="93"/>
      <c r="H482" s="1"/>
      <c r="I482" s="93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>
      <c r="C483" s="1"/>
      <c r="D483" s="93"/>
      <c r="E483" s="1"/>
      <c r="F483" s="1"/>
      <c r="G483" s="93"/>
      <c r="H483" s="1"/>
      <c r="I483" s="93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>
      <c r="C484" s="1"/>
      <c r="D484" s="93"/>
      <c r="E484" s="1"/>
      <c r="F484" s="1"/>
      <c r="G484" s="93"/>
      <c r="H484" s="1"/>
      <c r="I484" s="93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>
      <c r="C485" s="1"/>
      <c r="D485" s="93"/>
      <c r="E485" s="1"/>
      <c r="F485" s="1"/>
      <c r="G485" s="93"/>
      <c r="H485" s="1"/>
      <c r="I485" s="93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>
      <c r="C486" s="1"/>
      <c r="D486" s="93"/>
      <c r="E486" s="1"/>
      <c r="F486" s="1"/>
      <c r="G486" s="93"/>
      <c r="H486" s="1"/>
      <c r="I486" s="93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>
      <c r="C487" s="1"/>
      <c r="D487" s="93"/>
      <c r="E487" s="1"/>
      <c r="F487" s="1"/>
      <c r="G487" s="93"/>
      <c r="H487" s="1"/>
      <c r="I487" s="93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>
      <c r="C488" s="1"/>
      <c r="D488" s="93"/>
      <c r="E488" s="1"/>
      <c r="F488" s="1"/>
      <c r="G488" s="93"/>
      <c r="H488" s="1"/>
      <c r="I488" s="93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>
      <c r="C489" s="1"/>
      <c r="D489" s="93"/>
      <c r="E489" s="1"/>
      <c r="F489" s="1"/>
      <c r="G489" s="93"/>
      <c r="H489" s="1"/>
      <c r="I489" s="93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>
      <c r="C490" s="1"/>
      <c r="D490" s="93"/>
      <c r="E490" s="1"/>
      <c r="F490" s="1"/>
      <c r="G490" s="93"/>
      <c r="H490" s="1"/>
      <c r="I490" s="93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>
      <c r="C491" s="1"/>
      <c r="D491" s="93"/>
      <c r="E491" s="1"/>
      <c r="F491" s="1"/>
      <c r="G491" s="93"/>
      <c r="H491" s="1"/>
      <c r="I491" s="93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>
      <c r="C492" s="1"/>
      <c r="D492" s="93"/>
      <c r="E492" s="1"/>
      <c r="F492" s="1"/>
      <c r="G492" s="93"/>
      <c r="H492" s="1"/>
      <c r="I492" s="93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>
      <c r="C493" s="1"/>
      <c r="D493" s="93"/>
      <c r="E493" s="1"/>
      <c r="F493" s="1"/>
      <c r="G493" s="93"/>
      <c r="H493" s="1"/>
      <c r="I493" s="93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>
      <c r="C494" s="1"/>
      <c r="D494" s="93"/>
      <c r="E494" s="1"/>
      <c r="F494" s="1"/>
      <c r="G494" s="93"/>
      <c r="H494" s="1"/>
      <c r="I494" s="93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>
      <c r="C495" s="1"/>
      <c r="D495" s="93"/>
      <c r="E495" s="1"/>
      <c r="F495" s="1"/>
      <c r="G495" s="93"/>
      <c r="H495" s="1"/>
      <c r="I495" s="93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>
      <c r="C496" s="1"/>
      <c r="D496" s="93"/>
      <c r="E496" s="1"/>
      <c r="F496" s="1"/>
      <c r="G496" s="93"/>
      <c r="H496" s="1"/>
      <c r="I496" s="93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>
      <c r="C497" s="1"/>
      <c r="D497" s="93"/>
      <c r="E497" s="1"/>
      <c r="F497" s="1"/>
      <c r="G497" s="93"/>
      <c r="H497" s="1"/>
      <c r="I497" s="93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>
      <c r="C498" s="1"/>
      <c r="D498" s="93"/>
      <c r="E498" s="1"/>
      <c r="F498" s="1"/>
      <c r="G498" s="93"/>
      <c r="H498" s="1"/>
      <c r="I498" s="93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>
      <c r="C499" s="1"/>
      <c r="D499" s="93"/>
      <c r="E499" s="1"/>
      <c r="F499" s="1"/>
      <c r="G499" s="93"/>
      <c r="H499" s="1"/>
      <c r="I499" s="93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>
      <c r="C500" s="1"/>
      <c r="D500" s="93"/>
      <c r="E500" s="1"/>
      <c r="F500" s="1"/>
      <c r="G500" s="93"/>
      <c r="H500" s="1"/>
      <c r="I500" s="93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>
      <c r="C501" s="1"/>
      <c r="D501" s="93"/>
      <c r="E501" s="1"/>
      <c r="F501" s="1"/>
      <c r="G501" s="93"/>
      <c r="H501" s="1"/>
      <c r="I501" s="93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>
      <c r="C502" s="1"/>
      <c r="D502" s="93"/>
      <c r="E502" s="1"/>
      <c r="F502" s="1"/>
      <c r="G502" s="93"/>
      <c r="H502" s="1"/>
      <c r="I502" s="93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>
      <c r="C503" s="1"/>
      <c r="D503" s="93"/>
      <c r="E503" s="1"/>
      <c r="F503" s="1"/>
      <c r="G503" s="93"/>
      <c r="H503" s="1"/>
      <c r="I503" s="93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>
      <c r="C504" s="1"/>
      <c r="D504" s="93"/>
      <c r="E504" s="1"/>
      <c r="F504" s="1"/>
      <c r="G504" s="93"/>
      <c r="H504" s="1"/>
      <c r="I504" s="93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>
      <c r="C505" s="1"/>
      <c r="D505" s="93"/>
      <c r="E505" s="1"/>
      <c r="F505" s="1"/>
      <c r="G505" s="93"/>
      <c r="H505" s="1"/>
      <c r="I505" s="93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>
      <c r="C506" s="1"/>
      <c r="D506" s="93"/>
      <c r="E506" s="1"/>
      <c r="F506" s="1"/>
      <c r="G506" s="93"/>
      <c r="H506" s="1"/>
      <c r="I506" s="93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>
      <c r="C507" s="1"/>
      <c r="D507" s="93"/>
      <c r="E507" s="1"/>
      <c r="F507" s="1"/>
      <c r="G507" s="93"/>
      <c r="H507" s="1"/>
      <c r="I507" s="93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>
      <c r="C508" s="1"/>
      <c r="D508" s="93"/>
      <c r="E508" s="1"/>
      <c r="F508" s="1"/>
      <c r="G508" s="93"/>
      <c r="H508" s="1"/>
      <c r="I508" s="93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>
      <c r="C509" s="1"/>
      <c r="D509" s="93"/>
      <c r="E509" s="1"/>
      <c r="F509" s="1"/>
      <c r="G509" s="93"/>
      <c r="H509" s="1"/>
      <c r="I509" s="93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>
      <c r="C510" s="1"/>
      <c r="D510" s="93"/>
      <c r="E510" s="1"/>
      <c r="F510" s="1"/>
      <c r="G510" s="93"/>
      <c r="H510" s="1"/>
      <c r="I510" s="93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>
      <c r="C511" s="1"/>
      <c r="D511" s="93"/>
      <c r="E511" s="1"/>
      <c r="F511" s="1"/>
      <c r="G511" s="93"/>
      <c r="H511" s="1"/>
      <c r="I511" s="93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>
      <c r="C512" s="1"/>
      <c r="D512" s="93"/>
      <c r="E512" s="1"/>
      <c r="F512" s="1"/>
      <c r="G512" s="93"/>
      <c r="H512" s="1"/>
      <c r="I512" s="93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>
      <c r="C513" s="1"/>
      <c r="D513" s="93"/>
      <c r="E513" s="1"/>
      <c r="F513" s="1"/>
      <c r="G513" s="93"/>
      <c r="H513" s="1"/>
      <c r="I513" s="93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>
      <c r="C514" s="1"/>
      <c r="D514" s="93"/>
      <c r="E514" s="1"/>
      <c r="F514" s="1"/>
      <c r="G514" s="93"/>
      <c r="H514" s="1"/>
      <c r="I514" s="93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>
      <c r="C515" s="1"/>
      <c r="D515" s="93"/>
      <c r="E515" s="1"/>
      <c r="F515" s="1"/>
      <c r="G515" s="93"/>
      <c r="H515" s="1"/>
      <c r="I515" s="93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>
      <c r="C516" s="1"/>
      <c r="D516" s="93"/>
      <c r="E516" s="1"/>
      <c r="F516" s="1"/>
      <c r="G516" s="93"/>
      <c r="H516" s="1"/>
      <c r="I516" s="93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>
      <c r="C517" s="1"/>
      <c r="D517" s="93"/>
      <c r="E517" s="1"/>
      <c r="F517" s="1"/>
      <c r="G517" s="93"/>
      <c r="H517" s="1"/>
      <c r="I517" s="93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>
      <c r="C518" s="1"/>
      <c r="D518" s="93"/>
      <c r="E518" s="1"/>
      <c r="F518" s="1"/>
      <c r="G518" s="93"/>
      <c r="H518" s="1"/>
      <c r="I518" s="93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>
      <c r="C519" s="1"/>
      <c r="D519" s="93"/>
      <c r="E519" s="1"/>
      <c r="F519" s="1"/>
      <c r="G519" s="93"/>
      <c r="H519" s="1"/>
      <c r="I519" s="93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>
      <c r="C520" s="1"/>
      <c r="D520" s="93"/>
      <c r="E520" s="1"/>
      <c r="F520" s="1"/>
      <c r="G520" s="93"/>
      <c r="H520" s="1"/>
      <c r="I520" s="93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>
      <c r="C521" s="1"/>
      <c r="D521" s="93"/>
      <c r="E521" s="1"/>
      <c r="F521" s="1"/>
      <c r="G521" s="93"/>
      <c r="H521" s="1"/>
      <c r="I521" s="93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>
      <c r="C522" s="1"/>
      <c r="D522" s="93"/>
      <c r="E522" s="1"/>
      <c r="F522" s="1"/>
      <c r="G522" s="93"/>
      <c r="H522" s="1"/>
      <c r="I522" s="93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>
      <c r="C523" s="1"/>
      <c r="D523" s="93"/>
      <c r="E523" s="1"/>
      <c r="F523" s="1"/>
      <c r="G523" s="93"/>
      <c r="H523" s="1"/>
      <c r="I523" s="93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>
      <c r="C524" s="1"/>
      <c r="D524" s="93"/>
      <c r="E524" s="1"/>
      <c r="F524" s="1"/>
      <c r="G524" s="93"/>
      <c r="H524" s="1"/>
      <c r="I524" s="93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>
      <c r="C525" s="1"/>
      <c r="D525" s="93"/>
      <c r="E525" s="1"/>
      <c r="F525" s="1"/>
      <c r="G525" s="93"/>
      <c r="H525" s="1"/>
      <c r="I525" s="93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>
      <c r="C526" s="1"/>
      <c r="D526" s="93"/>
      <c r="E526" s="1"/>
      <c r="F526" s="1"/>
      <c r="G526" s="93"/>
      <c r="H526" s="1"/>
      <c r="I526" s="93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>
      <c r="C527" s="1"/>
      <c r="D527" s="93"/>
      <c r="E527" s="1"/>
      <c r="F527" s="1"/>
      <c r="G527" s="93"/>
      <c r="H527" s="1"/>
      <c r="I527" s="93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>
      <c r="C528" s="1"/>
      <c r="D528" s="93"/>
      <c r="E528" s="1"/>
      <c r="F528" s="1"/>
      <c r="G528" s="93"/>
      <c r="H528" s="1"/>
      <c r="I528" s="93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>
      <c r="C529" s="1"/>
      <c r="D529" s="93"/>
      <c r="E529" s="1"/>
      <c r="F529" s="1"/>
      <c r="G529" s="93"/>
      <c r="H529" s="1"/>
      <c r="I529" s="93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>
      <c r="C530" s="1"/>
      <c r="D530" s="93"/>
      <c r="E530" s="1"/>
      <c r="F530" s="1"/>
      <c r="G530" s="93"/>
      <c r="H530" s="1"/>
      <c r="I530" s="93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>
      <c r="C531" s="1"/>
      <c r="D531" s="93"/>
      <c r="E531" s="1"/>
      <c r="F531" s="1"/>
      <c r="G531" s="93"/>
      <c r="H531" s="1"/>
      <c r="I531" s="93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>
      <c r="C532" s="1"/>
      <c r="D532" s="93"/>
      <c r="E532" s="1"/>
      <c r="F532" s="1"/>
      <c r="G532" s="93"/>
      <c r="H532" s="1"/>
      <c r="I532" s="93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>
      <c r="C533" s="1"/>
      <c r="D533" s="93"/>
      <c r="E533" s="1"/>
      <c r="F533" s="1"/>
      <c r="G533" s="93"/>
      <c r="H533" s="1"/>
      <c r="I533" s="93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>
      <c r="C534" s="1"/>
      <c r="D534" s="93"/>
      <c r="E534" s="1"/>
      <c r="F534" s="1"/>
      <c r="G534" s="93"/>
      <c r="H534" s="1"/>
      <c r="I534" s="93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>
      <c r="C535" s="1"/>
      <c r="D535" s="93"/>
      <c r="E535" s="1"/>
      <c r="F535" s="1"/>
      <c r="G535" s="93"/>
      <c r="H535" s="1"/>
      <c r="I535" s="93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>
      <c r="C536" s="1"/>
      <c r="D536" s="93"/>
      <c r="E536" s="1"/>
      <c r="F536" s="1"/>
      <c r="G536" s="93"/>
      <c r="H536" s="1"/>
      <c r="I536" s="93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>
      <c r="C537" s="1"/>
      <c r="D537" s="93"/>
      <c r="E537" s="1"/>
      <c r="F537" s="1"/>
      <c r="G537" s="93"/>
      <c r="H537" s="1"/>
      <c r="I537" s="93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>
      <c r="C538" s="1"/>
      <c r="D538" s="93"/>
      <c r="E538" s="1"/>
      <c r="F538" s="1"/>
      <c r="G538" s="93"/>
      <c r="H538" s="1"/>
      <c r="I538" s="93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>
      <c r="C539" s="1"/>
      <c r="D539" s="93"/>
      <c r="E539" s="1"/>
      <c r="F539" s="1"/>
      <c r="G539" s="93"/>
      <c r="H539" s="1"/>
      <c r="I539" s="93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>
      <c r="C540" s="1"/>
      <c r="D540" s="93"/>
      <c r="E540" s="1"/>
      <c r="F540" s="1"/>
      <c r="G540" s="93"/>
      <c r="H540" s="1"/>
      <c r="I540" s="93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>
      <c r="C541" s="1"/>
      <c r="D541" s="93"/>
      <c r="E541" s="1"/>
      <c r="F541" s="1"/>
      <c r="G541" s="93"/>
      <c r="H541" s="1"/>
      <c r="I541" s="93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>
      <c r="C542" s="1"/>
      <c r="D542" s="93"/>
      <c r="E542" s="1"/>
      <c r="F542" s="1"/>
      <c r="G542" s="93"/>
      <c r="H542" s="1"/>
      <c r="I542" s="93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>
      <c r="C543" s="1"/>
      <c r="D543" s="93"/>
      <c r="E543" s="1"/>
      <c r="F543" s="1"/>
      <c r="G543" s="93"/>
      <c r="H543" s="1"/>
      <c r="I543" s="93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>
      <c r="C544" s="1"/>
      <c r="D544" s="93"/>
      <c r="E544" s="1"/>
      <c r="F544" s="1"/>
      <c r="G544" s="93"/>
      <c r="H544" s="1"/>
      <c r="I544" s="93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>
      <c r="C545" s="1"/>
      <c r="D545" s="93"/>
      <c r="E545" s="1"/>
      <c r="F545" s="1"/>
      <c r="G545" s="93"/>
      <c r="H545" s="1"/>
      <c r="I545" s="93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>
      <c r="C546" s="1"/>
      <c r="D546" s="93"/>
      <c r="E546" s="1"/>
      <c r="F546" s="1"/>
      <c r="G546" s="93"/>
      <c r="H546" s="1"/>
      <c r="I546" s="93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>
      <c r="C547" s="1"/>
      <c r="D547" s="93"/>
      <c r="E547" s="1"/>
      <c r="F547" s="1"/>
      <c r="G547" s="93"/>
      <c r="H547" s="1"/>
      <c r="I547" s="93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>
      <c r="C548" s="1"/>
      <c r="D548" s="93"/>
      <c r="E548" s="1"/>
      <c r="F548" s="1"/>
      <c r="G548" s="93"/>
      <c r="H548" s="1"/>
      <c r="I548" s="93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>
      <c r="C549" s="1"/>
      <c r="D549" s="93"/>
      <c r="E549" s="1"/>
      <c r="F549" s="1"/>
      <c r="G549" s="93"/>
      <c r="H549" s="1"/>
      <c r="I549" s="93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>
      <c r="C550" s="1"/>
      <c r="D550" s="93"/>
      <c r="E550" s="1"/>
      <c r="F550" s="1"/>
      <c r="G550" s="93"/>
      <c r="H550" s="1"/>
      <c r="I550" s="93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>
      <c r="C551" s="1"/>
      <c r="D551" s="93"/>
      <c r="E551" s="1"/>
      <c r="F551" s="1"/>
      <c r="G551" s="93"/>
      <c r="H551" s="1"/>
      <c r="I551" s="93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>
      <c r="C552" s="1"/>
      <c r="D552" s="93"/>
      <c r="E552" s="1"/>
      <c r="F552" s="1"/>
      <c r="G552" s="93"/>
      <c r="H552" s="1"/>
      <c r="I552" s="93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>
      <c r="C553" s="1"/>
      <c r="D553" s="93"/>
      <c r="E553" s="1"/>
      <c r="F553" s="1"/>
      <c r="G553" s="93"/>
      <c r="H553" s="1"/>
      <c r="I553" s="93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>
      <c r="C554" s="1"/>
      <c r="D554" s="93"/>
      <c r="E554" s="1"/>
      <c r="F554" s="1"/>
      <c r="G554" s="93"/>
      <c r="H554" s="1"/>
      <c r="I554" s="93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>
      <c r="C555" s="1"/>
      <c r="D555" s="93"/>
      <c r="E555" s="1"/>
      <c r="F555" s="1"/>
      <c r="G555" s="93"/>
      <c r="H555" s="1"/>
      <c r="I555" s="93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>
      <c r="C556" s="1"/>
      <c r="D556" s="93"/>
      <c r="E556" s="1"/>
      <c r="F556" s="1"/>
      <c r="G556" s="93"/>
      <c r="H556" s="1"/>
      <c r="I556" s="93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>
      <c r="C557" s="1"/>
      <c r="D557" s="93"/>
      <c r="E557" s="1"/>
      <c r="F557" s="1"/>
      <c r="G557" s="93"/>
      <c r="H557" s="1"/>
      <c r="I557" s="93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>
      <c r="C558" s="1"/>
      <c r="D558" s="93"/>
      <c r="E558" s="1"/>
      <c r="F558" s="1"/>
      <c r="G558" s="93"/>
      <c r="H558" s="1"/>
      <c r="I558" s="93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>
      <c r="C559" s="1"/>
      <c r="D559" s="93"/>
      <c r="E559" s="1"/>
      <c r="F559" s="1"/>
      <c r="G559" s="93"/>
      <c r="H559" s="1"/>
      <c r="I559" s="93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>
      <c r="C560" s="1"/>
      <c r="D560" s="93"/>
      <c r="E560" s="1"/>
      <c r="F560" s="1"/>
      <c r="G560" s="93"/>
      <c r="H560" s="1"/>
      <c r="I560" s="93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>
      <c r="C561" s="1"/>
      <c r="D561" s="93"/>
      <c r="E561" s="1"/>
      <c r="F561" s="1"/>
      <c r="G561" s="93"/>
      <c r="H561" s="1"/>
      <c r="I561" s="93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>
      <c r="C562" s="1"/>
      <c r="D562" s="93"/>
      <c r="E562" s="1"/>
      <c r="F562" s="1"/>
      <c r="G562" s="93"/>
      <c r="H562" s="1"/>
      <c r="I562" s="93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>
      <c r="C563" s="1"/>
      <c r="D563" s="93"/>
      <c r="E563" s="1"/>
      <c r="F563" s="1"/>
      <c r="G563" s="93"/>
      <c r="H563" s="1"/>
      <c r="I563" s="93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>
      <c r="C564" s="1"/>
      <c r="D564" s="93"/>
      <c r="E564" s="1"/>
      <c r="F564" s="1"/>
      <c r="G564" s="93"/>
      <c r="H564" s="1"/>
      <c r="I564" s="93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>
      <c r="C565" s="1"/>
      <c r="D565" s="93"/>
      <c r="E565" s="1"/>
      <c r="F565" s="1"/>
      <c r="G565" s="93"/>
      <c r="H565" s="1"/>
      <c r="I565" s="93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>
      <c r="C566" s="1"/>
      <c r="D566" s="93"/>
      <c r="E566" s="1"/>
      <c r="F566" s="1"/>
      <c r="G566" s="93"/>
      <c r="H566" s="1"/>
      <c r="I566" s="93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>
      <c r="C567" s="1"/>
      <c r="D567" s="93"/>
      <c r="E567" s="1"/>
      <c r="F567" s="1"/>
      <c r="G567" s="93"/>
      <c r="H567" s="1"/>
      <c r="I567" s="93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>
      <c r="C568" s="1"/>
      <c r="D568" s="93"/>
      <c r="E568" s="1"/>
      <c r="F568" s="1"/>
      <c r="G568" s="93"/>
      <c r="H568" s="1"/>
      <c r="I568" s="93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>
      <c r="C569" s="1"/>
      <c r="D569" s="93"/>
      <c r="E569" s="1"/>
      <c r="F569" s="1"/>
      <c r="G569" s="93"/>
      <c r="H569" s="1"/>
      <c r="I569" s="93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>
      <c r="C570" s="1"/>
      <c r="D570" s="93"/>
      <c r="E570" s="1"/>
      <c r="F570" s="1"/>
      <c r="G570" s="93"/>
      <c r="H570" s="1"/>
      <c r="I570" s="93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>
      <c r="C571" s="1"/>
      <c r="D571" s="93"/>
      <c r="E571" s="1"/>
      <c r="F571" s="1"/>
      <c r="G571" s="93"/>
      <c r="H571" s="1"/>
      <c r="I571" s="93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>
      <c r="C572" s="1"/>
      <c r="D572" s="93"/>
      <c r="E572" s="1"/>
      <c r="F572" s="1"/>
      <c r="G572" s="93"/>
      <c r="H572" s="1"/>
      <c r="I572" s="93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>
      <c r="C573" s="1"/>
      <c r="D573" s="93"/>
      <c r="E573" s="1"/>
      <c r="F573" s="1"/>
      <c r="G573" s="93"/>
      <c r="H573" s="1"/>
      <c r="I573" s="93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>
      <c r="C574" s="1"/>
      <c r="D574" s="93"/>
      <c r="E574" s="1"/>
      <c r="F574" s="1"/>
      <c r="G574" s="93"/>
      <c r="H574" s="1"/>
      <c r="I574" s="93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>
      <c r="C575" s="1"/>
      <c r="D575" s="93"/>
      <c r="E575" s="1"/>
      <c r="F575" s="1"/>
      <c r="G575" s="93"/>
      <c r="H575" s="1"/>
      <c r="I575" s="93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>
      <c r="C576" s="1"/>
      <c r="D576" s="93"/>
      <c r="E576" s="1"/>
      <c r="F576" s="1"/>
      <c r="G576" s="93"/>
      <c r="H576" s="1"/>
      <c r="I576" s="93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>
      <c r="C577" s="1"/>
      <c r="D577" s="93"/>
      <c r="E577" s="1"/>
      <c r="F577" s="1"/>
      <c r="G577" s="93"/>
      <c r="H577" s="1"/>
      <c r="I577" s="93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>
      <c r="C578" s="1"/>
      <c r="D578" s="93"/>
      <c r="E578" s="1"/>
      <c r="F578" s="1"/>
      <c r="G578" s="93"/>
      <c r="H578" s="1"/>
      <c r="I578" s="93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>
      <c r="C579" s="1"/>
      <c r="D579" s="93"/>
      <c r="E579" s="1"/>
      <c r="F579" s="1"/>
      <c r="G579" s="93"/>
      <c r="H579" s="1"/>
      <c r="I579" s="93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>
      <c r="C580" s="1"/>
      <c r="D580" s="93"/>
      <c r="E580" s="1"/>
      <c r="F580" s="1"/>
      <c r="G580" s="93"/>
      <c r="H580" s="1"/>
      <c r="I580" s="93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>
      <c r="C581" s="1"/>
      <c r="D581" s="93"/>
      <c r="E581" s="1"/>
      <c r="F581" s="1"/>
      <c r="G581" s="93"/>
      <c r="H581" s="1"/>
      <c r="I581" s="93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>
      <c r="C582" s="1"/>
      <c r="D582" s="93"/>
      <c r="E582" s="1"/>
      <c r="F582" s="1"/>
      <c r="G582" s="93"/>
      <c r="H582" s="1"/>
      <c r="I582" s="93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>
      <c r="C583" s="1"/>
      <c r="D583" s="93"/>
      <c r="E583" s="1"/>
      <c r="F583" s="1"/>
      <c r="G583" s="93"/>
      <c r="H583" s="1"/>
      <c r="I583" s="93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>
      <c r="C584" s="1"/>
      <c r="D584" s="93"/>
      <c r="E584" s="1"/>
      <c r="F584" s="1"/>
      <c r="G584" s="93"/>
      <c r="H584" s="1"/>
      <c r="I584" s="93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>
      <c r="C585" s="1"/>
      <c r="D585" s="93"/>
      <c r="E585" s="1"/>
      <c r="F585" s="1"/>
      <c r="G585" s="93"/>
      <c r="H585" s="1"/>
      <c r="I585" s="93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>
      <c r="C586" s="1"/>
      <c r="D586" s="93"/>
      <c r="E586" s="1"/>
      <c r="F586" s="1"/>
      <c r="G586" s="93"/>
      <c r="H586" s="1"/>
      <c r="I586" s="93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>
      <c r="C587" s="1"/>
      <c r="D587" s="93"/>
      <c r="E587" s="1"/>
      <c r="F587" s="1"/>
      <c r="G587" s="93"/>
      <c r="H587" s="1"/>
      <c r="I587" s="93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>
      <c r="C588" s="1"/>
      <c r="D588" s="93"/>
      <c r="E588" s="1"/>
      <c r="F588" s="1"/>
      <c r="G588" s="93"/>
      <c r="H588" s="1"/>
      <c r="I588" s="93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>
      <c r="C589" s="1"/>
      <c r="D589" s="93"/>
      <c r="E589" s="1"/>
      <c r="F589" s="1"/>
      <c r="G589" s="93"/>
      <c r="H589" s="1"/>
      <c r="I589" s="93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>
      <c r="C590" s="1"/>
      <c r="D590" s="93"/>
      <c r="E590" s="1"/>
      <c r="F590" s="1"/>
      <c r="G590" s="93"/>
      <c r="H590" s="1"/>
      <c r="I590" s="93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>
      <c r="C591" s="1"/>
      <c r="D591" s="93"/>
      <c r="E591" s="1"/>
      <c r="F591" s="1"/>
      <c r="G591" s="93"/>
      <c r="H591" s="1"/>
      <c r="I591" s="93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>
      <c r="C592" s="1"/>
      <c r="D592" s="93"/>
      <c r="E592" s="1"/>
      <c r="F592" s="1"/>
      <c r="G592" s="93"/>
      <c r="H592" s="1"/>
      <c r="I592" s="93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>
      <c r="C593" s="1"/>
      <c r="D593" s="93"/>
      <c r="E593" s="1"/>
      <c r="F593" s="1"/>
      <c r="G593" s="93"/>
      <c r="H593" s="1"/>
      <c r="I593" s="93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>
      <c r="C594" s="1"/>
      <c r="D594" s="93"/>
      <c r="E594" s="1"/>
      <c r="F594" s="1"/>
      <c r="G594" s="93"/>
      <c r="H594" s="1"/>
      <c r="I594" s="93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>
      <c r="C595" s="1"/>
      <c r="D595" s="93"/>
      <c r="E595" s="1"/>
      <c r="F595" s="1"/>
      <c r="G595" s="93"/>
      <c r="H595" s="1"/>
      <c r="I595" s="93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>
      <c r="C596" s="1"/>
      <c r="D596" s="93"/>
      <c r="E596" s="1"/>
      <c r="F596" s="1"/>
      <c r="G596" s="93"/>
      <c r="H596" s="1"/>
      <c r="I596" s="93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>
      <c r="C597" s="1"/>
      <c r="D597" s="93"/>
      <c r="E597" s="1"/>
      <c r="F597" s="1"/>
      <c r="G597" s="93"/>
      <c r="H597" s="1"/>
      <c r="I597" s="93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>
      <c r="C598" s="1"/>
      <c r="D598" s="93"/>
      <c r="E598" s="1"/>
      <c r="F598" s="1"/>
      <c r="G598" s="93"/>
      <c r="H598" s="1"/>
      <c r="I598" s="93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>
      <c r="C599" s="1"/>
      <c r="D599" s="93"/>
      <c r="E599" s="1"/>
      <c r="F599" s="1"/>
      <c r="G599" s="93"/>
      <c r="H599" s="1"/>
      <c r="I599" s="93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>
      <c r="C600" s="1"/>
      <c r="D600" s="93"/>
      <c r="E600" s="1"/>
      <c r="F600" s="1"/>
      <c r="G600" s="93"/>
      <c r="H600" s="1"/>
      <c r="I600" s="93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>
      <c r="C601" s="1"/>
      <c r="D601" s="93"/>
      <c r="E601" s="1"/>
      <c r="F601" s="1"/>
      <c r="G601" s="93"/>
      <c r="H601" s="1"/>
      <c r="I601" s="93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>
      <c r="C602" s="1"/>
      <c r="D602" s="93"/>
      <c r="E602" s="1"/>
      <c r="F602" s="1"/>
      <c r="G602" s="93"/>
      <c r="H602" s="1"/>
      <c r="I602" s="93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>
      <c r="C603" s="1"/>
      <c r="D603" s="93"/>
      <c r="E603" s="1"/>
      <c r="F603" s="1"/>
      <c r="G603" s="93"/>
      <c r="H603" s="1"/>
      <c r="I603" s="93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>
      <c r="C604" s="1"/>
      <c r="D604" s="93"/>
      <c r="E604" s="1"/>
      <c r="F604" s="1"/>
      <c r="G604" s="93"/>
      <c r="H604" s="1"/>
      <c r="I604" s="93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>
      <c r="C605" s="1"/>
      <c r="D605" s="93"/>
      <c r="E605" s="1"/>
      <c r="F605" s="1"/>
      <c r="G605" s="93"/>
      <c r="H605" s="1"/>
      <c r="I605" s="93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>
      <c r="C606" s="1"/>
      <c r="D606" s="93"/>
      <c r="E606" s="1"/>
      <c r="F606" s="1"/>
      <c r="G606" s="93"/>
      <c r="H606" s="1"/>
      <c r="I606" s="93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>
      <c r="C607" s="1"/>
      <c r="D607" s="93"/>
      <c r="E607" s="1"/>
      <c r="F607" s="1"/>
      <c r="G607" s="93"/>
      <c r="H607" s="1"/>
      <c r="I607" s="93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>
      <c r="C608" s="1"/>
      <c r="D608" s="93"/>
      <c r="E608" s="1"/>
      <c r="F608" s="1"/>
      <c r="G608" s="93"/>
      <c r="H608" s="1"/>
      <c r="I608" s="93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>
      <c r="C609" s="1"/>
      <c r="D609" s="93"/>
      <c r="E609" s="1"/>
      <c r="F609" s="1"/>
      <c r="G609" s="93"/>
      <c r="H609" s="1"/>
      <c r="I609" s="93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>
      <c r="C610" s="1"/>
      <c r="D610" s="93"/>
      <c r="E610" s="1"/>
      <c r="F610" s="1"/>
      <c r="G610" s="93"/>
      <c r="H610" s="1"/>
      <c r="I610" s="93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>
      <c r="C611" s="1"/>
      <c r="D611" s="93"/>
      <c r="E611" s="1"/>
      <c r="F611" s="1"/>
      <c r="G611" s="93"/>
      <c r="H611" s="1"/>
      <c r="I611" s="93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>
      <c r="C612" s="1"/>
      <c r="D612" s="93"/>
      <c r="E612" s="1"/>
      <c r="F612" s="1"/>
      <c r="G612" s="93"/>
      <c r="H612" s="1"/>
      <c r="I612" s="93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>
      <c r="C613" s="1"/>
      <c r="D613" s="93"/>
      <c r="E613" s="1"/>
      <c r="F613" s="1"/>
      <c r="G613" s="93"/>
      <c r="H613" s="1"/>
      <c r="I613" s="93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>
      <c r="C614" s="1"/>
      <c r="D614" s="93"/>
      <c r="E614" s="1"/>
      <c r="F614" s="1"/>
      <c r="G614" s="93"/>
      <c r="H614" s="1"/>
      <c r="I614" s="93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>
      <c r="C615" s="1"/>
      <c r="D615" s="93"/>
      <c r="E615" s="1"/>
      <c r="F615" s="1"/>
      <c r="G615" s="93"/>
      <c r="H615" s="1"/>
      <c r="I615" s="93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>
      <c r="C616" s="1"/>
      <c r="D616" s="93"/>
      <c r="E616" s="1"/>
      <c r="F616" s="1"/>
      <c r="G616" s="93"/>
      <c r="H616" s="1"/>
      <c r="I616" s="93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>
      <c r="C617" s="1"/>
      <c r="D617" s="93"/>
      <c r="E617" s="1"/>
      <c r="F617" s="1"/>
      <c r="G617" s="93"/>
      <c r="H617" s="1"/>
      <c r="I617" s="93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>
      <c r="C618" s="1"/>
      <c r="D618" s="93"/>
      <c r="E618" s="1"/>
      <c r="F618" s="1"/>
      <c r="G618" s="93"/>
      <c r="H618" s="1"/>
      <c r="I618" s="93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>
      <c r="C619" s="1"/>
      <c r="D619" s="93"/>
      <c r="E619" s="1"/>
      <c r="F619" s="1"/>
      <c r="G619" s="93"/>
      <c r="H619" s="1"/>
      <c r="I619" s="93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>
      <c r="C620" s="1"/>
      <c r="D620" s="93"/>
      <c r="E620" s="1"/>
      <c r="F620" s="1"/>
      <c r="G620" s="93"/>
      <c r="H620" s="1"/>
      <c r="I620" s="93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>
      <c r="C621" s="1"/>
      <c r="D621" s="93"/>
      <c r="E621" s="1"/>
      <c r="F621" s="1"/>
      <c r="G621" s="93"/>
      <c r="H621" s="1"/>
      <c r="I621" s="93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>
      <c r="C622" s="1"/>
      <c r="D622" s="93"/>
      <c r="E622" s="1"/>
      <c r="F622" s="1"/>
      <c r="G622" s="93"/>
      <c r="H622" s="1"/>
      <c r="I622" s="93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>
      <c r="C623" s="1"/>
      <c r="D623" s="93"/>
      <c r="E623" s="1"/>
      <c r="F623" s="1"/>
      <c r="G623" s="93"/>
      <c r="H623" s="1"/>
      <c r="I623" s="93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>
      <c r="C624" s="1"/>
      <c r="D624" s="93"/>
      <c r="E624" s="1"/>
      <c r="F624" s="1"/>
      <c r="G624" s="93"/>
      <c r="H624" s="1"/>
      <c r="I624" s="93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>
      <c r="C625" s="1"/>
      <c r="D625" s="93"/>
      <c r="E625" s="1"/>
      <c r="F625" s="1"/>
      <c r="G625" s="93"/>
      <c r="H625" s="1"/>
      <c r="I625" s="93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>
      <c r="C626" s="1"/>
      <c r="D626" s="93"/>
      <c r="E626" s="1"/>
      <c r="F626" s="1"/>
      <c r="G626" s="93"/>
      <c r="H626" s="1"/>
      <c r="I626" s="93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>
      <c r="C627" s="1"/>
      <c r="D627" s="93"/>
      <c r="E627" s="1"/>
      <c r="F627" s="1"/>
      <c r="G627" s="93"/>
      <c r="H627" s="1"/>
      <c r="I627" s="93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>
      <c r="C628" s="1"/>
      <c r="D628" s="93"/>
      <c r="E628" s="1"/>
      <c r="F628" s="1"/>
      <c r="G628" s="93"/>
      <c r="H628" s="1"/>
      <c r="I628" s="93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>
      <c r="C629" s="1"/>
      <c r="D629" s="93"/>
      <c r="E629" s="1"/>
      <c r="F629" s="1"/>
      <c r="G629" s="93"/>
      <c r="H629" s="1"/>
      <c r="I629" s="93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>
      <c r="C630" s="1"/>
      <c r="D630" s="93"/>
      <c r="E630" s="1"/>
      <c r="F630" s="1"/>
      <c r="G630" s="93"/>
      <c r="H630" s="1"/>
      <c r="I630" s="93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>
      <c r="C631" s="1"/>
      <c r="D631" s="93"/>
      <c r="E631" s="1"/>
      <c r="F631" s="1"/>
      <c r="G631" s="93"/>
      <c r="H631" s="1"/>
      <c r="I631" s="93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>
      <c r="C632" s="1"/>
      <c r="D632" s="93"/>
      <c r="E632" s="1"/>
      <c r="F632" s="1"/>
      <c r="G632" s="93"/>
      <c r="H632" s="1"/>
      <c r="I632" s="93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>
      <c r="C633" s="1"/>
      <c r="D633" s="93"/>
      <c r="E633" s="1"/>
      <c r="F633" s="1"/>
      <c r="G633" s="93"/>
      <c r="H633" s="1"/>
      <c r="I633" s="93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>
      <c r="C634" s="1"/>
      <c r="D634" s="93"/>
      <c r="E634" s="1"/>
      <c r="F634" s="1"/>
      <c r="G634" s="93"/>
      <c r="H634" s="1"/>
      <c r="I634" s="93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>
      <c r="C635" s="1"/>
      <c r="D635" s="93"/>
      <c r="E635" s="1"/>
      <c r="F635" s="1"/>
      <c r="G635" s="93"/>
      <c r="H635" s="1"/>
      <c r="I635" s="93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>
      <c r="C636" s="1"/>
      <c r="D636" s="93"/>
      <c r="E636" s="1"/>
      <c r="F636" s="1"/>
      <c r="G636" s="93"/>
      <c r="H636" s="1"/>
      <c r="I636" s="93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>
      <c r="C637" s="1"/>
      <c r="D637" s="93"/>
      <c r="E637" s="1"/>
      <c r="F637" s="1"/>
      <c r="G637" s="93"/>
      <c r="H637" s="1"/>
      <c r="I637" s="93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>
      <c r="C638" s="1"/>
      <c r="D638" s="93"/>
      <c r="E638" s="1"/>
      <c r="F638" s="1"/>
      <c r="G638" s="93"/>
      <c r="H638" s="1"/>
      <c r="I638" s="93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>
      <c r="C639" s="1"/>
      <c r="D639" s="93"/>
      <c r="E639" s="1"/>
      <c r="F639" s="1"/>
      <c r="G639" s="93"/>
      <c r="H639" s="1"/>
      <c r="I639" s="93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>
      <c r="C640" s="1"/>
      <c r="D640" s="93"/>
      <c r="E640" s="1"/>
      <c r="F640" s="1"/>
      <c r="G640" s="93"/>
      <c r="H640" s="1"/>
      <c r="I640" s="93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>
      <c r="C641" s="1"/>
      <c r="D641" s="93"/>
      <c r="E641" s="1"/>
      <c r="F641" s="1"/>
      <c r="G641" s="93"/>
      <c r="H641" s="1"/>
      <c r="I641" s="93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>
      <c r="C642" s="1"/>
      <c r="D642" s="93"/>
      <c r="E642" s="1"/>
      <c r="F642" s="1"/>
      <c r="G642" s="93"/>
      <c r="H642" s="1"/>
      <c r="I642" s="93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>
      <c r="C643" s="1"/>
      <c r="D643" s="93"/>
      <c r="E643" s="1"/>
      <c r="F643" s="1"/>
      <c r="G643" s="93"/>
      <c r="H643" s="1"/>
      <c r="I643" s="93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>
      <c r="C644" s="1"/>
      <c r="D644" s="93"/>
      <c r="E644" s="1"/>
      <c r="F644" s="1"/>
      <c r="G644" s="93"/>
      <c r="H644" s="1"/>
      <c r="I644" s="93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>
      <c r="C645" s="1"/>
      <c r="D645" s="93"/>
      <c r="E645" s="1"/>
      <c r="F645" s="1"/>
      <c r="G645" s="93"/>
      <c r="H645" s="1"/>
      <c r="I645" s="93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>
      <c r="C646" s="1"/>
      <c r="D646" s="93"/>
      <c r="E646" s="1"/>
      <c r="F646" s="1"/>
      <c r="G646" s="93"/>
      <c r="H646" s="1"/>
      <c r="I646" s="93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>
      <c r="C647" s="1"/>
      <c r="D647" s="93"/>
      <c r="E647" s="1"/>
      <c r="F647" s="1"/>
      <c r="G647" s="93"/>
      <c r="H647" s="1"/>
      <c r="I647" s="93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>
      <c r="C648" s="1"/>
      <c r="D648" s="93"/>
      <c r="E648" s="1"/>
      <c r="F648" s="1"/>
      <c r="G648" s="93"/>
      <c r="H648" s="1"/>
      <c r="I648" s="93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>
      <c r="C649" s="1"/>
      <c r="D649" s="93"/>
      <c r="E649" s="1"/>
      <c r="F649" s="1"/>
      <c r="G649" s="93"/>
      <c r="H649" s="1"/>
      <c r="I649" s="93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>
      <c r="C650" s="1"/>
      <c r="D650" s="93"/>
      <c r="E650" s="1"/>
      <c r="F650" s="1"/>
      <c r="G650" s="93"/>
      <c r="H650" s="1"/>
      <c r="I650" s="93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>
      <c r="C651" s="1"/>
      <c r="D651" s="93"/>
      <c r="E651" s="1"/>
      <c r="F651" s="1"/>
      <c r="G651" s="93"/>
      <c r="H651" s="1"/>
      <c r="I651" s="93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>
      <c r="C652" s="1"/>
      <c r="D652" s="93"/>
      <c r="E652" s="1"/>
      <c r="F652" s="1"/>
      <c r="G652" s="93"/>
      <c r="H652" s="1"/>
      <c r="I652" s="93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>
      <c r="C653" s="1"/>
      <c r="D653" s="93"/>
      <c r="E653" s="1"/>
      <c r="F653" s="1"/>
      <c r="G653" s="93"/>
      <c r="H653" s="1"/>
      <c r="I653" s="93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>
      <c r="C654" s="1"/>
      <c r="D654" s="93"/>
      <c r="E654" s="1"/>
      <c r="F654" s="1"/>
      <c r="G654" s="93"/>
      <c r="H654" s="1"/>
      <c r="I654" s="93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>
      <c r="C655" s="1"/>
      <c r="D655" s="93"/>
      <c r="E655" s="1"/>
      <c r="F655" s="1"/>
      <c r="G655" s="93"/>
      <c r="H655" s="1"/>
      <c r="I655" s="93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>
      <c r="C656" s="1"/>
      <c r="D656" s="93"/>
      <c r="E656" s="1"/>
      <c r="F656" s="1"/>
      <c r="G656" s="93"/>
      <c r="H656" s="1"/>
      <c r="I656" s="93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>
      <c r="C657" s="1"/>
      <c r="D657" s="93"/>
      <c r="E657" s="1"/>
      <c r="F657" s="1"/>
      <c r="G657" s="93"/>
      <c r="H657" s="1"/>
      <c r="I657" s="93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>
      <c r="C658" s="1"/>
      <c r="D658" s="93"/>
      <c r="E658" s="1"/>
      <c r="F658" s="1"/>
      <c r="G658" s="93"/>
      <c r="H658" s="1"/>
      <c r="I658" s="93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>
      <c r="C659" s="1"/>
      <c r="D659" s="93"/>
      <c r="E659" s="1"/>
      <c r="F659" s="1"/>
      <c r="G659" s="93"/>
      <c r="H659" s="1"/>
      <c r="I659" s="93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>
      <c r="C660" s="1"/>
      <c r="D660" s="93"/>
      <c r="E660" s="1"/>
      <c r="F660" s="1"/>
      <c r="G660" s="93"/>
      <c r="H660" s="1"/>
      <c r="I660" s="93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>
      <c r="C661" s="1"/>
      <c r="D661" s="93"/>
      <c r="E661" s="1"/>
      <c r="F661" s="1"/>
      <c r="G661" s="93"/>
      <c r="H661" s="1"/>
      <c r="I661" s="93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>
      <c r="C662" s="1"/>
      <c r="D662" s="93"/>
      <c r="E662" s="1"/>
      <c r="F662" s="1"/>
      <c r="G662" s="93"/>
      <c r="H662" s="1"/>
      <c r="I662" s="93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>
      <c r="C663" s="1"/>
      <c r="D663" s="93"/>
      <c r="E663" s="1"/>
      <c r="F663" s="1"/>
      <c r="G663" s="93"/>
      <c r="H663" s="1"/>
      <c r="I663" s="93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>
      <c r="C664" s="1"/>
      <c r="D664" s="93"/>
      <c r="E664" s="1"/>
      <c r="F664" s="1"/>
      <c r="G664" s="93"/>
      <c r="H664" s="1"/>
      <c r="I664" s="93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>
      <c r="C665" s="1"/>
      <c r="D665" s="93"/>
      <c r="E665" s="1"/>
      <c r="F665" s="1"/>
      <c r="G665" s="93"/>
      <c r="H665" s="1"/>
      <c r="I665" s="93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>
      <c r="C666" s="1"/>
      <c r="D666" s="93"/>
      <c r="E666" s="1"/>
      <c r="F666" s="1"/>
      <c r="G666" s="93"/>
      <c r="H666" s="1"/>
      <c r="I666" s="93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>
      <c r="C667" s="1"/>
      <c r="D667" s="93"/>
      <c r="E667" s="1"/>
      <c r="F667" s="1"/>
      <c r="G667" s="93"/>
      <c r="H667" s="1"/>
      <c r="I667" s="93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>
      <c r="C668" s="1"/>
      <c r="D668" s="93"/>
      <c r="E668" s="1"/>
      <c r="F668" s="1"/>
      <c r="G668" s="93"/>
      <c r="H668" s="1"/>
      <c r="I668" s="93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>
      <c r="C669" s="1"/>
      <c r="D669" s="93"/>
      <c r="E669" s="1"/>
      <c r="F669" s="1"/>
      <c r="G669" s="93"/>
      <c r="H669" s="1"/>
      <c r="I669" s="93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>
      <c r="C670" s="1"/>
      <c r="D670" s="93"/>
      <c r="E670" s="1"/>
      <c r="F670" s="1"/>
      <c r="G670" s="93"/>
      <c r="H670" s="1"/>
      <c r="I670" s="93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>
      <c r="C671" s="1"/>
      <c r="D671" s="93"/>
      <c r="E671" s="1"/>
      <c r="F671" s="1"/>
      <c r="G671" s="93"/>
      <c r="H671" s="1"/>
      <c r="I671" s="93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>
      <c r="C672" s="1"/>
      <c r="D672" s="93"/>
      <c r="E672" s="1"/>
      <c r="F672" s="1"/>
      <c r="G672" s="93"/>
      <c r="H672" s="1"/>
      <c r="I672" s="93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>
      <c r="C673" s="1"/>
      <c r="D673" s="93"/>
      <c r="E673" s="1"/>
      <c r="F673" s="1"/>
      <c r="G673" s="93"/>
      <c r="H673" s="1"/>
      <c r="I673" s="93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>
      <c r="C674" s="1"/>
      <c r="D674" s="93"/>
      <c r="E674" s="1"/>
      <c r="F674" s="1"/>
      <c r="G674" s="93"/>
      <c r="H674" s="1"/>
      <c r="I674" s="93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>
      <c r="C675" s="1"/>
      <c r="D675" s="93"/>
      <c r="E675" s="1"/>
      <c r="F675" s="1"/>
      <c r="G675" s="93"/>
      <c r="H675" s="1"/>
      <c r="I675" s="93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>
      <c r="C676" s="1"/>
      <c r="D676" s="93"/>
      <c r="E676" s="1"/>
      <c r="F676" s="1"/>
      <c r="G676" s="93"/>
      <c r="H676" s="1"/>
      <c r="I676" s="93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>
      <c r="C677" s="1"/>
      <c r="D677" s="93"/>
      <c r="E677" s="1"/>
      <c r="F677" s="1"/>
      <c r="G677" s="93"/>
      <c r="H677" s="1"/>
      <c r="I677" s="93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>
      <c r="C678" s="1"/>
      <c r="D678" s="93"/>
      <c r="E678" s="1"/>
      <c r="F678" s="1"/>
      <c r="G678" s="93"/>
      <c r="H678" s="1"/>
      <c r="I678" s="93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>
      <c r="C679" s="1"/>
      <c r="D679" s="93"/>
      <c r="E679" s="1"/>
      <c r="F679" s="1"/>
      <c r="G679" s="93"/>
      <c r="H679" s="1"/>
      <c r="I679" s="93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>
      <c r="C680" s="1"/>
      <c r="D680" s="93"/>
      <c r="E680" s="1"/>
      <c r="F680" s="1"/>
      <c r="G680" s="93"/>
      <c r="H680" s="1"/>
      <c r="I680" s="93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>
      <c r="C681" s="1"/>
      <c r="D681" s="93"/>
      <c r="E681" s="1"/>
      <c r="F681" s="1"/>
      <c r="G681" s="93"/>
      <c r="H681" s="1"/>
      <c r="I681" s="93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>
      <c r="C682" s="1"/>
      <c r="D682" s="93"/>
      <c r="E682" s="1"/>
      <c r="F682" s="1"/>
      <c r="G682" s="93"/>
      <c r="H682" s="1"/>
      <c r="I682" s="93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>
      <c r="C683" s="1"/>
      <c r="D683" s="93"/>
      <c r="E683" s="1"/>
      <c r="F683" s="1"/>
      <c r="G683" s="93"/>
      <c r="H683" s="1"/>
      <c r="I683" s="93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>
      <c r="C684" s="1"/>
      <c r="D684" s="93"/>
      <c r="E684" s="1"/>
      <c r="F684" s="1"/>
      <c r="G684" s="93"/>
      <c r="H684" s="1"/>
      <c r="I684" s="93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>
      <c r="C685" s="1"/>
      <c r="D685" s="93"/>
      <c r="E685" s="1"/>
      <c r="F685" s="1"/>
      <c r="G685" s="93"/>
      <c r="H685" s="1"/>
      <c r="I685" s="93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>
      <c r="C686" s="1"/>
      <c r="D686" s="93"/>
      <c r="E686" s="1"/>
      <c r="F686" s="1"/>
      <c r="G686" s="93"/>
      <c r="H686" s="1"/>
      <c r="I686" s="93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>
      <c r="C687" s="1"/>
      <c r="D687" s="93"/>
      <c r="E687" s="1"/>
      <c r="F687" s="1"/>
      <c r="G687" s="93"/>
      <c r="H687" s="1"/>
      <c r="I687" s="93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>
      <c r="C688" s="1"/>
      <c r="D688" s="93"/>
      <c r="E688" s="1"/>
      <c r="F688" s="1"/>
      <c r="G688" s="93"/>
      <c r="H688" s="1"/>
      <c r="I688" s="93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>
      <c r="C689" s="1"/>
      <c r="D689" s="93"/>
      <c r="E689" s="1"/>
      <c r="F689" s="1"/>
      <c r="G689" s="93"/>
      <c r="H689" s="1"/>
      <c r="I689" s="93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>
      <c r="C690" s="1"/>
      <c r="D690" s="93"/>
      <c r="E690" s="1"/>
      <c r="F690" s="1"/>
      <c r="G690" s="93"/>
      <c r="H690" s="1"/>
      <c r="I690" s="93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>
      <c r="C691" s="1"/>
      <c r="D691" s="93"/>
      <c r="E691" s="1"/>
      <c r="F691" s="1"/>
      <c r="G691" s="93"/>
      <c r="H691" s="1"/>
      <c r="I691" s="93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>
      <c r="C692" s="1"/>
      <c r="D692" s="93"/>
      <c r="E692" s="1"/>
      <c r="F692" s="1"/>
      <c r="G692" s="93"/>
      <c r="H692" s="1"/>
      <c r="I692" s="93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>
      <c r="C693" s="1"/>
      <c r="D693" s="93"/>
      <c r="E693" s="1"/>
      <c r="F693" s="1"/>
      <c r="G693" s="93"/>
      <c r="H693" s="1"/>
      <c r="I693" s="93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>
      <c r="C694" s="1"/>
      <c r="D694" s="93"/>
      <c r="E694" s="1"/>
      <c r="F694" s="1"/>
      <c r="G694" s="93"/>
      <c r="H694" s="1"/>
      <c r="I694" s="93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>
      <c r="C695" s="1"/>
      <c r="D695" s="93"/>
      <c r="E695" s="1"/>
      <c r="F695" s="1"/>
      <c r="G695" s="93"/>
      <c r="H695" s="1"/>
      <c r="I695" s="93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>
      <c r="C696" s="1"/>
      <c r="D696" s="93"/>
      <c r="E696" s="1"/>
      <c r="F696" s="1"/>
      <c r="G696" s="93"/>
      <c r="H696" s="1"/>
      <c r="I696" s="93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>
      <c r="C697" s="1"/>
      <c r="D697" s="93"/>
      <c r="E697" s="1"/>
      <c r="F697" s="1"/>
      <c r="G697" s="93"/>
      <c r="H697" s="1"/>
      <c r="I697" s="93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>
      <c r="C698" s="1"/>
      <c r="D698" s="93"/>
      <c r="E698" s="1"/>
      <c r="F698" s="1"/>
      <c r="G698" s="93"/>
      <c r="H698" s="1"/>
      <c r="I698" s="93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>
      <c r="C699" s="1"/>
      <c r="D699" s="93"/>
      <c r="E699" s="1"/>
      <c r="F699" s="1"/>
      <c r="G699" s="93"/>
      <c r="H699" s="1"/>
      <c r="I699" s="93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>
      <c r="C700" s="1"/>
      <c r="D700" s="93"/>
      <c r="E700" s="1"/>
      <c r="F700" s="1"/>
      <c r="G700" s="93"/>
      <c r="H700" s="1"/>
      <c r="I700" s="93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>
      <c r="C701" s="1"/>
      <c r="D701" s="93"/>
      <c r="E701" s="1"/>
      <c r="F701" s="1"/>
      <c r="G701" s="93"/>
      <c r="H701" s="1"/>
      <c r="I701" s="93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>
      <c r="C702" s="1"/>
      <c r="D702" s="93"/>
      <c r="E702" s="1"/>
      <c r="F702" s="1"/>
      <c r="G702" s="93"/>
      <c r="H702" s="1"/>
      <c r="I702" s="93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>
      <c r="C703" s="1"/>
      <c r="D703" s="93"/>
      <c r="E703" s="1"/>
      <c r="F703" s="1"/>
      <c r="G703" s="93"/>
      <c r="H703" s="1"/>
      <c r="I703" s="93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>
      <c r="C704" s="1"/>
      <c r="D704" s="93"/>
      <c r="E704" s="1"/>
      <c r="F704" s="1"/>
      <c r="G704" s="93"/>
      <c r="H704" s="1"/>
      <c r="I704" s="93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>
      <c r="C705" s="1"/>
      <c r="D705" s="93"/>
      <c r="E705" s="1"/>
      <c r="F705" s="1"/>
      <c r="G705" s="93"/>
      <c r="H705" s="1"/>
      <c r="I705" s="93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>
      <c r="C706" s="1"/>
      <c r="D706" s="93"/>
      <c r="E706" s="1"/>
      <c r="F706" s="1"/>
      <c r="G706" s="93"/>
      <c r="H706" s="1"/>
      <c r="I706" s="93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>
      <c r="C707" s="1"/>
      <c r="D707" s="93"/>
      <c r="E707" s="1"/>
      <c r="F707" s="1"/>
      <c r="G707" s="93"/>
      <c r="H707" s="1"/>
      <c r="I707" s="93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>
      <c r="C708" s="1"/>
      <c r="D708" s="93"/>
      <c r="E708" s="1"/>
      <c r="F708" s="1"/>
      <c r="G708" s="93"/>
      <c r="H708" s="1"/>
      <c r="I708" s="93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>
      <c r="C709" s="1"/>
      <c r="D709" s="93"/>
      <c r="E709" s="1"/>
      <c r="F709" s="1"/>
      <c r="G709" s="93"/>
      <c r="H709" s="1"/>
      <c r="I709" s="93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>
      <c r="C710" s="1"/>
      <c r="D710" s="93"/>
      <c r="E710" s="1"/>
      <c r="F710" s="1"/>
      <c r="G710" s="93"/>
      <c r="H710" s="1"/>
      <c r="I710" s="93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>
      <c r="C711" s="1"/>
      <c r="D711" s="93"/>
      <c r="E711" s="1"/>
      <c r="F711" s="1"/>
      <c r="G711" s="93"/>
      <c r="H711" s="1"/>
      <c r="I711" s="93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>
      <c r="C712" s="1"/>
      <c r="D712" s="93"/>
      <c r="E712" s="1"/>
      <c r="F712" s="1"/>
      <c r="G712" s="93"/>
      <c r="H712" s="1"/>
      <c r="I712" s="93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>
      <c r="C713" s="1"/>
      <c r="D713" s="93"/>
      <c r="E713" s="1"/>
      <c r="F713" s="1"/>
      <c r="G713" s="93"/>
      <c r="H713" s="1"/>
      <c r="I713" s="93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>
      <c r="C714" s="1"/>
      <c r="D714" s="93"/>
      <c r="E714" s="1"/>
      <c r="F714" s="1"/>
      <c r="G714" s="93"/>
      <c r="H714" s="1"/>
      <c r="I714" s="93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>
      <c r="C715" s="1"/>
      <c r="D715" s="93"/>
      <c r="E715" s="1"/>
      <c r="F715" s="1"/>
      <c r="G715" s="93"/>
      <c r="H715" s="1"/>
      <c r="I715" s="93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>
      <c r="C716" s="1"/>
      <c r="D716" s="93"/>
      <c r="E716" s="1"/>
      <c r="F716" s="1"/>
      <c r="G716" s="93"/>
      <c r="H716" s="1"/>
      <c r="I716" s="93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>
      <c r="C717" s="1"/>
      <c r="D717" s="93"/>
      <c r="E717" s="1"/>
      <c r="F717" s="1"/>
      <c r="G717" s="93"/>
      <c r="H717" s="1"/>
      <c r="I717" s="93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>
      <c r="C718" s="1"/>
      <c r="D718" s="93"/>
      <c r="E718" s="1"/>
      <c r="F718" s="1"/>
      <c r="G718" s="93"/>
      <c r="H718" s="1"/>
      <c r="I718" s="93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>
      <c r="C719" s="1"/>
      <c r="D719" s="93"/>
      <c r="E719" s="1"/>
      <c r="F719" s="1"/>
      <c r="G719" s="93"/>
      <c r="H719" s="1"/>
      <c r="I719" s="93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>
      <c r="C720" s="1"/>
      <c r="D720" s="93"/>
      <c r="E720" s="1"/>
      <c r="F720" s="1"/>
      <c r="G720" s="93"/>
      <c r="H720" s="1"/>
      <c r="I720" s="93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>
      <c r="C721" s="1"/>
      <c r="D721" s="93"/>
      <c r="E721" s="1"/>
      <c r="F721" s="1"/>
      <c r="G721" s="93"/>
      <c r="H721" s="1"/>
      <c r="I721" s="93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>
      <c r="C722" s="1"/>
      <c r="D722" s="93"/>
      <c r="E722" s="1"/>
      <c r="F722" s="1"/>
      <c r="G722" s="93"/>
      <c r="H722" s="1"/>
      <c r="I722" s="93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>
      <c r="C723" s="1"/>
      <c r="D723" s="93"/>
      <c r="E723" s="1"/>
      <c r="F723" s="1"/>
      <c r="G723" s="93"/>
      <c r="H723" s="1"/>
      <c r="I723" s="93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>
      <c r="C724" s="1"/>
      <c r="D724" s="93"/>
      <c r="E724" s="1"/>
      <c r="F724" s="1"/>
      <c r="G724" s="93"/>
      <c r="H724" s="1"/>
      <c r="I724" s="93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>
      <c r="C725" s="1"/>
      <c r="D725" s="93"/>
      <c r="E725" s="1"/>
      <c r="F725" s="1"/>
      <c r="G725" s="93"/>
      <c r="H725" s="1"/>
      <c r="I725" s="93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>
      <c r="C726" s="1"/>
      <c r="D726" s="93"/>
      <c r="E726" s="1"/>
      <c r="F726" s="1"/>
      <c r="G726" s="93"/>
      <c r="H726" s="1"/>
      <c r="I726" s="93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>
      <c r="C727" s="1"/>
      <c r="D727" s="93"/>
      <c r="E727" s="1"/>
      <c r="F727" s="1"/>
      <c r="G727" s="93"/>
      <c r="H727" s="1"/>
      <c r="I727" s="93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>
      <c r="C728" s="1"/>
      <c r="D728" s="93"/>
      <c r="E728" s="1"/>
      <c r="F728" s="1"/>
      <c r="G728" s="93"/>
      <c r="H728" s="1"/>
      <c r="I728" s="93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>
      <c r="C729" s="1"/>
      <c r="D729" s="93"/>
      <c r="E729" s="1"/>
      <c r="F729" s="1"/>
      <c r="G729" s="93"/>
      <c r="H729" s="1"/>
      <c r="I729" s="93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>
      <c r="C730" s="1"/>
      <c r="D730" s="93"/>
      <c r="E730" s="1"/>
      <c r="F730" s="1"/>
      <c r="G730" s="93"/>
      <c r="H730" s="1"/>
      <c r="I730" s="93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>
      <c r="C731" s="1"/>
      <c r="D731" s="93"/>
      <c r="E731" s="1"/>
      <c r="F731" s="1"/>
      <c r="G731" s="93"/>
      <c r="H731" s="1"/>
      <c r="I731" s="93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>
      <c r="C732" s="1"/>
      <c r="D732" s="93"/>
      <c r="E732" s="1"/>
      <c r="F732" s="1"/>
      <c r="G732" s="93"/>
      <c r="H732" s="1"/>
      <c r="I732" s="93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>
      <c r="C733" s="1"/>
      <c r="D733" s="93"/>
      <c r="E733" s="1"/>
      <c r="F733" s="1"/>
      <c r="G733" s="93"/>
      <c r="H733" s="1"/>
      <c r="I733" s="93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>
      <c r="C734" s="1"/>
      <c r="D734" s="93"/>
      <c r="E734" s="1"/>
      <c r="F734" s="1"/>
      <c r="G734" s="93"/>
      <c r="H734" s="1"/>
      <c r="I734" s="93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>
      <c r="C735" s="1"/>
      <c r="D735" s="93"/>
      <c r="E735" s="1"/>
      <c r="F735" s="1"/>
      <c r="G735" s="93"/>
      <c r="H735" s="1"/>
      <c r="I735" s="93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>
      <c r="C736" s="1"/>
      <c r="D736" s="93"/>
      <c r="E736" s="1"/>
      <c r="F736" s="1"/>
      <c r="G736" s="93"/>
      <c r="H736" s="1"/>
      <c r="I736" s="93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>
      <c r="C737" s="1"/>
      <c r="D737" s="93"/>
      <c r="E737" s="1"/>
      <c r="F737" s="1"/>
      <c r="G737" s="93"/>
      <c r="H737" s="1"/>
      <c r="I737" s="93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>
      <c r="C738" s="1"/>
      <c r="D738" s="93"/>
      <c r="E738" s="1"/>
      <c r="F738" s="1"/>
      <c r="G738" s="93"/>
      <c r="H738" s="1"/>
      <c r="I738" s="93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>
      <c r="C739" s="1"/>
      <c r="D739" s="93"/>
      <c r="E739" s="1"/>
      <c r="F739" s="1"/>
      <c r="G739" s="93"/>
      <c r="H739" s="1"/>
      <c r="I739" s="93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>
      <c r="C740" s="1"/>
      <c r="D740" s="93"/>
      <c r="E740" s="1"/>
      <c r="F740" s="1"/>
      <c r="G740" s="93"/>
      <c r="H740" s="1"/>
      <c r="I740" s="93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>
      <c r="C741" s="1"/>
      <c r="D741" s="93"/>
      <c r="E741" s="1"/>
      <c r="F741" s="1"/>
      <c r="G741" s="93"/>
      <c r="H741" s="1"/>
      <c r="I741" s="93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>
      <c r="C742" s="1"/>
      <c r="D742" s="93"/>
      <c r="E742" s="1"/>
      <c r="F742" s="1"/>
      <c r="G742" s="93"/>
      <c r="H742" s="1"/>
      <c r="I742" s="93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>
      <c r="C743" s="1"/>
      <c r="D743" s="93"/>
      <c r="E743" s="1"/>
      <c r="F743" s="1"/>
      <c r="G743" s="93"/>
      <c r="H743" s="1"/>
      <c r="I743" s="93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>
      <c r="C744" s="1"/>
      <c r="D744" s="93"/>
      <c r="E744" s="1"/>
      <c r="F744" s="1"/>
      <c r="G744" s="93"/>
      <c r="H744" s="1"/>
      <c r="I744" s="93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>
      <c r="C745" s="1"/>
      <c r="D745" s="93"/>
      <c r="E745" s="1"/>
      <c r="F745" s="1"/>
      <c r="G745" s="93"/>
      <c r="H745" s="1"/>
      <c r="I745" s="93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>
      <c r="C746" s="1"/>
      <c r="D746" s="93"/>
      <c r="E746" s="1"/>
      <c r="F746" s="1"/>
      <c r="G746" s="93"/>
      <c r="H746" s="1"/>
      <c r="I746" s="93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>
      <c r="C747" s="1"/>
      <c r="D747" s="93"/>
      <c r="E747" s="1"/>
      <c r="F747" s="1"/>
      <c r="G747" s="93"/>
      <c r="H747" s="1"/>
      <c r="I747" s="93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>
      <c r="C748" s="1"/>
      <c r="D748" s="93"/>
      <c r="E748" s="1"/>
      <c r="F748" s="1"/>
      <c r="G748" s="93"/>
      <c r="H748" s="1"/>
      <c r="I748" s="93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>
      <c r="C749" s="1"/>
      <c r="D749" s="93"/>
      <c r="E749" s="1"/>
      <c r="F749" s="1"/>
      <c r="G749" s="93"/>
      <c r="H749" s="1"/>
      <c r="I749" s="93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>
      <c r="C750" s="1"/>
      <c r="D750" s="93"/>
      <c r="E750" s="1"/>
      <c r="F750" s="1"/>
      <c r="G750" s="93"/>
      <c r="H750" s="1"/>
      <c r="I750" s="93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>
      <c r="C751" s="1"/>
      <c r="D751" s="93"/>
      <c r="E751" s="1"/>
      <c r="F751" s="1"/>
      <c r="G751" s="93"/>
      <c r="H751" s="1"/>
      <c r="I751" s="93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>
      <c r="C752" s="1"/>
      <c r="D752" s="93"/>
      <c r="E752" s="1"/>
      <c r="F752" s="1"/>
      <c r="G752" s="93"/>
      <c r="H752" s="1"/>
      <c r="I752" s="93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>
      <c r="C753" s="1"/>
      <c r="D753" s="93"/>
      <c r="E753" s="1"/>
      <c r="F753" s="1"/>
      <c r="G753" s="93"/>
      <c r="H753" s="1"/>
      <c r="I753" s="93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>
      <c r="C754" s="1"/>
      <c r="D754" s="93"/>
      <c r="E754" s="1"/>
      <c r="F754" s="1"/>
      <c r="G754" s="93"/>
      <c r="H754" s="1"/>
      <c r="I754" s="93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>
      <c r="C755" s="1"/>
      <c r="D755" s="93"/>
      <c r="E755" s="1"/>
      <c r="F755" s="1"/>
      <c r="G755" s="93"/>
      <c r="H755" s="1"/>
      <c r="I755" s="93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>
      <c r="C756" s="1"/>
      <c r="D756" s="93"/>
      <c r="E756" s="1"/>
      <c r="F756" s="1"/>
      <c r="G756" s="93"/>
      <c r="H756" s="1"/>
      <c r="I756" s="93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>
      <c r="C757" s="1"/>
      <c r="D757" s="93"/>
      <c r="E757" s="1"/>
      <c r="F757" s="1"/>
      <c r="G757" s="93"/>
      <c r="H757" s="1"/>
      <c r="I757" s="93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>
      <c r="C758" s="1"/>
      <c r="D758" s="93"/>
      <c r="E758" s="1"/>
      <c r="F758" s="1"/>
      <c r="G758" s="93"/>
      <c r="H758" s="1"/>
      <c r="I758" s="93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>
      <c r="C759" s="1"/>
      <c r="D759" s="93"/>
      <c r="E759" s="1"/>
      <c r="F759" s="1"/>
      <c r="G759" s="93"/>
      <c r="H759" s="1"/>
      <c r="I759" s="93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>
      <c r="C760" s="1"/>
      <c r="D760" s="93"/>
      <c r="E760" s="1"/>
      <c r="F760" s="1"/>
      <c r="G760" s="93"/>
      <c r="H760" s="1"/>
      <c r="I760" s="93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>
      <c r="C761" s="1"/>
      <c r="D761" s="93"/>
      <c r="E761" s="1"/>
      <c r="F761" s="1"/>
      <c r="G761" s="93"/>
      <c r="H761" s="1"/>
      <c r="I761" s="93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>
      <c r="C762" s="1"/>
      <c r="D762" s="93"/>
      <c r="E762" s="1"/>
      <c r="F762" s="1"/>
      <c r="G762" s="93"/>
      <c r="H762" s="1"/>
      <c r="I762" s="93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>
      <c r="C763" s="1"/>
      <c r="D763" s="93"/>
      <c r="E763" s="1"/>
      <c r="F763" s="1"/>
      <c r="G763" s="93"/>
      <c r="H763" s="1"/>
      <c r="I763" s="93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>
      <c r="C764" s="1"/>
      <c r="D764" s="93"/>
      <c r="E764" s="1"/>
      <c r="F764" s="1"/>
      <c r="G764" s="93"/>
      <c r="H764" s="1"/>
      <c r="I764" s="93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>
      <c r="C765" s="1"/>
      <c r="D765" s="93"/>
      <c r="E765" s="1"/>
      <c r="F765" s="1"/>
      <c r="G765" s="93"/>
      <c r="H765" s="1"/>
      <c r="I765" s="93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>
      <c r="C766" s="1"/>
      <c r="D766" s="93"/>
      <c r="E766" s="1"/>
      <c r="F766" s="1"/>
      <c r="G766" s="93"/>
      <c r="H766" s="1"/>
      <c r="I766" s="93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>
      <c r="C767" s="1"/>
      <c r="D767" s="93"/>
      <c r="E767" s="1"/>
      <c r="F767" s="1"/>
      <c r="G767" s="93"/>
      <c r="H767" s="1"/>
      <c r="I767" s="93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>
      <c r="C768" s="1"/>
      <c r="D768" s="93"/>
      <c r="E768" s="1"/>
      <c r="F768" s="1"/>
      <c r="G768" s="93"/>
      <c r="H768" s="1"/>
      <c r="I768" s="93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>
      <c r="C769" s="1"/>
      <c r="D769" s="93"/>
      <c r="E769" s="1"/>
      <c r="F769" s="1"/>
      <c r="G769" s="93"/>
      <c r="H769" s="1"/>
      <c r="I769" s="93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>
      <c r="C770" s="1"/>
      <c r="D770" s="93"/>
      <c r="E770" s="1"/>
      <c r="F770" s="1"/>
      <c r="G770" s="93"/>
      <c r="H770" s="1"/>
      <c r="I770" s="93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>
      <c r="C771" s="1"/>
      <c r="D771" s="93"/>
      <c r="E771" s="1"/>
      <c r="F771" s="1"/>
      <c r="G771" s="93"/>
      <c r="H771" s="1"/>
      <c r="I771" s="93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>
      <c r="C772" s="1"/>
      <c r="D772" s="93"/>
      <c r="E772" s="1"/>
      <c r="F772" s="1"/>
      <c r="G772" s="93"/>
      <c r="H772" s="1"/>
      <c r="I772" s="93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>
      <c r="C773" s="1"/>
      <c r="D773" s="93"/>
      <c r="E773" s="1"/>
      <c r="F773" s="1"/>
      <c r="G773" s="93"/>
      <c r="H773" s="1"/>
      <c r="I773" s="93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>
      <c r="C774" s="1"/>
      <c r="D774" s="93"/>
      <c r="E774" s="1"/>
      <c r="F774" s="1"/>
      <c r="G774" s="93"/>
      <c r="H774" s="1"/>
      <c r="I774" s="93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>
      <c r="C775" s="1"/>
      <c r="D775" s="93"/>
      <c r="E775" s="1"/>
      <c r="F775" s="1"/>
      <c r="G775" s="93"/>
      <c r="H775" s="1"/>
      <c r="I775" s="93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>
      <c r="C776" s="1"/>
      <c r="D776" s="93"/>
      <c r="E776" s="1"/>
      <c r="F776" s="1"/>
      <c r="G776" s="93"/>
      <c r="H776" s="1"/>
      <c r="I776" s="93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>
      <c r="C777" s="1"/>
      <c r="D777" s="93"/>
      <c r="E777" s="1"/>
      <c r="F777" s="1"/>
      <c r="G777" s="93"/>
      <c r="H777" s="1"/>
      <c r="I777" s="93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>
      <c r="C778" s="1"/>
      <c r="D778" s="93"/>
      <c r="E778" s="1"/>
      <c r="F778" s="1"/>
      <c r="G778" s="93"/>
      <c r="H778" s="1"/>
      <c r="I778" s="93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>
      <c r="C779" s="1"/>
      <c r="D779" s="93"/>
      <c r="E779" s="1"/>
      <c r="F779" s="1"/>
      <c r="G779" s="93"/>
      <c r="H779" s="1"/>
      <c r="I779" s="93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>
      <c r="C780" s="1"/>
      <c r="D780" s="93"/>
      <c r="E780" s="1"/>
      <c r="F780" s="1"/>
      <c r="G780" s="93"/>
      <c r="H780" s="1"/>
      <c r="I780" s="93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>
      <c r="C781" s="1"/>
      <c r="D781" s="93"/>
      <c r="E781" s="1"/>
      <c r="F781" s="1"/>
      <c r="G781" s="93"/>
      <c r="H781" s="1"/>
      <c r="I781" s="93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>
      <c r="C782" s="1"/>
      <c r="D782" s="93"/>
      <c r="E782" s="1"/>
      <c r="F782" s="1"/>
      <c r="G782" s="93"/>
      <c r="H782" s="1"/>
      <c r="I782" s="93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>
      <c r="C783" s="1"/>
      <c r="D783" s="93"/>
      <c r="E783" s="1"/>
      <c r="F783" s="1"/>
      <c r="G783" s="93"/>
      <c r="H783" s="1"/>
      <c r="I783" s="93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>
      <c r="C784" s="1"/>
      <c r="D784" s="93"/>
      <c r="E784" s="1"/>
      <c r="F784" s="1"/>
      <c r="G784" s="93"/>
      <c r="H784" s="1"/>
      <c r="I784" s="93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>
      <c r="C785" s="1"/>
      <c r="D785" s="93"/>
      <c r="E785" s="1"/>
      <c r="F785" s="1"/>
      <c r="G785" s="93"/>
      <c r="H785" s="1"/>
      <c r="I785" s="93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>
      <c r="C786" s="1"/>
      <c r="D786" s="93"/>
      <c r="E786" s="1"/>
      <c r="F786" s="1"/>
      <c r="G786" s="93"/>
      <c r="H786" s="1"/>
      <c r="I786" s="93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>
      <c r="C787" s="1"/>
      <c r="D787" s="93"/>
      <c r="E787" s="1"/>
      <c r="F787" s="1"/>
      <c r="G787" s="93"/>
      <c r="H787" s="1"/>
      <c r="I787" s="93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>
      <c r="C788" s="1"/>
      <c r="D788" s="93"/>
      <c r="E788" s="1"/>
      <c r="F788" s="1"/>
      <c r="G788" s="93"/>
      <c r="H788" s="1"/>
      <c r="I788" s="93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>
      <c r="C789" s="1"/>
      <c r="D789" s="93"/>
      <c r="E789" s="1"/>
      <c r="F789" s="1"/>
      <c r="G789" s="93"/>
      <c r="H789" s="1"/>
      <c r="I789" s="93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>
      <c r="C790" s="1"/>
      <c r="D790" s="93"/>
      <c r="E790" s="1"/>
      <c r="F790" s="1"/>
      <c r="G790" s="93"/>
      <c r="H790" s="1"/>
      <c r="I790" s="93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>
      <c r="C791" s="1"/>
      <c r="D791" s="93"/>
      <c r="E791" s="1"/>
      <c r="F791" s="1"/>
      <c r="G791" s="93"/>
      <c r="H791" s="1"/>
      <c r="I791" s="93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>
      <c r="C792" s="1"/>
      <c r="D792" s="93"/>
      <c r="E792" s="1"/>
      <c r="F792" s="1"/>
      <c r="G792" s="93"/>
      <c r="H792" s="1"/>
      <c r="I792" s="93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>
      <c r="C793" s="1"/>
      <c r="D793" s="93"/>
      <c r="E793" s="1"/>
      <c r="F793" s="1"/>
      <c r="G793" s="93"/>
      <c r="H793" s="1"/>
      <c r="I793" s="93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>
      <c r="C794" s="1"/>
      <c r="D794" s="93"/>
      <c r="E794" s="1"/>
      <c r="F794" s="1"/>
      <c r="G794" s="93"/>
      <c r="H794" s="1"/>
      <c r="I794" s="93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>
      <c r="C795" s="1"/>
      <c r="D795" s="93"/>
      <c r="E795" s="1"/>
      <c r="F795" s="1"/>
      <c r="G795" s="93"/>
      <c r="H795" s="1"/>
      <c r="I795" s="93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>
      <c r="C796" s="1"/>
      <c r="D796" s="93"/>
      <c r="E796" s="1"/>
      <c r="F796" s="1"/>
      <c r="G796" s="93"/>
      <c r="H796" s="1"/>
      <c r="I796" s="93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>
      <c r="C797" s="1"/>
      <c r="D797" s="93"/>
      <c r="E797" s="1"/>
      <c r="F797" s="1"/>
      <c r="G797" s="93"/>
      <c r="H797" s="1"/>
      <c r="I797" s="93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>
      <c r="C798" s="1"/>
      <c r="D798" s="93"/>
      <c r="E798" s="1"/>
      <c r="F798" s="1"/>
      <c r="G798" s="93"/>
      <c r="H798" s="1"/>
      <c r="I798" s="93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>
      <c r="C799" s="1"/>
      <c r="D799" s="93"/>
      <c r="E799" s="1"/>
      <c r="F799" s="1"/>
      <c r="G799" s="93"/>
      <c r="H799" s="1"/>
      <c r="I799" s="93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>
      <c r="C800" s="1"/>
      <c r="D800" s="93"/>
      <c r="E800" s="1"/>
      <c r="F800" s="1"/>
      <c r="G800" s="93"/>
      <c r="H800" s="1"/>
      <c r="I800" s="93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>
      <c r="C801" s="1"/>
      <c r="D801" s="93"/>
      <c r="E801" s="1"/>
      <c r="F801" s="1"/>
      <c r="G801" s="93"/>
      <c r="H801" s="1"/>
      <c r="I801" s="93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>
      <c r="C802" s="1"/>
      <c r="D802" s="93"/>
      <c r="E802" s="1"/>
      <c r="F802" s="1"/>
      <c r="G802" s="93"/>
      <c r="H802" s="1"/>
      <c r="I802" s="93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>
      <c r="C803" s="1"/>
      <c r="D803" s="93"/>
      <c r="E803" s="1"/>
      <c r="F803" s="1"/>
      <c r="G803" s="93"/>
      <c r="H803" s="1"/>
      <c r="I803" s="93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>
      <c r="C804" s="1"/>
      <c r="D804" s="93"/>
      <c r="E804" s="1"/>
      <c r="F804" s="1"/>
      <c r="G804" s="93"/>
      <c r="H804" s="1"/>
      <c r="I804" s="93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>
      <c r="C805" s="1"/>
      <c r="D805" s="93"/>
      <c r="E805" s="1"/>
      <c r="F805" s="1"/>
      <c r="G805" s="93"/>
      <c r="H805" s="1"/>
      <c r="I805" s="93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>
      <c r="C806" s="1"/>
      <c r="D806" s="93"/>
      <c r="E806" s="1"/>
      <c r="F806" s="1"/>
      <c r="G806" s="93"/>
      <c r="H806" s="1"/>
      <c r="I806" s="93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>
      <c r="C807" s="1"/>
      <c r="D807" s="93"/>
      <c r="E807" s="1"/>
      <c r="F807" s="1"/>
      <c r="G807" s="93"/>
      <c r="H807" s="1"/>
      <c r="I807" s="93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>
      <c r="C808" s="1"/>
      <c r="D808" s="93"/>
      <c r="E808" s="1"/>
      <c r="F808" s="1"/>
      <c r="G808" s="93"/>
      <c r="H808" s="1"/>
      <c r="I808" s="93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>
      <c r="C809" s="1"/>
      <c r="D809" s="93"/>
      <c r="E809" s="1"/>
      <c r="F809" s="1"/>
      <c r="G809" s="93"/>
      <c r="H809" s="1"/>
      <c r="I809" s="93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>
      <c r="C810" s="1"/>
      <c r="D810" s="93"/>
      <c r="E810" s="1"/>
      <c r="F810" s="1"/>
      <c r="G810" s="93"/>
      <c r="H810" s="1"/>
      <c r="I810" s="93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>
      <c r="C811" s="1"/>
      <c r="D811" s="93"/>
      <c r="E811" s="1"/>
      <c r="F811" s="1"/>
      <c r="G811" s="93"/>
      <c r="H811" s="1"/>
      <c r="I811" s="93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>
      <c r="C812" s="1"/>
      <c r="D812" s="93"/>
      <c r="E812" s="1"/>
      <c r="F812" s="1"/>
      <c r="G812" s="93"/>
      <c r="H812" s="1"/>
      <c r="I812" s="93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>
      <c r="C813" s="1"/>
      <c r="D813" s="93"/>
      <c r="E813" s="1"/>
      <c r="F813" s="1"/>
      <c r="G813" s="93"/>
      <c r="H813" s="1"/>
      <c r="I813" s="93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>
      <c r="C814" s="1"/>
      <c r="D814" s="93"/>
      <c r="E814" s="1"/>
      <c r="F814" s="1"/>
      <c r="G814" s="93"/>
      <c r="H814" s="1"/>
      <c r="I814" s="93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>
      <c r="C815" s="1"/>
      <c r="D815" s="93"/>
      <c r="E815" s="1"/>
      <c r="F815" s="1"/>
      <c r="G815" s="93"/>
      <c r="H815" s="1"/>
      <c r="I815" s="93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>
      <c r="C816" s="1"/>
      <c r="D816" s="93"/>
      <c r="E816" s="1"/>
      <c r="F816" s="1"/>
      <c r="G816" s="93"/>
      <c r="H816" s="1"/>
      <c r="I816" s="93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>
      <c r="C817" s="1"/>
      <c r="D817" s="93"/>
      <c r="E817" s="1"/>
      <c r="F817" s="1"/>
      <c r="G817" s="93"/>
      <c r="H817" s="1"/>
      <c r="I817" s="93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>
      <c r="C818" s="1"/>
      <c r="D818" s="93"/>
      <c r="E818" s="1"/>
      <c r="F818" s="1"/>
      <c r="G818" s="93"/>
      <c r="H818" s="1"/>
      <c r="I818" s="93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>
      <c r="C819" s="1"/>
      <c r="D819" s="93"/>
      <c r="E819" s="1"/>
      <c r="F819" s="1"/>
      <c r="G819" s="93"/>
      <c r="H819" s="1"/>
      <c r="I819" s="93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>
      <c r="C820" s="1"/>
      <c r="D820" s="93"/>
      <c r="E820" s="1"/>
      <c r="F820" s="1"/>
      <c r="G820" s="93"/>
      <c r="H820" s="1"/>
      <c r="I820" s="93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>
      <c r="C821" s="1"/>
      <c r="D821" s="93"/>
      <c r="E821" s="1"/>
      <c r="F821" s="1"/>
      <c r="G821" s="93"/>
      <c r="H821" s="1"/>
      <c r="I821" s="93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>
      <c r="C822" s="1"/>
      <c r="D822" s="93"/>
      <c r="E822" s="1"/>
      <c r="F822" s="1"/>
      <c r="G822" s="93"/>
      <c r="H822" s="1"/>
      <c r="I822" s="93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>
      <c r="C823" s="1"/>
      <c r="D823" s="93"/>
      <c r="E823" s="1"/>
      <c r="F823" s="1"/>
      <c r="G823" s="93"/>
      <c r="H823" s="1"/>
      <c r="I823" s="93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>
      <c r="C824" s="1"/>
      <c r="D824" s="93"/>
      <c r="E824" s="1"/>
      <c r="F824" s="1"/>
      <c r="G824" s="93"/>
      <c r="H824" s="1"/>
      <c r="I824" s="93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>
      <c r="C825" s="1"/>
      <c r="D825" s="93"/>
      <c r="E825" s="1"/>
      <c r="F825" s="1"/>
      <c r="G825" s="93"/>
      <c r="H825" s="1"/>
      <c r="I825" s="93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>
      <c r="C826" s="1"/>
      <c r="D826" s="93"/>
      <c r="E826" s="1"/>
      <c r="F826" s="1"/>
      <c r="G826" s="93"/>
      <c r="H826" s="1"/>
      <c r="I826" s="93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>
      <c r="C827" s="1"/>
      <c r="D827" s="93"/>
      <c r="E827" s="1"/>
      <c r="F827" s="1"/>
      <c r="G827" s="93"/>
      <c r="H827" s="1"/>
      <c r="I827" s="93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>
      <c r="C828" s="1"/>
      <c r="D828" s="93"/>
      <c r="E828" s="1"/>
      <c r="F828" s="1"/>
      <c r="G828" s="93"/>
      <c r="H828" s="1"/>
      <c r="I828" s="93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>
      <c r="C829" s="1"/>
      <c r="D829" s="93"/>
      <c r="E829" s="1"/>
      <c r="F829" s="1"/>
      <c r="G829" s="93"/>
      <c r="H829" s="1"/>
      <c r="I829" s="93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>
      <c r="C830" s="1"/>
      <c r="D830" s="93"/>
      <c r="E830" s="1"/>
      <c r="F830" s="1"/>
      <c r="G830" s="93"/>
      <c r="H830" s="1"/>
      <c r="I830" s="93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>
      <c r="C831" s="1"/>
      <c r="D831" s="93"/>
      <c r="E831" s="1"/>
      <c r="F831" s="1"/>
      <c r="G831" s="93"/>
      <c r="H831" s="1"/>
      <c r="I831" s="93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>
      <c r="C832" s="1"/>
      <c r="D832" s="93"/>
      <c r="E832" s="1"/>
      <c r="F832" s="1"/>
      <c r="G832" s="93"/>
      <c r="H832" s="1"/>
      <c r="I832" s="93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>
      <c r="C833" s="1"/>
      <c r="D833" s="93"/>
      <c r="E833" s="1"/>
      <c r="F833" s="1"/>
      <c r="G833" s="93"/>
      <c r="H833" s="1"/>
      <c r="I833" s="93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>
      <c r="C834" s="1"/>
      <c r="D834" s="93"/>
      <c r="E834" s="1"/>
      <c r="F834" s="1"/>
      <c r="G834" s="93"/>
      <c r="H834" s="1"/>
      <c r="I834" s="93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>
      <c r="C835" s="1"/>
      <c r="D835" s="93"/>
      <c r="E835" s="1"/>
      <c r="F835" s="1"/>
      <c r="G835" s="93"/>
      <c r="H835" s="1"/>
      <c r="I835" s="93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>
      <c r="C836" s="1"/>
      <c r="D836" s="93"/>
      <c r="E836" s="1"/>
      <c r="F836" s="1"/>
      <c r="G836" s="93"/>
      <c r="H836" s="1"/>
      <c r="I836" s="93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>
      <c r="C837" s="1"/>
      <c r="D837" s="93"/>
      <c r="E837" s="1"/>
      <c r="F837" s="1"/>
      <c r="G837" s="93"/>
      <c r="H837" s="1"/>
      <c r="I837" s="93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>
      <c r="C838" s="1"/>
      <c r="D838" s="93"/>
      <c r="E838" s="1"/>
      <c r="F838" s="1"/>
      <c r="G838" s="93"/>
      <c r="H838" s="1"/>
      <c r="I838" s="93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>
      <c r="C839" s="1"/>
      <c r="D839" s="93"/>
      <c r="E839" s="1"/>
      <c r="F839" s="1"/>
      <c r="G839" s="93"/>
      <c r="H839" s="1"/>
      <c r="I839" s="93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>
      <c r="C840" s="1"/>
      <c r="D840" s="93"/>
      <c r="E840" s="1"/>
      <c r="F840" s="1"/>
      <c r="G840" s="93"/>
      <c r="H840" s="1"/>
      <c r="I840" s="93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>
      <c r="C841" s="1"/>
      <c r="D841" s="93"/>
      <c r="E841" s="1"/>
      <c r="F841" s="1"/>
      <c r="G841" s="93"/>
      <c r="H841" s="1"/>
      <c r="I841" s="93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>
      <c r="C842" s="1"/>
      <c r="D842" s="93"/>
      <c r="E842" s="1"/>
      <c r="F842" s="1"/>
      <c r="G842" s="93"/>
      <c r="H842" s="1"/>
      <c r="I842" s="93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>
      <c r="C843" s="1"/>
      <c r="D843" s="93"/>
      <c r="E843" s="1"/>
      <c r="F843" s="1"/>
      <c r="G843" s="93"/>
      <c r="H843" s="1"/>
      <c r="I843" s="93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>
      <c r="C844" s="1"/>
      <c r="D844" s="93"/>
      <c r="E844" s="1"/>
      <c r="F844" s="1"/>
      <c r="G844" s="93"/>
      <c r="H844" s="1"/>
      <c r="I844" s="93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>
      <c r="C845" s="1"/>
      <c r="D845" s="93"/>
      <c r="E845" s="1"/>
      <c r="F845" s="1"/>
      <c r="G845" s="93"/>
      <c r="H845" s="1"/>
      <c r="I845" s="93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>
      <c r="C846" s="1"/>
      <c r="D846" s="93"/>
      <c r="E846" s="1"/>
      <c r="F846" s="1"/>
      <c r="G846" s="93"/>
      <c r="H846" s="1"/>
      <c r="I846" s="93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>
      <c r="C847" s="1"/>
      <c r="D847" s="93"/>
      <c r="E847" s="1"/>
      <c r="F847" s="1"/>
      <c r="G847" s="93"/>
      <c r="H847" s="1"/>
      <c r="I847" s="93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>
      <c r="C848" s="1"/>
      <c r="D848" s="93"/>
      <c r="E848" s="1"/>
      <c r="F848" s="1"/>
      <c r="G848" s="93"/>
      <c r="H848" s="1"/>
      <c r="I848" s="93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>
      <c r="C849" s="1"/>
      <c r="D849" s="93"/>
      <c r="E849" s="1"/>
      <c r="F849" s="1"/>
      <c r="G849" s="93"/>
      <c r="H849" s="1"/>
      <c r="I849" s="93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>
      <c r="C850" s="1"/>
      <c r="D850" s="93"/>
      <c r="E850" s="1"/>
      <c r="F850" s="1"/>
      <c r="G850" s="93"/>
      <c r="H850" s="1"/>
      <c r="I850" s="93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>
      <c r="C851" s="1"/>
      <c r="D851" s="93"/>
      <c r="E851" s="1"/>
      <c r="F851" s="1"/>
      <c r="G851" s="93"/>
      <c r="H851" s="1"/>
      <c r="I851" s="93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>
      <c r="C852" s="1"/>
      <c r="D852" s="93"/>
      <c r="E852" s="1"/>
      <c r="F852" s="1"/>
      <c r="G852" s="93"/>
      <c r="H852" s="1"/>
      <c r="I852" s="93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>
      <c r="C853" s="1"/>
      <c r="D853" s="93"/>
      <c r="E853" s="1"/>
      <c r="F853" s="1"/>
      <c r="G853" s="93"/>
      <c r="H853" s="1"/>
      <c r="I853" s="93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>
      <c r="C854" s="1"/>
      <c r="D854" s="93"/>
      <c r="E854" s="1"/>
      <c r="F854" s="1"/>
      <c r="G854" s="93"/>
      <c r="H854" s="1"/>
      <c r="I854" s="93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>
      <c r="C855" s="1"/>
      <c r="D855" s="93"/>
      <c r="E855" s="1"/>
      <c r="F855" s="1"/>
      <c r="G855" s="93"/>
      <c r="H855" s="1"/>
      <c r="I855" s="93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>
      <c r="C856" s="1"/>
      <c r="D856" s="93"/>
      <c r="E856" s="1"/>
      <c r="F856" s="1"/>
      <c r="G856" s="93"/>
      <c r="H856" s="1"/>
      <c r="I856" s="93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>
      <c r="C857" s="1"/>
      <c r="D857" s="93"/>
      <c r="E857" s="1"/>
      <c r="F857" s="1"/>
      <c r="G857" s="93"/>
      <c r="H857" s="1"/>
      <c r="I857" s="93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>
      <c r="C858" s="1"/>
      <c r="D858" s="93"/>
      <c r="E858" s="1"/>
      <c r="F858" s="1"/>
      <c r="G858" s="93"/>
      <c r="H858" s="1"/>
      <c r="I858" s="93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>
      <c r="C859" s="1"/>
      <c r="D859" s="93"/>
      <c r="E859" s="1"/>
      <c r="F859" s="1"/>
      <c r="G859" s="93"/>
      <c r="H859" s="1"/>
      <c r="I859" s="93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>
      <c r="C860" s="1"/>
      <c r="D860" s="93"/>
      <c r="E860" s="1"/>
      <c r="F860" s="1"/>
      <c r="G860" s="93"/>
      <c r="H860" s="1"/>
      <c r="I860" s="93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>
      <c r="C861" s="1"/>
      <c r="D861" s="93"/>
      <c r="E861" s="1"/>
      <c r="F861" s="1"/>
      <c r="G861" s="93"/>
      <c r="H861" s="1"/>
      <c r="I861" s="93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>
      <c r="C862" s="1"/>
      <c r="D862" s="93"/>
      <c r="E862" s="1"/>
      <c r="F862" s="1"/>
      <c r="G862" s="93"/>
      <c r="H862" s="1"/>
      <c r="I862" s="93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>
      <c r="C863" s="1"/>
      <c r="D863" s="93"/>
      <c r="E863" s="1"/>
      <c r="F863" s="1"/>
      <c r="G863" s="93"/>
      <c r="H863" s="1"/>
      <c r="I863" s="93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>
      <c r="C864" s="1"/>
      <c r="D864" s="93"/>
      <c r="E864" s="1"/>
      <c r="F864" s="1"/>
      <c r="G864" s="93"/>
      <c r="H864" s="1"/>
      <c r="I864" s="93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>
      <c r="C865" s="1"/>
      <c r="D865" s="93"/>
      <c r="E865" s="1"/>
      <c r="F865" s="1"/>
      <c r="G865" s="93"/>
      <c r="H865" s="1"/>
      <c r="I865" s="93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>
      <c r="C866" s="1"/>
      <c r="D866" s="93"/>
      <c r="E866" s="1"/>
      <c r="F866" s="1"/>
      <c r="G866" s="93"/>
      <c r="H866" s="1"/>
      <c r="I866" s="93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>
      <c r="C867" s="1"/>
      <c r="D867" s="93"/>
      <c r="E867" s="1"/>
      <c r="F867" s="1"/>
      <c r="G867" s="93"/>
      <c r="H867" s="1"/>
      <c r="I867" s="93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>
      <c r="C868" s="1"/>
      <c r="D868" s="93"/>
      <c r="E868" s="1"/>
      <c r="F868" s="1"/>
      <c r="G868" s="93"/>
      <c r="H868" s="1"/>
      <c r="I868" s="93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>
      <c r="C869" s="1"/>
      <c r="D869" s="93"/>
      <c r="E869" s="1"/>
      <c r="F869" s="1"/>
      <c r="G869" s="93"/>
      <c r="H869" s="1"/>
      <c r="I869" s="93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>
      <c r="C870" s="1"/>
      <c r="D870" s="93"/>
      <c r="E870" s="1"/>
      <c r="F870" s="1"/>
      <c r="G870" s="93"/>
      <c r="H870" s="1"/>
      <c r="I870" s="93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>
      <c r="C871" s="1"/>
      <c r="D871" s="93"/>
      <c r="E871" s="1"/>
      <c r="F871" s="1"/>
      <c r="G871" s="93"/>
      <c r="H871" s="1"/>
      <c r="I871" s="93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>
      <c r="C872" s="1"/>
      <c r="D872" s="93"/>
      <c r="E872" s="1"/>
      <c r="F872" s="1"/>
      <c r="G872" s="93"/>
      <c r="H872" s="1"/>
      <c r="I872" s="93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>
      <c r="C873" s="1"/>
      <c r="D873" s="93"/>
      <c r="E873" s="1"/>
      <c r="F873" s="1"/>
      <c r="G873" s="93"/>
      <c r="H873" s="1"/>
      <c r="I873" s="93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>
      <c r="C874" s="1"/>
      <c r="D874" s="93"/>
      <c r="E874" s="1"/>
      <c r="F874" s="1"/>
      <c r="G874" s="93"/>
      <c r="H874" s="1"/>
      <c r="I874" s="93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>
      <c r="C875" s="1"/>
      <c r="D875" s="93"/>
      <c r="E875" s="1"/>
      <c r="F875" s="1"/>
      <c r="G875" s="93"/>
      <c r="H875" s="1"/>
      <c r="I875" s="93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>
      <c r="C876" s="1"/>
      <c r="D876" s="93"/>
      <c r="E876" s="1"/>
      <c r="F876" s="1"/>
      <c r="G876" s="93"/>
      <c r="H876" s="1"/>
      <c r="I876" s="93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>
      <c r="C877" s="1"/>
      <c r="D877" s="93"/>
      <c r="E877" s="1"/>
      <c r="F877" s="1"/>
      <c r="G877" s="93"/>
      <c r="H877" s="1"/>
      <c r="I877" s="93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>
      <c r="C878" s="1"/>
      <c r="D878" s="93"/>
      <c r="E878" s="1"/>
      <c r="F878" s="1"/>
      <c r="G878" s="93"/>
      <c r="H878" s="1"/>
      <c r="I878" s="93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>
      <c r="C879" s="1"/>
      <c r="D879" s="93"/>
      <c r="E879" s="1"/>
      <c r="F879" s="1"/>
      <c r="G879" s="93"/>
      <c r="H879" s="1"/>
      <c r="I879" s="93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>
      <c r="C880" s="1"/>
      <c r="D880" s="93"/>
      <c r="E880" s="1"/>
      <c r="F880" s="1"/>
      <c r="G880" s="93"/>
      <c r="H880" s="1"/>
      <c r="I880" s="93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>
      <c r="C881" s="1"/>
      <c r="D881" s="93"/>
      <c r="E881" s="1"/>
      <c r="F881" s="1"/>
      <c r="G881" s="93"/>
      <c r="H881" s="1"/>
      <c r="I881" s="93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>
      <c r="C882" s="1"/>
      <c r="D882" s="93"/>
      <c r="E882" s="1"/>
      <c r="F882" s="1"/>
      <c r="G882" s="93"/>
      <c r="H882" s="1"/>
      <c r="I882" s="93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>
      <c r="C883" s="1"/>
      <c r="D883" s="93"/>
      <c r="E883" s="1"/>
      <c r="F883" s="1"/>
      <c r="G883" s="93"/>
      <c r="H883" s="1"/>
      <c r="I883" s="93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>
      <c r="C884" s="1"/>
      <c r="D884" s="93"/>
      <c r="E884" s="1"/>
      <c r="F884" s="1"/>
      <c r="G884" s="93"/>
      <c r="H884" s="1"/>
      <c r="I884" s="93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>
      <c r="C885" s="1"/>
      <c r="D885" s="93"/>
      <c r="E885" s="1"/>
      <c r="F885" s="1"/>
      <c r="G885" s="93"/>
      <c r="H885" s="1"/>
      <c r="I885" s="93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>
      <c r="C886" s="1"/>
      <c r="D886" s="93"/>
      <c r="E886" s="1"/>
      <c r="F886" s="1"/>
      <c r="G886" s="93"/>
      <c r="H886" s="1"/>
      <c r="I886" s="93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>
      <c r="C887" s="1"/>
      <c r="D887" s="93"/>
      <c r="E887" s="1"/>
      <c r="F887" s="1"/>
      <c r="G887" s="93"/>
      <c r="H887" s="1"/>
      <c r="I887" s="93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>
      <c r="C888" s="1"/>
      <c r="D888" s="93"/>
      <c r="E888" s="1"/>
      <c r="F888" s="1"/>
      <c r="G888" s="93"/>
      <c r="H888" s="1"/>
      <c r="I888" s="93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>
      <c r="C889" s="1"/>
      <c r="D889" s="93"/>
      <c r="E889" s="1"/>
      <c r="F889" s="1"/>
      <c r="G889" s="93"/>
      <c r="H889" s="1"/>
      <c r="I889" s="93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>
      <c r="C890" s="1"/>
      <c r="D890" s="93"/>
      <c r="E890" s="1"/>
      <c r="F890" s="1"/>
      <c r="G890" s="93"/>
      <c r="H890" s="1"/>
      <c r="I890" s="93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>
      <c r="C891" s="1"/>
      <c r="D891" s="93"/>
      <c r="E891" s="1"/>
      <c r="F891" s="1"/>
      <c r="G891" s="93"/>
      <c r="H891" s="1"/>
      <c r="I891" s="93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>
      <c r="C892" s="1"/>
      <c r="D892" s="93"/>
      <c r="E892" s="1"/>
      <c r="F892" s="1"/>
      <c r="G892" s="93"/>
      <c r="H892" s="1"/>
      <c r="I892" s="93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>
      <c r="C893" s="1"/>
      <c r="D893" s="93"/>
      <c r="E893" s="1"/>
      <c r="F893" s="1"/>
      <c r="G893" s="93"/>
      <c r="H893" s="1"/>
      <c r="I893" s="93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>
      <c r="C894" s="1"/>
      <c r="D894" s="93"/>
      <c r="E894" s="1"/>
      <c r="F894" s="1"/>
      <c r="G894" s="93"/>
      <c r="H894" s="1"/>
      <c r="I894" s="93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>
      <c r="C895" s="1"/>
      <c r="D895" s="93"/>
      <c r="E895" s="1"/>
      <c r="F895" s="1"/>
      <c r="G895" s="93"/>
      <c r="H895" s="1"/>
      <c r="I895" s="93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>
      <c r="C896" s="1"/>
      <c r="D896" s="93"/>
      <c r="E896" s="1"/>
      <c r="F896" s="1"/>
      <c r="G896" s="93"/>
      <c r="H896" s="1"/>
      <c r="I896" s="93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>
      <c r="C897" s="1"/>
      <c r="D897" s="93"/>
      <c r="E897" s="1"/>
      <c r="F897" s="1"/>
      <c r="G897" s="93"/>
      <c r="H897" s="1"/>
      <c r="I897" s="93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>
      <c r="C898" s="1"/>
      <c r="D898" s="93"/>
      <c r="E898" s="1"/>
      <c r="F898" s="1"/>
      <c r="G898" s="93"/>
      <c r="H898" s="1"/>
      <c r="I898" s="93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>
      <c r="C899" s="1"/>
      <c r="D899" s="93"/>
      <c r="E899" s="1"/>
      <c r="F899" s="1"/>
      <c r="G899" s="93"/>
      <c r="H899" s="1"/>
      <c r="I899" s="93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>
      <c r="C900" s="1"/>
      <c r="D900" s="93"/>
      <c r="E900" s="1"/>
      <c r="F900" s="1"/>
      <c r="G900" s="93"/>
      <c r="H900" s="1"/>
      <c r="I900" s="93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>
      <c r="C901" s="1"/>
      <c r="D901" s="93"/>
      <c r="E901" s="1"/>
      <c r="F901" s="1"/>
      <c r="G901" s="93"/>
      <c r="H901" s="1"/>
      <c r="I901" s="93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>
      <c r="C902" s="1"/>
      <c r="D902" s="93"/>
      <c r="E902" s="1"/>
      <c r="F902" s="1"/>
      <c r="G902" s="93"/>
      <c r="H902" s="1"/>
      <c r="I902" s="93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>
      <c r="C903" s="1"/>
      <c r="D903" s="93"/>
      <c r="E903" s="1"/>
      <c r="F903" s="1"/>
      <c r="G903" s="93"/>
      <c r="H903" s="1"/>
      <c r="I903" s="93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>
      <c r="C904" s="1"/>
      <c r="D904" s="93"/>
      <c r="E904" s="1"/>
      <c r="F904" s="1"/>
      <c r="G904" s="93"/>
      <c r="H904" s="1"/>
      <c r="I904" s="93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>
      <c r="C905" s="1"/>
      <c r="D905" s="93"/>
      <c r="E905" s="1"/>
      <c r="F905" s="1"/>
      <c r="G905" s="93"/>
      <c r="H905" s="1"/>
      <c r="I905" s="93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>
      <c r="C906" s="1"/>
      <c r="D906" s="93"/>
      <c r="E906" s="1"/>
      <c r="F906" s="1"/>
      <c r="G906" s="93"/>
      <c r="H906" s="1"/>
      <c r="I906" s="93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>
      <c r="C907" s="1"/>
      <c r="D907" s="93"/>
      <c r="E907" s="1"/>
      <c r="F907" s="1"/>
      <c r="G907" s="93"/>
      <c r="H907" s="1"/>
      <c r="I907" s="93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>
      <c r="C908" s="1"/>
      <c r="D908" s="93"/>
      <c r="E908" s="1"/>
      <c r="F908" s="1"/>
      <c r="G908" s="93"/>
      <c r="H908" s="1"/>
      <c r="I908" s="93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>
      <c r="C909" s="1"/>
      <c r="D909" s="93"/>
      <c r="E909" s="1"/>
      <c r="F909" s="1"/>
      <c r="G909" s="93"/>
      <c r="H909" s="1"/>
      <c r="I909" s="93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>
      <c r="C910" s="1"/>
      <c r="D910" s="93"/>
      <c r="E910" s="1"/>
      <c r="F910" s="1"/>
      <c r="G910" s="93"/>
      <c r="H910" s="1"/>
      <c r="I910" s="93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>
      <c r="C911" s="1"/>
      <c r="D911" s="93"/>
      <c r="E911" s="1"/>
      <c r="F911" s="1"/>
      <c r="G911" s="93"/>
      <c r="H911" s="1"/>
      <c r="I911" s="93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>
      <c r="C912" s="1"/>
      <c r="D912" s="93"/>
      <c r="E912" s="1"/>
      <c r="F912" s="1"/>
      <c r="G912" s="93"/>
      <c r="H912" s="1"/>
      <c r="I912" s="93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>
      <c r="C913" s="1"/>
      <c r="D913" s="93"/>
      <c r="E913" s="1"/>
      <c r="F913" s="1"/>
      <c r="G913" s="93"/>
      <c r="H913" s="1"/>
      <c r="I913" s="93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>
      <c r="C914" s="1"/>
      <c r="D914" s="93"/>
      <c r="E914" s="1"/>
      <c r="F914" s="1"/>
      <c r="G914" s="93"/>
      <c r="H914" s="1"/>
      <c r="I914" s="93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>
      <c r="C915" s="1"/>
      <c r="D915" s="93"/>
      <c r="E915" s="1"/>
      <c r="F915" s="1"/>
      <c r="G915" s="93"/>
      <c r="H915" s="1"/>
      <c r="I915" s="93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>
      <c r="C916" s="1"/>
      <c r="D916" s="93"/>
      <c r="E916" s="1"/>
      <c r="F916" s="1"/>
      <c r="G916" s="93"/>
      <c r="H916" s="1"/>
      <c r="I916" s="93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>
      <c r="C917" s="1"/>
      <c r="D917" s="93"/>
      <c r="E917" s="1"/>
      <c r="F917" s="1"/>
      <c r="G917" s="93"/>
      <c r="H917" s="1"/>
      <c r="I917" s="93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>
      <c r="C918" s="1"/>
      <c r="D918" s="93"/>
      <c r="E918" s="1"/>
      <c r="F918" s="1"/>
      <c r="G918" s="93"/>
      <c r="H918" s="1"/>
      <c r="I918" s="93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>
      <c r="C919" s="1"/>
      <c r="D919" s="93"/>
      <c r="E919" s="1"/>
      <c r="F919" s="1"/>
      <c r="G919" s="93"/>
      <c r="H919" s="1"/>
      <c r="I919" s="93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>
      <c r="C920" s="1"/>
      <c r="D920" s="93"/>
      <c r="E920" s="1"/>
      <c r="F920" s="1"/>
      <c r="G920" s="93"/>
      <c r="H920" s="1"/>
      <c r="I920" s="93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>
      <c r="C921" s="1"/>
      <c r="D921" s="93"/>
      <c r="E921" s="1"/>
      <c r="F921" s="1"/>
      <c r="G921" s="93"/>
      <c r="H921" s="1"/>
      <c r="I921" s="93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>
      <c r="C922" s="1"/>
      <c r="D922" s="93"/>
      <c r="E922" s="1"/>
      <c r="F922" s="1"/>
      <c r="G922" s="93"/>
      <c r="H922" s="1"/>
      <c r="I922" s="93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>
      <c r="C923" s="1"/>
      <c r="D923" s="93"/>
      <c r="E923" s="1"/>
      <c r="F923" s="1"/>
      <c r="G923" s="93"/>
      <c r="H923" s="1"/>
      <c r="I923" s="93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>
      <c r="C924" s="1"/>
      <c r="D924" s="93"/>
      <c r="E924" s="1"/>
      <c r="F924" s="1"/>
      <c r="G924" s="93"/>
      <c r="H924" s="1"/>
      <c r="I924" s="93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>
      <c r="C925" s="1"/>
      <c r="D925" s="93"/>
      <c r="E925" s="1"/>
      <c r="F925" s="1"/>
      <c r="G925" s="93"/>
      <c r="H925" s="1"/>
      <c r="I925" s="93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>
      <c r="C926" s="1"/>
      <c r="D926" s="93"/>
      <c r="E926" s="1"/>
      <c r="F926" s="1"/>
      <c r="G926" s="93"/>
      <c r="H926" s="1"/>
      <c r="I926" s="93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>
      <c r="C927" s="1"/>
      <c r="D927" s="93"/>
      <c r="E927" s="1"/>
      <c r="F927" s="1"/>
      <c r="G927" s="93"/>
      <c r="H927" s="1"/>
      <c r="I927" s="93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>
      <c r="C928" s="1"/>
      <c r="D928" s="93"/>
      <c r="E928" s="1"/>
      <c r="F928" s="1"/>
      <c r="G928" s="93"/>
      <c r="H928" s="1"/>
      <c r="I928" s="93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>
      <c r="C929" s="1"/>
      <c r="D929" s="93"/>
      <c r="E929" s="1"/>
      <c r="F929" s="1"/>
      <c r="G929" s="93"/>
      <c r="H929" s="1"/>
      <c r="I929" s="93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>
      <c r="C930" s="1"/>
      <c r="D930" s="93"/>
      <c r="E930" s="1"/>
      <c r="F930" s="1"/>
      <c r="G930" s="93"/>
      <c r="H930" s="1"/>
      <c r="I930" s="93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>
      <c r="C931" s="1"/>
      <c r="D931" s="93"/>
      <c r="E931" s="1"/>
      <c r="F931" s="1"/>
      <c r="G931" s="93"/>
      <c r="H931" s="1"/>
      <c r="I931" s="93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>
      <c r="C932" s="1"/>
      <c r="D932" s="93"/>
      <c r="E932" s="1"/>
      <c r="F932" s="1"/>
      <c r="G932" s="93"/>
      <c r="H932" s="1"/>
      <c r="I932" s="93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>
      <c r="C933" s="1"/>
      <c r="D933" s="93"/>
      <c r="E933" s="1"/>
      <c r="F933" s="1"/>
      <c r="G933" s="93"/>
      <c r="H933" s="1"/>
      <c r="I933" s="93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>
      <c r="C934" s="1"/>
      <c r="D934" s="93"/>
      <c r="E934" s="1"/>
      <c r="F934" s="1"/>
      <c r="G934" s="93"/>
      <c r="H934" s="1"/>
      <c r="I934" s="93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>
      <c r="C935" s="1"/>
      <c r="D935" s="93"/>
      <c r="E935" s="1"/>
      <c r="F935" s="1"/>
      <c r="G935" s="93"/>
      <c r="H935" s="1"/>
      <c r="I935" s="93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>
      <c r="C936" s="1"/>
      <c r="D936" s="93"/>
      <c r="E936" s="1"/>
      <c r="F936" s="1"/>
      <c r="G936" s="93"/>
      <c r="H936" s="1"/>
      <c r="I936" s="93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>
      <c r="C937" s="1"/>
      <c r="D937" s="93"/>
      <c r="E937" s="1"/>
      <c r="F937" s="1"/>
      <c r="G937" s="93"/>
      <c r="H937" s="1"/>
      <c r="I937" s="93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>
      <c r="C938" s="1"/>
      <c r="D938" s="93"/>
      <c r="E938" s="1"/>
      <c r="F938" s="1"/>
      <c r="G938" s="93"/>
      <c r="H938" s="1"/>
      <c r="I938" s="93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>
      <c r="C939" s="1"/>
      <c r="D939" s="93"/>
      <c r="E939" s="1"/>
      <c r="F939" s="1"/>
      <c r="G939" s="93"/>
      <c r="H939" s="1"/>
      <c r="I939" s="93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>
      <c r="C940" s="1"/>
      <c r="D940" s="93"/>
      <c r="E940" s="1"/>
      <c r="F940" s="1"/>
      <c r="G940" s="93"/>
      <c r="H940" s="1"/>
      <c r="I940" s="93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>
      <c r="C941" s="1"/>
      <c r="D941" s="93"/>
      <c r="E941" s="1"/>
      <c r="F941" s="1"/>
      <c r="G941" s="93"/>
      <c r="H941" s="1"/>
      <c r="I941" s="93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>
      <c r="C942" s="1"/>
      <c r="D942" s="93"/>
      <c r="E942" s="1"/>
      <c r="F942" s="1"/>
      <c r="G942" s="93"/>
      <c r="H942" s="1"/>
      <c r="I942" s="93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>
      <c r="C943" s="1"/>
      <c r="D943" s="93"/>
      <c r="E943" s="1"/>
      <c r="F943" s="1"/>
      <c r="G943" s="93"/>
      <c r="H943" s="1"/>
      <c r="I943" s="93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>
      <c r="C944" s="1"/>
      <c r="D944" s="93"/>
      <c r="E944" s="1"/>
      <c r="F944" s="1"/>
      <c r="G944" s="93"/>
      <c r="H944" s="1"/>
      <c r="I944" s="93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>
      <c r="C945" s="1"/>
      <c r="D945" s="93"/>
      <c r="E945" s="1"/>
      <c r="F945" s="1"/>
      <c r="G945" s="93"/>
      <c r="H945" s="1"/>
      <c r="I945" s="93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>
      <c r="C946" s="1"/>
      <c r="D946" s="93"/>
      <c r="E946" s="1"/>
      <c r="F946" s="1"/>
      <c r="G946" s="93"/>
      <c r="H946" s="1"/>
      <c r="I946" s="93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>
      <c r="C947" s="1"/>
      <c r="D947" s="93"/>
      <c r="E947" s="1"/>
      <c r="F947" s="1"/>
      <c r="G947" s="93"/>
      <c r="H947" s="1"/>
      <c r="I947" s="93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>
      <c r="C948" s="1"/>
      <c r="D948" s="93"/>
      <c r="E948" s="1"/>
      <c r="F948" s="1"/>
      <c r="G948" s="93"/>
      <c r="H948" s="1"/>
      <c r="I948" s="93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>
      <c r="C949" s="1"/>
      <c r="D949" s="93"/>
      <c r="E949" s="1"/>
      <c r="F949" s="1"/>
      <c r="G949" s="93"/>
      <c r="H949" s="1"/>
      <c r="I949" s="93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>
      <c r="C950" s="1"/>
      <c r="D950" s="93"/>
      <c r="E950" s="1"/>
      <c r="F950" s="1"/>
      <c r="G950" s="93"/>
      <c r="H950" s="1"/>
      <c r="I950" s="93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>
      <c r="C951" s="1"/>
      <c r="D951" s="93"/>
      <c r="E951" s="1"/>
      <c r="F951" s="1"/>
      <c r="G951" s="93"/>
      <c r="H951" s="1"/>
      <c r="I951" s="93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>
      <c r="C952" s="1"/>
      <c r="D952" s="93"/>
      <c r="E952" s="1"/>
      <c r="F952" s="1"/>
      <c r="G952" s="93"/>
      <c r="H952" s="1"/>
      <c r="I952" s="93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>
      <c r="C953" s="1"/>
      <c r="D953" s="93"/>
      <c r="E953" s="1"/>
      <c r="F953" s="1"/>
      <c r="G953" s="93"/>
      <c r="H953" s="1"/>
      <c r="I953" s="93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>
      <c r="C954" s="1"/>
      <c r="D954" s="93"/>
      <c r="E954" s="1"/>
      <c r="F954" s="1"/>
      <c r="G954" s="93"/>
      <c r="H954" s="1"/>
      <c r="I954" s="93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>
      <c r="C955" s="1"/>
      <c r="D955" s="93"/>
      <c r="E955" s="1"/>
      <c r="F955" s="1"/>
      <c r="G955" s="93"/>
      <c r="H955" s="1"/>
      <c r="I955" s="93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>
      <c r="C956" s="1"/>
      <c r="D956" s="93"/>
      <c r="E956" s="1"/>
      <c r="F956" s="1"/>
      <c r="G956" s="93"/>
      <c r="H956" s="1"/>
      <c r="I956" s="93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>
      <c r="C957" s="1"/>
      <c r="D957" s="93"/>
      <c r="E957" s="1"/>
      <c r="F957" s="1"/>
      <c r="G957" s="93"/>
      <c r="H957" s="1"/>
      <c r="I957" s="93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>
      <c r="C958" s="1"/>
      <c r="D958" s="93"/>
      <c r="E958" s="1"/>
      <c r="F958" s="1"/>
      <c r="G958" s="93"/>
      <c r="H958" s="1"/>
      <c r="I958" s="93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>
      <c r="C959" s="1"/>
      <c r="D959" s="93"/>
      <c r="E959" s="1"/>
      <c r="F959" s="1"/>
      <c r="G959" s="93"/>
      <c r="H959" s="1"/>
      <c r="I959" s="93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>
      <c r="C960" s="1"/>
      <c r="D960" s="93"/>
      <c r="E960" s="1"/>
      <c r="F960" s="1"/>
      <c r="G960" s="93"/>
      <c r="H960" s="1"/>
      <c r="I960" s="93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>
      <c r="C961" s="1"/>
      <c r="D961" s="93"/>
      <c r="E961" s="1"/>
      <c r="F961" s="1"/>
      <c r="G961" s="93"/>
      <c r="H961" s="1"/>
      <c r="I961" s="93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>
      <c r="C962" s="1"/>
      <c r="D962" s="93"/>
      <c r="E962" s="1"/>
      <c r="F962" s="1"/>
      <c r="G962" s="93"/>
      <c r="H962" s="1"/>
      <c r="I962" s="93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>
      <c r="C963" s="1"/>
      <c r="D963" s="93"/>
      <c r="E963" s="1"/>
      <c r="F963" s="1"/>
      <c r="G963" s="93"/>
      <c r="H963" s="1"/>
      <c r="I963" s="93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>
      <c r="C964" s="1"/>
      <c r="D964" s="93"/>
      <c r="E964" s="1"/>
      <c r="F964" s="1"/>
      <c r="G964" s="93"/>
      <c r="H964" s="1"/>
      <c r="I964" s="93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>
      <c r="C965" s="1"/>
      <c r="D965" s="93"/>
      <c r="E965" s="1"/>
      <c r="F965" s="1"/>
      <c r="G965" s="93"/>
      <c r="H965" s="1"/>
      <c r="I965" s="93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>
      <c r="C966" s="1"/>
      <c r="D966" s="93"/>
      <c r="E966" s="1"/>
      <c r="F966" s="1"/>
      <c r="G966" s="93"/>
      <c r="H966" s="1"/>
      <c r="I966" s="93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>
      <c r="C967" s="1"/>
      <c r="D967" s="93"/>
      <c r="E967" s="1"/>
      <c r="F967" s="1"/>
      <c r="G967" s="93"/>
      <c r="H967" s="1"/>
      <c r="I967" s="93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>
      <c r="C968" s="1"/>
      <c r="D968" s="93"/>
      <c r="E968" s="1"/>
      <c r="F968" s="1"/>
      <c r="G968" s="93"/>
      <c r="H968" s="1"/>
      <c r="I968" s="93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>
      <c r="C969" s="1"/>
      <c r="D969" s="93"/>
      <c r="E969" s="1"/>
      <c r="F969" s="1"/>
      <c r="G969" s="93"/>
      <c r="H969" s="1"/>
      <c r="I969" s="93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>
      <c r="C970" s="1"/>
      <c r="D970" s="93"/>
      <c r="E970" s="1"/>
      <c r="F970" s="1"/>
      <c r="G970" s="93"/>
      <c r="H970" s="1"/>
      <c r="I970" s="93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>
      <c r="C971" s="1"/>
      <c r="D971" s="93"/>
      <c r="E971" s="1"/>
      <c r="F971" s="1"/>
      <c r="G971" s="93"/>
      <c r="H971" s="1"/>
      <c r="I971" s="93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>
      <c r="C972" s="1"/>
      <c r="D972" s="93"/>
      <c r="E972" s="1"/>
      <c r="F972" s="1"/>
      <c r="G972" s="93"/>
      <c r="H972" s="1"/>
      <c r="I972" s="93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>
      <c r="C973" s="1"/>
      <c r="D973" s="93"/>
      <c r="E973" s="1"/>
      <c r="F973" s="1"/>
      <c r="G973" s="93"/>
      <c r="H973" s="1"/>
      <c r="I973" s="93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>
      <c r="C974" s="1"/>
      <c r="D974" s="93"/>
      <c r="E974" s="1"/>
      <c r="F974" s="1"/>
      <c r="G974" s="93"/>
      <c r="H974" s="1"/>
      <c r="I974" s="93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>
      <c r="C975" s="1"/>
      <c r="D975" s="93"/>
      <c r="E975" s="1"/>
      <c r="F975" s="1"/>
      <c r="G975" s="93"/>
      <c r="H975" s="1"/>
      <c r="I975" s="93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>
      <c r="D976" s="93"/>
      <c r="G976" s="93"/>
      <c r="I976" s="93"/>
    </row>
    <row r="977">
      <c r="D977" s="93"/>
      <c r="G977" s="93"/>
      <c r="I977" s="93"/>
    </row>
    <row r="978">
      <c r="D978" s="93"/>
      <c r="G978" s="93"/>
      <c r="I978" s="93"/>
    </row>
    <row r="979">
      <c r="D979" s="93"/>
      <c r="G979" s="93"/>
      <c r="I979" s="93"/>
    </row>
    <row r="980">
      <c r="D980" s="93"/>
      <c r="G980" s="93"/>
      <c r="I980" s="93"/>
    </row>
    <row r="981">
      <c r="D981" s="93"/>
      <c r="G981" s="93"/>
      <c r="I981" s="93"/>
    </row>
    <row r="982">
      <c r="D982" s="93"/>
      <c r="G982" s="93"/>
      <c r="I982" s="93"/>
    </row>
    <row r="983">
      <c r="D983" s="93"/>
      <c r="G983" s="93"/>
      <c r="I983" s="93"/>
    </row>
    <row r="984">
      <c r="D984" s="93"/>
      <c r="G984" s="93"/>
      <c r="I984" s="93"/>
    </row>
    <row r="985">
      <c r="D985" s="93"/>
      <c r="G985" s="93"/>
      <c r="I985" s="93"/>
    </row>
    <row r="986">
      <c r="D986" s="93"/>
      <c r="G986" s="93"/>
      <c r="I986" s="93"/>
    </row>
    <row r="987">
      <c r="D987" s="93"/>
      <c r="G987" s="93"/>
      <c r="I987" s="93"/>
    </row>
    <row r="988">
      <c r="D988" s="93"/>
      <c r="G988" s="93"/>
      <c r="I988" s="93"/>
    </row>
    <row r="989">
      <c r="D989" s="93"/>
      <c r="G989" s="93"/>
      <c r="I989" s="93"/>
    </row>
    <row r="990">
      <c r="D990" s="93"/>
      <c r="G990" s="93"/>
      <c r="I990" s="93"/>
    </row>
    <row r="991">
      <c r="D991" s="93"/>
      <c r="G991" s="93"/>
      <c r="I991" s="93"/>
    </row>
    <row r="992">
      <c r="D992" s="93"/>
      <c r="G992" s="93"/>
      <c r="I992" s="93"/>
    </row>
    <row r="993">
      <c r="D993" s="93"/>
      <c r="G993" s="93"/>
      <c r="I993" s="93"/>
    </row>
    <row r="994">
      <c r="D994" s="93"/>
      <c r="G994" s="93"/>
      <c r="I994" s="93"/>
    </row>
    <row r="995">
      <c r="D995" s="93"/>
      <c r="G995" s="93"/>
      <c r="I995" s="93"/>
    </row>
    <row r="996">
      <c r="D996" s="93"/>
      <c r="G996" s="93"/>
      <c r="I996" s="93"/>
    </row>
    <row r="997">
      <c r="D997" s="93"/>
      <c r="G997" s="93"/>
      <c r="I997" s="93"/>
    </row>
    <row r="998">
      <c r="D998" s="93"/>
      <c r="G998" s="93"/>
      <c r="I998" s="93"/>
    </row>
    <row r="999">
      <c r="D999" s="93"/>
      <c r="G999" s="93"/>
      <c r="I999" s="93"/>
    </row>
    <row r="1000">
      <c r="D1000" s="93"/>
      <c r="G1000" s="93"/>
      <c r="I1000" s="93"/>
    </row>
  </sheetData>
  <autoFilter ref="$A$2:$T$23"/>
  <hyperlinks>
    <hyperlink r:id="rId1" location="gid=1547332198" ref="B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 outlineLevelCol="1"/>
  <cols>
    <col customWidth="1" min="2" max="2" width="7.29"/>
    <col customWidth="1" min="3" max="3" width="9.0"/>
    <col customWidth="1" min="5" max="5" width="14.29"/>
    <col customWidth="1" min="6" max="6" width="8.71"/>
    <col customWidth="1" min="7" max="7" width="8.86"/>
    <col customWidth="1" min="8" max="8" width="12.0"/>
    <col customWidth="1" min="9" max="9" width="11.29"/>
    <col customWidth="1" min="11" max="11" width="7.86"/>
    <col hidden="1" min="12" max="22" width="14.43" outlineLevel="1"/>
    <col collapsed="1" customWidth="1" min="23" max="23" width="9.0"/>
    <col hidden="1" min="24" max="34" width="14.43" outlineLevel="1"/>
    <col collapsed="1" customWidth="1" min="35" max="35" width="9.0"/>
    <col hidden="1" min="36" max="46" width="14.43" outlineLevel="1"/>
    <col collapsed="1" customWidth="1" min="47" max="47" width="9.0"/>
    <col customWidth="1" min="48" max="48" width="9.0"/>
    <col customWidth="1" min="49" max="49" width="3.86"/>
    <col customWidth="1" min="50" max="50" width="10.0"/>
    <col customWidth="1" min="51" max="51" width="8.71"/>
    <col customWidth="1" min="52" max="52" width="2.29"/>
    <col hidden="1" min="53" max="63" width="14.43" outlineLevel="1"/>
    <col collapsed="1" customWidth="1" min="64" max="64" width="12.29"/>
    <col hidden="1" min="65" max="75" width="14.43" outlineLevel="1"/>
    <col collapsed="1" customWidth="1" min="76" max="76" width="12.29"/>
    <col hidden="1" min="77" max="87" width="14.43" outlineLevel="1"/>
    <col collapsed="1" customWidth="1" min="88" max="88" width="11.43"/>
    <col customWidth="1" min="89" max="89" width="11.43"/>
    <col customWidth="1" min="91" max="91" width="22.29"/>
    <col customWidth="1" min="92" max="92" width="8.29"/>
    <col customWidth="1" min="93" max="94" width="7.14"/>
  </cols>
  <sheetData>
    <row r="1">
      <c r="A1" s="451" t="str">
        <f>'Recurrentes 24-26'!A3</f>
        <v>Categoria</v>
      </c>
      <c r="B1" s="451" t="str">
        <f>'Recurrentes 24-26'!B3</f>
        <v>Proceso</v>
      </c>
      <c r="C1" s="425" t="str">
        <f>'Recurrentes 24-26'!C3</f>
        <v>Ubicación</v>
      </c>
      <c r="D1" s="425" t="str">
        <f>'Recurrentes 24-26'!D3</f>
        <v>Tipo de trabajo</v>
      </c>
      <c r="E1" s="425" t="str">
        <f>'Recurrentes 24-26'!E3</f>
        <v>Tipo de Bien</v>
      </c>
      <c r="F1" s="425" t="str">
        <f>'Recurrentes 24-26'!F3</f>
        <v>TDB/LOCAL</v>
      </c>
      <c r="G1" s="1025" t="str">
        <f>'Recurrentes 24-26'!G3</f>
        <v>Partida</v>
      </c>
      <c r="H1" s="1026" t="str">
        <f>'Recurrentes 24-26'!H3</f>
        <v>ID TDB o ID Almacén</v>
      </c>
      <c r="I1" s="1025" t="str">
        <f>'Recurrentes 24-26'!I3</f>
        <v>ID Cotizado</v>
      </c>
      <c r="J1" s="1057" t="str">
        <f>'Recurrentes 24-26'!J3</f>
        <v>Descripción del Bien</v>
      </c>
      <c r="K1" s="425" t="str">
        <f>'Recurrentes 24-26'!K3</f>
        <v>Unid.</v>
      </c>
      <c r="L1" s="426" t="str">
        <f>'Recurrentes 24-26'!L3</f>
        <v>Q LMO/año</v>
      </c>
      <c r="M1" s="427" t="str">
        <f>'Recurrentes 24-26'!M3</f>
        <v>Q LPL/año</v>
      </c>
      <c r="N1" s="428" t="str">
        <f>'Recurrentes 24-26'!N3</f>
        <v>Q LAM/año</v>
      </c>
      <c r="O1" s="429" t="str">
        <f>'Recurrentes 24-26'!O3</f>
        <v>Q LR/año</v>
      </c>
      <c r="P1" s="430" t="str">
        <f>'Recurrentes 24-26'!P3</f>
        <v>Q LN/año</v>
      </c>
      <c r="Q1" s="431" t="str">
        <f>'Recurrentes 24-26'!Q3</f>
        <v>Q LAZ/año</v>
      </c>
      <c r="R1" s="432" t="str">
        <f>'Recurrentes 24-26'!R3</f>
        <v>Q LB/año</v>
      </c>
      <c r="S1" s="433" t="str">
        <f>'Recurrentes 24-26'!S3</f>
        <v>Q LCE/año</v>
      </c>
      <c r="T1" s="434" t="str">
        <f>'Recurrentes 24-26'!T3</f>
        <v>Q LCA/año</v>
      </c>
      <c r="U1" s="435" t="str">
        <f>'Recurrentes 24-26'!U3</f>
        <v>Q LV/año</v>
      </c>
      <c r="V1" s="436" t="str">
        <f>'Recurrentes 24-26'!V3</f>
        <v>Q TRM/año</v>
      </c>
      <c r="W1" s="437" t="str">
        <f>'Recurrentes 24-26'!W3</f>
        <v>Q 2024</v>
      </c>
      <c r="X1" s="426" t="str">
        <f>'Recurrentes 24-26'!X3</f>
        <v>Q LMO/año2</v>
      </c>
      <c r="Y1" s="427" t="str">
        <f>'Recurrentes 24-26'!Y3</f>
        <v>Q LPL/año3</v>
      </c>
      <c r="Z1" s="428" t="str">
        <f>'Recurrentes 24-26'!Z3</f>
        <v>Q LAM/año4</v>
      </c>
      <c r="AA1" s="429" t="str">
        <f>'Recurrentes 24-26'!AA3</f>
        <v>Q LR/año5</v>
      </c>
      <c r="AB1" s="430" t="str">
        <f>'Recurrentes 24-26'!AB3</f>
        <v>Q LN/año6</v>
      </c>
      <c r="AC1" s="431" t="str">
        <f>'Recurrentes 24-26'!AC3</f>
        <v>Q LAZ/año7</v>
      </c>
      <c r="AD1" s="432" t="str">
        <f>'Recurrentes 24-26'!AD3</f>
        <v>Q LB/año8</v>
      </c>
      <c r="AE1" s="433" t="str">
        <f>'Recurrentes 24-26'!AE3</f>
        <v>Q LCE/año9</v>
      </c>
      <c r="AF1" s="434" t="str">
        <f>'Recurrentes 24-26'!AF3</f>
        <v>Q LCA/año10</v>
      </c>
      <c r="AG1" s="435" t="str">
        <f>'Recurrentes 24-26'!AG3</f>
        <v>Q LV/año11</v>
      </c>
      <c r="AH1" s="436" t="str">
        <f>'Recurrentes 24-26'!AH3</f>
        <v>Q TRM/año12</v>
      </c>
      <c r="AI1" s="437" t="str">
        <f>'Recurrentes 24-26'!AI3</f>
        <v>Q 2025</v>
      </c>
      <c r="AJ1" s="426" t="str">
        <f>'Recurrentes 24-26'!AJ3</f>
        <v>Q LMO/año3</v>
      </c>
      <c r="AK1" s="427" t="str">
        <f>'Recurrentes 24-26'!AK3</f>
        <v>Q LPL/año4</v>
      </c>
      <c r="AL1" s="428" t="str">
        <f>'Recurrentes 24-26'!AL3</f>
        <v>Q LAM/año5</v>
      </c>
      <c r="AM1" s="429" t="str">
        <f>'Recurrentes 24-26'!AM3</f>
        <v>Q LR/año6</v>
      </c>
      <c r="AN1" s="430" t="str">
        <f>'Recurrentes 24-26'!AN3</f>
        <v>Q LN/año7</v>
      </c>
      <c r="AO1" s="438" t="str">
        <f>'Recurrentes 24-26'!AO3</f>
        <v>Q LAZ/año8</v>
      </c>
      <c r="AP1" s="432" t="str">
        <f>'Recurrentes 24-26'!AP3</f>
        <v>Q LB/año9</v>
      </c>
      <c r="AQ1" s="433" t="str">
        <f>'Recurrentes 24-26'!AQ3</f>
        <v>Q LCE/año10</v>
      </c>
      <c r="AR1" s="434" t="str">
        <f>'Recurrentes 24-26'!AR3</f>
        <v>Q LCA/año11</v>
      </c>
      <c r="AS1" s="435" t="str">
        <f>'Recurrentes 24-26'!AS3</f>
        <v>Q LV/año12</v>
      </c>
      <c r="AT1" s="436" t="str">
        <f>'Recurrentes 24-26'!AT3</f>
        <v>Q TRM/año13</v>
      </c>
      <c r="AU1" s="437" t="str">
        <f>'Recurrentes 24-26'!AU3</f>
        <v>Q 2026</v>
      </c>
      <c r="AV1" s="1058" t="str">
        <f>'Recurrentes 24-26'!AV3</f>
        <v>Q Total</v>
      </c>
      <c r="AW1" s="436" t="str">
        <f>'Recurrentes 24-26'!AW3</f>
        <v/>
      </c>
      <c r="AX1" s="437" t="str">
        <f>'Recurrentes 24-26'!AX3</f>
        <v>P.U. $us.</v>
      </c>
      <c r="AY1" s="437" t="str">
        <f>'Recurrentes 24-26'!AY3</f>
        <v>P.U. Bs</v>
      </c>
      <c r="AZ1" s="425" t="str">
        <f>'Recurrentes 24-26'!AZ3</f>
        <v/>
      </c>
      <c r="BA1" s="440" t="str">
        <f>'Recurrentes 24-26'!BA3</f>
        <v>Bs LMO/24</v>
      </c>
      <c r="BB1" s="441" t="str">
        <f>'Recurrentes 24-26'!BB3</f>
        <v>Bs LPL/24</v>
      </c>
      <c r="BC1" s="442" t="str">
        <f>'Recurrentes 24-26'!BC3</f>
        <v>Bs LAM/24</v>
      </c>
      <c r="BD1" s="443" t="str">
        <f>'Recurrentes 24-26'!BD3</f>
        <v>Bs LR/24</v>
      </c>
      <c r="BE1" s="444" t="str">
        <f>'Recurrentes 24-26'!BE3</f>
        <v>Bs LN/24</v>
      </c>
      <c r="BF1" s="445" t="str">
        <f>'Recurrentes 24-26'!BF3</f>
        <v>Bs LAZ/24</v>
      </c>
      <c r="BG1" s="446" t="str">
        <f>'Recurrentes 24-26'!BG3</f>
        <v>Bs LB/24</v>
      </c>
      <c r="BH1" s="447" t="str">
        <f>'Recurrentes 24-26'!BH3</f>
        <v>Bs LCE/24</v>
      </c>
      <c r="BI1" s="448" t="str">
        <f>'Recurrentes 24-26'!BI3</f>
        <v>Bs LCA/24</v>
      </c>
      <c r="BJ1" s="449" t="str">
        <f>'Recurrentes 24-26'!BJ3</f>
        <v>Bs LV/24</v>
      </c>
      <c r="BK1" s="1059" t="s">
        <v>3718</v>
      </c>
      <c r="BL1" s="1029" t="str">
        <f>'Recurrentes 24-26'!BK3</f>
        <v>Bs. 2024</v>
      </c>
      <c r="BM1" s="440" t="str">
        <f>'Recurrentes 24-26'!BL3</f>
        <v>Bs LMO/25</v>
      </c>
      <c r="BN1" s="441" t="str">
        <f>'Recurrentes 24-26'!BM3</f>
        <v>Bs LPL/25</v>
      </c>
      <c r="BO1" s="442" t="str">
        <f>'Recurrentes 24-26'!BN3</f>
        <v>Bs LAM/25</v>
      </c>
      <c r="BP1" s="443" t="str">
        <f>'Recurrentes 24-26'!BO3</f>
        <v>Bs LR/25</v>
      </c>
      <c r="BQ1" s="444" t="str">
        <f>'Recurrentes 24-26'!BP3</f>
        <v>Bs LN/25</v>
      </c>
      <c r="BR1" s="445" t="str">
        <f>'Recurrentes 24-26'!BQ3</f>
        <v>Bs LAZ/25</v>
      </c>
      <c r="BS1" s="446" t="str">
        <f>'Recurrentes 24-26'!BR3</f>
        <v>Bs LB/25</v>
      </c>
      <c r="BT1" s="447" t="str">
        <f>'Recurrentes 24-26'!BS3</f>
        <v>Bs LCE/25</v>
      </c>
      <c r="BU1" s="448" t="str">
        <f>'Recurrentes 24-26'!BT3</f>
        <v>Bs LCA/25</v>
      </c>
      <c r="BV1" s="449" t="str">
        <f>'Recurrentes 24-26'!BU3</f>
        <v>Bs LV/25</v>
      </c>
      <c r="BW1" s="1059" t="s">
        <v>3719</v>
      </c>
      <c r="BX1" s="450" t="str">
        <f>'Recurrentes 24-26'!BV3</f>
        <v>Bs. 2025</v>
      </c>
      <c r="BY1" s="440" t="str">
        <f>'Recurrentes 24-26'!BW3</f>
        <v>Bs LMO/26</v>
      </c>
      <c r="BZ1" s="441" t="str">
        <f>'Recurrentes 24-26'!BX3</f>
        <v>Bs LPL/26</v>
      </c>
      <c r="CA1" s="442" t="str">
        <f>'Recurrentes 24-26'!BY3</f>
        <v>Bs LAM/26</v>
      </c>
      <c r="CB1" s="443" t="str">
        <f>'Recurrentes 24-26'!BZ3</f>
        <v>Bs LR/26</v>
      </c>
      <c r="CC1" s="444" t="str">
        <f>'Recurrentes 24-26'!CA3</f>
        <v>Bs LN/26</v>
      </c>
      <c r="CD1" s="445" t="str">
        <f>'Recurrentes 24-26'!CB3</f>
        <v>Bs LAZ/26</v>
      </c>
      <c r="CE1" s="446" t="str">
        <f>'Recurrentes 24-26'!CC3</f>
        <v>Bs LB/26</v>
      </c>
      <c r="CF1" s="447" t="str">
        <f>'Recurrentes 24-26'!CD3</f>
        <v>Bs LCE/26</v>
      </c>
      <c r="CG1" s="448" t="str">
        <f>'Recurrentes 24-26'!CE3</f>
        <v>Bs LCA/26</v>
      </c>
      <c r="CH1" s="449" t="str">
        <f>'Recurrentes 24-26'!CF3</f>
        <v>Bs LV/26</v>
      </c>
      <c r="CI1" s="1059" t="s">
        <v>3720</v>
      </c>
      <c r="CJ1" s="450" t="str">
        <f>'Recurrentes 24-26'!CG3</f>
        <v>Bs. 2026</v>
      </c>
      <c r="CK1" s="450" t="str">
        <f>'Recurrentes 24-26'!CH3</f>
        <v>Bs. Total</v>
      </c>
      <c r="CL1" s="451" t="str">
        <f>'Recurrentes 24-26'!CI3</f>
        <v>Observaciones</v>
      </c>
      <c r="CM1" s="451" t="str">
        <f>'Recurrentes 24-26'!CJ3</f>
        <v>Comentarios</v>
      </c>
      <c r="CN1" s="1060" t="s">
        <v>2703</v>
      </c>
      <c r="CO1" s="1060" t="s">
        <v>2704</v>
      </c>
      <c r="CP1" s="1060" t="s">
        <v>2705</v>
      </c>
    </row>
    <row r="2">
      <c r="A2" s="451" t="str">
        <f>'Recurrentes 24-26'!A4</f>
        <v>Repuestos Electromecánicos recurrentes</v>
      </c>
      <c r="B2" s="451">
        <f>'Recurrentes 24-26'!B4</f>
        <v>2</v>
      </c>
      <c r="C2" s="451" t="str">
        <f>'Recurrentes 24-26'!C4</f>
        <v>Torres</v>
      </c>
      <c r="D2" s="451" t="str">
        <f>'Recurrentes 24-26'!D4</f>
        <v>Reacondionamiento y cambio de Poleas de torre</v>
      </c>
      <c r="E2" s="451" t="str">
        <f>'Recurrentes 24-26'!E4</f>
        <v>Repuesto Mecánico</v>
      </c>
      <c r="F2" s="451" t="str">
        <f>'Recurrentes 24-26'!F4</f>
        <v>TDB</v>
      </c>
      <c r="G2" s="1025" t="str">
        <f>'Recurrentes 24-26'!G4</f>
        <v>39800</v>
      </c>
      <c r="H2" s="1061" t="str">
        <f>'Recurrentes 24-26'!H4</f>
        <v>2-01-00011</v>
      </c>
      <c r="I2" s="1061" t="str">
        <f>'Recurrentes 24-26'!I4</f>
        <v>10431740</v>
      </c>
      <c r="J2" s="1061" t="str">
        <f>'Recurrentes 24-26'!J4</f>
        <v>GUARN.DE GOMA  501 485X100/R40 </v>
      </c>
      <c r="K2" s="451" t="str">
        <f>'Recurrentes 24-26'!K4</f>
        <v>Pza</v>
      </c>
      <c r="L2" s="451">
        <f>'Recurrentes 24-26'!L4</f>
        <v>150</v>
      </c>
      <c r="M2" s="451">
        <f>'Recurrentes 24-26'!M4</f>
        <v>100</v>
      </c>
      <c r="N2" s="451">
        <f>'Recurrentes 24-26'!N4</f>
        <v>130</v>
      </c>
      <c r="O2" s="451">
        <f>'Recurrentes 24-26'!O4</f>
        <v>80</v>
      </c>
      <c r="P2" s="451">
        <f>'Recurrentes 24-26'!P4</f>
        <v>70</v>
      </c>
      <c r="Q2" s="451">
        <f>'Recurrentes 24-26'!Q4</f>
        <v>0</v>
      </c>
      <c r="R2" s="451">
        <f>'Recurrentes 24-26'!R4</f>
        <v>41</v>
      </c>
      <c r="S2" s="451">
        <f>'Recurrentes 24-26'!S4</f>
        <v>66</v>
      </c>
      <c r="T2" s="451">
        <f>'Recurrentes 24-26'!T4</f>
        <v>20</v>
      </c>
      <c r="U2" s="451">
        <f>'Recurrentes 24-26'!U4</f>
        <v>50</v>
      </c>
      <c r="V2" s="451">
        <f>'Recurrentes 24-26'!V4</f>
        <v>0</v>
      </c>
      <c r="W2" s="1062">
        <f>'Recurrentes 24-26'!W4</f>
        <v>707</v>
      </c>
      <c r="X2" s="451">
        <f>'Recurrentes 24-26'!X4</f>
        <v>150</v>
      </c>
      <c r="Y2" s="451">
        <f>'Recurrentes 24-26'!Y4</f>
        <v>100</v>
      </c>
      <c r="Z2" s="451">
        <f>'Recurrentes 24-26'!Z4</f>
        <v>130</v>
      </c>
      <c r="AA2" s="451">
        <f>'Recurrentes 24-26'!AA4</f>
        <v>100</v>
      </c>
      <c r="AB2" s="451">
        <f>'Recurrentes 24-26'!AB4</f>
        <v>70</v>
      </c>
      <c r="AC2" s="451">
        <f>'Recurrentes 24-26'!AC4</f>
        <v>150</v>
      </c>
      <c r="AD2" s="451">
        <f>'Recurrentes 24-26'!AD4</f>
        <v>41</v>
      </c>
      <c r="AE2" s="451">
        <f>'Recurrentes 24-26'!AE4</f>
        <v>66</v>
      </c>
      <c r="AF2" s="451">
        <f>'Recurrentes 24-26'!AF4</f>
        <v>20</v>
      </c>
      <c r="AG2" s="451">
        <f>'Recurrentes 24-26'!AG4</f>
        <v>50</v>
      </c>
      <c r="AH2" s="451">
        <f>'Recurrentes 24-26'!AH4</f>
        <v>0</v>
      </c>
      <c r="AI2" s="1062">
        <f>'Recurrentes 24-26'!AI4</f>
        <v>877</v>
      </c>
      <c r="AJ2" s="451">
        <f>'Recurrentes 24-26'!AJ4</f>
        <v>150</v>
      </c>
      <c r="AK2" s="451">
        <f>'Recurrentes 24-26'!AK4</f>
        <v>100</v>
      </c>
      <c r="AL2" s="451">
        <f>'Recurrentes 24-26'!AL4</f>
        <v>130</v>
      </c>
      <c r="AM2" s="451">
        <f>'Recurrentes 24-26'!AM4</f>
        <v>100</v>
      </c>
      <c r="AN2" s="451">
        <f>'Recurrentes 24-26'!AN4</f>
        <v>70</v>
      </c>
      <c r="AO2" s="451">
        <f>'Recurrentes 24-26'!AO4</f>
        <v>150</v>
      </c>
      <c r="AP2" s="451">
        <f>'Recurrentes 24-26'!AP4</f>
        <v>41</v>
      </c>
      <c r="AQ2" s="451">
        <f>'Recurrentes 24-26'!AQ4</f>
        <v>66</v>
      </c>
      <c r="AR2" s="451">
        <f>'Recurrentes 24-26'!AR4</f>
        <v>20</v>
      </c>
      <c r="AS2" s="451">
        <f>'Recurrentes 24-26'!AS4</f>
        <v>50</v>
      </c>
      <c r="AT2" s="451">
        <f>'Recurrentes 24-26'!AT4</f>
        <v>0</v>
      </c>
      <c r="AU2" s="1062">
        <f>'Recurrentes 24-26'!AU4</f>
        <v>877</v>
      </c>
      <c r="AV2" s="1063">
        <f>'Recurrentes 24-26'!AV4</f>
        <v>2461</v>
      </c>
      <c r="AW2" s="451" t="str">
        <f>'Recurrentes 24-26'!AW4</f>
        <v/>
      </c>
      <c r="AX2" s="1062">
        <f>'Recurrentes 24-26'!AX4</f>
        <v>401.33</v>
      </c>
      <c r="AY2" s="1062">
        <f>'Recurrentes 24-26'!AY4</f>
        <v>2793.2568</v>
      </c>
      <c r="AZ2" s="1064" t="str">
        <f>'Recurrentes 24-26'!AZ4</f>
        <v/>
      </c>
      <c r="BA2" s="1064">
        <f>'Recurrentes 24-26'!BA4</f>
        <v>418988.52</v>
      </c>
      <c r="BB2" s="1064">
        <f>'Recurrentes 24-26'!BB4</f>
        <v>279325.68</v>
      </c>
      <c r="BC2" s="1064">
        <f>'Recurrentes 24-26'!BC4</f>
        <v>363123.384</v>
      </c>
      <c r="BD2" s="1064">
        <f>'Recurrentes 24-26'!BD4</f>
        <v>223460.544</v>
      </c>
      <c r="BE2" s="1064">
        <f>'Recurrentes 24-26'!BE4</f>
        <v>195527.976</v>
      </c>
      <c r="BF2" s="1064">
        <f>'Recurrentes 24-26'!BF4</f>
        <v>0</v>
      </c>
      <c r="BG2" s="1064">
        <f>'Recurrentes 24-26'!BG4</f>
        <v>114523.5288</v>
      </c>
      <c r="BH2" s="1064">
        <f>'Recurrentes 24-26'!BH4</f>
        <v>184354.9488</v>
      </c>
      <c r="BI2" s="1064">
        <f>'Recurrentes 24-26'!BI4</f>
        <v>55865.136</v>
      </c>
      <c r="BJ2" s="1064">
        <f>'Recurrentes 24-26'!BJ4</f>
        <v>139662.84</v>
      </c>
      <c r="BK2" s="451"/>
      <c r="BL2" s="1062">
        <f>'Recurrentes 24-26'!BK4</f>
        <v>1974832.558</v>
      </c>
      <c r="BM2" s="1064">
        <f>'Recurrentes 24-26'!BL4</f>
        <v>418988.52</v>
      </c>
      <c r="BN2" s="1064">
        <f>'Recurrentes 24-26'!BM4</f>
        <v>279325.68</v>
      </c>
      <c r="BO2" s="1064">
        <f>'Recurrentes 24-26'!BN4</f>
        <v>363123.384</v>
      </c>
      <c r="BP2" s="1064">
        <f>'Recurrentes 24-26'!BO4</f>
        <v>279325.68</v>
      </c>
      <c r="BQ2" s="1064">
        <f>'Recurrentes 24-26'!BP4</f>
        <v>195527.976</v>
      </c>
      <c r="BR2" s="1064">
        <f>'Recurrentes 24-26'!BQ4</f>
        <v>418988.52</v>
      </c>
      <c r="BS2" s="1064">
        <f>'Recurrentes 24-26'!BR4</f>
        <v>114523.5288</v>
      </c>
      <c r="BT2" s="1064">
        <f>'Recurrentes 24-26'!BS4</f>
        <v>184354.9488</v>
      </c>
      <c r="BU2" s="1064">
        <f>'Recurrentes 24-26'!BT4</f>
        <v>55865.136</v>
      </c>
      <c r="BV2" s="1064">
        <f>'Recurrentes 24-26'!BU4</f>
        <v>139662.84</v>
      </c>
      <c r="BW2" s="451"/>
      <c r="BX2" s="1062">
        <f>'Recurrentes 24-26'!BV4</f>
        <v>2449686.214</v>
      </c>
      <c r="BY2" s="1064">
        <f>'Recurrentes 24-26'!BW4</f>
        <v>418988.52</v>
      </c>
      <c r="BZ2" s="1064">
        <f>'Recurrentes 24-26'!BX4</f>
        <v>279325.68</v>
      </c>
      <c r="CA2" s="1064">
        <f>'Recurrentes 24-26'!BY4</f>
        <v>363123.384</v>
      </c>
      <c r="CB2" s="1064">
        <f>'Recurrentes 24-26'!BZ4</f>
        <v>279325.68</v>
      </c>
      <c r="CC2" s="1064">
        <f>'Recurrentes 24-26'!CA4</f>
        <v>195527.976</v>
      </c>
      <c r="CD2" s="1064">
        <f>'Recurrentes 24-26'!CB4</f>
        <v>418988.52</v>
      </c>
      <c r="CE2" s="1064">
        <f>'Recurrentes 24-26'!CC4</f>
        <v>114523.5288</v>
      </c>
      <c r="CF2" s="1064">
        <f>'Recurrentes 24-26'!CD4</f>
        <v>184354.9488</v>
      </c>
      <c r="CG2" s="1064">
        <f>'Recurrentes 24-26'!CE4</f>
        <v>55865.136</v>
      </c>
      <c r="CH2" s="1064">
        <f>'Recurrentes 24-26'!CF4</f>
        <v>139662.84</v>
      </c>
      <c r="CI2" s="451"/>
      <c r="CJ2" s="1062">
        <f>'Recurrentes 24-26'!CG4</f>
        <v>2449686.214</v>
      </c>
      <c r="CK2" s="1062">
        <f>'Recurrentes 24-26'!CH4</f>
        <v>6874204.985</v>
      </c>
      <c r="CL2" s="451" t="str">
        <f>'Recurrentes 24-26'!CI4</f>
        <v/>
      </c>
      <c r="CM2" s="1064" t="str">
        <f>'Recurrentes 24-26'!CJ4</f>
        <v/>
      </c>
      <c r="CN2" s="451">
        <f>'Recurrentes 24-26'!CK4</f>
        <v>1</v>
      </c>
      <c r="CO2" s="1062">
        <f>'Recurrentes 24-26'!CL4</f>
        <v>401.33</v>
      </c>
      <c r="CP2" s="1065">
        <f>'Recurrentes 24-26'!CM4</f>
        <v>341.13</v>
      </c>
    </row>
    <row r="3">
      <c r="A3" s="451" t="str">
        <f>'Recurrentes 24-26'!A5</f>
        <v>Repuestos Electromecánicos recurrentes</v>
      </c>
      <c r="B3" s="451">
        <f>'Recurrentes 24-26'!B5</f>
        <v>2</v>
      </c>
      <c r="C3" s="451" t="str">
        <f>'Recurrentes 24-26'!C5</f>
        <v>Torres</v>
      </c>
      <c r="D3" s="451" t="str">
        <f>'Recurrentes 24-26'!D5</f>
        <v>Reacondionamiento y cambio de Poleas de torre</v>
      </c>
      <c r="E3" s="451" t="str">
        <f>'Recurrentes 24-26'!E5</f>
        <v>Repuesto Mecánico</v>
      </c>
      <c r="F3" s="451" t="str">
        <f>'Recurrentes 24-26'!F5</f>
        <v>TDB</v>
      </c>
      <c r="G3" s="1025" t="str">
        <f>'Recurrentes 24-26'!G5</f>
        <v>39800</v>
      </c>
      <c r="H3" s="1061" t="str">
        <f>'Recurrentes 24-26'!H5</f>
        <v>2-01-00012</v>
      </c>
      <c r="I3" s="1061" t="str">
        <f>'Recurrentes 24-26'!I5</f>
        <v>10434107</v>
      </c>
      <c r="J3" s="1061" t="str">
        <f>'Recurrentes 24-26'!J5</f>
        <v>GUARN.DE GOMA  420 422X 93/R34 </v>
      </c>
      <c r="K3" s="451" t="str">
        <f>'Recurrentes 24-26'!K5</f>
        <v>Pza</v>
      </c>
      <c r="L3" s="451">
        <f>'Recurrentes 24-26'!L5</f>
        <v>37</v>
      </c>
      <c r="M3" s="451">
        <f>'Recurrentes 24-26'!M5</f>
        <v>28</v>
      </c>
      <c r="N3" s="451">
        <f>'Recurrentes 24-26'!N5</f>
        <v>30</v>
      </c>
      <c r="O3" s="451">
        <f>'Recurrentes 24-26'!O5</f>
        <v>0</v>
      </c>
      <c r="P3" s="451">
        <f>'Recurrentes 24-26'!P5</f>
        <v>0</v>
      </c>
      <c r="Q3" s="451">
        <f>'Recurrentes 24-26'!Q5</f>
        <v>0</v>
      </c>
      <c r="R3" s="451">
        <f>'Recurrentes 24-26'!R5</f>
        <v>24</v>
      </c>
      <c r="S3" s="451">
        <f>'Recurrentes 24-26'!S5</f>
        <v>25</v>
      </c>
      <c r="T3" s="451">
        <f>'Recurrentes 24-26'!T5</f>
        <v>5</v>
      </c>
      <c r="U3" s="451">
        <f>'Recurrentes 24-26'!U5</f>
        <v>25</v>
      </c>
      <c r="V3" s="451">
        <f>'Recurrentes 24-26'!V5</f>
        <v>0</v>
      </c>
      <c r="W3" s="1062">
        <f>'Recurrentes 24-26'!W5</f>
        <v>174</v>
      </c>
      <c r="X3" s="451">
        <f>'Recurrentes 24-26'!X5</f>
        <v>100</v>
      </c>
      <c r="Y3" s="451">
        <f>'Recurrentes 24-26'!Y5</f>
        <v>70</v>
      </c>
      <c r="Z3" s="451">
        <f>'Recurrentes 24-26'!Z5</f>
        <v>85</v>
      </c>
      <c r="AA3" s="451">
        <f>'Recurrentes 24-26'!AA5</f>
        <v>50</v>
      </c>
      <c r="AB3" s="451">
        <f>'Recurrentes 24-26'!AB5</f>
        <v>60</v>
      </c>
      <c r="AC3" s="451">
        <f>'Recurrentes 24-26'!AC5</f>
        <v>0</v>
      </c>
      <c r="AD3" s="451">
        <f>'Recurrentes 24-26'!AD5</f>
        <v>63</v>
      </c>
      <c r="AE3" s="451">
        <f>'Recurrentes 24-26'!AE5</f>
        <v>76</v>
      </c>
      <c r="AF3" s="451">
        <f>'Recurrentes 24-26'!AF5</f>
        <v>10</v>
      </c>
      <c r="AG3" s="451">
        <f>'Recurrentes 24-26'!AG5</f>
        <v>65</v>
      </c>
      <c r="AH3" s="451">
        <f>'Recurrentes 24-26'!AH5</f>
        <v>0</v>
      </c>
      <c r="AI3" s="1062">
        <f>'Recurrentes 24-26'!AI5</f>
        <v>579</v>
      </c>
      <c r="AJ3" s="451">
        <f>'Recurrentes 24-26'!AJ5</f>
        <v>100</v>
      </c>
      <c r="AK3" s="451">
        <f>'Recurrentes 24-26'!AK5</f>
        <v>70</v>
      </c>
      <c r="AL3" s="451">
        <f>'Recurrentes 24-26'!AL5</f>
        <v>85</v>
      </c>
      <c r="AM3" s="451">
        <f>'Recurrentes 24-26'!AM5</f>
        <v>50</v>
      </c>
      <c r="AN3" s="451">
        <f>'Recurrentes 24-26'!AN5</f>
        <v>60</v>
      </c>
      <c r="AO3" s="451">
        <f>'Recurrentes 24-26'!AO5</f>
        <v>0</v>
      </c>
      <c r="AP3" s="451">
        <f>'Recurrentes 24-26'!AP5</f>
        <v>63</v>
      </c>
      <c r="AQ3" s="451">
        <f>'Recurrentes 24-26'!AQ5</f>
        <v>76</v>
      </c>
      <c r="AR3" s="451">
        <f>'Recurrentes 24-26'!AR5</f>
        <v>10</v>
      </c>
      <c r="AS3" s="451">
        <f>'Recurrentes 24-26'!AS5</f>
        <v>65</v>
      </c>
      <c r="AT3" s="451">
        <f>'Recurrentes 24-26'!AT5</f>
        <v>0</v>
      </c>
      <c r="AU3" s="1062">
        <f>'Recurrentes 24-26'!AU5</f>
        <v>579</v>
      </c>
      <c r="AV3" s="1063">
        <f>'Recurrentes 24-26'!AV5</f>
        <v>1332</v>
      </c>
      <c r="AW3" s="451" t="str">
        <f>'Recurrentes 24-26'!AW5</f>
        <v/>
      </c>
      <c r="AX3" s="1062">
        <f>'Recurrentes 24-26'!AX5</f>
        <v>317.23</v>
      </c>
      <c r="AY3" s="1062">
        <f>'Recurrentes 24-26'!AY5</f>
        <v>2207.9208</v>
      </c>
      <c r="AZ3" s="1064" t="str">
        <f>'Recurrentes 24-26'!AZ5</f>
        <v/>
      </c>
      <c r="BA3" s="1064">
        <f>'Recurrentes 24-26'!BA5</f>
        <v>81693.0696</v>
      </c>
      <c r="BB3" s="1064">
        <f>'Recurrentes 24-26'!BB5</f>
        <v>61821.7824</v>
      </c>
      <c r="BC3" s="1064">
        <f>'Recurrentes 24-26'!BC5</f>
        <v>66237.624</v>
      </c>
      <c r="BD3" s="1064">
        <f>'Recurrentes 24-26'!BD5</f>
        <v>0</v>
      </c>
      <c r="BE3" s="1064">
        <f>'Recurrentes 24-26'!BE5</f>
        <v>0</v>
      </c>
      <c r="BF3" s="1064">
        <f>'Recurrentes 24-26'!BF5</f>
        <v>0</v>
      </c>
      <c r="BG3" s="1064">
        <f>'Recurrentes 24-26'!BG5</f>
        <v>52990.0992</v>
      </c>
      <c r="BH3" s="1064">
        <f>'Recurrentes 24-26'!BH5</f>
        <v>55198.02</v>
      </c>
      <c r="BI3" s="1064">
        <f>'Recurrentes 24-26'!BI5</f>
        <v>11039.604</v>
      </c>
      <c r="BJ3" s="1064">
        <f>'Recurrentes 24-26'!BJ5</f>
        <v>55198.02</v>
      </c>
      <c r="BK3" s="451"/>
      <c r="BL3" s="1062">
        <f>'Recurrentes 24-26'!BK5</f>
        <v>384178.2192</v>
      </c>
      <c r="BM3" s="1064">
        <f>'Recurrentes 24-26'!BL5</f>
        <v>220792.08</v>
      </c>
      <c r="BN3" s="1064">
        <f>'Recurrentes 24-26'!BM5</f>
        <v>154554.456</v>
      </c>
      <c r="BO3" s="1064">
        <f>'Recurrentes 24-26'!BN5</f>
        <v>187673.268</v>
      </c>
      <c r="BP3" s="1064">
        <f>'Recurrentes 24-26'!BO5</f>
        <v>110396.04</v>
      </c>
      <c r="BQ3" s="1064">
        <f>'Recurrentes 24-26'!BP5</f>
        <v>132475.248</v>
      </c>
      <c r="BR3" s="1064">
        <f>'Recurrentes 24-26'!BQ5</f>
        <v>0</v>
      </c>
      <c r="BS3" s="1064">
        <f>'Recurrentes 24-26'!BR5</f>
        <v>139099.0104</v>
      </c>
      <c r="BT3" s="1064">
        <f>'Recurrentes 24-26'!BS5</f>
        <v>167801.9808</v>
      </c>
      <c r="BU3" s="1064">
        <f>'Recurrentes 24-26'!BT5</f>
        <v>22079.208</v>
      </c>
      <c r="BV3" s="1064">
        <f>'Recurrentes 24-26'!BU5</f>
        <v>143514.852</v>
      </c>
      <c r="BW3" s="451"/>
      <c r="BX3" s="1062">
        <f>'Recurrentes 24-26'!BV5</f>
        <v>1278386.143</v>
      </c>
      <c r="BY3" s="1064">
        <f>'Recurrentes 24-26'!BW5</f>
        <v>220792.08</v>
      </c>
      <c r="BZ3" s="1064">
        <f>'Recurrentes 24-26'!BX5</f>
        <v>154554.456</v>
      </c>
      <c r="CA3" s="1064">
        <f>'Recurrentes 24-26'!BY5</f>
        <v>187673.268</v>
      </c>
      <c r="CB3" s="1064">
        <f>'Recurrentes 24-26'!BZ5</f>
        <v>110396.04</v>
      </c>
      <c r="CC3" s="1064">
        <f>'Recurrentes 24-26'!CA5</f>
        <v>132475.248</v>
      </c>
      <c r="CD3" s="1064">
        <f>'Recurrentes 24-26'!CB5</f>
        <v>0</v>
      </c>
      <c r="CE3" s="1064">
        <f>'Recurrentes 24-26'!CC5</f>
        <v>139099.0104</v>
      </c>
      <c r="CF3" s="1064">
        <f>'Recurrentes 24-26'!CD5</f>
        <v>167801.9808</v>
      </c>
      <c r="CG3" s="1064">
        <f>'Recurrentes 24-26'!CE5</f>
        <v>22079.208</v>
      </c>
      <c r="CH3" s="1064">
        <f>'Recurrentes 24-26'!CF5</f>
        <v>143514.852</v>
      </c>
      <c r="CI3" s="451"/>
      <c r="CJ3" s="1062">
        <f>'Recurrentes 24-26'!CG5</f>
        <v>1278386.143</v>
      </c>
      <c r="CK3" s="1062">
        <f>'Recurrentes 24-26'!CH5</f>
        <v>2940950.506</v>
      </c>
      <c r="CL3" s="451" t="str">
        <f>'Recurrentes 24-26'!CI5</f>
        <v/>
      </c>
      <c r="CM3" s="1064" t="str">
        <f>'Recurrentes 24-26'!CJ5</f>
        <v/>
      </c>
      <c r="CN3" s="451">
        <f>'Recurrentes 24-26'!CK5</f>
        <v>1</v>
      </c>
      <c r="CO3" s="1062">
        <f>'Recurrentes 24-26'!CL5</f>
        <v>317.23</v>
      </c>
      <c r="CP3" s="451" t="b">
        <f>ISBLANK(CN3)</f>
        <v>0</v>
      </c>
    </row>
    <row r="4">
      <c r="A4" s="451" t="str">
        <f>'Recurrentes 24-26'!A6</f>
        <v>Repuestos Electromecánicos recurrentes</v>
      </c>
      <c r="B4" s="451">
        <f>'Recurrentes 24-26'!B6</f>
        <v>2</v>
      </c>
      <c r="C4" s="451" t="str">
        <f>'Recurrentes 24-26'!C6</f>
        <v>Torres</v>
      </c>
      <c r="D4" s="451" t="str">
        <f>'Recurrentes 24-26'!D6</f>
        <v>Reacondionamiento y cambio de Poleas de torre</v>
      </c>
      <c r="E4" s="451" t="str">
        <f>'Recurrentes 24-26'!E6</f>
        <v>Repuesto Mecánico</v>
      </c>
      <c r="F4" s="451" t="str">
        <f>'Recurrentes 24-26'!F6</f>
        <v>TDB</v>
      </c>
      <c r="G4" s="1025" t="str">
        <f>'Recurrentes 24-26'!G6</f>
        <v>39800</v>
      </c>
      <c r="H4" s="1061" t="str">
        <f>'Recurrentes 24-26'!H6</f>
        <v>2-01-00077</v>
      </c>
      <c r="I4" s="1061" t="str">
        <f>'Recurrentes 24-26'!I6</f>
        <v>10501989</v>
      </c>
      <c r="J4" s="1061" t="str">
        <f>'Recurrentes 24-26'!J6</f>
        <v>RRB DIN 625/1- 6310-2RS1-C3GLE VT210 (90% +/-5%)ROD.RAN.BOLAS</v>
      </c>
      <c r="K4" s="451" t="str">
        <f>'Recurrentes 24-26'!K6</f>
        <v>Pza</v>
      </c>
      <c r="L4" s="451">
        <f>'Recurrentes 24-26'!L6</f>
        <v>512</v>
      </c>
      <c r="M4" s="451">
        <f>'Recurrentes 24-26'!M6</f>
        <v>284</v>
      </c>
      <c r="N4" s="451">
        <f>'Recurrentes 24-26'!N6</f>
        <v>426</v>
      </c>
      <c r="O4" s="451">
        <f>'Recurrentes 24-26'!O6</f>
        <v>341</v>
      </c>
      <c r="P4" s="451">
        <f>'Recurrentes 24-26'!P6</f>
        <v>199</v>
      </c>
      <c r="Q4" s="451">
        <f>'Recurrentes 24-26'!Q6</f>
        <v>426</v>
      </c>
      <c r="R4" s="451">
        <f>'Recurrentes 24-26'!R6</f>
        <v>150</v>
      </c>
      <c r="S4" s="451">
        <f>'Recurrentes 24-26'!S6</f>
        <v>187</v>
      </c>
      <c r="T4" s="451">
        <f>'Recurrentes 24-26'!T6</f>
        <v>80</v>
      </c>
      <c r="U4" s="451">
        <f>'Recurrentes 24-26'!U6</f>
        <v>100</v>
      </c>
      <c r="V4" s="451">
        <f>'Recurrentes 24-26'!V6</f>
        <v>0</v>
      </c>
      <c r="W4" s="1062">
        <f>'Recurrentes 24-26'!W6</f>
        <v>2705</v>
      </c>
      <c r="X4" s="451">
        <f>'Recurrentes 24-26'!X6</f>
        <v>360</v>
      </c>
      <c r="Y4" s="451">
        <f>'Recurrentes 24-26'!Y6</f>
        <v>200</v>
      </c>
      <c r="Z4" s="451">
        <f>'Recurrentes 24-26'!Z6</f>
        <v>300</v>
      </c>
      <c r="AA4" s="451">
        <f>'Recurrentes 24-26'!AA6</f>
        <v>240</v>
      </c>
      <c r="AB4" s="451">
        <f>'Recurrentes 24-26'!AB6</f>
        <v>140</v>
      </c>
      <c r="AC4" s="451">
        <f>'Recurrentes 24-26'!AC6</f>
        <v>300</v>
      </c>
      <c r="AD4" s="451">
        <f>'Recurrentes 24-26'!AD6</f>
        <v>120</v>
      </c>
      <c r="AE4" s="451">
        <f>'Recurrentes 24-26'!AE6</f>
        <v>132</v>
      </c>
      <c r="AF4" s="451">
        <f>'Recurrentes 24-26'!AF6</f>
        <v>50</v>
      </c>
      <c r="AG4" s="451">
        <f>'Recurrentes 24-26'!AG6</f>
        <v>100</v>
      </c>
      <c r="AH4" s="451">
        <f>'Recurrentes 24-26'!AH6</f>
        <v>0</v>
      </c>
      <c r="AI4" s="1062">
        <f>'Recurrentes 24-26'!AI6</f>
        <v>1942</v>
      </c>
      <c r="AJ4" s="451">
        <f>'Recurrentes 24-26'!AJ6</f>
        <v>360</v>
      </c>
      <c r="AK4" s="451">
        <f>'Recurrentes 24-26'!AK6</f>
        <v>200</v>
      </c>
      <c r="AL4" s="451">
        <f>'Recurrentes 24-26'!AL6</f>
        <v>300</v>
      </c>
      <c r="AM4" s="451">
        <f>'Recurrentes 24-26'!AM6</f>
        <v>240</v>
      </c>
      <c r="AN4" s="451">
        <f>'Recurrentes 24-26'!AN6</f>
        <v>140</v>
      </c>
      <c r="AO4" s="451">
        <f>'Recurrentes 24-26'!AO6</f>
        <v>300</v>
      </c>
      <c r="AP4" s="451">
        <f>'Recurrentes 24-26'!AP6</f>
        <v>120</v>
      </c>
      <c r="AQ4" s="451">
        <f>'Recurrentes 24-26'!AQ6</f>
        <v>132</v>
      </c>
      <c r="AR4" s="451">
        <f>'Recurrentes 24-26'!AR6</f>
        <v>50</v>
      </c>
      <c r="AS4" s="451">
        <f>'Recurrentes 24-26'!AS6</f>
        <v>100</v>
      </c>
      <c r="AT4" s="451">
        <f>'Recurrentes 24-26'!AT6</f>
        <v>0</v>
      </c>
      <c r="AU4" s="1062">
        <f>'Recurrentes 24-26'!AU6</f>
        <v>1942</v>
      </c>
      <c r="AV4" s="1063">
        <f>'Recurrentes 24-26'!AV6</f>
        <v>6589</v>
      </c>
      <c r="AW4" s="451" t="str">
        <f>'Recurrentes 24-26'!AW6</f>
        <v/>
      </c>
      <c r="AX4" s="1062">
        <f>'Recurrentes 24-26'!AX6</f>
        <v>62.07</v>
      </c>
      <c r="AY4" s="1062">
        <f>'Recurrentes 24-26'!AY6</f>
        <v>432.0072</v>
      </c>
      <c r="AZ4" s="1064" t="str">
        <f>'Recurrentes 24-26'!AZ6</f>
        <v/>
      </c>
      <c r="BA4" s="1064">
        <f>'Recurrentes 24-26'!BA6</f>
        <v>221187.6864</v>
      </c>
      <c r="BB4" s="1064">
        <f>'Recurrentes 24-26'!BB6</f>
        <v>122690.0448</v>
      </c>
      <c r="BC4" s="1064">
        <f>'Recurrentes 24-26'!BC6</f>
        <v>184035.0672</v>
      </c>
      <c r="BD4" s="1064">
        <f>'Recurrentes 24-26'!BD6</f>
        <v>147314.4552</v>
      </c>
      <c r="BE4" s="1064">
        <f>'Recurrentes 24-26'!BE6</f>
        <v>85969.4328</v>
      </c>
      <c r="BF4" s="1064">
        <f>'Recurrentes 24-26'!BF6</f>
        <v>184035.0672</v>
      </c>
      <c r="BG4" s="1064">
        <f>'Recurrentes 24-26'!BG6</f>
        <v>64801.08</v>
      </c>
      <c r="BH4" s="1064">
        <f>'Recurrentes 24-26'!BH6</f>
        <v>80785.3464</v>
      </c>
      <c r="BI4" s="1064">
        <f>'Recurrentes 24-26'!BI6</f>
        <v>34560.576</v>
      </c>
      <c r="BJ4" s="1064">
        <f>'Recurrentes 24-26'!BJ6</f>
        <v>43200.72</v>
      </c>
      <c r="BK4" s="451"/>
      <c r="BL4" s="1062">
        <f>'Recurrentes 24-26'!BK6</f>
        <v>1168579.476</v>
      </c>
      <c r="BM4" s="1064">
        <f>'Recurrentes 24-26'!BL6</f>
        <v>155522.592</v>
      </c>
      <c r="BN4" s="1064">
        <f>'Recurrentes 24-26'!BM6</f>
        <v>86401.44</v>
      </c>
      <c r="BO4" s="1064">
        <f>'Recurrentes 24-26'!BN6</f>
        <v>129602.16</v>
      </c>
      <c r="BP4" s="1064">
        <f>'Recurrentes 24-26'!BO6</f>
        <v>103681.728</v>
      </c>
      <c r="BQ4" s="1064">
        <f>'Recurrentes 24-26'!BP6</f>
        <v>60481.008</v>
      </c>
      <c r="BR4" s="1064">
        <f>'Recurrentes 24-26'!BQ6</f>
        <v>129602.16</v>
      </c>
      <c r="BS4" s="1064">
        <f>'Recurrentes 24-26'!BR6</f>
        <v>51840.864</v>
      </c>
      <c r="BT4" s="1064">
        <f>'Recurrentes 24-26'!BS6</f>
        <v>57024.9504</v>
      </c>
      <c r="BU4" s="1064">
        <f>'Recurrentes 24-26'!BT6</f>
        <v>21600.36</v>
      </c>
      <c r="BV4" s="1064">
        <f>'Recurrentes 24-26'!BU6</f>
        <v>43200.72</v>
      </c>
      <c r="BW4" s="451"/>
      <c r="BX4" s="1062">
        <f>'Recurrentes 24-26'!BV6</f>
        <v>838957.9824</v>
      </c>
      <c r="BY4" s="1064">
        <f>'Recurrentes 24-26'!BW6</f>
        <v>155522.592</v>
      </c>
      <c r="BZ4" s="1064">
        <f>'Recurrentes 24-26'!BX6</f>
        <v>86401.44</v>
      </c>
      <c r="CA4" s="1064">
        <f>'Recurrentes 24-26'!BY6</f>
        <v>129602.16</v>
      </c>
      <c r="CB4" s="1064">
        <f>'Recurrentes 24-26'!BZ6</f>
        <v>103681.728</v>
      </c>
      <c r="CC4" s="1064">
        <f>'Recurrentes 24-26'!CA6</f>
        <v>60481.008</v>
      </c>
      <c r="CD4" s="1064">
        <f>'Recurrentes 24-26'!CB6</f>
        <v>129602.16</v>
      </c>
      <c r="CE4" s="1064">
        <f>'Recurrentes 24-26'!CC6</f>
        <v>51840.864</v>
      </c>
      <c r="CF4" s="1064">
        <f>'Recurrentes 24-26'!CD6</f>
        <v>57024.9504</v>
      </c>
      <c r="CG4" s="1064">
        <f>'Recurrentes 24-26'!CE6</f>
        <v>21600.36</v>
      </c>
      <c r="CH4" s="1064">
        <f>'Recurrentes 24-26'!CF6</f>
        <v>43200.72</v>
      </c>
      <c r="CI4" s="451"/>
      <c r="CJ4" s="1062">
        <f>'Recurrentes 24-26'!CG6</f>
        <v>838957.9824</v>
      </c>
      <c r="CK4" s="1062">
        <f>'Recurrentes 24-26'!CH6</f>
        <v>2846495.441</v>
      </c>
      <c r="CL4" s="451" t="str">
        <f>'Recurrentes 24-26'!CI6</f>
        <v/>
      </c>
      <c r="CM4" s="1064" t="str">
        <f>'Recurrentes 24-26'!CJ6</f>
        <v/>
      </c>
      <c r="CN4" s="451">
        <f>'Recurrentes 24-26'!CK6</f>
        <v>1</v>
      </c>
      <c r="CO4" s="1062">
        <f>'Recurrentes 24-26'!CL6</f>
        <v>62.07</v>
      </c>
      <c r="CP4" s="451" t="str">
        <f>'Recurrentes 24-26'!CM6</f>
        <v/>
      </c>
    </row>
    <row r="5">
      <c r="A5" s="451" t="str">
        <f>'Recurrentes 24-26'!A7</f>
        <v>Repuestos Electromecánicos recurrentes</v>
      </c>
      <c r="B5" s="451">
        <f>'Recurrentes 24-26'!B7</f>
        <v>2</v>
      </c>
      <c r="C5" s="451" t="str">
        <f>'Recurrentes 24-26'!C7</f>
        <v>Estaciones</v>
      </c>
      <c r="D5" s="451" t="str">
        <f>'Recurrentes 24-26'!D7</f>
        <v>Reacondicionamiento y Cambio de poleas de estacion</v>
      </c>
      <c r="E5" s="451" t="str">
        <f>'Recurrentes 24-26'!E7</f>
        <v>Repuesto Mecánico</v>
      </c>
      <c r="F5" s="451" t="str">
        <f>'Recurrentes 24-26'!F7</f>
        <v>TDB</v>
      </c>
      <c r="G5" s="1025" t="str">
        <f>'Recurrentes 24-26'!G7</f>
        <v>39800</v>
      </c>
      <c r="H5" s="1061" t="str">
        <f>'Recurrentes 24-26'!H7</f>
        <v>2-01-00011</v>
      </c>
      <c r="I5" s="1061" t="str">
        <f>'Recurrentes 24-26'!I7</f>
        <v>10431740</v>
      </c>
      <c r="J5" s="1061" t="str">
        <f>'Recurrentes 24-26'!J7</f>
        <v>GUARN.DE GOMA  501 485X100/R40 </v>
      </c>
      <c r="K5" s="451" t="str">
        <f>'Recurrentes 24-26'!K7</f>
        <v>Pza</v>
      </c>
      <c r="L5" s="451">
        <f>'Recurrentes 24-26'!L7</f>
        <v>7</v>
      </c>
      <c r="M5" s="451">
        <f>'Recurrentes 24-26'!M7</f>
        <v>10</v>
      </c>
      <c r="N5" s="451" t="str">
        <f>'Recurrentes 24-26'!N7</f>
        <v/>
      </c>
      <c r="O5" s="451">
        <f>'Recurrentes 24-26'!O7</f>
        <v>0</v>
      </c>
      <c r="P5" s="451">
        <f>'Recurrentes 24-26'!P7</f>
        <v>20</v>
      </c>
      <c r="Q5" s="451">
        <f>'Recurrentes 24-26'!Q7</f>
        <v>0</v>
      </c>
      <c r="R5" s="451">
        <f>'Recurrentes 24-26'!R7</f>
        <v>10</v>
      </c>
      <c r="S5" s="451">
        <f>'Recurrentes 24-26'!S7</f>
        <v>10</v>
      </c>
      <c r="T5" s="451">
        <f>'Recurrentes 24-26'!T7</f>
        <v>10</v>
      </c>
      <c r="U5" s="451">
        <f>'Recurrentes 24-26'!U7</f>
        <v>0</v>
      </c>
      <c r="V5" s="451" t="str">
        <f>'Recurrentes 24-26'!V7</f>
        <v/>
      </c>
      <c r="W5" s="1062">
        <f>'Recurrentes 24-26'!W7</f>
        <v>67</v>
      </c>
      <c r="X5" s="451">
        <f>'Recurrentes 24-26'!X7</f>
        <v>24</v>
      </c>
      <c r="Y5" s="451">
        <f>'Recurrentes 24-26'!Y7</f>
        <v>24</v>
      </c>
      <c r="Z5" s="451">
        <f>'Recurrentes 24-26'!Z7</f>
        <v>36</v>
      </c>
      <c r="AA5" s="451">
        <f>'Recurrentes 24-26'!AA7</f>
        <v>48</v>
      </c>
      <c r="AB5" s="451">
        <f>'Recurrentes 24-26'!AB7</f>
        <v>84</v>
      </c>
      <c r="AC5" s="451">
        <f>'Recurrentes 24-26'!AC7</f>
        <v>120</v>
      </c>
      <c r="AD5" s="451">
        <f>'Recurrentes 24-26'!AD7</f>
        <v>60</v>
      </c>
      <c r="AE5" s="451">
        <f>'Recurrentes 24-26'!AE7</f>
        <v>60</v>
      </c>
      <c r="AF5" s="451">
        <f>'Recurrentes 24-26'!AF7</f>
        <v>15</v>
      </c>
      <c r="AG5" s="451">
        <f>'Recurrentes 24-26'!AG7</f>
        <v>0</v>
      </c>
      <c r="AH5" s="451">
        <f>'Recurrentes 24-26'!AH7</f>
        <v>0</v>
      </c>
      <c r="AI5" s="1062">
        <f>'Recurrentes 24-26'!AI7</f>
        <v>471</v>
      </c>
      <c r="AJ5" s="451">
        <f>'Recurrentes 24-26'!AJ7</f>
        <v>24</v>
      </c>
      <c r="AK5" s="451">
        <f>'Recurrentes 24-26'!AK7</f>
        <v>24</v>
      </c>
      <c r="AL5" s="451">
        <f>'Recurrentes 24-26'!AL7</f>
        <v>36</v>
      </c>
      <c r="AM5" s="451">
        <f>'Recurrentes 24-26'!AM7</f>
        <v>48</v>
      </c>
      <c r="AN5" s="451">
        <f>'Recurrentes 24-26'!AN7</f>
        <v>84</v>
      </c>
      <c r="AO5" s="451">
        <f>'Recurrentes 24-26'!AO7</f>
        <v>120</v>
      </c>
      <c r="AP5" s="451">
        <f>'Recurrentes 24-26'!AP7</f>
        <v>60</v>
      </c>
      <c r="AQ5" s="451">
        <f>'Recurrentes 24-26'!AQ7</f>
        <v>60</v>
      </c>
      <c r="AR5" s="451">
        <f>'Recurrentes 24-26'!AR7</f>
        <v>15</v>
      </c>
      <c r="AS5" s="451">
        <f>'Recurrentes 24-26'!AS7</f>
        <v>0</v>
      </c>
      <c r="AT5" s="451">
        <f>'Recurrentes 24-26'!AT7</f>
        <v>0</v>
      </c>
      <c r="AU5" s="1062">
        <f>'Recurrentes 24-26'!AU7</f>
        <v>471</v>
      </c>
      <c r="AV5" s="1063">
        <f>'Recurrentes 24-26'!AV7</f>
        <v>1009</v>
      </c>
      <c r="AW5" s="451" t="str">
        <f>'Recurrentes 24-26'!AW7</f>
        <v/>
      </c>
      <c r="AX5" s="1062">
        <f>'Recurrentes 24-26'!AX7</f>
        <v>401.33</v>
      </c>
      <c r="AY5" s="1062">
        <f>'Recurrentes 24-26'!AY7</f>
        <v>2793.2568</v>
      </c>
      <c r="AZ5" s="1064" t="str">
        <f>'Recurrentes 24-26'!AZ7</f>
        <v/>
      </c>
      <c r="BA5" s="1064">
        <f>'Recurrentes 24-26'!BA7</f>
        <v>19552.7976</v>
      </c>
      <c r="BB5" s="1064">
        <f>'Recurrentes 24-26'!BB7</f>
        <v>27932.568</v>
      </c>
      <c r="BC5" s="1064">
        <f>'Recurrentes 24-26'!BC7</f>
        <v>0</v>
      </c>
      <c r="BD5" s="1064">
        <f>'Recurrentes 24-26'!BD7</f>
        <v>0</v>
      </c>
      <c r="BE5" s="1064">
        <f>'Recurrentes 24-26'!BE7</f>
        <v>55865.136</v>
      </c>
      <c r="BF5" s="1064">
        <f>'Recurrentes 24-26'!BF7</f>
        <v>0</v>
      </c>
      <c r="BG5" s="1064">
        <f>'Recurrentes 24-26'!BG7</f>
        <v>27932.568</v>
      </c>
      <c r="BH5" s="1064">
        <f>'Recurrentes 24-26'!BH7</f>
        <v>27932.568</v>
      </c>
      <c r="BI5" s="1064">
        <f>'Recurrentes 24-26'!BI7</f>
        <v>27932.568</v>
      </c>
      <c r="BJ5" s="1064">
        <f>'Recurrentes 24-26'!BJ7</f>
        <v>0</v>
      </c>
      <c r="BK5" s="451"/>
      <c r="BL5" s="1062">
        <f>'Recurrentes 24-26'!BK7</f>
        <v>187148.2056</v>
      </c>
      <c r="BM5" s="1064">
        <f>'Recurrentes 24-26'!BL7</f>
        <v>67038.1632</v>
      </c>
      <c r="BN5" s="1064">
        <f>'Recurrentes 24-26'!BM7</f>
        <v>67038.1632</v>
      </c>
      <c r="BO5" s="1064">
        <f>'Recurrentes 24-26'!BN7</f>
        <v>100557.2448</v>
      </c>
      <c r="BP5" s="1064">
        <f>'Recurrentes 24-26'!BO7</f>
        <v>134076.3264</v>
      </c>
      <c r="BQ5" s="1064">
        <f>'Recurrentes 24-26'!BP7</f>
        <v>234633.5712</v>
      </c>
      <c r="BR5" s="1064">
        <f>'Recurrentes 24-26'!BQ7</f>
        <v>335190.816</v>
      </c>
      <c r="BS5" s="1064">
        <f>'Recurrentes 24-26'!BR7</f>
        <v>167595.408</v>
      </c>
      <c r="BT5" s="1064">
        <f>'Recurrentes 24-26'!BS7</f>
        <v>167595.408</v>
      </c>
      <c r="BU5" s="1064">
        <f>'Recurrentes 24-26'!BT7</f>
        <v>41898.852</v>
      </c>
      <c r="BV5" s="1064">
        <f>'Recurrentes 24-26'!BU7</f>
        <v>0</v>
      </c>
      <c r="BW5" s="451"/>
      <c r="BX5" s="1062">
        <f>'Recurrentes 24-26'!BV7</f>
        <v>1315623.953</v>
      </c>
      <c r="BY5" s="1064">
        <f>'Recurrentes 24-26'!BW7</f>
        <v>67038.1632</v>
      </c>
      <c r="BZ5" s="1064">
        <f>'Recurrentes 24-26'!BX7</f>
        <v>67038.1632</v>
      </c>
      <c r="CA5" s="1064">
        <f>'Recurrentes 24-26'!BY7</f>
        <v>100557.2448</v>
      </c>
      <c r="CB5" s="1064">
        <f>'Recurrentes 24-26'!BZ7</f>
        <v>134076.3264</v>
      </c>
      <c r="CC5" s="1064">
        <f>'Recurrentes 24-26'!CA7</f>
        <v>234633.5712</v>
      </c>
      <c r="CD5" s="1064">
        <f>'Recurrentes 24-26'!CB7</f>
        <v>335190.816</v>
      </c>
      <c r="CE5" s="1064">
        <f>'Recurrentes 24-26'!CC7</f>
        <v>167595.408</v>
      </c>
      <c r="CF5" s="1064">
        <f>'Recurrentes 24-26'!CD7</f>
        <v>167595.408</v>
      </c>
      <c r="CG5" s="1064">
        <f>'Recurrentes 24-26'!CE7</f>
        <v>41898.852</v>
      </c>
      <c r="CH5" s="1064">
        <f>'Recurrentes 24-26'!CF7</f>
        <v>0</v>
      </c>
      <c r="CI5" s="451"/>
      <c r="CJ5" s="1062">
        <f>'Recurrentes 24-26'!CG7</f>
        <v>1315623.953</v>
      </c>
      <c r="CK5" s="1062">
        <f>'Recurrentes 24-26'!CH7</f>
        <v>2818396.111</v>
      </c>
      <c r="CL5" s="451" t="str">
        <f>'Recurrentes 24-26'!CI7</f>
        <v/>
      </c>
      <c r="CM5" s="1064" t="str">
        <f>'Recurrentes 24-26'!CJ7</f>
        <v/>
      </c>
      <c r="CN5" s="451">
        <f>'Recurrentes 24-26'!CK7</f>
        <v>1</v>
      </c>
      <c r="CO5" s="1062">
        <f>'Recurrentes 24-26'!CL7</f>
        <v>401.33</v>
      </c>
      <c r="CP5" s="451" t="str">
        <f>'Recurrentes 24-26'!CM7</f>
        <v/>
      </c>
    </row>
    <row r="6">
      <c r="A6" s="451" t="str">
        <f>'Recurrentes 24-26'!A8</f>
        <v>Repuestos Electromecánicos recurrentes</v>
      </c>
      <c r="B6" s="451">
        <f>'Recurrentes 24-26'!B8</f>
        <v>2</v>
      </c>
      <c r="C6" s="451" t="str">
        <f>'Recurrentes 24-26'!C8</f>
        <v>Estaciones</v>
      </c>
      <c r="D6" s="451" t="str">
        <f>'Recurrentes 24-26'!D8</f>
        <v>Reacondicionamiento y Cambio de poleas de estacion</v>
      </c>
      <c r="E6" s="451" t="str">
        <f>'Recurrentes 24-26'!E8</f>
        <v>Repuesto Mecánico</v>
      </c>
      <c r="F6" s="451" t="str">
        <f>'Recurrentes 24-26'!F8</f>
        <v>TDB</v>
      </c>
      <c r="G6" s="1025" t="str">
        <f>'Recurrentes 24-26'!G8</f>
        <v>39800</v>
      </c>
      <c r="H6" s="1061" t="str">
        <f>'Recurrentes 24-26'!H8</f>
        <v>2-01-00074</v>
      </c>
      <c r="I6" s="1061" t="str">
        <f>'Recurrentes 24-26'!I8</f>
        <v>10461436</v>
      </c>
      <c r="J6" s="1061" t="str">
        <f>'Recurrentes 24-26'!J8</f>
        <v>GUARN.DE GOMA  403 403X 93/R38 </v>
      </c>
      <c r="K6" s="451" t="str">
        <f>'Recurrentes 24-26'!K8</f>
        <v>Pza</v>
      </c>
      <c r="L6" s="451">
        <f>'Recurrentes 24-26'!L8</f>
        <v>0</v>
      </c>
      <c r="M6" s="451">
        <f>'Recurrentes 24-26'!M8</f>
        <v>0</v>
      </c>
      <c r="N6" s="451">
        <f>'Recurrentes 24-26'!N8</f>
        <v>0</v>
      </c>
      <c r="O6" s="451">
        <f>'Recurrentes 24-26'!O8</f>
        <v>0</v>
      </c>
      <c r="P6" s="451">
        <f>'Recurrentes 24-26'!P8</f>
        <v>72</v>
      </c>
      <c r="Q6" s="451">
        <f>'Recurrentes 24-26'!Q8</f>
        <v>96</v>
      </c>
      <c r="R6" s="451">
        <f>'Recurrentes 24-26'!R8</f>
        <v>0</v>
      </c>
      <c r="S6" s="451">
        <f>'Recurrentes 24-26'!S8</f>
        <v>0</v>
      </c>
      <c r="T6" s="451">
        <f>'Recurrentes 24-26'!T8</f>
        <v>0</v>
      </c>
      <c r="U6" s="451">
        <f>'Recurrentes 24-26'!U8</f>
        <v>0</v>
      </c>
      <c r="V6" s="451">
        <f>'Recurrentes 24-26'!V8</f>
        <v>0</v>
      </c>
      <c r="W6" s="1062">
        <f>'Recurrentes 24-26'!W8</f>
        <v>168</v>
      </c>
      <c r="X6" s="451">
        <f>'Recurrentes 24-26'!X8</f>
        <v>24</v>
      </c>
      <c r="Y6" s="451">
        <f>'Recurrentes 24-26'!Y8</f>
        <v>24</v>
      </c>
      <c r="Z6" s="451">
        <f>'Recurrentes 24-26'!Z8</f>
        <v>36</v>
      </c>
      <c r="AA6" s="451">
        <f>'Recurrentes 24-26'!AA8</f>
        <v>72</v>
      </c>
      <c r="AB6" s="451">
        <f>'Recurrentes 24-26'!AB8</f>
        <v>108</v>
      </c>
      <c r="AC6" s="451">
        <f>'Recurrentes 24-26'!AC8</f>
        <v>144</v>
      </c>
      <c r="AD6" s="451">
        <f>'Recurrentes 24-26'!AD8</f>
        <v>36</v>
      </c>
      <c r="AE6" s="451">
        <f>'Recurrentes 24-26'!AE8</f>
        <v>36</v>
      </c>
      <c r="AF6" s="451">
        <f>'Recurrentes 24-26'!AF8</f>
        <v>15</v>
      </c>
      <c r="AG6" s="451">
        <f>'Recurrentes 24-26'!AG8</f>
        <v>0</v>
      </c>
      <c r="AH6" s="451">
        <f>'Recurrentes 24-26'!AH8</f>
        <v>0</v>
      </c>
      <c r="AI6" s="1062">
        <f>'Recurrentes 24-26'!AI8</f>
        <v>495</v>
      </c>
      <c r="AJ6" s="451">
        <f>'Recurrentes 24-26'!AJ8</f>
        <v>24</v>
      </c>
      <c r="AK6" s="451">
        <f>'Recurrentes 24-26'!AK8</f>
        <v>24</v>
      </c>
      <c r="AL6" s="451">
        <f>'Recurrentes 24-26'!AL8</f>
        <v>36</v>
      </c>
      <c r="AM6" s="451">
        <f>'Recurrentes 24-26'!AM8</f>
        <v>72</v>
      </c>
      <c r="AN6" s="451">
        <f>'Recurrentes 24-26'!AN8</f>
        <v>108</v>
      </c>
      <c r="AO6" s="451">
        <f>'Recurrentes 24-26'!AO8</f>
        <v>144</v>
      </c>
      <c r="AP6" s="451">
        <f>'Recurrentes 24-26'!AP8</f>
        <v>36</v>
      </c>
      <c r="AQ6" s="451">
        <f>'Recurrentes 24-26'!AQ8</f>
        <v>36</v>
      </c>
      <c r="AR6" s="451">
        <f>'Recurrentes 24-26'!AR8</f>
        <v>15</v>
      </c>
      <c r="AS6" s="451">
        <f>'Recurrentes 24-26'!AS8</f>
        <v>0</v>
      </c>
      <c r="AT6" s="451">
        <f>'Recurrentes 24-26'!AT8</f>
        <v>0</v>
      </c>
      <c r="AU6" s="1062">
        <f>'Recurrentes 24-26'!AU8</f>
        <v>495</v>
      </c>
      <c r="AV6" s="1063">
        <f>'Recurrentes 24-26'!AV8</f>
        <v>1158</v>
      </c>
      <c r="AW6" s="451" t="str">
        <f>'Recurrentes 24-26'!AW8</f>
        <v/>
      </c>
      <c r="AX6" s="1062">
        <f>'Recurrentes 24-26'!AX8</f>
        <v>275</v>
      </c>
      <c r="AY6" s="1062">
        <f>'Recurrentes 24-26'!AY8</f>
        <v>1914</v>
      </c>
      <c r="AZ6" s="1064" t="str">
        <f>'Recurrentes 24-26'!AZ8</f>
        <v/>
      </c>
      <c r="BA6" s="1064">
        <f>'Recurrentes 24-26'!BA8</f>
        <v>0</v>
      </c>
      <c r="BB6" s="1064">
        <f>'Recurrentes 24-26'!BB8</f>
        <v>0</v>
      </c>
      <c r="BC6" s="1064">
        <f>'Recurrentes 24-26'!BC8</f>
        <v>0</v>
      </c>
      <c r="BD6" s="1064">
        <f>'Recurrentes 24-26'!BD8</f>
        <v>0</v>
      </c>
      <c r="BE6" s="1064">
        <f>'Recurrentes 24-26'!BE8</f>
        <v>137808</v>
      </c>
      <c r="BF6" s="1064">
        <f>'Recurrentes 24-26'!BF8</f>
        <v>183744</v>
      </c>
      <c r="BG6" s="1064">
        <f>'Recurrentes 24-26'!BG8</f>
        <v>0</v>
      </c>
      <c r="BH6" s="1064">
        <f>'Recurrentes 24-26'!BH8</f>
        <v>0</v>
      </c>
      <c r="BI6" s="1064">
        <f>'Recurrentes 24-26'!BI8</f>
        <v>0</v>
      </c>
      <c r="BJ6" s="1064">
        <f>'Recurrentes 24-26'!BJ8</f>
        <v>0</v>
      </c>
      <c r="BK6" s="451"/>
      <c r="BL6" s="1062">
        <f>'Recurrentes 24-26'!BK8</f>
        <v>321552</v>
      </c>
      <c r="BM6" s="1064">
        <f>'Recurrentes 24-26'!BL8</f>
        <v>45936</v>
      </c>
      <c r="BN6" s="1064">
        <f>'Recurrentes 24-26'!BM8</f>
        <v>45936</v>
      </c>
      <c r="BO6" s="1064">
        <f>'Recurrentes 24-26'!BN8</f>
        <v>68904</v>
      </c>
      <c r="BP6" s="1064">
        <f>'Recurrentes 24-26'!BO8</f>
        <v>137808</v>
      </c>
      <c r="BQ6" s="1064">
        <f>'Recurrentes 24-26'!BP8</f>
        <v>206712</v>
      </c>
      <c r="BR6" s="1064">
        <f>'Recurrentes 24-26'!BQ8</f>
        <v>275616</v>
      </c>
      <c r="BS6" s="1064">
        <f>'Recurrentes 24-26'!BR8</f>
        <v>68904</v>
      </c>
      <c r="BT6" s="1064">
        <f>'Recurrentes 24-26'!BS8</f>
        <v>68904</v>
      </c>
      <c r="BU6" s="1064">
        <f>'Recurrentes 24-26'!BT8</f>
        <v>28710</v>
      </c>
      <c r="BV6" s="1064">
        <f>'Recurrentes 24-26'!BU8</f>
        <v>0</v>
      </c>
      <c r="BW6" s="451"/>
      <c r="BX6" s="1062">
        <f>'Recurrentes 24-26'!BV8</f>
        <v>947430</v>
      </c>
      <c r="BY6" s="1064">
        <f>'Recurrentes 24-26'!BW8</f>
        <v>45936</v>
      </c>
      <c r="BZ6" s="1064">
        <f>'Recurrentes 24-26'!BX8</f>
        <v>45936</v>
      </c>
      <c r="CA6" s="1064">
        <f>'Recurrentes 24-26'!BY8</f>
        <v>68904</v>
      </c>
      <c r="CB6" s="1064">
        <f>'Recurrentes 24-26'!BZ8</f>
        <v>137808</v>
      </c>
      <c r="CC6" s="1064">
        <f>'Recurrentes 24-26'!CA8</f>
        <v>206712</v>
      </c>
      <c r="CD6" s="1064">
        <f>'Recurrentes 24-26'!CB8</f>
        <v>275616</v>
      </c>
      <c r="CE6" s="1064">
        <f>'Recurrentes 24-26'!CC8</f>
        <v>68904</v>
      </c>
      <c r="CF6" s="1064">
        <f>'Recurrentes 24-26'!CD8</f>
        <v>68904</v>
      </c>
      <c r="CG6" s="1064">
        <f>'Recurrentes 24-26'!CE8</f>
        <v>28710</v>
      </c>
      <c r="CH6" s="1064">
        <f>'Recurrentes 24-26'!CF8</f>
        <v>0</v>
      </c>
      <c r="CI6" s="451"/>
      <c r="CJ6" s="1062">
        <f>'Recurrentes 24-26'!CG8</f>
        <v>947430</v>
      </c>
      <c r="CK6" s="1062">
        <f>'Recurrentes 24-26'!CH8</f>
        <v>2216412</v>
      </c>
      <c r="CL6" s="451" t="str">
        <f>'Recurrentes 24-26'!CI8</f>
        <v/>
      </c>
      <c r="CM6" s="1064" t="str">
        <f>'Recurrentes 24-26'!CJ8</f>
        <v/>
      </c>
      <c r="CN6" s="451">
        <f>'Recurrentes 24-26'!CK8</f>
        <v>1</v>
      </c>
      <c r="CO6" s="1062">
        <f>'Recurrentes 24-26'!CL8</f>
        <v>275</v>
      </c>
      <c r="CP6" s="451" t="str">
        <f>'Recurrentes 24-26'!CM8</f>
        <v/>
      </c>
    </row>
    <row r="7">
      <c r="A7" s="451" t="str">
        <f>'Recurrentes 24-26'!A9</f>
        <v>Repuestos Electromecánicos recurrentes</v>
      </c>
      <c r="B7" s="451">
        <f>'Recurrentes 24-26'!B9</f>
        <v>2</v>
      </c>
      <c r="C7" s="451" t="str">
        <f>'Recurrentes 24-26'!C9</f>
        <v>Torres</v>
      </c>
      <c r="D7" s="451" t="str">
        <f>'Recurrentes 24-26'!D9</f>
        <v>Reacondicionamiento de Poleas Palpadoras</v>
      </c>
      <c r="E7" s="451" t="str">
        <f>'Recurrentes 24-26'!E9</f>
        <v>Repuesto Mecánico</v>
      </c>
      <c r="F7" s="451" t="str">
        <f>'Recurrentes 24-26'!F9</f>
        <v>TDB</v>
      </c>
      <c r="G7" s="1025" t="str">
        <f>'Recurrentes 24-26'!G9</f>
        <v>39800</v>
      </c>
      <c r="H7" s="1061" t="str">
        <f>'Recurrentes 24-26'!H9</f>
        <v>2-01-00013</v>
      </c>
      <c r="I7" s="1061" t="str">
        <f>'Recurrentes 24-26'!I9</f>
        <v>10539289</v>
      </c>
      <c r="J7" s="1061" t="str">
        <f>'Recurrentes 24-26'!J9</f>
        <v>GUARN. GOMA C 258X69/R30/CONCAV.P.POL.SENSOR (RPD EN CP SUJ.)</v>
      </c>
      <c r="K7" s="451" t="str">
        <f>'Recurrentes 24-26'!K9</f>
        <v>Pza</v>
      </c>
      <c r="L7" s="451">
        <f>'Recurrentes 24-26'!L9</f>
        <v>64</v>
      </c>
      <c r="M7" s="451">
        <f>'Recurrentes 24-26'!M9</f>
        <v>44</v>
      </c>
      <c r="N7" s="451">
        <f>'Recurrentes 24-26'!N9</f>
        <v>62</v>
      </c>
      <c r="O7" s="451">
        <f>'Recurrentes 24-26'!O9</f>
        <v>0</v>
      </c>
      <c r="P7" s="451">
        <f>'Recurrentes 24-26'!P9</f>
        <v>0</v>
      </c>
      <c r="Q7" s="451">
        <f>'Recurrentes 24-26'!Q9</f>
        <v>0</v>
      </c>
      <c r="R7" s="451">
        <f>'Recurrentes 24-26'!R9</f>
        <v>63</v>
      </c>
      <c r="S7" s="451">
        <f>'Recurrentes 24-26'!S9</f>
        <v>63</v>
      </c>
      <c r="T7" s="451">
        <f>'Recurrentes 24-26'!T9</f>
        <v>18</v>
      </c>
      <c r="U7" s="451">
        <f>'Recurrentes 24-26'!U9</f>
        <v>0</v>
      </c>
      <c r="V7" s="451">
        <f>'Recurrentes 24-26'!V9</f>
        <v>0</v>
      </c>
      <c r="W7" s="1062">
        <f>'Recurrentes 24-26'!W9</f>
        <v>314</v>
      </c>
      <c r="X7" s="451">
        <f>'Recurrentes 24-26'!X9</f>
        <v>56</v>
      </c>
      <c r="Y7" s="451">
        <f>'Recurrentes 24-26'!Y9</f>
        <v>40</v>
      </c>
      <c r="Z7" s="451">
        <f>'Recurrentes 24-26'!Z9</f>
        <v>56</v>
      </c>
      <c r="AA7" s="451">
        <f>'Recurrentes 24-26'!AA9</f>
        <v>20</v>
      </c>
      <c r="AB7" s="451">
        <f>'Recurrentes 24-26'!AB9</f>
        <v>28</v>
      </c>
      <c r="AC7" s="451">
        <f>'Recurrentes 24-26'!AC9</f>
        <v>44</v>
      </c>
      <c r="AD7" s="451">
        <f>'Recurrentes 24-26'!AD9</f>
        <v>56</v>
      </c>
      <c r="AE7" s="451">
        <f>'Recurrentes 24-26'!AE9</f>
        <v>56</v>
      </c>
      <c r="AF7" s="451">
        <f>'Recurrentes 24-26'!AF9</f>
        <v>16</v>
      </c>
      <c r="AG7" s="451">
        <f>'Recurrentes 24-26'!AG9</f>
        <v>48</v>
      </c>
      <c r="AH7" s="451">
        <f>'Recurrentes 24-26'!AH9</f>
        <v>0</v>
      </c>
      <c r="AI7" s="1062">
        <f>'Recurrentes 24-26'!AI9</f>
        <v>420</v>
      </c>
      <c r="AJ7" s="451">
        <f>'Recurrentes 24-26'!AJ9</f>
        <v>56</v>
      </c>
      <c r="AK7" s="451">
        <f>'Recurrentes 24-26'!AK9</f>
        <v>40</v>
      </c>
      <c r="AL7" s="451">
        <f>'Recurrentes 24-26'!AL9</f>
        <v>56</v>
      </c>
      <c r="AM7" s="451">
        <f>'Recurrentes 24-26'!AM9</f>
        <v>20</v>
      </c>
      <c r="AN7" s="451">
        <f>'Recurrentes 24-26'!AN9</f>
        <v>28</v>
      </c>
      <c r="AO7" s="451">
        <f>'Recurrentes 24-26'!AO9</f>
        <v>44</v>
      </c>
      <c r="AP7" s="451">
        <f>'Recurrentes 24-26'!AP9</f>
        <v>56</v>
      </c>
      <c r="AQ7" s="451">
        <f>'Recurrentes 24-26'!AQ9</f>
        <v>56</v>
      </c>
      <c r="AR7" s="451">
        <f>'Recurrentes 24-26'!AR9</f>
        <v>16</v>
      </c>
      <c r="AS7" s="451">
        <f>'Recurrentes 24-26'!AS9</f>
        <v>48</v>
      </c>
      <c r="AT7" s="451">
        <f>'Recurrentes 24-26'!AT9</f>
        <v>0</v>
      </c>
      <c r="AU7" s="1062">
        <f>'Recurrentes 24-26'!AU9</f>
        <v>420</v>
      </c>
      <c r="AV7" s="1063">
        <f>'Recurrentes 24-26'!AV9</f>
        <v>1154</v>
      </c>
      <c r="AW7" s="451" t="str">
        <f>'Recurrentes 24-26'!AW9</f>
        <v/>
      </c>
      <c r="AX7" s="1062">
        <f>'Recurrentes 24-26'!AX9</f>
        <v>124.41</v>
      </c>
      <c r="AY7" s="1062">
        <f>'Recurrentes 24-26'!AY9</f>
        <v>865.8936</v>
      </c>
      <c r="AZ7" s="1064" t="str">
        <f>'Recurrentes 24-26'!AZ9</f>
        <v/>
      </c>
      <c r="BA7" s="1064">
        <f>'Recurrentes 24-26'!BA9</f>
        <v>55417.1904</v>
      </c>
      <c r="BB7" s="1064">
        <f>'Recurrentes 24-26'!BB9</f>
        <v>38099.3184</v>
      </c>
      <c r="BC7" s="1064">
        <f>'Recurrentes 24-26'!BC9</f>
        <v>53685.4032</v>
      </c>
      <c r="BD7" s="1064">
        <f>'Recurrentes 24-26'!BD9</f>
        <v>0</v>
      </c>
      <c r="BE7" s="1064">
        <f>'Recurrentes 24-26'!BE9</f>
        <v>0</v>
      </c>
      <c r="BF7" s="1064">
        <f>'Recurrentes 24-26'!BF9</f>
        <v>0</v>
      </c>
      <c r="BG7" s="1064">
        <f>'Recurrentes 24-26'!BG9</f>
        <v>54551.2968</v>
      </c>
      <c r="BH7" s="1064">
        <f>'Recurrentes 24-26'!BH9</f>
        <v>54551.2968</v>
      </c>
      <c r="BI7" s="1064">
        <f>'Recurrentes 24-26'!BI9</f>
        <v>15586.0848</v>
      </c>
      <c r="BJ7" s="1064">
        <f>'Recurrentes 24-26'!BJ9</f>
        <v>0</v>
      </c>
      <c r="BK7" s="451"/>
      <c r="BL7" s="1062">
        <f>'Recurrentes 24-26'!BK9</f>
        <v>271890.5904</v>
      </c>
      <c r="BM7" s="1064">
        <f>'Recurrentes 24-26'!BL9</f>
        <v>48490.0416</v>
      </c>
      <c r="BN7" s="1064">
        <f>'Recurrentes 24-26'!BM9</f>
        <v>34635.744</v>
      </c>
      <c r="BO7" s="1064">
        <f>'Recurrentes 24-26'!BN9</f>
        <v>48490.0416</v>
      </c>
      <c r="BP7" s="1064">
        <f>'Recurrentes 24-26'!BO9</f>
        <v>17317.872</v>
      </c>
      <c r="BQ7" s="1064">
        <f>'Recurrentes 24-26'!BP9</f>
        <v>24245.0208</v>
      </c>
      <c r="BR7" s="1064">
        <f>'Recurrentes 24-26'!BQ9</f>
        <v>38099.3184</v>
      </c>
      <c r="BS7" s="1064">
        <f>'Recurrentes 24-26'!BR9</f>
        <v>48490.0416</v>
      </c>
      <c r="BT7" s="1064">
        <f>'Recurrentes 24-26'!BS9</f>
        <v>48490.0416</v>
      </c>
      <c r="BU7" s="1064">
        <f>'Recurrentes 24-26'!BT9</f>
        <v>13854.2976</v>
      </c>
      <c r="BV7" s="1064">
        <f>'Recurrentes 24-26'!BU9</f>
        <v>41562.8928</v>
      </c>
      <c r="BW7" s="451"/>
      <c r="BX7" s="1062">
        <f>'Recurrentes 24-26'!BV9</f>
        <v>363675.312</v>
      </c>
      <c r="BY7" s="1064">
        <f>'Recurrentes 24-26'!BW9</f>
        <v>48490.0416</v>
      </c>
      <c r="BZ7" s="1064">
        <f>'Recurrentes 24-26'!BX9</f>
        <v>34635.744</v>
      </c>
      <c r="CA7" s="1064">
        <f>'Recurrentes 24-26'!BY9</f>
        <v>48490.0416</v>
      </c>
      <c r="CB7" s="1064">
        <f>'Recurrentes 24-26'!BZ9</f>
        <v>17317.872</v>
      </c>
      <c r="CC7" s="1064">
        <f>'Recurrentes 24-26'!CA9</f>
        <v>24245.0208</v>
      </c>
      <c r="CD7" s="1064">
        <f>'Recurrentes 24-26'!CB9</f>
        <v>38099.3184</v>
      </c>
      <c r="CE7" s="1064">
        <f>'Recurrentes 24-26'!CC9</f>
        <v>48490.0416</v>
      </c>
      <c r="CF7" s="1064">
        <f>'Recurrentes 24-26'!CD9</f>
        <v>48490.0416</v>
      </c>
      <c r="CG7" s="1064">
        <f>'Recurrentes 24-26'!CE9</f>
        <v>13854.2976</v>
      </c>
      <c r="CH7" s="1064">
        <f>'Recurrentes 24-26'!CF9</f>
        <v>41562.8928</v>
      </c>
      <c r="CI7" s="451"/>
      <c r="CJ7" s="1062">
        <f>'Recurrentes 24-26'!CG9</f>
        <v>363675.312</v>
      </c>
      <c r="CK7" s="1062">
        <f>'Recurrentes 24-26'!CH9</f>
        <v>999241.2144</v>
      </c>
      <c r="CL7" s="451" t="str">
        <f>'Recurrentes 24-26'!CI9</f>
        <v/>
      </c>
      <c r="CM7" s="1064" t="str">
        <f>'Recurrentes 24-26'!CJ9</f>
        <v/>
      </c>
      <c r="CN7" s="451">
        <f>'Recurrentes 24-26'!CK9</f>
        <v>1</v>
      </c>
      <c r="CO7" s="1062">
        <f>'Recurrentes 24-26'!CL9</f>
        <v>124.41</v>
      </c>
      <c r="CP7" s="451" t="str">
        <f>'Recurrentes 24-26'!CM9</f>
        <v/>
      </c>
    </row>
    <row r="8">
      <c r="A8" s="451" t="str">
        <f>'Recurrentes 24-26'!A10</f>
        <v>Repuestos Electromecánicos recurrentes</v>
      </c>
      <c r="B8" s="451">
        <f>'Recurrentes 24-26'!B10</f>
        <v>2</v>
      </c>
      <c r="C8" s="451" t="str">
        <f>'Recurrentes 24-26'!C10</f>
        <v>Estaciones</v>
      </c>
      <c r="D8" s="451" t="str">
        <f>'Recurrentes 24-26'!D10</f>
        <v>Reacondicionamiento y Cambio de poleas de estacion</v>
      </c>
      <c r="E8" s="451" t="str">
        <f>'Recurrentes 24-26'!E10</f>
        <v>Repuesto Mecánico</v>
      </c>
      <c r="F8" s="451" t="str">
        <f>'Recurrentes 24-26'!F10</f>
        <v>TDB</v>
      </c>
      <c r="G8" s="1025" t="str">
        <f>'Recurrentes 24-26'!G10</f>
        <v>39800</v>
      </c>
      <c r="H8" s="1061" t="str">
        <f>'Recurrentes 24-26'!H10</f>
        <v>2-01-00879</v>
      </c>
      <c r="I8" s="1061" t="str">
        <f>'Recurrentes 24-26'!I10</f>
        <v>11592082</v>
      </c>
      <c r="J8" s="1061" t="str">
        <f>'Recurrentes 24-26'!J10</f>
        <v>GUARNICIÓN DE GOMA 500 474X100/R40/2XR8,5 P. POL.FRICC. UNIG</v>
      </c>
      <c r="K8" s="451" t="str">
        <f>'Recurrentes 24-26'!K10</f>
        <v>Pza</v>
      </c>
      <c r="L8" s="451">
        <f>'Recurrentes 24-26'!L10</f>
        <v>0</v>
      </c>
      <c r="M8" s="451">
        <f>'Recurrentes 24-26'!M10</f>
        <v>0</v>
      </c>
      <c r="N8" s="451">
        <f>'Recurrentes 24-26'!N10</f>
        <v>0</v>
      </c>
      <c r="O8" s="451">
        <f>'Recurrentes 24-26'!O10</f>
        <v>0</v>
      </c>
      <c r="P8" s="451">
        <f>'Recurrentes 24-26'!P10</f>
        <v>0</v>
      </c>
      <c r="Q8" s="451">
        <f>'Recurrentes 24-26'!Q10</f>
        <v>0</v>
      </c>
      <c r="R8" s="451">
        <f>'Recurrentes 24-26'!R10</f>
        <v>0</v>
      </c>
      <c r="S8" s="451">
        <f>'Recurrentes 24-26'!S10</f>
        <v>0</v>
      </c>
      <c r="T8" s="451">
        <f>'Recurrentes 24-26'!T10</f>
        <v>0</v>
      </c>
      <c r="U8" s="451">
        <f>'Recurrentes 24-26'!U10</f>
        <v>0</v>
      </c>
      <c r="V8" s="451">
        <f>'Recurrentes 24-26'!V10</f>
        <v>0</v>
      </c>
      <c r="W8" s="1062">
        <f>'Recurrentes 24-26'!W10</f>
        <v>0</v>
      </c>
      <c r="X8" s="451">
        <f>'Recurrentes 24-26'!X10</f>
        <v>20</v>
      </c>
      <c r="Y8" s="451">
        <f>'Recurrentes 24-26'!Y10</f>
        <v>8</v>
      </c>
      <c r="Z8" s="451">
        <f>'Recurrentes 24-26'!Z10</f>
        <v>24</v>
      </c>
      <c r="AA8" s="451">
        <f>'Recurrentes 24-26'!AA10</f>
        <v>16</v>
      </c>
      <c r="AB8" s="451">
        <f>'Recurrentes 24-26'!AB10</f>
        <v>24</v>
      </c>
      <c r="AC8" s="451">
        <f>'Recurrentes 24-26'!AC10</f>
        <v>16</v>
      </c>
      <c r="AD8" s="451">
        <f>'Recurrentes 24-26'!AD10</f>
        <v>12</v>
      </c>
      <c r="AE8" s="451">
        <f>'Recurrentes 24-26'!AE10</f>
        <v>12</v>
      </c>
      <c r="AF8" s="451">
        <f>'Recurrentes 24-26'!AF10</f>
        <v>4</v>
      </c>
      <c r="AG8" s="451">
        <f>'Recurrentes 24-26'!AG10</f>
        <v>9</v>
      </c>
      <c r="AH8" s="451">
        <f>'Recurrentes 24-26'!AH10</f>
        <v>0</v>
      </c>
      <c r="AI8" s="1062">
        <f>'Recurrentes 24-26'!AI10</f>
        <v>145</v>
      </c>
      <c r="AJ8" s="451">
        <f>'Recurrentes 24-26'!AJ10</f>
        <v>20</v>
      </c>
      <c r="AK8" s="451">
        <f>'Recurrentes 24-26'!AK10</f>
        <v>8</v>
      </c>
      <c r="AL8" s="451">
        <f>'Recurrentes 24-26'!AL10</f>
        <v>24</v>
      </c>
      <c r="AM8" s="451">
        <f>'Recurrentes 24-26'!AM10</f>
        <v>16</v>
      </c>
      <c r="AN8" s="451">
        <f>'Recurrentes 24-26'!AN10</f>
        <v>24</v>
      </c>
      <c r="AO8" s="451">
        <f>'Recurrentes 24-26'!AO10</f>
        <v>16</v>
      </c>
      <c r="AP8" s="451">
        <f>'Recurrentes 24-26'!AP10</f>
        <v>12</v>
      </c>
      <c r="AQ8" s="451">
        <f>'Recurrentes 24-26'!AQ10</f>
        <v>12</v>
      </c>
      <c r="AR8" s="451">
        <f>'Recurrentes 24-26'!AR10</f>
        <v>4</v>
      </c>
      <c r="AS8" s="451">
        <f>'Recurrentes 24-26'!AS10</f>
        <v>12</v>
      </c>
      <c r="AT8" s="451">
        <f>'Recurrentes 24-26'!AT10</f>
        <v>0</v>
      </c>
      <c r="AU8" s="1062">
        <f>'Recurrentes 24-26'!AU10</f>
        <v>148</v>
      </c>
      <c r="AV8" s="1063">
        <f>'Recurrentes 24-26'!AV10</f>
        <v>293</v>
      </c>
      <c r="AW8" s="451" t="str">
        <f>'Recurrentes 24-26'!AW10</f>
        <v/>
      </c>
      <c r="AX8" s="1062">
        <f>'Recurrentes 24-26'!AX10</f>
        <v>409.98</v>
      </c>
      <c r="AY8" s="1062">
        <f>'Recurrentes 24-26'!AY10</f>
        <v>2853.4608</v>
      </c>
      <c r="AZ8" s="1064" t="str">
        <f>'Recurrentes 24-26'!AZ10</f>
        <v/>
      </c>
      <c r="BA8" s="1064">
        <f>'Recurrentes 24-26'!BA10</f>
        <v>0</v>
      </c>
      <c r="BB8" s="1064">
        <f>'Recurrentes 24-26'!BB10</f>
        <v>0</v>
      </c>
      <c r="BC8" s="1064">
        <f>'Recurrentes 24-26'!BC10</f>
        <v>0</v>
      </c>
      <c r="BD8" s="1064">
        <f>'Recurrentes 24-26'!BD10</f>
        <v>0</v>
      </c>
      <c r="BE8" s="1064">
        <f>'Recurrentes 24-26'!BE10</f>
        <v>0</v>
      </c>
      <c r="BF8" s="1064">
        <f>'Recurrentes 24-26'!BF10</f>
        <v>0</v>
      </c>
      <c r="BG8" s="1064">
        <f>'Recurrentes 24-26'!BG10</f>
        <v>0</v>
      </c>
      <c r="BH8" s="1064">
        <f>'Recurrentes 24-26'!BH10</f>
        <v>0</v>
      </c>
      <c r="BI8" s="1064">
        <f>'Recurrentes 24-26'!BI10</f>
        <v>0</v>
      </c>
      <c r="BJ8" s="1064">
        <f>'Recurrentes 24-26'!BJ10</f>
        <v>0</v>
      </c>
      <c r="BK8" s="451"/>
      <c r="BL8" s="1062">
        <f>'Recurrentes 24-26'!BK10</f>
        <v>0</v>
      </c>
      <c r="BM8" s="1064">
        <f>'Recurrentes 24-26'!BL10</f>
        <v>57069.216</v>
      </c>
      <c r="BN8" s="1064">
        <f>'Recurrentes 24-26'!BM10</f>
        <v>22827.6864</v>
      </c>
      <c r="BO8" s="1064">
        <f>'Recurrentes 24-26'!BN10</f>
        <v>68483.0592</v>
      </c>
      <c r="BP8" s="1064">
        <f>'Recurrentes 24-26'!BO10</f>
        <v>45655.3728</v>
      </c>
      <c r="BQ8" s="1064">
        <f>'Recurrentes 24-26'!BP10</f>
        <v>68483.0592</v>
      </c>
      <c r="BR8" s="1064">
        <f>'Recurrentes 24-26'!BQ10</f>
        <v>45655.3728</v>
      </c>
      <c r="BS8" s="1064">
        <f>'Recurrentes 24-26'!BR10</f>
        <v>34241.5296</v>
      </c>
      <c r="BT8" s="1064">
        <f>'Recurrentes 24-26'!BS10</f>
        <v>34241.5296</v>
      </c>
      <c r="BU8" s="1064">
        <f>'Recurrentes 24-26'!BT10</f>
        <v>11413.8432</v>
      </c>
      <c r="BV8" s="1064">
        <f>'Recurrentes 24-26'!BU10</f>
        <v>25681.1472</v>
      </c>
      <c r="BW8" s="451"/>
      <c r="BX8" s="1062">
        <f>'Recurrentes 24-26'!BV10</f>
        <v>413751.816</v>
      </c>
      <c r="BY8" s="1064">
        <f>'Recurrentes 24-26'!BW10</f>
        <v>57069.216</v>
      </c>
      <c r="BZ8" s="1064">
        <f>'Recurrentes 24-26'!BX10</f>
        <v>22827.6864</v>
      </c>
      <c r="CA8" s="1064">
        <f>'Recurrentes 24-26'!BY10</f>
        <v>68483.0592</v>
      </c>
      <c r="CB8" s="1064">
        <f>'Recurrentes 24-26'!BZ10</f>
        <v>45655.3728</v>
      </c>
      <c r="CC8" s="1064">
        <f>'Recurrentes 24-26'!CA10</f>
        <v>68483.0592</v>
      </c>
      <c r="CD8" s="1064">
        <f>'Recurrentes 24-26'!CB10</f>
        <v>45655.3728</v>
      </c>
      <c r="CE8" s="1064">
        <f>'Recurrentes 24-26'!CC10</f>
        <v>34241.5296</v>
      </c>
      <c r="CF8" s="1064">
        <f>'Recurrentes 24-26'!CD10</f>
        <v>34241.5296</v>
      </c>
      <c r="CG8" s="1064">
        <f>'Recurrentes 24-26'!CE10</f>
        <v>11413.8432</v>
      </c>
      <c r="CH8" s="1064">
        <f>'Recurrentes 24-26'!CF10</f>
        <v>34241.5296</v>
      </c>
      <c r="CI8" s="451"/>
      <c r="CJ8" s="1062">
        <f>'Recurrentes 24-26'!CG10</f>
        <v>422312.1984</v>
      </c>
      <c r="CK8" s="1062">
        <f>'Recurrentes 24-26'!CH10</f>
        <v>836064.0144</v>
      </c>
      <c r="CL8" s="451" t="str">
        <f>'Recurrentes 24-26'!CI10</f>
        <v/>
      </c>
      <c r="CM8" s="1064" t="str">
        <f>'Recurrentes 24-26'!CJ10</f>
        <v/>
      </c>
      <c r="CN8" s="451">
        <f>'Recurrentes 24-26'!CK10</f>
        <v>1</v>
      </c>
      <c r="CO8" s="1062">
        <f>'Recurrentes 24-26'!CL10</f>
        <v>409.98</v>
      </c>
      <c r="CP8" s="451" t="str">
        <f>'Recurrentes 24-26'!CM10</f>
        <v/>
      </c>
    </row>
    <row r="9">
      <c r="A9" s="451" t="str">
        <f>'Recurrentes 24-26'!A11</f>
        <v>Repuestos Electromecánicos recurrentes</v>
      </c>
      <c r="B9" s="451">
        <f>'Recurrentes 24-26'!B11</f>
        <v>2</v>
      </c>
      <c r="C9" s="451" t="str">
        <f>'Recurrentes 24-26'!C11</f>
        <v>Estaciones</v>
      </c>
      <c r="D9" s="451" t="str">
        <f>'Recurrentes 24-26'!D11</f>
        <v>Reacondicionamiento y Cambio de poleas de estacion</v>
      </c>
      <c r="E9" s="451" t="str">
        <f>'Recurrentes 24-26'!E11</f>
        <v>Repuesto Mecánico</v>
      </c>
      <c r="F9" s="451" t="str">
        <f>'Recurrentes 24-26'!F11</f>
        <v>TDB</v>
      </c>
      <c r="G9" s="1025" t="str">
        <f>'Recurrentes 24-26'!G11</f>
        <v>39800</v>
      </c>
      <c r="H9" s="1061" t="str">
        <f>'Recurrentes 24-26'!H11</f>
        <v>2-01-00077</v>
      </c>
      <c r="I9" s="1061" t="str">
        <f>'Recurrentes 24-26'!I11</f>
        <v>10501989</v>
      </c>
      <c r="J9" s="1061" t="str">
        <f>'Recurrentes 24-26'!J11</f>
        <v>RRB DIN 625/1- 6310-2RS1-C3GLE VT210 (90% +/-5%)ROD.RAN.BOLAS</v>
      </c>
      <c r="K9" s="451" t="str">
        <f>'Recurrentes 24-26'!K11</f>
        <v>Pza</v>
      </c>
      <c r="L9" s="451">
        <f>'Recurrentes 24-26'!L11</f>
        <v>0</v>
      </c>
      <c r="M9" s="451">
        <f>'Recurrentes 24-26'!M11</f>
        <v>0</v>
      </c>
      <c r="N9" s="451">
        <f>'Recurrentes 24-26'!N11</f>
        <v>0</v>
      </c>
      <c r="O9" s="451">
        <f>'Recurrentes 24-26'!O11</f>
        <v>64</v>
      </c>
      <c r="P9" s="451">
        <f>'Recurrentes 24-26'!P11</f>
        <v>0</v>
      </c>
      <c r="Q9" s="451">
        <f>'Recurrentes 24-26'!Q11</f>
        <v>191</v>
      </c>
      <c r="R9" s="451">
        <f>'Recurrentes 24-26'!R11</f>
        <v>0</v>
      </c>
      <c r="S9" s="451">
        <f>'Recurrentes 24-26'!S11</f>
        <v>0</v>
      </c>
      <c r="T9" s="451">
        <f>'Recurrentes 24-26'!T11</f>
        <v>0</v>
      </c>
      <c r="U9" s="451">
        <f>'Recurrentes 24-26'!U11</f>
        <v>0</v>
      </c>
      <c r="V9" s="451">
        <f>'Recurrentes 24-26'!V11</f>
        <v>0</v>
      </c>
      <c r="W9" s="1062">
        <f>'Recurrentes 24-26'!W11</f>
        <v>255</v>
      </c>
      <c r="X9" s="451">
        <f>'Recurrentes 24-26'!X11</f>
        <v>48</v>
      </c>
      <c r="Y9" s="451">
        <f>'Recurrentes 24-26'!Y11</f>
        <v>48</v>
      </c>
      <c r="Z9" s="451">
        <f>'Recurrentes 24-26'!Z11</f>
        <v>72</v>
      </c>
      <c r="AA9" s="451">
        <f>'Recurrentes 24-26'!AA11</f>
        <v>64</v>
      </c>
      <c r="AB9" s="451">
        <f>'Recurrentes 24-26'!AB11</f>
        <v>100</v>
      </c>
      <c r="AC9" s="451">
        <f>'Recurrentes 24-26'!AC11</f>
        <v>200</v>
      </c>
      <c r="AD9" s="451">
        <f>'Recurrentes 24-26'!AD11</f>
        <v>100</v>
      </c>
      <c r="AE9" s="451">
        <f>'Recurrentes 24-26'!AE11</f>
        <v>120</v>
      </c>
      <c r="AF9" s="451">
        <f>'Recurrentes 24-26'!AF11</f>
        <v>32</v>
      </c>
      <c r="AG9" s="451">
        <f>'Recurrentes 24-26'!AG11</f>
        <v>0</v>
      </c>
      <c r="AH9" s="451">
        <f>'Recurrentes 24-26'!AH11</f>
        <v>0</v>
      </c>
      <c r="AI9" s="1062">
        <f>'Recurrentes 24-26'!AI11</f>
        <v>784</v>
      </c>
      <c r="AJ9" s="451">
        <f>'Recurrentes 24-26'!AJ11</f>
        <v>48</v>
      </c>
      <c r="AK9" s="451">
        <f>'Recurrentes 24-26'!AK11</f>
        <v>48</v>
      </c>
      <c r="AL9" s="451">
        <f>'Recurrentes 24-26'!AL11</f>
        <v>72</v>
      </c>
      <c r="AM9" s="451">
        <f>'Recurrentes 24-26'!AM11</f>
        <v>64</v>
      </c>
      <c r="AN9" s="451">
        <f>'Recurrentes 24-26'!AN11</f>
        <v>100</v>
      </c>
      <c r="AO9" s="451">
        <f>'Recurrentes 24-26'!AO11</f>
        <v>200</v>
      </c>
      <c r="AP9" s="451">
        <f>'Recurrentes 24-26'!AP11</f>
        <v>100</v>
      </c>
      <c r="AQ9" s="451">
        <f>'Recurrentes 24-26'!AQ11</f>
        <v>120</v>
      </c>
      <c r="AR9" s="451">
        <f>'Recurrentes 24-26'!AR11</f>
        <v>32</v>
      </c>
      <c r="AS9" s="451">
        <f>'Recurrentes 24-26'!AS11</f>
        <v>0</v>
      </c>
      <c r="AT9" s="451">
        <f>'Recurrentes 24-26'!AT11</f>
        <v>0</v>
      </c>
      <c r="AU9" s="1062">
        <f>'Recurrentes 24-26'!AU11</f>
        <v>784</v>
      </c>
      <c r="AV9" s="1063">
        <f>'Recurrentes 24-26'!AV11</f>
        <v>1823</v>
      </c>
      <c r="AW9" s="451" t="str">
        <f>'Recurrentes 24-26'!AW11</f>
        <v/>
      </c>
      <c r="AX9" s="1062">
        <f>'Recurrentes 24-26'!AX11</f>
        <v>62.07</v>
      </c>
      <c r="AY9" s="1062">
        <f>'Recurrentes 24-26'!AY11</f>
        <v>432.0072</v>
      </c>
      <c r="AZ9" s="1064" t="str">
        <f>'Recurrentes 24-26'!AZ11</f>
        <v/>
      </c>
      <c r="BA9" s="1064">
        <f>'Recurrentes 24-26'!BA11</f>
        <v>0</v>
      </c>
      <c r="BB9" s="1064">
        <f>'Recurrentes 24-26'!BB11</f>
        <v>0</v>
      </c>
      <c r="BC9" s="1064">
        <f>'Recurrentes 24-26'!BC11</f>
        <v>0</v>
      </c>
      <c r="BD9" s="1064">
        <f>'Recurrentes 24-26'!BD11</f>
        <v>27648.4608</v>
      </c>
      <c r="BE9" s="1064">
        <f>'Recurrentes 24-26'!BE11</f>
        <v>0</v>
      </c>
      <c r="BF9" s="1064">
        <f>'Recurrentes 24-26'!BF11</f>
        <v>82513.3752</v>
      </c>
      <c r="BG9" s="1064">
        <f>'Recurrentes 24-26'!BG11</f>
        <v>0</v>
      </c>
      <c r="BH9" s="1064">
        <f>'Recurrentes 24-26'!BH11</f>
        <v>0</v>
      </c>
      <c r="BI9" s="1064">
        <f>'Recurrentes 24-26'!BI11</f>
        <v>0</v>
      </c>
      <c r="BJ9" s="1064">
        <f>'Recurrentes 24-26'!BJ11</f>
        <v>0</v>
      </c>
      <c r="BK9" s="451"/>
      <c r="BL9" s="1062">
        <f>'Recurrentes 24-26'!BK11</f>
        <v>110161.836</v>
      </c>
      <c r="BM9" s="1064">
        <f>'Recurrentes 24-26'!BL11</f>
        <v>20736.3456</v>
      </c>
      <c r="BN9" s="1064">
        <f>'Recurrentes 24-26'!BM11</f>
        <v>20736.3456</v>
      </c>
      <c r="BO9" s="1064">
        <f>'Recurrentes 24-26'!BN11</f>
        <v>31104.5184</v>
      </c>
      <c r="BP9" s="1064">
        <f>'Recurrentes 24-26'!BO11</f>
        <v>27648.4608</v>
      </c>
      <c r="BQ9" s="1064">
        <f>'Recurrentes 24-26'!BP11</f>
        <v>43200.72</v>
      </c>
      <c r="BR9" s="1064">
        <f>'Recurrentes 24-26'!BQ11</f>
        <v>86401.44</v>
      </c>
      <c r="BS9" s="1064">
        <f>'Recurrentes 24-26'!BR11</f>
        <v>43200.72</v>
      </c>
      <c r="BT9" s="1064">
        <f>'Recurrentes 24-26'!BS11</f>
        <v>51840.864</v>
      </c>
      <c r="BU9" s="1064">
        <f>'Recurrentes 24-26'!BT11</f>
        <v>13824.2304</v>
      </c>
      <c r="BV9" s="1064">
        <f>'Recurrentes 24-26'!BU11</f>
        <v>0</v>
      </c>
      <c r="BW9" s="451"/>
      <c r="BX9" s="1062">
        <f>'Recurrentes 24-26'!BV11</f>
        <v>338693.6448</v>
      </c>
      <c r="BY9" s="1064">
        <f>'Recurrentes 24-26'!BW11</f>
        <v>20736.3456</v>
      </c>
      <c r="BZ9" s="1064">
        <f>'Recurrentes 24-26'!BX11</f>
        <v>20736.3456</v>
      </c>
      <c r="CA9" s="1064">
        <f>'Recurrentes 24-26'!BY11</f>
        <v>31104.5184</v>
      </c>
      <c r="CB9" s="1064">
        <f>'Recurrentes 24-26'!BZ11</f>
        <v>27648.4608</v>
      </c>
      <c r="CC9" s="1064">
        <f>'Recurrentes 24-26'!CA11</f>
        <v>43200.72</v>
      </c>
      <c r="CD9" s="1064">
        <f>'Recurrentes 24-26'!CB11</f>
        <v>86401.44</v>
      </c>
      <c r="CE9" s="1064">
        <f>'Recurrentes 24-26'!CC11</f>
        <v>43200.72</v>
      </c>
      <c r="CF9" s="1064">
        <f>'Recurrentes 24-26'!CD11</f>
        <v>51840.864</v>
      </c>
      <c r="CG9" s="1064">
        <f>'Recurrentes 24-26'!CE11</f>
        <v>13824.2304</v>
      </c>
      <c r="CH9" s="1064">
        <f>'Recurrentes 24-26'!CF11</f>
        <v>0</v>
      </c>
      <c r="CI9" s="451"/>
      <c r="CJ9" s="1062">
        <f>'Recurrentes 24-26'!CG11</f>
        <v>338693.6448</v>
      </c>
      <c r="CK9" s="1062">
        <f>'Recurrentes 24-26'!CH11</f>
        <v>787549.1256</v>
      </c>
      <c r="CL9" s="451" t="str">
        <f>'Recurrentes 24-26'!CI11</f>
        <v/>
      </c>
      <c r="CM9" s="1064" t="str">
        <f>'Recurrentes 24-26'!CJ11</f>
        <v/>
      </c>
      <c r="CN9" s="451">
        <f>'Recurrentes 24-26'!CK11</f>
        <v>1</v>
      </c>
      <c r="CO9" s="1062">
        <f>'Recurrentes 24-26'!CL11</f>
        <v>62.07</v>
      </c>
      <c r="CP9" s="451" t="str">
        <f>'Recurrentes 24-26'!CM11</f>
        <v/>
      </c>
    </row>
    <row r="10">
      <c r="A10" s="451" t="str">
        <f>'Recurrentes 24-26'!A12</f>
        <v/>
      </c>
      <c r="B10" s="451" t="str">
        <f>'Recurrentes 24-26'!B12</f>
        <v/>
      </c>
      <c r="C10" s="451" t="str">
        <f>'Recurrentes 24-26'!C12</f>
        <v/>
      </c>
      <c r="D10" s="451" t="str">
        <f>'Recurrentes 24-26'!D12</f>
        <v/>
      </c>
      <c r="E10" s="451" t="str">
        <f>'Recurrentes 24-26'!E12</f>
        <v/>
      </c>
      <c r="F10" s="451" t="str">
        <f>'Recurrentes 24-26'!F12</f>
        <v/>
      </c>
      <c r="G10" s="1061" t="str">
        <f>'Recurrentes 24-26'!G12</f>
        <v/>
      </c>
      <c r="H10" s="1061" t="str">
        <f>'Recurrentes 24-26'!H12</f>
        <v/>
      </c>
      <c r="I10" s="1061" t="str">
        <f>'Recurrentes 24-26'!I12</f>
        <v/>
      </c>
      <c r="J10" s="1061" t="str">
        <f>'Recurrentes 24-26'!J12</f>
        <v/>
      </c>
      <c r="K10" s="451" t="str">
        <f>'Recurrentes 24-26'!K12</f>
        <v/>
      </c>
      <c r="L10" s="451" t="str">
        <f>'Recurrentes 24-26'!L12</f>
        <v/>
      </c>
      <c r="M10" s="451" t="str">
        <f>'Recurrentes 24-26'!M12</f>
        <v/>
      </c>
      <c r="N10" s="451" t="str">
        <f>'Recurrentes 24-26'!N12</f>
        <v/>
      </c>
      <c r="O10" s="451" t="str">
        <f>'Recurrentes 24-26'!O12</f>
        <v/>
      </c>
      <c r="P10" s="451" t="str">
        <f>'Recurrentes 24-26'!P12</f>
        <v/>
      </c>
      <c r="Q10" s="451" t="str">
        <f>'Recurrentes 24-26'!Q12</f>
        <v/>
      </c>
      <c r="R10" s="451" t="str">
        <f>'Recurrentes 24-26'!R12</f>
        <v/>
      </c>
      <c r="S10" s="451" t="str">
        <f>'Recurrentes 24-26'!S12</f>
        <v/>
      </c>
      <c r="T10" s="451" t="str">
        <f>'Recurrentes 24-26'!T12</f>
        <v/>
      </c>
      <c r="U10" s="451" t="str">
        <f>'Recurrentes 24-26'!U12</f>
        <v/>
      </c>
      <c r="V10" s="451" t="str">
        <f>'Recurrentes 24-26'!V12</f>
        <v/>
      </c>
      <c r="W10" s="1062" t="str">
        <f>'Recurrentes 24-26'!W12</f>
        <v/>
      </c>
      <c r="X10" s="451" t="str">
        <f>'Recurrentes 24-26'!X12</f>
        <v/>
      </c>
      <c r="Y10" s="451" t="str">
        <f>'Recurrentes 24-26'!Y12</f>
        <v/>
      </c>
      <c r="Z10" s="451" t="str">
        <f>'Recurrentes 24-26'!Z12</f>
        <v/>
      </c>
      <c r="AA10" s="451" t="str">
        <f>'Recurrentes 24-26'!AA12</f>
        <v/>
      </c>
      <c r="AB10" s="451" t="str">
        <f>'Recurrentes 24-26'!AB12</f>
        <v/>
      </c>
      <c r="AC10" s="451" t="str">
        <f>'Recurrentes 24-26'!AC12</f>
        <v/>
      </c>
      <c r="AD10" s="451" t="str">
        <f>'Recurrentes 24-26'!AD12</f>
        <v/>
      </c>
      <c r="AE10" s="451" t="str">
        <f>'Recurrentes 24-26'!AE12</f>
        <v/>
      </c>
      <c r="AF10" s="451" t="str">
        <f>'Recurrentes 24-26'!AF12</f>
        <v/>
      </c>
      <c r="AG10" s="451" t="str">
        <f>'Recurrentes 24-26'!AG12</f>
        <v/>
      </c>
      <c r="AH10" s="451" t="str">
        <f>'Recurrentes 24-26'!AH12</f>
        <v/>
      </c>
      <c r="AI10" s="1062" t="str">
        <f>'Recurrentes 24-26'!AI12</f>
        <v/>
      </c>
      <c r="AJ10" s="451" t="str">
        <f>'Recurrentes 24-26'!AJ12</f>
        <v/>
      </c>
      <c r="AK10" s="451" t="str">
        <f>'Recurrentes 24-26'!AK12</f>
        <v/>
      </c>
      <c r="AL10" s="451" t="str">
        <f>'Recurrentes 24-26'!AL12</f>
        <v/>
      </c>
      <c r="AM10" s="451" t="str">
        <f>'Recurrentes 24-26'!AM12</f>
        <v/>
      </c>
      <c r="AN10" s="451" t="str">
        <f>'Recurrentes 24-26'!AN12</f>
        <v/>
      </c>
      <c r="AO10" s="451" t="str">
        <f>'Recurrentes 24-26'!AO12</f>
        <v/>
      </c>
      <c r="AP10" s="451" t="str">
        <f>'Recurrentes 24-26'!AP12</f>
        <v/>
      </c>
      <c r="AQ10" s="451" t="str">
        <f>'Recurrentes 24-26'!AQ12</f>
        <v/>
      </c>
      <c r="AR10" s="451" t="str">
        <f>'Recurrentes 24-26'!AR12</f>
        <v/>
      </c>
      <c r="AS10" s="451" t="str">
        <f>'Recurrentes 24-26'!AS12</f>
        <v/>
      </c>
      <c r="AT10" s="451" t="str">
        <f>'Recurrentes 24-26'!AT12</f>
        <v/>
      </c>
      <c r="AU10" s="1062" t="str">
        <f>'Recurrentes 24-26'!AU12</f>
        <v/>
      </c>
      <c r="AV10" s="1063" t="str">
        <f>'Recurrentes 24-26'!AV12</f>
        <v/>
      </c>
      <c r="AW10" s="451" t="str">
        <f>'Recurrentes 24-26'!AW12</f>
        <v/>
      </c>
      <c r="AX10" s="1062" t="str">
        <f>'Recurrentes 24-26'!AX12</f>
        <v/>
      </c>
      <c r="AY10" s="1062" t="str">
        <f>'Recurrentes 24-26'!AY12</f>
        <v/>
      </c>
      <c r="AZ10" s="1064" t="str">
        <f>'Recurrentes 24-26'!AZ12</f>
        <v/>
      </c>
      <c r="BA10" s="1064" t="str">
        <f>'Recurrentes 24-26'!BA12</f>
        <v/>
      </c>
      <c r="BB10" s="1064" t="str">
        <f>'Recurrentes 24-26'!BB12</f>
        <v/>
      </c>
      <c r="BC10" s="1064" t="str">
        <f>'Recurrentes 24-26'!BC12</f>
        <v/>
      </c>
      <c r="BD10" s="1064" t="str">
        <f>'Recurrentes 24-26'!BD12</f>
        <v/>
      </c>
      <c r="BE10" s="1064" t="str">
        <f>'Recurrentes 24-26'!BE12</f>
        <v/>
      </c>
      <c r="BF10" s="1064" t="str">
        <f>'Recurrentes 24-26'!BF12</f>
        <v/>
      </c>
      <c r="BG10" s="1064" t="str">
        <f>'Recurrentes 24-26'!BG12</f>
        <v/>
      </c>
      <c r="BH10" s="1064" t="str">
        <f>'Recurrentes 24-26'!BH12</f>
        <v/>
      </c>
      <c r="BI10" s="1064" t="str">
        <f>'Recurrentes 24-26'!BI12</f>
        <v/>
      </c>
      <c r="BJ10" s="1064" t="str">
        <f>'Recurrentes 24-26'!BJ12</f>
        <v/>
      </c>
      <c r="BK10" s="451"/>
      <c r="BL10" s="1062" t="str">
        <f>'Recurrentes 24-26'!BK12</f>
        <v/>
      </c>
      <c r="BM10" s="1064" t="str">
        <f>'Recurrentes 24-26'!BL12</f>
        <v/>
      </c>
      <c r="BN10" s="1064" t="str">
        <f>'Recurrentes 24-26'!BM12</f>
        <v/>
      </c>
      <c r="BO10" s="1064" t="str">
        <f>'Recurrentes 24-26'!BN12</f>
        <v/>
      </c>
      <c r="BP10" s="1064" t="str">
        <f>'Recurrentes 24-26'!BO12</f>
        <v/>
      </c>
      <c r="BQ10" s="1064" t="str">
        <f>'Recurrentes 24-26'!BP12</f>
        <v/>
      </c>
      <c r="BR10" s="1064" t="str">
        <f>'Recurrentes 24-26'!BQ12</f>
        <v/>
      </c>
      <c r="BS10" s="1064" t="str">
        <f>'Recurrentes 24-26'!BR12</f>
        <v/>
      </c>
      <c r="BT10" s="1064" t="str">
        <f>'Recurrentes 24-26'!BS12</f>
        <v/>
      </c>
      <c r="BU10" s="1064" t="str">
        <f>'Recurrentes 24-26'!BT12</f>
        <v/>
      </c>
      <c r="BV10" s="1064" t="str">
        <f>'Recurrentes 24-26'!BU12</f>
        <v/>
      </c>
      <c r="BW10" s="451"/>
      <c r="BX10" s="1062" t="str">
        <f>'Recurrentes 24-26'!BV12</f>
        <v/>
      </c>
      <c r="BY10" s="1064" t="str">
        <f>'Recurrentes 24-26'!BW12</f>
        <v/>
      </c>
      <c r="BZ10" s="1064" t="str">
        <f>'Recurrentes 24-26'!BX12</f>
        <v/>
      </c>
      <c r="CA10" s="1064" t="str">
        <f>'Recurrentes 24-26'!BY12</f>
        <v/>
      </c>
      <c r="CB10" s="1064" t="str">
        <f>'Recurrentes 24-26'!BZ12</f>
        <v/>
      </c>
      <c r="CC10" s="1064" t="str">
        <f>'Recurrentes 24-26'!CA12</f>
        <v/>
      </c>
      <c r="CD10" s="1064" t="str">
        <f>'Recurrentes 24-26'!CB12</f>
        <v/>
      </c>
      <c r="CE10" s="1064" t="str">
        <f>'Recurrentes 24-26'!CC12</f>
        <v/>
      </c>
      <c r="CF10" s="1064" t="str">
        <f>'Recurrentes 24-26'!CD12</f>
        <v/>
      </c>
      <c r="CG10" s="1064" t="str">
        <f>'Recurrentes 24-26'!CE12</f>
        <v/>
      </c>
      <c r="CH10" s="1064" t="str">
        <f>'Recurrentes 24-26'!CF12</f>
        <v/>
      </c>
      <c r="CI10" s="451"/>
      <c r="CJ10" s="1062" t="str">
        <f>'Recurrentes 24-26'!CG12</f>
        <v/>
      </c>
      <c r="CK10" s="1062" t="str">
        <f>'Recurrentes 24-26'!CH12</f>
        <v/>
      </c>
      <c r="CL10" s="451" t="str">
        <f>'Recurrentes 24-26'!CI12</f>
        <v/>
      </c>
      <c r="CM10" s="1064" t="str">
        <f>'Recurrentes 24-26'!CJ12</f>
        <v/>
      </c>
      <c r="CN10" s="451" t="str">
        <f>'Recurrentes 24-26'!CK12</f>
        <v/>
      </c>
      <c r="CO10" s="451" t="str">
        <f>'Recurrentes 24-26'!CL12</f>
        <v/>
      </c>
      <c r="CP10" s="451" t="str">
        <f>'Recurrentes 24-26'!CM12</f>
        <v/>
      </c>
    </row>
    <row r="11">
      <c r="A11" s="451" t="str">
        <f>'Recurrentes 24-26'!A13</f>
        <v>Repuestos Electromecánicos recurrentes</v>
      </c>
      <c r="B11" s="451">
        <f>'Recurrentes 24-26'!B13</f>
        <v>2</v>
      </c>
      <c r="C11" s="451" t="str">
        <f>'Recurrentes 24-26'!C13</f>
        <v>Torres</v>
      </c>
      <c r="D11" s="451" t="str">
        <f>'Recurrentes 24-26'!D13</f>
        <v>Sistema RPD</v>
      </c>
      <c r="E11" s="451" t="str">
        <f>'Recurrentes 24-26'!E13</f>
        <v>Repuesto Eléctrico</v>
      </c>
      <c r="F11" s="451" t="str">
        <f>'Recurrentes 24-26'!F13</f>
        <v>TDB</v>
      </c>
      <c r="G11" s="1025" t="str">
        <f>'Recurrentes 24-26'!G13</f>
        <v>39700</v>
      </c>
      <c r="H11" s="1061" t="str">
        <f>'Recurrentes 24-26'!H13</f>
        <v>2-02-00151</v>
      </c>
      <c r="I11" s="1061" t="str">
        <f>'Recurrentes 24-26'!I13</f>
        <v>11317920</v>
      </c>
      <c r="J11" s="1061" t="str">
        <f>'Recurrentes 24-26'!J13</f>
        <v>RPD INTERRUPTOR DE VIGILANCIA DEL CABLE   GS 5001, ESTADO: AJ</v>
      </c>
      <c r="K11" s="451" t="str">
        <f>'Recurrentes 24-26'!K13</f>
        <v>Pza</v>
      </c>
      <c r="L11" s="451">
        <f>'Recurrentes 24-26'!L13</f>
        <v>4</v>
      </c>
      <c r="M11" s="451">
        <f>'Recurrentes 24-26'!M13</f>
        <v>1</v>
      </c>
      <c r="N11" s="451">
        <f>'Recurrentes 24-26'!N13</f>
        <v>6</v>
      </c>
      <c r="O11" s="451">
        <f>'Recurrentes 24-26'!O13</f>
        <v>2</v>
      </c>
      <c r="P11" s="451">
        <f>'Recurrentes 24-26'!P13</f>
        <v>2</v>
      </c>
      <c r="Q11" s="451">
        <f>'Recurrentes 24-26'!Q13</f>
        <v>2</v>
      </c>
      <c r="R11" s="451">
        <f>'Recurrentes 24-26'!R13</f>
        <v>2</v>
      </c>
      <c r="S11" s="451">
        <f>'Recurrentes 24-26'!S13</f>
        <v>2</v>
      </c>
      <c r="T11" s="451">
        <f>'Recurrentes 24-26'!T13</f>
        <v>2</v>
      </c>
      <c r="U11" s="451">
        <f>'Recurrentes 24-26'!U13</f>
        <v>2</v>
      </c>
      <c r="V11" s="451">
        <f>'Recurrentes 24-26'!V13</f>
        <v>0</v>
      </c>
      <c r="W11" s="1062">
        <f>'Recurrentes 24-26'!W13</f>
        <v>25</v>
      </c>
      <c r="X11" s="451">
        <f>'Recurrentes 24-26'!X13</f>
        <v>3</v>
      </c>
      <c r="Y11" s="451">
        <f>'Recurrentes 24-26'!Y13</f>
        <v>1</v>
      </c>
      <c r="Z11" s="451">
        <f>'Recurrentes 24-26'!Z13</f>
        <v>3</v>
      </c>
      <c r="AA11" s="451">
        <f>'Recurrentes 24-26'!AA13</f>
        <v>2</v>
      </c>
      <c r="AB11" s="451">
        <f>'Recurrentes 24-26'!AB13</f>
        <v>2</v>
      </c>
      <c r="AC11" s="451">
        <f>'Recurrentes 24-26'!AC13</f>
        <v>2</v>
      </c>
      <c r="AD11" s="451">
        <f>'Recurrentes 24-26'!AD13</f>
        <v>2</v>
      </c>
      <c r="AE11" s="451">
        <f>'Recurrentes 24-26'!AE13</f>
        <v>2</v>
      </c>
      <c r="AF11" s="451">
        <f>'Recurrentes 24-26'!AF13</f>
        <v>2</v>
      </c>
      <c r="AG11" s="451">
        <f>'Recurrentes 24-26'!AG13</f>
        <v>2</v>
      </c>
      <c r="AH11" s="451">
        <f>'Recurrentes 24-26'!AH13</f>
        <v>0</v>
      </c>
      <c r="AI11" s="1062">
        <f>'Recurrentes 24-26'!AI13</f>
        <v>21</v>
      </c>
      <c r="AJ11" s="451">
        <f>'Recurrentes 24-26'!AJ13</f>
        <v>3</v>
      </c>
      <c r="AK11" s="451">
        <f>'Recurrentes 24-26'!AK13</f>
        <v>1</v>
      </c>
      <c r="AL11" s="451">
        <f>'Recurrentes 24-26'!AL13</f>
        <v>3</v>
      </c>
      <c r="AM11" s="451">
        <f>'Recurrentes 24-26'!AM13</f>
        <v>2</v>
      </c>
      <c r="AN11" s="451">
        <f>'Recurrentes 24-26'!AN13</f>
        <v>2</v>
      </c>
      <c r="AO11" s="451">
        <f>'Recurrentes 24-26'!AO13</f>
        <v>2</v>
      </c>
      <c r="AP11" s="451">
        <f>'Recurrentes 24-26'!AP13</f>
        <v>2</v>
      </c>
      <c r="AQ11" s="451">
        <f>'Recurrentes 24-26'!AQ13</f>
        <v>2</v>
      </c>
      <c r="AR11" s="451">
        <f>'Recurrentes 24-26'!AR13</f>
        <v>2</v>
      </c>
      <c r="AS11" s="451">
        <f>'Recurrentes 24-26'!AS13</f>
        <v>2</v>
      </c>
      <c r="AT11" s="451">
        <f>'Recurrentes 24-26'!AT13</f>
        <v>0</v>
      </c>
      <c r="AU11" s="1062">
        <f>'Recurrentes 24-26'!AU13</f>
        <v>21</v>
      </c>
      <c r="AV11" s="1063">
        <f>'Recurrentes 24-26'!AV13</f>
        <v>67</v>
      </c>
      <c r="AW11" s="451" t="str">
        <f>'Recurrentes 24-26'!AW13</f>
        <v/>
      </c>
      <c r="AX11" s="1062">
        <f>'Recurrentes 24-26'!AX13</f>
        <v>1233.52</v>
      </c>
      <c r="AY11" s="1062">
        <f>'Recurrentes 24-26'!AY13</f>
        <v>8585.2992</v>
      </c>
      <c r="AZ11" s="1064" t="str">
        <f>'Recurrentes 24-26'!AZ13</f>
        <v/>
      </c>
      <c r="BA11" s="1064">
        <f>'Recurrentes 24-26'!BA13</f>
        <v>34341.1968</v>
      </c>
      <c r="BB11" s="1064">
        <f>'Recurrentes 24-26'!BB13</f>
        <v>8585.2992</v>
      </c>
      <c r="BC11" s="1064">
        <f>'Recurrentes 24-26'!BC13</f>
        <v>51511.7952</v>
      </c>
      <c r="BD11" s="1064">
        <f>'Recurrentes 24-26'!BD13</f>
        <v>17170.5984</v>
      </c>
      <c r="BE11" s="1064">
        <f>'Recurrentes 24-26'!BE13</f>
        <v>17170.5984</v>
      </c>
      <c r="BF11" s="1064">
        <f>'Recurrentes 24-26'!BF13</f>
        <v>17170.5984</v>
      </c>
      <c r="BG11" s="1064">
        <f>'Recurrentes 24-26'!BG13</f>
        <v>17170.5984</v>
      </c>
      <c r="BH11" s="1064">
        <f>'Recurrentes 24-26'!BH13</f>
        <v>17170.5984</v>
      </c>
      <c r="BI11" s="1064">
        <f>'Recurrentes 24-26'!BI13</f>
        <v>17170.5984</v>
      </c>
      <c r="BJ11" s="1064">
        <f>'Recurrentes 24-26'!BJ13</f>
        <v>17170.5984</v>
      </c>
      <c r="BK11" s="451"/>
      <c r="BL11" s="1062">
        <f>'Recurrentes 24-26'!BK13</f>
        <v>214632.48</v>
      </c>
      <c r="BM11" s="1064">
        <f>'Recurrentes 24-26'!BL13</f>
        <v>25755.8976</v>
      </c>
      <c r="BN11" s="1064">
        <f>'Recurrentes 24-26'!BM13</f>
        <v>8585.2992</v>
      </c>
      <c r="BO11" s="1064">
        <f>'Recurrentes 24-26'!BN13</f>
        <v>25755.8976</v>
      </c>
      <c r="BP11" s="1064">
        <f>'Recurrentes 24-26'!BO13</f>
        <v>17170.5984</v>
      </c>
      <c r="BQ11" s="1064">
        <f>'Recurrentes 24-26'!BP13</f>
        <v>17170.5984</v>
      </c>
      <c r="BR11" s="1064">
        <f>'Recurrentes 24-26'!BQ13</f>
        <v>17170.5984</v>
      </c>
      <c r="BS11" s="1064">
        <f>'Recurrentes 24-26'!BR13</f>
        <v>17170.5984</v>
      </c>
      <c r="BT11" s="1064">
        <f>'Recurrentes 24-26'!BS13</f>
        <v>17170.5984</v>
      </c>
      <c r="BU11" s="1064">
        <f>'Recurrentes 24-26'!BT13</f>
        <v>17170.5984</v>
      </c>
      <c r="BV11" s="1064">
        <f>'Recurrentes 24-26'!BU13</f>
        <v>17170.5984</v>
      </c>
      <c r="BW11" s="451"/>
      <c r="BX11" s="1062">
        <f>'Recurrentes 24-26'!BV13</f>
        <v>180291.2832</v>
      </c>
      <c r="BY11" s="1064">
        <f>'Recurrentes 24-26'!BW13</f>
        <v>25755.8976</v>
      </c>
      <c r="BZ11" s="1064">
        <f>'Recurrentes 24-26'!BX13</f>
        <v>8585.2992</v>
      </c>
      <c r="CA11" s="1064">
        <f>'Recurrentes 24-26'!BY13</f>
        <v>25755.8976</v>
      </c>
      <c r="CB11" s="1064">
        <f>'Recurrentes 24-26'!BZ13</f>
        <v>17170.5984</v>
      </c>
      <c r="CC11" s="1064">
        <f>'Recurrentes 24-26'!CA13</f>
        <v>17170.5984</v>
      </c>
      <c r="CD11" s="1064">
        <f>'Recurrentes 24-26'!CB13</f>
        <v>17170.5984</v>
      </c>
      <c r="CE11" s="1064">
        <f>'Recurrentes 24-26'!CC13</f>
        <v>17170.5984</v>
      </c>
      <c r="CF11" s="1064">
        <f>'Recurrentes 24-26'!CD13</f>
        <v>17170.5984</v>
      </c>
      <c r="CG11" s="1064">
        <f>'Recurrentes 24-26'!CE13</f>
        <v>17170.5984</v>
      </c>
      <c r="CH11" s="1064">
        <f>'Recurrentes 24-26'!CF13</f>
        <v>17170.5984</v>
      </c>
      <c r="CI11" s="451"/>
      <c r="CJ11" s="1062">
        <f>'Recurrentes 24-26'!CG13</f>
        <v>180291.2832</v>
      </c>
      <c r="CK11" s="1062">
        <f>'Recurrentes 24-26'!CH13</f>
        <v>575215.0464</v>
      </c>
      <c r="CL11" s="451" t="str">
        <f>'Recurrentes 24-26'!CI13</f>
        <v/>
      </c>
      <c r="CM11" s="1064" t="str">
        <f>'Recurrentes 24-26'!CJ13</f>
        <v/>
      </c>
      <c r="CN11" s="451">
        <f>'Recurrentes 24-26'!CK13</f>
        <v>1</v>
      </c>
      <c r="CO11" s="1062">
        <f>'Recurrentes 24-26'!CL13</f>
        <v>1233.52</v>
      </c>
      <c r="CP11" s="451" t="str">
        <f>'Recurrentes 24-26'!CM13</f>
        <v/>
      </c>
    </row>
    <row r="12">
      <c r="A12" s="451" t="str">
        <f>'Recurrentes 24-26'!A14</f>
        <v>Repuestos Electromecánicos recurrentes</v>
      </c>
      <c r="B12" s="451">
        <f>'Recurrentes 24-26'!B14</f>
        <v>2</v>
      </c>
      <c r="C12" s="451" t="str">
        <f>'Recurrentes 24-26'!C14</f>
        <v>Torres</v>
      </c>
      <c r="D12" s="451" t="str">
        <f>'Recurrentes 24-26'!D14</f>
        <v>Reacondionamiento y cambio de Poleas de torre</v>
      </c>
      <c r="E12" s="451" t="str">
        <f>'Recurrentes 24-26'!E14</f>
        <v>Repuesto Mecánico</v>
      </c>
      <c r="F12" s="451" t="str">
        <f>'Recurrentes 24-26'!F14</f>
        <v>TDB</v>
      </c>
      <c r="G12" s="1025" t="str">
        <f>'Recurrentes 24-26'!G14</f>
        <v>39800</v>
      </c>
      <c r="H12" s="1061" t="str">
        <f>'Recurrentes 24-26'!H14</f>
        <v>2-01-00084</v>
      </c>
      <c r="I12" s="1061" t="str">
        <f>'Recurrentes 24-26'!I14</f>
        <v>10501992</v>
      </c>
      <c r="J12" s="1061" t="str">
        <f>'Recurrentes 24-26'!J14</f>
        <v>RRB DIN 625/1- 6307-2RS1-C3GLE VT210 (90% +/-5%)ROD.RAN.BOLAS</v>
      </c>
      <c r="K12" s="451" t="str">
        <f>'Recurrentes 24-26'!K14</f>
        <v>Pza</v>
      </c>
      <c r="L12" s="451">
        <f>'Recurrentes 24-26'!L14</f>
        <v>40</v>
      </c>
      <c r="M12" s="451">
        <f>'Recurrentes 24-26'!M14</f>
        <v>30</v>
      </c>
      <c r="N12" s="451">
        <f>'Recurrentes 24-26'!N14</f>
        <v>40</v>
      </c>
      <c r="O12" s="451">
        <f>'Recurrentes 24-26'!O14</f>
        <v>31</v>
      </c>
      <c r="P12" s="451">
        <f>'Recurrentes 24-26'!P14</f>
        <v>40</v>
      </c>
      <c r="Q12" s="451">
        <f>'Recurrentes 24-26'!Q14</f>
        <v>56</v>
      </c>
      <c r="R12" s="451">
        <f>'Recurrentes 24-26'!R14</f>
        <v>42</v>
      </c>
      <c r="S12" s="451">
        <f>'Recurrentes 24-26'!S14</f>
        <v>50</v>
      </c>
      <c r="T12" s="451">
        <f>'Recurrentes 24-26'!T14</f>
        <v>6</v>
      </c>
      <c r="U12" s="451">
        <f>'Recurrentes 24-26'!U14</f>
        <v>0</v>
      </c>
      <c r="V12" s="451">
        <f>'Recurrentes 24-26'!V14</f>
        <v>0</v>
      </c>
      <c r="W12" s="1062">
        <f>'Recurrentes 24-26'!W14</f>
        <v>335</v>
      </c>
      <c r="X12" s="451">
        <f>'Recurrentes 24-26'!X14</f>
        <v>120</v>
      </c>
      <c r="Y12" s="451">
        <f>'Recurrentes 24-26'!Y14</f>
        <v>90</v>
      </c>
      <c r="Z12" s="451">
        <f>'Recurrentes 24-26'!Z14</f>
        <v>120</v>
      </c>
      <c r="AA12" s="451">
        <f>'Recurrentes 24-26'!AA14</f>
        <v>100</v>
      </c>
      <c r="AB12" s="451">
        <f>'Recurrentes 24-26'!AB14</f>
        <v>120</v>
      </c>
      <c r="AC12" s="451">
        <f>'Recurrentes 24-26'!AC14</f>
        <v>170</v>
      </c>
      <c r="AD12" s="451">
        <f>'Recurrentes 24-26'!AD14</f>
        <v>126</v>
      </c>
      <c r="AE12" s="451">
        <f>'Recurrentes 24-26'!AE14</f>
        <v>152</v>
      </c>
      <c r="AF12" s="451">
        <f>'Recurrentes 24-26'!AF14</f>
        <v>20</v>
      </c>
      <c r="AG12" s="451">
        <f>'Recurrentes 24-26'!AG14</f>
        <v>130</v>
      </c>
      <c r="AH12" s="451">
        <f>'Recurrentes 24-26'!AH14</f>
        <v>0</v>
      </c>
      <c r="AI12" s="1062">
        <f>'Recurrentes 24-26'!AI14</f>
        <v>1148</v>
      </c>
      <c r="AJ12" s="451">
        <f>'Recurrentes 24-26'!AJ14</f>
        <v>120</v>
      </c>
      <c r="AK12" s="451">
        <f>'Recurrentes 24-26'!AK14</f>
        <v>90</v>
      </c>
      <c r="AL12" s="451">
        <f>'Recurrentes 24-26'!AL14</f>
        <v>120</v>
      </c>
      <c r="AM12" s="451">
        <f>'Recurrentes 24-26'!AM14</f>
        <v>100</v>
      </c>
      <c r="AN12" s="451">
        <f>'Recurrentes 24-26'!AN14</f>
        <v>120</v>
      </c>
      <c r="AO12" s="451">
        <f>'Recurrentes 24-26'!AO14</f>
        <v>170</v>
      </c>
      <c r="AP12" s="451">
        <f>'Recurrentes 24-26'!AP14</f>
        <v>126</v>
      </c>
      <c r="AQ12" s="451">
        <f>'Recurrentes 24-26'!AQ14</f>
        <v>152</v>
      </c>
      <c r="AR12" s="451">
        <f>'Recurrentes 24-26'!AR14</f>
        <v>20</v>
      </c>
      <c r="AS12" s="451">
        <f>'Recurrentes 24-26'!AS14</f>
        <v>130</v>
      </c>
      <c r="AT12" s="451">
        <f>'Recurrentes 24-26'!AT14</f>
        <v>0</v>
      </c>
      <c r="AU12" s="1062">
        <f>'Recurrentes 24-26'!AU14</f>
        <v>1148</v>
      </c>
      <c r="AV12" s="1063">
        <f>'Recurrentes 24-26'!AV14</f>
        <v>2631</v>
      </c>
      <c r="AW12" s="451" t="str">
        <f>'Recurrentes 24-26'!AW14</f>
        <v/>
      </c>
      <c r="AX12" s="1062">
        <f>'Recurrentes 24-26'!AX14</f>
        <v>28.61</v>
      </c>
      <c r="AY12" s="1062">
        <f>'Recurrentes 24-26'!AY14</f>
        <v>199.1256</v>
      </c>
      <c r="AZ12" s="1064" t="str">
        <f>'Recurrentes 24-26'!AZ14</f>
        <v/>
      </c>
      <c r="BA12" s="1064">
        <f>'Recurrentes 24-26'!BA14</f>
        <v>7965.024</v>
      </c>
      <c r="BB12" s="1064">
        <f>'Recurrentes 24-26'!BB14</f>
        <v>5973.768</v>
      </c>
      <c r="BC12" s="1064">
        <f>'Recurrentes 24-26'!BC14</f>
        <v>7965.024</v>
      </c>
      <c r="BD12" s="1064">
        <f>'Recurrentes 24-26'!BD14</f>
        <v>6172.8936</v>
      </c>
      <c r="BE12" s="1064">
        <f>'Recurrentes 24-26'!BE14</f>
        <v>7965.024</v>
      </c>
      <c r="BF12" s="1064">
        <f>'Recurrentes 24-26'!BF14</f>
        <v>11151.0336</v>
      </c>
      <c r="BG12" s="1064">
        <f>'Recurrentes 24-26'!BG14</f>
        <v>8363.2752</v>
      </c>
      <c r="BH12" s="1064">
        <f>'Recurrentes 24-26'!BH14</f>
        <v>9956.28</v>
      </c>
      <c r="BI12" s="1064">
        <f>'Recurrentes 24-26'!BI14</f>
        <v>1194.7536</v>
      </c>
      <c r="BJ12" s="1064">
        <f>'Recurrentes 24-26'!BJ14</f>
        <v>0</v>
      </c>
      <c r="BK12" s="451"/>
      <c r="BL12" s="1062">
        <f>'Recurrentes 24-26'!BK14</f>
        <v>66707.076</v>
      </c>
      <c r="BM12" s="1064">
        <f>'Recurrentes 24-26'!BL14</f>
        <v>23895.072</v>
      </c>
      <c r="BN12" s="1064">
        <f>'Recurrentes 24-26'!BM14</f>
        <v>17921.304</v>
      </c>
      <c r="BO12" s="1064">
        <f>'Recurrentes 24-26'!BN14</f>
        <v>23895.072</v>
      </c>
      <c r="BP12" s="1064">
        <f>'Recurrentes 24-26'!BO14</f>
        <v>19912.56</v>
      </c>
      <c r="BQ12" s="1064">
        <f>'Recurrentes 24-26'!BP14</f>
        <v>23895.072</v>
      </c>
      <c r="BR12" s="1064">
        <f>'Recurrentes 24-26'!BQ14</f>
        <v>33851.352</v>
      </c>
      <c r="BS12" s="1064">
        <f>'Recurrentes 24-26'!BR14</f>
        <v>25089.8256</v>
      </c>
      <c r="BT12" s="1064">
        <f>'Recurrentes 24-26'!BS14</f>
        <v>30267.0912</v>
      </c>
      <c r="BU12" s="1064">
        <f>'Recurrentes 24-26'!BT14</f>
        <v>3982.512</v>
      </c>
      <c r="BV12" s="1064">
        <f>'Recurrentes 24-26'!BU14</f>
        <v>25886.328</v>
      </c>
      <c r="BW12" s="451"/>
      <c r="BX12" s="1062">
        <f>'Recurrentes 24-26'!BV14</f>
        <v>228596.1888</v>
      </c>
      <c r="BY12" s="1064">
        <f>'Recurrentes 24-26'!BW14</f>
        <v>23895.072</v>
      </c>
      <c r="BZ12" s="1064">
        <f>'Recurrentes 24-26'!BX14</f>
        <v>17921.304</v>
      </c>
      <c r="CA12" s="1064">
        <f>'Recurrentes 24-26'!BY14</f>
        <v>23895.072</v>
      </c>
      <c r="CB12" s="1064">
        <f>'Recurrentes 24-26'!BZ14</f>
        <v>19912.56</v>
      </c>
      <c r="CC12" s="1064">
        <f>'Recurrentes 24-26'!CA14</f>
        <v>23895.072</v>
      </c>
      <c r="CD12" s="1064">
        <f>'Recurrentes 24-26'!CB14</f>
        <v>33851.352</v>
      </c>
      <c r="CE12" s="1064">
        <f>'Recurrentes 24-26'!CC14</f>
        <v>25089.8256</v>
      </c>
      <c r="CF12" s="1064">
        <f>'Recurrentes 24-26'!CD14</f>
        <v>30267.0912</v>
      </c>
      <c r="CG12" s="1064">
        <f>'Recurrentes 24-26'!CE14</f>
        <v>3982.512</v>
      </c>
      <c r="CH12" s="1064">
        <f>'Recurrentes 24-26'!CF14</f>
        <v>25886.328</v>
      </c>
      <c r="CI12" s="451"/>
      <c r="CJ12" s="1062">
        <f>'Recurrentes 24-26'!CG14</f>
        <v>228596.1888</v>
      </c>
      <c r="CK12" s="1062">
        <f>'Recurrentes 24-26'!CH14</f>
        <v>523899.4536</v>
      </c>
      <c r="CL12" s="451" t="str">
        <f>'Recurrentes 24-26'!CI14</f>
        <v/>
      </c>
      <c r="CM12" s="1064" t="str">
        <f>'Recurrentes 24-26'!CJ14</f>
        <v/>
      </c>
      <c r="CN12" s="451">
        <f>'Recurrentes 24-26'!CK14</f>
        <v>1</v>
      </c>
      <c r="CO12" s="1062">
        <f>'Recurrentes 24-26'!CL14</f>
        <v>28.61</v>
      </c>
      <c r="CP12" s="451" t="str">
        <f>'Recurrentes 24-26'!CM14</f>
        <v/>
      </c>
    </row>
    <row r="13">
      <c r="A13" s="451" t="str">
        <f>'Recurrentes 24-26'!A15</f>
        <v>Repuestos Electromecánicos recurrentes</v>
      </c>
      <c r="B13" s="451">
        <f>'Recurrentes 24-26'!B15</f>
        <v>2</v>
      </c>
      <c r="C13" s="451" t="str">
        <f>'Recurrentes 24-26'!C15</f>
        <v>Vehículo</v>
      </c>
      <c r="D13" s="451" t="str">
        <f>'Recurrentes 24-26'!D15</f>
        <v>Manto. Pinza</v>
      </c>
      <c r="E13" s="451" t="str">
        <f>'Recurrentes 24-26'!E15</f>
        <v>Repuesto Mecánico</v>
      </c>
      <c r="F13" s="451" t="str">
        <f>'Recurrentes 24-26'!F15</f>
        <v>TDB</v>
      </c>
      <c r="G13" s="1025" t="str">
        <f>'Recurrentes 24-26'!G15</f>
        <v>39800</v>
      </c>
      <c r="H13" s="1061" t="str">
        <f>'Recurrentes 24-26'!H15</f>
        <v>2-01-00651</v>
      </c>
      <c r="I13" s="1061" t="str">
        <f>'Recurrentes 24-26'!I15</f>
        <v>11359422</v>
      </c>
      <c r="J13" s="1061" t="str">
        <f>'Recurrentes 24-26'!J15</f>
        <v>LENGÜETA DE PLÁST. A108-C TIPO 3/510/IBAF Ø52-56MM</v>
      </c>
      <c r="K13" s="451" t="str">
        <f>'Recurrentes 24-26'!K15</f>
        <v>Pza</v>
      </c>
      <c r="L13" s="451">
        <f>'Recurrentes 24-26'!L15</f>
        <v>0</v>
      </c>
      <c r="M13" s="451">
        <f>'Recurrentes 24-26'!M15</f>
        <v>0</v>
      </c>
      <c r="N13" s="451">
        <f>'Recurrentes 24-26'!N15</f>
        <v>0</v>
      </c>
      <c r="O13" s="451">
        <f>'Recurrentes 24-26'!O15</f>
        <v>0</v>
      </c>
      <c r="P13" s="451">
        <f>'Recurrentes 24-26'!P15</f>
        <v>0</v>
      </c>
      <c r="Q13" s="451">
        <f>'Recurrentes 24-26'!Q15</f>
        <v>0</v>
      </c>
      <c r="R13" s="451">
        <f>'Recurrentes 24-26'!R15</f>
        <v>0</v>
      </c>
      <c r="S13" s="451">
        <f>'Recurrentes 24-26'!S15</f>
        <v>0</v>
      </c>
      <c r="T13" s="451">
        <f>'Recurrentes 24-26'!T15</f>
        <v>0</v>
      </c>
      <c r="U13" s="451">
        <f>'Recurrentes 24-26'!U15</f>
        <v>0</v>
      </c>
      <c r="V13" s="451">
        <f>'Recurrentes 24-26'!V15</f>
        <v>0</v>
      </c>
      <c r="W13" s="1062">
        <f>'Recurrentes 24-26'!W15</f>
        <v>0</v>
      </c>
      <c r="X13" s="451">
        <f>'Recurrentes 24-26'!X15</f>
        <v>300</v>
      </c>
      <c r="Y13" s="451">
        <f>'Recurrentes 24-26'!Y15</f>
        <v>0</v>
      </c>
      <c r="Z13" s="451">
        <f>'Recurrentes 24-26'!Z15</f>
        <v>0</v>
      </c>
      <c r="AA13" s="451">
        <f>'Recurrentes 24-26'!AA15</f>
        <v>0</v>
      </c>
      <c r="AB13" s="451">
        <f>'Recurrentes 24-26'!AB15</f>
        <v>0</v>
      </c>
      <c r="AC13" s="451">
        <f>'Recurrentes 24-26'!AC15</f>
        <v>0</v>
      </c>
      <c r="AD13" s="451">
        <f>'Recurrentes 24-26'!AD15</f>
        <v>0</v>
      </c>
      <c r="AE13" s="451">
        <f>'Recurrentes 24-26'!AE15</f>
        <v>0</v>
      </c>
      <c r="AF13" s="451">
        <f>'Recurrentes 24-26'!AF15</f>
        <v>0</v>
      </c>
      <c r="AG13" s="451">
        <f>'Recurrentes 24-26'!AG15</f>
        <v>0</v>
      </c>
      <c r="AH13" s="451">
        <f>'Recurrentes 24-26'!AH15</f>
        <v>0</v>
      </c>
      <c r="AI13" s="1062">
        <f>'Recurrentes 24-26'!AI15</f>
        <v>300</v>
      </c>
      <c r="AJ13" s="451">
        <f>'Recurrentes 24-26'!AJ15</f>
        <v>300</v>
      </c>
      <c r="AK13" s="451">
        <f>'Recurrentes 24-26'!AK15</f>
        <v>0</v>
      </c>
      <c r="AL13" s="451">
        <f>'Recurrentes 24-26'!AL15</f>
        <v>0</v>
      </c>
      <c r="AM13" s="451">
        <f>'Recurrentes 24-26'!AM15</f>
        <v>0</v>
      </c>
      <c r="AN13" s="451">
        <f>'Recurrentes 24-26'!AN15</f>
        <v>0</v>
      </c>
      <c r="AO13" s="451">
        <f>'Recurrentes 24-26'!AO15</f>
        <v>0</v>
      </c>
      <c r="AP13" s="451">
        <f>'Recurrentes 24-26'!AP15</f>
        <v>0</v>
      </c>
      <c r="AQ13" s="451">
        <f>'Recurrentes 24-26'!AQ15</f>
        <v>0</v>
      </c>
      <c r="AR13" s="451">
        <f>'Recurrentes 24-26'!AR15</f>
        <v>0</v>
      </c>
      <c r="AS13" s="451">
        <f>'Recurrentes 24-26'!AS15</f>
        <v>0</v>
      </c>
      <c r="AT13" s="451">
        <f>'Recurrentes 24-26'!AT15</f>
        <v>0</v>
      </c>
      <c r="AU13" s="1062">
        <f>'Recurrentes 24-26'!AU15</f>
        <v>300</v>
      </c>
      <c r="AV13" s="1063">
        <f>'Recurrentes 24-26'!AV15</f>
        <v>600</v>
      </c>
      <c r="AW13" s="451" t="str">
        <f>'Recurrentes 24-26'!AW15</f>
        <v/>
      </c>
      <c r="AX13" s="1062">
        <f>'Recurrentes 24-26'!AX15</f>
        <v>91.95</v>
      </c>
      <c r="AY13" s="1062">
        <f>'Recurrentes 24-26'!AY15</f>
        <v>639.972</v>
      </c>
      <c r="AZ13" s="1064" t="str">
        <f>'Recurrentes 24-26'!AZ15</f>
        <v/>
      </c>
      <c r="BA13" s="1064">
        <f>'Recurrentes 24-26'!BA15</f>
        <v>0</v>
      </c>
      <c r="BB13" s="1064">
        <f>'Recurrentes 24-26'!BB15</f>
        <v>0</v>
      </c>
      <c r="BC13" s="1064">
        <f>'Recurrentes 24-26'!BC15</f>
        <v>0</v>
      </c>
      <c r="BD13" s="1064">
        <f>'Recurrentes 24-26'!BD15</f>
        <v>0</v>
      </c>
      <c r="BE13" s="1064">
        <f>'Recurrentes 24-26'!BE15</f>
        <v>0</v>
      </c>
      <c r="BF13" s="1064">
        <f>'Recurrentes 24-26'!BF15</f>
        <v>0</v>
      </c>
      <c r="BG13" s="1064">
        <f>'Recurrentes 24-26'!BG15</f>
        <v>0</v>
      </c>
      <c r="BH13" s="1064">
        <f>'Recurrentes 24-26'!BH15</f>
        <v>0</v>
      </c>
      <c r="BI13" s="1064">
        <f>'Recurrentes 24-26'!BI15</f>
        <v>0</v>
      </c>
      <c r="BJ13" s="1064">
        <f>'Recurrentes 24-26'!BJ15</f>
        <v>0</v>
      </c>
      <c r="BK13" s="451"/>
      <c r="BL13" s="1062">
        <f>'Recurrentes 24-26'!BK15</f>
        <v>0</v>
      </c>
      <c r="BM13" s="1064">
        <f>'Recurrentes 24-26'!BL15</f>
        <v>191991.6</v>
      </c>
      <c r="BN13" s="1064">
        <f>'Recurrentes 24-26'!BM15</f>
        <v>0</v>
      </c>
      <c r="BO13" s="1064">
        <f>'Recurrentes 24-26'!BN15</f>
        <v>0</v>
      </c>
      <c r="BP13" s="1064">
        <f>'Recurrentes 24-26'!BO15</f>
        <v>0</v>
      </c>
      <c r="BQ13" s="1064">
        <f>'Recurrentes 24-26'!BP15</f>
        <v>0</v>
      </c>
      <c r="BR13" s="1064">
        <f>'Recurrentes 24-26'!BQ15</f>
        <v>0</v>
      </c>
      <c r="BS13" s="1064">
        <f>'Recurrentes 24-26'!BR15</f>
        <v>0</v>
      </c>
      <c r="BT13" s="1064">
        <f>'Recurrentes 24-26'!BS15</f>
        <v>0</v>
      </c>
      <c r="BU13" s="1064">
        <f>'Recurrentes 24-26'!BT15</f>
        <v>0</v>
      </c>
      <c r="BV13" s="1064">
        <f>'Recurrentes 24-26'!BU15</f>
        <v>0</v>
      </c>
      <c r="BW13" s="451"/>
      <c r="BX13" s="1062">
        <f>'Recurrentes 24-26'!BV15</f>
        <v>191991.6</v>
      </c>
      <c r="BY13" s="1064">
        <f>'Recurrentes 24-26'!BW15</f>
        <v>191991.6</v>
      </c>
      <c r="BZ13" s="1064">
        <f>'Recurrentes 24-26'!BX15</f>
        <v>0</v>
      </c>
      <c r="CA13" s="1064">
        <f>'Recurrentes 24-26'!BY15</f>
        <v>0</v>
      </c>
      <c r="CB13" s="1064">
        <f>'Recurrentes 24-26'!BZ15</f>
        <v>0</v>
      </c>
      <c r="CC13" s="1064">
        <f>'Recurrentes 24-26'!CA15</f>
        <v>0</v>
      </c>
      <c r="CD13" s="1064">
        <f>'Recurrentes 24-26'!CB15</f>
        <v>0</v>
      </c>
      <c r="CE13" s="1064">
        <f>'Recurrentes 24-26'!CC15</f>
        <v>0</v>
      </c>
      <c r="CF13" s="1064">
        <f>'Recurrentes 24-26'!CD15</f>
        <v>0</v>
      </c>
      <c r="CG13" s="1064">
        <f>'Recurrentes 24-26'!CE15</f>
        <v>0</v>
      </c>
      <c r="CH13" s="1064">
        <f>'Recurrentes 24-26'!CF15</f>
        <v>0</v>
      </c>
      <c r="CI13" s="451"/>
      <c r="CJ13" s="1062">
        <f>'Recurrentes 24-26'!CG15</f>
        <v>191991.6</v>
      </c>
      <c r="CK13" s="1062">
        <f>'Recurrentes 24-26'!CH15</f>
        <v>383983.2</v>
      </c>
      <c r="CL13" s="451" t="str">
        <f>'Recurrentes 24-26'!CI15</f>
        <v/>
      </c>
      <c r="CM13" s="1064" t="str">
        <f>'Recurrentes 24-26'!CJ15</f>
        <v/>
      </c>
      <c r="CN13" s="451">
        <f>'Recurrentes 24-26'!CK15</f>
        <v>1</v>
      </c>
      <c r="CO13" s="1062">
        <f>'Recurrentes 24-26'!CL15</f>
        <v>91.95</v>
      </c>
      <c r="CP13" s="451" t="str">
        <f>'Recurrentes 24-26'!CM15</f>
        <v/>
      </c>
    </row>
    <row r="14">
      <c r="A14" s="451" t="str">
        <f>'Recurrentes 24-26'!A16</f>
        <v>Repuestos Electromecánicos recurrentes</v>
      </c>
      <c r="B14" s="451">
        <f>'Recurrentes 24-26'!B16</f>
        <v>2</v>
      </c>
      <c r="C14" s="451" t="str">
        <f>'Recurrentes 24-26'!C16</f>
        <v>Vehículo</v>
      </c>
      <c r="D14" s="451" t="str">
        <f>'Recurrentes 24-26'!D16</f>
        <v>10% Suspensiones de Cabinas </v>
      </c>
      <c r="E14" s="451" t="str">
        <f>'Recurrentes 24-26'!E16</f>
        <v>Repuesto Mecánico</v>
      </c>
      <c r="F14" s="451" t="str">
        <f>'Recurrentes 24-26'!F16</f>
        <v>TDB</v>
      </c>
      <c r="G14" s="1025" t="str">
        <f>'Recurrentes 24-26'!G16</f>
        <v>39800</v>
      </c>
      <c r="H14" s="1061" t="str">
        <f>'Recurrentes 24-26'!H16</f>
        <v>2-01-00342</v>
      </c>
      <c r="I14" s="1061" t="str">
        <f>'Recurrentes 24-26'!I16</f>
        <v>10182756</v>
      </c>
      <c r="J14" s="1061" t="str">
        <f>'Recurrentes 24-26'!J16</f>
        <v>CASQUILLO CON BORDE GGB2215 DU GLACIER</v>
      </c>
      <c r="K14" s="451" t="str">
        <f>'Recurrentes 24-26'!K16</f>
        <v>Pza</v>
      </c>
      <c r="L14" s="451">
        <f>'Recurrentes 24-26'!L16</f>
        <v>0</v>
      </c>
      <c r="M14" s="451">
        <f>'Recurrentes 24-26'!M16</f>
        <v>0</v>
      </c>
      <c r="N14" s="451">
        <f>'Recurrentes 24-26'!N16</f>
        <v>0</v>
      </c>
      <c r="O14" s="451">
        <f>'Recurrentes 24-26'!O16</f>
        <v>0</v>
      </c>
      <c r="P14" s="451">
        <f>'Recurrentes 24-26'!P16</f>
        <v>0</v>
      </c>
      <c r="Q14" s="451">
        <f>'Recurrentes 24-26'!Q16</f>
        <v>0</v>
      </c>
      <c r="R14" s="451">
        <f>'Recurrentes 24-26'!R16</f>
        <v>0</v>
      </c>
      <c r="S14" s="451">
        <f>'Recurrentes 24-26'!S16</f>
        <v>0</v>
      </c>
      <c r="T14" s="451">
        <f>'Recurrentes 24-26'!T16</f>
        <v>0</v>
      </c>
      <c r="U14" s="451">
        <f>'Recurrentes 24-26'!U16</f>
        <v>0</v>
      </c>
      <c r="V14" s="451">
        <f>'Recurrentes 24-26'!V16</f>
        <v>0</v>
      </c>
      <c r="W14" s="1062">
        <f>'Recurrentes 24-26'!W16</f>
        <v>0</v>
      </c>
      <c r="X14" s="451">
        <f>'Recurrentes 24-26'!X16</f>
        <v>320</v>
      </c>
      <c r="Y14" s="451">
        <f>'Recurrentes 24-26'!Y16</f>
        <v>240</v>
      </c>
      <c r="Z14" s="451">
        <f>'Recurrentes 24-26'!Z16</f>
        <v>108</v>
      </c>
      <c r="AA14" s="451">
        <f>'Recurrentes 24-26'!AA16</f>
        <v>176</v>
      </c>
      <c r="AB14" s="451">
        <f>'Recurrentes 24-26'!AB16</f>
        <v>202</v>
      </c>
      <c r="AC14" s="451">
        <f>'Recurrentes 24-26'!AC16</f>
        <v>336</v>
      </c>
      <c r="AD14" s="451">
        <f>'Recurrentes 24-26'!AD16</f>
        <v>0</v>
      </c>
      <c r="AE14" s="451">
        <f>'Recurrentes 24-26'!AE16</f>
        <v>0</v>
      </c>
      <c r="AF14" s="451">
        <f>'Recurrentes 24-26'!AF16</f>
        <v>16</v>
      </c>
      <c r="AG14" s="451">
        <f>'Recurrentes 24-26'!AG16</f>
        <v>0</v>
      </c>
      <c r="AH14" s="451">
        <f>'Recurrentes 24-26'!AH16</f>
        <v>0</v>
      </c>
      <c r="AI14" s="1062">
        <f>'Recurrentes 24-26'!AI16</f>
        <v>1398</v>
      </c>
      <c r="AJ14" s="451">
        <f>'Recurrentes 24-26'!AJ16</f>
        <v>320</v>
      </c>
      <c r="AK14" s="451">
        <f>'Recurrentes 24-26'!AK16</f>
        <v>240</v>
      </c>
      <c r="AL14" s="451">
        <f>'Recurrentes 24-26'!AL16</f>
        <v>108</v>
      </c>
      <c r="AM14" s="451">
        <f>'Recurrentes 24-26'!AM16</f>
        <v>176</v>
      </c>
      <c r="AN14" s="451">
        <f>'Recurrentes 24-26'!AN16</f>
        <v>202</v>
      </c>
      <c r="AO14" s="451">
        <f>'Recurrentes 24-26'!AO16</f>
        <v>336</v>
      </c>
      <c r="AP14" s="451">
        <f>'Recurrentes 24-26'!AP16</f>
        <v>0</v>
      </c>
      <c r="AQ14" s="451">
        <f>'Recurrentes 24-26'!AQ16</f>
        <v>0</v>
      </c>
      <c r="AR14" s="451">
        <f>'Recurrentes 24-26'!AR16</f>
        <v>16</v>
      </c>
      <c r="AS14" s="451">
        <f>'Recurrentes 24-26'!AS16</f>
        <v>280</v>
      </c>
      <c r="AT14" s="451">
        <f>'Recurrentes 24-26'!AT16</f>
        <v>0</v>
      </c>
      <c r="AU14" s="1062">
        <f>'Recurrentes 24-26'!AU16</f>
        <v>1678</v>
      </c>
      <c r="AV14" s="1063">
        <f>'Recurrentes 24-26'!AV16</f>
        <v>3076</v>
      </c>
      <c r="AW14" s="451" t="str">
        <f>'Recurrentes 24-26'!AW16</f>
        <v/>
      </c>
      <c r="AX14" s="1062">
        <f>'Recurrentes 24-26'!AX16</f>
        <v>13.23</v>
      </c>
      <c r="AY14" s="1062">
        <f>'Recurrentes 24-26'!AY16</f>
        <v>92.0808</v>
      </c>
      <c r="AZ14" s="1064" t="str">
        <f>'Recurrentes 24-26'!AZ16</f>
        <v/>
      </c>
      <c r="BA14" s="1064">
        <f>'Recurrentes 24-26'!BA16</f>
        <v>0</v>
      </c>
      <c r="BB14" s="1064">
        <f>'Recurrentes 24-26'!BB16</f>
        <v>0</v>
      </c>
      <c r="BC14" s="1064">
        <f>'Recurrentes 24-26'!BC16</f>
        <v>0</v>
      </c>
      <c r="BD14" s="1064">
        <f>'Recurrentes 24-26'!BD16</f>
        <v>0</v>
      </c>
      <c r="BE14" s="1064">
        <f>'Recurrentes 24-26'!BE16</f>
        <v>0</v>
      </c>
      <c r="BF14" s="1064">
        <f>'Recurrentes 24-26'!BF16</f>
        <v>0</v>
      </c>
      <c r="BG14" s="1064">
        <f>'Recurrentes 24-26'!BG16</f>
        <v>0</v>
      </c>
      <c r="BH14" s="1064">
        <f>'Recurrentes 24-26'!BH16</f>
        <v>0</v>
      </c>
      <c r="BI14" s="1064">
        <f>'Recurrentes 24-26'!BI16</f>
        <v>0</v>
      </c>
      <c r="BJ14" s="1064">
        <f>'Recurrentes 24-26'!BJ16</f>
        <v>0</v>
      </c>
      <c r="BK14" s="451"/>
      <c r="BL14" s="1062">
        <f>'Recurrentes 24-26'!BK16</f>
        <v>0</v>
      </c>
      <c r="BM14" s="1064">
        <f>'Recurrentes 24-26'!BL16</f>
        <v>29465.856</v>
      </c>
      <c r="BN14" s="1064">
        <f>'Recurrentes 24-26'!BM16</f>
        <v>22099.392</v>
      </c>
      <c r="BO14" s="1064">
        <f>'Recurrentes 24-26'!BN16</f>
        <v>9944.7264</v>
      </c>
      <c r="BP14" s="1064">
        <f>'Recurrentes 24-26'!BO16</f>
        <v>16206.2208</v>
      </c>
      <c r="BQ14" s="1064">
        <f>'Recurrentes 24-26'!BP16</f>
        <v>18600.3216</v>
      </c>
      <c r="BR14" s="1064">
        <f>'Recurrentes 24-26'!BQ16</f>
        <v>30939.1488</v>
      </c>
      <c r="BS14" s="1064">
        <f>'Recurrentes 24-26'!BR16</f>
        <v>0</v>
      </c>
      <c r="BT14" s="1064">
        <f>'Recurrentes 24-26'!BS16</f>
        <v>0</v>
      </c>
      <c r="BU14" s="1064">
        <f>'Recurrentes 24-26'!BT16</f>
        <v>1473.2928</v>
      </c>
      <c r="BV14" s="1064">
        <f>'Recurrentes 24-26'!BU16</f>
        <v>0</v>
      </c>
      <c r="BW14" s="451"/>
      <c r="BX14" s="1062">
        <f>'Recurrentes 24-26'!BV16</f>
        <v>128728.9584</v>
      </c>
      <c r="BY14" s="1064">
        <f>'Recurrentes 24-26'!BW16</f>
        <v>29465.856</v>
      </c>
      <c r="BZ14" s="1064">
        <f>'Recurrentes 24-26'!BX16</f>
        <v>22099.392</v>
      </c>
      <c r="CA14" s="1064">
        <f>'Recurrentes 24-26'!BY16</f>
        <v>9944.7264</v>
      </c>
      <c r="CB14" s="1064">
        <f>'Recurrentes 24-26'!BZ16</f>
        <v>16206.2208</v>
      </c>
      <c r="CC14" s="1064">
        <f>'Recurrentes 24-26'!CA16</f>
        <v>18600.3216</v>
      </c>
      <c r="CD14" s="1064">
        <f>'Recurrentes 24-26'!CB16</f>
        <v>30939.1488</v>
      </c>
      <c r="CE14" s="1064">
        <f>'Recurrentes 24-26'!CC16</f>
        <v>0</v>
      </c>
      <c r="CF14" s="1064">
        <f>'Recurrentes 24-26'!CD16</f>
        <v>0</v>
      </c>
      <c r="CG14" s="1064">
        <f>'Recurrentes 24-26'!CE16</f>
        <v>1473.2928</v>
      </c>
      <c r="CH14" s="1064">
        <f>'Recurrentes 24-26'!CF16</f>
        <v>25782.624</v>
      </c>
      <c r="CI14" s="451"/>
      <c r="CJ14" s="1062">
        <f>'Recurrentes 24-26'!CG16</f>
        <v>154511.5824</v>
      </c>
      <c r="CK14" s="1062">
        <f>'Recurrentes 24-26'!CH16</f>
        <v>283240.5408</v>
      </c>
      <c r="CL14" s="451" t="str">
        <f>'Recurrentes 24-26'!CI16</f>
        <v/>
      </c>
      <c r="CM14" s="1064" t="str">
        <f>'Recurrentes 24-26'!CJ16</f>
        <v/>
      </c>
      <c r="CN14" s="451">
        <f>'Recurrentes 24-26'!CK16</f>
        <v>1</v>
      </c>
      <c r="CO14" s="1062">
        <f>'Recurrentes 24-26'!CL16</f>
        <v>13.23</v>
      </c>
      <c r="CP14" s="451" t="str">
        <f>'Recurrentes 24-26'!CM16</f>
        <v/>
      </c>
    </row>
    <row r="15">
      <c r="A15" s="451" t="str">
        <f>'Recurrentes 24-26'!A17</f>
        <v/>
      </c>
      <c r="B15" s="451" t="str">
        <f>'Recurrentes 24-26'!B17</f>
        <v/>
      </c>
      <c r="C15" s="451" t="str">
        <f>'Recurrentes 24-26'!C17</f>
        <v/>
      </c>
      <c r="D15" s="451" t="str">
        <f>'Recurrentes 24-26'!D17</f>
        <v/>
      </c>
      <c r="E15" s="451" t="str">
        <f>'Recurrentes 24-26'!E17</f>
        <v/>
      </c>
      <c r="F15" s="451" t="str">
        <f>'Recurrentes 24-26'!F17</f>
        <v/>
      </c>
      <c r="G15" s="1061" t="str">
        <f>'Recurrentes 24-26'!G17</f>
        <v/>
      </c>
      <c r="H15" s="1061" t="str">
        <f>'Recurrentes 24-26'!H17</f>
        <v/>
      </c>
      <c r="I15" s="1061" t="str">
        <f>'Recurrentes 24-26'!I17</f>
        <v/>
      </c>
      <c r="J15" s="1061" t="str">
        <f>'Recurrentes 24-26'!J17</f>
        <v/>
      </c>
      <c r="K15" s="451" t="str">
        <f>'Recurrentes 24-26'!K17</f>
        <v/>
      </c>
      <c r="L15" s="451" t="str">
        <f>'Recurrentes 24-26'!L17</f>
        <v/>
      </c>
      <c r="M15" s="451" t="str">
        <f>'Recurrentes 24-26'!M17</f>
        <v/>
      </c>
      <c r="N15" s="451" t="str">
        <f>'Recurrentes 24-26'!N17</f>
        <v/>
      </c>
      <c r="O15" s="451" t="str">
        <f>'Recurrentes 24-26'!O17</f>
        <v/>
      </c>
      <c r="P15" s="451" t="str">
        <f>'Recurrentes 24-26'!P17</f>
        <v/>
      </c>
      <c r="Q15" s="451" t="str">
        <f>'Recurrentes 24-26'!Q17</f>
        <v/>
      </c>
      <c r="R15" s="451" t="str">
        <f>'Recurrentes 24-26'!R17</f>
        <v/>
      </c>
      <c r="S15" s="451" t="str">
        <f>'Recurrentes 24-26'!S17</f>
        <v/>
      </c>
      <c r="T15" s="451" t="str">
        <f>'Recurrentes 24-26'!T17</f>
        <v/>
      </c>
      <c r="U15" s="451" t="str">
        <f>'Recurrentes 24-26'!U17</f>
        <v/>
      </c>
      <c r="V15" s="451" t="str">
        <f>'Recurrentes 24-26'!V17</f>
        <v/>
      </c>
      <c r="W15" s="1062" t="str">
        <f>'Recurrentes 24-26'!W17</f>
        <v/>
      </c>
      <c r="X15" s="451" t="str">
        <f>'Recurrentes 24-26'!X17</f>
        <v/>
      </c>
      <c r="Y15" s="451" t="str">
        <f>'Recurrentes 24-26'!Y17</f>
        <v/>
      </c>
      <c r="Z15" s="451" t="str">
        <f>'Recurrentes 24-26'!Z17</f>
        <v/>
      </c>
      <c r="AA15" s="451" t="str">
        <f>'Recurrentes 24-26'!AA17</f>
        <v/>
      </c>
      <c r="AB15" s="451" t="str">
        <f>'Recurrentes 24-26'!AB17</f>
        <v/>
      </c>
      <c r="AC15" s="451" t="str">
        <f>'Recurrentes 24-26'!AC17</f>
        <v/>
      </c>
      <c r="AD15" s="451" t="str">
        <f>'Recurrentes 24-26'!AD17</f>
        <v/>
      </c>
      <c r="AE15" s="451" t="str">
        <f>'Recurrentes 24-26'!AE17</f>
        <v/>
      </c>
      <c r="AF15" s="451" t="str">
        <f>'Recurrentes 24-26'!AF17</f>
        <v/>
      </c>
      <c r="AG15" s="451" t="str">
        <f>'Recurrentes 24-26'!AG17</f>
        <v/>
      </c>
      <c r="AH15" s="451" t="str">
        <f>'Recurrentes 24-26'!AH17</f>
        <v/>
      </c>
      <c r="AI15" s="1062" t="str">
        <f>'Recurrentes 24-26'!AI17</f>
        <v/>
      </c>
      <c r="AJ15" s="451" t="str">
        <f>'Recurrentes 24-26'!AJ17</f>
        <v/>
      </c>
      <c r="AK15" s="451" t="str">
        <f>'Recurrentes 24-26'!AK17</f>
        <v/>
      </c>
      <c r="AL15" s="451" t="str">
        <f>'Recurrentes 24-26'!AL17</f>
        <v/>
      </c>
      <c r="AM15" s="451" t="str">
        <f>'Recurrentes 24-26'!AM17</f>
        <v/>
      </c>
      <c r="AN15" s="451" t="str">
        <f>'Recurrentes 24-26'!AN17</f>
        <v/>
      </c>
      <c r="AO15" s="451" t="str">
        <f>'Recurrentes 24-26'!AO17</f>
        <v/>
      </c>
      <c r="AP15" s="451" t="str">
        <f>'Recurrentes 24-26'!AP17</f>
        <v/>
      </c>
      <c r="AQ15" s="451" t="str">
        <f>'Recurrentes 24-26'!AQ17</f>
        <v/>
      </c>
      <c r="AR15" s="451" t="str">
        <f>'Recurrentes 24-26'!AR17</f>
        <v/>
      </c>
      <c r="AS15" s="451" t="str">
        <f>'Recurrentes 24-26'!AS17</f>
        <v/>
      </c>
      <c r="AT15" s="451" t="str">
        <f>'Recurrentes 24-26'!AT17</f>
        <v/>
      </c>
      <c r="AU15" s="1062" t="str">
        <f>'Recurrentes 24-26'!AU17</f>
        <v/>
      </c>
      <c r="AV15" s="1063" t="str">
        <f>'Recurrentes 24-26'!AV17</f>
        <v/>
      </c>
      <c r="AW15" s="451" t="str">
        <f>'Recurrentes 24-26'!AW17</f>
        <v/>
      </c>
      <c r="AX15" s="1062" t="str">
        <f>'Recurrentes 24-26'!AX17</f>
        <v/>
      </c>
      <c r="AY15" s="1062" t="str">
        <f>'Recurrentes 24-26'!AY17</f>
        <v/>
      </c>
      <c r="AZ15" s="1064" t="str">
        <f>'Recurrentes 24-26'!AZ17</f>
        <v/>
      </c>
      <c r="BA15" s="1064" t="str">
        <f>'Recurrentes 24-26'!BA17</f>
        <v/>
      </c>
      <c r="BB15" s="1064" t="str">
        <f>'Recurrentes 24-26'!BB17</f>
        <v/>
      </c>
      <c r="BC15" s="1064" t="str">
        <f>'Recurrentes 24-26'!BC17</f>
        <v/>
      </c>
      <c r="BD15" s="1064" t="str">
        <f>'Recurrentes 24-26'!BD17</f>
        <v/>
      </c>
      <c r="BE15" s="1064" t="str">
        <f>'Recurrentes 24-26'!BE17</f>
        <v/>
      </c>
      <c r="BF15" s="1064" t="str">
        <f>'Recurrentes 24-26'!BF17</f>
        <v/>
      </c>
      <c r="BG15" s="1064" t="str">
        <f>'Recurrentes 24-26'!BG17</f>
        <v/>
      </c>
      <c r="BH15" s="1064" t="str">
        <f>'Recurrentes 24-26'!BH17</f>
        <v/>
      </c>
      <c r="BI15" s="1064" t="str">
        <f>'Recurrentes 24-26'!BI17</f>
        <v/>
      </c>
      <c r="BJ15" s="1064" t="str">
        <f>'Recurrentes 24-26'!BJ17</f>
        <v/>
      </c>
      <c r="BK15" s="451"/>
      <c r="BL15" s="1062" t="str">
        <f>'Recurrentes 24-26'!BK17</f>
        <v/>
      </c>
      <c r="BM15" s="1064" t="str">
        <f>'Recurrentes 24-26'!BL17</f>
        <v/>
      </c>
      <c r="BN15" s="1064" t="str">
        <f>'Recurrentes 24-26'!BM17</f>
        <v/>
      </c>
      <c r="BO15" s="1064" t="str">
        <f>'Recurrentes 24-26'!BN17</f>
        <v/>
      </c>
      <c r="BP15" s="1064" t="str">
        <f>'Recurrentes 24-26'!BO17</f>
        <v/>
      </c>
      <c r="BQ15" s="1064" t="str">
        <f>'Recurrentes 24-26'!BP17</f>
        <v/>
      </c>
      <c r="BR15" s="1064" t="str">
        <f>'Recurrentes 24-26'!BQ17</f>
        <v/>
      </c>
      <c r="BS15" s="1064" t="str">
        <f>'Recurrentes 24-26'!BR17</f>
        <v/>
      </c>
      <c r="BT15" s="1064" t="str">
        <f>'Recurrentes 24-26'!BS17</f>
        <v/>
      </c>
      <c r="BU15" s="1064" t="str">
        <f>'Recurrentes 24-26'!BT17</f>
        <v/>
      </c>
      <c r="BV15" s="1064" t="str">
        <f>'Recurrentes 24-26'!BU17</f>
        <v/>
      </c>
      <c r="BW15" s="451"/>
      <c r="BX15" s="1062" t="str">
        <f>'Recurrentes 24-26'!BV17</f>
        <v/>
      </c>
      <c r="BY15" s="1064" t="str">
        <f>'Recurrentes 24-26'!BW17</f>
        <v/>
      </c>
      <c r="BZ15" s="1064" t="str">
        <f>'Recurrentes 24-26'!BX17</f>
        <v/>
      </c>
      <c r="CA15" s="1064" t="str">
        <f>'Recurrentes 24-26'!BY17</f>
        <v/>
      </c>
      <c r="CB15" s="1064" t="str">
        <f>'Recurrentes 24-26'!BZ17</f>
        <v/>
      </c>
      <c r="CC15" s="1064" t="str">
        <f>'Recurrentes 24-26'!CA17</f>
        <v/>
      </c>
      <c r="CD15" s="1064" t="str">
        <f>'Recurrentes 24-26'!CB17</f>
        <v/>
      </c>
      <c r="CE15" s="1064" t="str">
        <f>'Recurrentes 24-26'!CC17</f>
        <v/>
      </c>
      <c r="CF15" s="1064" t="str">
        <f>'Recurrentes 24-26'!CD17</f>
        <v/>
      </c>
      <c r="CG15" s="1064" t="str">
        <f>'Recurrentes 24-26'!CE17</f>
        <v/>
      </c>
      <c r="CH15" s="1064" t="str">
        <f>'Recurrentes 24-26'!CF17</f>
        <v/>
      </c>
      <c r="CI15" s="451"/>
      <c r="CJ15" s="1062" t="str">
        <f>'Recurrentes 24-26'!CG17</f>
        <v/>
      </c>
      <c r="CK15" s="1062" t="str">
        <f>'Recurrentes 24-26'!CH17</f>
        <v/>
      </c>
      <c r="CL15" s="451" t="str">
        <f>'Recurrentes 24-26'!CI17</f>
        <v/>
      </c>
      <c r="CM15" s="1064" t="str">
        <f>'Recurrentes 24-26'!CJ17</f>
        <v/>
      </c>
      <c r="CN15" s="451" t="str">
        <f>'Recurrentes 24-26'!CK17</f>
        <v/>
      </c>
      <c r="CO15" s="451" t="str">
        <f>'Recurrentes 24-26'!CL17</f>
        <v/>
      </c>
      <c r="CP15" s="451" t="str">
        <f>'Recurrentes 24-26'!CM17</f>
        <v/>
      </c>
    </row>
    <row r="16">
      <c r="A16" s="451" t="str">
        <f>'Recurrentes 24-26'!A18</f>
        <v/>
      </c>
      <c r="B16" s="451" t="str">
        <f>'Recurrentes 24-26'!B18</f>
        <v/>
      </c>
      <c r="C16" s="451" t="str">
        <f>'Recurrentes 24-26'!C18</f>
        <v/>
      </c>
      <c r="D16" s="451" t="str">
        <f>'Recurrentes 24-26'!D18</f>
        <v/>
      </c>
      <c r="E16" s="451" t="str">
        <f>'Recurrentes 24-26'!E18</f>
        <v/>
      </c>
      <c r="F16" s="451" t="str">
        <f>'Recurrentes 24-26'!F18</f>
        <v/>
      </c>
      <c r="G16" s="1061" t="str">
        <f>'Recurrentes 24-26'!G18</f>
        <v/>
      </c>
      <c r="H16" s="1061" t="str">
        <f>'Recurrentes 24-26'!H18</f>
        <v/>
      </c>
      <c r="I16" s="1061" t="str">
        <f>'Recurrentes 24-26'!I18</f>
        <v/>
      </c>
      <c r="J16" s="1061" t="str">
        <f>'Recurrentes 24-26'!J18</f>
        <v/>
      </c>
      <c r="K16" s="451" t="str">
        <f>'Recurrentes 24-26'!K18</f>
        <v/>
      </c>
      <c r="L16" s="451" t="str">
        <f>'Recurrentes 24-26'!L18</f>
        <v/>
      </c>
      <c r="M16" s="451" t="str">
        <f>'Recurrentes 24-26'!M18</f>
        <v/>
      </c>
      <c r="N16" s="451" t="str">
        <f>'Recurrentes 24-26'!N18</f>
        <v/>
      </c>
      <c r="O16" s="451" t="str">
        <f>'Recurrentes 24-26'!O18</f>
        <v/>
      </c>
      <c r="P16" s="451" t="str">
        <f>'Recurrentes 24-26'!P18</f>
        <v/>
      </c>
      <c r="Q16" s="451" t="str">
        <f>'Recurrentes 24-26'!Q18</f>
        <v/>
      </c>
      <c r="R16" s="451" t="str">
        <f>'Recurrentes 24-26'!R18</f>
        <v/>
      </c>
      <c r="S16" s="451" t="str">
        <f>'Recurrentes 24-26'!S18</f>
        <v/>
      </c>
      <c r="T16" s="451" t="str">
        <f>'Recurrentes 24-26'!T18</f>
        <v/>
      </c>
      <c r="U16" s="451" t="str">
        <f>'Recurrentes 24-26'!U18</f>
        <v/>
      </c>
      <c r="V16" s="451" t="str">
        <f>'Recurrentes 24-26'!V18</f>
        <v/>
      </c>
      <c r="W16" s="1062" t="str">
        <f>'Recurrentes 24-26'!W18</f>
        <v/>
      </c>
      <c r="X16" s="451" t="str">
        <f>'Recurrentes 24-26'!X18</f>
        <v/>
      </c>
      <c r="Y16" s="451" t="str">
        <f>'Recurrentes 24-26'!Y18</f>
        <v/>
      </c>
      <c r="Z16" s="451" t="str">
        <f>'Recurrentes 24-26'!Z18</f>
        <v/>
      </c>
      <c r="AA16" s="451" t="str">
        <f>'Recurrentes 24-26'!AA18</f>
        <v/>
      </c>
      <c r="AB16" s="451" t="str">
        <f>'Recurrentes 24-26'!AB18</f>
        <v/>
      </c>
      <c r="AC16" s="451" t="str">
        <f>'Recurrentes 24-26'!AC18</f>
        <v/>
      </c>
      <c r="AD16" s="451" t="str">
        <f>'Recurrentes 24-26'!AD18</f>
        <v/>
      </c>
      <c r="AE16" s="451" t="str">
        <f>'Recurrentes 24-26'!AE18</f>
        <v/>
      </c>
      <c r="AF16" s="451" t="str">
        <f>'Recurrentes 24-26'!AF18</f>
        <v/>
      </c>
      <c r="AG16" s="451" t="str">
        <f>'Recurrentes 24-26'!AG18</f>
        <v/>
      </c>
      <c r="AH16" s="451" t="str">
        <f>'Recurrentes 24-26'!AH18</f>
        <v/>
      </c>
      <c r="AI16" s="1062" t="str">
        <f>'Recurrentes 24-26'!AI18</f>
        <v/>
      </c>
      <c r="AJ16" s="451" t="str">
        <f>'Recurrentes 24-26'!AJ18</f>
        <v/>
      </c>
      <c r="AK16" s="451" t="str">
        <f>'Recurrentes 24-26'!AK18</f>
        <v/>
      </c>
      <c r="AL16" s="451" t="str">
        <f>'Recurrentes 24-26'!AL18</f>
        <v/>
      </c>
      <c r="AM16" s="451" t="str">
        <f>'Recurrentes 24-26'!AM18</f>
        <v/>
      </c>
      <c r="AN16" s="451" t="str">
        <f>'Recurrentes 24-26'!AN18</f>
        <v/>
      </c>
      <c r="AO16" s="451" t="str">
        <f>'Recurrentes 24-26'!AO18</f>
        <v/>
      </c>
      <c r="AP16" s="451" t="str">
        <f>'Recurrentes 24-26'!AP18</f>
        <v/>
      </c>
      <c r="AQ16" s="451" t="str">
        <f>'Recurrentes 24-26'!AQ18</f>
        <v/>
      </c>
      <c r="AR16" s="451" t="str">
        <f>'Recurrentes 24-26'!AR18</f>
        <v/>
      </c>
      <c r="AS16" s="451" t="str">
        <f>'Recurrentes 24-26'!AS18</f>
        <v/>
      </c>
      <c r="AT16" s="451" t="str">
        <f>'Recurrentes 24-26'!AT18</f>
        <v/>
      </c>
      <c r="AU16" s="1062" t="str">
        <f>'Recurrentes 24-26'!AU18</f>
        <v/>
      </c>
      <c r="AV16" s="1063" t="str">
        <f>'Recurrentes 24-26'!AV18</f>
        <v/>
      </c>
      <c r="AW16" s="451" t="str">
        <f>'Recurrentes 24-26'!AW18</f>
        <v/>
      </c>
      <c r="AX16" s="1062" t="str">
        <f>'Recurrentes 24-26'!AX18</f>
        <v/>
      </c>
      <c r="AY16" s="1062" t="str">
        <f>'Recurrentes 24-26'!AY18</f>
        <v/>
      </c>
      <c r="AZ16" s="1064" t="str">
        <f>'Recurrentes 24-26'!AZ18</f>
        <v/>
      </c>
      <c r="BA16" s="1064" t="str">
        <f>'Recurrentes 24-26'!BA18</f>
        <v/>
      </c>
      <c r="BB16" s="1064" t="str">
        <f>'Recurrentes 24-26'!BB18</f>
        <v/>
      </c>
      <c r="BC16" s="1064" t="str">
        <f>'Recurrentes 24-26'!BC18</f>
        <v/>
      </c>
      <c r="BD16" s="1064" t="str">
        <f>'Recurrentes 24-26'!BD18</f>
        <v/>
      </c>
      <c r="BE16" s="1064" t="str">
        <f>'Recurrentes 24-26'!BE18</f>
        <v/>
      </c>
      <c r="BF16" s="1064" t="str">
        <f>'Recurrentes 24-26'!BF18</f>
        <v/>
      </c>
      <c r="BG16" s="1064" t="str">
        <f>'Recurrentes 24-26'!BG18</f>
        <v/>
      </c>
      <c r="BH16" s="1064" t="str">
        <f>'Recurrentes 24-26'!BH18</f>
        <v/>
      </c>
      <c r="BI16" s="1064" t="str">
        <f>'Recurrentes 24-26'!BI18</f>
        <v/>
      </c>
      <c r="BJ16" s="1064" t="str">
        <f>'Recurrentes 24-26'!BJ18</f>
        <v/>
      </c>
      <c r="BK16" s="451"/>
      <c r="BL16" s="1062" t="str">
        <f>'Recurrentes 24-26'!BK18</f>
        <v/>
      </c>
      <c r="BM16" s="1064" t="str">
        <f>'Recurrentes 24-26'!BL18</f>
        <v/>
      </c>
      <c r="BN16" s="1064" t="str">
        <f>'Recurrentes 24-26'!BM18</f>
        <v/>
      </c>
      <c r="BO16" s="1064" t="str">
        <f>'Recurrentes 24-26'!BN18</f>
        <v/>
      </c>
      <c r="BP16" s="1064" t="str">
        <f>'Recurrentes 24-26'!BO18</f>
        <v/>
      </c>
      <c r="BQ16" s="1064" t="str">
        <f>'Recurrentes 24-26'!BP18</f>
        <v/>
      </c>
      <c r="BR16" s="1064" t="str">
        <f>'Recurrentes 24-26'!BQ18</f>
        <v/>
      </c>
      <c r="BS16" s="1064" t="str">
        <f>'Recurrentes 24-26'!BR18</f>
        <v/>
      </c>
      <c r="BT16" s="1064" t="str">
        <f>'Recurrentes 24-26'!BS18</f>
        <v/>
      </c>
      <c r="BU16" s="1064" t="str">
        <f>'Recurrentes 24-26'!BT18</f>
        <v/>
      </c>
      <c r="BV16" s="1064" t="str">
        <f>'Recurrentes 24-26'!BU18</f>
        <v/>
      </c>
      <c r="BW16" s="451"/>
      <c r="BX16" s="1062" t="str">
        <f>'Recurrentes 24-26'!BV18</f>
        <v/>
      </c>
      <c r="BY16" s="1064" t="str">
        <f>'Recurrentes 24-26'!BW18</f>
        <v/>
      </c>
      <c r="BZ16" s="1064" t="str">
        <f>'Recurrentes 24-26'!BX18</f>
        <v/>
      </c>
      <c r="CA16" s="1064" t="str">
        <f>'Recurrentes 24-26'!BY18</f>
        <v/>
      </c>
      <c r="CB16" s="1064" t="str">
        <f>'Recurrentes 24-26'!BZ18</f>
        <v/>
      </c>
      <c r="CC16" s="1064" t="str">
        <f>'Recurrentes 24-26'!CA18</f>
        <v/>
      </c>
      <c r="CD16" s="1064" t="str">
        <f>'Recurrentes 24-26'!CB18</f>
        <v/>
      </c>
      <c r="CE16" s="1064" t="str">
        <f>'Recurrentes 24-26'!CC18</f>
        <v/>
      </c>
      <c r="CF16" s="1064" t="str">
        <f>'Recurrentes 24-26'!CD18</f>
        <v/>
      </c>
      <c r="CG16" s="1064" t="str">
        <f>'Recurrentes 24-26'!CE18</f>
        <v/>
      </c>
      <c r="CH16" s="1064" t="str">
        <f>'Recurrentes 24-26'!CF18</f>
        <v/>
      </c>
      <c r="CI16" s="451"/>
      <c r="CJ16" s="1062" t="str">
        <f>'Recurrentes 24-26'!CG18</f>
        <v/>
      </c>
      <c r="CK16" s="1062" t="str">
        <f>'Recurrentes 24-26'!CH18</f>
        <v/>
      </c>
      <c r="CL16" s="451" t="str">
        <f>'Recurrentes 24-26'!CI18</f>
        <v/>
      </c>
      <c r="CM16" s="1064" t="str">
        <f>'Recurrentes 24-26'!CJ18</f>
        <v/>
      </c>
      <c r="CN16" s="451" t="str">
        <f>'Recurrentes 24-26'!CK18</f>
        <v/>
      </c>
      <c r="CO16" s="451" t="str">
        <f>'Recurrentes 24-26'!CL18</f>
        <v/>
      </c>
      <c r="CP16" s="451" t="str">
        <f>'Recurrentes 24-26'!CM18</f>
        <v/>
      </c>
    </row>
    <row r="17">
      <c r="A17" s="451" t="str">
        <f>'Recurrentes 24-26'!A19</f>
        <v/>
      </c>
      <c r="B17" s="451" t="str">
        <f>'Recurrentes 24-26'!B19</f>
        <v/>
      </c>
      <c r="C17" s="451" t="str">
        <f>'Recurrentes 24-26'!C19</f>
        <v/>
      </c>
      <c r="D17" s="451" t="str">
        <f>'Recurrentes 24-26'!D19</f>
        <v/>
      </c>
      <c r="E17" s="451" t="str">
        <f>'Recurrentes 24-26'!E19</f>
        <v/>
      </c>
      <c r="F17" s="451" t="str">
        <f>'Recurrentes 24-26'!F19</f>
        <v/>
      </c>
      <c r="G17" s="1061" t="str">
        <f>'Recurrentes 24-26'!G19</f>
        <v/>
      </c>
      <c r="H17" s="1061" t="str">
        <f>'Recurrentes 24-26'!H19</f>
        <v/>
      </c>
      <c r="I17" s="1061" t="str">
        <f>'Recurrentes 24-26'!I19</f>
        <v/>
      </c>
      <c r="J17" s="1061" t="str">
        <f>'Recurrentes 24-26'!J19</f>
        <v/>
      </c>
      <c r="K17" s="451" t="str">
        <f>'Recurrentes 24-26'!K19</f>
        <v/>
      </c>
      <c r="L17" s="451" t="str">
        <f>'Recurrentes 24-26'!L19</f>
        <v/>
      </c>
      <c r="M17" s="451" t="str">
        <f>'Recurrentes 24-26'!M19</f>
        <v/>
      </c>
      <c r="N17" s="451" t="str">
        <f>'Recurrentes 24-26'!N19</f>
        <v/>
      </c>
      <c r="O17" s="451" t="str">
        <f>'Recurrentes 24-26'!O19</f>
        <v/>
      </c>
      <c r="P17" s="451" t="str">
        <f>'Recurrentes 24-26'!P19</f>
        <v/>
      </c>
      <c r="Q17" s="451" t="str">
        <f>'Recurrentes 24-26'!Q19</f>
        <v/>
      </c>
      <c r="R17" s="451" t="str">
        <f>'Recurrentes 24-26'!R19</f>
        <v/>
      </c>
      <c r="S17" s="451" t="str">
        <f>'Recurrentes 24-26'!S19</f>
        <v/>
      </c>
      <c r="T17" s="451" t="str">
        <f>'Recurrentes 24-26'!T19</f>
        <v/>
      </c>
      <c r="U17" s="451" t="str">
        <f>'Recurrentes 24-26'!U19</f>
        <v/>
      </c>
      <c r="V17" s="451" t="str">
        <f>'Recurrentes 24-26'!V19</f>
        <v/>
      </c>
      <c r="W17" s="1062" t="str">
        <f>'Recurrentes 24-26'!W19</f>
        <v/>
      </c>
      <c r="X17" s="451" t="str">
        <f>'Recurrentes 24-26'!X19</f>
        <v/>
      </c>
      <c r="Y17" s="451" t="str">
        <f>'Recurrentes 24-26'!Y19</f>
        <v/>
      </c>
      <c r="Z17" s="451" t="str">
        <f>'Recurrentes 24-26'!Z19</f>
        <v/>
      </c>
      <c r="AA17" s="451" t="str">
        <f>'Recurrentes 24-26'!AA19</f>
        <v/>
      </c>
      <c r="AB17" s="451" t="str">
        <f>'Recurrentes 24-26'!AB19</f>
        <v/>
      </c>
      <c r="AC17" s="451" t="str">
        <f>'Recurrentes 24-26'!AC19</f>
        <v/>
      </c>
      <c r="AD17" s="451" t="str">
        <f>'Recurrentes 24-26'!AD19</f>
        <v/>
      </c>
      <c r="AE17" s="451" t="str">
        <f>'Recurrentes 24-26'!AE19</f>
        <v/>
      </c>
      <c r="AF17" s="451" t="str">
        <f>'Recurrentes 24-26'!AF19</f>
        <v/>
      </c>
      <c r="AG17" s="451" t="str">
        <f>'Recurrentes 24-26'!AG19</f>
        <v/>
      </c>
      <c r="AH17" s="451" t="str">
        <f>'Recurrentes 24-26'!AH19</f>
        <v/>
      </c>
      <c r="AI17" s="1062" t="str">
        <f>'Recurrentes 24-26'!AI19</f>
        <v/>
      </c>
      <c r="AJ17" s="451" t="str">
        <f>'Recurrentes 24-26'!AJ19</f>
        <v/>
      </c>
      <c r="AK17" s="451" t="str">
        <f>'Recurrentes 24-26'!AK19</f>
        <v/>
      </c>
      <c r="AL17" s="451" t="str">
        <f>'Recurrentes 24-26'!AL19</f>
        <v/>
      </c>
      <c r="AM17" s="451" t="str">
        <f>'Recurrentes 24-26'!AM19</f>
        <v/>
      </c>
      <c r="AN17" s="451" t="str">
        <f>'Recurrentes 24-26'!AN19</f>
        <v/>
      </c>
      <c r="AO17" s="451" t="str">
        <f>'Recurrentes 24-26'!AO19</f>
        <v/>
      </c>
      <c r="AP17" s="451" t="str">
        <f>'Recurrentes 24-26'!AP19</f>
        <v/>
      </c>
      <c r="AQ17" s="451" t="str">
        <f>'Recurrentes 24-26'!AQ19</f>
        <v/>
      </c>
      <c r="AR17" s="451" t="str">
        <f>'Recurrentes 24-26'!AR19</f>
        <v/>
      </c>
      <c r="AS17" s="451" t="str">
        <f>'Recurrentes 24-26'!AS19</f>
        <v/>
      </c>
      <c r="AT17" s="451" t="str">
        <f>'Recurrentes 24-26'!AT19</f>
        <v/>
      </c>
      <c r="AU17" s="1062" t="str">
        <f>'Recurrentes 24-26'!AU19</f>
        <v/>
      </c>
      <c r="AV17" s="1063" t="str">
        <f>'Recurrentes 24-26'!AV19</f>
        <v/>
      </c>
      <c r="AW17" s="451" t="str">
        <f>'Recurrentes 24-26'!AW19</f>
        <v/>
      </c>
      <c r="AX17" s="1062" t="str">
        <f>'Recurrentes 24-26'!AX19</f>
        <v/>
      </c>
      <c r="AY17" s="1062" t="str">
        <f>'Recurrentes 24-26'!AY19</f>
        <v/>
      </c>
      <c r="AZ17" s="1064" t="str">
        <f>'Recurrentes 24-26'!AZ19</f>
        <v/>
      </c>
      <c r="BA17" s="1064" t="str">
        <f>'Recurrentes 24-26'!BA19</f>
        <v/>
      </c>
      <c r="BB17" s="1064" t="str">
        <f>'Recurrentes 24-26'!BB19</f>
        <v/>
      </c>
      <c r="BC17" s="1064" t="str">
        <f>'Recurrentes 24-26'!BC19</f>
        <v/>
      </c>
      <c r="BD17" s="1064" t="str">
        <f>'Recurrentes 24-26'!BD19</f>
        <v/>
      </c>
      <c r="BE17" s="1064" t="str">
        <f>'Recurrentes 24-26'!BE19</f>
        <v/>
      </c>
      <c r="BF17" s="1064" t="str">
        <f>'Recurrentes 24-26'!BF19</f>
        <v/>
      </c>
      <c r="BG17" s="1064" t="str">
        <f>'Recurrentes 24-26'!BG19</f>
        <v/>
      </c>
      <c r="BH17" s="1064" t="str">
        <f>'Recurrentes 24-26'!BH19</f>
        <v/>
      </c>
      <c r="BI17" s="1064" t="str">
        <f>'Recurrentes 24-26'!BI19</f>
        <v/>
      </c>
      <c r="BJ17" s="1064" t="str">
        <f>'Recurrentes 24-26'!BJ19</f>
        <v/>
      </c>
      <c r="BK17" s="451"/>
      <c r="BL17" s="1062" t="str">
        <f>'Recurrentes 24-26'!BK19</f>
        <v/>
      </c>
      <c r="BM17" s="1064" t="str">
        <f>'Recurrentes 24-26'!BL19</f>
        <v/>
      </c>
      <c r="BN17" s="1064" t="str">
        <f>'Recurrentes 24-26'!BM19</f>
        <v/>
      </c>
      <c r="BO17" s="1064" t="str">
        <f>'Recurrentes 24-26'!BN19</f>
        <v/>
      </c>
      <c r="BP17" s="1064" t="str">
        <f>'Recurrentes 24-26'!BO19</f>
        <v/>
      </c>
      <c r="BQ17" s="1064" t="str">
        <f>'Recurrentes 24-26'!BP19</f>
        <v/>
      </c>
      <c r="BR17" s="1064" t="str">
        <f>'Recurrentes 24-26'!BQ19</f>
        <v/>
      </c>
      <c r="BS17" s="1064" t="str">
        <f>'Recurrentes 24-26'!BR19</f>
        <v/>
      </c>
      <c r="BT17" s="1064" t="str">
        <f>'Recurrentes 24-26'!BS19</f>
        <v/>
      </c>
      <c r="BU17" s="1064" t="str">
        <f>'Recurrentes 24-26'!BT19</f>
        <v/>
      </c>
      <c r="BV17" s="1064" t="str">
        <f>'Recurrentes 24-26'!BU19</f>
        <v/>
      </c>
      <c r="BW17" s="451"/>
      <c r="BX17" s="1062" t="str">
        <f>'Recurrentes 24-26'!BV19</f>
        <v/>
      </c>
      <c r="BY17" s="1064" t="str">
        <f>'Recurrentes 24-26'!BW19</f>
        <v/>
      </c>
      <c r="BZ17" s="1064" t="str">
        <f>'Recurrentes 24-26'!BX19</f>
        <v/>
      </c>
      <c r="CA17" s="1064" t="str">
        <f>'Recurrentes 24-26'!BY19</f>
        <v/>
      </c>
      <c r="CB17" s="1064" t="str">
        <f>'Recurrentes 24-26'!BZ19</f>
        <v/>
      </c>
      <c r="CC17" s="1064" t="str">
        <f>'Recurrentes 24-26'!CA19</f>
        <v/>
      </c>
      <c r="CD17" s="1064" t="str">
        <f>'Recurrentes 24-26'!CB19</f>
        <v/>
      </c>
      <c r="CE17" s="1064" t="str">
        <f>'Recurrentes 24-26'!CC19</f>
        <v/>
      </c>
      <c r="CF17" s="1064" t="str">
        <f>'Recurrentes 24-26'!CD19</f>
        <v/>
      </c>
      <c r="CG17" s="1064" t="str">
        <f>'Recurrentes 24-26'!CE19</f>
        <v/>
      </c>
      <c r="CH17" s="1064" t="str">
        <f>'Recurrentes 24-26'!CF19</f>
        <v/>
      </c>
      <c r="CI17" s="451"/>
      <c r="CJ17" s="1062" t="str">
        <f>'Recurrentes 24-26'!CG19</f>
        <v/>
      </c>
      <c r="CK17" s="1062" t="str">
        <f>'Recurrentes 24-26'!CH19</f>
        <v/>
      </c>
      <c r="CL17" s="451" t="str">
        <f>'Recurrentes 24-26'!CI19</f>
        <v/>
      </c>
      <c r="CM17" s="1064" t="str">
        <f>'Recurrentes 24-26'!CJ19</f>
        <v/>
      </c>
      <c r="CN17" s="451" t="str">
        <f>'Recurrentes 24-26'!CK19</f>
        <v/>
      </c>
      <c r="CO17" s="451" t="str">
        <f>'Recurrentes 24-26'!CL19</f>
        <v/>
      </c>
      <c r="CP17" s="451" t="str">
        <f>'Recurrentes 24-26'!CM19</f>
        <v/>
      </c>
    </row>
    <row r="18">
      <c r="A18" s="451" t="str">
        <f>'Recurrentes 24-26'!A20</f>
        <v>Repuestos Electromecánicos recurrentes</v>
      </c>
      <c r="B18" s="451">
        <f>'Recurrentes 24-26'!B20</f>
        <v>2</v>
      </c>
      <c r="C18" s="451" t="str">
        <f>'Recurrentes 24-26'!C20</f>
        <v>Estaciones</v>
      </c>
      <c r="D18" s="451" t="str">
        <f>'Recurrentes 24-26'!D20</f>
        <v>Cambio de Neumáticos</v>
      </c>
      <c r="E18" s="451" t="str">
        <f>'Recurrentes 24-26'!E20</f>
        <v>Repuesto Mecánico</v>
      </c>
      <c r="F18" s="451" t="str">
        <f>'Recurrentes 24-26'!F20</f>
        <v>TDB</v>
      </c>
      <c r="G18" s="1025" t="str">
        <f>'Recurrentes 24-26'!G20</f>
        <v>34300</v>
      </c>
      <c r="H18" s="1061" t="str">
        <f>'Recurrentes 24-26'!H20</f>
        <v>2-01-00873</v>
      </c>
      <c r="I18" s="1061" t="str">
        <f>'Recurrentes 24-26'!I20</f>
        <v>12008441</v>
      </c>
      <c r="J18" s="1061" t="str">
        <f>'Recurrentes 24-26'!J20</f>
        <v>NEUMÁTICO "DOPPELMAYR-K"</v>
      </c>
      <c r="K18" s="451" t="str">
        <f>'Recurrentes 24-26'!K20</f>
        <v>Pza</v>
      </c>
      <c r="L18" s="451" t="str">
        <f>'Recurrentes 24-26'!L20</f>
        <v/>
      </c>
      <c r="M18" s="451" t="str">
        <f>'Recurrentes 24-26'!M20</f>
        <v/>
      </c>
      <c r="N18" s="451" t="str">
        <f>'Recurrentes 24-26'!N20</f>
        <v/>
      </c>
      <c r="O18" s="451">
        <f>'Recurrentes 24-26'!O20</f>
        <v>0</v>
      </c>
      <c r="P18" s="451">
        <f>'Recurrentes 24-26'!P20</f>
        <v>80</v>
      </c>
      <c r="Q18" s="451">
        <f>'Recurrentes 24-26'!Q20</f>
        <v>100</v>
      </c>
      <c r="R18" s="451">
        <f>'Recurrentes 24-26'!R20</f>
        <v>0</v>
      </c>
      <c r="S18" s="451">
        <f>'Recurrentes 24-26'!S20</f>
        <v>0</v>
      </c>
      <c r="T18" s="451">
        <f>'Recurrentes 24-26'!T20</f>
        <v>20</v>
      </c>
      <c r="U18" s="451">
        <f>'Recurrentes 24-26'!U20</f>
        <v>0</v>
      </c>
      <c r="V18" s="451">
        <f>'Recurrentes 24-26'!V20</f>
        <v>0</v>
      </c>
      <c r="W18" s="1062">
        <f>'Recurrentes 24-26'!W20</f>
        <v>200</v>
      </c>
      <c r="X18" s="451" t="str">
        <f>'Recurrentes 24-26'!X20</f>
        <v/>
      </c>
      <c r="Y18" s="451" t="str">
        <f>'Recurrentes 24-26'!Y20</f>
        <v/>
      </c>
      <c r="Z18" s="451" t="str">
        <f>'Recurrentes 24-26'!Z20</f>
        <v/>
      </c>
      <c r="AA18" s="451" t="str">
        <f>'Recurrentes 24-26'!AA20</f>
        <v/>
      </c>
      <c r="AB18" s="451" t="str">
        <f>'Recurrentes 24-26'!AB20</f>
        <v/>
      </c>
      <c r="AC18" s="451" t="str">
        <f>'Recurrentes 24-26'!AC20</f>
        <v/>
      </c>
      <c r="AD18" s="451" t="str">
        <f>'Recurrentes 24-26'!AD20</f>
        <v/>
      </c>
      <c r="AE18" s="451" t="str">
        <f>'Recurrentes 24-26'!AE20</f>
        <v/>
      </c>
      <c r="AF18" s="451" t="str">
        <f>'Recurrentes 24-26'!AF20</f>
        <v/>
      </c>
      <c r="AG18" s="451" t="str">
        <f>'Recurrentes 24-26'!AG20</f>
        <v/>
      </c>
      <c r="AH18" s="451">
        <f>'Recurrentes 24-26'!AH20</f>
        <v>0</v>
      </c>
      <c r="AI18" s="1062">
        <f>'Recurrentes 24-26'!AI20</f>
        <v>0</v>
      </c>
      <c r="AJ18" s="451" t="str">
        <f>'Recurrentes 24-26'!AJ20</f>
        <v/>
      </c>
      <c r="AK18" s="451" t="str">
        <f>'Recurrentes 24-26'!AK20</f>
        <v/>
      </c>
      <c r="AL18" s="451" t="str">
        <f>'Recurrentes 24-26'!AL20</f>
        <v/>
      </c>
      <c r="AM18" s="451" t="str">
        <f>'Recurrentes 24-26'!AM20</f>
        <v/>
      </c>
      <c r="AN18" s="451" t="str">
        <f>'Recurrentes 24-26'!AN20</f>
        <v/>
      </c>
      <c r="AO18" s="451" t="str">
        <f>'Recurrentes 24-26'!AO20</f>
        <v/>
      </c>
      <c r="AP18" s="451" t="str">
        <f>'Recurrentes 24-26'!AP20</f>
        <v/>
      </c>
      <c r="AQ18" s="451" t="str">
        <f>'Recurrentes 24-26'!AQ20</f>
        <v/>
      </c>
      <c r="AR18" s="451" t="str">
        <f>'Recurrentes 24-26'!AR20</f>
        <v/>
      </c>
      <c r="AS18" s="451" t="str">
        <f>'Recurrentes 24-26'!AS20</f>
        <v/>
      </c>
      <c r="AT18" s="451">
        <f>'Recurrentes 24-26'!AT20</f>
        <v>0</v>
      </c>
      <c r="AU18" s="1062">
        <f>'Recurrentes 24-26'!AU20</f>
        <v>0</v>
      </c>
      <c r="AV18" s="1063">
        <f>'Recurrentes 24-26'!AV20</f>
        <v>200</v>
      </c>
      <c r="AW18" s="451" t="str">
        <f>'Recurrentes 24-26'!AW20</f>
        <v/>
      </c>
      <c r="AX18" s="1062">
        <f>'Recurrentes 24-26'!AX20</f>
        <v>191.97</v>
      </c>
      <c r="AY18" s="1062">
        <f>'Recurrentes 24-26'!AY20</f>
        <v>1336.1112</v>
      </c>
      <c r="AZ18" s="1064" t="str">
        <f>'Recurrentes 24-26'!AZ20</f>
        <v/>
      </c>
      <c r="BA18" s="1064">
        <f>'Recurrentes 24-26'!BA20</f>
        <v>0</v>
      </c>
      <c r="BB18" s="1064">
        <f>'Recurrentes 24-26'!BB20</f>
        <v>0</v>
      </c>
      <c r="BC18" s="1064">
        <f>'Recurrentes 24-26'!BC20</f>
        <v>0</v>
      </c>
      <c r="BD18" s="1064">
        <f>'Recurrentes 24-26'!BD20</f>
        <v>0</v>
      </c>
      <c r="BE18" s="1064">
        <f>'Recurrentes 24-26'!BE20</f>
        <v>106888.896</v>
      </c>
      <c r="BF18" s="1064">
        <f>'Recurrentes 24-26'!BF20</f>
        <v>133611.12</v>
      </c>
      <c r="BG18" s="1064">
        <f>'Recurrentes 24-26'!BG20</f>
        <v>0</v>
      </c>
      <c r="BH18" s="1064">
        <f>'Recurrentes 24-26'!BH20</f>
        <v>0</v>
      </c>
      <c r="BI18" s="1064">
        <f>'Recurrentes 24-26'!BI20</f>
        <v>26722.224</v>
      </c>
      <c r="BJ18" s="1064">
        <f>'Recurrentes 24-26'!BJ20</f>
        <v>0</v>
      </c>
      <c r="BK18" s="451"/>
      <c r="BL18" s="1062">
        <f>'Recurrentes 24-26'!BK20</f>
        <v>267222.24</v>
      </c>
      <c r="BM18" s="1064">
        <f>'Recurrentes 24-26'!BL20</f>
        <v>0</v>
      </c>
      <c r="BN18" s="1064">
        <f>'Recurrentes 24-26'!BM20</f>
        <v>0</v>
      </c>
      <c r="BO18" s="1064">
        <f>'Recurrentes 24-26'!BN20</f>
        <v>0</v>
      </c>
      <c r="BP18" s="1064">
        <f>'Recurrentes 24-26'!BO20</f>
        <v>0</v>
      </c>
      <c r="BQ18" s="1064">
        <f>'Recurrentes 24-26'!BP20</f>
        <v>0</v>
      </c>
      <c r="BR18" s="1064">
        <f>'Recurrentes 24-26'!BQ20</f>
        <v>0</v>
      </c>
      <c r="BS18" s="1064">
        <f>'Recurrentes 24-26'!BR20</f>
        <v>0</v>
      </c>
      <c r="BT18" s="1064">
        <f>'Recurrentes 24-26'!BS20</f>
        <v>0</v>
      </c>
      <c r="BU18" s="1064">
        <f>'Recurrentes 24-26'!BT20</f>
        <v>0</v>
      </c>
      <c r="BV18" s="1064">
        <f>'Recurrentes 24-26'!BU20</f>
        <v>0</v>
      </c>
      <c r="BW18" s="451"/>
      <c r="BX18" s="1062">
        <f>'Recurrentes 24-26'!BV20</f>
        <v>0</v>
      </c>
      <c r="BY18" s="1064">
        <f>'Recurrentes 24-26'!BW20</f>
        <v>0</v>
      </c>
      <c r="BZ18" s="1064">
        <f>'Recurrentes 24-26'!BX20</f>
        <v>0</v>
      </c>
      <c r="CA18" s="1064">
        <f>'Recurrentes 24-26'!BY20</f>
        <v>0</v>
      </c>
      <c r="CB18" s="1064">
        <f>'Recurrentes 24-26'!BZ20</f>
        <v>0</v>
      </c>
      <c r="CC18" s="1064">
        <f>'Recurrentes 24-26'!CA20</f>
        <v>0</v>
      </c>
      <c r="CD18" s="1064">
        <f>'Recurrentes 24-26'!CB20</f>
        <v>0</v>
      </c>
      <c r="CE18" s="1064">
        <f>'Recurrentes 24-26'!CC20</f>
        <v>0</v>
      </c>
      <c r="CF18" s="1064">
        <f>'Recurrentes 24-26'!CD20</f>
        <v>0</v>
      </c>
      <c r="CG18" s="1064">
        <f>'Recurrentes 24-26'!CE20</f>
        <v>0</v>
      </c>
      <c r="CH18" s="1064">
        <f>'Recurrentes 24-26'!CF20</f>
        <v>0</v>
      </c>
      <c r="CI18" s="451"/>
      <c r="CJ18" s="1062">
        <f>'Recurrentes 24-26'!CG20</f>
        <v>0</v>
      </c>
      <c r="CK18" s="1062">
        <f>'Recurrentes 24-26'!CH20</f>
        <v>267222.24</v>
      </c>
      <c r="CL18" s="451" t="str">
        <f>'Recurrentes 24-26'!CI20</f>
        <v/>
      </c>
      <c r="CM18" s="1064" t="str">
        <f>'Recurrentes 24-26'!CJ20</f>
        <v>A partir de la gestión 2025, se buscará otro proveedor</v>
      </c>
      <c r="CN18" s="451">
        <f>'Recurrentes 24-26'!CK20</f>
        <v>1</v>
      </c>
      <c r="CO18" s="1062">
        <f>'Recurrentes 24-26'!CL20</f>
        <v>191.97</v>
      </c>
      <c r="CP18" s="451" t="str">
        <f>'Recurrentes 24-26'!CM20</f>
        <v/>
      </c>
    </row>
    <row r="19">
      <c r="A19" s="451" t="str">
        <f>'Recurrentes 24-26'!A21</f>
        <v>Repuestos Electromecánicos recurrentes</v>
      </c>
      <c r="B19" s="451">
        <f>'Recurrentes 24-26'!B21</f>
        <v>2</v>
      </c>
      <c r="C19" s="451" t="str">
        <f>'Recurrentes 24-26'!C21</f>
        <v>Estaciones</v>
      </c>
      <c r="D19" s="451" t="str">
        <f>'Recurrentes 24-26'!D21</f>
        <v>Reacondicionamiento y Cambio de poleas de estacion</v>
      </c>
      <c r="E19" s="451" t="str">
        <f>'Recurrentes 24-26'!E21</f>
        <v>Repuesto Mecánico</v>
      </c>
      <c r="F19" s="451" t="str">
        <f>'Recurrentes 24-26'!F21</f>
        <v>TDB</v>
      </c>
      <c r="G19" s="1025" t="str">
        <f>'Recurrentes 24-26'!G21</f>
        <v>39800</v>
      </c>
      <c r="H19" s="1061" t="str">
        <f>'Recurrentes 24-26'!H21</f>
        <v>2-01-00084</v>
      </c>
      <c r="I19" s="1061" t="str">
        <f>'Recurrentes 24-26'!I21</f>
        <v>10501992</v>
      </c>
      <c r="J19" s="1061" t="str">
        <f>'Recurrentes 24-26'!J21</f>
        <v>RRB DIN 625/1- 6307-2RS1-C3GLE VT210 (90% +/-5%)ROD.RAN.BOLAS</v>
      </c>
      <c r="K19" s="451" t="str">
        <f>'Recurrentes 24-26'!K21</f>
        <v>Pza</v>
      </c>
      <c r="L19" s="451">
        <f>'Recurrentes 24-26'!L21</f>
        <v>0</v>
      </c>
      <c r="M19" s="451">
        <f>'Recurrentes 24-26'!M21</f>
        <v>0</v>
      </c>
      <c r="N19" s="451">
        <f>'Recurrentes 24-26'!N21</f>
        <v>0</v>
      </c>
      <c r="O19" s="451">
        <f>'Recurrentes 24-26'!O21</f>
        <v>0</v>
      </c>
      <c r="P19" s="451">
        <f>'Recurrentes 24-26'!P21</f>
        <v>0</v>
      </c>
      <c r="Q19" s="451">
        <f>'Recurrentes 24-26'!Q21</f>
        <v>0</v>
      </c>
      <c r="R19" s="451">
        <f>'Recurrentes 24-26'!R21</f>
        <v>0</v>
      </c>
      <c r="S19" s="451">
        <f>'Recurrentes 24-26'!S21</f>
        <v>0</v>
      </c>
      <c r="T19" s="451">
        <f>'Recurrentes 24-26'!T21</f>
        <v>0</v>
      </c>
      <c r="U19" s="451">
        <f>'Recurrentes 24-26'!U21</f>
        <v>0</v>
      </c>
      <c r="V19" s="451">
        <f>'Recurrentes 24-26'!V21</f>
        <v>0</v>
      </c>
      <c r="W19" s="1062">
        <f>'Recurrentes 24-26'!W21</f>
        <v>0</v>
      </c>
      <c r="X19" s="451">
        <f>'Recurrentes 24-26'!X21</f>
        <v>48</v>
      </c>
      <c r="Y19" s="451">
        <f>'Recurrentes 24-26'!Y21</f>
        <v>48</v>
      </c>
      <c r="Z19" s="451">
        <f>'Recurrentes 24-26'!Z21</f>
        <v>72</v>
      </c>
      <c r="AA19" s="451">
        <f>'Recurrentes 24-26'!AA21</f>
        <v>50</v>
      </c>
      <c r="AB19" s="451">
        <f>'Recurrentes 24-26'!AB21</f>
        <v>74</v>
      </c>
      <c r="AC19" s="451">
        <f>'Recurrentes 24-26'!AC21</f>
        <v>98</v>
      </c>
      <c r="AD19" s="451">
        <f>'Recurrentes 24-26'!AD21</f>
        <v>88</v>
      </c>
      <c r="AE19" s="451">
        <f>'Recurrentes 24-26'!AE21</f>
        <v>88</v>
      </c>
      <c r="AF19" s="451">
        <f>'Recurrentes 24-26'!AF21</f>
        <v>32</v>
      </c>
      <c r="AG19" s="451">
        <f>'Recurrentes 24-26'!AG21</f>
        <v>0</v>
      </c>
      <c r="AH19" s="451">
        <f>'Recurrentes 24-26'!AH21</f>
        <v>0</v>
      </c>
      <c r="AI19" s="1062">
        <f>'Recurrentes 24-26'!AI21</f>
        <v>598</v>
      </c>
      <c r="AJ19" s="451">
        <f>'Recurrentes 24-26'!AJ21</f>
        <v>48</v>
      </c>
      <c r="AK19" s="451">
        <f>'Recurrentes 24-26'!AK21</f>
        <v>48</v>
      </c>
      <c r="AL19" s="451">
        <f>'Recurrentes 24-26'!AL21</f>
        <v>72</v>
      </c>
      <c r="AM19" s="451">
        <f>'Recurrentes 24-26'!AM21</f>
        <v>50</v>
      </c>
      <c r="AN19" s="451">
        <f>'Recurrentes 24-26'!AN21</f>
        <v>74</v>
      </c>
      <c r="AO19" s="451">
        <f>'Recurrentes 24-26'!AO21</f>
        <v>98</v>
      </c>
      <c r="AP19" s="451">
        <f>'Recurrentes 24-26'!AP21</f>
        <v>88</v>
      </c>
      <c r="AQ19" s="451">
        <f>'Recurrentes 24-26'!AQ21</f>
        <v>88</v>
      </c>
      <c r="AR19" s="451">
        <f>'Recurrentes 24-26'!AR21</f>
        <v>32</v>
      </c>
      <c r="AS19" s="451">
        <f>'Recurrentes 24-26'!AS21</f>
        <v>0</v>
      </c>
      <c r="AT19" s="451">
        <f>'Recurrentes 24-26'!AT21</f>
        <v>0</v>
      </c>
      <c r="AU19" s="1062">
        <f>'Recurrentes 24-26'!AU21</f>
        <v>598</v>
      </c>
      <c r="AV19" s="1063">
        <f>'Recurrentes 24-26'!AV21</f>
        <v>1196</v>
      </c>
      <c r="AW19" s="451" t="str">
        <f>'Recurrentes 24-26'!AW21</f>
        <v/>
      </c>
      <c r="AX19" s="1062">
        <f>'Recurrentes 24-26'!AX21</f>
        <v>28.61</v>
      </c>
      <c r="AY19" s="1062">
        <f>'Recurrentes 24-26'!AY21</f>
        <v>199.1256</v>
      </c>
      <c r="AZ19" s="1064" t="str">
        <f>'Recurrentes 24-26'!AZ21</f>
        <v/>
      </c>
      <c r="BA19" s="1064">
        <f>'Recurrentes 24-26'!BA21</f>
        <v>0</v>
      </c>
      <c r="BB19" s="1064">
        <f>'Recurrentes 24-26'!BB21</f>
        <v>0</v>
      </c>
      <c r="BC19" s="1064">
        <f>'Recurrentes 24-26'!BC21</f>
        <v>0</v>
      </c>
      <c r="BD19" s="1064">
        <f>'Recurrentes 24-26'!BD21</f>
        <v>0</v>
      </c>
      <c r="BE19" s="1064">
        <f>'Recurrentes 24-26'!BE21</f>
        <v>0</v>
      </c>
      <c r="BF19" s="1064">
        <f>'Recurrentes 24-26'!BF21</f>
        <v>0</v>
      </c>
      <c r="BG19" s="1064">
        <f>'Recurrentes 24-26'!BG21</f>
        <v>0</v>
      </c>
      <c r="BH19" s="1064">
        <f>'Recurrentes 24-26'!BH21</f>
        <v>0</v>
      </c>
      <c r="BI19" s="1064">
        <f>'Recurrentes 24-26'!BI21</f>
        <v>0</v>
      </c>
      <c r="BJ19" s="1064">
        <f>'Recurrentes 24-26'!BJ21</f>
        <v>0</v>
      </c>
      <c r="BK19" s="451"/>
      <c r="BL19" s="1062">
        <f>'Recurrentes 24-26'!BK21</f>
        <v>0</v>
      </c>
      <c r="BM19" s="1064">
        <f>'Recurrentes 24-26'!BL21</f>
        <v>9558.0288</v>
      </c>
      <c r="BN19" s="1064">
        <f>'Recurrentes 24-26'!BM21</f>
        <v>9558.0288</v>
      </c>
      <c r="BO19" s="1064">
        <f>'Recurrentes 24-26'!BN21</f>
        <v>14337.0432</v>
      </c>
      <c r="BP19" s="1064">
        <f>'Recurrentes 24-26'!BO21</f>
        <v>9956.28</v>
      </c>
      <c r="BQ19" s="1064">
        <f>'Recurrentes 24-26'!BP21</f>
        <v>14735.2944</v>
      </c>
      <c r="BR19" s="1064">
        <f>'Recurrentes 24-26'!BQ21</f>
        <v>19514.3088</v>
      </c>
      <c r="BS19" s="1064">
        <f>'Recurrentes 24-26'!BR21</f>
        <v>17523.0528</v>
      </c>
      <c r="BT19" s="1064">
        <f>'Recurrentes 24-26'!BS21</f>
        <v>17523.0528</v>
      </c>
      <c r="BU19" s="1064">
        <f>'Recurrentes 24-26'!BT21</f>
        <v>6372.0192</v>
      </c>
      <c r="BV19" s="1064">
        <f>'Recurrentes 24-26'!BU21</f>
        <v>0</v>
      </c>
      <c r="BW19" s="451"/>
      <c r="BX19" s="1062">
        <f>'Recurrentes 24-26'!BV21</f>
        <v>119077.1088</v>
      </c>
      <c r="BY19" s="1064">
        <f>'Recurrentes 24-26'!BW21</f>
        <v>9558.0288</v>
      </c>
      <c r="BZ19" s="1064">
        <f>'Recurrentes 24-26'!BX21</f>
        <v>9558.0288</v>
      </c>
      <c r="CA19" s="1064">
        <f>'Recurrentes 24-26'!BY21</f>
        <v>14337.0432</v>
      </c>
      <c r="CB19" s="1064">
        <f>'Recurrentes 24-26'!BZ21</f>
        <v>9956.28</v>
      </c>
      <c r="CC19" s="1064">
        <f>'Recurrentes 24-26'!CA21</f>
        <v>14735.2944</v>
      </c>
      <c r="CD19" s="1064">
        <f>'Recurrentes 24-26'!CB21</f>
        <v>19514.3088</v>
      </c>
      <c r="CE19" s="1064">
        <f>'Recurrentes 24-26'!CC21</f>
        <v>17523.0528</v>
      </c>
      <c r="CF19" s="1064">
        <f>'Recurrentes 24-26'!CD21</f>
        <v>17523.0528</v>
      </c>
      <c r="CG19" s="1064">
        <f>'Recurrentes 24-26'!CE21</f>
        <v>6372.0192</v>
      </c>
      <c r="CH19" s="1064">
        <f>'Recurrentes 24-26'!CF21</f>
        <v>0</v>
      </c>
      <c r="CI19" s="451"/>
      <c r="CJ19" s="1062">
        <f>'Recurrentes 24-26'!CG21</f>
        <v>119077.1088</v>
      </c>
      <c r="CK19" s="1062">
        <f>'Recurrentes 24-26'!CH21</f>
        <v>238154.2176</v>
      </c>
      <c r="CL19" s="451" t="str">
        <f>'Recurrentes 24-26'!CI21</f>
        <v/>
      </c>
      <c r="CM19" s="1064" t="str">
        <f>'Recurrentes 24-26'!CJ21</f>
        <v/>
      </c>
      <c r="CN19" s="451">
        <f>'Recurrentes 24-26'!CK21</f>
        <v>1</v>
      </c>
      <c r="CO19" s="1062">
        <f>'Recurrentes 24-26'!CL21</f>
        <v>28.61</v>
      </c>
      <c r="CP19" s="451" t="str">
        <f>'Recurrentes 24-26'!CM21</f>
        <v/>
      </c>
    </row>
    <row r="20">
      <c r="A20" s="451" t="str">
        <f>'Recurrentes 24-26'!A22</f>
        <v>Repuestos Electromecánicos recurrentes</v>
      </c>
      <c r="B20" s="451" t="str">
        <f>'Recurrentes 24-26'!B22</f>
        <v/>
      </c>
      <c r="C20" s="451" t="str">
        <f>'Recurrentes 24-26'!C22</f>
        <v>Estaciones</v>
      </c>
      <c r="D20" s="451" t="str">
        <f>'Recurrentes 24-26'!D22</f>
        <v>Cambio Correas</v>
      </c>
      <c r="E20" s="451" t="str">
        <f>'Recurrentes 24-26'!E22</f>
        <v>Repuesto Mecánico</v>
      </c>
      <c r="F20" s="451" t="str">
        <f>'Recurrentes 24-26'!F22</f>
        <v>TDB</v>
      </c>
      <c r="G20" s="1061" t="str">
        <f>'Recurrentes 24-26'!G22</f>
        <v>39800</v>
      </c>
      <c r="H20" s="1061" t="str">
        <f>'Recurrentes 24-26'!H22</f>
        <v>2-01-00595</v>
      </c>
      <c r="I20" s="1061">
        <f>'Recurrentes 24-26'!I22</f>
        <v>10217238</v>
      </c>
      <c r="J20" s="1061" t="str">
        <f>'Recurrentes 24-26'!J22</f>
        <v>CORREA TRAP. XPC LW=2000 MM DIN 7753-1</v>
      </c>
      <c r="K20" s="451" t="str">
        <f>'Recurrentes 24-26'!K22</f>
        <v>Pza</v>
      </c>
      <c r="L20" s="451">
        <f>'Recurrentes 24-26'!L22</f>
        <v>0</v>
      </c>
      <c r="M20" s="451">
        <f>'Recurrentes 24-26'!M22</f>
        <v>0</v>
      </c>
      <c r="N20" s="451">
        <f>'Recurrentes 24-26'!N22</f>
        <v>0</v>
      </c>
      <c r="O20" s="451">
        <f>'Recurrentes 24-26'!O22</f>
        <v>0</v>
      </c>
      <c r="P20" s="451">
        <f>'Recurrentes 24-26'!P22</f>
        <v>0</v>
      </c>
      <c r="Q20" s="451">
        <f>'Recurrentes 24-26'!Q22</f>
        <v>0</v>
      </c>
      <c r="R20" s="451">
        <f>'Recurrentes 24-26'!R22</f>
        <v>0</v>
      </c>
      <c r="S20" s="451">
        <f>'Recurrentes 24-26'!S22</f>
        <v>0</v>
      </c>
      <c r="T20" s="451">
        <f>'Recurrentes 24-26'!T22</f>
        <v>0</v>
      </c>
      <c r="U20" s="451">
        <f>'Recurrentes 24-26'!U22</f>
        <v>0</v>
      </c>
      <c r="V20" s="451">
        <f>'Recurrentes 24-26'!V22</f>
        <v>0</v>
      </c>
      <c r="W20" s="1062">
        <f>'Recurrentes 24-26'!W22</f>
        <v>0</v>
      </c>
      <c r="X20" s="451">
        <f>'Recurrentes 24-26'!X22</f>
        <v>0</v>
      </c>
      <c r="Y20" s="451">
        <f>'Recurrentes 24-26'!Y22</f>
        <v>0</v>
      </c>
      <c r="Z20" s="451">
        <f>'Recurrentes 24-26'!Z22</f>
        <v>0</v>
      </c>
      <c r="AA20" s="451">
        <f>'Recurrentes 24-26'!AA22</f>
        <v>0</v>
      </c>
      <c r="AB20" s="451">
        <f>'Recurrentes 24-26'!AB22</f>
        <v>0</v>
      </c>
      <c r="AC20" s="451">
        <f>'Recurrentes 24-26'!AC22</f>
        <v>0</v>
      </c>
      <c r="AD20" s="451">
        <f>'Recurrentes 24-26'!AD22</f>
        <v>0</v>
      </c>
      <c r="AE20" s="451">
        <f>'Recurrentes 24-26'!AE22</f>
        <v>0</v>
      </c>
      <c r="AF20" s="451">
        <f>'Recurrentes 24-26'!AF22</f>
        <v>0</v>
      </c>
      <c r="AG20" s="451">
        <f>'Recurrentes 24-26'!AG22</f>
        <v>0</v>
      </c>
      <c r="AH20" s="451">
        <f>'Recurrentes 24-26'!AH22</f>
        <v>0</v>
      </c>
      <c r="AI20" s="1062">
        <f>'Recurrentes 24-26'!AI22</f>
        <v>0</v>
      </c>
      <c r="AJ20" s="451">
        <f>'Recurrentes 24-26'!AJ22</f>
        <v>0</v>
      </c>
      <c r="AK20" s="451">
        <f>'Recurrentes 24-26'!AK22</f>
        <v>0</v>
      </c>
      <c r="AL20" s="451">
        <f>'Recurrentes 24-26'!AL22</f>
        <v>0</v>
      </c>
      <c r="AM20" s="451">
        <f>'Recurrentes 24-26'!AM22</f>
        <v>0</v>
      </c>
      <c r="AN20" s="451">
        <f>'Recurrentes 24-26'!AN22</f>
        <v>0</v>
      </c>
      <c r="AO20" s="451">
        <f>'Recurrentes 24-26'!AO22</f>
        <v>0</v>
      </c>
      <c r="AP20" s="451">
        <f>'Recurrentes 24-26'!AP22</f>
        <v>0</v>
      </c>
      <c r="AQ20" s="451">
        <f>'Recurrentes 24-26'!AQ22</f>
        <v>0</v>
      </c>
      <c r="AR20" s="451">
        <f>'Recurrentes 24-26'!AR22</f>
        <v>0</v>
      </c>
      <c r="AS20" s="451">
        <f>'Recurrentes 24-26'!AS22</f>
        <v>0</v>
      </c>
      <c r="AT20" s="451">
        <f>'Recurrentes 24-26'!AT22</f>
        <v>0</v>
      </c>
      <c r="AU20" s="1062">
        <f>'Recurrentes 24-26'!AU22</f>
        <v>0</v>
      </c>
      <c r="AV20" s="1063">
        <f>'Recurrentes 24-26'!AV22</f>
        <v>0</v>
      </c>
      <c r="AW20" s="451" t="str">
        <f>'Recurrentes 24-26'!AW22</f>
        <v/>
      </c>
      <c r="AX20" s="1062">
        <f>'Recurrentes 24-26'!AX22</f>
        <v>92.68</v>
      </c>
      <c r="AY20" s="1062">
        <f>'Recurrentes 24-26'!AY22</f>
        <v>645.9796</v>
      </c>
      <c r="AZ20" s="1064" t="str">
        <f>'Recurrentes 24-26'!AZ22</f>
        <v/>
      </c>
      <c r="BA20" s="1064">
        <f>'Recurrentes 24-26'!BA22</f>
        <v>0</v>
      </c>
      <c r="BB20" s="1064">
        <f>'Recurrentes 24-26'!BB22</f>
        <v>0</v>
      </c>
      <c r="BC20" s="1064">
        <f>'Recurrentes 24-26'!BC22</f>
        <v>0</v>
      </c>
      <c r="BD20" s="1064">
        <f>'Recurrentes 24-26'!BD22</f>
        <v>0</v>
      </c>
      <c r="BE20" s="1064">
        <f>'Recurrentes 24-26'!BE22</f>
        <v>0</v>
      </c>
      <c r="BF20" s="1064">
        <f>'Recurrentes 24-26'!BF22</f>
        <v>0</v>
      </c>
      <c r="BG20" s="1064">
        <f>'Recurrentes 24-26'!BG22</f>
        <v>0</v>
      </c>
      <c r="BH20" s="1064">
        <f>'Recurrentes 24-26'!BH22</f>
        <v>0</v>
      </c>
      <c r="BI20" s="1064">
        <f>'Recurrentes 24-26'!BI22</f>
        <v>0</v>
      </c>
      <c r="BJ20" s="1064">
        <f>'Recurrentes 24-26'!BJ22</f>
        <v>0</v>
      </c>
      <c r="BK20" s="451"/>
      <c r="BL20" s="1062">
        <f>'Recurrentes 24-26'!BK22</f>
        <v>0</v>
      </c>
      <c r="BM20" s="1064">
        <f>'Recurrentes 24-26'!BL22</f>
        <v>0</v>
      </c>
      <c r="BN20" s="1064">
        <f>'Recurrentes 24-26'!BM22</f>
        <v>0</v>
      </c>
      <c r="BO20" s="1064">
        <f>'Recurrentes 24-26'!BN22</f>
        <v>0</v>
      </c>
      <c r="BP20" s="1064">
        <f>'Recurrentes 24-26'!BO22</f>
        <v>0</v>
      </c>
      <c r="BQ20" s="1064">
        <f>'Recurrentes 24-26'!BP22</f>
        <v>0</v>
      </c>
      <c r="BR20" s="1064">
        <f>'Recurrentes 24-26'!BQ22</f>
        <v>0</v>
      </c>
      <c r="BS20" s="1064">
        <f>'Recurrentes 24-26'!BR22</f>
        <v>0</v>
      </c>
      <c r="BT20" s="1064">
        <f>'Recurrentes 24-26'!BS22</f>
        <v>0</v>
      </c>
      <c r="BU20" s="1064">
        <f>'Recurrentes 24-26'!BT22</f>
        <v>0</v>
      </c>
      <c r="BV20" s="1064">
        <f>'Recurrentes 24-26'!BU22</f>
        <v>0</v>
      </c>
      <c r="BW20" s="451"/>
      <c r="BX20" s="1062">
        <f>'Recurrentes 24-26'!BV22</f>
        <v>0</v>
      </c>
      <c r="BY20" s="1064">
        <f>'Recurrentes 24-26'!BW22</f>
        <v>0</v>
      </c>
      <c r="BZ20" s="1064">
        <f>'Recurrentes 24-26'!BX22</f>
        <v>0</v>
      </c>
      <c r="CA20" s="1064">
        <f>'Recurrentes 24-26'!BY22</f>
        <v>0</v>
      </c>
      <c r="CB20" s="1064">
        <f>'Recurrentes 24-26'!BZ22</f>
        <v>0</v>
      </c>
      <c r="CC20" s="1064">
        <f>'Recurrentes 24-26'!CA22</f>
        <v>0</v>
      </c>
      <c r="CD20" s="1064">
        <f>'Recurrentes 24-26'!CB22</f>
        <v>0</v>
      </c>
      <c r="CE20" s="1064">
        <f>'Recurrentes 24-26'!CC22</f>
        <v>0</v>
      </c>
      <c r="CF20" s="1064">
        <f>'Recurrentes 24-26'!CD22</f>
        <v>0</v>
      </c>
      <c r="CG20" s="1064">
        <f>'Recurrentes 24-26'!CE22</f>
        <v>0</v>
      </c>
      <c r="CH20" s="1064">
        <f>'Recurrentes 24-26'!CF22</f>
        <v>0</v>
      </c>
      <c r="CI20" s="451"/>
      <c r="CJ20" s="1062">
        <f>'Recurrentes 24-26'!CG22</f>
        <v>0</v>
      </c>
      <c r="CK20" s="1062">
        <f>'Recurrentes 24-26'!CH22</f>
        <v>0</v>
      </c>
      <c r="CL20" s="451" t="str">
        <f>'Recurrentes 24-26'!CI22</f>
        <v/>
      </c>
      <c r="CM20" s="1064" t="str">
        <f>'Recurrentes 24-26'!CJ22</f>
        <v/>
      </c>
      <c r="CN20" s="451">
        <f>'Recurrentes 24-26'!CK22</f>
        <v>1</v>
      </c>
      <c r="CO20" s="451" t="str">
        <f>'Recurrentes 24-26'!CL22</f>
        <v/>
      </c>
      <c r="CP20" s="451" t="str">
        <f>'Recurrentes 24-26'!CM22</f>
        <v/>
      </c>
    </row>
    <row r="21">
      <c r="A21" s="451" t="str">
        <f>'Recurrentes 24-26'!A23</f>
        <v>Repuestos Electromecánicos recurrentes</v>
      </c>
      <c r="B21" s="451">
        <f>'Recurrentes 24-26'!B23</f>
        <v>2</v>
      </c>
      <c r="C21" s="451" t="str">
        <f>'Recurrentes 24-26'!C23</f>
        <v>Vehículo</v>
      </c>
      <c r="D21" s="451" t="str">
        <f>'Recurrentes 24-26'!D23</f>
        <v>Manto. Pinza</v>
      </c>
      <c r="E21" s="451" t="str">
        <f>'Recurrentes 24-26'!E23</f>
        <v>Repuesto Mecánico</v>
      </c>
      <c r="F21" s="451" t="str">
        <f>'Recurrentes 24-26'!F23</f>
        <v>TDB</v>
      </c>
      <c r="G21" s="1025" t="str">
        <f>'Recurrentes 24-26'!G23</f>
        <v>39800</v>
      </c>
      <c r="H21" s="1061" t="str">
        <f>'Recurrentes 24-26'!H23</f>
        <v>2-01-00075</v>
      </c>
      <c r="I21" s="1061" t="str">
        <f>'Recurrentes 24-26'!I23</f>
        <v>10591180</v>
      </c>
      <c r="J21" s="1061" t="str">
        <f>'Recurrentes 24-26'!J23</f>
        <v>RRB DIN 625/1- 6207-2RS1-C3 LT VT210 (TTF 90% +/-5%)ROD.R.B.</v>
      </c>
      <c r="K21" s="451" t="str">
        <f>'Recurrentes 24-26'!K23</f>
        <v>Pza</v>
      </c>
      <c r="L21" s="451">
        <f>'Recurrentes 24-26'!L23</f>
        <v>0</v>
      </c>
      <c r="M21" s="451">
        <f>'Recurrentes 24-26'!M23</f>
        <v>0</v>
      </c>
      <c r="N21" s="451">
        <f>'Recurrentes 24-26'!N23</f>
        <v>0</v>
      </c>
      <c r="O21" s="451">
        <f>'Recurrentes 24-26'!O23</f>
        <v>80</v>
      </c>
      <c r="P21" s="451">
        <f>'Recurrentes 24-26'!P23</f>
        <v>80</v>
      </c>
      <c r="Q21" s="451">
        <f>'Recurrentes 24-26'!Q23</f>
        <v>120</v>
      </c>
      <c r="R21" s="451">
        <f>'Recurrentes 24-26'!R23</f>
        <v>50</v>
      </c>
      <c r="S21" s="451">
        <f>'Recurrentes 24-26'!S23</f>
        <v>50</v>
      </c>
      <c r="T21" s="451">
        <f>'Recurrentes 24-26'!T23</f>
        <v>0</v>
      </c>
      <c r="U21" s="451">
        <f>'Recurrentes 24-26'!U23</f>
        <v>0</v>
      </c>
      <c r="V21" s="451">
        <f>'Recurrentes 24-26'!V23</f>
        <v>0</v>
      </c>
      <c r="W21" s="1062">
        <f>'Recurrentes 24-26'!W23</f>
        <v>380</v>
      </c>
      <c r="X21" s="451">
        <f>'Recurrentes 24-26'!X23</f>
        <v>50</v>
      </c>
      <c r="Y21" s="451">
        <f>'Recurrentes 24-26'!Y23</f>
        <v>25</v>
      </c>
      <c r="Z21" s="451">
        <f>'Recurrentes 24-26'!Z23</f>
        <v>50</v>
      </c>
      <c r="AA21" s="451">
        <f>'Recurrentes 24-26'!AA23</f>
        <v>80</v>
      </c>
      <c r="AB21" s="451">
        <f>'Recurrentes 24-26'!AB23</f>
        <v>80</v>
      </c>
      <c r="AC21" s="451">
        <f>'Recurrentes 24-26'!AC23</f>
        <v>120</v>
      </c>
      <c r="AD21" s="451">
        <f>'Recurrentes 24-26'!AD23</f>
        <v>50</v>
      </c>
      <c r="AE21" s="451">
        <f>'Recurrentes 24-26'!AE23</f>
        <v>50</v>
      </c>
      <c r="AF21" s="451">
        <f>'Recurrentes 24-26'!AF23</f>
        <v>20</v>
      </c>
      <c r="AG21" s="451">
        <f>'Recurrentes 24-26'!AG23</f>
        <v>0</v>
      </c>
      <c r="AH21" s="451">
        <f>'Recurrentes 24-26'!AH23</f>
        <v>0</v>
      </c>
      <c r="AI21" s="1062">
        <f>'Recurrentes 24-26'!AI23</f>
        <v>525</v>
      </c>
      <c r="AJ21" s="451">
        <f>'Recurrentes 24-26'!AJ23</f>
        <v>50</v>
      </c>
      <c r="AK21" s="451">
        <f>'Recurrentes 24-26'!AK23</f>
        <v>25</v>
      </c>
      <c r="AL21" s="451">
        <f>'Recurrentes 24-26'!AL23</f>
        <v>50</v>
      </c>
      <c r="AM21" s="451">
        <f>'Recurrentes 24-26'!AM23</f>
        <v>80</v>
      </c>
      <c r="AN21" s="451">
        <f>'Recurrentes 24-26'!AN23</f>
        <v>80</v>
      </c>
      <c r="AO21" s="451">
        <f>'Recurrentes 24-26'!AO23</f>
        <v>120</v>
      </c>
      <c r="AP21" s="451">
        <f>'Recurrentes 24-26'!AP23</f>
        <v>50</v>
      </c>
      <c r="AQ21" s="451">
        <f>'Recurrentes 24-26'!AQ23</f>
        <v>50</v>
      </c>
      <c r="AR21" s="451">
        <f>'Recurrentes 24-26'!AR23</f>
        <v>20</v>
      </c>
      <c r="AS21" s="451">
        <f>'Recurrentes 24-26'!AS23</f>
        <v>0</v>
      </c>
      <c r="AT21" s="451">
        <f>'Recurrentes 24-26'!AT23</f>
        <v>0</v>
      </c>
      <c r="AU21" s="1062">
        <f>'Recurrentes 24-26'!AU23</f>
        <v>525</v>
      </c>
      <c r="AV21" s="1063">
        <f>'Recurrentes 24-26'!AV23</f>
        <v>1430</v>
      </c>
      <c r="AW21" s="451" t="str">
        <f>'Recurrentes 24-26'!AW23</f>
        <v/>
      </c>
      <c r="AX21" s="1062">
        <f>'Recurrentes 24-26'!AX23</f>
        <v>22.77</v>
      </c>
      <c r="AY21" s="1062">
        <f>'Recurrentes 24-26'!AY23</f>
        <v>158.4792</v>
      </c>
      <c r="AZ21" s="1064" t="str">
        <f>'Recurrentes 24-26'!AZ23</f>
        <v/>
      </c>
      <c r="BA21" s="1064">
        <f>'Recurrentes 24-26'!BA23</f>
        <v>0</v>
      </c>
      <c r="BB21" s="1064">
        <f>'Recurrentes 24-26'!BB23</f>
        <v>0</v>
      </c>
      <c r="BC21" s="1064">
        <f>'Recurrentes 24-26'!BC23</f>
        <v>0</v>
      </c>
      <c r="BD21" s="1064">
        <f>'Recurrentes 24-26'!BD23</f>
        <v>12678.336</v>
      </c>
      <c r="BE21" s="1064">
        <f>'Recurrentes 24-26'!BE23</f>
        <v>12678.336</v>
      </c>
      <c r="BF21" s="1064">
        <f>'Recurrentes 24-26'!BF23</f>
        <v>19017.504</v>
      </c>
      <c r="BG21" s="1064">
        <f>'Recurrentes 24-26'!BG23</f>
        <v>7923.96</v>
      </c>
      <c r="BH21" s="1064">
        <f>'Recurrentes 24-26'!BH23</f>
        <v>7923.96</v>
      </c>
      <c r="BI21" s="1064">
        <f>'Recurrentes 24-26'!BI23</f>
        <v>0</v>
      </c>
      <c r="BJ21" s="1064">
        <f>'Recurrentes 24-26'!BJ23</f>
        <v>0</v>
      </c>
      <c r="BK21" s="451"/>
      <c r="BL21" s="1062">
        <f>'Recurrentes 24-26'!BK23</f>
        <v>60222.096</v>
      </c>
      <c r="BM21" s="1064">
        <f>'Recurrentes 24-26'!BL23</f>
        <v>7923.96</v>
      </c>
      <c r="BN21" s="1064">
        <f>'Recurrentes 24-26'!BM23</f>
        <v>3961.98</v>
      </c>
      <c r="BO21" s="1064">
        <f>'Recurrentes 24-26'!BN23</f>
        <v>7923.96</v>
      </c>
      <c r="BP21" s="1064">
        <f>'Recurrentes 24-26'!BO23</f>
        <v>12678.336</v>
      </c>
      <c r="BQ21" s="1064">
        <f>'Recurrentes 24-26'!BP23</f>
        <v>12678.336</v>
      </c>
      <c r="BR21" s="1064">
        <f>'Recurrentes 24-26'!BQ23</f>
        <v>19017.504</v>
      </c>
      <c r="BS21" s="1064">
        <f>'Recurrentes 24-26'!BR23</f>
        <v>7923.96</v>
      </c>
      <c r="BT21" s="1064">
        <f>'Recurrentes 24-26'!BS23</f>
        <v>7923.96</v>
      </c>
      <c r="BU21" s="1064">
        <f>'Recurrentes 24-26'!BT23</f>
        <v>3169.584</v>
      </c>
      <c r="BV21" s="1064">
        <f>'Recurrentes 24-26'!BU23</f>
        <v>0</v>
      </c>
      <c r="BW21" s="451"/>
      <c r="BX21" s="1062">
        <f>'Recurrentes 24-26'!BV23</f>
        <v>83201.58</v>
      </c>
      <c r="BY21" s="1064">
        <f>'Recurrentes 24-26'!BW23</f>
        <v>7923.96</v>
      </c>
      <c r="BZ21" s="1064">
        <f>'Recurrentes 24-26'!BX23</f>
        <v>3961.98</v>
      </c>
      <c r="CA21" s="1064">
        <f>'Recurrentes 24-26'!BY23</f>
        <v>7923.96</v>
      </c>
      <c r="CB21" s="1064">
        <f>'Recurrentes 24-26'!BZ23</f>
        <v>12678.336</v>
      </c>
      <c r="CC21" s="1064">
        <f>'Recurrentes 24-26'!CA23</f>
        <v>12678.336</v>
      </c>
      <c r="CD21" s="1064">
        <f>'Recurrentes 24-26'!CB23</f>
        <v>19017.504</v>
      </c>
      <c r="CE21" s="1064">
        <f>'Recurrentes 24-26'!CC23</f>
        <v>7923.96</v>
      </c>
      <c r="CF21" s="1064">
        <f>'Recurrentes 24-26'!CD23</f>
        <v>7923.96</v>
      </c>
      <c r="CG21" s="1064">
        <f>'Recurrentes 24-26'!CE23</f>
        <v>3169.584</v>
      </c>
      <c r="CH21" s="1064">
        <f>'Recurrentes 24-26'!CF23</f>
        <v>0</v>
      </c>
      <c r="CI21" s="451"/>
      <c r="CJ21" s="1062">
        <f>'Recurrentes 24-26'!CG23</f>
        <v>83201.58</v>
      </c>
      <c r="CK21" s="1062">
        <f>'Recurrentes 24-26'!CH23</f>
        <v>226625.256</v>
      </c>
      <c r="CL21" s="451" t="str">
        <f>'Recurrentes 24-26'!CI23</f>
        <v/>
      </c>
      <c r="CM21" s="1064" t="str">
        <f>'Recurrentes 24-26'!CJ23</f>
        <v/>
      </c>
      <c r="CN21" s="451">
        <f>'Recurrentes 24-26'!CK23</f>
        <v>1</v>
      </c>
      <c r="CO21" s="1062">
        <f>'Recurrentes 24-26'!CL23</f>
        <v>22.77</v>
      </c>
      <c r="CP21" s="451" t="str">
        <f>'Recurrentes 24-26'!CM23</f>
        <v/>
      </c>
    </row>
    <row r="22">
      <c r="A22" s="451" t="str">
        <f>'Recurrentes 24-26'!A24</f>
        <v>Repuestos Electromecánicos recurrentes</v>
      </c>
      <c r="B22" s="451">
        <f>'Recurrentes 24-26'!B24</f>
        <v>2</v>
      </c>
      <c r="C22" s="451" t="str">
        <f>'Recurrentes 24-26'!C24</f>
        <v>Vehículo</v>
      </c>
      <c r="D22" s="451" t="str">
        <f>'Recurrentes 24-26'!D24</f>
        <v>Manto. Pinza</v>
      </c>
      <c r="E22" s="451" t="str">
        <f>'Recurrentes 24-26'!E24</f>
        <v>Repuesto Mecánico</v>
      </c>
      <c r="F22" s="451" t="str">
        <f>'Recurrentes 24-26'!F24</f>
        <v>TDB</v>
      </c>
      <c r="G22" s="1025" t="str">
        <f>'Recurrentes 24-26'!G24</f>
        <v>39800</v>
      </c>
      <c r="H22" s="1061" t="str">
        <f>'Recurrentes 24-26'!H24</f>
        <v>2-01-00052</v>
      </c>
      <c r="I22" s="1061" t="str">
        <f>'Recurrentes 24-26'!I24</f>
        <v>10274719</v>
      </c>
      <c r="J22" s="1061" t="str">
        <f>'Recurrentes 24-26'!J24</f>
        <v>CASQUILLO PM 7560 DS   TIPO KW SIN AGUJ.DE ENGRASE    GLACIER</v>
      </c>
      <c r="K22" s="451" t="str">
        <f>'Recurrentes 24-26'!K24</f>
        <v>Pza</v>
      </c>
      <c r="L22" s="451">
        <f>'Recurrentes 24-26'!L24</f>
        <v>0</v>
      </c>
      <c r="M22" s="451">
        <f>'Recurrentes 24-26'!M24</f>
        <v>0</v>
      </c>
      <c r="N22" s="451">
        <f>'Recurrentes 24-26'!N24</f>
        <v>0</v>
      </c>
      <c r="O22" s="451">
        <f>'Recurrentes 24-26'!O24</f>
        <v>0</v>
      </c>
      <c r="P22" s="451">
        <f>'Recurrentes 24-26'!P24</f>
        <v>25</v>
      </c>
      <c r="Q22" s="451">
        <f>'Recurrentes 24-26'!Q24</f>
        <v>0</v>
      </c>
      <c r="R22" s="451">
        <f>'Recurrentes 24-26'!R24</f>
        <v>50</v>
      </c>
      <c r="S22" s="451">
        <f>'Recurrentes 24-26'!S24</f>
        <v>50</v>
      </c>
      <c r="T22" s="451">
        <f>'Recurrentes 24-26'!T24</f>
        <v>0</v>
      </c>
      <c r="U22" s="451">
        <f>'Recurrentes 24-26'!U24</f>
        <v>0</v>
      </c>
      <c r="V22" s="451">
        <f>'Recurrentes 24-26'!V24</f>
        <v>0</v>
      </c>
      <c r="W22" s="1062">
        <f>'Recurrentes 24-26'!W24</f>
        <v>125</v>
      </c>
      <c r="X22" s="451">
        <f>'Recurrentes 24-26'!X24</f>
        <v>35</v>
      </c>
      <c r="Y22" s="451">
        <f>'Recurrentes 24-26'!Y24</f>
        <v>20</v>
      </c>
      <c r="Z22" s="451">
        <f>'Recurrentes 24-26'!Z24</f>
        <v>35</v>
      </c>
      <c r="AA22" s="451">
        <f>'Recurrentes 24-26'!AA24</f>
        <v>40</v>
      </c>
      <c r="AB22" s="451">
        <f>'Recurrentes 24-26'!AB24</f>
        <v>25</v>
      </c>
      <c r="AC22" s="451">
        <f>'Recurrentes 24-26'!AC24</f>
        <v>42</v>
      </c>
      <c r="AD22" s="451">
        <f>'Recurrentes 24-26'!AD24</f>
        <v>72</v>
      </c>
      <c r="AE22" s="451">
        <f>'Recurrentes 24-26'!AE24</f>
        <v>50</v>
      </c>
      <c r="AF22" s="451">
        <f>'Recurrentes 24-26'!AF24</f>
        <v>12</v>
      </c>
      <c r="AG22" s="451">
        <f>'Recurrentes 24-26'!AG24</f>
        <v>0</v>
      </c>
      <c r="AH22" s="451">
        <f>'Recurrentes 24-26'!AH24</f>
        <v>0</v>
      </c>
      <c r="AI22" s="1062">
        <f>'Recurrentes 24-26'!AI24</f>
        <v>331</v>
      </c>
      <c r="AJ22" s="451">
        <f>'Recurrentes 24-26'!AJ24</f>
        <v>35</v>
      </c>
      <c r="AK22" s="451">
        <f>'Recurrentes 24-26'!AK24</f>
        <v>20</v>
      </c>
      <c r="AL22" s="451">
        <f>'Recurrentes 24-26'!AL24</f>
        <v>35</v>
      </c>
      <c r="AM22" s="451">
        <f>'Recurrentes 24-26'!AM24</f>
        <v>40</v>
      </c>
      <c r="AN22" s="451">
        <f>'Recurrentes 24-26'!AN24</f>
        <v>25</v>
      </c>
      <c r="AO22" s="451">
        <f>'Recurrentes 24-26'!AO24</f>
        <v>42</v>
      </c>
      <c r="AP22" s="451">
        <f>'Recurrentes 24-26'!AP24</f>
        <v>72</v>
      </c>
      <c r="AQ22" s="451">
        <f>'Recurrentes 24-26'!AQ24</f>
        <v>50</v>
      </c>
      <c r="AR22" s="451">
        <f>'Recurrentes 24-26'!AR24</f>
        <v>12</v>
      </c>
      <c r="AS22" s="451">
        <f>'Recurrentes 24-26'!AS24</f>
        <v>0</v>
      </c>
      <c r="AT22" s="451">
        <f>'Recurrentes 24-26'!AT24</f>
        <v>0</v>
      </c>
      <c r="AU22" s="1062">
        <f>'Recurrentes 24-26'!AU24</f>
        <v>331</v>
      </c>
      <c r="AV22" s="1063">
        <f>'Recurrentes 24-26'!AV24</f>
        <v>787</v>
      </c>
      <c r="AW22" s="451" t="str">
        <f>'Recurrentes 24-26'!AW24</f>
        <v/>
      </c>
      <c r="AX22" s="1062">
        <f>'Recurrentes 24-26'!AX24</f>
        <v>33.73</v>
      </c>
      <c r="AY22" s="1062">
        <f>'Recurrentes 24-26'!AY24</f>
        <v>234.7608</v>
      </c>
      <c r="AZ22" s="1064" t="str">
        <f>'Recurrentes 24-26'!AZ24</f>
        <v/>
      </c>
      <c r="BA22" s="1064">
        <f>'Recurrentes 24-26'!BA24</f>
        <v>0</v>
      </c>
      <c r="BB22" s="1064">
        <f>'Recurrentes 24-26'!BB24</f>
        <v>0</v>
      </c>
      <c r="BC22" s="1064">
        <f>'Recurrentes 24-26'!BC24</f>
        <v>0</v>
      </c>
      <c r="BD22" s="1064">
        <f>'Recurrentes 24-26'!BD24</f>
        <v>0</v>
      </c>
      <c r="BE22" s="1064">
        <f>'Recurrentes 24-26'!BE24</f>
        <v>5869.02</v>
      </c>
      <c r="BF22" s="1064">
        <f>'Recurrentes 24-26'!BF24</f>
        <v>0</v>
      </c>
      <c r="BG22" s="1064">
        <f>'Recurrentes 24-26'!BG24</f>
        <v>11738.04</v>
      </c>
      <c r="BH22" s="1064">
        <f>'Recurrentes 24-26'!BH24</f>
        <v>11738.04</v>
      </c>
      <c r="BI22" s="1064">
        <f>'Recurrentes 24-26'!BI24</f>
        <v>0</v>
      </c>
      <c r="BJ22" s="1064">
        <f>'Recurrentes 24-26'!BJ24</f>
        <v>0</v>
      </c>
      <c r="BK22" s="451"/>
      <c r="BL22" s="1062">
        <f>'Recurrentes 24-26'!BK24</f>
        <v>29345.1</v>
      </c>
      <c r="BM22" s="1064">
        <f>'Recurrentes 24-26'!BL24</f>
        <v>8216.628</v>
      </c>
      <c r="BN22" s="1064">
        <f>'Recurrentes 24-26'!BM24</f>
        <v>4695.216</v>
      </c>
      <c r="BO22" s="1064">
        <f>'Recurrentes 24-26'!BN24</f>
        <v>8216.628</v>
      </c>
      <c r="BP22" s="1064">
        <f>'Recurrentes 24-26'!BO24</f>
        <v>9390.432</v>
      </c>
      <c r="BQ22" s="1064">
        <f>'Recurrentes 24-26'!BP24</f>
        <v>5869.02</v>
      </c>
      <c r="BR22" s="1064">
        <f>'Recurrentes 24-26'!BQ24</f>
        <v>9859.9536</v>
      </c>
      <c r="BS22" s="1064">
        <f>'Recurrentes 24-26'!BR24</f>
        <v>16902.7776</v>
      </c>
      <c r="BT22" s="1064">
        <f>'Recurrentes 24-26'!BS24</f>
        <v>11738.04</v>
      </c>
      <c r="BU22" s="1064">
        <f>'Recurrentes 24-26'!BT24</f>
        <v>2817.1296</v>
      </c>
      <c r="BV22" s="1064">
        <f>'Recurrentes 24-26'!BU24</f>
        <v>0</v>
      </c>
      <c r="BW22" s="451"/>
      <c r="BX22" s="1062">
        <f>'Recurrentes 24-26'!BV24</f>
        <v>77705.8248</v>
      </c>
      <c r="BY22" s="1064">
        <f>'Recurrentes 24-26'!BW24</f>
        <v>8216.628</v>
      </c>
      <c r="BZ22" s="1064">
        <f>'Recurrentes 24-26'!BX24</f>
        <v>4695.216</v>
      </c>
      <c r="CA22" s="1064">
        <f>'Recurrentes 24-26'!BY24</f>
        <v>8216.628</v>
      </c>
      <c r="CB22" s="1064">
        <f>'Recurrentes 24-26'!BZ24</f>
        <v>9390.432</v>
      </c>
      <c r="CC22" s="1064">
        <f>'Recurrentes 24-26'!CA24</f>
        <v>5869.02</v>
      </c>
      <c r="CD22" s="1064">
        <f>'Recurrentes 24-26'!CB24</f>
        <v>9859.9536</v>
      </c>
      <c r="CE22" s="1064">
        <f>'Recurrentes 24-26'!CC24</f>
        <v>16902.7776</v>
      </c>
      <c r="CF22" s="1064">
        <f>'Recurrentes 24-26'!CD24</f>
        <v>11738.04</v>
      </c>
      <c r="CG22" s="1064">
        <f>'Recurrentes 24-26'!CE24</f>
        <v>2817.1296</v>
      </c>
      <c r="CH22" s="1064">
        <f>'Recurrentes 24-26'!CF24</f>
        <v>0</v>
      </c>
      <c r="CI22" s="451"/>
      <c r="CJ22" s="1062">
        <f>'Recurrentes 24-26'!CG24</f>
        <v>77705.8248</v>
      </c>
      <c r="CK22" s="1062">
        <f>'Recurrentes 24-26'!CH24</f>
        <v>184756.7496</v>
      </c>
      <c r="CL22" s="451" t="str">
        <f>'Recurrentes 24-26'!CI24</f>
        <v/>
      </c>
      <c r="CM22" s="1064" t="str">
        <f>'Recurrentes 24-26'!CJ24</f>
        <v/>
      </c>
      <c r="CN22" s="451">
        <f>'Recurrentes 24-26'!CK24</f>
        <v>1</v>
      </c>
      <c r="CO22" s="1062">
        <f>'Recurrentes 24-26'!CL24</f>
        <v>33.73</v>
      </c>
      <c r="CP22" s="451" t="str">
        <f>'Recurrentes 24-26'!CM24</f>
        <v/>
      </c>
    </row>
    <row r="23">
      <c r="A23" s="451" t="str">
        <f>'Recurrentes 24-26'!A25</f>
        <v>Repuestos Electromecánicos recurrentes</v>
      </c>
      <c r="B23" s="451">
        <f>'Recurrentes 24-26'!B25</f>
        <v>2</v>
      </c>
      <c r="C23" s="451" t="str">
        <f>'Recurrentes 24-26'!C25</f>
        <v>Torres</v>
      </c>
      <c r="D23" s="451" t="str">
        <f>'Recurrentes 24-26'!D25</f>
        <v>Sistema RPD</v>
      </c>
      <c r="E23" s="451" t="str">
        <f>'Recurrentes 24-26'!E25</f>
        <v>Repuesto Eléctrico</v>
      </c>
      <c r="F23" s="451" t="str">
        <f>'Recurrentes 24-26'!F25</f>
        <v>TDB</v>
      </c>
      <c r="G23" s="1025" t="str">
        <f>'Recurrentes 24-26'!G25</f>
        <v>39700</v>
      </c>
      <c r="H23" s="1061" t="str">
        <f>'Recurrentes 24-26'!H25</f>
        <v>2-02-00044</v>
      </c>
      <c r="I23" s="1061" t="str">
        <f>'Recurrentes 24-26'!I25</f>
        <v>10873363</v>
      </c>
      <c r="J23" s="1061" t="str">
        <f>'Recurrentes 24-26'!J25</f>
        <v>ENCHUFE PROTECT. SOBREVOLTAJE PHOENIX CONTACT N.°2838322</v>
      </c>
      <c r="K23" s="451" t="str">
        <f>'Recurrentes 24-26'!K25</f>
        <v>Pza</v>
      </c>
      <c r="L23" s="451">
        <f>'Recurrentes 24-26'!L25</f>
        <v>2</v>
      </c>
      <c r="M23" s="451">
        <f>'Recurrentes 24-26'!M25</f>
        <v>1</v>
      </c>
      <c r="N23" s="451">
        <f>'Recurrentes 24-26'!N25</f>
        <v>2</v>
      </c>
      <c r="O23" s="451">
        <f>'Recurrentes 24-26'!O25</f>
        <v>2</v>
      </c>
      <c r="P23" s="451">
        <f>'Recurrentes 24-26'!P25</f>
        <v>2</v>
      </c>
      <c r="Q23" s="451">
        <f>'Recurrentes 24-26'!Q25</f>
        <v>2</v>
      </c>
      <c r="R23" s="451">
        <f>'Recurrentes 24-26'!R25</f>
        <v>2</v>
      </c>
      <c r="S23" s="451">
        <f>'Recurrentes 24-26'!S25</f>
        <v>2</v>
      </c>
      <c r="T23" s="451">
        <f>'Recurrentes 24-26'!T25</f>
        <v>0</v>
      </c>
      <c r="U23" s="451">
        <f>'Recurrentes 24-26'!U25</f>
        <v>1</v>
      </c>
      <c r="V23" s="451">
        <f>'Recurrentes 24-26'!V25</f>
        <v>0</v>
      </c>
      <c r="W23" s="1062">
        <f>'Recurrentes 24-26'!W25</f>
        <v>16</v>
      </c>
      <c r="X23" s="451">
        <f>'Recurrentes 24-26'!X25</f>
        <v>2</v>
      </c>
      <c r="Y23" s="451">
        <f>'Recurrentes 24-26'!Y25</f>
        <v>1</v>
      </c>
      <c r="Z23" s="451">
        <f>'Recurrentes 24-26'!Z25</f>
        <v>2</v>
      </c>
      <c r="AA23" s="451">
        <f>'Recurrentes 24-26'!AA25</f>
        <v>2</v>
      </c>
      <c r="AB23" s="451">
        <f>'Recurrentes 24-26'!AB25</f>
        <v>2</v>
      </c>
      <c r="AC23" s="451">
        <f>'Recurrentes 24-26'!AC25</f>
        <v>2</v>
      </c>
      <c r="AD23" s="451">
        <f>'Recurrentes 24-26'!AD25</f>
        <v>2</v>
      </c>
      <c r="AE23" s="451">
        <f>'Recurrentes 24-26'!AE25</f>
        <v>4</v>
      </c>
      <c r="AF23" s="451">
        <f>'Recurrentes 24-26'!AF25</f>
        <v>0</v>
      </c>
      <c r="AG23" s="451">
        <f>'Recurrentes 24-26'!AG25</f>
        <v>1</v>
      </c>
      <c r="AH23" s="451">
        <f>'Recurrentes 24-26'!AH25</f>
        <v>0</v>
      </c>
      <c r="AI23" s="1062">
        <f>'Recurrentes 24-26'!AI25</f>
        <v>18</v>
      </c>
      <c r="AJ23" s="451">
        <f>'Recurrentes 24-26'!AJ25</f>
        <v>2</v>
      </c>
      <c r="AK23" s="451">
        <f>'Recurrentes 24-26'!AK25</f>
        <v>1</v>
      </c>
      <c r="AL23" s="451">
        <f>'Recurrentes 24-26'!AL25</f>
        <v>2</v>
      </c>
      <c r="AM23" s="451">
        <f>'Recurrentes 24-26'!AM25</f>
        <v>2</v>
      </c>
      <c r="AN23" s="451">
        <f>'Recurrentes 24-26'!AN25</f>
        <v>2</v>
      </c>
      <c r="AO23" s="451">
        <f>'Recurrentes 24-26'!AO25</f>
        <v>2</v>
      </c>
      <c r="AP23" s="451">
        <f>'Recurrentes 24-26'!AP25</f>
        <v>2</v>
      </c>
      <c r="AQ23" s="451">
        <f>'Recurrentes 24-26'!AQ25</f>
        <v>4</v>
      </c>
      <c r="AR23" s="451">
        <f>'Recurrentes 24-26'!AR25</f>
        <v>1</v>
      </c>
      <c r="AS23" s="451">
        <f>'Recurrentes 24-26'!AS25</f>
        <v>1</v>
      </c>
      <c r="AT23" s="451">
        <f>'Recurrentes 24-26'!AT25</f>
        <v>0</v>
      </c>
      <c r="AU23" s="1062">
        <f>'Recurrentes 24-26'!AU25</f>
        <v>19</v>
      </c>
      <c r="AV23" s="1063">
        <f>'Recurrentes 24-26'!AV25</f>
        <v>53</v>
      </c>
      <c r="AW23" s="451" t="str">
        <f>'Recurrentes 24-26'!AW25</f>
        <v/>
      </c>
      <c r="AX23" s="1062">
        <f>'Recurrentes 24-26'!AX25</f>
        <v>485.51</v>
      </c>
      <c r="AY23" s="1062">
        <f>'Recurrentes 24-26'!AY25</f>
        <v>3379.1496</v>
      </c>
      <c r="AZ23" s="1064" t="str">
        <f>'Recurrentes 24-26'!AZ25</f>
        <v/>
      </c>
      <c r="BA23" s="1064">
        <f>'Recurrentes 24-26'!BA25</f>
        <v>6758.2992</v>
      </c>
      <c r="BB23" s="1064">
        <f>'Recurrentes 24-26'!BB25</f>
        <v>3379.1496</v>
      </c>
      <c r="BC23" s="1064">
        <f>'Recurrentes 24-26'!BC25</f>
        <v>6758.2992</v>
      </c>
      <c r="BD23" s="1064">
        <f>'Recurrentes 24-26'!BD25</f>
        <v>6758.2992</v>
      </c>
      <c r="BE23" s="1064">
        <f>'Recurrentes 24-26'!BE25</f>
        <v>6758.2992</v>
      </c>
      <c r="BF23" s="1064">
        <f>'Recurrentes 24-26'!BF25</f>
        <v>6758.2992</v>
      </c>
      <c r="BG23" s="1064">
        <f>'Recurrentes 24-26'!BG25</f>
        <v>6758.2992</v>
      </c>
      <c r="BH23" s="1064">
        <f>'Recurrentes 24-26'!BH25</f>
        <v>6758.2992</v>
      </c>
      <c r="BI23" s="1064">
        <f>'Recurrentes 24-26'!BI25</f>
        <v>0</v>
      </c>
      <c r="BJ23" s="1064">
        <f>'Recurrentes 24-26'!BJ25</f>
        <v>3379.1496</v>
      </c>
      <c r="BK23" s="451"/>
      <c r="BL23" s="1062">
        <f>'Recurrentes 24-26'!BK25</f>
        <v>54066.3936</v>
      </c>
      <c r="BM23" s="1064">
        <f>'Recurrentes 24-26'!BL25</f>
        <v>6758.2992</v>
      </c>
      <c r="BN23" s="1064">
        <f>'Recurrentes 24-26'!BM25</f>
        <v>3379.1496</v>
      </c>
      <c r="BO23" s="1064">
        <f>'Recurrentes 24-26'!BN25</f>
        <v>6758.2992</v>
      </c>
      <c r="BP23" s="1064">
        <f>'Recurrentes 24-26'!BO25</f>
        <v>6758.2992</v>
      </c>
      <c r="BQ23" s="1064">
        <f>'Recurrentes 24-26'!BP25</f>
        <v>6758.2992</v>
      </c>
      <c r="BR23" s="1064">
        <f>'Recurrentes 24-26'!BQ25</f>
        <v>6758.2992</v>
      </c>
      <c r="BS23" s="1064">
        <f>'Recurrentes 24-26'!BR25</f>
        <v>6758.2992</v>
      </c>
      <c r="BT23" s="1064">
        <f>'Recurrentes 24-26'!BS25</f>
        <v>13516.5984</v>
      </c>
      <c r="BU23" s="1064">
        <f>'Recurrentes 24-26'!BT25</f>
        <v>0</v>
      </c>
      <c r="BV23" s="1064">
        <f>'Recurrentes 24-26'!BU25</f>
        <v>3379.1496</v>
      </c>
      <c r="BW23" s="451"/>
      <c r="BX23" s="1062">
        <f>'Recurrentes 24-26'!BV25</f>
        <v>60824.6928</v>
      </c>
      <c r="BY23" s="1064">
        <f>'Recurrentes 24-26'!BW25</f>
        <v>6758.2992</v>
      </c>
      <c r="BZ23" s="1064">
        <f>'Recurrentes 24-26'!BX25</f>
        <v>3379.1496</v>
      </c>
      <c r="CA23" s="1064">
        <f>'Recurrentes 24-26'!BY25</f>
        <v>6758.2992</v>
      </c>
      <c r="CB23" s="1064">
        <f>'Recurrentes 24-26'!BZ25</f>
        <v>6758.2992</v>
      </c>
      <c r="CC23" s="1064">
        <f>'Recurrentes 24-26'!CA25</f>
        <v>6758.2992</v>
      </c>
      <c r="CD23" s="1064">
        <f>'Recurrentes 24-26'!CB25</f>
        <v>6758.2992</v>
      </c>
      <c r="CE23" s="1064">
        <f>'Recurrentes 24-26'!CC25</f>
        <v>6758.2992</v>
      </c>
      <c r="CF23" s="1064">
        <f>'Recurrentes 24-26'!CD25</f>
        <v>13516.5984</v>
      </c>
      <c r="CG23" s="1064">
        <f>'Recurrentes 24-26'!CE25</f>
        <v>3379.1496</v>
      </c>
      <c r="CH23" s="1064">
        <f>'Recurrentes 24-26'!CF25</f>
        <v>3379.1496</v>
      </c>
      <c r="CI23" s="451"/>
      <c r="CJ23" s="1062">
        <f>'Recurrentes 24-26'!CG25</f>
        <v>64203.8424</v>
      </c>
      <c r="CK23" s="1062">
        <f>'Recurrentes 24-26'!CH25</f>
        <v>179094.9288</v>
      </c>
      <c r="CL23" s="451" t="str">
        <f>'Recurrentes 24-26'!CI25</f>
        <v/>
      </c>
      <c r="CM23" s="1064" t="str">
        <f>'Recurrentes 24-26'!CJ25</f>
        <v/>
      </c>
      <c r="CN23" s="451">
        <f>'Recurrentes 24-26'!CK25</f>
        <v>1</v>
      </c>
      <c r="CO23" s="1062">
        <f>'Recurrentes 24-26'!CL25</f>
        <v>485.51</v>
      </c>
      <c r="CP23" s="451" t="str">
        <f>'Recurrentes 24-26'!CM25</f>
        <v/>
      </c>
    </row>
    <row r="24">
      <c r="A24" s="451" t="str">
        <f>'Recurrentes 24-26'!A26</f>
        <v>Repuestos Electromecánicos recurrentes</v>
      </c>
      <c r="B24" s="451">
        <f>'Recurrentes 24-26'!B26</f>
        <v>2</v>
      </c>
      <c r="C24" s="451" t="str">
        <f>'Recurrentes 24-26'!C26</f>
        <v>Estaciones</v>
      </c>
      <c r="D24" s="451" t="str">
        <f>'Recurrentes 24-26'!D26</f>
        <v>Cambio Correas</v>
      </c>
      <c r="E24" s="451" t="str">
        <f>'Recurrentes 24-26'!E26</f>
        <v>Repuesto Mecánico</v>
      </c>
      <c r="F24" s="451" t="str">
        <f>'Recurrentes 24-26'!F26</f>
        <v>TDB</v>
      </c>
      <c r="G24" s="1025" t="str">
        <f>'Recurrentes 24-26'!G26</f>
        <v>39800</v>
      </c>
      <c r="H24" s="1061" t="str">
        <f>'Recurrentes 24-26'!H26</f>
        <v>2-01-00003</v>
      </c>
      <c r="I24" s="1061" t="str">
        <f>'Recurrentes 24-26'!I26</f>
        <v>10082482</v>
      </c>
      <c r="J24" s="1061" t="str">
        <f>'Recurrentes 24-26'!J26</f>
        <v>CORREA TRAP.XPC     LA=1900 MM DIN 7753-1</v>
      </c>
      <c r="K24" s="451" t="str">
        <f>'Recurrentes 24-26'!K26</f>
        <v>Pza</v>
      </c>
      <c r="L24" s="451">
        <f>'Recurrentes 24-26'!L26</f>
        <v>0</v>
      </c>
      <c r="M24" s="451">
        <f>'Recurrentes 24-26'!M26</f>
        <v>0</v>
      </c>
      <c r="N24" s="451">
        <f>'Recurrentes 24-26'!N26</f>
        <v>0</v>
      </c>
      <c r="O24" s="451">
        <f>'Recurrentes 24-26'!O26</f>
        <v>0</v>
      </c>
      <c r="P24" s="451">
        <f>'Recurrentes 24-26'!P26</f>
        <v>0</v>
      </c>
      <c r="Q24" s="451">
        <f>'Recurrentes 24-26'!Q26</f>
        <v>0</v>
      </c>
      <c r="R24" s="451">
        <f>'Recurrentes 24-26'!R26</f>
        <v>0</v>
      </c>
      <c r="S24" s="451">
        <f>'Recurrentes 24-26'!S26</f>
        <v>0</v>
      </c>
      <c r="T24" s="451">
        <f>'Recurrentes 24-26'!T26</f>
        <v>0</v>
      </c>
      <c r="U24" s="451">
        <f>'Recurrentes 24-26'!U26</f>
        <v>0</v>
      </c>
      <c r="V24" s="451">
        <f>'Recurrentes 24-26'!V26</f>
        <v>0</v>
      </c>
      <c r="W24" s="1062">
        <f>'Recurrentes 24-26'!W26</f>
        <v>0</v>
      </c>
      <c r="X24" s="451">
        <f>'Recurrentes 24-26'!X26</f>
        <v>20</v>
      </c>
      <c r="Y24" s="451">
        <f>'Recurrentes 24-26'!Y26</f>
        <v>10</v>
      </c>
      <c r="Z24" s="451">
        <f>'Recurrentes 24-26'!Z26</f>
        <v>15</v>
      </c>
      <c r="AA24" s="451">
        <f>'Recurrentes 24-26'!AA26</f>
        <v>30</v>
      </c>
      <c r="AB24" s="451">
        <f>'Recurrentes 24-26'!AB26</f>
        <v>50</v>
      </c>
      <c r="AC24" s="451">
        <f>'Recurrentes 24-26'!AC26</f>
        <v>80</v>
      </c>
      <c r="AD24" s="451">
        <f>'Recurrentes 24-26'!AD26</f>
        <v>0</v>
      </c>
      <c r="AE24" s="451">
        <f>'Recurrentes 24-26'!AE26</f>
        <v>0</v>
      </c>
      <c r="AF24" s="451">
        <f>'Recurrentes 24-26'!AF26</f>
        <v>8</v>
      </c>
      <c r="AG24" s="451">
        <f>'Recurrentes 24-26'!AG26</f>
        <v>0</v>
      </c>
      <c r="AH24" s="451">
        <f>'Recurrentes 24-26'!AH26</f>
        <v>0</v>
      </c>
      <c r="AI24" s="1062">
        <f>'Recurrentes 24-26'!AI26</f>
        <v>213</v>
      </c>
      <c r="AJ24" s="451">
        <f>'Recurrentes 24-26'!AJ26</f>
        <v>20</v>
      </c>
      <c r="AK24" s="451">
        <f>'Recurrentes 24-26'!AK26</f>
        <v>10</v>
      </c>
      <c r="AL24" s="451">
        <f>'Recurrentes 24-26'!AL26</f>
        <v>15</v>
      </c>
      <c r="AM24" s="451">
        <f>'Recurrentes 24-26'!AM26</f>
        <v>30</v>
      </c>
      <c r="AN24" s="451">
        <f>'Recurrentes 24-26'!AN26</f>
        <v>50</v>
      </c>
      <c r="AO24" s="451">
        <f>'Recurrentes 24-26'!AO26</f>
        <v>80</v>
      </c>
      <c r="AP24" s="451">
        <f>'Recurrentes 24-26'!AP26</f>
        <v>10</v>
      </c>
      <c r="AQ24" s="451">
        <f>'Recurrentes 24-26'!AQ26</f>
        <v>15</v>
      </c>
      <c r="AR24" s="451">
        <f>'Recurrentes 24-26'!AR26</f>
        <v>8</v>
      </c>
      <c r="AS24" s="451">
        <f>'Recurrentes 24-26'!AS26</f>
        <v>0</v>
      </c>
      <c r="AT24" s="451">
        <f>'Recurrentes 24-26'!AT26</f>
        <v>0</v>
      </c>
      <c r="AU24" s="1062">
        <f>'Recurrentes 24-26'!AU26</f>
        <v>238</v>
      </c>
      <c r="AV24" s="1063">
        <f>'Recurrentes 24-26'!AV26</f>
        <v>451</v>
      </c>
      <c r="AW24" s="451" t="str">
        <f>'Recurrentes 24-26'!AW26</f>
        <v/>
      </c>
      <c r="AX24" s="1062">
        <f>'Recurrentes 24-26'!AX26</f>
        <v>55.84</v>
      </c>
      <c r="AY24" s="1062">
        <f>'Recurrentes 24-26'!AY26</f>
        <v>388.6464</v>
      </c>
      <c r="AZ24" s="1064" t="str">
        <f>'Recurrentes 24-26'!AZ26</f>
        <v/>
      </c>
      <c r="BA24" s="1064">
        <f>'Recurrentes 24-26'!BA26</f>
        <v>0</v>
      </c>
      <c r="BB24" s="1064">
        <f>'Recurrentes 24-26'!BB26</f>
        <v>0</v>
      </c>
      <c r="BC24" s="1064">
        <f>'Recurrentes 24-26'!BC26</f>
        <v>0</v>
      </c>
      <c r="BD24" s="1064">
        <f>'Recurrentes 24-26'!BD26</f>
        <v>0</v>
      </c>
      <c r="BE24" s="1064">
        <f>'Recurrentes 24-26'!BE26</f>
        <v>0</v>
      </c>
      <c r="BF24" s="1064">
        <f>'Recurrentes 24-26'!BF26</f>
        <v>0</v>
      </c>
      <c r="BG24" s="1064">
        <f>'Recurrentes 24-26'!BG26</f>
        <v>0</v>
      </c>
      <c r="BH24" s="1064">
        <f>'Recurrentes 24-26'!BH26</f>
        <v>0</v>
      </c>
      <c r="BI24" s="1064">
        <f>'Recurrentes 24-26'!BI26</f>
        <v>0</v>
      </c>
      <c r="BJ24" s="1064">
        <f>'Recurrentes 24-26'!BJ26</f>
        <v>0</v>
      </c>
      <c r="BK24" s="451"/>
      <c r="BL24" s="1062">
        <f>'Recurrentes 24-26'!BK26</f>
        <v>0</v>
      </c>
      <c r="BM24" s="1064">
        <f>'Recurrentes 24-26'!BL26</f>
        <v>7772.928</v>
      </c>
      <c r="BN24" s="1064">
        <f>'Recurrentes 24-26'!BM26</f>
        <v>3886.464</v>
      </c>
      <c r="BO24" s="1064">
        <f>'Recurrentes 24-26'!BN26</f>
        <v>5829.696</v>
      </c>
      <c r="BP24" s="1064">
        <f>'Recurrentes 24-26'!BO26</f>
        <v>11659.392</v>
      </c>
      <c r="BQ24" s="1064">
        <f>'Recurrentes 24-26'!BP26</f>
        <v>19432.32</v>
      </c>
      <c r="BR24" s="1064">
        <f>'Recurrentes 24-26'!BQ26</f>
        <v>31091.712</v>
      </c>
      <c r="BS24" s="1064">
        <f>'Recurrentes 24-26'!BR26</f>
        <v>0</v>
      </c>
      <c r="BT24" s="1064">
        <f>'Recurrentes 24-26'!BS26</f>
        <v>0</v>
      </c>
      <c r="BU24" s="1064">
        <f>'Recurrentes 24-26'!BT26</f>
        <v>3109.1712</v>
      </c>
      <c r="BV24" s="1064">
        <f>'Recurrentes 24-26'!BU26</f>
        <v>0</v>
      </c>
      <c r="BW24" s="451"/>
      <c r="BX24" s="1062">
        <f>'Recurrentes 24-26'!BV26</f>
        <v>82781.6832</v>
      </c>
      <c r="BY24" s="1064">
        <f>'Recurrentes 24-26'!BW26</f>
        <v>7772.928</v>
      </c>
      <c r="BZ24" s="1064">
        <f>'Recurrentes 24-26'!BX26</f>
        <v>3886.464</v>
      </c>
      <c r="CA24" s="1064">
        <f>'Recurrentes 24-26'!BY26</f>
        <v>5829.696</v>
      </c>
      <c r="CB24" s="1064">
        <f>'Recurrentes 24-26'!BZ26</f>
        <v>11659.392</v>
      </c>
      <c r="CC24" s="1064">
        <f>'Recurrentes 24-26'!CA26</f>
        <v>19432.32</v>
      </c>
      <c r="CD24" s="1064">
        <f>'Recurrentes 24-26'!CB26</f>
        <v>31091.712</v>
      </c>
      <c r="CE24" s="1064">
        <f>'Recurrentes 24-26'!CC26</f>
        <v>3886.464</v>
      </c>
      <c r="CF24" s="1064">
        <f>'Recurrentes 24-26'!CD26</f>
        <v>5829.696</v>
      </c>
      <c r="CG24" s="1064">
        <f>'Recurrentes 24-26'!CE26</f>
        <v>3109.1712</v>
      </c>
      <c r="CH24" s="1064">
        <f>'Recurrentes 24-26'!CF26</f>
        <v>0</v>
      </c>
      <c r="CI24" s="451"/>
      <c r="CJ24" s="1062">
        <f>'Recurrentes 24-26'!CG26</f>
        <v>92497.8432</v>
      </c>
      <c r="CK24" s="1062">
        <f>'Recurrentes 24-26'!CH26</f>
        <v>175279.5264</v>
      </c>
      <c r="CL24" s="451" t="str">
        <f>'Recurrentes 24-26'!CI26</f>
        <v/>
      </c>
      <c r="CM24" s="1064" t="str">
        <f>'Recurrentes 24-26'!CJ26</f>
        <v/>
      </c>
      <c r="CN24" s="451">
        <f>'Recurrentes 24-26'!CK26</f>
        <v>1</v>
      </c>
      <c r="CO24" s="1062">
        <f>'Recurrentes 24-26'!CL26</f>
        <v>55.84</v>
      </c>
      <c r="CP24" s="451" t="str">
        <f>'Recurrentes 24-26'!CM26</f>
        <v/>
      </c>
    </row>
    <row r="25">
      <c r="A25" s="451" t="str">
        <f>'Recurrentes 24-26'!A27</f>
        <v>Repuestos Electromecánicos recurrentes</v>
      </c>
      <c r="B25" s="451">
        <f>'Recurrentes 24-26'!B27</f>
        <v>2</v>
      </c>
      <c r="C25" s="451" t="str">
        <f>'Recurrentes 24-26'!C27</f>
        <v>Vehículo</v>
      </c>
      <c r="D25" s="451" t="str">
        <f>'Recurrentes 24-26'!D27</f>
        <v>Manto. Pinza</v>
      </c>
      <c r="E25" s="451" t="str">
        <f>'Recurrentes 24-26'!E27</f>
        <v>Repuesto Mecánico</v>
      </c>
      <c r="F25" s="451" t="str">
        <f>'Recurrentes 24-26'!F27</f>
        <v>TDB</v>
      </c>
      <c r="G25" s="1061" t="str">
        <f>'Recurrentes 24-26'!G27</f>
        <v>39800</v>
      </c>
      <c r="H25" s="1061" t="str">
        <f>'Recurrentes 24-26'!H27</f>
        <v>2-02-00279</v>
      </c>
      <c r="I25" s="1061" t="str">
        <f>'Recurrentes 24-26'!I27</f>
        <v>10488425</v>
      </c>
      <c r="J25" s="1061" t="str">
        <f>'Recurrentes 24-26'!J27</f>
        <v>CABEZAL RESORTE A108-C  50X290 </v>
      </c>
      <c r="K25" s="451" t="str">
        <f>'Recurrentes 24-26'!K27</f>
        <v>Pza</v>
      </c>
      <c r="L25" s="451">
        <f>'Recurrentes 24-26'!L27</f>
        <v>1</v>
      </c>
      <c r="M25" s="451">
        <f>'Recurrentes 24-26'!M27</f>
        <v>0</v>
      </c>
      <c r="N25" s="451">
        <f>'Recurrentes 24-26'!N27</f>
        <v>1</v>
      </c>
      <c r="O25" s="451">
        <f>'Recurrentes 24-26'!O27</f>
        <v>0</v>
      </c>
      <c r="P25" s="451">
        <f>'Recurrentes 24-26'!P27</f>
        <v>0</v>
      </c>
      <c r="Q25" s="451">
        <f>'Recurrentes 24-26'!Q27</f>
        <v>0</v>
      </c>
      <c r="R25" s="451">
        <f>'Recurrentes 24-26'!R27</f>
        <v>1</v>
      </c>
      <c r="S25" s="451">
        <f>'Recurrentes 24-26'!S27</f>
        <v>2</v>
      </c>
      <c r="T25" s="451">
        <f>'Recurrentes 24-26'!T27</f>
        <v>0</v>
      </c>
      <c r="U25" s="451">
        <f>'Recurrentes 24-26'!U27</f>
        <v>0</v>
      </c>
      <c r="V25" s="451">
        <f>'Recurrentes 24-26'!V27</f>
        <v>0</v>
      </c>
      <c r="W25" s="1062">
        <f>'Recurrentes 24-26'!W27</f>
        <v>5</v>
      </c>
      <c r="X25" s="451">
        <f>'Recurrentes 24-26'!X27</f>
        <v>4</v>
      </c>
      <c r="Y25" s="451">
        <f>'Recurrentes 24-26'!Y27</f>
        <v>1</v>
      </c>
      <c r="Z25" s="451">
        <f>'Recurrentes 24-26'!Z27</f>
        <v>4</v>
      </c>
      <c r="AA25" s="451">
        <f>'Recurrentes 24-26'!AA27</f>
        <v>1</v>
      </c>
      <c r="AB25" s="451">
        <f>'Recurrentes 24-26'!AB27</f>
        <v>1</v>
      </c>
      <c r="AC25" s="451">
        <f>'Recurrentes 24-26'!AC27</f>
        <v>1</v>
      </c>
      <c r="AD25" s="451">
        <f>'Recurrentes 24-26'!AD27</f>
        <v>6</v>
      </c>
      <c r="AE25" s="451">
        <f>'Recurrentes 24-26'!AE27</f>
        <v>3</v>
      </c>
      <c r="AF25" s="451">
        <f>'Recurrentes 24-26'!AF27</f>
        <v>1</v>
      </c>
      <c r="AG25" s="451">
        <f>'Recurrentes 24-26'!AG27</f>
        <v>0</v>
      </c>
      <c r="AH25" s="451">
        <f>'Recurrentes 24-26'!AH27</f>
        <v>0</v>
      </c>
      <c r="AI25" s="1062">
        <f>'Recurrentes 24-26'!AI27</f>
        <v>22</v>
      </c>
      <c r="AJ25" s="451">
        <f>'Recurrentes 24-26'!AJ27</f>
        <v>4</v>
      </c>
      <c r="AK25" s="451">
        <f>'Recurrentes 24-26'!AK27</f>
        <v>1</v>
      </c>
      <c r="AL25" s="451">
        <f>'Recurrentes 24-26'!AL27</f>
        <v>4</v>
      </c>
      <c r="AM25" s="451">
        <f>'Recurrentes 24-26'!AM27</f>
        <v>1</v>
      </c>
      <c r="AN25" s="451">
        <f>'Recurrentes 24-26'!AN27</f>
        <v>1</v>
      </c>
      <c r="AO25" s="451">
        <f>'Recurrentes 24-26'!AO27</f>
        <v>1</v>
      </c>
      <c r="AP25" s="451">
        <f>'Recurrentes 24-26'!AP27</f>
        <v>6</v>
      </c>
      <c r="AQ25" s="451">
        <f>'Recurrentes 24-26'!AQ27</f>
        <v>3</v>
      </c>
      <c r="AR25" s="451">
        <f>'Recurrentes 24-26'!AR27</f>
        <v>1</v>
      </c>
      <c r="AS25" s="451">
        <f>'Recurrentes 24-26'!AS27</f>
        <v>0</v>
      </c>
      <c r="AT25" s="451">
        <f>'Recurrentes 24-26'!AT27</f>
        <v>0</v>
      </c>
      <c r="AU25" s="1062">
        <f>'Recurrentes 24-26'!AU27</f>
        <v>22</v>
      </c>
      <c r="AV25" s="1063">
        <f>'Recurrentes 24-26'!AV27</f>
        <v>49</v>
      </c>
      <c r="AW25" s="451" t="str">
        <f>'Recurrentes 24-26'!AW27</f>
        <v/>
      </c>
      <c r="AX25" s="1062">
        <f>'Recurrentes 24-26'!AX27</f>
        <v>432.48</v>
      </c>
      <c r="AY25" s="1062">
        <f>'Recurrentes 24-26'!AY27</f>
        <v>3010.0608</v>
      </c>
      <c r="AZ25" s="1064" t="str">
        <f>'Recurrentes 24-26'!AZ27</f>
        <v/>
      </c>
      <c r="BA25" s="1064">
        <f>'Recurrentes 24-26'!BA27</f>
        <v>3010.0608</v>
      </c>
      <c r="BB25" s="1064">
        <f>'Recurrentes 24-26'!BB27</f>
        <v>0</v>
      </c>
      <c r="BC25" s="1064">
        <f>'Recurrentes 24-26'!BC27</f>
        <v>3010.0608</v>
      </c>
      <c r="BD25" s="1064">
        <f>'Recurrentes 24-26'!BD27</f>
        <v>0</v>
      </c>
      <c r="BE25" s="1064">
        <f>'Recurrentes 24-26'!BE27</f>
        <v>0</v>
      </c>
      <c r="BF25" s="1064">
        <f>'Recurrentes 24-26'!BF27</f>
        <v>0</v>
      </c>
      <c r="BG25" s="1064">
        <f>'Recurrentes 24-26'!BG27</f>
        <v>3010.0608</v>
      </c>
      <c r="BH25" s="1064">
        <f>'Recurrentes 24-26'!BH27</f>
        <v>6020.1216</v>
      </c>
      <c r="BI25" s="1064">
        <f>'Recurrentes 24-26'!BI27</f>
        <v>0</v>
      </c>
      <c r="BJ25" s="1064">
        <f>'Recurrentes 24-26'!BJ27</f>
        <v>0</v>
      </c>
      <c r="BK25" s="451"/>
      <c r="BL25" s="1062">
        <f>'Recurrentes 24-26'!BK27</f>
        <v>15050.304</v>
      </c>
      <c r="BM25" s="1064">
        <f>'Recurrentes 24-26'!BL27</f>
        <v>12040.2432</v>
      </c>
      <c r="BN25" s="1064">
        <f>'Recurrentes 24-26'!BM27</f>
        <v>3010.0608</v>
      </c>
      <c r="BO25" s="1064">
        <f>'Recurrentes 24-26'!BN27</f>
        <v>12040.2432</v>
      </c>
      <c r="BP25" s="1064">
        <f>'Recurrentes 24-26'!BO27</f>
        <v>3010.0608</v>
      </c>
      <c r="BQ25" s="1064">
        <f>'Recurrentes 24-26'!BP27</f>
        <v>3010.0608</v>
      </c>
      <c r="BR25" s="1064">
        <f>'Recurrentes 24-26'!BQ27</f>
        <v>3010.0608</v>
      </c>
      <c r="BS25" s="1064">
        <f>'Recurrentes 24-26'!BR27</f>
        <v>18060.3648</v>
      </c>
      <c r="BT25" s="1064">
        <f>'Recurrentes 24-26'!BS27</f>
        <v>9030.1824</v>
      </c>
      <c r="BU25" s="1064">
        <f>'Recurrentes 24-26'!BT27</f>
        <v>3010.0608</v>
      </c>
      <c r="BV25" s="1064">
        <f>'Recurrentes 24-26'!BU27</f>
        <v>0</v>
      </c>
      <c r="BW25" s="451"/>
      <c r="BX25" s="1062">
        <f>'Recurrentes 24-26'!BV27</f>
        <v>66221.3376</v>
      </c>
      <c r="BY25" s="1064">
        <f>'Recurrentes 24-26'!BW27</f>
        <v>12040.2432</v>
      </c>
      <c r="BZ25" s="1064">
        <f>'Recurrentes 24-26'!BX27</f>
        <v>3010.0608</v>
      </c>
      <c r="CA25" s="1064">
        <f>'Recurrentes 24-26'!BY27</f>
        <v>12040.2432</v>
      </c>
      <c r="CB25" s="1064">
        <f>'Recurrentes 24-26'!BZ27</f>
        <v>3010.0608</v>
      </c>
      <c r="CC25" s="1064">
        <f>'Recurrentes 24-26'!CA27</f>
        <v>3010.0608</v>
      </c>
      <c r="CD25" s="1064">
        <f>'Recurrentes 24-26'!CB27</f>
        <v>3010.0608</v>
      </c>
      <c r="CE25" s="1064">
        <f>'Recurrentes 24-26'!CC27</f>
        <v>18060.3648</v>
      </c>
      <c r="CF25" s="1064">
        <f>'Recurrentes 24-26'!CD27</f>
        <v>9030.1824</v>
      </c>
      <c r="CG25" s="1064">
        <f>'Recurrentes 24-26'!CE27</f>
        <v>3010.0608</v>
      </c>
      <c r="CH25" s="1064">
        <f>'Recurrentes 24-26'!CF27</f>
        <v>0</v>
      </c>
      <c r="CI25" s="451"/>
      <c r="CJ25" s="1062">
        <f>'Recurrentes 24-26'!CG27</f>
        <v>66221.3376</v>
      </c>
      <c r="CK25" s="1062">
        <f>'Recurrentes 24-26'!CH27</f>
        <v>147492.9792</v>
      </c>
      <c r="CL25" s="451" t="str">
        <f>'Recurrentes 24-26'!CI27</f>
        <v/>
      </c>
      <c r="CM25" s="1064" t="str">
        <f>'Recurrentes 24-26'!CJ27</f>
        <v/>
      </c>
      <c r="CN25" s="451">
        <f>'Recurrentes 24-26'!CK27</f>
        <v>1</v>
      </c>
      <c r="CO25" s="1062">
        <f>'Recurrentes 24-26'!CL27</f>
        <v>432.48</v>
      </c>
      <c r="CP25" s="451" t="str">
        <f>'Recurrentes 24-26'!CM27</f>
        <v/>
      </c>
    </row>
    <row r="26">
      <c r="A26" s="451" t="str">
        <f>'Recurrentes 24-26'!A28</f>
        <v>Repuestos Electromecánicos recurrentes</v>
      </c>
      <c r="B26" s="451">
        <f>'Recurrentes 24-26'!B28</f>
        <v>2</v>
      </c>
      <c r="C26" s="451" t="str">
        <f>'Recurrentes 24-26'!C28</f>
        <v>Torres</v>
      </c>
      <c r="D26" s="451" t="str">
        <f>'Recurrentes 24-26'!D28</f>
        <v>Reacondicionamiento de Poleas Palpadoras</v>
      </c>
      <c r="E26" s="451" t="str">
        <f>'Recurrentes 24-26'!E28</f>
        <v>Repuesto Mecánico</v>
      </c>
      <c r="F26" s="451" t="str">
        <f>'Recurrentes 24-26'!F28</f>
        <v>TDB</v>
      </c>
      <c r="G26" s="1061" t="str">
        <f>'Recurrentes 24-26'!G28</f>
        <v>39800</v>
      </c>
      <c r="H26" s="1061" t="str">
        <f>'Recurrentes 24-26'!H28</f>
        <v>2-01-00871</v>
      </c>
      <c r="I26" s="1061" t="str">
        <f>'Recurrentes 24-26'!I28</f>
        <v>10420185</v>
      </c>
      <c r="J26" s="1061" t="str">
        <f>'Recurrentes 24-26'!J28</f>
        <v>ROD.RA.BOLAS  DIN 625/1- 6205-2RS-C3 LT VT210 (TTF 90% +/-5%)</v>
      </c>
      <c r="K26" s="451" t="str">
        <f>'Recurrentes 24-26'!K28</f>
        <v>Pza</v>
      </c>
      <c r="L26" s="451">
        <f>'Recurrentes 24-26'!L28</f>
        <v>33</v>
      </c>
      <c r="M26" s="451">
        <f>'Recurrentes 24-26'!M28</f>
        <v>24</v>
      </c>
      <c r="N26" s="451">
        <f>'Recurrentes 24-26'!N28</f>
        <v>33</v>
      </c>
      <c r="O26" s="451">
        <f>'Recurrentes 24-26'!O28</f>
        <v>0</v>
      </c>
      <c r="P26" s="451">
        <f>'Recurrentes 24-26'!P28</f>
        <v>0</v>
      </c>
      <c r="Q26" s="451">
        <f>'Recurrentes 24-26'!Q28</f>
        <v>0</v>
      </c>
      <c r="R26" s="451">
        <f>'Recurrentes 24-26'!R28</f>
        <v>33</v>
      </c>
      <c r="S26" s="451">
        <f>'Recurrentes 24-26'!S28</f>
        <v>33</v>
      </c>
      <c r="T26" s="451">
        <f>'Recurrentes 24-26'!T28</f>
        <v>10</v>
      </c>
      <c r="U26" s="451">
        <f>'Recurrentes 24-26'!U28</f>
        <v>0</v>
      </c>
      <c r="V26" s="451">
        <f>'Recurrentes 24-26'!V28</f>
        <v>0</v>
      </c>
      <c r="W26" s="1062">
        <f>'Recurrentes 24-26'!W28</f>
        <v>166</v>
      </c>
      <c r="X26" s="451">
        <f>'Recurrentes 24-26'!X28</f>
        <v>112</v>
      </c>
      <c r="Y26" s="451">
        <f>'Recurrentes 24-26'!Y28</f>
        <v>80</v>
      </c>
      <c r="Z26" s="451">
        <f>'Recurrentes 24-26'!Z28</f>
        <v>112</v>
      </c>
      <c r="AA26" s="451">
        <f>'Recurrentes 24-26'!AA28</f>
        <v>40</v>
      </c>
      <c r="AB26" s="451">
        <f>'Recurrentes 24-26'!AB28</f>
        <v>56</v>
      </c>
      <c r="AC26" s="451">
        <f>'Recurrentes 24-26'!AC28</f>
        <v>88</v>
      </c>
      <c r="AD26" s="451">
        <f>'Recurrentes 24-26'!AD28</f>
        <v>112</v>
      </c>
      <c r="AE26" s="451">
        <f>'Recurrentes 24-26'!AE28</f>
        <v>112</v>
      </c>
      <c r="AF26" s="451">
        <f>'Recurrentes 24-26'!AF28</f>
        <v>32</v>
      </c>
      <c r="AG26" s="451">
        <f>'Recurrentes 24-26'!AG28</f>
        <v>50</v>
      </c>
      <c r="AH26" s="451">
        <f>'Recurrentes 24-26'!AH28</f>
        <v>0</v>
      </c>
      <c r="AI26" s="1062">
        <f>'Recurrentes 24-26'!AI28</f>
        <v>794</v>
      </c>
      <c r="AJ26" s="451">
        <f>'Recurrentes 24-26'!AJ28</f>
        <v>112</v>
      </c>
      <c r="AK26" s="451">
        <f>'Recurrentes 24-26'!AK28</f>
        <v>80</v>
      </c>
      <c r="AL26" s="451">
        <f>'Recurrentes 24-26'!AL28</f>
        <v>112</v>
      </c>
      <c r="AM26" s="451">
        <f>'Recurrentes 24-26'!AM28</f>
        <v>40</v>
      </c>
      <c r="AN26" s="451">
        <f>'Recurrentes 24-26'!AN28</f>
        <v>56</v>
      </c>
      <c r="AO26" s="451">
        <f>'Recurrentes 24-26'!AO28</f>
        <v>88</v>
      </c>
      <c r="AP26" s="451">
        <f>'Recurrentes 24-26'!AP28</f>
        <v>112</v>
      </c>
      <c r="AQ26" s="451">
        <f>'Recurrentes 24-26'!AQ28</f>
        <v>112</v>
      </c>
      <c r="AR26" s="451">
        <f>'Recurrentes 24-26'!AR28</f>
        <v>32</v>
      </c>
      <c r="AS26" s="451">
        <f>'Recurrentes 24-26'!AS28</f>
        <v>96</v>
      </c>
      <c r="AT26" s="451">
        <f>'Recurrentes 24-26'!AT28</f>
        <v>0</v>
      </c>
      <c r="AU26" s="1062">
        <f>'Recurrentes 24-26'!AU28</f>
        <v>840</v>
      </c>
      <c r="AV26" s="1063">
        <f>'Recurrentes 24-26'!AV28</f>
        <v>1800</v>
      </c>
      <c r="AW26" s="451" t="str">
        <f>'Recurrentes 24-26'!AW28</f>
        <v/>
      </c>
      <c r="AX26" s="1062">
        <f>'Recurrentes 24-26'!AX28</f>
        <v>9.31</v>
      </c>
      <c r="AY26" s="1062">
        <f>'Recurrentes 24-26'!AY28</f>
        <v>64.7976</v>
      </c>
      <c r="AZ26" s="1064" t="str">
        <f>'Recurrentes 24-26'!AZ28</f>
        <v/>
      </c>
      <c r="BA26" s="1064">
        <f>'Recurrentes 24-26'!BA28</f>
        <v>2138.3208</v>
      </c>
      <c r="BB26" s="1064">
        <f>'Recurrentes 24-26'!BB28</f>
        <v>1555.1424</v>
      </c>
      <c r="BC26" s="1064">
        <f>'Recurrentes 24-26'!BC28</f>
        <v>2138.3208</v>
      </c>
      <c r="BD26" s="1064">
        <f>'Recurrentes 24-26'!BD28</f>
        <v>0</v>
      </c>
      <c r="BE26" s="1064">
        <f>'Recurrentes 24-26'!BE28</f>
        <v>0</v>
      </c>
      <c r="BF26" s="1064">
        <f>'Recurrentes 24-26'!BF28</f>
        <v>0</v>
      </c>
      <c r="BG26" s="1064">
        <f>'Recurrentes 24-26'!BG28</f>
        <v>2138.3208</v>
      </c>
      <c r="BH26" s="1064">
        <f>'Recurrentes 24-26'!BH28</f>
        <v>2138.3208</v>
      </c>
      <c r="BI26" s="1064">
        <f>'Recurrentes 24-26'!BI28</f>
        <v>647.976</v>
      </c>
      <c r="BJ26" s="1064">
        <f>'Recurrentes 24-26'!BJ28</f>
        <v>0</v>
      </c>
      <c r="BK26" s="451"/>
      <c r="BL26" s="1062">
        <f>'Recurrentes 24-26'!BK28</f>
        <v>10756.4016</v>
      </c>
      <c r="BM26" s="1064">
        <f>'Recurrentes 24-26'!BL28</f>
        <v>7257.3312</v>
      </c>
      <c r="BN26" s="1064">
        <f>'Recurrentes 24-26'!BM28</f>
        <v>5183.808</v>
      </c>
      <c r="BO26" s="1064">
        <f>'Recurrentes 24-26'!BN28</f>
        <v>7257.3312</v>
      </c>
      <c r="BP26" s="1064">
        <f>'Recurrentes 24-26'!BO28</f>
        <v>2591.904</v>
      </c>
      <c r="BQ26" s="1064">
        <f>'Recurrentes 24-26'!BP28</f>
        <v>3628.6656</v>
      </c>
      <c r="BR26" s="1064">
        <f>'Recurrentes 24-26'!BQ28</f>
        <v>5702.1888</v>
      </c>
      <c r="BS26" s="1064">
        <f>'Recurrentes 24-26'!BR28</f>
        <v>7257.3312</v>
      </c>
      <c r="BT26" s="1064">
        <f>'Recurrentes 24-26'!BS28</f>
        <v>7257.3312</v>
      </c>
      <c r="BU26" s="1064">
        <f>'Recurrentes 24-26'!BT28</f>
        <v>2073.5232</v>
      </c>
      <c r="BV26" s="1064">
        <f>'Recurrentes 24-26'!BU28</f>
        <v>3239.88</v>
      </c>
      <c r="BW26" s="451"/>
      <c r="BX26" s="1062">
        <f>'Recurrentes 24-26'!BV28</f>
        <v>51449.2944</v>
      </c>
      <c r="BY26" s="1064">
        <f>'Recurrentes 24-26'!BW28</f>
        <v>7257.3312</v>
      </c>
      <c r="BZ26" s="1064">
        <f>'Recurrentes 24-26'!BX28</f>
        <v>5183.808</v>
      </c>
      <c r="CA26" s="1064">
        <f>'Recurrentes 24-26'!BY28</f>
        <v>7257.3312</v>
      </c>
      <c r="CB26" s="1064">
        <f>'Recurrentes 24-26'!BZ28</f>
        <v>2591.904</v>
      </c>
      <c r="CC26" s="1064">
        <f>'Recurrentes 24-26'!CA28</f>
        <v>3628.6656</v>
      </c>
      <c r="CD26" s="1064">
        <f>'Recurrentes 24-26'!CB28</f>
        <v>5702.1888</v>
      </c>
      <c r="CE26" s="1064">
        <f>'Recurrentes 24-26'!CC28</f>
        <v>7257.3312</v>
      </c>
      <c r="CF26" s="1064">
        <f>'Recurrentes 24-26'!CD28</f>
        <v>7257.3312</v>
      </c>
      <c r="CG26" s="1064">
        <f>'Recurrentes 24-26'!CE28</f>
        <v>2073.5232</v>
      </c>
      <c r="CH26" s="1064">
        <f>'Recurrentes 24-26'!CF28</f>
        <v>6220.5696</v>
      </c>
      <c r="CI26" s="451"/>
      <c r="CJ26" s="1062">
        <f>'Recurrentes 24-26'!CG28</f>
        <v>54429.984</v>
      </c>
      <c r="CK26" s="1062">
        <f>'Recurrentes 24-26'!CH28</f>
        <v>116635.68</v>
      </c>
      <c r="CL26" s="451" t="str">
        <f>'Recurrentes 24-26'!CI28</f>
        <v/>
      </c>
      <c r="CM26" s="1064" t="str">
        <f>'Recurrentes 24-26'!CJ28</f>
        <v>Se rebajo cantidad</v>
      </c>
      <c r="CN26" s="451">
        <f>'Recurrentes 24-26'!CK28</f>
        <v>1</v>
      </c>
      <c r="CO26" s="1062">
        <f>'Recurrentes 24-26'!CL28</f>
        <v>9.31</v>
      </c>
      <c r="CP26" s="451" t="str">
        <f>'Recurrentes 24-26'!CM28</f>
        <v/>
      </c>
    </row>
    <row r="27">
      <c r="A27" s="451" t="str">
        <f>'Recurrentes 24-26'!A29</f>
        <v/>
      </c>
      <c r="B27" s="451" t="str">
        <f>'Recurrentes 24-26'!B29</f>
        <v/>
      </c>
      <c r="C27" s="451" t="str">
        <f>'Recurrentes 24-26'!C29</f>
        <v/>
      </c>
      <c r="D27" s="451" t="str">
        <f>'Recurrentes 24-26'!D29</f>
        <v/>
      </c>
      <c r="E27" s="451" t="str">
        <f>'Recurrentes 24-26'!E29</f>
        <v/>
      </c>
      <c r="F27" s="451" t="str">
        <f>'Recurrentes 24-26'!F29</f>
        <v/>
      </c>
      <c r="G27" s="1061" t="str">
        <f>'Recurrentes 24-26'!G29</f>
        <v/>
      </c>
      <c r="H27" s="1061" t="str">
        <f>'Recurrentes 24-26'!H29</f>
        <v/>
      </c>
      <c r="I27" s="1061" t="str">
        <f>'Recurrentes 24-26'!I29</f>
        <v/>
      </c>
      <c r="J27" s="1061" t="str">
        <f>'Recurrentes 24-26'!J29</f>
        <v/>
      </c>
      <c r="K27" s="451" t="str">
        <f>'Recurrentes 24-26'!K29</f>
        <v/>
      </c>
      <c r="L27" s="451" t="str">
        <f>'Recurrentes 24-26'!L29</f>
        <v/>
      </c>
      <c r="M27" s="451" t="str">
        <f>'Recurrentes 24-26'!M29</f>
        <v/>
      </c>
      <c r="N27" s="451" t="str">
        <f>'Recurrentes 24-26'!N29</f>
        <v/>
      </c>
      <c r="O27" s="451" t="str">
        <f>'Recurrentes 24-26'!O29</f>
        <v/>
      </c>
      <c r="P27" s="451" t="str">
        <f>'Recurrentes 24-26'!P29</f>
        <v/>
      </c>
      <c r="Q27" s="451" t="str">
        <f>'Recurrentes 24-26'!Q29</f>
        <v/>
      </c>
      <c r="R27" s="451" t="str">
        <f>'Recurrentes 24-26'!R29</f>
        <v/>
      </c>
      <c r="S27" s="451" t="str">
        <f>'Recurrentes 24-26'!S29</f>
        <v/>
      </c>
      <c r="T27" s="451" t="str">
        <f>'Recurrentes 24-26'!T29</f>
        <v/>
      </c>
      <c r="U27" s="451" t="str">
        <f>'Recurrentes 24-26'!U29</f>
        <v/>
      </c>
      <c r="V27" s="451" t="str">
        <f>'Recurrentes 24-26'!V29</f>
        <v/>
      </c>
      <c r="W27" s="1062" t="str">
        <f>'Recurrentes 24-26'!W29</f>
        <v/>
      </c>
      <c r="X27" s="451" t="str">
        <f>'Recurrentes 24-26'!X29</f>
        <v/>
      </c>
      <c r="Y27" s="451" t="str">
        <f>'Recurrentes 24-26'!Y29</f>
        <v/>
      </c>
      <c r="Z27" s="451" t="str">
        <f>'Recurrentes 24-26'!Z29</f>
        <v/>
      </c>
      <c r="AA27" s="451" t="str">
        <f>'Recurrentes 24-26'!AA29</f>
        <v/>
      </c>
      <c r="AB27" s="451" t="str">
        <f>'Recurrentes 24-26'!AB29</f>
        <v/>
      </c>
      <c r="AC27" s="451" t="str">
        <f>'Recurrentes 24-26'!AC29</f>
        <v/>
      </c>
      <c r="AD27" s="451" t="str">
        <f>'Recurrentes 24-26'!AD29</f>
        <v/>
      </c>
      <c r="AE27" s="451" t="str">
        <f>'Recurrentes 24-26'!AE29</f>
        <v/>
      </c>
      <c r="AF27" s="451" t="str">
        <f>'Recurrentes 24-26'!AF29</f>
        <v/>
      </c>
      <c r="AG27" s="451" t="str">
        <f>'Recurrentes 24-26'!AG29</f>
        <v/>
      </c>
      <c r="AH27" s="451" t="str">
        <f>'Recurrentes 24-26'!AH29</f>
        <v/>
      </c>
      <c r="AI27" s="1062" t="str">
        <f>'Recurrentes 24-26'!AI29</f>
        <v/>
      </c>
      <c r="AJ27" s="451" t="str">
        <f>'Recurrentes 24-26'!AJ29</f>
        <v/>
      </c>
      <c r="AK27" s="451" t="str">
        <f>'Recurrentes 24-26'!AK29</f>
        <v/>
      </c>
      <c r="AL27" s="451" t="str">
        <f>'Recurrentes 24-26'!AL29</f>
        <v/>
      </c>
      <c r="AM27" s="451" t="str">
        <f>'Recurrentes 24-26'!AM29</f>
        <v/>
      </c>
      <c r="AN27" s="451" t="str">
        <f>'Recurrentes 24-26'!AN29</f>
        <v/>
      </c>
      <c r="AO27" s="451" t="str">
        <f>'Recurrentes 24-26'!AO29</f>
        <v/>
      </c>
      <c r="AP27" s="451" t="str">
        <f>'Recurrentes 24-26'!AP29</f>
        <v/>
      </c>
      <c r="AQ27" s="451" t="str">
        <f>'Recurrentes 24-26'!AQ29</f>
        <v/>
      </c>
      <c r="AR27" s="451" t="str">
        <f>'Recurrentes 24-26'!AR29</f>
        <v/>
      </c>
      <c r="AS27" s="451" t="str">
        <f>'Recurrentes 24-26'!AS29</f>
        <v/>
      </c>
      <c r="AT27" s="451" t="str">
        <f>'Recurrentes 24-26'!AT29</f>
        <v/>
      </c>
      <c r="AU27" s="1062" t="str">
        <f>'Recurrentes 24-26'!AU29</f>
        <v/>
      </c>
      <c r="AV27" s="1063" t="str">
        <f>'Recurrentes 24-26'!AV29</f>
        <v/>
      </c>
      <c r="AW27" s="451" t="str">
        <f>'Recurrentes 24-26'!AW29</f>
        <v/>
      </c>
      <c r="AX27" s="1062" t="str">
        <f>'Recurrentes 24-26'!AX29</f>
        <v/>
      </c>
      <c r="AY27" s="1062" t="str">
        <f>'Recurrentes 24-26'!AY29</f>
        <v/>
      </c>
      <c r="AZ27" s="1064" t="str">
        <f>'Recurrentes 24-26'!AZ29</f>
        <v/>
      </c>
      <c r="BA27" s="1064" t="str">
        <f>'Recurrentes 24-26'!BA29</f>
        <v/>
      </c>
      <c r="BB27" s="1064" t="str">
        <f>'Recurrentes 24-26'!BB29</f>
        <v/>
      </c>
      <c r="BC27" s="1064" t="str">
        <f>'Recurrentes 24-26'!BC29</f>
        <v/>
      </c>
      <c r="BD27" s="1064" t="str">
        <f>'Recurrentes 24-26'!BD29</f>
        <v/>
      </c>
      <c r="BE27" s="1064" t="str">
        <f>'Recurrentes 24-26'!BE29</f>
        <v/>
      </c>
      <c r="BF27" s="1064" t="str">
        <f>'Recurrentes 24-26'!BF29</f>
        <v/>
      </c>
      <c r="BG27" s="1064" t="str">
        <f>'Recurrentes 24-26'!BG29</f>
        <v/>
      </c>
      <c r="BH27" s="1064" t="str">
        <f>'Recurrentes 24-26'!BH29</f>
        <v/>
      </c>
      <c r="BI27" s="1064" t="str">
        <f>'Recurrentes 24-26'!BI29</f>
        <v/>
      </c>
      <c r="BJ27" s="1064" t="str">
        <f>'Recurrentes 24-26'!BJ29</f>
        <v/>
      </c>
      <c r="BK27" s="451"/>
      <c r="BL27" s="1062" t="str">
        <f>'Recurrentes 24-26'!BK29</f>
        <v/>
      </c>
      <c r="BM27" s="1064" t="str">
        <f>'Recurrentes 24-26'!BL29</f>
        <v/>
      </c>
      <c r="BN27" s="1064" t="str">
        <f>'Recurrentes 24-26'!BM29</f>
        <v/>
      </c>
      <c r="BO27" s="1064" t="str">
        <f>'Recurrentes 24-26'!BN29</f>
        <v/>
      </c>
      <c r="BP27" s="1064" t="str">
        <f>'Recurrentes 24-26'!BO29</f>
        <v/>
      </c>
      <c r="BQ27" s="1064" t="str">
        <f>'Recurrentes 24-26'!BP29</f>
        <v/>
      </c>
      <c r="BR27" s="1064" t="str">
        <f>'Recurrentes 24-26'!BQ29</f>
        <v/>
      </c>
      <c r="BS27" s="1064" t="str">
        <f>'Recurrentes 24-26'!BR29</f>
        <v/>
      </c>
      <c r="BT27" s="1064" t="str">
        <f>'Recurrentes 24-26'!BS29</f>
        <v/>
      </c>
      <c r="BU27" s="1064" t="str">
        <f>'Recurrentes 24-26'!BT29</f>
        <v/>
      </c>
      <c r="BV27" s="1064" t="str">
        <f>'Recurrentes 24-26'!BU29</f>
        <v/>
      </c>
      <c r="BW27" s="451"/>
      <c r="BX27" s="1062" t="str">
        <f>'Recurrentes 24-26'!BV29</f>
        <v/>
      </c>
      <c r="BY27" s="1064" t="str">
        <f>'Recurrentes 24-26'!BW29</f>
        <v/>
      </c>
      <c r="BZ27" s="1064" t="str">
        <f>'Recurrentes 24-26'!BX29</f>
        <v/>
      </c>
      <c r="CA27" s="1064" t="str">
        <f>'Recurrentes 24-26'!BY29</f>
        <v/>
      </c>
      <c r="CB27" s="1064" t="str">
        <f>'Recurrentes 24-26'!BZ29</f>
        <v/>
      </c>
      <c r="CC27" s="1064" t="str">
        <f>'Recurrentes 24-26'!CA29</f>
        <v/>
      </c>
      <c r="CD27" s="1064" t="str">
        <f>'Recurrentes 24-26'!CB29</f>
        <v/>
      </c>
      <c r="CE27" s="1064" t="str">
        <f>'Recurrentes 24-26'!CC29</f>
        <v/>
      </c>
      <c r="CF27" s="1064" t="str">
        <f>'Recurrentes 24-26'!CD29</f>
        <v/>
      </c>
      <c r="CG27" s="1064" t="str">
        <f>'Recurrentes 24-26'!CE29</f>
        <v/>
      </c>
      <c r="CH27" s="1064" t="str">
        <f>'Recurrentes 24-26'!CF29</f>
        <v/>
      </c>
      <c r="CI27" s="451"/>
      <c r="CJ27" s="1062" t="str">
        <f>'Recurrentes 24-26'!CG29</f>
        <v/>
      </c>
      <c r="CK27" s="1062" t="str">
        <f>'Recurrentes 24-26'!CH29</f>
        <v/>
      </c>
      <c r="CL27" s="451" t="str">
        <f>'Recurrentes 24-26'!CI29</f>
        <v/>
      </c>
      <c r="CM27" s="1064" t="str">
        <f>'Recurrentes 24-26'!CJ29</f>
        <v/>
      </c>
      <c r="CN27" s="451" t="str">
        <f>'Recurrentes 24-26'!CK29</f>
        <v/>
      </c>
      <c r="CO27" s="451" t="str">
        <f>'Recurrentes 24-26'!CL29</f>
        <v/>
      </c>
      <c r="CP27" s="451" t="str">
        <f>'Recurrentes 24-26'!CM29</f>
        <v/>
      </c>
    </row>
    <row r="28">
      <c r="A28" s="451" t="str">
        <f>'Recurrentes 24-26'!A30</f>
        <v/>
      </c>
      <c r="B28" s="451" t="str">
        <f>'Recurrentes 24-26'!B30</f>
        <v/>
      </c>
      <c r="C28" s="451" t="str">
        <f>'Recurrentes 24-26'!C30</f>
        <v/>
      </c>
      <c r="D28" s="451" t="str">
        <f>'Recurrentes 24-26'!D30</f>
        <v/>
      </c>
      <c r="E28" s="451" t="str">
        <f>'Recurrentes 24-26'!E30</f>
        <v/>
      </c>
      <c r="F28" s="451" t="str">
        <f>'Recurrentes 24-26'!F30</f>
        <v/>
      </c>
      <c r="G28" s="1061" t="str">
        <f>'Recurrentes 24-26'!G30</f>
        <v/>
      </c>
      <c r="H28" s="1066" t="str">
        <f>'Recurrentes 24-26'!H30</f>
        <v/>
      </c>
      <c r="I28" s="1061" t="str">
        <f>'Recurrentes 24-26'!I30</f>
        <v/>
      </c>
      <c r="J28" s="1061" t="str">
        <f>'Recurrentes 24-26'!J30</f>
        <v/>
      </c>
      <c r="K28" s="451" t="str">
        <f>'Recurrentes 24-26'!K30</f>
        <v/>
      </c>
      <c r="L28" s="451" t="str">
        <f>'Recurrentes 24-26'!L30</f>
        <v/>
      </c>
      <c r="M28" s="451" t="str">
        <f>'Recurrentes 24-26'!M30</f>
        <v/>
      </c>
      <c r="N28" s="451" t="str">
        <f>'Recurrentes 24-26'!N30</f>
        <v/>
      </c>
      <c r="O28" s="451" t="str">
        <f>'Recurrentes 24-26'!O30</f>
        <v/>
      </c>
      <c r="P28" s="451" t="str">
        <f>'Recurrentes 24-26'!P30</f>
        <v/>
      </c>
      <c r="Q28" s="451" t="str">
        <f>'Recurrentes 24-26'!Q30</f>
        <v/>
      </c>
      <c r="R28" s="451" t="str">
        <f>'Recurrentes 24-26'!R30</f>
        <v/>
      </c>
      <c r="S28" s="451" t="str">
        <f>'Recurrentes 24-26'!S30</f>
        <v/>
      </c>
      <c r="T28" s="451" t="str">
        <f>'Recurrentes 24-26'!T30</f>
        <v/>
      </c>
      <c r="U28" s="451" t="str">
        <f>'Recurrentes 24-26'!U30</f>
        <v/>
      </c>
      <c r="V28" s="451" t="str">
        <f>'Recurrentes 24-26'!V30</f>
        <v/>
      </c>
      <c r="W28" s="451" t="str">
        <f>'Recurrentes 24-26'!W30</f>
        <v/>
      </c>
      <c r="X28" s="451" t="str">
        <f>'Recurrentes 24-26'!X30</f>
        <v/>
      </c>
      <c r="Y28" s="451" t="str">
        <f>'Recurrentes 24-26'!Y30</f>
        <v/>
      </c>
      <c r="Z28" s="451" t="str">
        <f>'Recurrentes 24-26'!Z30</f>
        <v/>
      </c>
      <c r="AA28" s="451" t="str">
        <f>'Recurrentes 24-26'!AA30</f>
        <v/>
      </c>
      <c r="AB28" s="451" t="str">
        <f>'Recurrentes 24-26'!AB30</f>
        <v/>
      </c>
      <c r="AC28" s="451" t="str">
        <f>'Recurrentes 24-26'!AC30</f>
        <v/>
      </c>
      <c r="AD28" s="451" t="str">
        <f>'Recurrentes 24-26'!AD30</f>
        <v/>
      </c>
      <c r="AE28" s="451" t="str">
        <f>'Recurrentes 24-26'!AE30</f>
        <v/>
      </c>
      <c r="AF28" s="451" t="str">
        <f>'Recurrentes 24-26'!AF30</f>
        <v/>
      </c>
      <c r="AG28" s="451" t="str">
        <f>'Recurrentes 24-26'!AG30</f>
        <v/>
      </c>
      <c r="AH28" s="451" t="str">
        <f>'Recurrentes 24-26'!AH30</f>
        <v/>
      </c>
      <c r="AI28" s="451" t="str">
        <f>'Recurrentes 24-26'!AI30</f>
        <v/>
      </c>
      <c r="AJ28" s="451" t="str">
        <f>'Recurrentes 24-26'!AJ30</f>
        <v/>
      </c>
      <c r="AK28" s="451" t="str">
        <f>'Recurrentes 24-26'!AK30</f>
        <v/>
      </c>
      <c r="AL28" s="451" t="str">
        <f>'Recurrentes 24-26'!AL30</f>
        <v/>
      </c>
      <c r="AM28" s="451" t="str">
        <f>'Recurrentes 24-26'!AM30</f>
        <v/>
      </c>
      <c r="AN28" s="451" t="str">
        <f>'Recurrentes 24-26'!AN30</f>
        <v/>
      </c>
      <c r="AO28" s="451" t="str">
        <f>'Recurrentes 24-26'!AO30</f>
        <v/>
      </c>
      <c r="AP28" s="451" t="str">
        <f>'Recurrentes 24-26'!AP30</f>
        <v/>
      </c>
      <c r="AQ28" s="451" t="str">
        <f>'Recurrentes 24-26'!AQ30</f>
        <v/>
      </c>
      <c r="AR28" s="451" t="str">
        <f>'Recurrentes 24-26'!AR30</f>
        <v/>
      </c>
      <c r="AS28" s="451" t="str">
        <f>'Recurrentes 24-26'!AS30</f>
        <v/>
      </c>
      <c r="AT28" s="451" t="str">
        <f>'Recurrentes 24-26'!AT30</f>
        <v/>
      </c>
      <c r="AU28" s="451" t="str">
        <f>'Recurrentes 24-26'!AU30</f>
        <v/>
      </c>
      <c r="AV28" s="1063" t="str">
        <f>'Recurrentes 24-26'!AV30</f>
        <v/>
      </c>
      <c r="AW28" s="451" t="str">
        <f>'Recurrentes 24-26'!AW30</f>
        <v/>
      </c>
      <c r="AX28" s="451" t="str">
        <f>'Recurrentes 24-26'!AX30</f>
        <v/>
      </c>
      <c r="AY28" s="451" t="str">
        <f>'Recurrentes 24-26'!AY30</f>
        <v/>
      </c>
      <c r="AZ28" s="1064" t="str">
        <f>'Recurrentes 24-26'!AZ30</f>
        <v/>
      </c>
      <c r="BA28" s="1064" t="str">
        <f>'Recurrentes 24-26'!BA30</f>
        <v/>
      </c>
      <c r="BB28" s="1064" t="str">
        <f>'Recurrentes 24-26'!BB30</f>
        <v/>
      </c>
      <c r="BC28" s="1064" t="str">
        <f>'Recurrentes 24-26'!BC30</f>
        <v/>
      </c>
      <c r="BD28" s="1064" t="str">
        <f>'Recurrentes 24-26'!BD30</f>
        <v/>
      </c>
      <c r="BE28" s="1064" t="str">
        <f>'Recurrentes 24-26'!BE30</f>
        <v/>
      </c>
      <c r="BF28" s="1064" t="str">
        <f>'Recurrentes 24-26'!BF30</f>
        <v/>
      </c>
      <c r="BG28" s="1064" t="str">
        <f>'Recurrentes 24-26'!BG30</f>
        <v/>
      </c>
      <c r="BH28" s="1064" t="str">
        <f>'Recurrentes 24-26'!BH30</f>
        <v/>
      </c>
      <c r="BI28" s="1064" t="str">
        <f>'Recurrentes 24-26'!BI30</f>
        <v/>
      </c>
      <c r="BJ28" s="1064" t="str">
        <f>'Recurrentes 24-26'!BJ30</f>
        <v/>
      </c>
      <c r="BK28" s="451"/>
      <c r="BL28" s="1064" t="str">
        <f>'Recurrentes 24-26'!BK30</f>
        <v/>
      </c>
      <c r="BM28" s="1064" t="str">
        <f>'Recurrentes 24-26'!BL30</f>
        <v/>
      </c>
      <c r="BN28" s="1064" t="str">
        <f>'Recurrentes 24-26'!BM30</f>
        <v/>
      </c>
      <c r="BO28" s="1064" t="str">
        <f>'Recurrentes 24-26'!BN30</f>
        <v/>
      </c>
      <c r="BP28" s="1064" t="str">
        <f>'Recurrentes 24-26'!BO30</f>
        <v/>
      </c>
      <c r="BQ28" s="1064" t="str">
        <f>'Recurrentes 24-26'!BP30</f>
        <v/>
      </c>
      <c r="BR28" s="1064" t="str">
        <f>'Recurrentes 24-26'!BQ30</f>
        <v/>
      </c>
      <c r="BS28" s="1064" t="str">
        <f>'Recurrentes 24-26'!BR30</f>
        <v/>
      </c>
      <c r="BT28" s="1064" t="str">
        <f>'Recurrentes 24-26'!BS30</f>
        <v/>
      </c>
      <c r="BU28" s="1064" t="str">
        <f>'Recurrentes 24-26'!BT30</f>
        <v/>
      </c>
      <c r="BV28" s="1064" t="str">
        <f>'Recurrentes 24-26'!BU30</f>
        <v/>
      </c>
      <c r="BW28" s="451"/>
      <c r="BX28" s="1064" t="str">
        <f>'Recurrentes 24-26'!BV30</f>
        <v/>
      </c>
      <c r="BY28" s="1064" t="str">
        <f>'Recurrentes 24-26'!BW30</f>
        <v/>
      </c>
      <c r="BZ28" s="1064" t="str">
        <f>'Recurrentes 24-26'!BX30</f>
        <v/>
      </c>
      <c r="CA28" s="1064" t="str">
        <f>'Recurrentes 24-26'!BY30</f>
        <v/>
      </c>
      <c r="CB28" s="1064" t="str">
        <f>'Recurrentes 24-26'!BZ30</f>
        <v/>
      </c>
      <c r="CC28" s="1064" t="str">
        <f>'Recurrentes 24-26'!CA30</f>
        <v/>
      </c>
      <c r="CD28" s="1064" t="str">
        <f>'Recurrentes 24-26'!CB30</f>
        <v/>
      </c>
      <c r="CE28" s="1064" t="str">
        <f>'Recurrentes 24-26'!CC30</f>
        <v/>
      </c>
      <c r="CF28" s="1064" t="str">
        <f>'Recurrentes 24-26'!CD30</f>
        <v/>
      </c>
      <c r="CG28" s="1064" t="str">
        <f>'Recurrentes 24-26'!CE30</f>
        <v/>
      </c>
      <c r="CH28" s="1064" t="str">
        <f>'Recurrentes 24-26'!CF30</f>
        <v/>
      </c>
      <c r="CI28" s="451"/>
      <c r="CJ28" s="1064" t="str">
        <f>'Recurrentes 24-26'!CG30</f>
        <v/>
      </c>
      <c r="CK28" s="1064" t="str">
        <f>'Recurrentes 24-26'!CH30</f>
        <v/>
      </c>
      <c r="CL28" s="451" t="str">
        <f>'Recurrentes 24-26'!CI30</f>
        <v/>
      </c>
      <c r="CM28" s="1064" t="str">
        <f>'Recurrentes 24-26'!CJ30</f>
        <v/>
      </c>
      <c r="CN28" s="451" t="str">
        <f>'Recurrentes 24-26'!CK30</f>
        <v/>
      </c>
      <c r="CO28" s="451" t="str">
        <f>'Recurrentes 24-26'!CL30</f>
        <v/>
      </c>
      <c r="CP28" s="451" t="str">
        <f>'Recurrentes 24-26'!CM30</f>
        <v/>
      </c>
    </row>
    <row r="29">
      <c r="A29" s="451" t="str">
        <f>'Recurrentes 24-26'!A31</f>
        <v/>
      </c>
      <c r="B29" s="451" t="str">
        <f>'Recurrentes 24-26'!B31</f>
        <v/>
      </c>
      <c r="C29" s="451" t="str">
        <f>'Recurrentes 24-26'!C31</f>
        <v/>
      </c>
      <c r="D29" s="451" t="str">
        <f>'Recurrentes 24-26'!D31</f>
        <v/>
      </c>
      <c r="E29" s="451" t="str">
        <f>'Recurrentes 24-26'!E31</f>
        <v/>
      </c>
      <c r="F29" s="451" t="str">
        <f>'Recurrentes 24-26'!F31</f>
        <v/>
      </c>
      <c r="G29" s="1061" t="str">
        <f>'Recurrentes 24-26'!G31</f>
        <v/>
      </c>
      <c r="H29" s="1061" t="str">
        <f>'Recurrentes 24-26'!H31</f>
        <v/>
      </c>
      <c r="I29" s="1061" t="str">
        <f>'Recurrentes 24-26'!I31</f>
        <v/>
      </c>
      <c r="J29" s="1061" t="str">
        <f>'Recurrentes 24-26'!J31</f>
        <v/>
      </c>
      <c r="K29" s="451" t="str">
        <f>'Recurrentes 24-26'!K31</f>
        <v/>
      </c>
      <c r="L29" s="451" t="str">
        <f>'Recurrentes 24-26'!L31</f>
        <v/>
      </c>
      <c r="M29" s="451" t="str">
        <f>'Recurrentes 24-26'!M31</f>
        <v/>
      </c>
      <c r="N29" s="451" t="str">
        <f>'Recurrentes 24-26'!N31</f>
        <v/>
      </c>
      <c r="O29" s="451" t="str">
        <f>'Recurrentes 24-26'!O31</f>
        <v/>
      </c>
      <c r="P29" s="451" t="str">
        <f>'Recurrentes 24-26'!P31</f>
        <v/>
      </c>
      <c r="Q29" s="451" t="str">
        <f>'Recurrentes 24-26'!Q31</f>
        <v/>
      </c>
      <c r="R29" s="451" t="str">
        <f>'Recurrentes 24-26'!R31</f>
        <v/>
      </c>
      <c r="S29" s="451" t="str">
        <f>'Recurrentes 24-26'!S31</f>
        <v/>
      </c>
      <c r="T29" s="451" t="str">
        <f>'Recurrentes 24-26'!T31</f>
        <v/>
      </c>
      <c r="U29" s="451" t="str">
        <f>'Recurrentes 24-26'!U31</f>
        <v/>
      </c>
      <c r="V29" s="451" t="str">
        <f>'Recurrentes 24-26'!V31</f>
        <v/>
      </c>
      <c r="W29" s="1062" t="str">
        <f>'Recurrentes 24-26'!W31</f>
        <v/>
      </c>
      <c r="X29" s="451" t="str">
        <f>'Recurrentes 24-26'!X31</f>
        <v/>
      </c>
      <c r="Y29" s="451" t="str">
        <f>'Recurrentes 24-26'!Y31</f>
        <v/>
      </c>
      <c r="Z29" s="451" t="str">
        <f>'Recurrentes 24-26'!Z31</f>
        <v/>
      </c>
      <c r="AA29" s="451" t="str">
        <f>'Recurrentes 24-26'!AA31</f>
        <v/>
      </c>
      <c r="AB29" s="451" t="str">
        <f>'Recurrentes 24-26'!AB31</f>
        <v/>
      </c>
      <c r="AC29" s="451" t="str">
        <f>'Recurrentes 24-26'!AC31</f>
        <v/>
      </c>
      <c r="AD29" s="451" t="str">
        <f>'Recurrentes 24-26'!AD31</f>
        <v/>
      </c>
      <c r="AE29" s="451" t="str">
        <f>'Recurrentes 24-26'!AE31</f>
        <v/>
      </c>
      <c r="AF29" s="451" t="str">
        <f>'Recurrentes 24-26'!AF31</f>
        <v/>
      </c>
      <c r="AG29" s="451" t="str">
        <f>'Recurrentes 24-26'!AG31</f>
        <v/>
      </c>
      <c r="AH29" s="451" t="str">
        <f>'Recurrentes 24-26'!AH31</f>
        <v/>
      </c>
      <c r="AI29" s="1062" t="str">
        <f>'Recurrentes 24-26'!AI31</f>
        <v/>
      </c>
      <c r="AJ29" s="451" t="str">
        <f>'Recurrentes 24-26'!AJ31</f>
        <v/>
      </c>
      <c r="AK29" s="451" t="str">
        <f>'Recurrentes 24-26'!AK31</f>
        <v/>
      </c>
      <c r="AL29" s="451" t="str">
        <f>'Recurrentes 24-26'!AL31</f>
        <v/>
      </c>
      <c r="AM29" s="451" t="str">
        <f>'Recurrentes 24-26'!AM31</f>
        <v/>
      </c>
      <c r="AN29" s="451" t="str">
        <f>'Recurrentes 24-26'!AN31</f>
        <v/>
      </c>
      <c r="AO29" s="451" t="str">
        <f>'Recurrentes 24-26'!AO31</f>
        <v/>
      </c>
      <c r="AP29" s="451" t="str">
        <f>'Recurrentes 24-26'!AP31</f>
        <v/>
      </c>
      <c r="AQ29" s="451" t="str">
        <f>'Recurrentes 24-26'!AQ31</f>
        <v/>
      </c>
      <c r="AR29" s="451" t="str">
        <f>'Recurrentes 24-26'!AR31</f>
        <v/>
      </c>
      <c r="AS29" s="451" t="str">
        <f>'Recurrentes 24-26'!AS31</f>
        <v/>
      </c>
      <c r="AT29" s="451" t="str">
        <f>'Recurrentes 24-26'!AT31</f>
        <v/>
      </c>
      <c r="AU29" s="1062" t="str">
        <f>'Recurrentes 24-26'!AU31</f>
        <v/>
      </c>
      <c r="AV29" s="1063" t="str">
        <f>'Recurrentes 24-26'!AV31</f>
        <v/>
      </c>
      <c r="AW29" s="451" t="str">
        <f>'Recurrentes 24-26'!AW31</f>
        <v/>
      </c>
      <c r="AX29" s="1062" t="str">
        <f>'Recurrentes 24-26'!AX31</f>
        <v/>
      </c>
      <c r="AY29" s="1062" t="str">
        <f>'Recurrentes 24-26'!AY31</f>
        <v/>
      </c>
      <c r="AZ29" s="1064" t="str">
        <f>'Recurrentes 24-26'!AZ31</f>
        <v/>
      </c>
      <c r="BA29" s="1064" t="str">
        <f>'Recurrentes 24-26'!BA31</f>
        <v/>
      </c>
      <c r="BB29" s="1064" t="str">
        <f>'Recurrentes 24-26'!BB31</f>
        <v/>
      </c>
      <c r="BC29" s="1064" t="str">
        <f>'Recurrentes 24-26'!BC31</f>
        <v/>
      </c>
      <c r="BD29" s="1064" t="str">
        <f>'Recurrentes 24-26'!BD31</f>
        <v/>
      </c>
      <c r="BE29" s="1064" t="str">
        <f>'Recurrentes 24-26'!BE31</f>
        <v/>
      </c>
      <c r="BF29" s="1064" t="str">
        <f>'Recurrentes 24-26'!BF31</f>
        <v/>
      </c>
      <c r="BG29" s="1064" t="str">
        <f>'Recurrentes 24-26'!BG31</f>
        <v/>
      </c>
      <c r="BH29" s="1064" t="str">
        <f>'Recurrentes 24-26'!BH31</f>
        <v/>
      </c>
      <c r="BI29" s="1064" t="str">
        <f>'Recurrentes 24-26'!BI31</f>
        <v/>
      </c>
      <c r="BJ29" s="1064" t="str">
        <f>'Recurrentes 24-26'!BJ31</f>
        <v/>
      </c>
      <c r="BK29" s="451"/>
      <c r="BL29" s="1062" t="str">
        <f>'Recurrentes 24-26'!BK31</f>
        <v/>
      </c>
      <c r="BM29" s="1064" t="str">
        <f>'Recurrentes 24-26'!BL31</f>
        <v/>
      </c>
      <c r="BN29" s="1064" t="str">
        <f>'Recurrentes 24-26'!BM31</f>
        <v/>
      </c>
      <c r="BO29" s="1064" t="str">
        <f>'Recurrentes 24-26'!BN31</f>
        <v/>
      </c>
      <c r="BP29" s="1064" t="str">
        <f>'Recurrentes 24-26'!BO31</f>
        <v/>
      </c>
      <c r="BQ29" s="1064" t="str">
        <f>'Recurrentes 24-26'!BP31</f>
        <v/>
      </c>
      <c r="BR29" s="1064" t="str">
        <f>'Recurrentes 24-26'!BQ31</f>
        <v/>
      </c>
      <c r="BS29" s="1064" t="str">
        <f>'Recurrentes 24-26'!BR31</f>
        <v/>
      </c>
      <c r="BT29" s="1064" t="str">
        <f>'Recurrentes 24-26'!BS31</f>
        <v/>
      </c>
      <c r="BU29" s="1064" t="str">
        <f>'Recurrentes 24-26'!BT31</f>
        <v/>
      </c>
      <c r="BV29" s="1064" t="str">
        <f>'Recurrentes 24-26'!BU31</f>
        <v/>
      </c>
      <c r="BW29" s="451"/>
      <c r="BX29" s="1062" t="str">
        <f>'Recurrentes 24-26'!BV31</f>
        <v/>
      </c>
      <c r="BY29" s="1064" t="str">
        <f>'Recurrentes 24-26'!BW31</f>
        <v/>
      </c>
      <c r="BZ29" s="1064" t="str">
        <f>'Recurrentes 24-26'!BX31</f>
        <v/>
      </c>
      <c r="CA29" s="1064" t="str">
        <f>'Recurrentes 24-26'!BY31</f>
        <v/>
      </c>
      <c r="CB29" s="1064" t="str">
        <f>'Recurrentes 24-26'!BZ31</f>
        <v/>
      </c>
      <c r="CC29" s="1064" t="str">
        <f>'Recurrentes 24-26'!CA31</f>
        <v/>
      </c>
      <c r="CD29" s="1064" t="str">
        <f>'Recurrentes 24-26'!CB31</f>
        <v/>
      </c>
      <c r="CE29" s="1064" t="str">
        <f>'Recurrentes 24-26'!CC31</f>
        <v/>
      </c>
      <c r="CF29" s="1064" t="str">
        <f>'Recurrentes 24-26'!CD31</f>
        <v/>
      </c>
      <c r="CG29" s="1064" t="str">
        <f>'Recurrentes 24-26'!CE31</f>
        <v/>
      </c>
      <c r="CH29" s="1064" t="str">
        <f>'Recurrentes 24-26'!CF31</f>
        <v/>
      </c>
      <c r="CI29" s="451"/>
      <c r="CJ29" s="1062" t="str">
        <f>'Recurrentes 24-26'!CG31</f>
        <v/>
      </c>
      <c r="CK29" s="1062" t="str">
        <f>'Recurrentes 24-26'!CH31</f>
        <v/>
      </c>
      <c r="CL29" s="451" t="str">
        <f>'Recurrentes 24-26'!CI31</f>
        <v/>
      </c>
      <c r="CM29" s="1064" t="str">
        <f>'Recurrentes 24-26'!CJ31</f>
        <v/>
      </c>
      <c r="CN29" s="451" t="str">
        <f>'Recurrentes 24-26'!CK31</f>
        <v/>
      </c>
      <c r="CO29" s="451" t="str">
        <f>'Recurrentes 24-26'!CL31</f>
        <v/>
      </c>
      <c r="CP29" s="451" t="str">
        <f>'Recurrentes 24-26'!CM31</f>
        <v/>
      </c>
    </row>
    <row r="30">
      <c r="A30" s="451" t="str">
        <f>'Recurrentes 24-26'!A32</f>
        <v>Repuestos Electromecánicos recurrentes</v>
      </c>
      <c r="B30" s="451" t="str">
        <f>'Recurrentes 24-26'!B32</f>
        <v/>
      </c>
      <c r="C30" s="451" t="str">
        <f>'Recurrentes 24-26'!C32</f>
        <v>Estaciones</v>
      </c>
      <c r="D30" s="451" t="str">
        <f>'Recurrentes 24-26'!D32</f>
        <v>Lubricación de rodetes de apertura y cierre</v>
      </c>
      <c r="E30" s="451" t="str">
        <f>'Recurrentes 24-26'!E32</f>
        <v>Repuesto Mecánico</v>
      </c>
      <c r="F30" s="451" t="str">
        <f>'Recurrentes 24-26'!F32</f>
        <v>TDB</v>
      </c>
      <c r="G30" s="1061" t="str">
        <f>'Recurrentes 24-26'!G32</f>
        <v>39800</v>
      </c>
      <c r="H30" s="1061" t="str">
        <f>'Recurrentes 24-26'!H32</f>
        <v>2-01-00650</v>
      </c>
      <c r="I30" s="1061">
        <f>'Recurrentes 24-26'!I32</f>
        <v>10863213</v>
      </c>
      <c r="J30" s="1061" t="str">
        <f>'Recurrentes 24-26'!J32</f>
        <v>Cepillo de lubricador de duckosil</v>
      </c>
      <c r="K30" s="451" t="str">
        <f>'Recurrentes 24-26'!K32</f>
        <v>Pza</v>
      </c>
      <c r="L30" s="451">
        <f>'Recurrentes 24-26'!L32</f>
        <v>0</v>
      </c>
      <c r="M30" s="451">
        <f>'Recurrentes 24-26'!M32</f>
        <v>0</v>
      </c>
      <c r="N30" s="451">
        <f>'Recurrentes 24-26'!N32</f>
        <v>0</v>
      </c>
      <c r="O30" s="451">
        <f>'Recurrentes 24-26'!O32</f>
        <v>0</v>
      </c>
      <c r="P30" s="451">
        <f>'Recurrentes 24-26'!P32</f>
        <v>0</v>
      </c>
      <c r="Q30" s="451">
        <f>'Recurrentes 24-26'!Q32</f>
        <v>0</v>
      </c>
      <c r="R30" s="451">
        <f>'Recurrentes 24-26'!R32</f>
        <v>0</v>
      </c>
      <c r="S30" s="451">
        <f>'Recurrentes 24-26'!S32</f>
        <v>0</v>
      </c>
      <c r="T30" s="451">
        <f>'Recurrentes 24-26'!T32</f>
        <v>0</v>
      </c>
      <c r="U30" s="451">
        <f>'Recurrentes 24-26'!U32</f>
        <v>0</v>
      </c>
      <c r="V30" s="451">
        <f>'Recurrentes 24-26'!V32</f>
        <v>0</v>
      </c>
      <c r="W30" s="1062">
        <f>'Recurrentes 24-26'!W32</f>
        <v>0</v>
      </c>
      <c r="X30" s="451">
        <f>'Recurrentes 24-26'!X32</f>
        <v>0</v>
      </c>
      <c r="Y30" s="451">
        <f>'Recurrentes 24-26'!Y32</f>
        <v>0</v>
      </c>
      <c r="Z30" s="451">
        <f>'Recurrentes 24-26'!Z32</f>
        <v>0</v>
      </c>
      <c r="AA30" s="451">
        <f>'Recurrentes 24-26'!AA32</f>
        <v>0</v>
      </c>
      <c r="AB30" s="451">
        <f>'Recurrentes 24-26'!AB32</f>
        <v>0</v>
      </c>
      <c r="AC30" s="451">
        <f>'Recurrentes 24-26'!AC32</f>
        <v>0</v>
      </c>
      <c r="AD30" s="451">
        <f>'Recurrentes 24-26'!AD32</f>
        <v>0</v>
      </c>
      <c r="AE30" s="451">
        <f>'Recurrentes 24-26'!AE32</f>
        <v>0</v>
      </c>
      <c r="AF30" s="451">
        <f>'Recurrentes 24-26'!AF32</f>
        <v>0</v>
      </c>
      <c r="AG30" s="451">
        <f>'Recurrentes 24-26'!AG32</f>
        <v>0</v>
      </c>
      <c r="AH30" s="451">
        <f>'Recurrentes 24-26'!AH32</f>
        <v>0</v>
      </c>
      <c r="AI30" s="1062">
        <f>'Recurrentes 24-26'!AI32</f>
        <v>0</v>
      </c>
      <c r="AJ30" s="451">
        <f>'Recurrentes 24-26'!AJ32</f>
        <v>0</v>
      </c>
      <c r="AK30" s="451">
        <f>'Recurrentes 24-26'!AK32</f>
        <v>0</v>
      </c>
      <c r="AL30" s="451">
        <f>'Recurrentes 24-26'!AL32</f>
        <v>0</v>
      </c>
      <c r="AM30" s="451">
        <f>'Recurrentes 24-26'!AM32</f>
        <v>0</v>
      </c>
      <c r="AN30" s="451">
        <f>'Recurrentes 24-26'!AN32</f>
        <v>0</v>
      </c>
      <c r="AO30" s="451">
        <f>'Recurrentes 24-26'!AO32</f>
        <v>0</v>
      </c>
      <c r="AP30" s="451">
        <f>'Recurrentes 24-26'!AP32</f>
        <v>0</v>
      </c>
      <c r="AQ30" s="451">
        <f>'Recurrentes 24-26'!AQ32</f>
        <v>0</v>
      </c>
      <c r="AR30" s="451">
        <f>'Recurrentes 24-26'!AR32</f>
        <v>0</v>
      </c>
      <c r="AS30" s="451">
        <f>'Recurrentes 24-26'!AS32</f>
        <v>0</v>
      </c>
      <c r="AT30" s="451">
        <f>'Recurrentes 24-26'!AT32</f>
        <v>0</v>
      </c>
      <c r="AU30" s="1062">
        <f>'Recurrentes 24-26'!AU32</f>
        <v>0</v>
      </c>
      <c r="AV30" s="1063">
        <f>'Recurrentes 24-26'!AV32</f>
        <v>0</v>
      </c>
      <c r="AW30" s="451" t="str">
        <f>'Recurrentes 24-26'!AW32</f>
        <v/>
      </c>
      <c r="AX30" s="1062">
        <f>'Recurrentes 24-26'!AX32</f>
        <v>35.57</v>
      </c>
      <c r="AY30" s="1062">
        <f>'Recurrentes 24-26'!AY32</f>
        <v>247.9229</v>
      </c>
      <c r="AZ30" s="1064" t="str">
        <f>'Recurrentes 24-26'!AZ32</f>
        <v/>
      </c>
      <c r="BA30" s="1064">
        <f>'Recurrentes 24-26'!BA32</f>
        <v>0</v>
      </c>
      <c r="BB30" s="1064">
        <f>'Recurrentes 24-26'!BB32</f>
        <v>0</v>
      </c>
      <c r="BC30" s="1064">
        <f>'Recurrentes 24-26'!BC32</f>
        <v>0</v>
      </c>
      <c r="BD30" s="1064">
        <f>'Recurrentes 24-26'!BD32</f>
        <v>0</v>
      </c>
      <c r="BE30" s="1064">
        <f>'Recurrentes 24-26'!BE32</f>
        <v>0</v>
      </c>
      <c r="BF30" s="1064">
        <f>'Recurrentes 24-26'!BF32</f>
        <v>0</v>
      </c>
      <c r="BG30" s="1064">
        <f>'Recurrentes 24-26'!BG32</f>
        <v>0</v>
      </c>
      <c r="BH30" s="1064">
        <f>'Recurrentes 24-26'!BH32</f>
        <v>0</v>
      </c>
      <c r="BI30" s="1064">
        <f>'Recurrentes 24-26'!BI32</f>
        <v>0</v>
      </c>
      <c r="BJ30" s="1064">
        <f>'Recurrentes 24-26'!BJ32</f>
        <v>0</v>
      </c>
      <c r="BK30" s="451"/>
      <c r="BL30" s="1062">
        <f>'Recurrentes 24-26'!BK32</f>
        <v>0</v>
      </c>
      <c r="BM30" s="1064">
        <f>'Recurrentes 24-26'!BL32</f>
        <v>0</v>
      </c>
      <c r="BN30" s="1064">
        <f>'Recurrentes 24-26'!BM32</f>
        <v>0</v>
      </c>
      <c r="BO30" s="1064">
        <f>'Recurrentes 24-26'!BN32</f>
        <v>0</v>
      </c>
      <c r="BP30" s="1064">
        <f>'Recurrentes 24-26'!BO32</f>
        <v>0</v>
      </c>
      <c r="BQ30" s="1064">
        <f>'Recurrentes 24-26'!BP32</f>
        <v>0</v>
      </c>
      <c r="BR30" s="1064">
        <f>'Recurrentes 24-26'!BQ32</f>
        <v>0</v>
      </c>
      <c r="BS30" s="1064">
        <f>'Recurrentes 24-26'!BR32</f>
        <v>0</v>
      </c>
      <c r="BT30" s="1064">
        <f>'Recurrentes 24-26'!BS32</f>
        <v>0</v>
      </c>
      <c r="BU30" s="1064">
        <f>'Recurrentes 24-26'!BT32</f>
        <v>0</v>
      </c>
      <c r="BV30" s="1064">
        <f>'Recurrentes 24-26'!BU32</f>
        <v>0</v>
      </c>
      <c r="BW30" s="451"/>
      <c r="BX30" s="1062">
        <f>'Recurrentes 24-26'!BV32</f>
        <v>0</v>
      </c>
      <c r="BY30" s="1064">
        <f>'Recurrentes 24-26'!BW32</f>
        <v>0</v>
      </c>
      <c r="BZ30" s="1064">
        <f>'Recurrentes 24-26'!BX32</f>
        <v>0</v>
      </c>
      <c r="CA30" s="1064">
        <f>'Recurrentes 24-26'!BY32</f>
        <v>0</v>
      </c>
      <c r="CB30" s="1064">
        <f>'Recurrentes 24-26'!BZ32</f>
        <v>0</v>
      </c>
      <c r="CC30" s="1064">
        <f>'Recurrentes 24-26'!CA32</f>
        <v>0</v>
      </c>
      <c r="CD30" s="1064">
        <f>'Recurrentes 24-26'!CB32</f>
        <v>0</v>
      </c>
      <c r="CE30" s="1064">
        <f>'Recurrentes 24-26'!CC32</f>
        <v>0</v>
      </c>
      <c r="CF30" s="1064">
        <f>'Recurrentes 24-26'!CD32</f>
        <v>0</v>
      </c>
      <c r="CG30" s="1064">
        <f>'Recurrentes 24-26'!CE32</f>
        <v>0</v>
      </c>
      <c r="CH30" s="1064">
        <f>'Recurrentes 24-26'!CF32</f>
        <v>0</v>
      </c>
      <c r="CI30" s="451"/>
      <c r="CJ30" s="1062">
        <f>'Recurrentes 24-26'!CG32</f>
        <v>0</v>
      </c>
      <c r="CK30" s="1062">
        <f>'Recurrentes 24-26'!CH32</f>
        <v>0</v>
      </c>
      <c r="CL30" s="451" t="str">
        <f>'Recurrentes 24-26'!CI32</f>
        <v/>
      </c>
      <c r="CM30" s="1064" t="str">
        <f>'Recurrentes 24-26'!CJ32</f>
        <v/>
      </c>
      <c r="CN30" s="451">
        <f>'Recurrentes 24-26'!CK32</f>
        <v>1</v>
      </c>
      <c r="CO30" s="451" t="str">
        <f>'Recurrentes 24-26'!CL32</f>
        <v/>
      </c>
      <c r="CP30" s="451" t="str">
        <f>'Recurrentes 24-26'!CM32</f>
        <v/>
      </c>
    </row>
    <row r="31">
      <c r="A31" s="451" t="str">
        <f>'Recurrentes 24-26'!A33</f>
        <v/>
      </c>
      <c r="B31" s="451" t="str">
        <f>'Recurrentes 24-26'!B33</f>
        <v/>
      </c>
      <c r="C31" s="451" t="str">
        <f>'Recurrentes 24-26'!C33</f>
        <v/>
      </c>
      <c r="D31" s="451" t="str">
        <f>'Recurrentes 24-26'!D33</f>
        <v/>
      </c>
      <c r="E31" s="451" t="str">
        <f>'Recurrentes 24-26'!E33</f>
        <v/>
      </c>
      <c r="F31" s="451" t="str">
        <f>'Recurrentes 24-26'!F33</f>
        <v/>
      </c>
      <c r="G31" s="1061" t="str">
        <f>'Recurrentes 24-26'!G33</f>
        <v/>
      </c>
      <c r="H31" s="451" t="str">
        <f>'Recurrentes 24-26'!H33</f>
        <v/>
      </c>
      <c r="I31" s="1061" t="str">
        <f>'Recurrentes 24-26'!I33</f>
        <v/>
      </c>
      <c r="J31" s="1061" t="str">
        <f>'Recurrentes 24-26'!J33</f>
        <v/>
      </c>
      <c r="K31" s="451" t="str">
        <f>'Recurrentes 24-26'!K33</f>
        <v/>
      </c>
      <c r="L31" s="451" t="str">
        <f>'Recurrentes 24-26'!L33</f>
        <v/>
      </c>
      <c r="M31" s="451" t="str">
        <f>'Recurrentes 24-26'!M33</f>
        <v/>
      </c>
      <c r="N31" s="451" t="str">
        <f>'Recurrentes 24-26'!N33</f>
        <v/>
      </c>
      <c r="O31" s="451" t="str">
        <f>'Recurrentes 24-26'!O33</f>
        <v/>
      </c>
      <c r="P31" s="451" t="str">
        <f>'Recurrentes 24-26'!P33</f>
        <v/>
      </c>
      <c r="Q31" s="451" t="str">
        <f>'Recurrentes 24-26'!Q33</f>
        <v/>
      </c>
      <c r="R31" s="451" t="str">
        <f>'Recurrentes 24-26'!R33</f>
        <v/>
      </c>
      <c r="S31" s="451" t="str">
        <f>'Recurrentes 24-26'!S33</f>
        <v/>
      </c>
      <c r="T31" s="451" t="str">
        <f>'Recurrentes 24-26'!T33</f>
        <v/>
      </c>
      <c r="U31" s="451" t="str">
        <f>'Recurrentes 24-26'!U33</f>
        <v/>
      </c>
      <c r="V31" s="451" t="str">
        <f>'Recurrentes 24-26'!V33</f>
        <v/>
      </c>
      <c r="W31" s="451" t="str">
        <f>'Recurrentes 24-26'!W33</f>
        <v/>
      </c>
      <c r="X31" s="451" t="str">
        <f>'Recurrentes 24-26'!X33</f>
        <v/>
      </c>
      <c r="Y31" s="451" t="str">
        <f>'Recurrentes 24-26'!Y33</f>
        <v/>
      </c>
      <c r="Z31" s="451" t="str">
        <f>'Recurrentes 24-26'!Z33</f>
        <v/>
      </c>
      <c r="AA31" s="451" t="str">
        <f>'Recurrentes 24-26'!AA33</f>
        <v/>
      </c>
      <c r="AB31" s="451" t="str">
        <f>'Recurrentes 24-26'!AB33</f>
        <v/>
      </c>
      <c r="AC31" s="451" t="str">
        <f>'Recurrentes 24-26'!AC33</f>
        <v/>
      </c>
      <c r="AD31" s="451" t="str">
        <f>'Recurrentes 24-26'!AD33</f>
        <v/>
      </c>
      <c r="AE31" s="451" t="str">
        <f>'Recurrentes 24-26'!AE33</f>
        <v/>
      </c>
      <c r="AF31" s="451" t="str">
        <f>'Recurrentes 24-26'!AF33</f>
        <v/>
      </c>
      <c r="AG31" s="451" t="str">
        <f>'Recurrentes 24-26'!AG33</f>
        <v/>
      </c>
      <c r="AH31" s="451" t="str">
        <f>'Recurrentes 24-26'!AH33</f>
        <v/>
      </c>
      <c r="AI31" s="451" t="str">
        <f>'Recurrentes 24-26'!AI33</f>
        <v/>
      </c>
      <c r="AJ31" s="451" t="str">
        <f>'Recurrentes 24-26'!AJ33</f>
        <v/>
      </c>
      <c r="AK31" s="451" t="str">
        <f>'Recurrentes 24-26'!AK33</f>
        <v/>
      </c>
      <c r="AL31" s="451" t="str">
        <f>'Recurrentes 24-26'!AL33</f>
        <v/>
      </c>
      <c r="AM31" s="451" t="str">
        <f>'Recurrentes 24-26'!AM33</f>
        <v/>
      </c>
      <c r="AN31" s="451" t="str">
        <f>'Recurrentes 24-26'!AN33</f>
        <v/>
      </c>
      <c r="AO31" s="451" t="str">
        <f>'Recurrentes 24-26'!AO33</f>
        <v/>
      </c>
      <c r="AP31" s="451" t="str">
        <f>'Recurrentes 24-26'!AP33</f>
        <v/>
      </c>
      <c r="AQ31" s="451" t="str">
        <f>'Recurrentes 24-26'!AQ33</f>
        <v/>
      </c>
      <c r="AR31" s="451" t="str">
        <f>'Recurrentes 24-26'!AR33</f>
        <v/>
      </c>
      <c r="AS31" s="451" t="str">
        <f>'Recurrentes 24-26'!AS33</f>
        <v/>
      </c>
      <c r="AT31" s="451" t="str">
        <f>'Recurrentes 24-26'!AT33</f>
        <v/>
      </c>
      <c r="AU31" s="451" t="str">
        <f>'Recurrentes 24-26'!AU33</f>
        <v/>
      </c>
      <c r="AV31" s="1063" t="str">
        <f>'Recurrentes 24-26'!AV33</f>
        <v/>
      </c>
      <c r="AW31" s="451" t="str">
        <f>'Recurrentes 24-26'!AW33</f>
        <v/>
      </c>
      <c r="AX31" s="451" t="str">
        <f>'Recurrentes 24-26'!AX33</f>
        <v/>
      </c>
      <c r="AY31" s="451" t="str">
        <f>'Recurrentes 24-26'!AY33</f>
        <v/>
      </c>
      <c r="AZ31" s="1064" t="str">
        <f>'Recurrentes 24-26'!AZ33</f>
        <v/>
      </c>
      <c r="BA31" s="1064" t="str">
        <f>'Recurrentes 24-26'!BA33</f>
        <v/>
      </c>
      <c r="BB31" s="1064" t="str">
        <f>'Recurrentes 24-26'!BB33</f>
        <v/>
      </c>
      <c r="BC31" s="1064" t="str">
        <f>'Recurrentes 24-26'!BC33</f>
        <v/>
      </c>
      <c r="BD31" s="1064" t="str">
        <f>'Recurrentes 24-26'!BD33</f>
        <v/>
      </c>
      <c r="BE31" s="1064" t="str">
        <f>'Recurrentes 24-26'!BE33</f>
        <v/>
      </c>
      <c r="BF31" s="1064" t="str">
        <f>'Recurrentes 24-26'!BF33</f>
        <v/>
      </c>
      <c r="BG31" s="1064" t="str">
        <f>'Recurrentes 24-26'!BG33</f>
        <v/>
      </c>
      <c r="BH31" s="1064" t="str">
        <f>'Recurrentes 24-26'!BH33</f>
        <v/>
      </c>
      <c r="BI31" s="1064" t="str">
        <f>'Recurrentes 24-26'!BI33</f>
        <v/>
      </c>
      <c r="BJ31" s="1064" t="str">
        <f>'Recurrentes 24-26'!BJ33</f>
        <v/>
      </c>
      <c r="BK31" s="451"/>
      <c r="BL31" s="1064" t="str">
        <f>'Recurrentes 24-26'!BK33</f>
        <v/>
      </c>
      <c r="BM31" s="1064" t="str">
        <f>'Recurrentes 24-26'!BL33</f>
        <v/>
      </c>
      <c r="BN31" s="1064" t="str">
        <f>'Recurrentes 24-26'!BM33</f>
        <v/>
      </c>
      <c r="BO31" s="1064" t="str">
        <f>'Recurrentes 24-26'!BN33</f>
        <v/>
      </c>
      <c r="BP31" s="1064" t="str">
        <f>'Recurrentes 24-26'!BO33</f>
        <v/>
      </c>
      <c r="BQ31" s="1064" t="str">
        <f>'Recurrentes 24-26'!BP33</f>
        <v/>
      </c>
      <c r="BR31" s="1064" t="str">
        <f>'Recurrentes 24-26'!BQ33</f>
        <v/>
      </c>
      <c r="BS31" s="1064" t="str">
        <f>'Recurrentes 24-26'!BR33</f>
        <v/>
      </c>
      <c r="BT31" s="1064" t="str">
        <f>'Recurrentes 24-26'!BS33</f>
        <v/>
      </c>
      <c r="BU31" s="1064" t="str">
        <f>'Recurrentes 24-26'!BT33</f>
        <v/>
      </c>
      <c r="BV31" s="1064" t="str">
        <f>'Recurrentes 24-26'!BU33</f>
        <v/>
      </c>
      <c r="BW31" s="451"/>
      <c r="BX31" s="1064" t="str">
        <f>'Recurrentes 24-26'!BV33</f>
        <v/>
      </c>
      <c r="BY31" s="1064" t="str">
        <f>'Recurrentes 24-26'!BW33</f>
        <v/>
      </c>
      <c r="BZ31" s="1064" t="str">
        <f>'Recurrentes 24-26'!BX33</f>
        <v/>
      </c>
      <c r="CA31" s="1064" t="str">
        <f>'Recurrentes 24-26'!BY33</f>
        <v/>
      </c>
      <c r="CB31" s="1064" t="str">
        <f>'Recurrentes 24-26'!BZ33</f>
        <v/>
      </c>
      <c r="CC31" s="1064" t="str">
        <f>'Recurrentes 24-26'!CA33</f>
        <v/>
      </c>
      <c r="CD31" s="1064" t="str">
        <f>'Recurrentes 24-26'!CB33</f>
        <v/>
      </c>
      <c r="CE31" s="1064" t="str">
        <f>'Recurrentes 24-26'!CC33</f>
        <v/>
      </c>
      <c r="CF31" s="1064" t="str">
        <f>'Recurrentes 24-26'!CD33</f>
        <v/>
      </c>
      <c r="CG31" s="1064" t="str">
        <f>'Recurrentes 24-26'!CE33</f>
        <v/>
      </c>
      <c r="CH31" s="1064" t="str">
        <f>'Recurrentes 24-26'!CF33</f>
        <v/>
      </c>
      <c r="CI31" s="451"/>
      <c r="CJ31" s="1064" t="str">
        <f>'Recurrentes 24-26'!CG33</f>
        <v/>
      </c>
      <c r="CK31" s="1064" t="str">
        <f>'Recurrentes 24-26'!CH33</f>
        <v/>
      </c>
      <c r="CL31" s="451" t="str">
        <f>'Recurrentes 24-26'!CI33</f>
        <v/>
      </c>
      <c r="CM31" s="1064" t="str">
        <f>'Recurrentes 24-26'!CJ33</f>
        <v/>
      </c>
      <c r="CN31" s="451" t="str">
        <f>'Recurrentes 24-26'!CK33</f>
        <v/>
      </c>
      <c r="CO31" s="451" t="str">
        <f>'Recurrentes 24-26'!CL33</f>
        <v/>
      </c>
      <c r="CP31" s="451" t="str">
        <f>'Recurrentes 24-26'!CM33</f>
        <v/>
      </c>
    </row>
    <row r="32">
      <c r="A32" s="451" t="str">
        <f>'Recurrentes 24-26'!A34</f>
        <v/>
      </c>
      <c r="B32" s="451" t="str">
        <f>'Recurrentes 24-26'!B34</f>
        <v/>
      </c>
      <c r="C32" s="451" t="str">
        <f>'Recurrentes 24-26'!C34</f>
        <v/>
      </c>
      <c r="D32" s="451" t="str">
        <f>'Recurrentes 24-26'!D34</f>
        <v/>
      </c>
      <c r="E32" s="451" t="str">
        <f>'Recurrentes 24-26'!E34</f>
        <v/>
      </c>
      <c r="F32" s="451" t="str">
        <f>'Recurrentes 24-26'!F34</f>
        <v/>
      </c>
      <c r="G32" s="1061" t="str">
        <f>'Recurrentes 24-26'!G34</f>
        <v/>
      </c>
      <c r="H32" s="1061" t="str">
        <f>'Recurrentes 24-26'!H34</f>
        <v/>
      </c>
      <c r="I32" s="1061" t="str">
        <f>'Recurrentes 24-26'!I34</f>
        <v/>
      </c>
      <c r="J32" s="1061" t="str">
        <f>'Recurrentes 24-26'!J34</f>
        <v/>
      </c>
      <c r="K32" s="451" t="str">
        <f>'Recurrentes 24-26'!K34</f>
        <v/>
      </c>
      <c r="L32" s="1067" t="str">
        <f>'Recurrentes 24-26'!L34</f>
        <v/>
      </c>
      <c r="M32" s="1067" t="str">
        <f>'Recurrentes 24-26'!M34</f>
        <v/>
      </c>
      <c r="N32" s="1067" t="str">
        <f>'Recurrentes 24-26'!N34</f>
        <v/>
      </c>
      <c r="O32" s="1067" t="str">
        <f>'Recurrentes 24-26'!O34</f>
        <v/>
      </c>
      <c r="P32" s="1067" t="str">
        <f>'Recurrentes 24-26'!P34</f>
        <v/>
      </c>
      <c r="Q32" s="1067" t="str">
        <f>'Recurrentes 24-26'!Q34</f>
        <v/>
      </c>
      <c r="R32" s="1067" t="str">
        <f>'Recurrentes 24-26'!R34</f>
        <v/>
      </c>
      <c r="S32" s="1067" t="str">
        <f>'Recurrentes 24-26'!S34</f>
        <v/>
      </c>
      <c r="T32" s="1067" t="str">
        <f>'Recurrentes 24-26'!T34</f>
        <v/>
      </c>
      <c r="U32" s="451" t="str">
        <f>'Recurrentes 24-26'!U34</f>
        <v/>
      </c>
      <c r="V32" s="451" t="str">
        <f>'Recurrentes 24-26'!V34</f>
        <v/>
      </c>
      <c r="W32" s="1062" t="str">
        <f>'Recurrentes 24-26'!W34</f>
        <v/>
      </c>
      <c r="X32" s="1067" t="str">
        <f>'Recurrentes 24-26'!X34</f>
        <v/>
      </c>
      <c r="Y32" s="1067" t="str">
        <f>'Recurrentes 24-26'!Y34</f>
        <v/>
      </c>
      <c r="Z32" s="1067" t="str">
        <f>'Recurrentes 24-26'!Z34</f>
        <v/>
      </c>
      <c r="AA32" s="1067" t="str">
        <f>'Recurrentes 24-26'!AA34</f>
        <v/>
      </c>
      <c r="AB32" s="1067" t="str">
        <f>'Recurrentes 24-26'!AB34</f>
        <v/>
      </c>
      <c r="AC32" s="1067" t="str">
        <f>'Recurrentes 24-26'!AC34</f>
        <v/>
      </c>
      <c r="AD32" s="1067" t="str">
        <f>'Recurrentes 24-26'!AD34</f>
        <v/>
      </c>
      <c r="AE32" s="1067" t="str">
        <f>'Recurrentes 24-26'!AE34</f>
        <v/>
      </c>
      <c r="AF32" s="1067" t="str">
        <f>'Recurrentes 24-26'!AF34</f>
        <v/>
      </c>
      <c r="AG32" s="451" t="str">
        <f>'Recurrentes 24-26'!AG34</f>
        <v/>
      </c>
      <c r="AH32" s="451" t="str">
        <f>'Recurrentes 24-26'!AH34</f>
        <v/>
      </c>
      <c r="AI32" s="1062" t="str">
        <f>'Recurrentes 24-26'!AI34</f>
        <v/>
      </c>
      <c r="AJ32" s="1067" t="str">
        <f>'Recurrentes 24-26'!AJ34</f>
        <v/>
      </c>
      <c r="AK32" s="1067" t="str">
        <f>'Recurrentes 24-26'!AK34</f>
        <v/>
      </c>
      <c r="AL32" s="1067" t="str">
        <f>'Recurrentes 24-26'!AL34</f>
        <v/>
      </c>
      <c r="AM32" s="1067" t="str">
        <f>'Recurrentes 24-26'!AM34</f>
        <v/>
      </c>
      <c r="AN32" s="1067" t="str">
        <f>'Recurrentes 24-26'!AN34</f>
        <v/>
      </c>
      <c r="AO32" s="1067" t="str">
        <f>'Recurrentes 24-26'!AO34</f>
        <v/>
      </c>
      <c r="AP32" s="1067" t="str">
        <f>'Recurrentes 24-26'!AP34</f>
        <v/>
      </c>
      <c r="AQ32" s="1067" t="str">
        <f>'Recurrentes 24-26'!AQ34</f>
        <v/>
      </c>
      <c r="AR32" s="1067" t="str">
        <f>'Recurrentes 24-26'!AR34</f>
        <v/>
      </c>
      <c r="AS32" s="451" t="str">
        <f>'Recurrentes 24-26'!AS34</f>
        <v/>
      </c>
      <c r="AT32" s="451" t="str">
        <f>'Recurrentes 24-26'!AT34</f>
        <v/>
      </c>
      <c r="AU32" s="1062" t="str">
        <f>'Recurrentes 24-26'!AU34</f>
        <v/>
      </c>
      <c r="AV32" s="1063" t="str">
        <f>'Recurrentes 24-26'!AV34</f>
        <v/>
      </c>
      <c r="AW32" s="451" t="str">
        <f>'Recurrentes 24-26'!AW34</f>
        <v/>
      </c>
      <c r="AX32" s="1062" t="str">
        <f>'Recurrentes 24-26'!AX34</f>
        <v/>
      </c>
      <c r="AY32" s="1062" t="str">
        <f>'Recurrentes 24-26'!AY34</f>
        <v/>
      </c>
      <c r="AZ32" s="1064" t="str">
        <f>'Recurrentes 24-26'!AZ34</f>
        <v/>
      </c>
      <c r="BA32" s="1064" t="str">
        <f>'Recurrentes 24-26'!BA34</f>
        <v/>
      </c>
      <c r="BB32" s="1064" t="str">
        <f>'Recurrentes 24-26'!BB34</f>
        <v/>
      </c>
      <c r="BC32" s="1064" t="str">
        <f>'Recurrentes 24-26'!BC34</f>
        <v/>
      </c>
      <c r="BD32" s="1064" t="str">
        <f>'Recurrentes 24-26'!BD34</f>
        <v/>
      </c>
      <c r="BE32" s="1064" t="str">
        <f>'Recurrentes 24-26'!BE34</f>
        <v/>
      </c>
      <c r="BF32" s="1064" t="str">
        <f>'Recurrentes 24-26'!BF34</f>
        <v/>
      </c>
      <c r="BG32" s="1064" t="str">
        <f>'Recurrentes 24-26'!BG34</f>
        <v/>
      </c>
      <c r="BH32" s="1064" t="str">
        <f>'Recurrentes 24-26'!BH34</f>
        <v/>
      </c>
      <c r="BI32" s="1064" t="str">
        <f>'Recurrentes 24-26'!BI34</f>
        <v/>
      </c>
      <c r="BJ32" s="1064" t="str">
        <f>'Recurrentes 24-26'!BJ34</f>
        <v/>
      </c>
      <c r="BK32" s="451"/>
      <c r="BL32" s="1062" t="str">
        <f>'Recurrentes 24-26'!BK34</f>
        <v/>
      </c>
      <c r="BM32" s="1064" t="str">
        <f>'Recurrentes 24-26'!BL34</f>
        <v/>
      </c>
      <c r="BN32" s="1064" t="str">
        <f>'Recurrentes 24-26'!BM34</f>
        <v/>
      </c>
      <c r="BO32" s="1064" t="str">
        <f>'Recurrentes 24-26'!BN34</f>
        <v/>
      </c>
      <c r="BP32" s="1064" t="str">
        <f>'Recurrentes 24-26'!BO34</f>
        <v/>
      </c>
      <c r="BQ32" s="1064" t="str">
        <f>'Recurrentes 24-26'!BP34</f>
        <v/>
      </c>
      <c r="BR32" s="1064" t="str">
        <f>'Recurrentes 24-26'!BQ34</f>
        <v/>
      </c>
      <c r="BS32" s="1064" t="str">
        <f>'Recurrentes 24-26'!BR34</f>
        <v/>
      </c>
      <c r="BT32" s="1064" t="str">
        <f>'Recurrentes 24-26'!BS34</f>
        <v/>
      </c>
      <c r="BU32" s="1064" t="str">
        <f>'Recurrentes 24-26'!BT34</f>
        <v/>
      </c>
      <c r="BV32" s="1064" t="str">
        <f>'Recurrentes 24-26'!BU34</f>
        <v/>
      </c>
      <c r="BW32" s="451"/>
      <c r="BX32" s="1062" t="str">
        <f>'Recurrentes 24-26'!BV34</f>
        <v/>
      </c>
      <c r="BY32" s="1064" t="str">
        <f>'Recurrentes 24-26'!BW34</f>
        <v/>
      </c>
      <c r="BZ32" s="1064" t="str">
        <f>'Recurrentes 24-26'!BX34</f>
        <v/>
      </c>
      <c r="CA32" s="1064" t="str">
        <f>'Recurrentes 24-26'!BY34</f>
        <v/>
      </c>
      <c r="CB32" s="1064" t="str">
        <f>'Recurrentes 24-26'!BZ34</f>
        <v/>
      </c>
      <c r="CC32" s="1064" t="str">
        <f>'Recurrentes 24-26'!CA34</f>
        <v/>
      </c>
      <c r="CD32" s="1064" t="str">
        <f>'Recurrentes 24-26'!CB34</f>
        <v/>
      </c>
      <c r="CE32" s="1064" t="str">
        <f>'Recurrentes 24-26'!CC34</f>
        <v/>
      </c>
      <c r="CF32" s="1064" t="str">
        <f>'Recurrentes 24-26'!CD34</f>
        <v/>
      </c>
      <c r="CG32" s="1064" t="str">
        <f>'Recurrentes 24-26'!CE34</f>
        <v/>
      </c>
      <c r="CH32" s="1064" t="str">
        <f>'Recurrentes 24-26'!CF34</f>
        <v/>
      </c>
      <c r="CI32" s="451"/>
      <c r="CJ32" s="1062" t="str">
        <f>'Recurrentes 24-26'!CG34</f>
        <v/>
      </c>
      <c r="CK32" s="1062" t="str">
        <f>'Recurrentes 24-26'!CH34</f>
        <v/>
      </c>
      <c r="CL32" s="451" t="str">
        <f>'Recurrentes 24-26'!CI34</f>
        <v/>
      </c>
      <c r="CM32" s="1064" t="str">
        <f>'Recurrentes 24-26'!CJ34</f>
        <v/>
      </c>
      <c r="CN32" s="451" t="str">
        <f>'Recurrentes 24-26'!CK34</f>
        <v/>
      </c>
      <c r="CO32" s="451" t="str">
        <f>'Recurrentes 24-26'!CL34</f>
        <v/>
      </c>
      <c r="CP32" s="451" t="str">
        <f>'Recurrentes 24-26'!CM34</f>
        <v/>
      </c>
    </row>
    <row r="33">
      <c r="A33" s="451" t="str">
        <f>'Recurrentes 24-26'!A35</f>
        <v/>
      </c>
      <c r="B33" s="451" t="str">
        <f>'Recurrentes 24-26'!B35</f>
        <v/>
      </c>
      <c r="C33" s="451" t="str">
        <f>'Recurrentes 24-26'!C35</f>
        <v/>
      </c>
      <c r="D33" s="451" t="str">
        <f>'Recurrentes 24-26'!D35</f>
        <v/>
      </c>
      <c r="E33" s="451" t="str">
        <f>'Recurrentes 24-26'!E35</f>
        <v/>
      </c>
      <c r="F33" s="451" t="str">
        <f>'Recurrentes 24-26'!F35</f>
        <v/>
      </c>
      <c r="G33" s="1061" t="str">
        <f>'Recurrentes 24-26'!G35</f>
        <v/>
      </c>
      <c r="H33" s="1061" t="str">
        <f>'Recurrentes 24-26'!H35</f>
        <v/>
      </c>
      <c r="I33" s="1061" t="str">
        <f>'Recurrentes 24-26'!I35</f>
        <v/>
      </c>
      <c r="J33" s="1061" t="str">
        <f>'Recurrentes 24-26'!J35</f>
        <v/>
      </c>
      <c r="K33" s="451" t="str">
        <f>'Recurrentes 24-26'!K35</f>
        <v/>
      </c>
      <c r="L33" s="451" t="str">
        <f>'Recurrentes 24-26'!L35</f>
        <v/>
      </c>
      <c r="M33" s="451" t="str">
        <f>'Recurrentes 24-26'!M35</f>
        <v/>
      </c>
      <c r="N33" s="451" t="str">
        <f>'Recurrentes 24-26'!N35</f>
        <v/>
      </c>
      <c r="O33" s="451" t="str">
        <f>'Recurrentes 24-26'!O35</f>
        <v/>
      </c>
      <c r="P33" s="451" t="str">
        <f>'Recurrentes 24-26'!P35</f>
        <v/>
      </c>
      <c r="Q33" s="451" t="str">
        <f>'Recurrentes 24-26'!Q35</f>
        <v/>
      </c>
      <c r="R33" s="451" t="str">
        <f>'Recurrentes 24-26'!R35</f>
        <v/>
      </c>
      <c r="S33" s="451" t="str">
        <f>'Recurrentes 24-26'!S35</f>
        <v/>
      </c>
      <c r="T33" s="451" t="str">
        <f>'Recurrentes 24-26'!T35</f>
        <v/>
      </c>
      <c r="U33" s="451" t="str">
        <f>'Recurrentes 24-26'!U35</f>
        <v/>
      </c>
      <c r="V33" s="451" t="str">
        <f>'Recurrentes 24-26'!V35</f>
        <v/>
      </c>
      <c r="W33" s="1062" t="str">
        <f>'Recurrentes 24-26'!W35</f>
        <v/>
      </c>
      <c r="X33" s="451" t="str">
        <f>'Recurrentes 24-26'!X35</f>
        <v/>
      </c>
      <c r="Y33" s="451" t="str">
        <f>'Recurrentes 24-26'!Y35</f>
        <v/>
      </c>
      <c r="Z33" s="451" t="str">
        <f>'Recurrentes 24-26'!Z35</f>
        <v/>
      </c>
      <c r="AA33" s="451" t="str">
        <f>'Recurrentes 24-26'!AA35</f>
        <v/>
      </c>
      <c r="AB33" s="451" t="str">
        <f>'Recurrentes 24-26'!AB35</f>
        <v/>
      </c>
      <c r="AC33" s="451" t="str">
        <f>'Recurrentes 24-26'!AC35</f>
        <v/>
      </c>
      <c r="AD33" s="451" t="str">
        <f>'Recurrentes 24-26'!AD35</f>
        <v/>
      </c>
      <c r="AE33" s="451" t="str">
        <f>'Recurrentes 24-26'!AE35</f>
        <v/>
      </c>
      <c r="AF33" s="451" t="str">
        <f>'Recurrentes 24-26'!AF35</f>
        <v/>
      </c>
      <c r="AG33" s="451" t="str">
        <f>'Recurrentes 24-26'!AG35</f>
        <v/>
      </c>
      <c r="AH33" s="451" t="str">
        <f>'Recurrentes 24-26'!AH35</f>
        <v/>
      </c>
      <c r="AI33" s="1062" t="str">
        <f>'Recurrentes 24-26'!AI35</f>
        <v/>
      </c>
      <c r="AJ33" s="451" t="str">
        <f>'Recurrentes 24-26'!AJ35</f>
        <v/>
      </c>
      <c r="AK33" s="451" t="str">
        <f>'Recurrentes 24-26'!AK35</f>
        <v/>
      </c>
      <c r="AL33" s="451" t="str">
        <f>'Recurrentes 24-26'!AL35</f>
        <v/>
      </c>
      <c r="AM33" s="451" t="str">
        <f>'Recurrentes 24-26'!AM35</f>
        <v/>
      </c>
      <c r="AN33" s="451" t="str">
        <f>'Recurrentes 24-26'!AN35</f>
        <v/>
      </c>
      <c r="AO33" s="451" t="str">
        <f>'Recurrentes 24-26'!AO35</f>
        <v/>
      </c>
      <c r="AP33" s="451" t="str">
        <f>'Recurrentes 24-26'!AP35</f>
        <v/>
      </c>
      <c r="AQ33" s="451" t="str">
        <f>'Recurrentes 24-26'!AQ35</f>
        <v/>
      </c>
      <c r="AR33" s="451" t="str">
        <f>'Recurrentes 24-26'!AR35</f>
        <v/>
      </c>
      <c r="AS33" s="451" t="str">
        <f>'Recurrentes 24-26'!AS35</f>
        <v/>
      </c>
      <c r="AT33" s="451" t="str">
        <f>'Recurrentes 24-26'!AT35</f>
        <v/>
      </c>
      <c r="AU33" s="1062" t="str">
        <f>'Recurrentes 24-26'!AU35</f>
        <v/>
      </c>
      <c r="AV33" s="1063" t="str">
        <f>'Recurrentes 24-26'!AV35</f>
        <v/>
      </c>
      <c r="AW33" s="451" t="str">
        <f>'Recurrentes 24-26'!AW35</f>
        <v/>
      </c>
      <c r="AX33" s="1062" t="str">
        <f>'Recurrentes 24-26'!AX35</f>
        <v/>
      </c>
      <c r="AY33" s="1062" t="str">
        <f>'Recurrentes 24-26'!AY35</f>
        <v/>
      </c>
      <c r="AZ33" s="1064" t="str">
        <f>'Recurrentes 24-26'!AZ35</f>
        <v/>
      </c>
      <c r="BA33" s="1064" t="str">
        <f>'Recurrentes 24-26'!BA35</f>
        <v/>
      </c>
      <c r="BB33" s="1064" t="str">
        <f>'Recurrentes 24-26'!BB35</f>
        <v/>
      </c>
      <c r="BC33" s="1064" t="str">
        <f>'Recurrentes 24-26'!BC35</f>
        <v/>
      </c>
      <c r="BD33" s="1064" t="str">
        <f>'Recurrentes 24-26'!BD35</f>
        <v/>
      </c>
      <c r="BE33" s="1064" t="str">
        <f>'Recurrentes 24-26'!BE35</f>
        <v/>
      </c>
      <c r="BF33" s="1064" t="str">
        <f>'Recurrentes 24-26'!BF35</f>
        <v/>
      </c>
      <c r="BG33" s="1064" t="str">
        <f>'Recurrentes 24-26'!BG35</f>
        <v/>
      </c>
      <c r="BH33" s="1064" t="str">
        <f>'Recurrentes 24-26'!BH35</f>
        <v/>
      </c>
      <c r="BI33" s="1064" t="str">
        <f>'Recurrentes 24-26'!BI35</f>
        <v/>
      </c>
      <c r="BJ33" s="1064" t="str">
        <f>'Recurrentes 24-26'!BJ35</f>
        <v/>
      </c>
      <c r="BK33" s="451"/>
      <c r="BL33" s="1062" t="str">
        <f>'Recurrentes 24-26'!BK35</f>
        <v/>
      </c>
      <c r="BM33" s="1064" t="str">
        <f>'Recurrentes 24-26'!BL35</f>
        <v/>
      </c>
      <c r="BN33" s="1064" t="str">
        <f>'Recurrentes 24-26'!BM35</f>
        <v/>
      </c>
      <c r="BO33" s="1064" t="str">
        <f>'Recurrentes 24-26'!BN35</f>
        <v/>
      </c>
      <c r="BP33" s="1064" t="str">
        <f>'Recurrentes 24-26'!BO35</f>
        <v/>
      </c>
      <c r="BQ33" s="1064" t="str">
        <f>'Recurrentes 24-26'!BP35</f>
        <v/>
      </c>
      <c r="BR33" s="1064" t="str">
        <f>'Recurrentes 24-26'!BQ35</f>
        <v/>
      </c>
      <c r="BS33" s="1064" t="str">
        <f>'Recurrentes 24-26'!BR35</f>
        <v/>
      </c>
      <c r="BT33" s="1064" t="str">
        <f>'Recurrentes 24-26'!BS35</f>
        <v/>
      </c>
      <c r="BU33" s="1064" t="str">
        <f>'Recurrentes 24-26'!BT35</f>
        <v/>
      </c>
      <c r="BV33" s="1064" t="str">
        <f>'Recurrentes 24-26'!BU35</f>
        <v/>
      </c>
      <c r="BW33" s="451"/>
      <c r="BX33" s="1062" t="str">
        <f>'Recurrentes 24-26'!BV35</f>
        <v/>
      </c>
      <c r="BY33" s="1064" t="str">
        <f>'Recurrentes 24-26'!BW35</f>
        <v/>
      </c>
      <c r="BZ33" s="1064" t="str">
        <f>'Recurrentes 24-26'!BX35</f>
        <v/>
      </c>
      <c r="CA33" s="1064" t="str">
        <f>'Recurrentes 24-26'!BY35</f>
        <v/>
      </c>
      <c r="CB33" s="1064" t="str">
        <f>'Recurrentes 24-26'!BZ35</f>
        <v/>
      </c>
      <c r="CC33" s="1064" t="str">
        <f>'Recurrentes 24-26'!CA35</f>
        <v/>
      </c>
      <c r="CD33" s="1064" t="str">
        <f>'Recurrentes 24-26'!CB35</f>
        <v/>
      </c>
      <c r="CE33" s="1064" t="str">
        <f>'Recurrentes 24-26'!CC35</f>
        <v/>
      </c>
      <c r="CF33" s="1064" t="str">
        <f>'Recurrentes 24-26'!CD35</f>
        <v/>
      </c>
      <c r="CG33" s="1064" t="str">
        <f>'Recurrentes 24-26'!CE35</f>
        <v/>
      </c>
      <c r="CH33" s="1064" t="str">
        <f>'Recurrentes 24-26'!CF35</f>
        <v/>
      </c>
      <c r="CI33" s="451"/>
      <c r="CJ33" s="1062" t="str">
        <f>'Recurrentes 24-26'!CG35</f>
        <v/>
      </c>
      <c r="CK33" s="1062" t="str">
        <f>'Recurrentes 24-26'!CH35</f>
        <v/>
      </c>
      <c r="CL33" s="451" t="str">
        <f>'Recurrentes 24-26'!CI35</f>
        <v/>
      </c>
      <c r="CM33" s="1064" t="str">
        <f>'Recurrentes 24-26'!CJ35</f>
        <v/>
      </c>
      <c r="CN33" s="451" t="str">
        <f>'Recurrentes 24-26'!CK35</f>
        <v/>
      </c>
      <c r="CO33" s="451" t="str">
        <f>'Recurrentes 24-26'!CL35</f>
        <v/>
      </c>
      <c r="CP33" s="451" t="str">
        <f>'Recurrentes 24-26'!CM35</f>
        <v/>
      </c>
    </row>
    <row r="34">
      <c r="A34" s="451" t="str">
        <f>'Recurrentes 24-26'!A36</f>
        <v/>
      </c>
      <c r="B34" s="451" t="str">
        <f>'Recurrentes 24-26'!B36</f>
        <v/>
      </c>
      <c r="C34" s="451" t="str">
        <f>'Recurrentes 24-26'!C36</f>
        <v/>
      </c>
      <c r="D34" s="451" t="str">
        <f>'Recurrentes 24-26'!D36</f>
        <v/>
      </c>
      <c r="E34" s="451" t="str">
        <f>'Recurrentes 24-26'!E36</f>
        <v/>
      </c>
      <c r="F34" s="451" t="str">
        <f>'Recurrentes 24-26'!F36</f>
        <v/>
      </c>
      <c r="G34" s="1061" t="str">
        <f>'Recurrentes 24-26'!G36</f>
        <v/>
      </c>
      <c r="H34" s="451" t="str">
        <f>'Recurrentes 24-26'!H36</f>
        <v/>
      </c>
      <c r="I34" s="1061" t="str">
        <f>'Recurrentes 24-26'!I36</f>
        <v/>
      </c>
      <c r="J34" s="1061" t="str">
        <f>'Recurrentes 24-26'!J36</f>
        <v/>
      </c>
      <c r="K34" s="451" t="str">
        <f>'Recurrentes 24-26'!K36</f>
        <v/>
      </c>
      <c r="L34" s="451" t="str">
        <f>'Recurrentes 24-26'!L36</f>
        <v/>
      </c>
      <c r="M34" s="451" t="str">
        <f>'Recurrentes 24-26'!M36</f>
        <v/>
      </c>
      <c r="N34" s="451" t="str">
        <f>'Recurrentes 24-26'!N36</f>
        <v/>
      </c>
      <c r="O34" s="451" t="str">
        <f>'Recurrentes 24-26'!O36</f>
        <v/>
      </c>
      <c r="P34" s="451" t="str">
        <f>'Recurrentes 24-26'!P36</f>
        <v/>
      </c>
      <c r="Q34" s="451" t="str">
        <f>'Recurrentes 24-26'!Q36</f>
        <v/>
      </c>
      <c r="R34" s="451" t="str">
        <f>'Recurrentes 24-26'!R36</f>
        <v/>
      </c>
      <c r="S34" s="451" t="str">
        <f>'Recurrentes 24-26'!S36</f>
        <v/>
      </c>
      <c r="T34" s="451" t="str">
        <f>'Recurrentes 24-26'!T36</f>
        <v/>
      </c>
      <c r="U34" s="451" t="str">
        <f>'Recurrentes 24-26'!U36</f>
        <v/>
      </c>
      <c r="V34" s="451" t="str">
        <f>'Recurrentes 24-26'!V36</f>
        <v/>
      </c>
      <c r="W34" s="451" t="str">
        <f>'Recurrentes 24-26'!W36</f>
        <v/>
      </c>
      <c r="X34" s="451" t="str">
        <f>'Recurrentes 24-26'!X36</f>
        <v/>
      </c>
      <c r="Y34" s="451" t="str">
        <f>'Recurrentes 24-26'!Y36</f>
        <v/>
      </c>
      <c r="Z34" s="451" t="str">
        <f>'Recurrentes 24-26'!Z36</f>
        <v/>
      </c>
      <c r="AA34" s="451" t="str">
        <f>'Recurrentes 24-26'!AA36</f>
        <v/>
      </c>
      <c r="AB34" s="451" t="str">
        <f>'Recurrentes 24-26'!AB36</f>
        <v/>
      </c>
      <c r="AC34" s="451" t="str">
        <f>'Recurrentes 24-26'!AC36</f>
        <v/>
      </c>
      <c r="AD34" s="451" t="str">
        <f>'Recurrentes 24-26'!AD36</f>
        <v/>
      </c>
      <c r="AE34" s="451" t="str">
        <f>'Recurrentes 24-26'!AE36</f>
        <v/>
      </c>
      <c r="AF34" s="451" t="str">
        <f>'Recurrentes 24-26'!AF36</f>
        <v/>
      </c>
      <c r="AG34" s="451" t="str">
        <f>'Recurrentes 24-26'!AG36</f>
        <v/>
      </c>
      <c r="AH34" s="451" t="str">
        <f>'Recurrentes 24-26'!AH36</f>
        <v/>
      </c>
      <c r="AI34" s="451" t="str">
        <f>'Recurrentes 24-26'!AI36</f>
        <v/>
      </c>
      <c r="AJ34" s="451" t="str">
        <f>'Recurrentes 24-26'!AJ36</f>
        <v/>
      </c>
      <c r="AK34" s="451" t="str">
        <f>'Recurrentes 24-26'!AK36</f>
        <v/>
      </c>
      <c r="AL34" s="451" t="str">
        <f>'Recurrentes 24-26'!AL36</f>
        <v/>
      </c>
      <c r="AM34" s="451" t="str">
        <f>'Recurrentes 24-26'!AM36</f>
        <v/>
      </c>
      <c r="AN34" s="451" t="str">
        <f>'Recurrentes 24-26'!AN36</f>
        <v/>
      </c>
      <c r="AO34" s="451" t="str">
        <f>'Recurrentes 24-26'!AO36</f>
        <v/>
      </c>
      <c r="AP34" s="451" t="str">
        <f>'Recurrentes 24-26'!AP36</f>
        <v/>
      </c>
      <c r="AQ34" s="451" t="str">
        <f>'Recurrentes 24-26'!AQ36</f>
        <v/>
      </c>
      <c r="AR34" s="451" t="str">
        <f>'Recurrentes 24-26'!AR36</f>
        <v/>
      </c>
      <c r="AS34" s="451" t="str">
        <f>'Recurrentes 24-26'!AS36</f>
        <v/>
      </c>
      <c r="AT34" s="451" t="str">
        <f>'Recurrentes 24-26'!AT36</f>
        <v/>
      </c>
      <c r="AU34" s="451" t="str">
        <f>'Recurrentes 24-26'!AU36</f>
        <v/>
      </c>
      <c r="AV34" s="1063" t="str">
        <f>'Recurrentes 24-26'!AV36</f>
        <v/>
      </c>
      <c r="AW34" s="451" t="str">
        <f>'Recurrentes 24-26'!AW36</f>
        <v/>
      </c>
      <c r="AX34" s="451" t="str">
        <f>'Recurrentes 24-26'!AX36</f>
        <v/>
      </c>
      <c r="AY34" s="451" t="str">
        <f>'Recurrentes 24-26'!AY36</f>
        <v/>
      </c>
      <c r="AZ34" s="1064" t="str">
        <f>'Recurrentes 24-26'!AZ36</f>
        <v/>
      </c>
      <c r="BA34" s="1064" t="str">
        <f>'Recurrentes 24-26'!BA36</f>
        <v/>
      </c>
      <c r="BB34" s="1064" t="str">
        <f>'Recurrentes 24-26'!BB36</f>
        <v/>
      </c>
      <c r="BC34" s="1064" t="str">
        <f>'Recurrentes 24-26'!BC36</f>
        <v/>
      </c>
      <c r="BD34" s="1064" t="str">
        <f>'Recurrentes 24-26'!BD36</f>
        <v/>
      </c>
      <c r="BE34" s="1064" t="str">
        <f>'Recurrentes 24-26'!BE36</f>
        <v/>
      </c>
      <c r="BF34" s="1064" t="str">
        <f>'Recurrentes 24-26'!BF36</f>
        <v/>
      </c>
      <c r="BG34" s="1064" t="str">
        <f>'Recurrentes 24-26'!BG36</f>
        <v/>
      </c>
      <c r="BH34" s="1064" t="str">
        <f>'Recurrentes 24-26'!BH36</f>
        <v/>
      </c>
      <c r="BI34" s="1064" t="str">
        <f>'Recurrentes 24-26'!BI36</f>
        <v/>
      </c>
      <c r="BJ34" s="1064" t="str">
        <f>'Recurrentes 24-26'!BJ36</f>
        <v/>
      </c>
      <c r="BK34" s="451"/>
      <c r="BL34" s="1064" t="str">
        <f>'Recurrentes 24-26'!BK36</f>
        <v/>
      </c>
      <c r="BM34" s="1064" t="str">
        <f>'Recurrentes 24-26'!BL36</f>
        <v/>
      </c>
      <c r="BN34" s="1064" t="str">
        <f>'Recurrentes 24-26'!BM36</f>
        <v/>
      </c>
      <c r="BO34" s="1064" t="str">
        <f>'Recurrentes 24-26'!BN36</f>
        <v/>
      </c>
      <c r="BP34" s="1064" t="str">
        <f>'Recurrentes 24-26'!BO36</f>
        <v/>
      </c>
      <c r="BQ34" s="1064" t="str">
        <f>'Recurrentes 24-26'!BP36</f>
        <v/>
      </c>
      <c r="BR34" s="1064" t="str">
        <f>'Recurrentes 24-26'!BQ36</f>
        <v/>
      </c>
      <c r="BS34" s="1064" t="str">
        <f>'Recurrentes 24-26'!BR36</f>
        <v/>
      </c>
      <c r="BT34" s="1064" t="str">
        <f>'Recurrentes 24-26'!BS36</f>
        <v/>
      </c>
      <c r="BU34" s="1064" t="str">
        <f>'Recurrentes 24-26'!BT36</f>
        <v/>
      </c>
      <c r="BV34" s="1064" t="str">
        <f>'Recurrentes 24-26'!BU36</f>
        <v/>
      </c>
      <c r="BW34" s="451"/>
      <c r="BX34" s="1064" t="str">
        <f>'Recurrentes 24-26'!BV36</f>
        <v/>
      </c>
      <c r="BY34" s="1064" t="str">
        <f>'Recurrentes 24-26'!BW36</f>
        <v/>
      </c>
      <c r="BZ34" s="1064" t="str">
        <f>'Recurrentes 24-26'!BX36</f>
        <v/>
      </c>
      <c r="CA34" s="1064" t="str">
        <f>'Recurrentes 24-26'!BY36</f>
        <v/>
      </c>
      <c r="CB34" s="1064" t="str">
        <f>'Recurrentes 24-26'!BZ36</f>
        <v/>
      </c>
      <c r="CC34" s="1064" t="str">
        <f>'Recurrentes 24-26'!CA36</f>
        <v/>
      </c>
      <c r="CD34" s="1064" t="str">
        <f>'Recurrentes 24-26'!CB36</f>
        <v/>
      </c>
      <c r="CE34" s="1064" t="str">
        <f>'Recurrentes 24-26'!CC36</f>
        <v/>
      </c>
      <c r="CF34" s="1064" t="str">
        <f>'Recurrentes 24-26'!CD36</f>
        <v/>
      </c>
      <c r="CG34" s="1064" t="str">
        <f>'Recurrentes 24-26'!CE36</f>
        <v/>
      </c>
      <c r="CH34" s="1064" t="str">
        <f>'Recurrentes 24-26'!CF36</f>
        <v/>
      </c>
      <c r="CI34" s="451"/>
      <c r="CJ34" s="1064" t="str">
        <f>'Recurrentes 24-26'!CG36</f>
        <v/>
      </c>
      <c r="CK34" s="1064" t="str">
        <f>'Recurrentes 24-26'!CH36</f>
        <v/>
      </c>
      <c r="CL34" s="451" t="str">
        <f>'Recurrentes 24-26'!CI36</f>
        <v/>
      </c>
      <c r="CM34" s="1064" t="str">
        <f>'Recurrentes 24-26'!CJ36</f>
        <v/>
      </c>
      <c r="CN34" s="451" t="str">
        <f>'Recurrentes 24-26'!CK36</f>
        <v/>
      </c>
      <c r="CO34" s="451" t="str">
        <f>'Recurrentes 24-26'!CL36</f>
        <v/>
      </c>
      <c r="CP34" s="451" t="str">
        <f>'Recurrentes 24-26'!CM36</f>
        <v/>
      </c>
    </row>
    <row r="35">
      <c r="A35" s="451" t="str">
        <f>'Recurrentes 24-26'!A37</f>
        <v>Repuestos Electromecánicos recurrentes</v>
      </c>
      <c r="B35" s="451" t="str">
        <f>'Recurrentes 24-26'!B37</f>
        <v/>
      </c>
      <c r="C35" s="451" t="str">
        <f>'Recurrentes 24-26'!C37</f>
        <v>Vehículo</v>
      </c>
      <c r="D35" s="451" t="str">
        <f>'Recurrentes 24-26'!D37</f>
        <v>Manto. Pinza</v>
      </c>
      <c r="E35" s="451" t="str">
        <f>'Recurrentes 24-26'!E37</f>
        <v>Repuesto Mecánico</v>
      </c>
      <c r="F35" s="451" t="str">
        <f>'Recurrentes 24-26'!F37</f>
        <v>LOCAL</v>
      </c>
      <c r="G35" s="1061" t="str">
        <f>'Recurrentes 24-26'!G37</f>
        <v>39800</v>
      </c>
      <c r="H35" s="1061" t="str">
        <f>'Recurrentes 24-26'!H37</f>
        <v>2-01-00019</v>
      </c>
      <c r="I35" s="1061" t="str">
        <f>'Recurrentes 24-26'!I37</f>
        <v>10488086</v>
      </c>
      <c r="J35" s="1061" t="str">
        <f>'Recurrentes 24-26'!J37</f>
        <v>POLEA GUÍA DIA.158 MM    AGA-C </v>
      </c>
      <c r="K35" s="451" t="str">
        <f>'Recurrentes 24-26'!K37</f>
        <v>Pza</v>
      </c>
      <c r="L35" s="451">
        <f>'Recurrentes 24-26'!L37</f>
        <v>0</v>
      </c>
      <c r="M35" s="451">
        <f>'Recurrentes 24-26'!M37</f>
        <v>0</v>
      </c>
      <c r="N35" s="451">
        <f>'Recurrentes 24-26'!N37</f>
        <v>0</v>
      </c>
      <c r="O35" s="451">
        <f>'Recurrentes 24-26'!O37</f>
        <v>0</v>
      </c>
      <c r="P35" s="451">
        <f>'Recurrentes 24-26'!P37</f>
        <v>0</v>
      </c>
      <c r="Q35" s="451">
        <f>'Recurrentes 24-26'!Q37</f>
        <v>0</v>
      </c>
      <c r="R35" s="451">
        <f>'Recurrentes 24-26'!R37</f>
        <v>0</v>
      </c>
      <c r="S35" s="451">
        <f>'Recurrentes 24-26'!S37</f>
        <v>0</v>
      </c>
      <c r="T35" s="451">
        <f>'Recurrentes 24-26'!T37</f>
        <v>0</v>
      </c>
      <c r="U35" s="451">
        <f>'Recurrentes 24-26'!U37</f>
        <v>0</v>
      </c>
      <c r="V35" s="451">
        <f>'Recurrentes 24-26'!V37</f>
        <v>0</v>
      </c>
      <c r="W35" s="451">
        <f>'Recurrentes 24-26'!W37</f>
        <v>0</v>
      </c>
      <c r="X35" s="451">
        <f>'Recurrentes 24-26'!X37</f>
        <v>10</v>
      </c>
      <c r="Y35" s="451">
        <f>'Recurrentes 24-26'!Y37</f>
        <v>6</v>
      </c>
      <c r="Z35" s="451">
        <f>'Recurrentes 24-26'!Z37</f>
        <v>10</v>
      </c>
      <c r="AA35" s="451">
        <f>'Recurrentes 24-26'!AA37</f>
        <v>10</v>
      </c>
      <c r="AB35" s="451">
        <f>'Recurrentes 24-26'!AB37</f>
        <v>10</v>
      </c>
      <c r="AC35" s="451">
        <f>'Recurrentes 24-26'!AC37</f>
        <v>20</v>
      </c>
      <c r="AD35" s="451">
        <f>'Recurrentes 24-26'!AD37</f>
        <v>4</v>
      </c>
      <c r="AE35" s="451">
        <f>'Recurrentes 24-26'!AE37</f>
        <v>4</v>
      </c>
      <c r="AF35" s="451">
        <f>'Recurrentes 24-26'!AF37</f>
        <v>2</v>
      </c>
      <c r="AG35" s="451">
        <f>'Recurrentes 24-26'!AG37</f>
        <v>0</v>
      </c>
      <c r="AH35" s="451">
        <f>'Recurrentes 24-26'!AH37</f>
        <v>0</v>
      </c>
      <c r="AI35" s="451">
        <f>'Recurrentes 24-26'!AI37</f>
        <v>76</v>
      </c>
      <c r="AJ35" s="451">
        <f>'Recurrentes 24-26'!AJ37</f>
        <v>10</v>
      </c>
      <c r="AK35" s="451">
        <f>'Recurrentes 24-26'!AK37</f>
        <v>6</v>
      </c>
      <c r="AL35" s="451">
        <f>'Recurrentes 24-26'!AL37</f>
        <v>10</v>
      </c>
      <c r="AM35" s="451">
        <f>'Recurrentes 24-26'!AM37</f>
        <v>10</v>
      </c>
      <c r="AN35" s="451">
        <f>'Recurrentes 24-26'!AN37</f>
        <v>10</v>
      </c>
      <c r="AO35" s="451">
        <f>'Recurrentes 24-26'!AO37</f>
        <v>20</v>
      </c>
      <c r="AP35" s="451">
        <f>'Recurrentes 24-26'!AP37</f>
        <v>4</v>
      </c>
      <c r="AQ35" s="451">
        <f>'Recurrentes 24-26'!AQ37</f>
        <v>4</v>
      </c>
      <c r="AR35" s="451">
        <f>'Recurrentes 24-26'!AR37</f>
        <v>2</v>
      </c>
      <c r="AS35" s="451">
        <f>'Recurrentes 24-26'!AS37</f>
        <v>0</v>
      </c>
      <c r="AT35" s="451">
        <f>'Recurrentes 24-26'!AT37</f>
        <v>0</v>
      </c>
      <c r="AU35" s="451">
        <f>'Recurrentes 24-26'!AU37</f>
        <v>76</v>
      </c>
      <c r="AV35" s="1063">
        <f>'Recurrentes 24-26'!AV37</f>
        <v>152</v>
      </c>
      <c r="AW35" s="451" t="str">
        <f>'Recurrentes 24-26'!AW37</f>
        <v/>
      </c>
      <c r="AX35" s="451">
        <f>'Recurrentes 24-26'!AX37</f>
        <v>261</v>
      </c>
      <c r="AY35" s="451">
        <f>'Recurrentes 24-26'!AY37</f>
        <v>1819.17</v>
      </c>
      <c r="AZ35" s="1064" t="str">
        <f>'Recurrentes 24-26'!AZ37</f>
        <v/>
      </c>
      <c r="BA35" s="1064">
        <f>'Recurrentes 24-26'!BA37</f>
        <v>0</v>
      </c>
      <c r="BB35" s="1064">
        <f>'Recurrentes 24-26'!BB37</f>
        <v>0</v>
      </c>
      <c r="BC35" s="1064">
        <f>'Recurrentes 24-26'!BC37</f>
        <v>0</v>
      </c>
      <c r="BD35" s="1064">
        <f>'Recurrentes 24-26'!BD37</f>
        <v>0</v>
      </c>
      <c r="BE35" s="1064">
        <f>'Recurrentes 24-26'!BE37</f>
        <v>0</v>
      </c>
      <c r="BF35" s="1064">
        <f>'Recurrentes 24-26'!BF37</f>
        <v>0</v>
      </c>
      <c r="BG35" s="1064">
        <f>'Recurrentes 24-26'!BG37</f>
        <v>0</v>
      </c>
      <c r="BH35" s="1064">
        <f>'Recurrentes 24-26'!BH37</f>
        <v>0</v>
      </c>
      <c r="BI35" s="1064">
        <f>'Recurrentes 24-26'!BI37</f>
        <v>0</v>
      </c>
      <c r="BJ35" s="1064">
        <f>'Recurrentes 24-26'!BJ37</f>
        <v>0</v>
      </c>
      <c r="BK35" s="451"/>
      <c r="BL35" s="1064">
        <f>'Recurrentes 24-26'!BK37</f>
        <v>0</v>
      </c>
      <c r="BM35" s="1064">
        <f>'Recurrentes 24-26'!BL37</f>
        <v>18191.7</v>
      </c>
      <c r="BN35" s="1064">
        <f>'Recurrentes 24-26'!BM37</f>
        <v>10915.02</v>
      </c>
      <c r="BO35" s="1064">
        <f>'Recurrentes 24-26'!BN37</f>
        <v>18191.7</v>
      </c>
      <c r="BP35" s="1064">
        <f>'Recurrentes 24-26'!BO37</f>
        <v>18191.7</v>
      </c>
      <c r="BQ35" s="1064">
        <f>'Recurrentes 24-26'!BP37</f>
        <v>18191.7</v>
      </c>
      <c r="BR35" s="1064">
        <f>'Recurrentes 24-26'!BQ37</f>
        <v>36383.4</v>
      </c>
      <c r="BS35" s="1064">
        <f>'Recurrentes 24-26'!BR37</f>
        <v>7276.68</v>
      </c>
      <c r="BT35" s="1064">
        <f>'Recurrentes 24-26'!BS37</f>
        <v>7276.68</v>
      </c>
      <c r="BU35" s="1064">
        <f>'Recurrentes 24-26'!BT37</f>
        <v>3638.34</v>
      </c>
      <c r="BV35" s="1064">
        <f>'Recurrentes 24-26'!BU37</f>
        <v>0</v>
      </c>
      <c r="BW35" s="451"/>
      <c r="BX35" s="1064">
        <f>'Recurrentes 24-26'!BV37</f>
        <v>138256.92</v>
      </c>
      <c r="BY35" s="1064">
        <f>'Recurrentes 24-26'!BW37</f>
        <v>18191.7</v>
      </c>
      <c r="BZ35" s="1064">
        <f>'Recurrentes 24-26'!BX37</f>
        <v>10915.02</v>
      </c>
      <c r="CA35" s="1064">
        <f>'Recurrentes 24-26'!BY37</f>
        <v>18191.7</v>
      </c>
      <c r="CB35" s="1064">
        <f>'Recurrentes 24-26'!BZ37</f>
        <v>18191.7</v>
      </c>
      <c r="CC35" s="1064">
        <f>'Recurrentes 24-26'!CA37</f>
        <v>18191.7</v>
      </c>
      <c r="CD35" s="1064">
        <f>'Recurrentes 24-26'!CB37</f>
        <v>36383.4</v>
      </c>
      <c r="CE35" s="1064">
        <f>'Recurrentes 24-26'!CC37</f>
        <v>7276.68</v>
      </c>
      <c r="CF35" s="1064">
        <f>'Recurrentes 24-26'!CD37</f>
        <v>7276.68</v>
      </c>
      <c r="CG35" s="1064">
        <f>'Recurrentes 24-26'!CE37</f>
        <v>3638.34</v>
      </c>
      <c r="CH35" s="1064">
        <f>'Recurrentes 24-26'!CF37</f>
        <v>0</v>
      </c>
      <c r="CI35" s="451"/>
      <c r="CJ35" s="1064">
        <f>'Recurrentes 24-26'!CG37</f>
        <v>138256.92</v>
      </c>
      <c r="CK35" s="1064">
        <f>'Recurrentes 24-26'!CH37</f>
        <v>276513.84</v>
      </c>
      <c r="CL35" s="451" t="str">
        <f>'Recurrentes 24-26'!CI37</f>
        <v/>
      </c>
      <c r="CM35" s="1064" t="str">
        <f>'Recurrentes 24-26'!CJ37</f>
        <v/>
      </c>
      <c r="CN35" s="451">
        <f>'Recurrentes 24-26'!CK37</f>
        <v>1</v>
      </c>
      <c r="CO35" s="451" t="str">
        <f>'Recurrentes 24-26'!CL37</f>
        <v/>
      </c>
      <c r="CP35" s="451" t="str">
        <f>'Recurrentes 24-26'!CM37</f>
        <v/>
      </c>
    </row>
    <row r="36">
      <c r="A36" s="451" t="str">
        <f>'Recurrentes 24-26'!A38</f>
        <v>Repuestos Electromecánicos recurrentes</v>
      </c>
      <c r="B36" s="451">
        <f>'Recurrentes 24-26'!B38</f>
        <v>2</v>
      </c>
      <c r="C36" s="451" t="str">
        <f>'Recurrentes 24-26'!C38</f>
        <v>Vehículo</v>
      </c>
      <c r="D36" s="451" t="str">
        <f>'Recurrentes 24-26'!D38</f>
        <v>10% Suspensiones de Cabinas </v>
      </c>
      <c r="E36" s="451" t="str">
        <f>'Recurrentes 24-26'!E38</f>
        <v>Repuesto Mecánico</v>
      </c>
      <c r="F36" s="451" t="str">
        <f>'Recurrentes 24-26'!F38</f>
        <v>TDB</v>
      </c>
      <c r="G36" s="1025" t="str">
        <f>'Recurrentes 24-26'!G38</f>
        <v>39800</v>
      </c>
      <c r="H36" s="1061" t="str">
        <f>'Recurrentes 24-26'!H38</f>
        <v>2-01-00061</v>
      </c>
      <c r="I36" s="1061" t="str">
        <f>'Recurrentes 24-26'!I38</f>
        <v>10551491</v>
      </c>
      <c r="J36" s="1061" t="str">
        <f>'Recurrentes 24-26'!J38</f>
        <v>CASQUILLO C.BORDE GGB2222DU-S, GLACIER (22X25X32X21,5)</v>
      </c>
      <c r="K36" s="451" t="str">
        <f>'Recurrentes 24-26'!K38</f>
        <v>Pza</v>
      </c>
      <c r="L36" s="451">
        <f>'Recurrentes 24-26'!L38</f>
        <v>0</v>
      </c>
      <c r="M36" s="451">
        <f>'Recurrentes 24-26'!M38</f>
        <v>0</v>
      </c>
      <c r="N36" s="451">
        <f>'Recurrentes 24-26'!N38</f>
        <v>0</v>
      </c>
      <c r="O36" s="451">
        <f>'Recurrentes 24-26'!O38</f>
        <v>40</v>
      </c>
      <c r="P36" s="451">
        <f>'Recurrentes 24-26'!P38</f>
        <v>80</v>
      </c>
      <c r="Q36" s="451">
        <f>'Recurrentes 24-26'!Q38</f>
        <v>10</v>
      </c>
      <c r="R36" s="451">
        <f>'Recurrentes 24-26'!R38</f>
        <v>0</v>
      </c>
      <c r="S36" s="451">
        <f>'Recurrentes 24-26'!S38</f>
        <v>0</v>
      </c>
      <c r="T36" s="451">
        <f>'Recurrentes 24-26'!T38</f>
        <v>0</v>
      </c>
      <c r="U36" s="451">
        <f>'Recurrentes 24-26'!U38</f>
        <v>36</v>
      </c>
      <c r="V36" s="451">
        <f>'Recurrentes 24-26'!V38</f>
        <v>0</v>
      </c>
      <c r="W36" s="1062">
        <f>'Recurrentes 24-26'!W38</f>
        <v>166</v>
      </c>
      <c r="X36" s="451">
        <f>'Recurrentes 24-26'!X38</f>
        <v>160</v>
      </c>
      <c r="Y36" s="451">
        <f>'Recurrentes 24-26'!Y38</f>
        <v>120</v>
      </c>
      <c r="Z36" s="451">
        <f>'Recurrentes 24-26'!Z38</f>
        <v>144</v>
      </c>
      <c r="AA36" s="451">
        <f>'Recurrentes 24-26'!AA38</f>
        <v>88</v>
      </c>
      <c r="AB36" s="451">
        <f>'Recurrentes 24-26'!AB38</f>
        <v>104</v>
      </c>
      <c r="AC36" s="451">
        <f>'Recurrentes 24-26'!AC38</f>
        <v>168</v>
      </c>
      <c r="AD36" s="451">
        <f>'Recurrentes 24-26'!AD38</f>
        <v>0</v>
      </c>
      <c r="AE36" s="451">
        <f>'Recurrentes 24-26'!AE38</f>
        <v>0</v>
      </c>
      <c r="AF36" s="451">
        <f>'Recurrentes 24-26'!AF38</f>
        <v>8</v>
      </c>
      <c r="AG36" s="451">
        <f>'Recurrentes 24-26'!AG38</f>
        <v>64</v>
      </c>
      <c r="AH36" s="451">
        <f>'Recurrentes 24-26'!AH38</f>
        <v>0</v>
      </c>
      <c r="AI36" s="1062">
        <f>'Recurrentes 24-26'!AI38</f>
        <v>856</v>
      </c>
      <c r="AJ36" s="451">
        <f>'Recurrentes 24-26'!AJ38</f>
        <v>160</v>
      </c>
      <c r="AK36" s="451">
        <f>'Recurrentes 24-26'!AK38</f>
        <v>120</v>
      </c>
      <c r="AL36" s="451">
        <f>'Recurrentes 24-26'!AL38</f>
        <v>144</v>
      </c>
      <c r="AM36" s="451">
        <f>'Recurrentes 24-26'!AM38</f>
        <v>88</v>
      </c>
      <c r="AN36" s="451">
        <f>'Recurrentes 24-26'!AN38</f>
        <v>104</v>
      </c>
      <c r="AO36" s="451">
        <f>'Recurrentes 24-26'!AO38</f>
        <v>168</v>
      </c>
      <c r="AP36" s="451">
        <f>'Recurrentes 24-26'!AP38</f>
        <v>0</v>
      </c>
      <c r="AQ36" s="451">
        <f>'Recurrentes 24-26'!AQ38</f>
        <v>0</v>
      </c>
      <c r="AR36" s="451">
        <f>'Recurrentes 24-26'!AR38</f>
        <v>8</v>
      </c>
      <c r="AS36" s="451">
        <f>'Recurrentes 24-26'!AS38</f>
        <v>136</v>
      </c>
      <c r="AT36" s="451">
        <f>'Recurrentes 24-26'!AT38</f>
        <v>0</v>
      </c>
      <c r="AU36" s="1062">
        <f>'Recurrentes 24-26'!AU38</f>
        <v>928</v>
      </c>
      <c r="AV36" s="1063">
        <f>'Recurrentes 24-26'!AV38</f>
        <v>1950</v>
      </c>
      <c r="AW36" s="451" t="str">
        <f>'Recurrentes 24-26'!AW38</f>
        <v/>
      </c>
      <c r="AX36" s="1062">
        <f>'Recurrentes 24-26'!AX38</f>
        <v>8.54</v>
      </c>
      <c r="AY36" s="1062">
        <f>'Recurrentes 24-26'!AY38</f>
        <v>59.4384</v>
      </c>
      <c r="AZ36" s="1064" t="str">
        <f>'Recurrentes 24-26'!AZ38</f>
        <v/>
      </c>
      <c r="BA36" s="1064">
        <f>'Recurrentes 24-26'!BA38</f>
        <v>0</v>
      </c>
      <c r="BB36" s="1064">
        <f>'Recurrentes 24-26'!BB38</f>
        <v>0</v>
      </c>
      <c r="BC36" s="1064">
        <f>'Recurrentes 24-26'!BC38</f>
        <v>0</v>
      </c>
      <c r="BD36" s="1064">
        <f>'Recurrentes 24-26'!BD38</f>
        <v>2377.536</v>
      </c>
      <c r="BE36" s="1064">
        <f>'Recurrentes 24-26'!BE38</f>
        <v>4755.072</v>
      </c>
      <c r="BF36" s="1064">
        <f>'Recurrentes 24-26'!BF38</f>
        <v>594.384</v>
      </c>
      <c r="BG36" s="1064">
        <f>'Recurrentes 24-26'!BG38</f>
        <v>0</v>
      </c>
      <c r="BH36" s="1064">
        <f>'Recurrentes 24-26'!BH38</f>
        <v>0</v>
      </c>
      <c r="BI36" s="1064">
        <f>'Recurrentes 24-26'!BI38</f>
        <v>0</v>
      </c>
      <c r="BJ36" s="1064">
        <f>'Recurrentes 24-26'!BJ38</f>
        <v>2139.7824</v>
      </c>
      <c r="BK36" s="451"/>
      <c r="BL36" s="1062">
        <f>'Recurrentes 24-26'!BK38</f>
        <v>9866.7744</v>
      </c>
      <c r="BM36" s="1064">
        <f>'Recurrentes 24-26'!BL38</f>
        <v>9510.144</v>
      </c>
      <c r="BN36" s="1064">
        <f>'Recurrentes 24-26'!BM38</f>
        <v>7132.608</v>
      </c>
      <c r="BO36" s="1064">
        <f>'Recurrentes 24-26'!BN38</f>
        <v>8559.1296</v>
      </c>
      <c r="BP36" s="1064">
        <f>'Recurrentes 24-26'!BO38</f>
        <v>5230.5792</v>
      </c>
      <c r="BQ36" s="1064">
        <f>'Recurrentes 24-26'!BP38</f>
        <v>6181.5936</v>
      </c>
      <c r="BR36" s="1064">
        <f>'Recurrentes 24-26'!BQ38</f>
        <v>9985.6512</v>
      </c>
      <c r="BS36" s="1064">
        <f>'Recurrentes 24-26'!BR38</f>
        <v>0</v>
      </c>
      <c r="BT36" s="1064">
        <f>'Recurrentes 24-26'!BS38</f>
        <v>0</v>
      </c>
      <c r="BU36" s="1064">
        <f>'Recurrentes 24-26'!BT38</f>
        <v>475.5072</v>
      </c>
      <c r="BV36" s="1064">
        <f>'Recurrentes 24-26'!BU38</f>
        <v>3804.0576</v>
      </c>
      <c r="BW36" s="451"/>
      <c r="BX36" s="1062">
        <f>'Recurrentes 24-26'!BV38</f>
        <v>50879.2704</v>
      </c>
      <c r="BY36" s="1064">
        <f>'Recurrentes 24-26'!BW38</f>
        <v>9510.144</v>
      </c>
      <c r="BZ36" s="1064">
        <f>'Recurrentes 24-26'!BX38</f>
        <v>7132.608</v>
      </c>
      <c r="CA36" s="1064">
        <f>'Recurrentes 24-26'!BY38</f>
        <v>8559.1296</v>
      </c>
      <c r="CB36" s="1064">
        <f>'Recurrentes 24-26'!BZ38</f>
        <v>5230.5792</v>
      </c>
      <c r="CC36" s="1064">
        <f>'Recurrentes 24-26'!CA38</f>
        <v>6181.5936</v>
      </c>
      <c r="CD36" s="1064">
        <f>'Recurrentes 24-26'!CB38</f>
        <v>9985.6512</v>
      </c>
      <c r="CE36" s="1064">
        <f>'Recurrentes 24-26'!CC38</f>
        <v>0</v>
      </c>
      <c r="CF36" s="1064">
        <f>'Recurrentes 24-26'!CD38</f>
        <v>0</v>
      </c>
      <c r="CG36" s="1064">
        <f>'Recurrentes 24-26'!CE38</f>
        <v>475.5072</v>
      </c>
      <c r="CH36" s="1064">
        <f>'Recurrentes 24-26'!CF38</f>
        <v>8083.6224</v>
      </c>
      <c r="CI36" s="451"/>
      <c r="CJ36" s="1062">
        <f>'Recurrentes 24-26'!CG38</f>
        <v>55158.8352</v>
      </c>
      <c r="CK36" s="1062">
        <f>'Recurrentes 24-26'!CH38</f>
        <v>115904.88</v>
      </c>
      <c r="CL36" s="451" t="str">
        <f>'Recurrentes 24-26'!CI38</f>
        <v/>
      </c>
      <c r="CM36" s="1064" t="str">
        <f>'Recurrentes 24-26'!CJ38</f>
        <v/>
      </c>
      <c r="CN36" s="451">
        <f>'Recurrentes 24-26'!CK38</f>
        <v>1</v>
      </c>
      <c r="CO36" s="1062">
        <f>'Recurrentes 24-26'!CL38</f>
        <v>8.54</v>
      </c>
      <c r="CP36" s="451" t="str">
        <f>'Recurrentes 24-26'!CM38</f>
        <v/>
      </c>
    </row>
    <row r="37">
      <c r="A37" s="451" t="str">
        <f>'Recurrentes 24-26'!A39</f>
        <v>Repuestos Electromecánicos recurrentes</v>
      </c>
      <c r="B37" s="451">
        <f>'Recurrentes 24-26'!B39</f>
        <v>2</v>
      </c>
      <c r="C37" s="451" t="str">
        <f>'Recurrentes 24-26'!C39</f>
        <v>Vehículo</v>
      </c>
      <c r="D37" s="451" t="str">
        <f>'Recurrentes 24-26'!D39</f>
        <v>Manto. Pinza</v>
      </c>
      <c r="E37" s="451" t="str">
        <f>'Recurrentes 24-26'!E39</f>
        <v>Repuesto Mecánico</v>
      </c>
      <c r="F37" s="451" t="str">
        <f>'Recurrentes 24-26'!F39</f>
        <v>TDB</v>
      </c>
      <c r="G37" s="1025" t="str">
        <f>'Recurrentes 24-26'!G39</f>
        <v>39800</v>
      </c>
      <c r="H37" s="1061" t="str">
        <f>'Recurrentes 24-26'!H39</f>
        <v/>
      </c>
      <c r="I37" s="1061" t="str">
        <f>'Recurrentes 24-26'!I39</f>
        <v>12006672</v>
      </c>
      <c r="J37" s="1061" t="str">
        <f>'Recurrentes 24-26'!J39</f>
        <v>DF  D=22,00/DM=120,0/LO=389,0 IF= 8,60; DRUCKFEDER DIN 2095</v>
      </c>
      <c r="K37" s="451" t="str">
        <f>'Recurrentes 24-26'!K39</f>
        <v>Pza</v>
      </c>
      <c r="L37" s="451">
        <f>'Recurrentes 24-26'!L39</f>
        <v>0</v>
      </c>
      <c r="M37" s="451">
        <f>'Recurrentes 24-26'!M39</f>
        <v>0</v>
      </c>
      <c r="N37" s="451">
        <f>'Recurrentes 24-26'!N39</f>
        <v>0</v>
      </c>
      <c r="O37" s="451">
        <f>'Recurrentes 24-26'!O39</f>
        <v>0</v>
      </c>
      <c r="P37" s="451">
        <f>'Recurrentes 24-26'!P39</f>
        <v>0</v>
      </c>
      <c r="Q37" s="451">
        <f>'Recurrentes 24-26'!Q39</f>
        <v>0</v>
      </c>
      <c r="R37" s="451">
        <f>'Recurrentes 24-26'!R39</f>
        <v>0</v>
      </c>
      <c r="S37" s="451">
        <f>'Recurrentes 24-26'!S39</f>
        <v>2</v>
      </c>
      <c r="T37" s="451">
        <f>'Recurrentes 24-26'!T39</f>
        <v>0</v>
      </c>
      <c r="U37" s="451">
        <f>'Recurrentes 24-26'!U39</f>
        <v>0</v>
      </c>
      <c r="V37" s="451">
        <f>'Recurrentes 24-26'!V39</f>
        <v>0</v>
      </c>
      <c r="W37" s="1062">
        <f>'Recurrentes 24-26'!W39</f>
        <v>2</v>
      </c>
      <c r="X37" s="451">
        <f>'Recurrentes 24-26'!X39</f>
        <v>3</v>
      </c>
      <c r="Y37" s="451">
        <f>'Recurrentes 24-26'!Y39</f>
        <v>2</v>
      </c>
      <c r="Z37" s="451">
        <f>'Recurrentes 24-26'!Z39</f>
        <v>3</v>
      </c>
      <c r="AA37" s="451">
        <f>'Recurrentes 24-26'!AA39</f>
        <v>2</v>
      </c>
      <c r="AB37" s="451">
        <f>'Recurrentes 24-26'!AB39</f>
        <v>3</v>
      </c>
      <c r="AC37" s="451">
        <f>'Recurrentes 24-26'!AC39</f>
        <v>5</v>
      </c>
      <c r="AD37" s="451">
        <f>'Recurrentes 24-26'!AD39</f>
        <v>2</v>
      </c>
      <c r="AE37" s="451">
        <f>'Recurrentes 24-26'!AE39</f>
        <v>2</v>
      </c>
      <c r="AF37" s="451">
        <f>'Recurrentes 24-26'!AF39</f>
        <v>0</v>
      </c>
      <c r="AG37" s="451">
        <f>'Recurrentes 24-26'!AG39</f>
        <v>0</v>
      </c>
      <c r="AH37" s="451">
        <f>'Recurrentes 24-26'!AH39</f>
        <v>0</v>
      </c>
      <c r="AI37" s="1062">
        <f>'Recurrentes 24-26'!AI39</f>
        <v>22</v>
      </c>
      <c r="AJ37" s="451">
        <f>'Recurrentes 24-26'!AJ39</f>
        <v>3</v>
      </c>
      <c r="AK37" s="451">
        <f>'Recurrentes 24-26'!AK39</f>
        <v>2</v>
      </c>
      <c r="AL37" s="451">
        <f>'Recurrentes 24-26'!AL39</f>
        <v>3</v>
      </c>
      <c r="AM37" s="451">
        <f>'Recurrentes 24-26'!AM39</f>
        <v>2</v>
      </c>
      <c r="AN37" s="451">
        <f>'Recurrentes 24-26'!AN39</f>
        <v>3</v>
      </c>
      <c r="AO37" s="451">
        <f>'Recurrentes 24-26'!AO39</f>
        <v>5</v>
      </c>
      <c r="AP37" s="451">
        <f>'Recurrentes 24-26'!AP39</f>
        <v>2</v>
      </c>
      <c r="AQ37" s="451">
        <f>'Recurrentes 24-26'!AQ39</f>
        <v>2</v>
      </c>
      <c r="AR37" s="451">
        <f>'Recurrentes 24-26'!AR39</f>
        <v>0</v>
      </c>
      <c r="AS37" s="451">
        <f>'Recurrentes 24-26'!AS39</f>
        <v>0</v>
      </c>
      <c r="AT37" s="451">
        <f>'Recurrentes 24-26'!AT39</f>
        <v>0</v>
      </c>
      <c r="AU37" s="1062">
        <f>'Recurrentes 24-26'!AU39</f>
        <v>22</v>
      </c>
      <c r="AV37" s="1063">
        <f>'Recurrentes 24-26'!AV39</f>
        <v>46</v>
      </c>
      <c r="AW37" s="451" t="str">
        <f>'Recurrentes 24-26'!AW39</f>
        <v/>
      </c>
      <c r="AX37" s="1062">
        <f>'Recurrentes 24-26'!AX39</f>
        <v>357.72</v>
      </c>
      <c r="AY37" s="1062">
        <f>'Recurrentes 24-26'!AY39</f>
        <v>2489.7312</v>
      </c>
      <c r="AZ37" s="1064" t="str">
        <f>'Recurrentes 24-26'!AZ39</f>
        <v/>
      </c>
      <c r="BA37" s="1064">
        <f>'Recurrentes 24-26'!BA39</f>
        <v>0</v>
      </c>
      <c r="BB37" s="1064">
        <f>'Recurrentes 24-26'!BB39</f>
        <v>0</v>
      </c>
      <c r="BC37" s="1064">
        <f>'Recurrentes 24-26'!BC39</f>
        <v>0</v>
      </c>
      <c r="BD37" s="1064">
        <f>'Recurrentes 24-26'!BD39</f>
        <v>0</v>
      </c>
      <c r="BE37" s="1064">
        <f>'Recurrentes 24-26'!BE39</f>
        <v>0</v>
      </c>
      <c r="BF37" s="1064">
        <f>'Recurrentes 24-26'!BF39</f>
        <v>0</v>
      </c>
      <c r="BG37" s="1064">
        <f>'Recurrentes 24-26'!BG39</f>
        <v>0</v>
      </c>
      <c r="BH37" s="1064">
        <f>'Recurrentes 24-26'!BH39</f>
        <v>4979.4624</v>
      </c>
      <c r="BI37" s="1064">
        <f>'Recurrentes 24-26'!BI39</f>
        <v>0</v>
      </c>
      <c r="BJ37" s="1064">
        <f>'Recurrentes 24-26'!BJ39</f>
        <v>0</v>
      </c>
      <c r="BK37" s="451"/>
      <c r="BL37" s="1062">
        <f>'Recurrentes 24-26'!BK39</f>
        <v>4979.4624</v>
      </c>
      <c r="BM37" s="1064">
        <f>'Recurrentes 24-26'!BL39</f>
        <v>7469.1936</v>
      </c>
      <c r="BN37" s="1064">
        <f>'Recurrentes 24-26'!BM39</f>
        <v>4979.4624</v>
      </c>
      <c r="BO37" s="1064">
        <f>'Recurrentes 24-26'!BN39</f>
        <v>7469.1936</v>
      </c>
      <c r="BP37" s="1064">
        <f>'Recurrentes 24-26'!BO39</f>
        <v>4979.4624</v>
      </c>
      <c r="BQ37" s="1064">
        <f>'Recurrentes 24-26'!BP39</f>
        <v>7469.1936</v>
      </c>
      <c r="BR37" s="1064">
        <f>'Recurrentes 24-26'!BQ39</f>
        <v>12448.656</v>
      </c>
      <c r="BS37" s="1064">
        <f>'Recurrentes 24-26'!BR39</f>
        <v>4979.4624</v>
      </c>
      <c r="BT37" s="1064">
        <f>'Recurrentes 24-26'!BS39</f>
        <v>4979.4624</v>
      </c>
      <c r="BU37" s="1064">
        <f>'Recurrentes 24-26'!BT39</f>
        <v>0</v>
      </c>
      <c r="BV37" s="1064">
        <f>'Recurrentes 24-26'!BU39</f>
        <v>0</v>
      </c>
      <c r="BW37" s="451"/>
      <c r="BX37" s="1062">
        <f>'Recurrentes 24-26'!BV39</f>
        <v>54774.0864</v>
      </c>
      <c r="BY37" s="1064">
        <f>'Recurrentes 24-26'!BW39</f>
        <v>7469.1936</v>
      </c>
      <c r="BZ37" s="1064">
        <f>'Recurrentes 24-26'!BX39</f>
        <v>4979.4624</v>
      </c>
      <c r="CA37" s="1064">
        <f>'Recurrentes 24-26'!BY39</f>
        <v>7469.1936</v>
      </c>
      <c r="CB37" s="1064">
        <f>'Recurrentes 24-26'!BZ39</f>
        <v>4979.4624</v>
      </c>
      <c r="CC37" s="1064">
        <f>'Recurrentes 24-26'!CA39</f>
        <v>7469.1936</v>
      </c>
      <c r="CD37" s="1064">
        <f>'Recurrentes 24-26'!CB39</f>
        <v>12448.656</v>
      </c>
      <c r="CE37" s="1064">
        <f>'Recurrentes 24-26'!CC39</f>
        <v>4979.4624</v>
      </c>
      <c r="CF37" s="1064">
        <f>'Recurrentes 24-26'!CD39</f>
        <v>4979.4624</v>
      </c>
      <c r="CG37" s="1064">
        <f>'Recurrentes 24-26'!CE39</f>
        <v>0</v>
      </c>
      <c r="CH37" s="1064">
        <f>'Recurrentes 24-26'!CF39</f>
        <v>0</v>
      </c>
      <c r="CI37" s="451"/>
      <c r="CJ37" s="1062">
        <f>'Recurrentes 24-26'!CG39</f>
        <v>54774.0864</v>
      </c>
      <c r="CK37" s="1062">
        <f>'Recurrentes 24-26'!CH39</f>
        <v>114527.6352</v>
      </c>
      <c r="CL37" s="451" t="str">
        <f>'Recurrentes 24-26'!CI39</f>
        <v/>
      </c>
      <c r="CM37" s="1064" t="str">
        <f>'Recurrentes 24-26'!CJ39</f>
        <v/>
      </c>
      <c r="CN37" s="451">
        <f>'Recurrentes 24-26'!CK39</f>
        <v>1</v>
      </c>
      <c r="CO37" s="1062">
        <f>'Recurrentes 24-26'!CL39</f>
        <v>357.72</v>
      </c>
      <c r="CP37" s="451" t="str">
        <f>'Recurrentes 24-26'!CM39</f>
        <v/>
      </c>
    </row>
    <row r="38">
      <c r="A38" s="451" t="str">
        <f>'Recurrentes 24-26'!A40</f>
        <v>Repuestos Electromecánicos recurrentes</v>
      </c>
      <c r="B38" s="451">
        <f>'Recurrentes 24-26'!B40</f>
        <v>2</v>
      </c>
      <c r="C38" s="451" t="str">
        <f>'Recurrentes 24-26'!C40</f>
        <v>Vehículo</v>
      </c>
      <c r="D38" s="451" t="str">
        <f>'Recurrentes 24-26'!D40</f>
        <v>Manto. Pinza</v>
      </c>
      <c r="E38" s="451" t="str">
        <f>'Recurrentes 24-26'!E40</f>
        <v>Repuesto Mecánico</v>
      </c>
      <c r="F38" s="451" t="str">
        <f>'Recurrentes 24-26'!F40</f>
        <v>TDB</v>
      </c>
      <c r="G38" s="1025" t="str">
        <f>'Recurrentes 24-26'!G40</f>
        <v>39800</v>
      </c>
      <c r="H38" s="1061" t="str">
        <f>'Recurrentes 24-26'!H40</f>
        <v>2-01-00079</v>
      </c>
      <c r="I38" s="1061" t="str">
        <f>'Recurrentes 24-26'!I40</f>
        <v>10247398</v>
      </c>
      <c r="J38" s="1061" t="str">
        <f>'Recurrentes 24-26'!J40</f>
        <v>ARANDELA SEGUR.  NORDLOCK NL8  RECUB.DE LAMINILLAS DE CINC</v>
      </c>
      <c r="K38" s="451" t="str">
        <f>'Recurrentes 24-26'!K40</f>
        <v>Pza</v>
      </c>
      <c r="L38" s="451">
        <f>'Recurrentes 24-26'!L40</f>
        <v>325</v>
      </c>
      <c r="M38" s="451">
        <f>'Recurrentes 24-26'!M40</f>
        <v>193</v>
      </c>
      <c r="N38" s="451">
        <f>'Recurrentes 24-26'!N40</f>
        <v>284</v>
      </c>
      <c r="O38" s="451">
        <f>'Recurrentes 24-26'!O40</f>
        <v>181</v>
      </c>
      <c r="P38" s="451">
        <f>'Recurrentes 24-26'!P40</f>
        <v>504</v>
      </c>
      <c r="Q38" s="451">
        <f>'Recurrentes 24-26'!Q40</f>
        <v>0</v>
      </c>
      <c r="R38" s="451">
        <f>'Recurrentes 24-26'!R40</f>
        <v>0</v>
      </c>
      <c r="S38" s="451">
        <f>'Recurrentes 24-26'!S40</f>
        <v>259</v>
      </c>
      <c r="T38" s="451">
        <f>'Recurrentes 24-26'!T40</f>
        <v>45</v>
      </c>
      <c r="U38" s="451">
        <f>'Recurrentes 24-26'!U40</f>
        <v>0</v>
      </c>
      <c r="V38" s="451">
        <f>'Recurrentes 24-26'!V40</f>
        <v>0</v>
      </c>
      <c r="W38" s="1062">
        <f>'Recurrentes 24-26'!W40</f>
        <v>1791</v>
      </c>
      <c r="X38" s="451">
        <f>'Recurrentes 24-26'!X40</f>
        <v>788</v>
      </c>
      <c r="Y38" s="451">
        <f>'Recurrentes 24-26'!Y40</f>
        <v>468</v>
      </c>
      <c r="Z38" s="451">
        <f>'Recurrentes 24-26'!Z40</f>
        <v>688</v>
      </c>
      <c r="AA38" s="451">
        <f>'Recurrentes 24-26'!AA40</f>
        <v>440</v>
      </c>
      <c r="AB38" s="451">
        <f>'Recurrentes 24-26'!AB40</f>
        <v>504</v>
      </c>
      <c r="AC38" s="451">
        <f>'Recurrentes 24-26'!AC40</f>
        <v>832</v>
      </c>
      <c r="AD38" s="451">
        <f>'Recurrentes 24-26'!AD40</f>
        <v>532</v>
      </c>
      <c r="AE38" s="451">
        <f>'Recurrentes 24-26'!AE40</f>
        <v>628</v>
      </c>
      <c r="AF38" s="451">
        <f>'Recurrentes 24-26'!AF40</f>
        <v>108</v>
      </c>
      <c r="AG38" s="451">
        <f>'Recurrentes 24-26'!AG40</f>
        <v>670</v>
      </c>
      <c r="AH38" s="451">
        <f>'Recurrentes 24-26'!AH40</f>
        <v>0</v>
      </c>
      <c r="AI38" s="1062">
        <f>'Recurrentes 24-26'!AI40</f>
        <v>5658</v>
      </c>
      <c r="AJ38" s="451">
        <f>'Recurrentes 24-26'!AJ40</f>
        <v>788</v>
      </c>
      <c r="AK38" s="451">
        <f>'Recurrentes 24-26'!AK40</f>
        <v>468</v>
      </c>
      <c r="AL38" s="451">
        <f>'Recurrentes 24-26'!AL40</f>
        <v>688</v>
      </c>
      <c r="AM38" s="451">
        <f>'Recurrentes 24-26'!AM40</f>
        <v>440</v>
      </c>
      <c r="AN38" s="451">
        <f>'Recurrentes 24-26'!AN40</f>
        <v>504</v>
      </c>
      <c r="AO38" s="451">
        <f>'Recurrentes 24-26'!AO40</f>
        <v>832</v>
      </c>
      <c r="AP38" s="451">
        <f>'Recurrentes 24-26'!AP40</f>
        <v>532</v>
      </c>
      <c r="AQ38" s="451">
        <f>'Recurrentes 24-26'!AQ40</f>
        <v>628</v>
      </c>
      <c r="AR38" s="451">
        <f>'Recurrentes 24-26'!AR40</f>
        <v>108</v>
      </c>
      <c r="AS38" s="451">
        <f>'Recurrentes 24-26'!AS40</f>
        <v>670</v>
      </c>
      <c r="AT38" s="451">
        <f>'Recurrentes 24-26'!AT40</f>
        <v>0</v>
      </c>
      <c r="AU38" s="1062">
        <f>'Recurrentes 24-26'!AU40</f>
        <v>5658</v>
      </c>
      <c r="AV38" s="1063">
        <f>'Recurrentes 24-26'!AV40</f>
        <v>13107</v>
      </c>
      <c r="AW38" s="451" t="str">
        <f>'Recurrentes 24-26'!AW40</f>
        <v/>
      </c>
      <c r="AX38" s="1062">
        <f>'Recurrentes 24-26'!AX40</f>
        <v>0.81</v>
      </c>
      <c r="AY38" s="1062">
        <f>'Recurrentes 24-26'!AY40</f>
        <v>5.6376</v>
      </c>
      <c r="AZ38" s="1064" t="str">
        <f>'Recurrentes 24-26'!AZ40</f>
        <v/>
      </c>
      <c r="BA38" s="1064">
        <f>'Recurrentes 24-26'!BA40</f>
        <v>1832.22</v>
      </c>
      <c r="BB38" s="1064">
        <f>'Recurrentes 24-26'!BB40</f>
        <v>1088.0568</v>
      </c>
      <c r="BC38" s="1064">
        <f>'Recurrentes 24-26'!BC40</f>
        <v>1601.0784</v>
      </c>
      <c r="BD38" s="1064">
        <f>'Recurrentes 24-26'!BD40</f>
        <v>1020.4056</v>
      </c>
      <c r="BE38" s="1064">
        <f>'Recurrentes 24-26'!BE40</f>
        <v>2841.3504</v>
      </c>
      <c r="BF38" s="1064">
        <f>'Recurrentes 24-26'!BF40</f>
        <v>0</v>
      </c>
      <c r="BG38" s="1064">
        <f>'Recurrentes 24-26'!BG40</f>
        <v>0</v>
      </c>
      <c r="BH38" s="1064">
        <f>'Recurrentes 24-26'!BH40</f>
        <v>1460.1384</v>
      </c>
      <c r="BI38" s="1064">
        <f>'Recurrentes 24-26'!BI40</f>
        <v>253.692</v>
      </c>
      <c r="BJ38" s="1064">
        <f>'Recurrentes 24-26'!BJ40</f>
        <v>0</v>
      </c>
      <c r="BK38" s="451"/>
      <c r="BL38" s="1062">
        <f>'Recurrentes 24-26'!BK40</f>
        <v>10096.9416</v>
      </c>
      <c r="BM38" s="1064">
        <f>'Recurrentes 24-26'!BL40</f>
        <v>4442.4288</v>
      </c>
      <c r="BN38" s="1064">
        <f>'Recurrentes 24-26'!BM40</f>
        <v>2638.3968</v>
      </c>
      <c r="BO38" s="1064">
        <f>'Recurrentes 24-26'!BN40</f>
        <v>3878.6688</v>
      </c>
      <c r="BP38" s="1064">
        <f>'Recurrentes 24-26'!BO40</f>
        <v>2480.544</v>
      </c>
      <c r="BQ38" s="1064">
        <f>'Recurrentes 24-26'!BP40</f>
        <v>2841.3504</v>
      </c>
      <c r="BR38" s="1064">
        <f>'Recurrentes 24-26'!BQ40</f>
        <v>4690.4832</v>
      </c>
      <c r="BS38" s="1064">
        <f>'Recurrentes 24-26'!BR40</f>
        <v>2999.2032</v>
      </c>
      <c r="BT38" s="1064">
        <f>'Recurrentes 24-26'!BS40</f>
        <v>3540.4128</v>
      </c>
      <c r="BU38" s="1064">
        <f>'Recurrentes 24-26'!BT40</f>
        <v>608.8608</v>
      </c>
      <c r="BV38" s="1064">
        <f>'Recurrentes 24-26'!BU40</f>
        <v>3777.192</v>
      </c>
      <c r="BW38" s="451"/>
      <c r="BX38" s="1062">
        <f>'Recurrentes 24-26'!BV40</f>
        <v>31897.5408</v>
      </c>
      <c r="BY38" s="1064">
        <f>'Recurrentes 24-26'!BW40</f>
        <v>4442.4288</v>
      </c>
      <c r="BZ38" s="1064">
        <f>'Recurrentes 24-26'!BX40</f>
        <v>2638.3968</v>
      </c>
      <c r="CA38" s="1064">
        <f>'Recurrentes 24-26'!BY40</f>
        <v>3878.6688</v>
      </c>
      <c r="CB38" s="1064">
        <f>'Recurrentes 24-26'!BZ40</f>
        <v>2480.544</v>
      </c>
      <c r="CC38" s="1064">
        <f>'Recurrentes 24-26'!CA40</f>
        <v>2841.3504</v>
      </c>
      <c r="CD38" s="1064">
        <f>'Recurrentes 24-26'!CB40</f>
        <v>4690.4832</v>
      </c>
      <c r="CE38" s="1064">
        <f>'Recurrentes 24-26'!CC40</f>
        <v>2999.2032</v>
      </c>
      <c r="CF38" s="1064">
        <f>'Recurrentes 24-26'!CD40</f>
        <v>3540.4128</v>
      </c>
      <c r="CG38" s="1064">
        <f>'Recurrentes 24-26'!CE40</f>
        <v>608.8608</v>
      </c>
      <c r="CH38" s="1064">
        <f>'Recurrentes 24-26'!CF40</f>
        <v>3777.192</v>
      </c>
      <c r="CI38" s="451"/>
      <c r="CJ38" s="1062">
        <f>'Recurrentes 24-26'!CG40</f>
        <v>31897.5408</v>
      </c>
      <c r="CK38" s="1062">
        <f>'Recurrentes 24-26'!CH40</f>
        <v>73892.0232</v>
      </c>
      <c r="CL38" s="451" t="str">
        <f>'Recurrentes 24-26'!CI40</f>
        <v/>
      </c>
      <c r="CM38" s="1064" t="str">
        <f>'Recurrentes 24-26'!CJ40</f>
        <v/>
      </c>
      <c r="CN38" s="451">
        <f>'Recurrentes 24-26'!CK40</f>
        <v>1</v>
      </c>
      <c r="CO38" s="1062">
        <f>'Recurrentes 24-26'!CL40</f>
        <v>0.81</v>
      </c>
      <c r="CP38" s="451" t="str">
        <f>'Recurrentes 24-26'!CM40</f>
        <v/>
      </c>
    </row>
    <row r="39">
      <c r="A39" s="451" t="str">
        <f>'Recurrentes 24-26'!A41</f>
        <v>Repuestos Electromecánicos recurrentes</v>
      </c>
      <c r="B39" s="451">
        <f>'Recurrentes 24-26'!B41</f>
        <v>2</v>
      </c>
      <c r="C39" s="451" t="str">
        <f>'Recurrentes 24-26'!C41</f>
        <v>Torres</v>
      </c>
      <c r="D39" s="451" t="str">
        <f>'Recurrentes 24-26'!D41</f>
        <v>Reacondicionamiento de Poleas Palpadoras</v>
      </c>
      <c r="E39" s="451" t="str">
        <f>'Recurrentes 24-26'!E41</f>
        <v>Repuesto Mecánico</v>
      </c>
      <c r="F39" s="451" t="str">
        <f>'Recurrentes 24-26'!F41</f>
        <v>TDB</v>
      </c>
      <c r="G39" s="1025" t="str">
        <f>'Recurrentes 24-26'!G41</f>
        <v>39800</v>
      </c>
      <c r="H39" s="1061" t="str">
        <f>'Recurrentes 24-26'!H41</f>
        <v>2-01-00499</v>
      </c>
      <c r="I39" s="1061" t="str">
        <f>'Recurrentes 24-26'!I41</f>
        <v>11430340</v>
      </c>
      <c r="J39" s="1061" t="str">
        <f>'Recurrentes 24-26'!J41</f>
        <v>TUBO DIST. DIÁ=30/20.2 L=126, P. BÁSCULA P. SENS. EN BRAZO GI</v>
      </c>
      <c r="K39" s="451" t="str">
        <f>'Recurrentes 24-26'!K41</f>
        <v>Pza</v>
      </c>
      <c r="L39" s="451">
        <f>'Recurrentes 24-26'!L41</f>
        <v>8</v>
      </c>
      <c r="M39" s="451">
        <f>'Recurrentes 24-26'!M41</f>
        <v>3</v>
      </c>
      <c r="N39" s="451">
        <f>'Recurrentes 24-26'!N41</f>
        <v>8</v>
      </c>
      <c r="O39" s="451">
        <f>'Recurrentes 24-26'!O41</f>
        <v>4</v>
      </c>
      <c r="P39" s="451">
        <f>'Recurrentes 24-26'!P41</f>
        <v>5</v>
      </c>
      <c r="Q39" s="451">
        <f>'Recurrentes 24-26'!Q41</f>
        <v>9</v>
      </c>
      <c r="R39" s="451">
        <f>'Recurrentes 24-26'!R41</f>
        <v>0</v>
      </c>
      <c r="S39" s="451">
        <f>'Recurrentes 24-26'!S41</f>
        <v>0</v>
      </c>
      <c r="T39" s="451">
        <f>'Recurrentes 24-26'!T41</f>
        <v>0</v>
      </c>
      <c r="U39" s="451">
        <f>'Recurrentes 24-26'!U41</f>
        <v>8</v>
      </c>
      <c r="V39" s="451">
        <f>'Recurrentes 24-26'!V41</f>
        <v>0</v>
      </c>
      <c r="W39" s="1062">
        <f>'Recurrentes 24-26'!W41</f>
        <v>45</v>
      </c>
      <c r="X39" s="451">
        <f>'Recurrentes 24-26'!X41</f>
        <v>8</v>
      </c>
      <c r="Y39" s="451">
        <f>'Recurrentes 24-26'!Y41</f>
        <v>3</v>
      </c>
      <c r="Z39" s="451">
        <f>'Recurrentes 24-26'!Z41</f>
        <v>8</v>
      </c>
      <c r="AA39" s="451">
        <f>'Recurrentes 24-26'!AA41</f>
        <v>5</v>
      </c>
      <c r="AB39" s="451">
        <f>'Recurrentes 24-26'!AB41</f>
        <v>5</v>
      </c>
      <c r="AC39" s="451">
        <f>'Recurrentes 24-26'!AC41</f>
        <v>10</v>
      </c>
      <c r="AD39" s="451">
        <f>'Recurrentes 24-26'!AD41</f>
        <v>0</v>
      </c>
      <c r="AE39" s="451">
        <f>'Recurrentes 24-26'!AE41</f>
        <v>0</v>
      </c>
      <c r="AF39" s="451">
        <f>'Recurrentes 24-26'!AF41</f>
        <v>0</v>
      </c>
      <c r="AG39" s="451">
        <f>'Recurrentes 24-26'!AG41</f>
        <v>8</v>
      </c>
      <c r="AH39" s="451">
        <f>'Recurrentes 24-26'!AH41</f>
        <v>0</v>
      </c>
      <c r="AI39" s="1062">
        <f>'Recurrentes 24-26'!AI41</f>
        <v>47</v>
      </c>
      <c r="AJ39" s="451">
        <f>'Recurrentes 24-26'!AJ41</f>
        <v>8</v>
      </c>
      <c r="AK39" s="451">
        <f>'Recurrentes 24-26'!AK41</f>
        <v>3</v>
      </c>
      <c r="AL39" s="451">
        <f>'Recurrentes 24-26'!AL41</f>
        <v>8</v>
      </c>
      <c r="AM39" s="451">
        <f>'Recurrentes 24-26'!AM41</f>
        <v>5</v>
      </c>
      <c r="AN39" s="451">
        <f>'Recurrentes 24-26'!AN41</f>
        <v>5</v>
      </c>
      <c r="AO39" s="451">
        <f>'Recurrentes 24-26'!AO41</f>
        <v>10</v>
      </c>
      <c r="AP39" s="451">
        <f>'Recurrentes 24-26'!AP41</f>
        <v>0</v>
      </c>
      <c r="AQ39" s="451">
        <f>'Recurrentes 24-26'!AQ41</f>
        <v>0</v>
      </c>
      <c r="AR39" s="451">
        <f>'Recurrentes 24-26'!AR41</f>
        <v>0</v>
      </c>
      <c r="AS39" s="451">
        <f>'Recurrentes 24-26'!AS41</f>
        <v>8</v>
      </c>
      <c r="AT39" s="451">
        <f>'Recurrentes 24-26'!AT41</f>
        <v>0</v>
      </c>
      <c r="AU39" s="1062">
        <f>'Recurrentes 24-26'!AU41</f>
        <v>47</v>
      </c>
      <c r="AV39" s="1063">
        <f>'Recurrentes 24-26'!AV41</f>
        <v>139</v>
      </c>
      <c r="AW39" s="451" t="str">
        <f>'Recurrentes 24-26'!AW41</f>
        <v/>
      </c>
      <c r="AX39" s="1062">
        <f>'Recurrentes 24-26'!AX41</f>
        <v>70.99</v>
      </c>
      <c r="AY39" s="1062">
        <f>'Recurrentes 24-26'!AY41</f>
        <v>494.0904</v>
      </c>
      <c r="AZ39" s="1064" t="str">
        <f>'Recurrentes 24-26'!AZ41</f>
        <v/>
      </c>
      <c r="BA39" s="1064">
        <f>'Recurrentes 24-26'!BA41</f>
        <v>3952.7232</v>
      </c>
      <c r="BB39" s="1064">
        <f>'Recurrentes 24-26'!BB41</f>
        <v>1482.2712</v>
      </c>
      <c r="BC39" s="1064">
        <f>'Recurrentes 24-26'!BC41</f>
        <v>3952.7232</v>
      </c>
      <c r="BD39" s="1064">
        <f>'Recurrentes 24-26'!BD41</f>
        <v>1976.3616</v>
      </c>
      <c r="BE39" s="1064">
        <f>'Recurrentes 24-26'!BE41</f>
        <v>2470.452</v>
      </c>
      <c r="BF39" s="1064">
        <f>'Recurrentes 24-26'!BF41</f>
        <v>4446.8136</v>
      </c>
      <c r="BG39" s="1064">
        <f>'Recurrentes 24-26'!BG41</f>
        <v>0</v>
      </c>
      <c r="BH39" s="1064">
        <f>'Recurrentes 24-26'!BH41</f>
        <v>0</v>
      </c>
      <c r="BI39" s="1064">
        <f>'Recurrentes 24-26'!BI41</f>
        <v>0</v>
      </c>
      <c r="BJ39" s="1064">
        <f>'Recurrentes 24-26'!BJ41</f>
        <v>3952.7232</v>
      </c>
      <c r="BK39" s="451"/>
      <c r="BL39" s="1062">
        <f>'Recurrentes 24-26'!BK41</f>
        <v>22234.068</v>
      </c>
      <c r="BM39" s="1064">
        <f>'Recurrentes 24-26'!BL41</f>
        <v>3952.7232</v>
      </c>
      <c r="BN39" s="1064">
        <f>'Recurrentes 24-26'!BM41</f>
        <v>1482.2712</v>
      </c>
      <c r="BO39" s="1064">
        <f>'Recurrentes 24-26'!BN41</f>
        <v>3952.7232</v>
      </c>
      <c r="BP39" s="1064">
        <f>'Recurrentes 24-26'!BO41</f>
        <v>2470.452</v>
      </c>
      <c r="BQ39" s="1064">
        <f>'Recurrentes 24-26'!BP41</f>
        <v>2470.452</v>
      </c>
      <c r="BR39" s="1064">
        <f>'Recurrentes 24-26'!BQ41</f>
        <v>4940.904</v>
      </c>
      <c r="BS39" s="1064">
        <f>'Recurrentes 24-26'!BR41</f>
        <v>0</v>
      </c>
      <c r="BT39" s="1064">
        <f>'Recurrentes 24-26'!BS41</f>
        <v>0</v>
      </c>
      <c r="BU39" s="1064">
        <f>'Recurrentes 24-26'!BT41</f>
        <v>0</v>
      </c>
      <c r="BV39" s="1064">
        <f>'Recurrentes 24-26'!BU41</f>
        <v>3952.7232</v>
      </c>
      <c r="BW39" s="451"/>
      <c r="BX39" s="1062">
        <f>'Recurrentes 24-26'!BV41</f>
        <v>23222.2488</v>
      </c>
      <c r="BY39" s="1064">
        <f>'Recurrentes 24-26'!BW41</f>
        <v>3952.7232</v>
      </c>
      <c r="BZ39" s="1064">
        <f>'Recurrentes 24-26'!BX41</f>
        <v>1482.2712</v>
      </c>
      <c r="CA39" s="1064">
        <f>'Recurrentes 24-26'!BY41</f>
        <v>3952.7232</v>
      </c>
      <c r="CB39" s="1064">
        <f>'Recurrentes 24-26'!BZ41</f>
        <v>2470.452</v>
      </c>
      <c r="CC39" s="1064">
        <f>'Recurrentes 24-26'!CA41</f>
        <v>2470.452</v>
      </c>
      <c r="CD39" s="1064">
        <f>'Recurrentes 24-26'!CB41</f>
        <v>4940.904</v>
      </c>
      <c r="CE39" s="1064">
        <f>'Recurrentes 24-26'!CC41</f>
        <v>0</v>
      </c>
      <c r="CF39" s="1064">
        <f>'Recurrentes 24-26'!CD41</f>
        <v>0</v>
      </c>
      <c r="CG39" s="1064">
        <f>'Recurrentes 24-26'!CE41</f>
        <v>0</v>
      </c>
      <c r="CH39" s="1064">
        <f>'Recurrentes 24-26'!CF41</f>
        <v>3952.7232</v>
      </c>
      <c r="CI39" s="451"/>
      <c r="CJ39" s="1062">
        <f>'Recurrentes 24-26'!CG41</f>
        <v>23222.2488</v>
      </c>
      <c r="CK39" s="1062">
        <f>'Recurrentes 24-26'!CH41</f>
        <v>68678.5656</v>
      </c>
      <c r="CL39" s="451" t="str">
        <f>'Recurrentes 24-26'!CI41</f>
        <v/>
      </c>
      <c r="CM39" s="1064" t="str">
        <f>'Recurrentes 24-26'!CJ41</f>
        <v/>
      </c>
      <c r="CN39" s="451">
        <f>'Recurrentes 24-26'!CK41</f>
        <v>1</v>
      </c>
      <c r="CO39" s="1062">
        <f>'Recurrentes 24-26'!CL41</f>
        <v>70.99</v>
      </c>
      <c r="CP39" s="451" t="str">
        <f>'Recurrentes 24-26'!CM41</f>
        <v/>
      </c>
    </row>
    <row r="40">
      <c r="A40" s="451" t="str">
        <f>'Recurrentes 24-26'!A42</f>
        <v>Repuestos Electromecánicos recurrentes</v>
      </c>
      <c r="B40" s="451">
        <f>'Recurrentes 24-26'!B42</f>
        <v>2</v>
      </c>
      <c r="C40" s="451" t="str">
        <f>'Recurrentes 24-26'!C42</f>
        <v>Estaciones</v>
      </c>
      <c r="D40" s="451" t="str">
        <f>'Recurrentes 24-26'!D42</f>
        <v>Cambio Correas</v>
      </c>
      <c r="E40" s="451" t="str">
        <f>'Recurrentes 24-26'!E42</f>
        <v>Repuesto Mecánico</v>
      </c>
      <c r="F40" s="451" t="str">
        <f>'Recurrentes 24-26'!F42</f>
        <v>TDB</v>
      </c>
      <c r="G40" s="1025" t="str">
        <f>'Recurrentes 24-26'!G42</f>
        <v>39800</v>
      </c>
      <c r="H40" s="1061" t="str">
        <f>'Recurrentes 24-26'!H42</f>
        <v>2-01-00004</v>
      </c>
      <c r="I40" s="1061" t="str">
        <f>'Recurrentes 24-26'!I42</f>
        <v>10388513</v>
      </c>
      <c r="J40" s="1061" t="str">
        <f>'Recurrentes 24-26'!J42</f>
        <v>CORREA TRAPEZOIDAL XPC LW=1960 MM DIN 7753-1</v>
      </c>
      <c r="K40" s="451" t="str">
        <f>'Recurrentes 24-26'!K42</f>
        <v>Pza</v>
      </c>
      <c r="L40" s="451">
        <f>'Recurrentes 24-26'!L42</f>
        <v>0</v>
      </c>
      <c r="M40" s="451">
        <f>'Recurrentes 24-26'!M42</f>
        <v>0</v>
      </c>
      <c r="N40" s="451">
        <f>'Recurrentes 24-26'!N42</f>
        <v>0</v>
      </c>
      <c r="O40" s="451">
        <f>'Recurrentes 24-26'!O42</f>
        <v>0</v>
      </c>
      <c r="P40" s="451">
        <f>'Recurrentes 24-26'!P42</f>
        <v>0</v>
      </c>
      <c r="Q40" s="451">
        <f>'Recurrentes 24-26'!Q42</f>
        <v>0</v>
      </c>
      <c r="R40" s="451">
        <f>'Recurrentes 24-26'!R42</f>
        <v>0</v>
      </c>
      <c r="S40" s="451">
        <f>'Recurrentes 24-26'!S42</f>
        <v>0</v>
      </c>
      <c r="T40" s="451">
        <f>'Recurrentes 24-26'!T42</f>
        <v>0</v>
      </c>
      <c r="U40" s="451">
        <f>'Recurrentes 24-26'!U42</f>
        <v>0</v>
      </c>
      <c r="V40" s="451">
        <f>'Recurrentes 24-26'!V42</f>
        <v>0</v>
      </c>
      <c r="W40" s="1062">
        <f>'Recurrentes 24-26'!W42</f>
        <v>0</v>
      </c>
      <c r="X40" s="451">
        <f>'Recurrentes 24-26'!X42</f>
        <v>15</v>
      </c>
      <c r="Y40" s="451">
        <f>'Recurrentes 24-26'!Y42</f>
        <v>10</v>
      </c>
      <c r="Z40" s="451">
        <f>'Recurrentes 24-26'!Z42</f>
        <v>15</v>
      </c>
      <c r="AA40" s="451">
        <f>'Recurrentes 24-26'!AA42</f>
        <v>0</v>
      </c>
      <c r="AB40" s="451">
        <f>'Recurrentes 24-26'!AB42</f>
        <v>12</v>
      </c>
      <c r="AC40" s="451">
        <f>'Recurrentes 24-26'!AC42</f>
        <v>0</v>
      </c>
      <c r="AD40" s="451">
        <f>'Recurrentes 24-26'!AD42</f>
        <v>0</v>
      </c>
      <c r="AE40" s="451">
        <f>'Recurrentes 24-26'!AE42</f>
        <v>0</v>
      </c>
      <c r="AF40" s="451">
        <f>'Recurrentes 24-26'!AF42</f>
        <v>2</v>
      </c>
      <c r="AG40" s="451">
        <f>'Recurrentes 24-26'!AG42</f>
        <v>0</v>
      </c>
      <c r="AH40" s="451">
        <f>'Recurrentes 24-26'!AH42</f>
        <v>0</v>
      </c>
      <c r="AI40" s="1062">
        <f>'Recurrentes 24-26'!AI42</f>
        <v>54</v>
      </c>
      <c r="AJ40" s="451">
        <f>'Recurrentes 24-26'!AJ42</f>
        <v>15</v>
      </c>
      <c r="AK40" s="451">
        <f>'Recurrentes 24-26'!AK42</f>
        <v>10</v>
      </c>
      <c r="AL40" s="451">
        <f>'Recurrentes 24-26'!AL42</f>
        <v>15</v>
      </c>
      <c r="AM40" s="451">
        <f>'Recurrentes 24-26'!AM42</f>
        <v>0</v>
      </c>
      <c r="AN40" s="451">
        <f>'Recurrentes 24-26'!AN42</f>
        <v>12</v>
      </c>
      <c r="AO40" s="451">
        <f>'Recurrentes 24-26'!AO42</f>
        <v>0</v>
      </c>
      <c r="AP40" s="451">
        <f>'Recurrentes 24-26'!AP42</f>
        <v>0</v>
      </c>
      <c r="AQ40" s="451">
        <f>'Recurrentes 24-26'!AQ42</f>
        <v>0</v>
      </c>
      <c r="AR40" s="451">
        <f>'Recurrentes 24-26'!AR42</f>
        <v>2</v>
      </c>
      <c r="AS40" s="451">
        <f>'Recurrentes 24-26'!AS42</f>
        <v>0</v>
      </c>
      <c r="AT40" s="451">
        <f>'Recurrentes 24-26'!AT42</f>
        <v>0</v>
      </c>
      <c r="AU40" s="1062">
        <f>'Recurrentes 24-26'!AU42</f>
        <v>54</v>
      </c>
      <c r="AV40" s="1063">
        <f>'Recurrentes 24-26'!AV42</f>
        <v>108</v>
      </c>
      <c r="AW40" s="451" t="str">
        <f>'Recurrentes 24-26'!AW42</f>
        <v/>
      </c>
      <c r="AX40" s="1062">
        <f>'Recurrentes 24-26'!AX42</f>
        <v>86.76</v>
      </c>
      <c r="AY40" s="1062">
        <f>'Recurrentes 24-26'!AY42</f>
        <v>603.8496</v>
      </c>
      <c r="AZ40" s="1064" t="str">
        <f>'Recurrentes 24-26'!AZ42</f>
        <v/>
      </c>
      <c r="BA40" s="1064">
        <f>'Recurrentes 24-26'!BA42</f>
        <v>0</v>
      </c>
      <c r="BB40" s="1064">
        <f>'Recurrentes 24-26'!BB42</f>
        <v>0</v>
      </c>
      <c r="BC40" s="1064">
        <f>'Recurrentes 24-26'!BC42</f>
        <v>0</v>
      </c>
      <c r="BD40" s="1064">
        <f>'Recurrentes 24-26'!BD42</f>
        <v>0</v>
      </c>
      <c r="BE40" s="1064">
        <f>'Recurrentes 24-26'!BE42</f>
        <v>0</v>
      </c>
      <c r="BF40" s="1064">
        <f>'Recurrentes 24-26'!BF42</f>
        <v>0</v>
      </c>
      <c r="BG40" s="1064">
        <f>'Recurrentes 24-26'!BG42</f>
        <v>0</v>
      </c>
      <c r="BH40" s="1064">
        <f>'Recurrentes 24-26'!BH42</f>
        <v>0</v>
      </c>
      <c r="BI40" s="1064">
        <f>'Recurrentes 24-26'!BI42</f>
        <v>0</v>
      </c>
      <c r="BJ40" s="1064">
        <f>'Recurrentes 24-26'!BJ42</f>
        <v>0</v>
      </c>
      <c r="BK40" s="451"/>
      <c r="BL40" s="1062">
        <f>'Recurrentes 24-26'!BK42</f>
        <v>0</v>
      </c>
      <c r="BM40" s="1064">
        <f>'Recurrentes 24-26'!BL42</f>
        <v>9057.744</v>
      </c>
      <c r="BN40" s="1064">
        <f>'Recurrentes 24-26'!BM42</f>
        <v>6038.496</v>
      </c>
      <c r="BO40" s="1064">
        <f>'Recurrentes 24-26'!BN42</f>
        <v>9057.744</v>
      </c>
      <c r="BP40" s="1064">
        <f>'Recurrentes 24-26'!BO42</f>
        <v>0</v>
      </c>
      <c r="BQ40" s="1064">
        <f>'Recurrentes 24-26'!BP42</f>
        <v>7246.1952</v>
      </c>
      <c r="BR40" s="1064">
        <f>'Recurrentes 24-26'!BQ42</f>
        <v>0</v>
      </c>
      <c r="BS40" s="1064">
        <f>'Recurrentes 24-26'!BR42</f>
        <v>0</v>
      </c>
      <c r="BT40" s="1064">
        <f>'Recurrentes 24-26'!BS42</f>
        <v>0</v>
      </c>
      <c r="BU40" s="1064">
        <f>'Recurrentes 24-26'!BT42</f>
        <v>1207.6992</v>
      </c>
      <c r="BV40" s="1064">
        <f>'Recurrentes 24-26'!BU42</f>
        <v>0</v>
      </c>
      <c r="BW40" s="451"/>
      <c r="BX40" s="1062">
        <f>'Recurrentes 24-26'!BV42</f>
        <v>32607.8784</v>
      </c>
      <c r="BY40" s="1064">
        <f>'Recurrentes 24-26'!BW42</f>
        <v>9057.744</v>
      </c>
      <c r="BZ40" s="1064">
        <f>'Recurrentes 24-26'!BX42</f>
        <v>6038.496</v>
      </c>
      <c r="CA40" s="1064">
        <f>'Recurrentes 24-26'!BY42</f>
        <v>9057.744</v>
      </c>
      <c r="CB40" s="1064">
        <f>'Recurrentes 24-26'!BZ42</f>
        <v>0</v>
      </c>
      <c r="CC40" s="1064">
        <f>'Recurrentes 24-26'!CA42</f>
        <v>7246.1952</v>
      </c>
      <c r="CD40" s="1064">
        <f>'Recurrentes 24-26'!CB42</f>
        <v>0</v>
      </c>
      <c r="CE40" s="1064">
        <f>'Recurrentes 24-26'!CC42</f>
        <v>0</v>
      </c>
      <c r="CF40" s="1064">
        <f>'Recurrentes 24-26'!CD42</f>
        <v>0</v>
      </c>
      <c r="CG40" s="1064">
        <f>'Recurrentes 24-26'!CE42</f>
        <v>1207.6992</v>
      </c>
      <c r="CH40" s="1064">
        <f>'Recurrentes 24-26'!CF42</f>
        <v>0</v>
      </c>
      <c r="CI40" s="451"/>
      <c r="CJ40" s="1062">
        <f>'Recurrentes 24-26'!CG42</f>
        <v>32607.8784</v>
      </c>
      <c r="CK40" s="1062">
        <f>'Recurrentes 24-26'!CH42</f>
        <v>65215.7568</v>
      </c>
      <c r="CL40" s="451" t="str">
        <f>'Recurrentes 24-26'!CI42</f>
        <v/>
      </c>
      <c r="CM40" s="1064" t="str">
        <f>'Recurrentes 24-26'!CJ42</f>
        <v/>
      </c>
      <c r="CN40" s="451">
        <f>'Recurrentes 24-26'!CK42</f>
        <v>1</v>
      </c>
      <c r="CO40" s="1062">
        <f>'Recurrentes 24-26'!CL42</f>
        <v>86.76</v>
      </c>
      <c r="CP40" s="451" t="str">
        <f>'Recurrentes 24-26'!CM42</f>
        <v/>
      </c>
    </row>
    <row r="41">
      <c r="A41" s="451" t="str">
        <f>'Recurrentes 24-26'!A43</f>
        <v>Repuestos Electromecánicos recurrentes</v>
      </c>
      <c r="B41" s="451">
        <f>'Recurrentes 24-26'!B43</f>
        <v>2</v>
      </c>
      <c r="C41" s="451" t="str">
        <f>'Recurrentes 24-26'!C43</f>
        <v>Torres</v>
      </c>
      <c r="D41" s="451" t="str">
        <f>'Recurrentes 24-26'!D43</f>
        <v>Reacondionamiento y cambio de Poleas de torre</v>
      </c>
      <c r="E41" s="451" t="str">
        <f>'Recurrentes 24-26'!E43</f>
        <v>Repuesto Mecánico</v>
      </c>
      <c r="F41" s="451" t="str">
        <f>'Recurrentes 24-26'!F43</f>
        <v>TDB</v>
      </c>
      <c r="G41" s="1025" t="str">
        <f>'Recurrentes 24-26'!G43</f>
        <v>39800</v>
      </c>
      <c r="H41" s="1061" t="str">
        <f>'Recurrentes 24-26'!H43</f>
        <v>2-01-00042</v>
      </c>
      <c r="I41" s="1061" t="str">
        <f>'Recurrentes 24-26'!I43</f>
        <v>10456209</v>
      </c>
      <c r="J41" s="1061" t="str">
        <f>'Recurrentes 24-26'!J43</f>
        <v>PERNO DIA.24,9 LN 192 M20      PARA POLEA TIPO 420C</v>
      </c>
      <c r="K41" s="451" t="str">
        <f>'Recurrentes 24-26'!K43</f>
        <v>Pza</v>
      </c>
      <c r="L41" s="451">
        <f>'Recurrentes 24-26'!L43</f>
        <v>14</v>
      </c>
      <c r="M41" s="451">
        <f>'Recurrentes 24-26'!M43</f>
        <v>9</v>
      </c>
      <c r="N41" s="451">
        <f>'Recurrentes 24-26'!N43</f>
        <v>14</v>
      </c>
      <c r="O41" s="451">
        <f>'Recurrentes 24-26'!O43</f>
        <v>9</v>
      </c>
      <c r="P41" s="451">
        <f>'Recurrentes 24-26'!P43</f>
        <v>9</v>
      </c>
      <c r="Q41" s="451">
        <f>'Recurrentes 24-26'!Q43</f>
        <v>9</v>
      </c>
      <c r="R41" s="451">
        <f>'Recurrentes 24-26'!R43</f>
        <v>4</v>
      </c>
      <c r="S41" s="451">
        <f>'Recurrentes 24-26'!S43</f>
        <v>5</v>
      </c>
      <c r="T41" s="451">
        <f>'Recurrentes 24-26'!T43</f>
        <v>1</v>
      </c>
      <c r="U41" s="451">
        <f>'Recurrentes 24-26'!U43</f>
        <v>0</v>
      </c>
      <c r="V41" s="451">
        <f>'Recurrentes 24-26'!V43</f>
        <v>0</v>
      </c>
      <c r="W41" s="1062">
        <f>'Recurrentes 24-26'!W43</f>
        <v>74</v>
      </c>
      <c r="X41" s="451">
        <f>'Recurrentes 24-26'!X43</f>
        <v>15</v>
      </c>
      <c r="Y41" s="451">
        <f>'Recurrentes 24-26'!Y43</f>
        <v>10</v>
      </c>
      <c r="Z41" s="451">
        <f>'Recurrentes 24-26'!Z43</f>
        <v>15</v>
      </c>
      <c r="AA41" s="451">
        <f>'Recurrentes 24-26'!AA43</f>
        <v>10</v>
      </c>
      <c r="AB41" s="451">
        <f>'Recurrentes 24-26'!AB43</f>
        <v>10</v>
      </c>
      <c r="AC41" s="451">
        <f>'Recurrentes 24-26'!AC43</f>
        <v>10</v>
      </c>
      <c r="AD41" s="451">
        <f>'Recurrentes 24-26'!AD43</f>
        <v>4</v>
      </c>
      <c r="AE41" s="451">
        <f>'Recurrentes 24-26'!AE43</f>
        <v>5</v>
      </c>
      <c r="AF41" s="451">
        <f>'Recurrentes 24-26'!AF43</f>
        <v>1</v>
      </c>
      <c r="AG41" s="451">
        <f>'Recurrentes 24-26'!AG43</f>
        <v>0</v>
      </c>
      <c r="AH41" s="451">
        <f>'Recurrentes 24-26'!AH43</f>
        <v>0</v>
      </c>
      <c r="AI41" s="1062">
        <f>'Recurrentes 24-26'!AI43</f>
        <v>80</v>
      </c>
      <c r="AJ41" s="451">
        <f>'Recurrentes 24-26'!AJ43</f>
        <v>15</v>
      </c>
      <c r="AK41" s="451">
        <f>'Recurrentes 24-26'!AK43</f>
        <v>10</v>
      </c>
      <c r="AL41" s="451">
        <f>'Recurrentes 24-26'!AL43</f>
        <v>15</v>
      </c>
      <c r="AM41" s="451">
        <f>'Recurrentes 24-26'!AM43</f>
        <v>10</v>
      </c>
      <c r="AN41" s="451">
        <f>'Recurrentes 24-26'!AN43</f>
        <v>10</v>
      </c>
      <c r="AO41" s="451">
        <f>'Recurrentes 24-26'!AO43</f>
        <v>10</v>
      </c>
      <c r="AP41" s="451">
        <f>'Recurrentes 24-26'!AP43</f>
        <v>4</v>
      </c>
      <c r="AQ41" s="451">
        <f>'Recurrentes 24-26'!AQ43</f>
        <v>5</v>
      </c>
      <c r="AR41" s="451">
        <f>'Recurrentes 24-26'!AR43</f>
        <v>1</v>
      </c>
      <c r="AS41" s="451">
        <f>'Recurrentes 24-26'!AS43</f>
        <v>6</v>
      </c>
      <c r="AT41" s="451">
        <f>'Recurrentes 24-26'!AT43</f>
        <v>0</v>
      </c>
      <c r="AU41" s="1062">
        <f>'Recurrentes 24-26'!AU43</f>
        <v>86</v>
      </c>
      <c r="AV41" s="1063">
        <f>'Recurrentes 24-26'!AV43</f>
        <v>240</v>
      </c>
      <c r="AW41" s="451" t="str">
        <f>'Recurrentes 24-26'!AW43</f>
        <v/>
      </c>
      <c r="AX41" s="1062">
        <f>'Recurrentes 24-26'!AX43</f>
        <v>38.57</v>
      </c>
      <c r="AY41" s="1062">
        <f>'Recurrentes 24-26'!AY43</f>
        <v>268.4472</v>
      </c>
      <c r="AZ41" s="1064" t="str">
        <f>'Recurrentes 24-26'!AZ43</f>
        <v/>
      </c>
      <c r="BA41" s="1064">
        <f>'Recurrentes 24-26'!BA43</f>
        <v>3758.2608</v>
      </c>
      <c r="BB41" s="1064">
        <f>'Recurrentes 24-26'!BB43</f>
        <v>2416.0248</v>
      </c>
      <c r="BC41" s="1064">
        <f>'Recurrentes 24-26'!BC43</f>
        <v>3758.2608</v>
      </c>
      <c r="BD41" s="1064">
        <f>'Recurrentes 24-26'!BD43</f>
        <v>2416.0248</v>
      </c>
      <c r="BE41" s="1064">
        <f>'Recurrentes 24-26'!BE43</f>
        <v>2416.0248</v>
      </c>
      <c r="BF41" s="1064">
        <f>'Recurrentes 24-26'!BF43</f>
        <v>2416.0248</v>
      </c>
      <c r="BG41" s="1064">
        <f>'Recurrentes 24-26'!BG43</f>
        <v>1073.7888</v>
      </c>
      <c r="BH41" s="1064">
        <f>'Recurrentes 24-26'!BH43</f>
        <v>1342.236</v>
      </c>
      <c r="BI41" s="1064">
        <f>'Recurrentes 24-26'!BI43</f>
        <v>268.4472</v>
      </c>
      <c r="BJ41" s="1064">
        <f>'Recurrentes 24-26'!BJ43</f>
        <v>0</v>
      </c>
      <c r="BK41" s="451"/>
      <c r="BL41" s="1062">
        <f>'Recurrentes 24-26'!BK43</f>
        <v>19865.0928</v>
      </c>
      <c r="BM41" s="1064">
        <f>'Recurrentes 24-26'!BL43</f>
        <v>4026.708</v>
      </c>
      <c r="BN41" s="1064">
        <f>'Recurrentes 24-26'!BM43</f>
        <v>2684.472</v>
      </c>
      <c r="BO41" s="1064">
        <f>'Recurrentes 24-26'!BN43</f>
        <v>4026.708</v>
      </c>
      <c r="BP41" s="1064">
        <f>'Recurrentes 24-26'!BO43</f>
        <v>2684.472</v>
      </c>
      <c r="BQ41" s="1064">
        <f>'Recurrentes 24-26'!BP43</f>
        <v>2684.472</v>
      </c>
      <c r="BR41" s="1064">
        <f>'Recurrentes 24-26'!BQ43</f>
        <v>2684.472</v>
      </c>
      <c r="BS41" s="1064">
        <f>'Recurrentes 24-26'!BR43</f>
        <v>1073.7888</v>
      </c>
      <c r="BT41" s="1064">
        <f>'Recurrentes 24-26'!BS43</f>
        <v>1342.236</v>
      </c>
      <c r="BU41" s="1064">
        <f>'Recurrentes 24-26'!BT43</f>
        <v>268.4472</v>
      </c>
      <c r="BV41" s="1064">
        <f>'Recurrentes 24-26'!BU43</f>
        <v>0</v>
      </c>
      <c r="BW41" s="451"/>
      <c r="BX41" s="1062">
        <f>'Recurrentes 24-26'!BV43</f>
        <v>21475.776</v>
      </c>
      <c r="BY41" s="1064">
        <f>'Recurrentes 24-26'!BW43</f>
        <v>4026.708</v>
      </c>
      <c r="BZ41" s="1064">
        <f>'Recurrentes 24-26'!BX43</f>
        <v>2684.472</v>
      </c>
      <c r="CA41" s="1064">
        <f>'Recurrentes 24-26'!BY43</f>
        <v>4026.708</v>
      </c>
      <c r="CB41" s="1064">
        <f>'Recurrentes 24-26'!BZ43</f>
        <v>2684.472</v>
      </c>
      <c r="CC41" s="1064">
        <f>'Recurrentes 24-26'!CA43</f>
        <v>2684.472</v>
      </c>
      <c r="CD41" s="1064">
        <f>'Recurrentes 24-26'!CB43</f>
        <v>2684.472</v>
      </c>
      <c r="CE41" s="1064">
        <f>'Recurrentes 24-26'!CC43</f>
        <v>1073.7888</v>
      </c>
      <c r="CF41" s="1064">
        <f>'Recurrentes 24-26'!CD43</f>
        <v>1342.236</v>
      </c>
      <c r="CG41" s="1064">
        <f>'Recurrentes 24-26'!CE43</f>
        <v>268.4472</v>
      </c>
      <c r="CH41" s="1064">
        <f>'Recurrentes 24-26'!CF43</f>
        <v>1610.6832</v>
      </c>
      <c r="CI41" s="451"/>
      <c r="CJ41" s="1062">
        <f>'Recurrentes 24-26'!CG43</f>
        <v>23086.4592</v>
      </c>
      <c r="CK41" s="1062">
        <f>'Recurrentes 24-26'!CH43</f>
        <v>64427.328</v>
      </c>
      <c r="CL41" s="451" t="str">
        <f>'Recurrentes 24-26'!CI43</f>
        <v/>
      </c>
      <c r="CM41" s="1064" t="str">
        <f>'Recurrentes 24-26'!CJ43</f>
        <v/>
      </c>
      <c r="CN41" s="451">
        <f>'Recurrentes 24-26'!CK43</f>
        <v>1</v>
      </c>
      <c r="CO41" s="1062">
        <f>'Recurrentes 24-26'!CL43</f>
        <v>38.57</v>
      </c>
      <c r="CP41" s="451" t="str">
        <f>'Recurrentes 24-26'!CM43</f>
        <v/>
      </c>
    </row>
    <row r="42">
      <c r="A42" s="451" t="str">
        <f>'Recurrentes 24-26'!A44</f>
        <v>Repuestos Electromecánicos recurrentes</v>
      </c>
      <c r="B42" s="451">
        <f>'Recurrentes 24-26'!B44</f>
        <v>2</v>
      </c>
      <c r="C42" s="451" t="str">
        <f>'Recurrentes 24-26'!C44</f>
        <v>Vehículo</v>
      </c>
      <c r="D42" s="451" t="str">
        <f>'Recurrentes 24-26'!D44</f>
        <v>Manto. Pinza</v>
      </c>
      <c r="E42" s="451" t="str">
        <f>'Recurrentes 24-26'!E44</f>
        <v>Repuesto Mecánico</v>
      </c>
      <c r="F42" s="451" t="str">
        <f>'Recurrentes 24-26'!F44</f>
        <v>TDB</v>
      </c>
      <c r="G42" s="1025" t="str">
        <f>'Recurrentes 24-26'!G44</f>
        <v>39800</v>
      </c>
      <c r="H42" s="1061" t="str">
        <f>'Recurrentes 24-26'!H44</f>
        <v>2-01-00016</v>
      </c>
      <c r="I42" s="1061" t="str">
        <f>'Recurrentes 24-26'!I44</f>
        <v>10000594</v>
      </c>
      <c r="J42" s="1061" t="str">
        <f>'Recurrentes 24-26'!J44</f>
        <v>PASADOR SUJ. DIN1481 10  X 50 CON RECUBR.DACROMET (I</v>
      </c>
      <c r="K42" s="451" t="str">
        <f>'Recurrentes 24-26'!K44</f>
        <v>Pza</v>
      </c>
      <c r="L42" s="451">
        <f>'Recurrentes 24-26'!L44</f>
        <v>0</v>
      </c>
      <c r="M42" s="451">
        <f>'Recurrentes 24-26'!M44</f>
        <v>0</v>
      </c>
      <c r="N42" s="451">
        <f>'Recurrentes 24-26'!N44</f>
        <v>0</v>
      </c>
      <c r="O42" s="451">
        <f>'Recurrentes 24-26'!O44</f>
        <v>222</v>
      </c>
      <c r="P42" s="451">
        <f>'Recurrentes 24-26'!P44</f>
        <v>104</v>
      </c>
      <c r="Q42" s="451">
        <f>'Recurrentes 24-26'!Q44</f>
        <v>0</v>
      </c>
      <c r="R42" s="451">
        <f>'Recurrentes 24-26'!R44</f>
        <v>0</v>
      </c>
      <c r="S42" s="451">
        <f>'Recurrentes 24-26'!S44</f>
        <v>40</v>
      </c>
      <c r="T42" s="451">
        <f>'Recurrentes 24-26'!T44</f>
        <v>0</v>
      </c>
      <c r="U42" s="451">
        <f>'Recurrentes 24-26'!U44</f>
        <v>0</v>
      </c>
      <c r="V42" s="451">
        <f>'Recurrentes 24-26'!V44</f>
        <v>0</v>
      </c>
      <c r="W42" s="1062">
        <f>'Recurrentes 24-26'!W44</f>
        <v>366</v>
      </c>
      <c r="X42" s="451">
        <f>'Recurrentes 24-26'!X44</f>
        <v>394</v>
      </c>
      <c r="Y42" s="451">
        <f>'Recurrentes 24-26'!Y44</f>
        <v>234</v>
      </c>
      <c r="Z42" s="451">
        <f>'Recurrentes 24-26'!Z44</f>
        <v>344</v>
      </c>
      <c r="AA42" s="451">
        <f>'Recurrentes 24-26'!AA44</f>
        <v>222</v>
      </c>
      <c r="AB42" s="451">
        <f>'Recurrentes 24-26'!AB44</f>
        <v>254</v>
      </c>
      <c r="AC42" s="451">
        <f>'Recurrentes 24-26'!AC44</f>
        <v>420</v>
      </c>
      <c r="AD42" s="451">
        <f>'Recurrentes 24-26'!AD44</f>
        <v>266</v>
      </c>
      <c r="AE42" s="451">
        <f>'Recurrentes 24-26'!AE44</f>
        <v>354</v>
      </c>
      <c r="AF42" s="451">
        <f>'Recurrentes 24-26'!AF44</f>
        <v>54</v>
      </c>
      <c r="AG42" s="451">
        <f>'Recurrentes 24-26'!AG44</f>
        <v>350</v>
      </c>
      <c r="AH42" s="451">
        <f>'Recurrentes 24-26'!AH44</f>
        <v>0</v>
      </c>
      <c r="AI42" s="1062">
        <f>'Recurrentes 24-26'!AI44</f>
        <v>2892</v>
      </c>
      <c r="AJ42" s="451">
        <f>'Recurrentes 24-26'!AJ44</f>
        <v>394</v>
      </c>
      <c r="AK42" s="451">
        <f>'Recurrentes 24-26'!AK44</f>
        <v>234</v>
      </c>
      <c r="AL42" s="451">
        <f>'Recurrentes 24-26'!AL44</f>
        <v>344</v>
      </c>
      <c r="AM42" s="451">
        <f>'Recurrentes 24-26'!AM44</f>
        <v>222</v>
      </c>
      <c r="AN42" s="451">
        <f>'Recurrentes 24-26'!AN44</f>
        <v>254</v>
      </c>
      <c r="AO42" s="451">
        <f>'Recurrentes 24-26'!AO44</f>
        <v>420</v>
      </c>
      <c r="AP42" s="451">
        <f>'Recurrentes 24-26'!AP44</f>
        <v>266</v>
      </c>
      <c r="AQ42" s="451">
        <f>'Recurrentes 24-26'!AQ44</f>
        <v>354</v>
      </c>
      <c r="AR42" s="451">
        <f>'Recurrentes 24-26'!AR44</f>
        <v>54</v>
      </c>
      <c r="AS42" s="451">
        <f>'Recurrentes 24-26'!AS44</f>
        <v>350</v>
      </c>
      <c r="AT42" s="451">
        <f>'Recurrentes 24-26'!AT44</f>
        <v>0</v>
      </c>
      <c r="AU42" s="1062">
        <f>'Recurrentes 24-26'!AU44</f>
        <v>2892</v>
      </c>
      <c r="AV42" s="1063">
        <f>'Recurrentes 24-26'!AV44</f>
        <v>6150</v>
      </c>
      <c r="AW42" s="451" t="str">
        <f>'Recurrentes 24-26'!AW44</f>
        <v/>
      </c>
      <c r="AX42" s="1062">
        <f>'Recurrentes 24-26'!AX44</f>
        <v>1.42</v>
      </c>
      <c r="AY42" s="1062">
        <f>'Recurrentes 24-26'!AY44</f>
        <v>9.8832</v>
      </c>
      <c r="AZ42" s="1064" t="str">
        <f>'Recurrentes 24-26'!AZ44</f>
        <v/>
      </c>
      <c r="BA42" s="1064">
        <f>'Recurrentes 24-26'!BA44</f>
        <v>0</v>
      </c>
      <c r="BB42" s="1064">
        <f>'Recurrentes 24-26'!BB44</f>
        <v>0</v>
      </c>
      <c r="BC42" s="1064">
        <f>'Recurrentes 24-26'!BC44</f>
        <v>0</v>
      </c>
      <c r="BD42" s="1064">
        <f>'Recurrentes 24-26'!BD44</f>
        <v>2194.0704</v>
      </c>
      <c r="BE42" s="1064">
        <f>'Recurrentes 24-26'!BE44</f>
        <v>1027.8528</v>
      </c>
      <c r="BF42" s="1064">
        <f>'Recurrentes 24-26'!BF44</f>
        <v>0</v>
      </c>
      <c r="BG42" s="1064">
        <f>'Recurrentes 24-26'!BG44</f>
        <v>0</v>
      </c>
      <c r="BH42" s="1064">
        <f>'Recurrentes 24-26'!BH44</f>
        <v>395.328</v>
      </c>
      <c r="BI42" s="1064">
        <f>'Recurrentes 24-26'!BI44</f>
        <v>0</v>
      </c>
      <c r="BJ42" s="1064">
        <f>'Recurrentes 24-26'!BJ44</f>
        <v>0</v>
      </c>
      <c r="BK42" s="451"/>
      <c r="BL42" s="1062">
        <f>'Recurrentes 24-26'!BK44</f>
        <v>3617.2512</v>
      </c>
      <c r="BM42" s="1064">
        <f>'Recurrentes 24-26'!BL44</f>
        <v>3893.9808</v>
      </c>
      <c r="BN42" s="1064">
        <f>'Recurrentes 24-26'!BM44</f>
        <v>2312.6688</v>
      </c>
      <c r="BO42" s="1064">
        <f>'Recurrentes 24-26'!BN44</f>
        <v>3399.8208</v>
      </c>
      <c r="BP42" s="1064">
        <f>'Recurrentes 24-26'!BO44</f>
        <v>2194.0704</v>
      </c>
      <c r="BQ42" s="1064">
        <f>'Recurrentes 24-26'!BP44</f>
        <v>2510.3328</v>
      </c>
      <c r="BR42" s="1064">
        <f>'Recurrentes 24-26'!BQ44</f>
        <v>4150.944</v>
      </c>
      <c r="BS42" s="1064">
        <f>'Recurrentes 24-26'!BR44</f>
        <v>2628.9312</v>
      </c>
      <c r="BT42" s="1064">
        <f>'Recurrentes 24-26'!BS44</f>
        <v>3498.6528</v>
      </c>
      <c r="BU42" s="1064">
        <f>'Recurrentes 24-26'!BT44</f>
        <v>533.6928</v>
      </c>
      <c r="BV42" s="1064">
        <f>'Recurrentes 24-26'!BU44</f>
        <v>3459.12</v>
      </c>
      <c r="BW42" s="451"/>
      <c r="BX42" s="1062">
        <f>'Recurrentes 24-26'!BV44</f>
        <v>28582.2144</v>
      </c>
      <c r="BY42" s="1064">
        <f>'Recurrentes 24-26'!BW44</f>
        <v>3893.9808</v>
      </c>
      <c r="BZ42" s="1064">
        <f>'Recurrentes 24-26'!BX44</f>
        <v>2312.6688</v>
      </c>
      <c r="CA42" s="1064">
        <f>'Recurrentes 24-26'!BY44</f>
        <v>3399.8208</v>
      </c>
      <c r="CB42" s="1064">
        <f>'Recurrentes 24-26'!BZ44</f>
        <v>2194.0704</v>
      </c>
      <c r="CC42" s="1064">
        <f>'Recurrentes 24-26'!CA44</f>
        <v>2510.3328</v>
      </c>
      <c r="CD42" s="1064">
        <f>'Recurrentes 24-26'!CB44</f>
        <v>4150.944</v>
      </c>
      <c r="CE42" s="1064">
        <f>'Recurrentes 24-26'!CC44</f>
        <v>2628.9312</v>
      </c>
      <c r="CF42" s="1064">
        <f>'Recurrentes 24-26'!CD44</f>
        <v>3498.6528</v>
      </c>
      <c r="CG42" s="1064">
        <f>'Recurrentes 24-26'!CE44</f>
        <v>533.6928</v>
      </c>
      <c r="CH42" s="1064">
        <f>'Recurrentes 24-26'!CF44</f>
        <v>3459.12</v>
      </c>
      <c r="CI42" s="451"/>
      <c r="CJ42" s="1062">
        <f>'Recurrentes 24-26'!CG44</f>
        <v>28582.2144</v>
      </c>
      <c r="CK42" s="1062">
        <f>'Recurrentes 24-26'!CH44</f>
        <v>60781.68</v>
      </c>
      <c r="CL42" s="451" t="str">
        <f>'Recurrentes 24-26'!CI44</f>
        <v/>
      </c>
      <c r="CM42" s="1064" t="str">
        <f>'Recurrentes 24-26'!CJ44</f>
        <v/>
      </c>
      <c r="CN42" s="451">
        <f>'Recurrentes 24-26'!CK44</f>
        <v>1</v>
      </c>
      <c r="CO42" s="1062">
        <f>'Recurrentes 24-26'!CL44</f>
        <v>1.42</v>
      </c>
      <c r="CP42" s="451" t="str">
        <f>'Recurrentes 24-26'!CM44</f>
        <v/>
      </c>
    </row>
    <row r="43">
      <c r="A43" s="451" t="str">
        <f>'Recurrentes 24-26'!A45</f>
        <v>Repuestos Electromecánicos recurrentes</v>
      </c>
      <c r="B43" s="451">
        <f>'Recurrentes 24-26'!B45</f>
        <v>2</v>
      </c>
      <c r="C43" s="451" t="str">
        <f>'Recurrentes 24-26'!C45</f>
        <v>Torres</v>
      </c>
      <c r="D43" s="451" t="str">
        <f>'Recurrentes 24-26'!D45</f>
        <v>Reacondicionamiento de Poleas Palpadoras</v>
      </c>
      <c r="E43" s="451" t="str">
        <f>'Recurrentes 24-26'!E45</f>
        <v>Repuesto Mecánico</v>
      </c>
      <c r="F43" s="451" t="str">
        <f>'Recurrentes 24-26'!F45</f>
        <v>TDB</v>
      </c>
      <c r="G43" s="1025" t="str">
        <f>'Recurrentes 24-26'!G45</f>
        <v>39800</v>
      </c>
      <c r="H43" s="1061" t="str">
        <f>'Recurrentes 24-26'!H45</f>
        <v>2-01-00509</v>
      </c>
      <c r="I43" s="1061" t="str">
        <f>'Recurrentes 24-26'!I45</f>
        <v>10531093</v>
      </c>
      <c r="J43" s="1061" t="str">
        <f>'Recurrentes 24-26'!J45</f>
        <v>BULÓN DIA. 20,0 LN 193 M16 P.BÁSCULA POLEA SENS.EN BRAZO OSC.</v>
      </c>
      <c r="K43" s="451" t="str">
        <f>'Recurrentes 24-26'!K45</f>
        <v>Pza</v>
      </c>
      <c r="L43" s="451">
        <f>'Recurrentes 24-26'!L45</f>
        <v>0</v>
      </c>
      <c r="M43" s="451">
        <f>'Recurrentes 24-26'!M45</f>
        <v>0</v>
      </c>
      <c r="N43" s="451">
        <f>'Recurrentes 24-26'!N45</f>
        <v>0</v>
      </c>
      <c r="O43" s="451">
        <f>'Recurrentes 24-26'!O45</f>
        <v>0</v>
      </c>
      <c r="P43" s="451">
        <f>'Recurrentes 24-26'!P45</f>
        <v>0</v>
      </c>
      <c r="Q43" s="451">
        <f>'Recurrentes 24-26'!Q45</f>
        <v>0</v>
      </c>
      <c r="R43" s="451">
        <f>'Recurrentes 24-26'!R45</f>
        <v>0</v>
      </c>
      <c r="S43" s="451">
        <f>'Recurrentes 24-26'!S45</f>
        <v>0</v>
      </c>
      <c r="T43" s="451">
        <f>'Recurrentes 24-26'!T45</f>
        <v>0</v>
      </c>
      <c r="U43" s="451">
        <f>'Recurrentes 24-26'!U45</f>
        <v>0</v>
      </c>
      <c r="V43" s="451">
        <f>'Recurrentes 24-26'!V45</f>
        <v>0</v>
      </c>
      <c r="W43" s="1062">
        <f>'Recurrentes 24-26'!W45</f>
        <v>0</v>
      </c>
      <c r="X43" s="451">
        <f>'Recurrentes 24-26'!X45</f>
        <v>8</v>
      </c>
      <c r="Y43" s="451">
        <f>'Recurrentes 24-26'!Y45</f>
        <v>3</v>
      </c>
      <c r="Z43" s="451">
        <f>'Recurrentes 24-26'!Z45</f>
        <v>8</v>
      </c>
      <c r="AA43" s="451">
        <f>'Recurrentes 24-26'!AA45</f>
        <v>2</v>
      </c>
      <c r="AB43" s="451">
        <f>'Recurrentes 24-26'!AB45</f>
        <v>2</v>
      </c>
      <c r="AC43" s="451">
        <f>'Recurrentes 24-26'!AC45</f>
        <v>3</v>
      </c>
      <c r="AD43" s="451">
        <f>'Recurrentes 24-26'!AD45</f>
        <v>14</v>
      </c>
      <c r="AE43" s="451">
        <f>'Recurrentes 24-26'!AE45</f>
        <v>14</v>
      </c>
      <c r="AF43" s="451">
        <f>'Recurrentes 24-26'!AF45</f>
        <v>4</v>
      </c>
      <c r="AG43" s="451">
        <f>'Recurrentes 24-26'!AG45</f>
        <v>16</v>
      </c>
      <c r="AH43" s="451">
        <f>'Recurrentes 24-26'!AH45</f>
        <v>0</v>
      </c>
      <c r="AI43" s="1062">
        <f>'Recurrentes 24-26'!AI45</f>
        <v>74</v>
      </c>
      <c r="AJ43" s="451">
        <f>'Recurrentes 24-26'!AJ45</f>
        <v>8</v>
      </c>
      <c r="AK43" s="451">
        <f>'Recurrentes 24-26'!AK45</f>
        <v>3</v>
      </c>
      <c r="AL43" s="451">
        <f>'Recurrentes 24-26'!AL45</f>
        <v>8</v>
      </c>
      <c r="AM43" s="451">
        <f>'Recurrentes 24-26'!AM45</f>
        <v>2</v>
      </c>
      <c r="AN43" s="451">
        <f>'Recurrentes 24-26'!AN45</f>
        <v>2</v>
      </c>
      <c r="AO43" s="451">
        <f>'Recurrentes 24-26'!AO45</f>
        <v>3</v>
      </c>
      <c r="AP43" s="451">
        <f>'Recurrentes 24-26'!AP45</f>
        <v>14</v>
      </c>
      <c r="AQ43" s="451">
        <f>'Recurrentes 24-26'!AQ45</f>
        <v>14</v>
      </c>
      <c r="AR43" s="451">
        <f>'Recurrentes 24-26'!AR45</f>
        <v>4</v>
      </c>
      <c r="AS43" s="451">
        <f>'Recurrentes 24-26'!AS45</f>
        <v>16</v>
      </c>
      <c r="AT43" s="451">
        <f>'Recurrentes 24-26'!AT45</f>
        <v>0</v>
      </c>
      <c r="AU43" s="1062">
        <f>'Recurrentes 24-26'!AU45</f>
        <v>74</v>
      </c>
      <c r="AV43" s="1063">
        <f>'Recurrentes 24-26'!AV45</f>
        <v>148</v>
      </c>
      <c r="AW43" s="451" t="str">
        <f>'Recurrentes 24-26'!AW45</f>
        <v/>
      </c>
      <c r="AX43" s="1062">
        <f>'Recurrentes 24-26'!AX45</f>
        <v>58.61</v>
      </c>
      <c r="AY43" s="1062">
        <f>'Recurrentes 24-26'!AY45</f>
        <v>407.9256</v>
      </c>
      <c r="AZ43" s="1064" t="str">
        <f>'Recurrentes 24-26'!AZ45</f>
        <v/>
      </c>
      <c r="BA43" s="1064">
        <f>'Recurrentes 24-26'!BA45</f>
        <v>0</v>
      </c>
      <c r="BB43" s="1064">
        <f>'Recurrentes 24-26'!BB45</f>
        <v>0</v>
      </c>
      <c r="BC43" s="1064">
        <f>'Recurrentes 24-26'!BC45</f>
        <v>0</v>
      </c>
      <c r="BD43" s="1064">
        <f>'Recurrentes 24-26'!BD45</f>
        <v>0</v>
      </c>
      <c r="BE43" s="1064">
        <f>'Recurrentes 24-26'!BE45</f>
        <v>0</v>
      </c>
      <c r="BF43" s="1064">
        <f>'Recurrentes 24-26'!BF45</f>
        <v>0</v>
      </c>
      <c r="BG43" s="1064">
        <f>'Recurrentes 24-26'!BG45</f>
        <v>0</v>
      </c>
      <c r="BH43" s="1064">
        <f>'Recurrentes 24-26'!BH45</f>
        <v>0</v>
      </c>
      <c r="BI43" s="1064">
        <f>'Recurrentes 24-26'!BI45</f>
        <v>0</v>
      </c>
      <c r="BJ43" s="1064">
        <f>'Recurrentes 24-26'!BJ45</f>
        <v>0</v>
      </c>
      <c r="BK43" s="451"/>
      <c r="BL43" s="1062">
        <f>'Recurrentes 24-26'!BK45</f>
        <v>0</v>
      </c>
      <c r="BM43" s="1064">
        <f>'Recurrentes 24-26'!BL45</f>
        <v>3263.4048</v>
      </c>
      <c r="BN43" s="1064">
        <f>'Recurrentes 24-26'!BM45</f>
        <v>1223.7768</v>
      </c>
      <c r="BO43" s="1064">
        <f>'Recurrentes 24-26'!BN45</f>
        <v>3263.4048</v>
      </c>
      <c r="BP43" s="1064">
        <f>'Recurrentes 24-26'!BO45</f>
        <v>815.8512</v>
      </c>
      <c r="BQ43" s="1064">
        <f>'Recurrentes 24-26'!BP45</f>
        <v>815.8512</v>
      </c>
      <c r="BR43" s="1064">
        <f>'Recurrentes 24-26'!BQ45</f>
        <v>1223.7768</v>
      </c>
      <c r="BS43" s="1064">
        <f>'Recurrentes 24-26'!BR45</f>
        <v>5710.9584</v>
      </c>
      <c r="BT43" s="1064">
        <f>'Recurrentes 24-26'!BS45</f>
        <v>5710.9584</v>
      </c>
      <c r="BU43" s="1064">
        <f>'Recurrentes 24-26'!BT45</f>
        <v>1631.7024</v>
      </c>
      <c r="BV43" s="1064">
        <f>'Recurrentes 24-26'!BU45</f>
        <v>6526.8096</v>
      </c>
      <c r="BW43" s="451"/>
      <c r="BX43" s="1062">
        <f>'Recurrentes 24-26'!BV45</f>
        <v>30186.4944</v>
      </c>
      <c r="BY43" s="1064">
        <f>'Recurrentes 24-26'!BW45</f>
        <v>3263.4048</v>
      </c>
      <c r="BZ43" s="1064">
        <f>'Recurrentes 24-26'!BX45</f>
        <v>1223.7768</v>
      </c>
      <c r="CA43" s="1064">
        <f>'Recurrentes 24-26'!BY45</f>
        <v>3263.4048</v>
      </c>
      <c r="CB43" s="1064">
        <f>'Recurrentes 24-26'!BZ45</f>
        <v>815.8512</v>
      </c>
      <c r="CC43" s="1064">
        <f>'Recurrentes 24-26'!CA45</f>
        <v>815.8512</v>
      </c>
      <c r="CD43" s="1064">
        <f>'Recurrentes 24-26'!CB45</f>
        <v>1223.7768</v>
      </c>
      <c r="CE43" s="1064">
        <f>'Recurrentes 24-26'!CC45</f>
        <v>5710.9584</v>
      </c>
      <c r="CF43" s="1064">
        <f>'Recurrentes 24-26'!CD45</f>
        <v>5710.9584</v>
      </c>
      <c r="CG43" s="1064">
        <f>'Recurrentes 24-26'!CE45</f>
        <v>1631.7024</v>
      </c>
      <c r="CH43" s="1064">
        <f>'Recurrentes 24-26'!CF45</f>
        <v>6526.8096</v>
      </c>
      <c r="CI43" s="451"/>
      <c r="CJ43" s="1062">
        <f>'Recurrentes 24-26'!CG45</f>
        <v>30186.4944</v>
      </c>
      <c r="CK43" s="1062">
        <f>'Recurrentes 24-26'!CH45</f>
        <v>60372.9888</v>
      </c>
      <c r="CL43" s="451" t="str">
        <f>'Recurrentes 24-26'!CI45</f>
        <v/>
      </c>
      <c r="CM43" s="1064" t="str">
        <f>'Recurrentes 24-26'!CJ45</f>
        <v/>
      </c>
      <c r="CN43" s="451">
        <f>'Recurrentes 24-26'!CK45</f>
        <v>1</v>
      </c>
      <c r="CO43" s="1062">
        <f>'Recurrentes 24-26'!CL45</f>
        <v>58.61</v>
      </c>
      <c r="CP43" s="451" t="str">
        <f>'Recurrentes 24-26'!CM45</f>
        <v/>
      </c>
    </row>
    <row r="44">
      <c r="A44" s="451" t="str">
        <f>'Recurrentes 24-26'!A46</f>
        <v>Repuestos Electromecánicos recurrentes</v>
      </c>
      <c r="B44" s="451">
        <f>'Recurrentes 24-26'!B46</f>
        <v>2</v>
      </c>
      <c r="C44" s="451" t="str">
        <f>'Recurrentes 24-26'!C46</f>
        <v>Torres</v>
      </c>
      <c r="D44" s="451" t="str">
        <f>'Recurrentes 24-26'!D46</f>
        <v>Reacondionamiento y cambio de Poleas de torre</v>
      </c>
      <c r="E44" s="451" t="str">
        <f>'Recurrentes 24-26'!E46</f>
        <v>Repuesto Mecánico</v>
      </c>
      <c r="F44" s="451" t="str">
        <f>'Recurrentes 24-26'!F46</f>
        <v>TDB</v>
      </c>
      <c r="G44" s="1025" t="str">
        <f>'Recurrentes 24-26'!G46</f>
        <v>39800</v>
      </c>
      <c r="H44" s="1061" t="str">
        <f>'Recurrentes 24-26'!H46</f>
        <v>2-01-00045</v>
      </c>
      <c r="I44" s="1061" t="str">
        <f>'Recurrentes 24-26'!I46</f>
        <v>10871377</v>
      </c>
      <c r="J44" s="1061" t="str">
        <f>'Recurrentes 24-26'!J46</f>
        <v>LAMINILLA EMPAQUE.Z212F 60X110 SUPERFICIE DE EJECUC.ESPECIAL</v>
      </c>
      <c r="K44" s="451" t="str">
        <f>'Recurrentes 24-26'!K46</f>
        <v>Pza</v>
      </c>
      <c r="L44" s="451">
        <f>'Recurrentes 24-26'!L46</f>
        <v>25</v>
      </c>
      <c r="M44" s="451">
        <f>'Recurrentes 24-26'!M46</f>
        <v>5</v>
      </c>
      <c r="N44" s="451">
        <f>'Recurrentes 24-26'!N46</f>
        <v>25</v>
      </c>
      <c r="O44" s="451">
        <f>'Recurrentes 24-26'!O46</f>
        <v>6</v>
      </c>
      <c r="P44" s="451">
        <f>'Recurrentes 24-26'!P46</f>
        <v>4</v>
      </c>
      <c r="Q44" s="451">
        <f>'Recurrentes 24-26'!Q46</f>
        <v>4</v>
      </c>
      <c r="R44" s="451">
        <f>'Recurrentes 24-26'!R46</f>
        <v>1</v>
      </c>
      <c r="S44" s="451">
        <f>'Recurrentes 24-26'!S46</f>
        <v>2</v>
      </c>
      <c r="T44" s="451">
        <f>'Recurrentes 24-26'!T46</f>
        <v>1</v>
      </c>
      <c r="U44" s="451">
        <f>'Recurrentes 24-26'!U46</f>
        <v>30</v>
      </c>
      <c r="V44" s="451">
        <f>'Recurrentes 24-26'!V46</f>
        <v>0</v>
      </c>
      <c r="W44" s="1062">
        <f>'Recurrentes 24-26'!W46</f>
        <v>103</v>
      </c>
      <c r="X44" s="451">
        <f>'Recurrentes 24-26'!X46</f>
        <v>25</v>
      </c>
      <c r="Y44" s="451">
        <f>'Recurrentes 24-26'!Y46</f>
        <v>5</v>
      </c>
      <c r="Z44" s="451">
        <f>'Recurrentes 24-26'!Z46</f>
        <v>25</v>
      </c>
      <c r="AA44" s="451">
        <f>'Recurrentes 24-26'!AA46</f>
        <v>6</v>
      </c>
      <c r="AB44" s="451">
        <f>'Recurrentes 24-26'!AB46</f>
        <v>4</v>
      </c>
      <c r="AC44" s="451">
        <f>'Recurrentes 24-26'!AC46</f>
        <v>4</v>
      </c>
      <c r="AD44" s="451">
        <f>'Recurrentes 24-26'!AD46</f>
        <v>2</v>
      </c>
      <c r="AE44" s="451">
        <f>'Recurrentes 24-26'!AE46</f>
        <v>2</v>
      </c>
      <c r="AF44" s="451">
        <f>'Recurrentes 24-26'!AF46</f>
        <v>1</v>
      </c>
      <c r="AG44" s="451">
        <f>'Recurrentes 24-26'!AG46</f>
        <v>30</v>
      </c>
      <c r="AH44" s="451">
        <f>'Recurrentes 24-26'!AH46</f>
        <v>0</v>
      </c>
      <c r="AI44" s="1062">
        <f>'Recurrentes 24-26'!AI46</f>
        <v>104</v>
      </c>
      <c r="AJ44" s="451">
        <f>'Recurrentes 24-26'!AJ46</f>
        <v>25</v>
      </c>
      <c r="AK44" s="451">
        <f>'Recurrentes 24-26'!AK46</f>
        <v>5</v>
      </c>
      <c r="AL44" s="451">
        <f>'Recurrentes 24-26'!AL46</f>
        <v>25</v>
      </c>
      <c r="AM44" s="451">
        <f>'Recurrentes 24-26'!AM46</f>
        <v>6</v>
      </c>
      <c r="AN44" s="451">
        <f>'Recurrentes 24-26'!AN46</f>
        <v>4</v>
      </c>
      <c r="AO44" s="451">
        <f>'Recurrentes 24-26'!AO46</f>
        <v>4</v>
      </c>
      <c r="AP44" s="451">
        <f>'Recurrentes 24-26'!AP46</f>
        <v>2</v>
      </c>
      <c r="AQ44" s="451">
        <f>'Recurrentes 24-26'!AQ46</f>
        <v>2</v>
      </c>
      <c r="AR44" s="451">
        <f>'Recurrentes 24-26'!AR46</f>
        <v>1</v>
      </c>
      <c r="AS44" s="451">
        <f>'Recurrentes 24-26'!AS46</f>
        <v>30</v>
      </c>
      <c r="AT44" s="451">
        <f>'Recurrentes 24-26'!AT46</f>
        <v>0</v>
      </c>
      <c r="AU44" s="1062">
        <f>'Recurrentes 24-26'!AU46</f>
        <v>104</v>
      </c>
      <c r="AV44" s="1063">
        <f>'Recurrentes 24-26'!AV46</f>
        <v>311</v>
      </c>
      <c r="AW44" s="451" t="str">
        <f>'Recurrentes 24-26'!AW46</f>
        <v/>
      </c>
      <c r="AX44" s="1062">
        <f>'Recurrentes 24-26'!AX46</f>
        <v>26.07</v>
      </c>
      <c r="AY44" s="1062">
        <f>'Recurrentes 24-26'!AY46</f>
        <v>181.4472</v>
      </c>
      <c r="AZ44" s="1064" t="str">
        <f>'Recurrentes 24-26'!AZ46</f>
        <v/>
      </c>
      <c r="BA44" s="1064">
        <f>'Recurrentes 24-26'!BA46</f>
        <v>4536.18</v>
      </c>
      <c r="BB44" s="1064">
        <f>'Recurrentes 24-26'!BB46</f>
        <v>907.236</v>
      </c>
      <c r="BC44" s="1064">
        <f>'Recurrentes 24-26'!BC46</f>
        <v>4536.18</v>
      </c>
      <c r="BD44" s="1064">
        <f>'Recurrentes 24-26'!BD46</f>
        <v>1088.6832</v>
      </c>
      <c r="BE44" s="1064">
        <f>'Recurrentes 24-26'!BE46</f>
        <v>725.7888</v>
      </c>
      <c r="BF44" s="1064">
        <f>'Recurrentes 24-26'!BF46</f>
        <v>725.7888</v>
      </c>
      <c r="BG44" s="1064">
        <f>'Recurrentes 24-26'!BG46</f>
        <v>181.4472</v>
      </c>
      <c r="BH44" s="1064">
        <f>'Recurrentes 24-26'!BH46</f>
        <v>362.8944</v>
      </c>
      <c r="BI44" s="1064">
        <f>'Recurrentes 24-26'!BI46</f>
        <v>181.4472</v>
      </c>
      <c r="BJ44" s="1064">
        <f>'Recurrentes 24-26'!BJ46</f>
        <v>5443.416</v>
      </c>
      <c r="BK44" s="451"/>
      <c r="BL44" s="1062">
        <f>'Recurrentes 24-26'!BK46</f>
        <v>18689.0616</v>
      </c>
      <c r="BM44" s="1064">
        <f>'Recurrentes 24-26'!BL46</f>
        <v>4536.18</v>
      </c>
      <c r="BN44" s="1064">
        <f>'Recurrentes 24-26'!BM46</f>
        <v>907.236</v>
      </c>
      <c r="BO44" s="1064">
        <f>'Recurrentes 24-26'!BN46</f>
        <v>4536.18</v>
      </c>
      <c r="BP44" s="1064">
        <f>'Recurrentes 24-26'!BO46</f>
        <v>1088.6832</v>
      </c>
      <c r="BQ44" s="1064">
        <f>'Recurrentes 24-26'!BP46</f>
        <v>725.7888</v>
      </c>
      <c r="BR44" s="1064">
        <f>'Recurrentes 24-26'!BQ46</f>
        <v>725.7888</v>
      </c>
      <c r="BS44" s="1064">
        <f>'Recurrentes 24-26'!BR46</f>
        <v>362.8944</v>
      </c>
      <c r="BT44" s="1064">
        <f>'Recurrentes 24-26'!BS46</f>
        <v>362.8944</v>
      </c>
      <c r="BU44" s="1064">
        <f>'Recurrentes 24-26'!BT46</f>
        <v>181.4472</v>
      </c>
      <c r="BV44" s="1064">
        <f>'Recurrentes 24-26'!BU46</f>
        <v>5443.416</v>
      </c>
      <c r="BW44" s="451"/>
      <c r="BX44" s="1062">
        <f>'Recurrentes 24-26'!BV46</f>
        <v>18870.5088</v>
      </c>
      <c r="BY44" s="1064">
        <f>'Recurrentes 24-26'!BW46</f>
        <v>4536.18</v>
      </c>
      <c r="BZ44" s="1064">
        <f>'Recurrentes 24-26'!BX46</f>
        <v>907.236</v>
      </c>
      <c r="CA44" s="1064">
        <f>'Recurrentes 24-26'!BY46</f>
        <v>4536.18</v>
      </c>
      <c r="CB44" s="1064">
        <f>'Recurrentes 24-26'!BZ46</f>
        <v>1088.6832</v>
      </c>
      <c r="CC44" s="1064">
        <f>'Recurrentes 24-26'!CA46</f>
        <v>725.7888</v>
      </c>
      <c r="CD44" s="1064">
        <f>'Recurrentes 24-26'!CB46</f>
        <v>725.7888</v>
      </c>
      <c r="CE44" s="1064">
        <f>'Recurrentes 24-26'!CC46</f>
        <v>362.8944</v>
      </c>
      <c r="CF44" s="1064">
        <f>'Recurrentes 24-26'!CD46</f>
        <v>362.8944</v>
      </c>
      <c r="CG44" s="1064">
        <f>'Recurrentes 24-26'!CE46</f>
        <v>181.4472</v>
      </c>
      <c r="CH44" s="1064">
        <f>'Recurrentes 24-26'!CF46</f>
        <v>5443.416</v>
      </c>
      <c r="CI44" s="451"/>
      <c r="CJ44" s="1062">
        <f>'Recurrentes 24-26'!CG46</f>
        <v>18870.5088</v>
      </c>
      <c r="CK44" s="1062">
        <f>'Recurrentes 24-26'!CH46</f>
        <v>56430.0792</v>
      </c>
      <c r="CL44" s="451" t="str">
        <f>'Recurrentes 24-26'!CI46</f>
        <v/>
      </c>
      <c r="CM44" s="1064" t="str">
        <f>'Recurrentes 24-26'!CJ46</f>
        <v/>
      </c>
      <c r="CN44" s="451">
        <f>'Recurrentes 24-26'!CK46</f>
        <v>1</v>
      </c>
      <c r="CO44" s="1062">
        <f>'Recurrentes 24-26'!CL46</f>
        <v>26.07</v>
      </c>
      <c r="CP44" s="451" t="str">
        <f>'Recurrentes 24-26'!CM46</f>
        <v/>
      </c>
    </row>
    <row r="45">
      <c r="A45" s="451" t="str">
        <f>'Recurrentes 24-26'!A47</f>
        <v>Repuestos Electromecánicos recurrentes</v>
      </c>
      <c r="B45" s="451">
        <f>'Recurrentes 24-26'!B47</f>
        <v>2</v>
      </c>
      <c r="C45" s="451" t="str">
        <f>'Recurrentes 24-26'!C47</f>
        <v>Vehículo</v>
      </c>
      <c r="D45" s="451" t="str">
        <f>'Recurrentes 24-26'!D47</f>
        <v>Manto. Pinza</v>
      </c>
      <c r="E45" s="451" t="str">
        <f>'Recurrentes 24-26'!E47</f>
        <v>Repuesto Mecánico</v>
      </c>
      <c r="F45" s="451" t="str">
        <f>'Recurrentes 24-26'!F47</f>
        <v>TDB</v>
      </c>
      <c r="G45" s="1025" t="str">
        <f>'Recurrentes 24-26'!G47</f>
        <v>39800</v>
      </c>
      <c r="H45" s="1061" t="str">
        <f>'Recurrentes 24-26'!H47</f>
        <v>2-01-00297</v>
      </c>
      <c r="I45" s="1061" t="str">
        <f>'Recurrentes 24-26'!I47</f>
        <v>10441667</v>
      </c>
      <c r="J45" s="1061" t="str">
        <f>'Recurrentes 24-26'!J47</f>
        <v>FORRO FRICCION SINT. DT, AGA   P.PINZA DESEMBR.DT,AGA    2003</v>
      </c>
      <c r="K45" s="451" t="str">
        <f>'Recurrentes 24-26'!K47</f>
        <v>Pza</v>
      </c>
      <c r="L45" s="451">
        <f>'Recurrentes 24-26'!L47</f>
        <v>0</v>
      </c>
      <c r="M45" s="451">
        <f>'Recurrentes 24-26'!M47</f>
        <v>0</v>
      </c>
      <c r="N45" s="451">
        <f>'Recurrentes 24-26'!N47</f>
        <v>0</v>
      </c>
      <c r="O45" s="451">
        <f>'Recurrentes 24-26'!O47</f>
        <v>2</v>
      </c>
      <c r="P45" s="451">
        <f>'Recurrentes 24-26'!P47</f>
        <v>2</v>
      </c>
      <c r="Q45" s="451">
        <f>'Recurrentes 24-26'!Q47</f>
        <v>4</v>
      </c>
      <c r="R45" s="451">
        <f>'Recurrentes 24-26'!R47</f>
        <v>0</v>
      </c>
      <c r="S45" s="451">
        <f>'Recurrentes 24-26'!S47</f>
        <v>0</v>
      </c>
      <c r="T45" s="451">
        <f>'Recurrentes 24-26'!T47</f>
        <v>0</v>
      </c>
      <c r="U45" s="451">
        <f>'Recurrentes 24-26'!U47</f>
        <v>0</v>
      </c>
      <c r="V45" s="451">
        <f>'Recurrentes 24-26'!V47</f>
        <v>0</v>
      </c>
      <c r="W45" s="1062">
        <f>'Recurrentes 24-26'!W47</f>
        <v>8</v>
      </c>
      <c r="X45" s="451">
        <f>'Recurrentes 24-26'!X47</f>
        <v>5</v>
      </c>
      <c r="Y45" s="451">
        <f>'Recurrentes 24-26'!Y47</f>
        <v>3</v>
      </c>
      <c r="Z45" s="451">
        <f>'Recurrentes 24-26'!Z47</f>
        <v>5</v>
      </c>
      <c r="AA45" s="451">
        <f>'Recurrentes 24-26'!AA47</f>
        <v>2</v>
      </c>
      <c r="AB45" s="451">
        <f>'Recurrentes 24-26'!AB47</f>
        <v>2</v>
      </c>
      <c r="AC45" s="451">
        <f>'Recurrentes 24-26'!AC47</f>
        <v>4</v>
      </c>
      <c r="AD45" s="451">
        <f>'Recurrentes 24-26'!AD47</f>
        <v>2</v>
      </c>
      <c r="AE45" s="451">
        <f>'Recurrentes 24-26'!AE47</f>
        <v>2</v>
      </c>
      <c r="AF45" s="451">
        <f>'Recurrentes 24-26'!AF47</f>
        <v>1</v>
      </c>
      <c r="AG45" s="451">
        <f>'Recurrentes 24-26'!AG47</f>
        <v>0</v>
      </c>
      <c r="AH45" s="451">
        <f>'Recurrentes 24-26'!AH47</f>
        <v>0</v>
      </c>
      <c r="AI45" s="1062">
        <f>'Recurrentes 24-26'!AI47</f>
        <v>26</v>
      </c>
      <c r="AJ45" s="451">
        <f>'Recurrentes 24-26'!AJ47</f>
        <v>5</v>
      </c>
      <c r="AK45" s="451">
        <f>'Recurrentes 24-26'!AK47</f>
        <v>3</v>
      </c>
      <c r="AL45" s="451">
        <f>'Recurrentes 24-26'!AL47</f>
        <v>5</v>
      </c>
      <c r="AM45" s="451">
        <f>'Recurrentes 24-26'!AM47</f>
        <v>2</v>
      </c>
      <c r="AN45" s="451">
        <f>'Recurrentes 24-26'!AN47</f>
        <v>2</v>
      </c>
      <c r="AO45" s="451">
        <f>'Recurrentes 24-26'!AO47</f>
        <v>4</v>
      </c>
      <c r="AP45" s="451">
        <f>'Recurrentes 24-26'!AP47</f>
        <v>2</v>
      </c>
      <c r="AQ45" s="451">
        <f>'Recurrentes 24-26'!AQ47</f>
        <v>2</v>
      </c>
      <c r="AR45" s="451">
        <f>'Recurrentes 24-26'!AR47</f>
        <v>1</v>
      </c>
      <c r="AS45" s="451">
        <f>'Recurrentes 24-26'!AS47</f>
        <v>0</v>
      </c>
      <c r="AT45" s="451">
        <f>'Recurrentes 24-26'!AT47</f>
        <v>0</v>
      </c>
      <c r="AU45" s="1062">
        <f>'Recurrentes 24-26'!AU47</f>
        <v>26</v>
      </c>
      <c r="AV45" s="1063">
        <f>'Recurrentes 24-26'!AV47</f>
        <v>60</v>
      </c>
      <c r="AW45" s="451" t="str">
        <f>'Recurrentes 24-26'!AW47</f>
        <v/>
      </c>
      <c r="AX45" s="1062">
        <f>'Recurrentes 24-26'!AX47</f>
        <v>133.56</v>
      </c>
      <c r="AY45" s="1062">
        <f>'Recurrentes 24-26'!AY47</f>
        <v>929.5776</v>
      </c>
      <c r="AZ45" s="1064" t="str">
        <f>'Recurrentes 24-26'!AZ47</f>
        <v/>
      </c>
      <c r="BA45" s="1064">
        <f>'Recurrentes 24-26'!BA47</f>
        <v>0</v>
      </c>
      <c r="BB45" s="1064">
        <f>'Recurrentes 24-26'!BB47</f>
        <v>0</v>
      </c>
      <c r="BC45" s="1064">
        <f>'Recurrentes 24-26'!BC47</f>
        <v>0</v>
      </c>
      <c r="BD45" s="1064">
        <f>'Recurrentes 24-26'!BD47</f>
        <v>1859.1552</v>
      </c>
      <c r="BE45" s="1064">
        <f>'Recurrentes 24-26'!BE47</f>
        <v>1859.1552</v>
      </c>
      <c r="BF45" s="1064">
        <f>'Recurrentes 24-26'!BF47</f>
        <v>3718.3104</v>
      </c>
      <c r="BG45" s="1064">
        <f>'Recurrentes 24-26'!BG47</f>
        <v>0</v>
      </c>
      <c r="BH45" s="1064">
        <f>'Recurrentes 24-26'!BH47</f>
        <v>0</v>
      </c>
      <c r="BI45" s="1064">
        <f>'Recurrentes 24-26'!BI47</f>
        <v>0</v>
      </c>
      <c r="BJ45" s="1064">
        <f>'Recurrentes 24-26'!BJ47</f>
        <v>0</v>
      </c>
      <c r="BK45" s="451"/>
      <c r="BL45" s="1062">
        <f>'Recurrentes 24-26'!BK47</f>
        <v>7436.6208</v>
      </c>
      <c r="BM45" s="1064">
        <f>'Recurrentes 24-26'!BL47</f>
        <v>4647.888</v>
      </c>
      <c r="BN45" s="1064">
        <f>'Recurrentes 24-26'!BM47</f>
        <v>2788.7328</v>
      </c>
      <c r="BO45" s="1064">
        <f>'Recurrentes 24-26'!BN47</f>
        <v>4647.888</v>
      </c>
      <c r="BP45" s="1064">
        <f>'Recurrentes 24-26'!BO47</f>
        <v>1859.1552</v>
      </c>
      <c r="BQ45" s="1064">
        <f>'Recurrentes 24-26'!BP47</f>
        <v>1859.1552</v>
      </c>
      <c r="BR45" s="1064">
        <f>'Recurrentes 24-26'!BQ47</f>
        <v>3718.3104</v>
      </c>
      <c r="BS45" s="1064">
        <f>'Recurrentes 24-26'!BR47</f>
        <v>1859.1552</v>
      </c>
      <c r="BT45" s="1064">
        <f>'Recurrentes 24-26'!BS47</f>
        <v>1859.1552</v>
      </c>
      <c r="BU45" s="1064">
        <f>'Recurrentes 24-26'!BT47</f>
        <v>929.5776</v>
      </c>
      <c r="BV45" s="1064">
        <f>'Recurrentes 24-26'!BU47</f>
        <v>0</v>
      </c>
      <c r="BW45" s="451"/>
      <c r="BX45" s="1062">
        <f>'Recurrentes 24-26'!BV47</f>
        <v>24169.0176</v>
      </c>
      <c r="BY45" s="1064">
        <f>'Recurrentes 24-26'!BW47</f>
        <v>4647.888</v>
      </c>
      <c r="BZ45" s="1064">
        <f>'Recurrentes 24-26'!BX47</f>
        <v>2788.7328</v>
      </c>
      <c r="CA45" s="1064">
        <f>'Recurrentes 24-26'!BY47</f>
        <v>4647.888</v>
      </c>
      <c r="CB45" s="1064">
        <f>'Recurrentes 24-26'!BZ47</f>
        <v>1859.1552</v>
      </c>
      <c r="CC45" s="1064">
        <f>'Recurrentes 24-26'!CA47</f>
        <v>1859.1552</v>
      </c>
      <c r="CD45" s="1064">
        <f>'Recurrentes 24-26'!CB47</f>
        <v>3718.3104</v>
      </c>
      <c r="CE45" s="1064">
        <f>'Recurrentes 24-26'!CC47</f>
        <v>1859.1552</v>
      </c>
      <c r="CF45" s="1064">
        <f>'Recurrentes 24-26'!CD47</f>
        <v>1859.1552</v>
      </c>
      <c r="CG45" s="1064">
        <f>'Recurrentes 24-26'!CE47</f>
        <v>929.5776</v>
      </c>
      <c r="CH45" s="1064">
        <f>'Recurrentes 24-26'!CF47</f>
        <v>0</v>
      </c>
      <c r="CI45" s="451"/>
      <c r="CJ45" s="1062">
        <f>'Recurrentes 24-26'!CG47</f>
        <v>24169.0176</v>
      </c>
      <c r="CK45" s="1062">
        <f>'Recurrentes 24-26'!CH47</f>
        <v>55774.656</v>
      </c>
      <c r="CL45" s="451" t="str">
        <f>'Recurrentes 24-26'!CI47</f>
        <v/>
      </c>
      <c r="CM45" s="1064" t="str">
        <f>'Recurrentes 24-26'!CJ47</f>
        <v/>
      </c>
      <c r="CN45" s="451">
        <f>'Recurrentes 24-26'!CK47</f>
        <v>1</v>
      </c>
      <c r="CO45" s="1062">
        <f>'Recurrentes 24-26'!CL47</f>
        <v>133.56</v>
      </c>
      <c r="CP45" s="451" t="str">
        <f>'Recurrentes 24-26'!CM47</f>
        <v/>
      </c>
    </row>
    <row r="46">
      <c r="A46" s="451" t="str">
        <f>'Recurrentes 24-26'!A48</f>
        <v>Repuestos Electromecánicos recurrentes</v>
      </c>
      <c r="B46" s="451">
        <f>'Recurrentes 24-26'!B48</f>
        <v>2</v>
      </c>
      <c r="C46" s="451" t="str">
        <f>'Recurrentes 24-26'!C48</f>
        <v>Estaciones</v>
      </c>
      <c r="D46" s="451" t="str">
        <f>'Recurrentes 24-26'!D48</f>
        <v>Cambio Correas</v>
      </c>
      <c r="E46" s="451" t="str">
        <f>'Recurrentes 24-26'!E48</f>
        <v>Repuesto Mecánico</v>
      </c>
      <c r="F46" s="451" t="str">
        <f>'Recurrentes 24-26'!F48</f>
        <v>TDB</v>
      </c>
      <c r="G46" s="1025" t="str">
        <f>'Recurrentes 24-26'!G48</f>
        <v>39800</v>
      </c>
      <c r="H46" s="1061" t="str">
        <f>'Recurrentes 24-26'!H48</f>
        <v>2-01-00281</v>
      </c>
      <c r="I46" s="1061" t="str">
        <f>'Recurrentes 24-26'!I48</f>
        <v>10067767</v>
      </c>
      <c r="J46" s="1061" t="str">
        <f>'Recurrentes 24-26'!J48</f>
        <v>CORREA TRAP.XPB     LW=1870 MM DIN 7753-1</v>
      </c>
      <c r="K46" s="451" t="str">
        <f>'Recurrentes 24-26'!K48</f>
        <v>Pza</v>
      </c>
      <c r="L46" s="451">
        <f>'Recurrentes 24-26'!L48</f>
        <v>0</v>
      </c>
      <c r="M46" s="451">
        <f>'Recurrentes 24-26'!M48</f>
        <v>0</v>
      </c>
      <c r="N46" s="451">
        <f>'Recurrentes 24-26'!N48</f>
        <v>0</v>
      </c>
      <c r="O46" s="451">
        <f>'Recurrentes 24-26'!O48</f>
        <v>0</v>
      </c>
      <c r="P46" s="451">
        <f>'Recurrentes 24-26'!P48</f>
        <v>0</v>
      </c>
      <c r="Q46" s="451">
        <f>'Recurrentes 24-26'!Q48</f>
        <v>0</v>
      </c>
      <c r="R46" s="451">
        <f>'Recurrentes 24-26'!R48</f>
        <v>0</v>
      </c>
      <c r="S46" s="451">
        <f>'Recurrentes 24-26'!S48</f>
        <v>0</v>
      </c>
      <c r="T46" s="451">
        <f>'Recurrentes 24-26'!T48</f>
        <v>0</v>
      </c>
      <c r="U46" s="451">
        <f>'Recurrentes 24-26'!U48</f>
        <v>0</v>
      </c>
      <c r="V46" s="451">
        <f>'Recurrentes 24-26'!V48</f>
        <v>0</v>
      </c>
      <c r="W46" s="1062">
        <f>'Recurrentes 24-26'!W48</f>
        <v>0</v>
      </c>
      <c r="X46" s="451">
        <f>'Recurrentes 24-26'!X48</f>
        <v>10</v>
      </c>
      <c r="Y46" s="451">
        <f>'Recurrentes 24-26'!Y48</f>
        <v>10</v>
      </c>
      <c r="Z46" s="451">
        <f>'Recurrentes 24-26'!Z48</f>
        <v>10</v>
      </c>
      <c r="AA46" s="451">
        <f>'Recurrentes 24-26'!AA48</f>
        <v>0</v>
      </c>
      <c r="AB46" s="451">
        <f>'Recurrentes 24-26'!AB48</f>
        <v>0</v>
      </c>
      <c r="AC46" s="451">
        <f>'Recurrentes 24-26'!AC48</f>
        <v>10</v>
      </c>
      <c r="AD46" s="451">
        <f>'Recurrentes 24-26'!AD48</f>
        <v>0</v>
      </c>
      <c r="AE46" s="451">
        <f>'Recurrentes 24-26'!AE48</f>
        <v>0</v>
      </c>
      <c r="AF46" s="451">
        <f>'Recurrentes 24-26'!AF48</f>
        <v>0</v>
      </c>
      <c r="AG46" s="451">
        <f>'Recurrentes 24-26'!AG48</f>
        <v>0</v>
      </c>
      <c r="AH46" s="451">
        <f>'Recurrentes 24-26'!AH48</f>
        <v>0</v>
      </c>
      <c r="AI46" s="1062">
        <f>'Recurrentes 24-26'!AI48</f>
        <v>40</v>
      </c>
      <c r="AJ46" s="451">
        <f>'Recurrentes 24-26'!AJ48</f>
        <v>10</v>
      </c>
      <c r="AK46" s="451">
        <f>'Recurrentes 24-26'!AK48</f>
        <v>10</v>
      </c>
      <c r="AL46" s="451">
        <f>'Recurrentes 24-26'!AL48</f>
        <v>10</v>
      </c>
      <c r="AM46" s="451">
        <f>'Recurrentes 24-26'!AM48</f>
        <v>0</v>
      </c>
      <c r="AN46" s="451">
        <f>'Recurrentes 24-26'!AN48</f>
        <v>0</v>
      </c>
      <c r="AO46" s="451">
        <f>'Recurrentes 24-26'!AO48</f>
        <v>10</v>
      </c>
      <c r="AP46" s="451">
        <f>'Recurrentes 24-26'!AP48</f>
        <v>0</v>
      </c>
      <c r="AQ46" s="451">
        <f>'Recurrentes 24-26'!AQ48</f>
        <v>0</v>
      </c>
      <c r="AR46" s="451">
        <f>'Recurrentes 24-26'!AR48</f>
        <v>0</v>
      </c>
      <c r="AS46" s="451">
        <f>'Recurrentes 24-26'!AS48</f>
        <v>0</v>
      </c>
      <c r="AT46" s="451">
        <f>'Recurrentes 24-26'!AT48</f>
        <v>0</v>
      </c>
      <c r="AU46" s="1062">
        <f>'Recurrentes 24-26'!AU48</f>
        <v>40</v>
      </c>
      <c r="AV46" s="1063">
        <f>'Recurrentes 24-26'!AV48</f>
        <v>80</v>
      </c>
      <c r="AW46" s="451" t="str">
        <f>'Recurrentes 24-26'!AW48</f>
        <v/>
      </c>
      <c r="AX46" s="1062">
        <f>'Recurrentes 24-26'!AX48</f>
        <v>99.68</v>
      </c>
      <c r="AY46" s="1062">
        <f>'Recurrentes 24-26'!AY48</f>
        <v>693.7728</v>
      </c>
      <c r="AZ46" s="1064" t="str">
        <f>'Recurrentes 24-26'!AZ48</f>
        <v/>
      </c>
      <c r="BA46" s="1064">
        <f>'Recurrentes 24-26'!BA48</f>
        <v>0</v>
      </c>
      <c r="BB46" s="1064">
        <f>'Recurrentes 24-26'!BB48</f>
        <v>0</v>
      </c>
      <c r="BC46" s="1064">
        <f>'Recurrentes 24-26'!BC48</f>
        <v>0</v>
      </c>
      <c r="BD46" s="1064">
        <f>'Recurrentes 24-26'!BD48</f>
        <v>0</v>
      </c>
      <c r="BE46" s="1064">
        <f>'Recurrentes 24-26'!BE48</f>
        <v>0</v>
      </c>
      <c r="BF46" s="1064">
        <f>'Recurrentes 24-26'!BF48</f>
        <v>0</v>
      </c>
      <c r="BG46" s="1064">
        <f>'Recurrentes 24-26'!BG48</f>
        <v>0</v>
      </c>
      <c r="BH46" s="1064">
        <f>'Recurrentes 24-26'!BH48</f>
        <v>0</v>
      </c>
      <c r="BI46" s="1064">
        <f>'Recurrentes 24-26'!BI48</f>
        <v>0</v>
      </c>
      <c r="BJ46" s="1064">
        <f>'Recurrentes 24-26'!BJ48</f>
        <v>0</v>
      </c>
      <c r="BK46" s="451"/>
      <c r="BL46" s="1062">
        <f>'Recurrentes 24-26'!BK48</f>
        <v>0</v>
      </c>
      <c r="BM46" s="1064">
        <f>'Recurrentes 24-26'!BL48</f>
        <v>6937.728</v>
      </c>
      <c r="BN46" s="1064">
        <f>'Recurrentes 24-26'!BM48</f>
        <v>6937.728</v>
      </c>
      <c r="BO46" s="1064">
        <f>'Recurrentes 24-26'!BN48</f>
        <v>6937.728</v>
      </c>
      <c r="BP46" s="1064">
        <f>'Recurrentes 24-26'!BO48</f>
        <v>0</v>
      </c>
      <c r="BQ46" s="1064">
        <f>'Recurrentes 24-26'!BP48</f>
        <v>0</v>
      </c>
      <c r="BR46" s="1064">
        <f>'Recurrentes 24-26'!BQ48</f>
        <v>6937.728</v>
      </c>
      <c r="BS46" s="1064">
        <f>'Recurrentes 24-26'!BR48</f>
        <v>0</v>
      </c>
      <c r="BT46" s="1064">
        <f>'Recurrentes 24-26'!BS48</f>
        <v>0</v>
      </c>
      <c r="BU46" s="1064">
        <f>'Recurrentes 24-26'!BT48</f>
        <v>0</v>
      </c>
      <c r="BV46" s="1064">
        <f>'Recurrentes 24-26'!BU48</f>
        <v>0</v>
      </c>
      <c r="BW46" s="451"/>
      <c r="BX46" s="1062">
        <f>'Recurrentes 24-26'!BV48</f>
        <v>27750.912</v>
      </c>
      <c r="BY46" s="1064">
        <f>'Recurrentes 24-26'!BW48</f>
        <v>6937.728</v>
      </c>
      <c r="BZ46" s="1064">
        <f>'Recurrentes 24-26'!BX48</f>
        <v>6937.728</v>
      </c>
      <c r="CA46" s="1064">
        <f>'Recurrentes 24-26'!BY48</f>
        <v>6937.728</v>
      </c>
      <c r="CB46" s="1064">
        <f>'Recurrentes 24-26'!BZ48</f>
        <v>0</v>
      </c>
      <c r="CC46" s="1064">
        <f>'Recurrentes 24-26'!CA48</f>
        <v>0</v>
      </c>
      <c r="CD46" s="1064">
        <f>'Recurrentes 24-26'!CB48</f>
        <v>6937.728</v>
      </c>
      <c r="CE46" s="1064">
        <f>'Recurrentes 24-26'!CC48</f>
        <v>0</v>
      </c>
      <c r="CF46" s="1064">
        <f>'Recurrentes 24-26'!CD48</f>
        <v>0</v>
      </c>
      <c r="CG46" s="1064">
        <f>'Recurrentes 24-26'!CE48</f>
        <v>0</v>
      </c>
      <c r="CH46" s="1064">
        <f>'Recurrentes 24-26'!CF48</f>
        <v>0</v>
      </c>
      <c r="CI46" s="451"/>
      <c r="CJ46" s="1062">
        <f>'Recurrentes 24-26'!CG48</f>
        <v>27750.912</v>
      </c>
      <c r="CK46" s="1062">
        <f>'Recurrentes 24-26'!CH48</f>
        <v>55501.824</v>
      </c>
      <c r="CL46" s="451" t="str">
        <f>'Recurrentes 24-26'!CI48</f>
        <v/>
      </c>
      <c r="CM46" s="1064" t="str">
        <f>'Recurrentes 24-26'!CJ48</f>
        <v/>
      </c>
      <c r="CN46" s="451">
        <f>'Recurrentes 24-26'!CK48</f>
        <v>1</v>
      </c>
      <c r="CO46" s="1062">
        <f>'Recurrentes 24-26'!CL48</f>
        <v>99.68</v>
      </c>
      <c r="CP46" s="451" t="str">
        <f>'Recurrentes 24-26'!CM48</f>
        <v/>
      </c>
    </row>
    <row r="47">
      <c r="A47" s="451" t="str">
        <f>'Recurrentes 24-26'!A49</f>
        <v>Repuestos Electromecánicos recurrentes</v>
      </c>
      <c r="B47" s="451">
        <f>'Recurrentes 24-26'!B49</f>
        <v>2</v>
      </c>
      <c r="C47" s="451" t="str">
        <f>'Recurrentes 24-26'!C49</f>
        <v>Vehículo</v>
      </c>
      <c r="D47" s="451" t="str">
        <f>'Recurrentes 24-26'!D49</f>
        <v>Manto. Pinza</v>
      </c>
      <c r="E47" s="451" t="str">
        <f>'Recurrentes 24-26'!E49</f>
        <v>Repuesto Mecánico</v>
      </c>
      <c r="F47" s="451" t="str">
        <f>'Recurrentes 24-26'!F49</f>
        <v>TDB</v>
      </c>
      <c r="G47" s="1025" t="str">
        <f>'Recurrentes 24-26'!G49</f>
        <v>39800</v>
      </c>
      <c r="H47" s="1061" t="str">
        <f>'Recurrentes 24-26'!H49</f>
        <v>2-01-00353</v>
      </c>
      <c r="I47" s="1061" t="str">
        <f>'Recurrentes 24-26'!I49</f>
        <v>10274056</v>
      </c>
      <c r="J47" s="1061" t="str">
        <f>'Recurrentes 24-26'!J49</f>
        <v>CASQUILLO NTPM 2830 DS DE=32MM AGA (CON BOQUI.ENGRASE)GLACIER</v>
      </c>
      <c r="K47" s="451" t="str">
        <f>'Recurrentes 24-26'!K49</f>
        <v>Pza</v>
      </c>
      <c r="L47" s="451">
        <f>'Recurrentes 24-26'!L49</f>
        <v>0</v>
      </c>
      <c r="M47" s="451">
        <f>'Recurrentes 24-26'!M49</f>
        <v>0</v>
      </c>
      <c r="N47" s="451">
        <f>'Recurrentes 24-26'!N49</f>
        <v>0</v>
      </c>
      <c r="O47" s="451">
        <f>'Recurrentes 24-26'!O49</f>
        <v>20</v>
      </c>
      <c r="P47" s="451">
        <f>'Recurrentes 24-26'!P49</f>
        <v>25</v>
      </c>
      <c r="Q47" s="451">
        <f>'Recurrentes 24-26'!Q49</f>
        <v>0</v>
      </c>
      <c r="R47" s="451">
        <f>'Recurrentes 24-26'!R49</f>
        <v>0</v>
      </c>
      <c r="S47" s="451">
        <f>'Recurrentes 24-26'!S49</f>
        <v>0</v>
      </c>
      <c r="T47" s="451">
        <f>'Recurrentes 24-26'!T49</f>
        <v>0</v>
      </c>
      <c r="U47" s="451">
        <f>'Recurrentes 24-26'!U49</f>
        <v>0</v>
      </c>
      <c r="V47" s="451">
        <f>'Recurrentes 24-26'!V49</f>
        <v>0</v>
      </c>
      <c r="W47" s="1062">
        <f>'Recurrentes 24-26'!W49</f>
        <v>45</v>
      </c>
      <c r="X47" s="451">
        <f>'Recurrentes 24-26'!X49</f>
        <v>30</v>
      </c>
      <c r="Y47" s="451">
        <f>'Recurrentes 24-26'!Y49</f>
        <v>18</v>
      </c>
      <c r="Z47" s="451">
        <f>'Recurrentes 24-26'!Z49</f>
        <v>26</v>
      </c>
      <c r="AA47" s="451">
        <f>'Recurrentes 24-26'!AA49</f>
        <v>20</v>
      </c>
      <c r="AB47" s="451">
        <f>'Recurrentes 24-26'!AB49</f>
        <v>25</v>
      </c>
      <c r="AC47" s="451">
        <f>'Recurrentes 24-26'!AC49</f>
        <v>25</v>
      </c>
      <c r="AD47" s="451">
        <f>'Recurrentes 24-26'!AD49</f>
        <v>12</v>
      </c>
      <c r="AE47" s="451">
        <f>'Recurrentes 24-26'!AE49</f>
        <v>50</v>
      </c>
      <c r="AF47" s="451">
        <f>'Recurrentes 24-26'!AF49</f>
        <v>20</v>
      </c>
      <c r="AG47" s="451">
        <f>'Recurrentes 24-26'!AG49</f>
        <v>0</v>
      </c>
      <c r="AH47" s="451">
        <f>'Recurrentes 24-26'!AH49</f>
        <v>0</v>
      </c>
      <c r="AI47" s="1062">
        <f>'Recurrentes 24-26'!AI49</f>
        <v>226</v>
      </c>
      <c r="AJ47" s="451">
        <f>'Recurrentes 24-26'!AJ49</f>
        <v>30</v>
      </c>
      <c r="AK47" s="451">
        <f>'Recurrentes 24-26'!AK49</f>
        <v>18</v>
      </c>
      <c r="AL47" s="451">
        <f>'Recurrentes 24-26'!AL49</f>
        <v>26</v>
      </c>
      <c r="AM47" s="451">
        <f>'Recurrentes 24-26'!AM49</f>
        <v>20</v>
      </c>
      <c r="AN47" s="451">
        <f>'Recurrentes 24-26'!AN49</f>
        <v>25</v>
      </c>
      <c r="AO47" s="451">
        <f>'Recurrentes 24-26'!AO49</f>
        <v>25</v>
      </c>
      <c r="AP47" s="451">
        <f>'Recurrentes 24-26'!AP49</f>
        <v>12</v>
      </c>
      <c r="AQ47" s="451">
        <f>'Recurrentes 24-26'!AQ49</f>
        <v>50</v>
      </c>
      <c r="AR47" s="451">
        <f>'Recurrentes 24-26'!AR49</f>
        <v>20</v>
      </c>
      <c r="AS47" s="451">
        <f>'Recurrentes 24-26'!AS49</f>
        <v>0</v>
      </c>
      <c r="AT47" s="451">
        <f>'Recurrentes 24-26'!AT49</f>
        <v>0</v>
      </c>
      <c r="AU47" s="1062">
        <f>'Recurrentes 24-26'!AU49</f>
        <v>226</v>
      </c>
      <c r="AV47" s="1063">
        <f>'Recurrentes 24-26'!AV49</f>
        <v>497</v>
      </c>
      <c r="AW47" s="451" t="str">
        <f>'Recurrentes 24-26'!AW49</f>
        <v/>
      </c>
      <c r="AX47" s="1062">
        <f>'Recurrentes 24-26'!AX49</f>
        <v>15.65</v>
      </c>
      <c r="AY47" s="1062">
        <f>'Recurrentes 24-26'!AY49</f>
        <v>108.924</v>
      </c>
      <c r="AZ47" s="1064" t="str">
        <f>'Recurrentes 24-26'!AZ49</f>
        <v/>
      </c>
      <c r="BA47" s="1064">
        <f>'Recurrentes 24-26'!BA49</f>
        <v>0</v>
      </c>
      <c r="BB47" s="1064">
        <f>'Recurrentes 24-26'!BB49</f>
        <v>0</v>
      </c>
      <c r="BC47" s="1064">
        <f>'Recurrentes 24-26'!BC49</f>
        <v>0</v>
      </c>
      <c r="BD47" s="1064">
        <f>'Recurrentes 24-26'!BD49</f>
        <v>2178.48</v>
      </c>
      <c r="BE47" s="1064">
        <f>'Recurrentes 24-26'!BE49</f>
        <v>2723.1</v>
      </c>
      <c r="BF47" s="1064">
        <f>'Recurrentes 24-26'!BF49</f>
        <v>0</v>
      </c>
      <c r="BG47" s="1064">
        <f>'Recurrentes 24-26'!BG49</f>
        <v>0</v>
      </c>
      <c r="BH47" s="1064">
        <f>'Recurrentes 24-26'!BH49</f>
        <v>0</v>
      </c>
      <c r="BI47" s="1064">
        <f>'Recurrentes 24-26'!BI49</f>
        <v>0</v>
      </c>
      <c r="BJ47" s="1064">
        <f>'Recurrentes 24-26'!BJ49</f>
        <v>0</v>
      </c>
      <c r="BK47" s="451"/>
      <c r="BL47" s="1062">
        <f>'Recurrentes 24-26'!BK49</f>
        <v>4901.58</v>
      </c>
      <c r="BM47" s="1064">
        <f>'Recurrentes 24-26'!BL49</f>
        <v>3267.72</v>
      </c>
      <c r="BN47" s="1064">
        <f>'Recurrentes 24-26'!BM49</f>
        <v>1960.632</v>
      </c>
      <c r="BO47" s="1064">
        <f>'Recurrentes 24-26'!BN49</f>
        <v>2832.024</v>
      </c>
      <c r="BP47" s="1064">
        <f>'Recurrentes 24-26'!BO49</f>
        <v>2178.48</v>
      </c>
      <c r="BQ47" s="1064">
        <f>'Recurrentes 24-26'!BP49</f>
        <v>2723.1</v>
      </c>
      <c r="BR47" s="1064">
        <f>'Recurrentes 24-26'!BQ49</f>
        <v>2723.1</v>
      </c>
      <c r="BS47" s="1064">
        <f>'Recurrentes 24-26'!BR49</f>
        <v>1307.088</v>
      </c>
      <c r="BT47" s="1064">
        <f>'Recurrentes 24-26'!BS49</f>
        <v>5446.2</v>
      </c>
      <c r="BU47" s="1064">
        <f>'Recurrentes 24-26'!BT49</f>
        <v>2178.48</v>
      </c>
      <c r="BV47" s="1064">
        <f>'Recurrentes 24-26'!BU49</f>
        <v>0</v>
      </c>
      <c r="BW47" s="451"/>
      <c r="BX47" s="1062">
        <f>'Recurrentes 24-26'!BV49</f>
        <v>24616.824</v>
      </c>
      <c r="BY47" s="1064">
        <f>'Recurrentes 24-26'!BW49</f>
        <v>3267.72</v>
      </c>
      <c r="BZ47" s="1064">
        <f>'Recurrentes 24-26'!BX49</f>
        <v>1960.632</v>
      </c>
      <c r="CA47" s="1064">
        <f>'Recurrentes 24-26'!BY49</f>
        <v>2832.024</v>
      </c>
      <c r="CB47" s="1064">
        <f>'Recurrentes 24-26'!BZ49</f>
        <v>2178.48</v>
      </c>
      <c r="CC47" s="1064">
        <f>'Recurrentes 24-26'!CA49</f>
        <v>2723.1</v>
      </c>
      <c r="CD47" s="1064">
        <f>'Recurrentes 24-26'!CB49</f>
        <v>2723.1</v>
      </c>
      <c r="CE47" s="1064">
        <f>'Recurrentes 24-26'!CC49</f>
        <v>1307.088</v>
      </c>
      <c r="CF47" s="1064">
        <f>'Recurrentes 24-26'!CD49</f>
        <v>5446.2</v>
      </c>
      <c r="CG47" s="1064">
        <f>'Recurrentes 24-26'!CE49</f>
        <v>2178.48</v>
      </c>
      <c r="CH47" s="1064">
        <f>'Recurrentes 24-26'!CF49</f>
        <v>0</v>
      </c>
      <c r="CI47" s="451"/>
      <c r="CJ47" s="1062">
        <f>'Recurrentes 24-26'!CG49</f>
        <v>24616.824</v>
      </c>
      <c r="CK47" s="1062">
        <f>'Recurrentes 24-26'!CH49</f>
        <v>54135.228</v>
      </c>
      <c r="CL47" s="451" t="str">
        <f>'Recurrentes 24-26'!CI49</f>
        <v/>
      </c>
      <c r="CM47" s="1064" t="str">
        <f>'Recurrentes 24-26'!CJ49</f>
        <v/>
      </c>
      <c r="CN47" s="451">
        <f>'Recurrentes 24-26'!CK49</f>
        <v>1</v>
      </c>
      <c r="CO47" s="1062">
        <f>'Recurrentes 24-26'!CL49</f>
        <v>15.65</v>
      </c>
      <c r="CP47" s="451" t="str">
        <f>'Recurrentes 24-26'!CM49</f>
        <v/>
      </c>
    </row>
    <row r="48">
      <c r="A48" s="451" t="str">
        <f>'Recurrentes 24-26'!A50</f>
        <v>Repuestos Electromecánicos recurrentes</v>
      </c>
      <c r="B48" s="451">
        <f>'Recurrentes 24-26'!B50</f>
        <v>2</v>
      </c>
      <c r="C48" s="451" t="str">
        <f>'Recurrentes 24-26'!C50</f>
        <v>Estaciones</v>
      </c>
      <c r="D48" s="451" t="str">
        <f>'Recurrentes 24-26'!D50</f>
        <v>Cambio de Neumáticos</v>
      </c>
      <c r="E48" s="451" t="str">
        <f>'Recurrentes 24-26'!E50</f>
        <v>Repuesto Mecánico</v>
      </c>
      <c r="F48" s="451" t="str">
        <f>'Recurrentes 24-26'!F50</f>
        <v>TDB</v>
      </c>
      <c r="G48" s="1025" t="str">
        <f>'Recurrentes 24-26'!G50</f>
        <v>34300</v>
      </c>
      <c r="H48" s="1061" t="str">
        <f>'Recurrentes 24-26'!H50</f>
        <v>2-01-00007</v>
      </c>
      <c r="I48" s="1061" t="str">
        <f>'Recurrentes 24-26'!I50</f>
        <v>10009733</v>
      </c>
      <c r="J48" s="1061" t="str">
        <f>'Recurrentes 24-26'!J50</f>
        <v>CÁMARA DE AIRE P.CUBIERTA DOP.-K  CON VALVULA TR 88 G</v>
      </c>
      <c r="K48" s="451" t="str">
        <f>'Recurrentes 24-26'!K50</f>
        <v>Pza</v>
      </c>
      <c r="L48" s="451">
        <f>'Recurrentes 24-26'!L50</f>
        <v>8</v>
      </c>
      <c r="M48" s="451">
        <f>'Recurrentes 24-26'!M50</f>
        <v>5</v>
      </c>
      <c r="N48" s="451">
        <f>'Recurrentes 24-26'!N50</f>
        <v>10</v>
      </c>
      <c r="O48" s="451">
        <f>'Recurrentes 24-26'!O50</f>
        <v>0</v>
      </c>
      <c r="P48" s="451">
        <f>'Recurrentes 24-26'!P50</f>
        <v>0</v>
      </c>
      <c r="Q48" s="451">
        <f>'Recurrentes 24-26'!Q50</f>
        <v>0</v>
      </c>
      <c r="R48" s="451">
        <f>'Recurrentes 24-26'!R50</f>
        <v>10</v>
      </c>
      <c r="S48" s="451">
        <f>'Recurrentes 24-26'!S50</f>
        <v>10</v>
      </c>
      <c r="T48" s="451">
        <f>'Recurrentes 24-26'!T50</f>
        <v>2</v>
      </c>
      <c r="U48" s="451">
        <f>'Recurrentes 24-26'!U50</f>
        <v>10</v>
      </c>
      <c r="V48" s="451">
        <f>'Recurrentes 24-26'!V50</f>
        <v>0</v>
      </c>
      <c r="W48" s="1062">
        <f>'Recurrentes 24-26'!W50</f>
        <v>55</v>
      </c>
      <c r="X48" s="451">
        <f>'Recurrentes 24-26'!X50</f>
        <v>15</v>
      </c>
      <c r="Y48" s="451">
        <f>'Recurrentes 24-26'!Y50</f>
        <v>10</v>
      </c>
      <c r="Z48" s="451">
        <f>'Recurrentes 24-26'!Z50</f>
        <v>20</v>
      </c>
      <c r="AA48" s="451">
        <f>'Recurrentes 24-26'!AA50</f>
        <v>17</v>
      </c>
      <c r="AB48" s="451">
        <f>'Recurrentes 24-26'!AB50</f>
        <v>17</v>
      </c>
      <c r="AC48" s="451">
        <f>'Recurrentes 24-26'!AC50</f>
        <v>26</v>
      </c>
      <c r="AD48" s="451">
        <f>'Recurrentes 24-26'!AD50</f>
        <v>20</v>
      </c>
      <c r="AE48" s="451">
        <f>'Recurrentes 24-26'!AE50</f>
        <v>20</v>
      </c>
      <c r="AF48" s="451">
        <f>'Recurrentes 24-26'!AF50</f>
        <v>5</v>
      </c>
      <c r="AG48" s="451">
        <f>'Recurrentes 24-26'!AG50</f>
        <v>20</v>
      </c>
      <c r="AH48" s="451">
        <f>'Recurrentes 24-26'!AH50</f>
        <v>0</v>
      </c>
      <c r="AI48" s="1062">
        <f>'Recurrentes 24-26'!AI50</f>
        <v>170</v>
      </c>
      <c r="AJ48" s="451">
        <f>'Recurrentes 24-26'!AJ50</f>
        <v>15</v>
      </c>
      <c r="AK48" s="451">
        <f>'Recurrentes 24-26'!AK50</f>
        <v>10</v>
      </c>
      <c r="AL48" s="451">
        <f>'Recurrentes 24-26'!AL50</f>
        <v>20</v>
      </c>
      <c r="AM48" s="451">
        <f>'Recurrentes 24-26'!AM50</f>
        <v>17</v>
      </c>
      <c r="AN48" s="451">
        <f>'Recurrentes 24-26'!AN50</f>
        <v>17</v>
      </c>
      <c r="AO48" s="451">
        <f>'Recurrentes 24-26'!AO50</f>
        <v>26</v>
      </c>
      <c r="AP48" s="451">
        <f>'Recurrentes 24-26'!AP50</f>
        <v>20</v>
      </c>
      <c r="AQ48" s="451">
        <f>'Recurrentes 24-26'!AQ50</f>
        <v>20</v>
      </c>
      <c r="AR48" s="451">
        <f>'Recurrentes 24-26'!AR50</f>
        <v>5</v>
      </c>
      <c r="AS48" s="451">
        <f>'Recurrentes 24-26'!AS50</f>
        <v>20</v>
      </c>
      <c r="AT48" s="451">
        <f>'Recurrentes 24-26'!AT50</f>
        <v>0</v>
      </c>
      <c r="AU48" s="1062">
        <f>'Recurrentes 24-26'!AU50</f>
        <v>170</v>
      </c>
      <c r="AV48" s="1063">
        <f>'Recurrentes 24-26'!AV50</f>
        <v>395</v>
      </c>
      <c r="AW48" s="451" t="str">
        <f>'Recurrentes 24-26'!AW50</f>
        <v/>
      </c>
      <c r="AX48" s="1062">
        <f>'Recurrentes 24-26'!AX50</f>
        <v>19.19</v>
      </c>
      <c r="AY48" s="1062">
        <f>'Recurrentes 24-26'!AY50</f>
        <v>133.5624</v>
      </c>
      <c r="AZ48" s="1064" t="str">
        <f>'Recurrentes 24-26'!AZ50</f>
        <v/>
      </c>
      <c r="BA48" s="1064">
        <f>'Recurrentes 24-26'!BA50</f>
        <v>1068.4992</v>
      </c>
      <c r="BB48" s="1064">
        <f>'Recurrentes 24-26'!BB50</f>
        <v>667.812</v>
      </c>
      <c r="BC48" s="1064">
        <f>'Recurrentes 24-26'!BC50</f>
        <v>1335.624</v>
      </c>
      <c r="BD48" s="1064">
        <f>'Recurrentes 24-26'!BD50</f>
        <v>0</v>
      </c>
      <c r="BE48" s="1064">
        <f>'Recurrentes 24-26'!BE50</f>
        <v>0</v>
      </c>
      <c r="BF48" s="1064">
        <f>'Recurrentes 24-26'!BF50</f>
        <v>0</v>
      </c>
      <c r="BG48" s="1064">
        <f>'Recurrentes 24-26'!BG50</f>
        <v>1335.624</v>
      </c>
      <c r="BH48" s="1064">
        <f>'Recurrentes 24-26'!BH50</f>
        <v>1335.624</v>
      </c>
      <c r="BI48" s="1064">
        <f>'Recurrentes 24-26'!BI50</f>
        <v>267.1248</v>
      </c>
      <c r="BJ48" s="1064">
        <f>'Recurrentes 24-26'!BJ50</f>
        <v>1335.624</v>
      </c>
      <c r="BK48" s="451"/>
      <c r="BL48" s="1062">
        <f>'Recurrentes 24-26'!BK50</f>
        <v>7345.932</v>
      </c>
      <c r="BM48" s="1064">
        <f>'Recurrentes 24-26'!BL50</f>
        <v>2003.436</v>
      </c>
      <c r="BN48" s="1064">
        <f>'Recurrentes 24-26'!BM50</f>
        <v>1335.624</v>
      </c>
      <c r="BO48" s="1064">
        <f>'Recurrentes 24-26'!BN50</f>
        <v>2671.248</v>
      </c>
      <c r="BP48" s="1064">
        <f>'Recurrentes 24-26'!BO50</f>
        <v>2270.5608</v>
      </c>
      <c r="BQ48" s="1064">
        <f>'Recurrentes 24-26'!BP50</f>
        <v>2270.5608</v>
      </c>
      <c r="BR48" s="1064">
        <f>'Recurrentes 24-26'!BQ50</f>
        <v>3472.6224</v>
      </c>
      <c r="BS48" s="1064">
        <f>'Recurrentes 24-26'!BR50</f>
        <v>2671.248</v>
      </c>
      <c r="BT48" s="1064">
        <f>'Recurrentes 24-26'!BS50</f>
        <v>2671.248</v>
      </c>
      <c r="BU48" s="1064">
        <f>'Recurrentes 24-26'!BT50</f>
        <v>667.812</v>
      </c>
      <c r="BV48" s="1064">
        <f>'Recurrentes 24-26'!BU50</f>
        <v>2671.248</v>
      </c>
      <c r="BW48" s="451"/>
      <c r="BX48" s="1062">
        <f>'Recurrentes 24-26'!BV50</f>
        <v>22705.608</v>
      </c>
      <c r="BY48" s="1064">
        <f>'Recurrentes 24-26'!BW50</f>
        <v>2003.436</v>
      </c>
      <c r="BZ48" s="1064">
        <f>'Recurrentes 24-26'!BX50</f>
        <v>1335.624</v>
      </c>
      <c r="CA48" s="1064">
        <f>'Recurrentes 24-26'!BY50</f>
        <v>2671.248</v>
      </c>
      <c r="CB48" s="1064">
        <f>'Recurrentes 24-26'!BZ50</f>
        <v>2270.5608</v>
      </c>
      <c r="CC48" s="1064">
        <f>'Recurrentes 24-26'!CA50</f>
        <v>2270.5608</v>
      </c>
      <c r="CD48" s="1064">
        <f>'Recurrentes 24-26'!CB50</f>
        <v>3472.6224</v>
      </c>
      <c r="CE48" s="1064">
        <f>'Recurrentes 24-26'!CC50</f>
        <v>2671.248</v>
      </c>
      <c r="CF48" s="1064">
        <f>'Recurrentes 24-26'!CD50</f>
        <v>2671.248</v>
      </c>
      <c r="CG48" s="1064">
        <f>'Recurrentes 24-26'!CE50</f>
        <v>667.812</v>
      </c>
      <c r="CH48" s="1064">
        <f>'Recurrentes 24-26'!CF50</f>
        <v>2671.248</v>
      </c>
      <c r="CI48" s="451"/>
      <c r="CJ48" s="1062">
        <f>'Recurrentes 24-26'!CG50</f>
        <v>22705.608</v>
      </c>
      <c r="CK48" s="1062">
        <f>'Recurrentes 24-26'!CH50</f>
        <v>52757.148</v>
      </c>
      <c r="CL48" s="451" t="str">
        <f>'Recurrentes 24-26'!CI50</f>
        <v/>
      </c>
      <c r="CM48" s="1064" t="str">
        <f>'Recurrentes 24-26'!CJ50</f>
        <v/>
      </c>
      <c r="CN48" s="451">
        <f>'Recurrentes 24-26'!CK50</f>
        <v>1</v>
      </c>
      <c r="CO48" s="1062">
        <f>'Recurrentes 24-26'!CL50</f>
        <v>19.19</v>
      </c>
      <c r="CP48" s="451" t="str">
        <f>'Recurrentes 24-26'!CM50</f>
        <v/>
      </c>
    </row>
    <row r="49">
      <c r="A49" s="451" t="str">
        <f>'Recurrentes 24-26'!A51</f>
        <v>Repuestos Electromecánicos recurrentes</v>
      </c>
      <c r="B49" s="451">
        <f>'Recurrentes 24-26'!B51</f>
        <v>2</v>
      </c>
      <c r="C49" s="451" t="str">
        <f>'Recurrentes 24-26'!C51</f>
        <v>Torres</v>
      </c>
      <c r="D49" s="451" t="str">
        <f>'Recurrentes 24-26'!D51</f>
        <v>Reacondionamiento y cambio de Poleas de torre</v>
      </c>
      <c r="E49" s="451" t="str">
        <f>'Recurrentes 24-26'!E51</f>
        <v>Repuesto Mecánico</v>
      </c>
      <c r="F49" s="451" t="str">
        <f>'Recurrentes 24-26'!F51</f>
        <v>TDB</v>
      </c>
      <c r="G49" s="1025" t="str">
        <f>'Recurrentes 24-26'!G51</f>
        <v>39800</v>
      </c>
      <c r="H49" s="1061" t="str">
        <f>'Recurrentes 24-26'!H51</f>
        <v>2-01-00044</v>
      </c>
      <c r="I49" s="1061" t="str">
        <f>'Recurrentes 24-26'!I51</f>
        <v>10871370</v>
      </c>
      <c r="J49" s="1061" t="str">
        <f>'Recurrentes 24-26'!J51</f>
        <v>ARANDELA OBTURAD.-Z010F 50X 80 DISEÑO ESPEC. DE LA SUPERFICIE</v>
      </c>
      <c r="K49" s="451" t="str">
        <f>'Recurrentes 24-26'!K51</f>
        <v>Pza</v>
      </c>
      <c r="L49" s="451">
        <f>'Recurrentes 24-26'!L51</f>
        <v>25</v>
      </c>
      <c r="M49" s="451">
        <f>'Recurrentes 24-26'!M51</f>
        <v>5</v>
      </c>
      <c r="N49" s="451">
        <f>'Recurrentes 24-26'!N51</f>
        <v>25</v>
      </c>
      <c r="O49" s="451">
        <f>'Recurrentes 24-26'!O51</f>
        <v>4</v>
      </c>
      <c r="P49" s="451">
        <f>'Recurrentes 24-26'!P51</f>
        <v>4</v>
      </c>
      <c r="Q49" s="451">
        <f>'Recurrentes 24-26'!Q51</f>
        <v>4</v>
      </c>
      <c r="R49" s="451">
        <f>'Recurrentes 24-26'!R51</f>
        <v>2</v>
      </c>
      <c r="S49" s="451">
        <f>'Recurrentes 24-26'!S51</f>
        <v>2</v>
      </c>
      <c r="T49" s="451">
        <f>'Recurrentes 24-26'!T51</f>
        <v>1</v>
      </c>
      <c r="U49" s="451">
        <f>'Recurrentes 24-26'!U51</f>
        <v>30</v>
      </c>
      <c r="V49" s="451">
        <f>'Recurrentes 24-26'!V51</f>
        <v>0</v>
      </c>
      <c r="W49" s="1062">
        <f>'Recurrentes 24-26'!W51</f>
        <v>102</v>
      </c>
      <c r="X49" s="451">
        <f>'Recurrentes 24-26'!X51</f>
        <v>25</v>
      </c>
      <c r="Y49" s="451">
        <f>'Recurrentes 24-26'!Y51</f>
        <v>5</v>
      </c>
      <c r="Z49" s="451">
        <f>'Recurrentes 24-26'!Z51</f>
        <v>25</v>
      </c>
      <c r="AA49" s="451">
        <f>'Recurrentes 24-26'!AA51</f>
        <v>4</v>
      </c>
      <c r="AB49" s="451">
        <f>'Recurrentes 24-26'!AB51</f>
        <v>4</v>
      </c>
      <c r="AC49" s="451">
        <f>'Recurrentes 24-26'!AC51</f>
        <v>4</v>
      </c>
      <c r="AD49" s="451">
        <f>'Recurrentes 24-26'!AD51</f>
        <v>2</v>
      </c>
      <c r="AE49" s="451">
        <f>'Recurrentes 24-26'!AE51</f>
        <v>2</v>
      </c>
      <c r="AF49" s="451">
        <f>'Recurrentes 24-26'!AF51</f>
        <v>1</v>
      </c>
      <c r="AG49" s="451">
        <f>'Recurrentes 24-26'!AG51</f>
        <v>30</v>
      </c>
      <c r="AH49" s="451">
        <f>'Recurrentes 24-26'!AH51</f>
        <v>0</v>
      </c>
      <c r="AI49" s="1062">
        <f>'Recurrentes 24-26'!AI51</f>
        <v>102</v>
      </c>
      <c r="AJ49" s="451">
        <f>'Recurrentes 24-26'!AJ51</f>
        <v>25</v>
      </c>
      <c r="AK49" s="451">
        <f>'Recurrentes 24-26'!AK51</f>
        <v>5</v>
      </c>
      <c r="AL49" s="451">
        <f>'Recurrentes 24-26'!AL51</f>
        <v>25</v>
      </c>
      <c r="AM49" s="451">
        <f>'Recurrentes 24-26'!AM51</f>
        <v>4</v>
      </c>
      <c r="AN49" s="451">
        <f>'Recurrentes 24-26'!AN51</f>
        <v>4</v>
      </c>
      <c r="AO49" s="451">
        <f>'Recurrentes 24-26'!AO51</f>
        <v>4</v>
      </c>
      <c r="AP49" s="451">
        <f>'Recurrentes 24-26'!AP51</f>
        <v>2</v>
      </c>
      <c r="AQ49" s="451">
        <f>'Recurrentes 24-26'!AQ51</f>
        <v>2</v>
      </c>
      <c r="AR49" s="451">
        <f>'Recurrentes 24-26'!AR51</f>
        <v>1</v>
      </c>
      <c r="AS49" s="451">
        <f>'Recurrentes 24-26'!AS51</f>
        <v>30</v>
      </c>
      <c r="AT49" s="451">
        <f>'Recurrentes 24-26'!AT51</f>
        <v>0</v>
      </c>
      <c r="AU49" s="1062">
        <f>'Recurrentes 24-26'!AU51</f>
        <v>102</v>
      </c>
      <c r="AV49" s="1063">
        <f>'Recurrentes 24-26'!AV51</f>
        <v>306</v>
      </c>
      <c r="AW49" s="451" t="str">
        <f>'Recurrentes 24-26'!AW51</f>
        <v/>
      </c>
      <c r="AX49" s="1062">
        <f>'Recurrentes 24-26'!AX51</f>
        <v>23</v>
      </c>
      <c r="AY49" s="1062">
        <f>'Recurrentes 24-26'!AY51</f>
        <v>160.08</v>
      </c>
      <c r="AZ49" s="1064" t="str">
        <f>'Recurrentes 24-26'!AZ51</f>
        <v/>
      </c>
      <c r="BA49" s="1064">
        <f>'Recurrentes 24-26'!BA51</f>
        <v>4002</v>
      </c>
      <c r="BB49" s="1064">
        <f>'Recurrentes 24-26'!BB51</f>
        <v>800.4</v>
      </c>
      <c r="BC49" s="1064">
        <f>'Recurrentes 24-26'!BC51</f>
        <v>4002</v>
      </c>
      <c r="BD49" s="1064">
        <f>'Recurrentes 24-26'!BD51</f>
        <v>640.32</v>
      </c>
      <c r="BE49" s="1064">
        <f>'Recurrentes 24-26'!BE51</f>
        <v>640.32</v>
      </c>
      <c r="BF49" s="1064">
        <f>'Recurrentes 24-26'!BF51</f>
        <v>640.32</v>
      </c>
      <c r="BG49" s="1064">
        <f>'Recurrentes 24-26'!BG51</f>
        <v>320.16</v>
      </c>
      <c r="BH49" s="1064">
        <f>'Recurrentes 24-26'!BH51</f>
        <v>320.16</v>
      </c>
      <c r="BI49" s="1064">
        <f>'Recurrentes 24-26'!BI51</f>
        <v>160.08</v>
      </c>
      <c r="BJ49" s="1064">
        <f>'Recurrentes 24-26'!BJ51</f>
        <v>4802.4</v>
      </c>
      <c r="BK49" s="451"/>
      <c r="BL49" s="1062">
        <f>'Recurrentes 24-26'!BK51</f>
        <v>16328.16</v>
      </c>
      <c r="BM49" s="1064">
        <f>'Recurrentes 24-26'!BL51</f>
        <v>4002</v>
      </c>
      <c r="BN49" s="1064">
        <f>'Recurrentes 24-26'!BM51</f>
        <v>800.4</v>
      </c>
      <c r="BO49" s="1064">
        <f>'Recurrentes 24-26'!BN51</f>
        <v>4002</v>
      </c>
      <c r="BP49" s="1064">
        <f>'Recurrentes 24-26'!BO51</f>
        <v>640.32</v>
      </c>
      <c r="BQ49" s="1064">
        <f>'Recurrentes 24-26'!BP51</f>
        <v>640.32</v>
      </c>
      <c r="BR49" s="1064">
        <f>'Recurrentes 24-26'!BQ51</f>
        <v>640.32</v>
      </c>
      <c r="BS49" s="1064">
        <f>'Recurrentes 24-26'!BR51</f>
        <v>320.16</v>
      </c>
      <c r="BT49" s="1064">
        <f>'Recurrentes 24-26'!BS51</f>
        <v>320.16</v>
      </c>
      <c r="BU49" s="1064">
        <f>'Recurrentes 24-26'!BT51</f>
        <v>160.08</v>
      </c>
      <c r="BV49" s="1064">
        <f>'Recurrentes 24-26'!BU51</f>
        <v>4802.4</v>
      </c>
      <c r="BW49" s="451"/>
      <c r="BX49" s="1062">
        <f>'Recurrentes 24-26'!BV51</f>
        <v>16328.16</v>
      </c>
      <c r="BY49" s="1064">
        <f>'Recurrentes 24-26'!BW51</f>
        <v>4002</v>
      </c>
      <c r="BZ49" s="1064">
        <f>'Recurrentes 24-26'!BX51</f>
        <v>800.4</v>
      </c>
      <c r="CA49" s="1064">
        <f>'Recurrentes 24-26'!BY51</f>
        <v>4002</v>
      </c>
      <c r="CB49" s="1064">
        <f>'Recurrentes 24-26'!BZ51</f>
        <v>640.32</v>
      </c>
      <c r="CC49" s="1064">
        <f>'Recurrentes 24-26'!CA51</f>
        <v>640.32</v>
      </c>
      <c r="CD49" s="1064">
        <f>'Recurrentes 24-26'!CB51</f>
        <v>640.32</v>
      </c>
      <c r="CE49" s="1064">
        <f>'Recurrentes 24-26'!CC51</f>
        <v>320.16</v>
      </c>
      <c r="CF49" s="1064">
        <f>'Recurrentes 24-26'!CD51</f>
        <v>320.16</v>
      </c>
      <c r="CG49" s="1064">
        <f>'Recurrentes 24-26'!CE51</f>
        <v>160.08</v>
      </c>
      <c r="CH49" s="1064">
        <f>'Recurrentes 24-26'!CF51</f>
        <v>4802.4</v>
      </c>
      <c r="CI49" s="451"/>
      <c r="CJ49" s="1062">
        <f>'Recurrentes 24-26'!CG51</f>
        <v>16328.16</v>
      </c>
      <c r="CK49" s="1062">
        <f>'Recurrentes 24-26'!CH51</f>
        <v>48984.48</v>
      </c>
      <c r="CL49" s="451" t="str">
        <f>'Recurrentes 24-26'!CI51</f>
        <v/>
      </c>
      <c r="CM49" s="1064" t="str">
        <f>'Recurrentes 24-26'!CJ51</f>
        <v/>
      </c>
      <c r="CN49" s="451">
        <f>'Recurrentes 24-26'!CK51</f>
        <v>1</v>
      </c>
      <c r="CO49" s="1062">
        <f>'Recurrentes 24-26'!CL51</f>
        <v>23</v>
      </c>
      <c r="CP49" s="451" t="str">
        <f>'Recurrentes 24-26'!CM51</f>
        <v/>
      </c>
    </row>
    <row r="50">
      <c r="A50" s="451" t="str">
        <f>'Recurrentes 24-26'!A52</f>
        <v>Repuestos Electromecánicos recurrentes</v>
      </c>
      <c r="B50" s="451">
        <f>'Recurrentes 24-26'!B52</f>
        <v>2</v>
      </c>
      <c r="C50" s="451" t="str">
        <f>'Recurrentes 24-26'!C52</f>
        <v>Torres</v>
      </c>
      <c r="D50" s="451" t="str">
        <f>'Recurrentes 24-26'!D52</f>
        <v>Sistema RPD</v>
      </c>
      <c r="E50" s="451" t="str">
        <f>'Recurrentes 24-26'!E52</f>
        <v>Repuesto Eléctrico</v>
      </c>
      <c r="F50" s="451" t="str">
        <f>'Recurrentes 24-26'!F52</f>
        <v>TDB</v>
      </c>
      <c r="G50" s="1025" t="str">
        <f>'Recurrentes 24-26'!G52</f>
        <v>39700</v>
      </c>
      <c r="H50" s="1061" t="str">
        <f>'Recurrentes 24-26'!H52</f>
        <v>2-02-00337</v>
      </c>
      <c r="I50" s="1061" t="str">
        <f>'Recurrentes 24-26'!I52</f>
        <v>10302030</v>
      </c>
      <c r="J50" s="1061" t="str">
        <f>'Recurrentes 24-26'!J52</f>
        <v>CABLE DE CONEX.RPD 10M KDKS AMARILLO CON ENCHUFE INYECTADO Y</v>
      </c>
      <c r="K50" s="451" t="str">
        <f>'Recurrentes 24-26'!K52</f>
        <v>Pza</v>
      </c>
      <c r="L50" s="451">
        <f>'Recurrentes 24-26'!L52</f>
        <v>2</v>
      </c>
      <c r="M50" s="451">
        <f>'Recurrentes 24-26'!M52</f>
        <v>2</v>
      </c>
      <c r="N50" s="451">
        <f>'Recurrentes 24-26'!N52</f>
        <v>2</v>
      </c>
      <c r="O50" s="451">
        <f>'Recurrentes 24-26'!O52</f>
        <v>1</v>
      </c>
      <c r="P50" s="451">
        <f>'Recurrentes 24-26'!P52</f>
        <v>2</v>
      </c>
      <c r="Q50" s="451">
        <f>'Recurrentes 24-26'!Q52</f>
        <v>2</v>
      </c>
      <c r="R50" s="451">
        <f>'Recurrentes 24-26'!R52</f>
        <v>2</v>
      </c>
      <c r="S50" s="451">
        <f>'Recurrentes 24-26'!S52</f>
        <v>0</v>
      </c>
      <c r="T50" s="451">
        <f>'Recurrentes 24-26'!T52</f>
        <v>1</v>
      </c>
      <c r="U50" s="451">
        <f>'Recurrentes 24-26'!U52</f>
        <v>2</v>
      </c>
      <c r="V50" s="451">
        <f>'Recurrentes 24-26'!V52</f>
        <v>0</v>
      </c>
      <c r="W50" s="1062">
        <f>'Recurrentes 24-26'!W52</f>
        <v>16</v>
      </c>
      <c r="X50" s="451">
        <f>'Recurrentes 24-26'!X52</f>
        <v>2</v>
      </c>
      <c r="Y50" s="451">
        <f>'Recurrentes 24-26'!Y52</f>
        <v>2</v>
      </c>
      <c r="Z50" s="451">
        <f>'Recurrentes 24-26'!Z52</f>
        <v>2</v>
      </c>
      <c r="AA50" s="451">
        <f>'Recurrentes 24-26'!AA52</f>
        <v>1</v>
      </c>
      <c r="AB50" s="451">
        <f>'Recurrentes 24-26'!AB52</f>
        <v>2</v>
      </c>
      <c r="AC50" s="451">
        <f>'Recurrentes 24-26'!AC52</f>
        <v>2</v>
      </c>
      <c r="AD50" s="451">
        <f>'Recurrentes 24-26'!AD52</f>
        <v>2</v>
      </c>
      <c r="AE50" s="451">
        <f>'Recurrentes 24-26'!AE52</f>
        <v>2</v>
      </c>
      <c r="AF50" s="451">
        <f>'Recurrentes 24-26'!AF52</f>
        <v>1</v>
      </c>
      <c r="AG50" s="451">
        <f>'Recurrentes 24-26'!AG52</f>
        <v>2</v>
      </c>
      <c r="AH50" s="451">
        <f>'Recurrentes 24-26'!AH52</f>
        <v>0</v>
      </c>
      <c r="AI50" s="1062">
        <f>'Recurrentes 24-26'!AI52</f>
        <v>18</v>
      </c>
      <c r="AJ50" s="451">
        <f>'Recurrentes 24-26'!AJ52</f>
        <v>2</v>
      </c>
      <c r="AK50" s="451">
        <f>'Recurrentes 24-26'!AK52</f>
        <v>2</v>
      </c>
      <c r="AL50" s="451">
        <f>'Recurrentes 24-26'!AL52</f>
        <v>2</v>
      </c>
      <c r="AM50" s="451">
        <f>'Recurrentes 24-26'!AM52</f>
        <v>1</v>
      </c>
      <c r="AN50" s="451">
        <f>'Recurrentes 24-26'!AN52</f>
        <v>2</v>
      </c>
      <c r="AO50" s="451">
        <f>'Recurrentes 24-26'!AO52</f>
        <v>2</v>
      </c>
      <c r="AP50" s="451">
        <f>'Recurrentes 24-26'!AP52</f>
        <v>2</v>
      </c>
      <c r="AQ50" s="451">
        <f>'Recurrentes 24-26'!AQ52</f>
        <v>2</v>
      </c>
      <c r="AR50" s="451">
        <f>'Recurrentes 24-26'!AR52</f>
        <v>1</v>
      </c>
      <c r="AS50" s="451">
        <f>'Recurrentes 24-26'!AS52</f>
        <v>2</v>
      </c>
      <c r="AT50" s="451">
        <f>'Recurrentes 24-26'!AT52</f>
        <v>0</v>
      </c>
      <c r="AU50" s="1062">
        <f>'Recurrentes 24-26'!AU52</f>
        <v>18</v>
      </c>
      <c r="AV50" s="1063">
        <f>'Recurrentes 24-26'!AV52</f>
        <v>52</v>
      </c>
      <c r="AW50" s="451" t="str">
        <f>'Recurrentes 24-26'!AW52</f>
        <v/>
      </c>
      <c r="AX50" s="1062">
        <f>'Recurrentes 24-26'!AX52</f>
        <v>131.21</v>
      </c>
      <c r="AY50" s="1062">
        <f>'Recurrentes 24-26'!AY52</f>
        <v>913.2216</v>
      </c>
      <c r="AZ50" s="1064" t="str">
        <f>'Recurrentes 24-26'!AZ52</f>
        <v/>
      </c>
      <c r="BA50" s="1064">
        <f>'Recurrentes 24-26'!BA52</f>
        <v>1826.4432</v>
      </c>
      <c r="BB50" s="1064">
        <f>'Recurrentes 24-26'!BB52</f>
        <v>1826.4432</v>
      </c>
      <c r="BC50" s="1064">
        <f>'Recurrentes 24-26'!BC52</f>
        <v>1826.4432</v>
      </c>
      <c r="BD50" s="1064">
        <f>'Recurrentes 24-26'!BD52</f>
        <v>913.2216</v>
      </c>
      <c r="BE50" s="1064">
        <f>'Recurrentes 24-26'!BE52</f>
        <v>1826.4432</v>
      </c>
      <c r="BF50" s="1064">
        <f>'Recurrentes 24-26'!BF52</f>
        <v>1826.4432</v>
      </c>
      <c r="BG50" s="1064">
        <f>'Recurrentes 24-26'!BG52</f>
        <v>1826.4432</v>
      </c>
      <c r="BH50" s="1064">
        <f>'Recurrentes 24-26'!BH52</f>
        <v>0</v>
      </c>
      <c r="BI50" s="1064">
        <f>'Recurrentes 24-26'!BI52</f>
        <v>913.2216</v>
      </c>
      <c r="BJ50" s="1064">
        <f>'Recurrentes 24-26'!BJ52</f>
        <v>1826.4432</v>
      </c>
      <c r="BK50" s="451"/>
      <c r="BL50" s="1062">
        <f>'Recurrentes 24-26'!BK52</f>
        <v>14611.5456</v>
      </c>
      <c r="BM50" s="1064">
        <f>'Recurrentes 24-26'!BL52</f>
        <v>1826.4432</v>
      </c>
      <c r="BN50" s="1064">
        <f>'Recurrentes 24-26'!BM52</f>
        <v>1826.4432</v>
      </c>
      <c r="BO50" s="1064">
        <f>'Recurrentes 24-26'!BN52</f>
        <v>1826.4432</v>
      </c>
      <c r="BP50" s="1064">
        <f>'Recurrentes 24-26'!BO52</f>
        <v>913.2216</v>
      </c>
      <c r="BQ50" s="1064">
        <f>'Recurrentes 24-26'!BP52</f>
        <v>1826.4432</v>
      </c>
      <c r="BR50" s="1064">
        <f>'Recurrentes 24-26'!BQ52</f>
        <v>1826.4432</v>
      </c>
      <c r="BS50" s="1064">
        <f>'Recurrentes 24-26'!BR52</f>
        <v>1826.4432</v>
      </c>
      <c r="BT50" s="1064">
        <f>'Recurrentes 24-26'!BS52</f>
        <v>1826.4432</v>
      </c>
      <c r="BU50" s="1064">
        <f>'Recurrentes 24-26'!BT52</f>
        <v>913.2216</v>
      </c>
      <c r="BV50" s="1064">
        <f>'Recurrentes 24-26'!BU52</f>
        <v>1826.4432</v>
      </c>
      <c r="BW50" s="451"/>
      <c r="BX50" s="1062">
        <f>'Recurrentes 24-26'!BV52</f>
        <v>16437.9888</v>
      </c>
      <c r="BY50" s="1064">
        <f>'Recurrentes 24-26'!BW52</f>
        <v>1826.4432</v>
      </c>
      <c r="BZ50" s="1064">
        <f>'Recurrentes 24-26'!BX52</f>
        <v>1826.4432</v>
      </c>
      <c r="CA50" s="1064">
        <f>'Recurrentes 24-26'!BY52</f>
        <v>1826.4432</v>
      </c>
      <c r="CB50" s="1064">
        <f>'Recurrentes 24-26'!BZ52</f>
        <v>913.2216</v>
      </c>
      <c r="CC50" s="1064">
        <f>'Recurrentes 24-26'!CA52</f>
        <v>1826.4432</v>
      </c>
      <c r="CD50" s="1064">
        <f>'Recurrentes 24-26'!CB52</f>
        <v>1826.4432</v>
      </c>
      <c r="CE50" s="1064">
        <f>'Recurrentes 24-26'!CC52</f>
        <v>1826.4432</v>
      </c>
      <c r="CF50" s="1064">
        <f>'Recurrentes 24-26'!CD52</f>
        <v>1826.4432</v>
      </c>
      <c r="CG50" s="1064">
        <f>'Recurrentes 24-26'!CE52</f>
        <v>913.2216</v>
      </c>
      <c r="CH50" s="1064">
        <f>'Recurrentes 24-26'!CF52</f>
        <v>1826.4432</v>
      </c>
      <c r="CI50" s="451"/>
      <c r="CJ50" s="1062">
        <f>'Recurrentes 24-26'!CG52</f>
        <v>16437.9888</v>
      </c>
      <c r="CK50" s="1062">
        <f>'Recurrentes 24-26'!CH52</f>
        <v>47487.5232</v>
      </c>
      <c r="CL50" s="451" t="str">
        <f>'Recurrentes 24-26'!CI52</f>
        <v/>
      </c>
      <c r="CM50" s="1064" t="str">
        <f>'Recurrentes 24-26'!CJ52</f>
        <v/>
      </c>
      <c r="CN50" s="451">
        <f>'Recurrentes 24-26'!CK52</f>
        <v>1</v>
      </c>
      <c r="CO50" s="1062">
        <f>'Recurrentes 24-26'!CL52</f>
        <v>131.21</v>
      </c>
      <c r="CP50" s="451" t="str">
        <f>'Recurrentes 24-26'!CM52</f>
        <v/>
      </c>
    </row>
    <row r="51">
      <c r="A51" s="451" t="str">
        <f>'Recurrentes 24-26'!A53</f>
        <v>Repuestos Electromecánicos recurrentes</v>
      </c>
      <c r="B51" s="451">
        <f>'Recurrentes 24-26'!B53</f>
        <v>2</v>
      </c>
      <c r="C51" s="451" t="str">
        <f>'Recurrentes 24-26'!C53</f>
        <v>Vehículo</v>
      </c>
      <c r="D51" s="451" t="str">
        <f>'Recurrentes 24-26'!D53</f>
        <v>Manto. Pinza</v>
      </c>
      <c r="E51" s="451" t="str">
        <f>'Recurrentes 24-26'!E53</f>
        <v>Repuesto Mecánico</v>
      </c>
      <c r="F51" s="451" t="str">
        <f>'Recurrentes 24-26'!F53</f>
        <v>TDB</v>
      </c>
      <c r="G51" s="1025" t="str">
        <f>'Recurrentes 24-26'!G53</f>
        <v>39800</v>
      </c>
      <c r="H51" s="1061" t="str">
        <f>'Recurrentes 24-26'!H53</f>
        <v>2-01-00047</v>
      </c>
      <c r="I51" s="1061" t="str">
        <f>'Recurrentes 24-26'!I53</f>
        <v>10274057</v>
      </c>
      <c r="J51" s="1061" t="str">
        <f>'Recurrentes 24-26'!J53</f>
        <v>CASQUILLO PM 2260 DS  TIPO: KW SIN AGUJERO DE ENGRASE GLACIER</v>
      </c>
      <c r="K51" s="451" t="str">
        <f>'Recurrentes 24-26'!K53</f>
        <v>Pza</v>
      </c>
      <c r="L51" s="451">
        <f>'Recurrentes 24-26'!L53</f>
        <v>0</v>
      </c>
      <c r="M51" s="451">
        <f>'Recurrentes 24-26'!M53</f>
        <v>0</v>
      </c>
      <c r="N51" s="451">
        <f>'Recurrentes 24-26'!N53</f>
        <v>0</v>
      </c>
      <c r="O51" s="451">
        <f>'Recurrentes 24-26'!O53</f>
        <v>0</v>
      </c>
      <c r="P51" s="451">
        <f>'Recurrentes 24-26'!P53</f>
        <v>50</v>
      </c>
      <c r="Q51" s="451">
        <f>'Recurrentes 24-26'!Q53</f>
        <v>50</v>
      </c>
      <c r="R51" s="451">
        <f>'Recurrentes 24-26'!R53</f>
        <v>0</v>
      </c>
      <c r="S51" s="451">
        <f>'Recurrentes 24-26'!S53</f>
        <v>0</v>
      </c>
      <c r="T51" s="451">
        <f>'Recurrentes 24-26'!T53</f>
        <v>0</v>
      </c>
      <c r="U51" s="451">
        <f>'Recurrentes 24-26'!U53</f>
        <v>0</v>
      </c>
      <c r="V51" s="451">
        <f>'Recurrentes 24-26'!V53</f>
        <v>0</v>
      </c>
      <c r="W51" s="1062">
        <f>'Recurrentes 24-26'!W53</f>
        <v>100</v>
      </c>
      <c r="X51" s="451">
        <f>'Recurrentes 24-26'!X53</f>
        <v>30</v>
      </c>
      <c r="Y51" s="451">
        <f>'Recurrentes 24-26'!Y53</f>
        <v>18</v>
      </c>
      <c r="Z51" s="451">
        <f>'Recurrentes 24-26'!Z53</f>
        <v>26</v>
      </c>
      <c r="AA51" s="451">
        <f>'Recurrentes 24-26'!AA53</f>
        <v>30</v>
      </c>
      <c r="AB51" s="451">
        <f>'Recurrentes 24-26'!AB53</f>
        <v>50</v>
      </c>
      <c r="AC51" s="451">
        <f>'Recurrentes 24-26'!AC53</f>
        <v>50</v>
      </c>
      <c r="AD51" s="451">
        <f>'Recurrentes 24-26'!AD53</f>
        <v>10</v>
      </c>
      <c r="AE51" s="451">
        <f>'Recurrentes 24-26'!AE53</f>
        <v>10</v>
      </c>
      <c r="AF51" s="451">
        <f>'Recurrentes 24-26'!AF53</f>
        <v>2</v>
      </c>
      <c r="AG51" s="451">
        <f>'Recurrentes 24-26'!AG53</f>
        <v>0</v>
      </c>
      <c r="AH51" s="451">
        <f>'Recurrentes 24-26'!AH53</f>
        <v>0</v>
      </c>
      <c r="AI51" s="1062">
        <f>'Recurrentes 24-26'!AI53</f>
        <v>226</v>
      </c>
      <c r="AJ51" s="451">
        <f>'Recurrentes 24-26'!AJ53</f>
        <v>30</v>
      </c>
      <c r="AK51" s="451">
        <f>'Recurrentes 24-26'!AK53</f>
        <v>18</v>
      </c>
      <c r="AL51" s="451">
        <f>'Recurrentes 24-26'!AL53</f>
        <v>26</v>
      </c>
      <c r="AM51" s="451">
        <f>'Recurrentes 24-26'!AM53</f>
        <v>30</v>
      </c>
      <c r="AN51" s="451">
        <f>'Recurrentes 24-26'!AN53</f>
        <v>50</v>
      </c>
      <c r="AO51" s="451">
        <f>'Recurrentes 24-26'!AO53</f>
        <v>50</v>
      </c>
      <c r="AP51" s="451">
        <f>'Recurrentes 24-26'!AP53</f>
        <v>10</v>
      </c>
      <c r="AQ51" s="451">
        <f>'Recurrentes 24-26'!AQ53</f>
        <v>10</v>
      </c>
      <c r="AR51" s="451">
        <f>'Recurrentes 24-26'!AR53</f>
        <v>2</v>
      </c>
      <c r="AS51" s="451">
        <f>'Recurrentes 24-26'!AS53</f>
        <v>0</v>
      </c>
      <c r="AT51" s="451">
        <f>'Recurrentes 24-26'!AT53</f>
        <v>0</v>
      </c>
      <c r="AU51" s="1062">
        <f>'Recurrentes 24-26'!AU53</f>
        <v>226</v>
      </c>
      <c r="AV51" s="1063">
        <f>'Recurrentes 24-26'!AV53</f>
        <v>552</v>
      </c>
      <c r="AW51" s="451" t="str">
        <f>'Recurrentes 24-26'!AW53</f>
        <v/>
      </c>
      <c r="AX51" s="1062">
        <f>'Recurrentes 24-26'!AX53</f>
        <v>11.81</v>
      </c>
      <c r="AY51" s="1062">
        <f>'Recurrentes 24-26'!AY53</f>
        <v>82.1976</v>
      </c>
      <c r="AZ51" s="1064" t="str">
        <f>'Recurrentes 24-26'!AZ53</f>
        <v/>
      </c>
      <c r="BA51" s="1064">
        <f>'Recurrentes 24-26'!BA53</f>
        <v>0</v>
      </c>
      <c r="BB51" s="1064">
        <f>'Recurrentes 24-26'!BB53</f>
        <v>0</v>
      </c>
      <c r="BC51" s="1064">
        <f>'Recurrentes 24-26'!BC53</f>
        <v>0</v>
      </c>
      <c r="BD51" s="1064">
        <f>'Recurrentes 24-26'!BD53</f>
        <v>0</v>
      </c>
      <c r="BE51" s="1064">
        <f>'Recurrentes 24-26'!BE53</f>
        <v>4109.88</v>
      </c>
      <c r="BF51" s="1064">
        <f>'Recurrentes 24-26'!BF53</f>
        <v>4109.88</v>
      </c>
      <c r="BG51" s="1064">
        <f>'Recurrentes 24-26'!BG53</f>
        <v>0</v>
      </c>
      <c r="BH51" s="1064">
        <f>'Recurrentes 24-26'!BH53</f>
        <v>0</v>
      </c>
      <c r="BI51" s="1064">
        <f>'Recurrentes 24-26'!BI53</f>
        <v>0</v>
      </c>
      <c r="BJ51" s="1064">
        <f>'Recurrentes 24-26'!BJ53</f>
        <v>0</v>
      </c>
      <c r="BK51" s="451"/>
      <c r="BL51" s="1062">
        <f>'Recurrentes 24-26'!BK53</f>
        <v>8219.76</v>
      </c>
      <c r="BM51" s="1064">
        <f>'Recurrentes 24-26'!BL53</f>
        <v>2465.928</v>
      </c>
      <c r="BN51" s="1064">
        <f>'Recurrentes 24-26'!BM53</f>
        <v>1479.5568</v>
      </c>
      <c r="BO51" s="1064">
        <f>'Recurrentes 24-26'!BN53</f>
        <v>2137.1376</v>
      </c>
      <c r="BP51" s="1064">
        <f>'Recurrentes 24-26'!BO53</f>
        <v>2465.928</v>
      </c>
      <c r="BQ51" s="1064">
        <f>'Recurrentes 24-26'!BP53</f>
        <v>4109.88</v>
      </c>
      <c r="BR51" s="1064">
        <f>'Recurrentes 24-26'!BQ53</f>
        <v>4109.88</v>
      </c>
      <c r="BS51" s="1064">
        <f>'Recurrentes 24-26'!BR53</f>
        <v>821.976</v>
      </c>
      <c r="BT51" s="1064">
        <f>'Recurrentes 24-26'!BS53</f>
        <v>821.976</v>
      </c>
      <c r="BU51" s="1064">
        <f>'Recurrentes 24-26'!BT53</f>
        <v>164.3952</v>
      </c>
      <c r="BV51" s="1064">
        <f>'Recurrentes 24-26'!BU53</f>
        <v>0</v>
      </c>
      <c r="BW51" s="451"/>
      <c r="BX51" s="1062">
        <f>'Recurrentes 24-26'!BV53</f>
        <v>18576.6576</v>
      </c>
      <c r="BY51" s="1064">
        <f>'Recurrentes 24-26'!BW53</f>
        <v>2465.928</v>
      </c>
      <c r="BZ51" s="1064">
        <f>'Recurrentes 24-26'!BX53</f>
        <v>1479.5568</v>
      </c>
      <c r="CA51" s="1064">
        <f>'Recurrentes 24-26'!BY53</f>
        <v>2137.1376</v>
      </c>
      <c r="CB51" s="1064">
        <f>'Recurrentes 24-26'!BZ53</f>
        <v>2465.928</v>
      </c>
      <c r="CC51" s="1064">
        <f>'Recurrentes 24-26'!CA53</f>
        <v>4109.88</v>
      </c>
      <c r="CD51" s="1064">
        <f>'Recurrentes 24-26'!CB53</f>
        <v>4109.88</v>
      </c>
      <c r="CE51" s="1064">
        <f>'Recurrentes 24-26'!CC53</f>
        <v>821.976</v>
      </c>
      <c r="CF51" s="1064">
        <f>'Recurrentes 24-26'!CD53</f>
        <v>821.976</v>
      </c>
      <c r="CG51" s="1064">
        <f>'Recurrentes 24-26'!CE53</f>
        <v>164.3952</v>
      </c>
      <c r="CH51" s="1064">
        <f>'Recurrentes 24-26'!CF53</f>
        <v>0</v>
      </c>
      <c r="CI51" s="451"/>
      <c r="CJ51" s="1062">
        <f>'Recurrentes 24-26'!CG53</f>
        <v>18576.6576</v>
      </c>
      <c r="CK51" s="1062">
        <f>'Recurrentes 24-26'!CH53</f>
        <v>45373.0752</v>
      </c>
      <c r="CL51" s="451" t="str">
        <f>'Recurrentes 24-26'!CI53</f>
        <v/>
      </c>
      <c r="CM51" s="1064" t="str">
        <f>'Recurrentes 24-26'!CJ53</f>
        <v/>
      </c>
      <c r="CN51" s="451">
        <f>'Recurrentes 24-26'!CK53</f>
        <v>1</v>
      </c>
      <c r="CO51" s="1062">
        <f>'Recurrentes 24-26'!CL53</f>
        <v>11.81</v>
      </c>
      <c r="CP51" s="451" t="str">
        <f>'Recurrentes 24-26'!CM53</f>
        <v/>
      </c>
    </row>
    <row r="52">
      <c r="A52" s="451" t="str">
        <f>'Recurrentes 24-26'!A54</f>
        <v>Repuestos Electromecánicos recurrentes</v>
      </c>
      <c r="B52" s="451">
        <f>'Recurrentes 24-26'!B54</f>
        <v>2</v>
      </c>
      <c r="C52" s="451" t="str">
        <f>'Recurrentes 24-26'!C54</f>
        <v>Vehículo</v>
      </c>
      <c r="D52" s="451" t="str">
        <f>'Recurrentes 24-26'!D54</f>
        <v>Manto. Pinza</v>
      </c>
      <c r="E52" s="451" t="str">
        <f>'Recurrentes 24-26'!E54</f>
        <v>Repuesto Mecánico</v>
      </c>
      <c r="F52" s="451" t="str">
        <f>'Recurrentes 24-26'!F54</f>
        <v>TDB</v>
      </c>
      <c r="G52" s="1025" t="str">
        <f>'Recurrentes 24-26'!G54</f>
        <v>39800</v>
      </c>
      <c r="H52" s="1061" t="str">
        <f>'Recurrentes 24-26'!H54</f>
        <v>2-01-00123</v>
      </c>
      <c r="I52" s="1061" t="str">
        <f>'Recurrentes 24-26'!I54</f>
        <v>11531396</v>
      </c>
      <c r="J52" s="1061" t="str">
        <f>'Recurrentes 24-26'!J54</f>
        <v>GUÍA RESORTES A108-C L=431</v>
      </c>
      <c r="K52" s="451" t="str">
        <f>'Recurrentes 24-26'!K54</f>
        <v>Pza</v>
      </c>
      <c r="L52" s="451">
        <f>'Recurrentes 24-26'!L54</f>
        <v>0</v>
      </c>
      <c r="M52" s="451">
        <f>'Recurrentes 24-26'!M54</f>
        <v>0</v>
      </c>
      <c r="N52" s="451">
        <f>'Recurrentes 24-26'!N54</f>
        <v>0</v>
      </c>
      <c r="O52" s="451">
        <f>'Recurrentes 24-26'!O54</f>
        <v>0</v>
      </c>
      <c r="P52" s="451">
        <f>'Recurrentes 24-26'!P54</f>
        <v>0</v>
      </c>
      <c r="Q52" s="451">
        <f>'Recurrentes 24-26'!Q54</f>
        <v>0</v>
      </c>
      <c r="R52" s="451">
        <f>'Recurrentes 24-26'!R54</f>
        <v>1</v>
      </c>
      <c r="S52" s="451">
        <f>'Recurrentes 24-26'!S54</f>
        <v>1</v>
      </c>
      <c r="T52" s="451">
        <f>'Recurrentes 24-26'!T54</f>
        <v>1</v>
      </c>
      <c r="U52" s="451">
        <f>'Recurrentes 24-26'!U54</f>
        <v>4</v>
      </c>
      <c r="V52" s="451">
        <f>'Recurrentes 24-26'!V54</f>
        <v>0</v>
      </c>
      <c r="W52" s="1062">
        <f>'Recurrentes 24-26'!W54</f>
        <v>7</v>
      </c>
      <c r="X52" s="451">
        <f>'Recurrentes 24-26'!X54</f>
        <v>0</v>
      </c>
      <c r="Y52" s="451">
        <f>'Recurrentes 24-26'!Y54</f>
        <v>0</v>
      </c>
      <c r="Z52" s="451">
        <f>'Recurrentes 24-26'!Z54</f>
        <v>0</v>
      </c>
      <c r="AA52" s="451">
        <f>'Recurrentes 24-26'!AA54</f>
        <v>0</v>
      </c>
      <c r="AB52" s="451">
        <f>'Recurrentes 24-26'!AB54</f>
        <v>0</v>
      </c>
      <c r="AC52" s="451">
        <f>'Recurrentes 24-26'!AC54</f>
        <v>0</v>
      </c>
      <c r="AD52" s="451">
        <f>'Recurrentes 24-26'!AD54</f>
        <v>1</v>
      </c>
      <c r="AE52" s="451">
        <f>'Recurrentes 24-26'!AE54</f>
        <v>1</v>
      </c>
      <c r="AF52" s="451">
        <f>'Recurrentes 24-26'!AF54</f>
        <v>1</v>
      </c>
      <c r="AG52" s="451">
        <f>'Recurrentes 24-26'!AG54</f>
        <v>4</v>
      </c>
      <c r="AH52" s="451">
        <f>'Recurrentes 24-26'!AH54</f>
        <v>0</v>
      </c>
      <c r="AI52" s="1062">
        <f>'Recurrentes 24-26'!AI54</f>
        <v>7</v>
      </c>
      <c r="AJ52" s="451">
        <f>'Recurrentes 24-26'!AJ54</f>
        <v>0</v>
      </c>
      <c r="AK52" s="451">
        <f>'Recurrentes 24-26'!AK54</f>
        <v>0</v>
      </c>
      <c r="AL52" s="451">
        <f>'Recurrentes 24-26'!AL54</f>
        <v>0</v>
      </c>
      <c r="AM52" s="451">
        <f>'Recurrentes 24-26'!AM54</f>
        <v>0</v>
      </c>
      <c r="AN52" s="451">
        <f>'Recurrentes 24-26'!AN54</f>
        <v>0</v>
      </c>
      <c r="AO52" s="451">
        <f>'Recurrentes 24-26'!AO54</f>
        <v>0</v>
      </c>
      <c r="AP52" s="451">
        <f>'Recurrentes 24-26'!AP54</f>
        <v>1</v>
      </c>
      <c r="AQ52" s="451">
        <f>'Recurrentes 24-26'!AQ54</f>
        <v>1</v>
      </c>
      <c r="AR52" s="451">
        <f>'Recurrentes 24-26'!AR54</f>
        <v>1</v>
      </c>
      <c r="AS52" s="451">
        <f>'Recurrentes 24-26'!AS54</f>
        <v>4</v>
      </c>
      <c r="AT52" s="451">
        <f>'Recurrentes 24-26'!AT54</f>
        <v>0</v>
      </c>
      <c r="AU52" s="1062">
        <f>'Recurrentes 24-26'!AU54</f>
        <v>7</v>
      </c>
      <c r="AV52" s="1063">
        <f>'Recurrentes 24-26'!AV54</f>
        <v>21</v>
      </c>
      <c r="AW52" s="451" t="str">
        <f>'Recurrentes 24-26'!AW54</f>
        <v/>
      </c>
      <c r="AX52" s="1062">
        <f>'Recurrentes 24-26'!AX54</f>
        <v>302.61</v>
      </c>
      <c r="AY52" s="1062">
        <f>'Recurrentes 24-26'!AY54</f>
        <v>2106.1656</v>
      </c>
      <c r="AZ52" s="1064" t="str">
        <f>'Recurrentes 24-26'!AZ54</f>
        <v/>
      </c>
      <c r="BA52" s="1064">
        <f>'Recurrentes 24-26'!BA54</f>
        <v>0</v>
      </c>
      <c r="BB52" s="1064">
        <f>'Recurrentes 24-26'!BB54</f>
        <v>0</v>
      </c>
      <c r="BC52" s="1064">
        <f>'Recurrentes 24-26'!BC54</f>
        <v>0</v>
      </c>
      <c r="BD52" s="1064">
        <f>'Recurrentes 24-26'!BD54</f>
        <v>0</v>
      </c>
      <c r="BE52" s="1064">
        <f>'Recurrentes 24-26'!BE54</f>
        <v>0</v>
      </c>
      <c r="BF52" s="1064">
        <f>'Recurrentes 24-26'!BF54</f>
        <v>0</v>
      </c>
      <c r="BG52" s="1064">
        <f>'Recurrentes 24-26'!BG54</f>
        <v>2106.1656</v>
      </c>
      <c r="BH52" s="1064">
        <f>'Recurrentes 24-26'!BH54</f>
        <v>2106.1656</v>
      </c>
      <c r="BI52" s="1064">
        <f>'Recurrentes 24-26'!BI54</f>
        <v>2106.1656</v>
      </c>
      <c r="BJ52" s="1064">
        <f>'Recurrentes 24-26'!BJ54</f>
        <v>8424.6624</v>
      </c>
      <c r="BK52" s="451"/>
      <c r="BL52" s="1062">
        <f>'Recurrentes 24-26'!BK54</f>
        <v>14743.1592</v>
      </c>
      <c r="BM52" s="1064">
        <f>'Recurrentes 24-26'!BL54</f>
        <v>0</v>
      </c>
      <c r="BN52" s="1064">
        <f>'Recurrentes 24-26'!BM54</f>
        <v>0</v>
      </c>
      <c r="BO52" s="1064">
        <f>'Recurrentes 24-26'!BN54</f>
        <v>0</v>
      </c>
      <c r="BP52" s="1064">
        <f>'Recurrentes 24-26'!BO54</f>
        <v>0</v>
      </c>
      <c r="BQ52" s="1064">
        <f>'Recurrentes 24-26'!BP54</f>
        <v>0</v>
      </c>
      <c r="BR52" s="1064">
        <f>'Recurrentes 24-26'!BQ54</f>
        <v>0</v>
      </c>
      <c r="BS52" s="1064">
        <f>'Recurrentes 24-26'!BR54</f>
        <v>2106.1656</v>
      </c>
      <c r="BT52" s="1064">
        <f>'Recurrentes 24-26'!BS54</f>
        <v>2106.1656</v>
      </c>
      <c r="BU52" s="1064">
        <f>'Recurrentes 24-26'!BT54</f>
        <v>2106.1656</v>
      </c>
      <c r="BV52" s="1064">
        <f>'Recurrentes 24-26'!BU54</f>
        <v>8424.6624</v>
      </c>
      <c r="BW52" s="451"/>
      <c r="BX52" s="1062">
        <f>'Recurrentes 24-26'!BV54</f>
        <v>14743.1592</v>
      </c>
      <c r="BY52" s="1064">
        <f>'Recurrentes 24-26'!BW54</f>
        <v>0</v>
      </c>
      <c r="BZ52" s="1064">
        <f>'Recurrentes 24-26'!BX54</f>
        <v>0</v>
      </c>
      <c r="CA52" s="1064">
        <f>'Recurrentes 24-26'!BY54</f>
        <v>0</v>
      </c>
      <c r="CB52" s="1064">
        <f>'Recurrentes 24-26'!BZ54</f>
        <v>0</v>
      </c>
      <c r="CC52" s="1064">
        <f>'Recurrentes 24-26'!CA54</f>
        <v>0</v>
      </c>
      <c r="CD52" s="1064">
        <f>'Recurrentes 24-26'!CB54</f>
        <v>0</v>
      </c>
      <c r="CE52" s="1064">
        <f>'Recurrentes 24-26'!CC54</f>
        <v>2106.1656</v>
      </c>
      <c r="CF52" s="1064">
        <f>'Recurrentes 24-26'!CD54</f>
        <v>2106.1656</v>
      </c>
      <c r="CG52" s="1064">
        <f>'Recurrentes 24-26'!CE54</f>
        <v>2106.1656</v>
      </c>
      <c r="CH52" s="1064">
        <f>'Recurrentes 24-26'!CF54</f>
        <v>8424.6624</v>
      </c>
      <c r="CI52" s="451"/>
      <c r="CJ52" s="1062">
        <f>'Recurrentes 24-26'!CG54</f>
        <v>14743.1592</v>
      </c>
      <c r="CK52" s="1062">
        <f>'Recurrentes 24-26'!CH54</f>
        <v>44229.4776</v>
      </c>
      <c r="CL52" s="451" t="str">
        <f>'Recurrentes 24-26'!CI54</f>
        <v/>
      </c>
      <c r="CM52" s="1064" t="str">
        <f>'Recurrentes 24-26'!CJ54</f>
        <v/>
      </c>
      <c r="CN52" s="451">
        <f>'Recurrentes 24-26'!CK54</f>
        <v>1</v>
      </c>
      <c r="CO52" s="1062">
        <f>'Recurrentes 24-26'!CL54</f>
        <v>302.61</v>
      </c>
      <c r="CP52" s="451" t="str">
        <f>'Recurrentes 24-26'!CM54</f>
        <v/>
      </c>
    </row>
    <row r="53">
      <c r="A53" s="451" t="str">
        <f>'Recurrentes 24-26'!A55</f>
        <v>Repuestos Electromecánicos recurrentes</v>
      </c>
      <c r="B53" s="451">
        <f>'Recurrentes 24-26'!B55</f>
        <v>2</v>
      </c>
      <c r="C53" s="451" t="str">
        <f>'Recurrentes 24-26'!C55</f>
        <v>Torres</v>
      </c>
      <c r="D53" s="451" t="str">
        <f>'Recurrentes 24-26'!D55</f>
        <v>Reacondicionamiento de Poleas Palpadoras</v>
      </c>
      <c r="E53" s="451" t="str">
        <f>'Recurrentes 24-26'!E55</f>
        <v>Repuesto Mecánico</v>
      </c>
      <c r="F53" s="451" t="str">
        <f>'Recurrentes 24-26'!F55</f>
        <v>TDB</v>
      </c>
      <c r="G53" s="1025" t="str">
        <f>'Recurrentes 24-26'!G55</f>
        <v>39800</v>
      </c>
      <c r="H53" s="1061" t="str">
        <f>'Recurrentes 24-26'!H55</f>
        <v>2-01-00289</v>
      </c>
      <c r="I53" s="1061" t="str">
        <f>'Recurrentes 24-26'!I55</f>
        <v>10083913</v>
      </c>
      <c r="J53" s="1061" t="str">
        <f>'Recurrentes 24-26'!J55</f>
        <v>CASQUILLO PM 3030 DS  TIPO: KW SIN AGUJ.DE ENGRASE    GLACIER</v>
      </c>
      <c r="K53" s="451" t="str">
        <f>'Recurrentes 24-26'!K55</f>
        <v>Pza</v>
      </c>
      <c r="L53" s="451">
        <f>'Recurrentes 24-26'!L55</f>
        <v>0</v>
      </c>
      <c r="M53" s="451">
        <f>'Recurrentes 24-26'!M55</f>
        <v>0</v>
      </c>
      <c r="N53" s="451">
        <f>'Recurrentes 24-26'!N55</f>
        <v>0</v>
      </c>
      <c r="O53" s="451">
        <f>'Recurrentes 24-26'!O55</f>
        <v>0</v>
      </c>
      <c r="P53" s="451">
        <f>'Recurrentes 24-26'!P55</f>
        <v>0</v>
      </c>
      <c r="Q53" s="451">
        <f>'Recurrentes 24-26'!Q55</f>
        <v>0</v>
      </c>
      <c r="R53" s="451">
        <f>'Recurrentes 24-26'!R55</f>
        <v>0</v>
      </c>
      <c r="S53" s="451">
        <f>'Recurrentes 24-26'!S55</f>
        <v>0</v>
      </c>
      <c r="T53" s="451">
        <f>'Recurrentes 24-26'!T55</f>
        <v>0</v>
      </c>
      <c r="U53" s="451">
        <f>'Recurrentes 24-26'!U55</f>
        <v>0</v>
      </c>
      <c r="V53" s="451">
        <f>'Recurrentes 24-26'!V55</f>
        <v>0</v>
      </c>
      <c r="W53" s="1062">
        <f>'Recurrentes 24-26'!W55</f>
        <v>0</v>
      </c>
      <c r="X53" s="451">
        <f>'Recurrentes 24-26'!X55</f>
        <v>6</v>
      </c>
      <c r="Y53" s="451">
        <f>'Recurrentes 24-26'!Y55</f>
        <v>3</v>
      </c>
      <c r="Z53" s="451">
        <f>'Recurrentes 24-26'!Z55</f>
        <v>6</v>
      </c>
      <c r="AA53" s="451">
        <f>'Recurrentes 24-26'!AA55</f>
        <v>40</v>
      </c>
      <c r="AB53" s="451">
        <f>'Recurrentes 24-26'!AB55</f>
        <v>56</v>
      </c>
      <c r="AC53" s="451">
        <f>'Recurrentes 24-26'!AC55</f>
        <v>88</v>
      </c>
      <c r="AD53" s="451">
        <f>'Recurrentes 24-26'!AD55</f>
        <v>56</v>
      </c>
      <c r="AE53" s="451">
        <f>'Recurrentes 24-26'!AE55</f>
        <v>56</v>
      </c>
      <c r="AF53" s="451">
        <f>'Recurrentes 24-26'!AF55</f>
        <v>16</v>
      </c>
      <c r="AG53" s="451">
        <f>'Recurrentes 24-26'!AG55</f>
        <v>48</v>
      </c>
      <c r="AH53" s="451">
        <f>'Recurrentes 24-26'!AH55</f>
        <v>0</v>
      </c>
      <c r="AI53" s="1062">
        <f>'Recurrentes 24-26'!AI55</f>
        <v>375</v>
      </c>
      <c r="AJ53" s="451">
        <f>'Recurrentes 24-26'!AJ55</f>
        <v>6</v>
      </c>
      <c r="AK53" s="451">
        <f>'Recurrentes 24-26'!AK55</f>
        <v>3</v>
      </c>
      <c r="AL53" s="451">
        <f>'Recurrentes 24-26'!AL55</f>
        <v>6</v>
      </c>
      <c r="AM53" s="451">
        <f>'Recurrentes 24-26'!AM55</f>
        <v>40</v>
      </c>
      <c r="AN53" s="451">
        <f>'Recurrentes 24-26'!AN55</f>
        <v>56</v>
      </c>
      <c r="AO53" s="451">
        <f>'Recurrentes 24-26'!AO55</f>
        <v>88</v>
      </c>
      <c r="AP53" s="451">
        <f>'Recurrentes 24-26'!AP55</f>
        <v>56</v>
      </c>
      <c r="AQ53" s="451">
        <f>'Recurrentes 24-26'!AQ55</f>
        <v>56</v>
      </c>
      <c r="AR53" s="451">
        <f>'Recurrentes 24-26'!AR55</f>
        <v>16</v>
      </c>
      <c r="AS53" s="451">
        <f>'Recurrentes 24-26'!AS55</f>
        <v>48</v>
      </c>
      <c r="AT53" s="451">
        <f>'Recurrentes 24-26'!AT55</f>
        <v>0</v>
      </c>
      <c r="AU53" s="1062">
        <f>'Recurrentes 24-26'!AU55</f>
        <v>375</v>
      </c>
      <c r="AV53" s="1063">
        <f>'Recurrentes 24-26'!AV55</f>
        <v>750</v>
      </c>
      <c r="AW53" s="451" t="str">
        <f>'Recurrentes 24-26'!AW55</f>
        <v/>
      </c>
      <c r="AX53" s="1062">
        <f>'Recurrentes 24-26'!AX55</f>
        <v>8.11</v>
      </c>
      <c r="AY53" s="1062">
        <f>'Recurrentes 24-26'!AY55</f>
        <v>56.4456</v>
      </c>
      <c r="AZ53" s="1064" t="str">
        <f>'Recurrentes 24-26'!AZ55</f>
        <v/>
      </c>
      <c r="BA53" s="1064">
        <f>'Recurrentes 24-26'!BA55</f>
        <v>0</v>
      </c>
      <c r="BB53" s="1064">
        <f>'Recurrentes 24-26'!BB55</f>
        <v>0</v>
      </c>
      <c r="BC53" s="1064">
        <f>'Recurrentes 24-26'!BC55</f>
        <v>0</v>
      </c>
      <c r="BD53" s="1064">
        <f>'Recurrentes 24-26'!BD55</f>
        <v>0</v>
      </c>
      <c r="BE53" s="1064">
        <f>'Recurrentes 24-26'!BE55</f>
        <v>0</v>
      </c>
      <c r="BF53" s="1064">
        <f>'Recurrentes 24-26'!BF55</f>
        <v>0</v>
      </c>
      <c r="BG53" s="1064">
        <f>'Recurrentes 24-26'!BG55</f>
        <v>0</v>
      </c>
      <c r="BH53" s="1064">
        <f>'Recurrentes 24-26'!BH55</f>
        <v>0</v>
      </c>
      <c r="BI53" s="1064">
        <f>'Recurrentes 24-26'!BI55</f>
        <v>0</v>
      </c>
      <c r="BJ53" s="1064">
        <f>'Recurrentes 24-26'!BJ55</f>
        <v>0</v>
      </c>
      <c r="BK53" s="451"/>
      <c r="BL53" s="1062">
        <f>'Recurrentes 24-26'!BK55</f>
        <v>0</v>
      </c>
      <c r="BM53" s="1064">
        <f>'Recurrentes 24-26'!BL55</f>
        <v>338.6736</v>
      </c>
      <c r="BN53" s="1064">
        <f>'Recurrentes 24-26'!BM55</f>
        <v>169.3368</v>
      </c>
      <c r="BO53" s="1064">
        <f>'Recurrentes 24-26'!BN55</f>
        <v>338.6736</v>
      </c>
      <c r="BP53" s="1064">
        <f>'Recurrentes 24-26'!BO55</f>
        <v>2257.824</v>
      </c>
      <c r="BQ53" s="1064">
        <f>'Recurrentes 24-26'!BP55</f>
        <v>3160.9536</v>
      </c>
      <c r="BR53" s="1064">
        <f>'Recurrentes 24-26'!BQ55</f>
        <v>4967.2128</v>
      </c>
      <c r="BS53" s="1064">
        <f>'Recurrentes 24-26'!BR55</f>
        <v>3160.9536</v>
      </c>
      <c r="BT53" s="1064">
        <f>'Recurrentes 24-26'!BS55</f>
        <v>3160.9536</v>
      </c>
      <c r="BU53" s="1064">
        <f>'Recurrentes 24-26'!BT55</f>
        <v>903.1296</v>
      </c>
      <c r="BV53" s="1064">
        <f>'Recurrentes 24-26'!BU55</f>
        <v>2709.3888</v>
      </c>
      <c r="BW53" s="451"/>
      <c r="BX53" s="1062">
        <f>'Recurrentes 24-26'!BV55</f>
        <v>21167.1</v>
      </c>
      <c r="BY53" s="1064">
        <f>'Recurrentes 24-26'!BW55</f>
        <v>338.6736</v>
      </c>
      <c r="BZ53" s="1064">
        <f>'Recurrentes 24-26'!BX55</f>
        <v>169.3368</v>
      </c>
      <c r="CA53" s="1064">
        <f>'Recurrentes 24-26'!BY55</f>
        <v>338.6736</v>
      </c>
      <c r="CB53" s="1064">
        <f>'Recurrentes 24-26'!BZ55</f>
        <v>2257.824</v>
      </c>
      <c r="CC53" s="1064">
        <f>'Recurrentes 24-26'!CA55</f>
        <v>3160.9536</v>
      </c>
      <c r="CD53" s="1064">
        <f>'Recurrentes 24-26'!CB55</f>
        <v>4967.2128</v>
      </c>
      <c r="CE53" s="1064">
        <f>'Recurrentes 24-26'!CC55</f>
        <v>3160.9536</v>
      </c>
      <c r="CF53" s="1064">
        <f>'Recurrentes 24-26'!CD55</f>
        <v>3160.9536</v>
      </c>
      <c r="CG53" s="1064">
        <f>'Recurrentes 24-26'!CE55</f>
        <v>903.1296</v>
      </c>
      <c r="CH53" s="1064">
        <f>'Recurrentes 24-26'!CF55</f>
        <v>2709.3888</v>
      </c>
      <c r="CI53" s="451"/>
      <c r="CJ53" s="1062">
        <f>'Recurrentes 24-26'!CG55</f>
        <v>21167.1</v>
      </c>
      <c r="CK53" s="1062">
        <f>'Recurrentes 24-26'!CH55</f>
        <v>42334.2</v>
      </c>
      <c r="CL53" s="451" t="str">
        <f>'Recurrentes 24-26'!CI55</f>
        <v/>
      </c>
      <c r="CM53" s="1064" t="str">
        <f>'Recurrentes 24-26'!CJ55</f>
        <v/>
      </c>
      <c r="CN53" s="451">
        <f>'Recurrentes 24-26'!CK55</f>
        <v>1</v>
      </c>
      <c r="CO53" s="1062">
        <f>'Recurrentes 24-26'!CL55</f>
        <v>8.11</v>
      </c>
      <c r="CP53" s="451" t="str">
        <f>'Recurrentes 24-26'!CM55</f>
        <v/>
      </c>
    </row>
    <row r="54">
      <c r="A54" s="451" t="str">
        <f>'Recurrentes 24-26'!A56</f>
        <v>Repuestos Electromecánicos recurrentes</v>
      </c>
      <c r="B54" s="451">
        <f>'Recurrentes 24-26'!B56</f>
        <v>2</v>
      </c>
      <c r="C54" s="451" t="str">
        <f>'Recurrentes 24-26'!C56</f>
        <v>Vehículo</v>
      </c>
      <c r="D54" s="451" t="str">
        <f>'Recurrentes 24-26'!D56</f>
        <v>Manto. Pinza</v>
      </c>
      <c r="E54" s="451" t="str">
        <f>'Recurrentes 24-26'!E56</f>
        <v>Repuesto Mecánico</v>
      </c>
      <c r="F54" s="451" t="str">
        <f>'Recurrentes 24-26'!F56</f>
        <v>TDB</v>
      </c>
      <c r="G54" s="1025" t="str">
        <f>'Recurrentes 24-26'!G56</f>
        <v>39800</v>
      </c>
      <c r="H54" s="1061" t="str">
        <f>'Recurrentes 24-26'!H56</f>
        <v>2-01-00096</v>
      </c>
      <c r="I54" s="1061" t="str">
        <f>'Recurrentes 24-26'!I56</f>
        <v>10488429</v>
      </c>
      <c r="J54" s="1061" t="str">
        <f>'Recurrentes 24-26'!J56</f>
        <v>EJE DE RESORTE          A108-C DIA.28  LN 91</v>
      </c>
      <c r="K54" s="451" t="str">
        <f>'Recurrentes 24-26'!K56</f>
        <v>Pza</v>
      </c>
      <c r="L54" s="451">
        <f>'Recurrentes 24-26'!L56</f>
        <v>0</v>
      </c>
      <c r="M54" s="451">
        <f>'Recurrentes 24-26'!M56</f>
        <v>0</v>
      </c>
      <c r="N54" s="451">
        <f>'Recurrentes 24-26'!N56</f>
        <v>0</v>
      </c>
      <c r="O54" s="451">
        <f>'Recurrentes 24-26'!O56</f>
        <v>6</v>
      </c>
      <c r="P54" s="451">
        <f>'Recurrentes 24-26'!P56</f>
        <v>6</v>
      </c>
      <c r="Q54" s="451">
        <f>'Recurrentes 24-26'!Q56</f>
        <v>0</v>
      </c>
      <c r="R54" s="451">
        <f>'Recurrentes 24-26'!R56</f>
        <v>0</v>
      </c>
      <c r="S54" s="451">
        <f>'Recurrentes 24-26'!S56</f>
        <v>5</v>
      </c>
      <c r="T54" s="451">
        <f>'Recurrentes 24-26'!T56</f>
        <v>0</v>
      </c>
      <c r="U54" s="451">
        <f>'Recurrentes 24-26'!U56</f>
        <v>6</v>
      </c>
      <c r="V54" s="451">
        <f>'Recurrentes 24-26'!V56</f>
        <v>0</v>
      </c>
      <c r="W54" s="1062">
        <f>'Recurrentes 24-26'!W56</f>
        <v>23</v>
      </c>
      <c r="X54" s="451">
        <f>'Recurrentes 24-26'!X56</f>
        <v>6</v>
      </c>
      <c r="Y54" s="451">
        <f>'Recurrentes 24-26'!Y56</f>
        <v>3</v>
      </c>
      <c r="Z54" s="451">
        <f>'Recurrentes 24-26'!Z56</f>
        <v>6</v>
      </c>
      <c r="AA54" s="451">
        <f>'Recurrentes 24-26'!AA56</f>
        <v>6</v>
      </c>
      <c r="AB54" s="451">
        <f>'Recurrentes 24-26'!AB56</f>
        <v>6</v>
      </c>
      <c r="AC54" s="451">
        <f>'Recurrentes 24-26'!AC56</f>
        <v>10</v>
      </c>
      <c r="AD54" s="451">
        <f>'Recurrentes 24-26'!AD56</f>
        <v>10</v>
      </c>
      <c r="AE54" s="451">
        <f>'Recurrentes 24-26'!AE56</f>
        <v>5</v>
      </c>
      <c r="AF54" s="451">
        <f>'Recurrentes 24-26'!AF56</f>
        <v>2</v>
      </c>
      <c r="AG54" s="451">
        <f>'Recurrentes 24-26'!AG56</f>
        <v>6</v>
      </c>
      <c r="AH54" s="451">
        <f>'Recurrentes 24-26'!AH56</f>
        <v>0</v>
      </c>
      <c r="AI54" s="1062">
        <f>'Recurrentes 24-26'!AI56</f>
        <v>60</v>
      </c>
      <c r="AJ54" s="451">
        <f>'Recurrentes 24-26'!AJ56</f>
        <v>6</v>
      </c>
      <c r="AK54" s="451">
        <f>'Recurrentes 24-26'!AK56</f>
        <v>3</v>
      </c>
      <c r="AL54" s="451">
        <f>'Recurrentes 24-26'!AL56</f>
        <v>6</v>
      </c>
      <c r="AM54" s="451">
        <f>'Recurrentes 24-26'!AM56</f>
        <v>6</v>
      </c>
      <c r="AN54" s="451">
        <f>'Recurrentes 24-26'!AN56</f>
        <v>6</v>
      </c>
      <c r="AO54" s="451">
        <f>'Recurrentes 24-26'!AO56</f>
        <v>10</v>
      </c>
      <c r="AP54" s="451">
        <f>'Recurrentes 24-26'!AP56</f>
        <v>10</v>
      </c>
      <c r="AQ54" s="451">
        <f>'Recurrentes 24-26'!AQ56</f>
        <v>10</v>
      </c>
      <c r="AR54" s="451">
        <f>'Recurrentes 24-26'!AR56</f>
        <v>2</v>
      </c>
      <c r="AS54" s="451">
        <f>'Recurrentes 24-26'!AS56</f>
        <v>6</v>
      </c>
      <c r="AT54" s="451">
        <f>'Recurrentes 24-26'!AT56</f>
        <v>0</v>
      </c>
      <c r="AU54" s="1062">
        <f>'Recurrentes 24-26'!AU56</f>
        <v>65</v>
      </c>
      <c r="AV54" s="1063">
        <f>'Recurrentes 24-26'!AV56</f>
        <v>148</v>
      </c>
      <c r="AW54" s="451" t="str">
        <f>'Recurrentes 24-26'!AW56</f>
        <v/>
      </c>
      <c r="AX54" s="1062">
        <f>'Recurrentes 24-26'!AX56</f>
        <v>40.61</v>
      </c>
      <c r="AY54" s="1062">
        <f>'Recurrentes 24-26'!AY56</f>
        <v>282.6456</v>
      </c>
      <c r="AZ54" s="1064" t="str">
        <f>'Recurrentes 24-26'!AZ56</f>
        <v/>
      </c>
      <c r="BA54" s="1064">
        <f>'Recurrentes 24-26'!BA56</f>
        <v>0</v>
      </c>
      <c r="BB54" s="1064">
        <f>'Recurrentes 24-26'!BB56</f>
        <v>0</v>
      </c>
      <c r="BC54" s="1064">
        <f>'Recurrentes 24-26'!BC56</f>
        <v>0</v>
      </c>
      <c r="BD54" s="1064">
        <f>'Recurrentes 24-26'!BD56</f>
        <v>1695.8736</v>
      </c>
      <c r="BE54" s="1064">
        <f>'Recurrentes 24-26'!BE56</f>
        <v>1695.8736</v>
      </c>
      <c r="BF54" s="1064">
        <f>'Recurrentes 24-26'!BF56</f>
        <v>0</v>
      </c>
      <c r="BG54" s="1064">
        <f>'Recurrentes 24-26'!BG56</f>
        <v>0</v>
      </c>
      <c r="BH54" s="1064">
        <f>'Recurrentes 24-26'!BH56</f>
        <v>1413.228</v>
      </c>
      <c r="BI54" s="1064">
        <f>'Recurrentes 24-26'!BI56</f>
        <v>0</v>
      </c>
      <c r="BJ54" s="1064">
        <f>'Recurrentes 24-26'!BJ56</f>
        <v>1695.8736</v>
      </c>
      <c r="BK54" s="451"/>
      <c r="BL54" s="1062">
        <f>'Recurrentes 24-26'!BK56</f>
        <v>6500.8488</v>
      </c>
      <c r="BM54" s="1064">
        <f>'Recurrentes 24-26'!BL56</f>
        <v>1695.8736</v>
      </c>
      <c r="BN54" s="1064">
        <f>'Recurrentes 24-26'!BM56</f>
        <v>847.9368</v>
      </c>
      <c r="BO54" s="1064">
        <f>'Recurrentes 24-26'!BN56</f>
        <v>1695.8736</v>
      </c>
      <c r="BP54" s="1064">
        <f>'Recurrentes 24-26'!BO56</f>
        <v>1695.8736</v>
      </c>
      <c r="BQ54" s="1064">
        <f>'Recurrentes 24-26'!BP56</f>
        <v>1695.8736</v>
      </c>
      <c r="BR54" s="1064">
        <f>'Recurrentes 24-26'!BQ56</f>
        <v>2826.456</v>
      </c>
      <c r="BS54" s="1064">
        <f>'Recurrentes 24-26'!BR56</f>
        <v>2826.456</v>
      </c>
      <c r="BT54" s="1064">
        <f>'Recurrentes 24-26'!BS56</f>
        <v>1413.228</v>
      </c>
      <c r="BU54" s="1064">
        <f>'Recurrentes 24-26'!BT56</f>
        <v>565.2912</v>
      </c>
      <c r="BV54" s="1064">
        <f>'Recurrentes 24-26'!BU56</f>
        <v>1695.8736</v>
      </c>
      <c r="BW54" s="451"/>
      <c r="BX54" s="1062">
        <f>'Recurrentes 24-26'!BV56</f>
        <v>16958.736</v>
      </c>
      <c r="BY54" s="1064">
        <f>'Recurrentes 24-26'!BW56</f>
        <v>1695.8736</v>
      </c>
      <c r="BZ54" s="1064">
        <f>'Recurrentes 24-26'!BX56</f>
        <v>847.9368</v>
      </c>
      <c r="CA54" s="1064">
        <f>'Recurrentes 24-26'!BY56</f>
        <v>1695.8736</v>
      </c>
      <c r="CB54" s="1064">
        <f>'Recurrentes 24-26'!BZ56</f>
        <v>1695.8736</v>
      </c>
      <c r="CC54" s="1064">
        <f>'Recurrentes 24-26'!CA56</f>
        <v>1695.8736</v>
      </c>
      <c r="CD54" s="1064">
        <f>'Recurrentes 24-26'!CB56</f>
        <v>2826.456</v>
      </c>
      <c r="CE54" s="1064">
        <f>'Recurrentes 24-26'!CC56</f>
        <v>2826.456</v>
      </c>
      <c r="CF54" s="1064">
        <f>'Recurrentes 24-26'!CD56</f>
        <v>2826.456</v>
      </c>
      <c r="CG54" s="1064">
        <f>'Recurrentes 24-26'!CE56</f>
        <v>565.2912</v>
      </c>
      <c r="CH54" s="1064">
        <f>'Recurrentes 24-26'!CF56</f>
        <v>1695.8736</v>
      </c>
      <c r="CI54" s="451"/>
      <c r="CJ54" s="1062">
        <f>'Recurrentes 24-26'!CG56</f>
        <v>18371.964</v>
      </c>
      <c r="CK54" s="1062">
        <f>'Recurrentes 24-26'!CH56</f>
        <v>41831.5488</v>
      </c>
      <c r="CL54" s="451" t="str">
        <f>'Recurrentes 24-26'!CI56</f>
        <v/>
      </c>
      <c r="CM54" s="1064" t="str">
        <f>'Recurrentes 24-26'!CJ56</f>
        <v/>
      </c>
      <c r="CN54" s="451">
        <f>'Recurrentes 24-26'!CK56</f>
        <v>1</v>
      </c>
      <c r="CO54" s="1062">
        <f>'Recurrentes 24-26'!CL56</f>
        <v>40.61</v>
      </c>
      <c r="CP54" s="451" t="str">
        <f>'Recurrentes 24-26'!CM56</f>
        <v/>
      </c>
    </row>
    <row r="55">
      <c r="A55" s="451" t="str">
        <f>'Recurrentes 24-26'!A57</f>
        <v>Repuestos Electromecánicos recurrentes</v>
      </c>
      <c r="B55" s="451">
        <f>'Recurrentes 24-26'!B57</f>
        <v>2</v>
      </c>
      <c r="C55" s="451" t="str">
        <f>'Recurrentes 24-26'!C57</f>
        <v>Torres</v>
      </c>
      <c r="D55" s="451" t="str">
        <f>'Recurrentes 24-26'!D57</f>
        <v>Reacondionamiento y cambio de Poleas de torre</v>
      </c>
      <c r="E55" s="451" t="str">
        <f>'Recurrentes 24-26'!E57</f>
        <v>Repuesto Mecánico</v>
      </c>
      <c r="F55" s="451" t="str">
        <f>'Recurrentes 24-26'!F57</f>
        <v>TDB</v>
      </c>
      <c r="G55" s="1025" t="str">
        <f>'Recurrentes 24-26'!G57</f>
        <v>39800</v>
      </c>
      <c r="H55" s="1061" t="str">
        <f>'Recurrentes 24-26'!H57</f>
        <v>2-01-00043</v>
      </c>
      <c r="I55" s="1061" t="str">
        <f>'Recurrentes 24-26'!I57</f>
        <v>10293344</v>
      </c>
      <c r="J55" s="1061" t="str">
        <f>'Recurrentes 24-26'!J57</f>
        <v>PERNO DIA.29,9  L 225 M24      PARA POLEA TIPO 501</v>
      </c>
      <c r="K55" s="451" t="str">
        <f>'Recurrentes 24-26'!K57</f>
        <v>Pza</v>
      </c>
      <c r="L55" s="451">
        <f>'Recurrentes 24-26'!L57</f>
        <v>5</v>
      </c>
      <c r="M55" s="451">
        <f>'Recurrentes 24-26'!M57</f>
        <v>2</v>
      </c>
      <c r="N55" s="451">
        <f>'Recurrentes 24-26'!N57</f>
        <v>5</v>
      </c>
      <c r="O55" s="451">
        <f>'Recurrentes 24-26'!O57</f>
        <v>5</v>
      </c>
      <c r="P55" s="451">
        <f>'Recurrentes 24-26'!P57</f>
        <v>5</v>
      </c>
      <c r="Q55" s="451">
        <f>'Recurrentes 24-26'!Q57</f>
        <v>6</v>
      </c>
      <c r="R55" s="451">
        <f>'Recurrentes 24-26'!R57</f>
        <v>4</v>
      </c>
      <c r="S55" s="451">
        <f>'Recurrentes 24-26'!S57</f>
        <v>5</v>
      </c>
      <c r="T55" s="451">
        <f>'Recurrentes 24-26'!T57</f>
        <v>1</v>
      </c>
      <c r="U55" s="451">
        <f>'Recurrentes 24-26'!U57</f>
        <v>0</v>
      </c>
      <c r="V55" s="451">
        <f>'Recurrentes 24-26'!V57</f>
        <v>0</v>
      </c>
      <c r="W55" s="1062">
        <f>'Recurrentes 24-26'!W57</f>
        <v>38</v>
      </c>
      <c r="X55" s="451">
        <f>'Recurrentes 24-26'!X57</f>
        <v>5</v>
      </c>
      <c r="Y55" s="451">
        <f>'Recurrentes 24-26'!Y57</f>
        <v>2</v>
      </c>
      <c r="Z55" s="451">
        <f>'Recurrentes 24-26'!Z57</f>
        <v>5</v>
      </c>
      <c r="AA55" s="451">
        <f>'Recurrentes 24-26'!AA57</f>
        <v>5</v>
      </c>
      <c r="AB55" s="451">
        <f>'Recurrentes 24-26'!AB57</f>
        <v>5</v>
      </c>
      <c r="AC55" s="451">
        <f>'Recurrentes 24-26'!AC57</f>
        <v>6</v>
      </c>
      <c r="AD55" s="451">
        <f>'Recurrentes 24-26'!AD57</f>
        <v>4</v>
      </c>
      <c r="AE55" s="451">
        <f>'Recurrentes 24-26'!AE57</f>
        <v>5</v>
      </c>
      <c r="AF55" s="451">
        <f>'Recurrentes 24-26'!AF57</f>
        <v>1</v>
      </c>
      <c r="AG55" s="451">
        <f>'Recurrentes 24-26'!AG57</f>
        <v>0</v>
      </c>
      <c r="AH55" s="451">
        <f>'Recurrentes 24-26'!AH57</f>
        <v>0</v>
      </c>
      <c r="AI55" s="1062">
        <f>'Recurrentes 24-26'!AI57</f>
        <v>38</v>
      </c>
      <c r="AJ55" s="451">
        <f>'Recurrentes 24-26'!AJ57</f>
        <v>5</v>
      </c>
      <c r="AK55" s="451">
        <f>'Recurrentes 24-26'!AK57</f>
        <v>2</v>
      </c>
      <c r="AL55" s="451">
        <f>'Recurrentes 24-26'!AL57</f>
        <v>5</v>
      </c>
      <c r="AM55" s="451">
        <f>'Recurrentes 24-26'!AM57</f>
        <v>5</v>
      </c>
      <c r="AN55" s="451">
        <f>'Recurrentes 24-26'!AN57</f>
        <v>5</v>
      </c>
      <c r="AO55" s="451">
        <f>'Recurrentes 24-26'!AO57</f>
        <v>6</v>
      </c>
      <c r="AP55" s="451">
        <f>'Recurrentes 24-26'!AP57</f>
        <v>4</v>
      </c>
      <c r="AQ55" s="451">
        <f>'Recurrentes 24-26'!AQ57</f>
        <v>5</v>
      </c>
      <c r="AR55" s="451">
        <f>'Recurrentes 24-26'!AR57</f>
        <v>1</v>
      </c>
      <c r="AS55" s="451">
        <f>'Recurrentes 24-26'!AS57</f>
        <v>0</v>
      </c>
      <c r="AT55" s="451">
        <f>'Recurrentes 24-26'!AT57</f>
        <v>0</v>
      </c>
      <c r="AU55" s="1062">
        <f>'Recurrentes 24-26'!AU57</f>
        <v>38</v>
      </c>
      <c r="AV55" s="1063">
        <f>'Recurrentes 24-26'!AV57</f>
        <v>114</v>
      </c>
      <c r="AW55" s="451" t="str">
        <f>'Recurrentes 24-26'!AW57</f>
        <v/>
      </c>
      <c r="AX55" s="1062">
        <f>'Recurrentes 24-26'!AX57</f>
        <v>47.38</v>
      </c>
      <c r="AY55" s="1062">
        <f>'Recurrentes 24-26'!AY57</f>
        <v>329.7648</v>
      </c>
      <c r="AZ55" s="1064" t="str">
        <f>'Recurrentes 24-26'!AZ57</f>
        <v/>
      </c>
      <c r="BA55" s="1064">
        <f>'Recurrentes 24-26'!BA57</f>
        <v>1648.824</v>
      </c>
      <c r="BB55" s="1064">
        <f>'Recurrentes 24-26'!BB57</f>
        <v>659.5296</v>
      </c>
      <c r="BC55" s="1064">
        <f>'Recurrentes 24-26'!BC57</f>
        <v>1648.824</v>
      </c>
      <c r="BD55" s="1064">
        <f>'Recurrentes 24-26'!BD57</f>
        <v>1648.824</v>
      </c>
      <c r="BE55" s="1064">
        <f>'Recurrentes 24-26'!BE57</f>
        <v>1648.824</v>
      </c>
      <c r="BF55" s="1064">
        <f>'Recurrentes 24-26'!BF57</f>
        <v>1978.5888</v>
      </c>
      <c r="BG55" s="1064">
        <f>'Recurrentes 24-26'!BG57</f>
        <v>1319.0592</v>
      </c>
      <c r="BH55" s="1064">
        <f>'Recurrentes 24-26'!BH57</f>
        <v>1648.824</v>
      </c>
      <c r="BI55" s="1064">
        <f>'Recurrentes 24-26'!BI57</f>
        <v>329.7648</v>
      </c>
      <c r="BJ55" s="1064">
        <f>'Recurrentes 24-26'!BJ57</f>
        <v>0</v>
      </c>
      <c r="BK55" s="451"/>
      <c r="BL55" s="1062">
        <f>'Recurrentes 24-26'!BK57</f>
        <v>12531.0624</v>
      </c>
      <c r="BM55" s="1064">
        <f>'Recurrentes 24-26'!BL57</f>
        <v>1648.824</v>
      </c>
      <c r="BN55" s="1064">
        <f>'Recurrentes 24-26'!BM57</f>
        <v>659.5296</v>
      </c>
      <c r="BO55" s="1064">
        <f>'Recurrentes 24-26'!BN57</f>
        <v>1648.824</v>
      </c>
      <c r="BP55" s="1064">
        <f>'Recurrentes 24-26'!BO57</f>
        <v>1648.824</v>
      </c>
      <c r="BQ55" s="1064">
        <f>'Recurrentes 24-26'!BP57</f>
        <v>1648.824</v>
      </c>
      <c r="BR55" s="1064">
        <f>'Recurrentes 24-26'!BQ57</f>
        <v>1978.5888</v>
      </c>
      <c r="BS55" s="1064">
        <f>'Recurrentes 24-26'!BR57</f>
        <v>1319.0592</v>
      </c>
      <c r="BT55" s="1064">
        <f>'Recurrentes 24-26'!BS57</f>
        <v>1648.824</v>
      </c>
      <c r="BU55" s="1064">
        <f>'Recurrentes 24-26'!BT57</f>
        <v>329.7648</v>
      </c>
      <c r="BV55" s="1064">
        <f>'Recurrentes 24-26'!BU57</f>
        <v>0</v>
      </c>
      <c r="BW55" s="451"/>
      <c r="BX55" s="1062">
        <f>'Recurrentes 24-26'!BV57</f>
        <v>12531.0624</v>
      </c>
      <c r="BY55" s="1064">
        <f>'Recurrentes 24-26'!BW57</f>
        <v>1648.824</v>
      </c>
      <c r="BZ55" s="1064">
        <f>'Recurrentes 24-26'!BX57</f>
        <v>659.5296</v>
      </c>
      <c r="CA55" s="1064">
        <f>'Recurrentes 24-26'!BY57</f>
        <v>1648.824</v>
      </c>
      <c r="CB55" s="1064">
        <f>'Recurrentes 24-26'!BZ57</f>
        <v>1648.824</v>
      </c>
      <c r="CC55" s="1064">
        <f>'Recurrentes 24-26'!CA57</f>
        <v>1648.824</v>
      </c>
      <c r="CD55" s="1064">
        <f>'Recurrentes 24-26'!CB57</f>
        <v>1978.5888</v>
      </c>
      <c r="CE55" s="1064">
        <f>'Recurrentes 24-26'!CC57</f>
        <v>1319.0592</v>
      </c>
      <c r="CF55" s="1064">
        <f>'Recurrentes 24-26'!CD57</f>
        <v>1648.824</v>
      </c>
      <c r="CG55" s="1064">
        <f>'Recurrentes 24-26'!CE57</f>
        <v>329.7648</v>
      </c>
      <c r="CH55" s="1064">
        <f>'Recurrentes 24-26'!CF57</f>
        <v>0</v>
      </c>
      <c r="CI55" s="451"/>
      <c r="CJ55" s="1062">
        <f>'Recurrentes 24-26'!CG57</f>
        <v>12531.0624</v>
      </c>
      <c r="CK55" s="1062">
        <f>'Recurrentes 24-26'!CH57</f>
        <v>37593.1872</v>
      </c>
      <c r="CL55" s="451" t="str">
        <f>'Recurrentes 24-26'!CI57</f>
        <v/>
      </c>
      <c r="CM55" s="1064" t="str">
        <f>'Recurrentes 24-26'!CJ57</f>
        <v/>
      </c>
      <c r="CN55" s="451">
        <f>'Recurrentes 24-26'!CK57</f>
        <v>1</v>
      </c>
      <c r="CO55" s="1062">
        <f>'Recurrentes 24-26'!CL57</f>
        <v>47.38</v>
      </c>
      <c r="CP55" s="451" t="str">
        <f>'Recurrentes 24-26'!CM57</f>
        <v/>
      </c>
    </row>
    <row r="56">
      <c r="A56" s="451" t="str">
        <f>'Recurrentes 24-26'!A58</f>
        <v>Repuestos Electromecánicos recurrentes</v>
      </c>
      <c r="B56" s="451">
        <f>'Recurrentes 24-26'!B58</f>
        <v>2</v>
      </c>
      <c r="C56" s="451" t="str">
        <f>'Recurrentes 24-26'!C58</f>
        <v>Torres</v>
      </c>
      <c r="D56" s="451" t="str">
        <f>'Recurrentes 24-26'!D58</f>
        <v>Reacondionamiento y cambio de Poleas de torre</v>
      </c>
      <c r="E56" s="451" t="str">
        <f>'Recurrentes 24-26'!E58</f>
        <v>Repuesto Mecánico</v>
      </c>
      <c r="F56" s="451" t="str">
        <f>'Recurrentes 24-26'!F58</f>
        <v>TDB</v>
      </c>
      <c r="G56" s="1025" t="str">
        <f>'Recurrentes 24-26'!G58</f>
        <v>39800</v>
      </c>
      <c r="H56" s="1061" t="str">
        <f>'Recurrentes 24-26'!H58</f>
        <v>2-01-00571</v>
      </c>
      <c r="I56" s="1061" t="str">
        <f>'Recurrentes 24-26'!I58</f>
        <v>11430351</v>
      </c>
      <c r="J56" s="1061" t="str">
        <f>'Recurrentes 24-26'!J58</f>
        <v>CASQUILLO DIST. DIÁ50/30 L=160</v>
      </c>
      <c r="K56" s="451" t="str">
        <f>'Recurrentes 24-26'!K58</f>
        <v>Pza</v>
      </c>
      <c r="L56" s="451">
        <f>'Recurrentes 24-26'!L58</f>
        <v>0</v>
      </c>
      <c r="M56" s="451">
        <f>'Recurrentes 24-26'!M58</f>
        <v>0</v>
      </c>
      <c r="N56" s="451">
        <f>'Recurrentes 24-26'!N58</f>
        <v>0</v>
      </c>
      <c r="O56" s="451">
        <f>'Recurrentes 24-26'!O58</f>
        <v>0</v>
      </c>
      <c r="P56" s="451">
        <f>'Recurrentes 24-26'!P58</f>
        <v>0</v>
      </c>
      <c r="Q56" s="451">
        <f>'Recurrentes 24-26'!Q58</f>
        <v>0</v>
      </c>
      <c r="R56" s="451">
        <f>'Recurrentes 24-26'!R58</f>
        <v>0</v>
      </c>
      <c r="S56" s="451">
        <f>'Recurrentes 24-26'!S58</f>
        <v>0</v>
      </c>
      <c r="T56" s="451">
        <f>'Recurrentes 24-26'!T58</f>
        <v>0</v>
      </c>
      <c r="U56" s="451">
        <f>'Recurrentes 24-26'!U58</f>
        <v>8</v>
      </c>
      <c r="V56" s="451">
        <f>'Recurrentes 24-26'!V58</f>
        <v>0</v>
      </c>
      <c r="W56" s="1062">
        <f>'Recurrentes 24-26'!W58</f>
        <v>8</v>
      </c>
      <c r="X56" s="451">
        <f>'Recurrentes 24-26'!X58</f>
        <v>0</v>
      </c>
      <c r="Y56" s="451">
        <f>'Recurrentes 24-26'!Y58</f>
        <v>0</v>
      </c>
      <c r="Z56" s="451">
        <f>'Recurrentes 24-26'!Z58</f>
        <v>0</v>
      </c>
      <c r="AA56" s="451">
        <f>'Recurrentes 24-26'!AA58</f>
        <v>10</v>
      </c>
      <c r="AB56" s="451">
        <f>'Recurrentes 24-26'!AB58</f>
        <v>5</v>
      </c>
      <c r="AC56" s="451">
        <f>'Recurrentes 24-26'!AC58</f>
        <v>5</v>
      </c>
      <c r="AD56" s="451">
        <f>'Recurrentes 24-26'!AD58</f>
        <v>0</v>
      </c>
      <c r="AE56" s="451">
        <f>'Recurrentes 24-26'!AE58</f>
        <v>0</v>
      </c>
      <c r="AF56" s="451">
        <f>'Recurrentes 24-26'!AF58</f>
        <v>0</v>
      </c>
      <c r="AG56" s="451">
        <f>'Recurrentes 24-26'!AG58</f>
        <v>8</v>
      </c>
      <c r="AH56" s="451">
        <f>'Recurrentes 24-26'!AH58</f>
        <v>0</v>
      </c>
      <c r="AI56" s="1062">
        <f>'Recurrentes 24-26'!AI58</f>
        <v>28</v>
      </c>
      <c r="AJ56" s="451">
        <f>'Recurrentes 24-26'!AJ58</f>
        <v>0</v>
      </c>
      <c r="AK56" s="451">
        <f>'Recurrentes 24-26'!AK58</f>
        <v>0</v>
      </c>
      <c r="AL56" s="451">
        <f>'Recurrentes 24-26'!AL58</f>
        <v>0</v>
      </c>
      <c r="AM56" s="451">
        <f>'Recurrentes 24-26'!AM58</f>
        <v>10</v>
      </c>
      <c r="AN56" s="451">
        <f>'Recurrentes 24-26'!AN58</f>
        <v>5</v>
      </c>
      <c r="AO56" s="451">
        <f>'Recurrentes 24-26'!AO58</f>
        <v>5</v>
      </c>
      <c r="AP56" s="451">
        <f>'Recurrentes 24-26'!AP58</f>
        <v>0</v>
      </c>
      <c r="AQ56" s="451">
        <f>'Recurrentes 24-26'!AQ58</f>
        <v>0</v>
      </c>
      <c r="AR56" s="451">
        <f>'Recurrentes 24-26'!AR58</f>
        <v>0</v>
      </c>
      <c r="AS56" s="451">
        <f>'Recurrentes 24-26'!AS58</f>
        <v>8</v>
      </c>
      <c r="AT56" s="451">
        <f>'Recurrentes 24-26'!AT58</f>
        <v>0</v>
      </c>
      <c r="AU56" s="1062">
        <f>'Recurrentes 24-26'!AU58</f>
        <v>28</v>
      </c>
      <c r="AV56" s="1063">
        <f>'Recurrentes 24-26'!AV58</f>
        <v>64</v>
      </c>
      <c r="AW56" s="451" t="str">
        <f>'Recurrentes 24-26'!AW58</f>
        <v/>
      </c>
      <c r="AX56" s="1062">
        <f>'Recurrentes 24-26'!AX58</f>
        <v>79.33</v>
      </c>
      <c r="AY56" s="1062">
        <f>'Recurrentes 24-26'!AY58</f>
        <v>552.1368</v>
      </c>
      <c r="AZ56" s="1064" t="str">
        <f>'Recurrentes 24-26'!AZ58</f>
        <v/>
      </c>
      <c r="BA56" s="1064">
        <f>'Recurrentes 24-26'!BA58</f>
        <v>0</v>
      </c>
      <c r="BB56" s="1064">
        <f>'Recurrentes 24-26'!BB58</f>
        <v>0</v>
      </c>
      <c r="BC56" s="1064">
        <f>'Recurrentes 24-26'!BC58</f>
        <v>0</v>
      </c>
      <c r="BD56" s="1064">
        <f>'Recurrentes 24-26'!BD58</f>
        <v>0</v>
      </c>
      <c r="BE56" s="1064">
        <f>'Recurrentes 24-26'!BE58</f>
        <v>0</v>
      </c>
      <c r="BF56" s="1064">
        <f>'Recurrentes 24-26'!BF58</f>
        <v>0</v>
      </c>
      <c r="BG56" s="1064">
        <f>'Recurrentes 24-26'!BG58</f>
        <v>0</v>
      </c>
      <c r="BH56" s="1064">
        <f>'Recurrentes 24-26'!BH58</f>
        <v>0</v>
      </c>
      <c r="BI56" s="1064">
        <f>'Recurrentes 24-26'!BI58</f>
        <v>0</v>
      </c>
      <c r="BJ56" s="1064">
        <f>'Recurrentes 24-26'!BJ58</f>
        <v>4417.0944</v>
      </c>
      <c r="BK56" s="451"/>
      <c r="BL56" s="1062">
        <f>'Recurrentes 24-26'!BK58</f>
        <v>4417.0944</v>
      </c>
      <c r="BM56" s="1064">
        <f>'Recurrentes 24-26'!BL58</f>
        <v>0</v>
      </c>
      <c r="BN56" s="1064">
        <f>'Recurrentes 24-26'!BM58</f>
        <v>0</v>
      </c>
      <c r="BO56" s="1064">
        <f>'Recurrentes 24-26'!BN58</f>
        <v>0</v>
      </c>
      <c r="BP56" s="1064">
        <f>'Recurrentes 24-26'!BO58</f>
        <v>5521.368</v>
      </c>
      <c r="BQ56" s="1064">
        <f>'Recurrentes 24-26'!BP58</f>
        <v>2760.684</v>
      </c>
      <c r="BR56" s="1064">
        <f>'Recurrentes 24-26'!BQ58</f>
        <v>2760.684</v>
      </c>
      <c r="BS56" s="1064">
        <f>'Recurrentes 24-26'!BR58</f>
        <v>0</v>
      </c>
      <c r="BT56" s="1064">
        <f>'Recurrentes 24-26'!BS58</f>
        <v>0</v>
      </c>
      <c r="BU56" s="1064">
        <f>'Recurrentes 24-26'!BT58</f>
        <v>0</v>
      </c>
      <c r="BV56" s="1064">
        <f>'Recurrentes 24-26'!BU58</f>
        <v>4417.0944</v>
      </c>
      <c r="BW56" s="451"/>
      <c r="BX56" s="1062">
        <f>'Recurrentes 24-26'!BV58</f>
        <v>15459.8304</v>
      </c>
      <c r="BY56" s="1064">
        <f>'Recurrentes 24-26'!BW58</f>
        <v>0</v>
      </c>
      <c r="BZ56" s="1064">
        <f>'Recurrentes 24-26'!BX58</f>
        <v>0</v>
      </c>
      <c r="CA56" s="1064">
        <f>'Recurrentes 24-26'!BY58</f>
        <v>0</v>
      </c>
      <c r="CB56" s="1064">
        <f>'Recurrentes 24-26'!BZ58</f>
        <v>5521.368</v>
      </c>
      <c r="CC56" s="1064">
        <f>'Recurrentes 24-26'!CA58</f>
        <v>2760.684</v>
      </c>
      <c r="CD56" s="1064">
        <f>'Recurrentes 24-26'!CB58</f>
        <v>2760.684</v>
      </c>
      <c r="CE56" s="1064">
        <f>'Recurrentes 24-26'!CC58</f>
        <v>0</v>
      </c>
      <c r="CF56" s="1064">
        <f>'Recurrentes 24-26'!CD58</f>
        <v>0</v>
      </c>
      <c r="CG56" s="1064">
        <f>'Recurrentes 24-26'!CE58</f>
        <v>0</v>
      </c>
      <c r="CH56" s="1064">
        <f>'Recurrentes 24-26'!CF58</f>
        <v>4417.0944</v>
      </c>
      <c r="CI56" s="451"/>
      <c r="CJ56" s="1062">
        <f>'Recurrentes 24-26'!CG58</f>
        <v>15459.8304</v>
      </c>
      <c r="CK56" s="1062">
        <f>'Recurrentes 24-26'!CH58</f>
        <v>35336.7552</v>
      </c>
      <c r="CL56" s="451" t="str">
        <f>'Recurrentes 24-26'!CI58</f>
        <v/>
      </c>
      <c r="CM56" s="1064" t="str">
        <f>'Recurrentes 24-26'!CJ58</f>
        <v/>
      </c>
      <c r="CN56" s="451">
        <f>'Recurrentes 24-26'!CK58</f>
        <v>1</v>
      </c>
      <c r="CO56" s="1062">
        <f>'Recurrentes 24-26'!CL58</f>
        <v>79.33</v>
      </c>
      <c r="CP56" s="451" t="str">
        <f>'Recurrentes 24-26'!CM58</f>
        <v/>
      </c>
    </row>
    <row r="57">
      <c r="A57" s="451" t="str">
        <f>'Recurrentes 24-26'!A59</f>
        <v>Repuestos Electromecánicos recurrentes</v>
      </c>
      <c r="B57" s="451">
        <f>'Recurrentes 24-26'!B59</f>
        <v>2</v>
      </c>
      <c r="C57" s="451" t="str">
        <f>'Recurrentes 24-26'!C59</f>
        <v>Vehículo</v>
      </c>
      <c r="D57" s="451" t="str">
        <f>'Recurrentes 24-26'!D59</f>
        <v>Manto. Pinza</v>
      </c>
      <c r="E57" s="451" t="str">
        <f>'Recurrentes 24-26'!E59</f>
        <v>Repuesto Mecánico</v>
      </c>
      <c r="F57" s="451" t="str">
        <f>'Recurrentes 24-26'!F59</f>
        <v>TDB</v>
      </c>
      <c r="G57" s="1025" t="str">
        <f>'Recurrentes 24-26'!G59</f>
        <v>39800</v>
      </c>
      <c r="H57" s="1061" t="str">
        <f>'Recurrentes 24-26'!H59</f>
        <v>2-01-00419</v>
      </c>
      <c r="I57" s="1061" t="str">
        <f>'Recurrentes 24-26'!I59</f>
        <v>10488427</v>
      </c>
      <c r="J57" s="1061" t="str">
        <f>'Recurrentes 24-26'!J59</f>
        <v>EJE DE CAB.A108-C DIA.32 L 354 </v>
      </c>
      <c r="K57" s="451" t="str">
        <f>'Recurrentes 24-26'!K59</f>
        <v>Pza</v>
      </c>
      <c r="L57" s="451">
        <f>'Recurrentes 24-26'!L59</f>
        <v>3</v>
      </c>
      <c r="M57" s="451">
        <f>'Recurrentes 24-26'!M59</f>
        <v>1</v>
      </c>
      <c r="N57" s="451">
        <f>'Recurrentes 24-26'!N59</f>
        <v>3</v>
      </c>
      <c r="O57" s="451">
        <f>'Recurrentes 24-26'!O59</f>
        <v>2</v>
      </c>
      <c r="P57" s="451">
        <f>'Recurrentes 24-26'!P59</f>
        <v>2</v>
      </c>
      <c r="Q57" s="451">
        <f>'Recurrentes 24-26'!Q59</f>
        <v>2</v>
      </c>
      <c r="R57" s="451">
        <f>'Recurrentes 24-26'!R59</f>
        <v>2</v>
      </c>
      <c r="S57" s="451">
        <f>'Recurrentes 24-26'!S59</f>
        <v>2</v>
      </c>
      <c r="T57" s="451">
        <f>'Recurrentes 24-26'!T59</f>
        <v>1</v>
      </c>
      <c r="U57" s="451">
        <f>'Recurrentes 24-26'!U59</f>
        <v>0</v>
      </c>
      <c r="V57" s="451">
        <f>'Recurrentes 24-26'!V59</f>
        <v>0</v>
      </c>
      <c r="W57" s="1062">
        <f>'Recurrentes 24-26'!W59</f>
        <v>18</v>
      </c>
      <c r="X57" s="451">
        <f>'Recurrentes 24-26'!X59</f>
        <v>3</v>
      </c>
      <c r="Y57" s="451">
        <f>'Recurrentes 24-26'!Y59</f>
        <v>1</v>
      </c>
      <c r="Z57" s="451">
        <f>'Recurrentes 24-26'!Z59</f>
        <v>3</v>
      </c>
      <c r="AA57" s="451">
        <f>'Recurrentes 24-26'!AA59</f>
        <v>2</v>
      </c>
      <c r="AB57" s="451">
        <f>'Recurrentes 24-26'!AB59</f>
        <v>2</v>
      </c>
      <c r="AC57" s="451">
        <f>'Recurrentes 24-26'!AC59</f>
        <v>2</v>
      </c>
      <c r="AD57" s="451">
        <f>'Recurrentes 24-26'!AD59</f>
        <v>2</v>
      </c>
      <c r="AE57" s="451">
        <f>'Recurrentes 24-26'!AE59</f>
        <v>2</v>
      </c>
      <c r="AF57" s="451">
        <f>'Recurrentes 24-26'!AF59</f>
        <v>1</v>
      </c>
      <c r="AG57" s="451">
        <f>'Recurrentes 24-26'!AG59</f>
        <v>0</v>
      </c>
      <c r="AH57" s="451">
        <f>'Recurrentes 24-26'!AH59</f>
        <v>0</v>
      </c>
      <c r="AI57" s="1062">
        <f>'Recurrentes 24-26'!AI59</f>
        <v>18</v>
      </c>
      <c r="AJ57" s="451">
        <f>'Recurrentes 24-26'!AJ59</f>
        <v>3</v>
      </c>
      <c r="AK57" s="451">
        <f>'Recurrentes 24-26'!AK59</f>
        <v>1</v>
      </c>
      <c r="AL57" s="451">
        <f>'Recurrentes 24-26'!AL59</f>
        <v>3</v>
      </c>
      <c r="AM57" s="451">
        <f>'Recurrentes 24-26'!AM59</f>
        <v>2</v>
      </c>
      <c r="AN57" s="451">
        <f>'Recurrentes 24-26'!AN59</f>
        <v>2</v>
      </c>
      <c r="AO57" s="451">
        <f>'Recurrentes 24-26'!AO59</f>
        <v>2</v>
      </c>
      <c r="AP57" s="451">
        <f>'Recurrentes 24-26'!AP59</f>
        <v>2</v>
      </c>
      <c r="AQ57" s="451">
        <f>'Recurrentes 24-26'!AQ59</f>
        <v>2</v>
      </c>
      <c r="AR57" s="451">
        <f>'Recurrentes 24-26'!AR59</f>
        <v>1</v>
      </c>
      <c r="AS57" s="451">
        <f>'Recurrentes 24-26'!AS59</f>
        <v>0</v>
      </c>
      <c r="AT57" s="451">
        <f>'Recurrentes 24-26'!AT59</f>
        <v>0</v>
      </c>
      <c r="AU57" s="1062">
        <f>'Recurrentes 24-26'!AU59</f>
        <v>18</v>
      </c>
      <c r="AV57" s="1063">
        <f>'Recurrentes 24-26'!AV59</f>
        <v>54</v>
      </c>
      <c r="AW57" s="451" t="str">
        <f>'Recurrentes 24-26'!AW59</f>
        <v/>
      </c>
      <c r="AX57" s="1062">
        <f>'Recurrentes 24-26'!AX59</f>
        <v>90.49</v>
      </c>
      <c r="AY57" s="1062">
        <f>'Recurrentes 24-26'!AY59</f>
        <v>629.8104</v>
      </c>
      <c r="AZ57" s="1064" t="str">
        <f>'Recurrentes 24-26'!AZ59</f>
        <v/>
      </c>
      <c r="BA57" s="1064">
        <f>'Recurrentes 24-26'!BA59</f>
        <v>1889.4312</v>
      </c>
      <c r="BB57" s="1064">
        <f>'Recurrentes 24-26'!BB59</f>
        <v>629.8104</v>
      </c>
      <c r="BC57" s="1064">
        <f>'Recurrentes 24-26'!BC59</f>
        <v>1889.4312</v>
      </c>
      <c r="BD57" s="1064">
        <f>'Recurrentes 24-26'!BD59</f>
        <v>1259.6208</v>
      </c>
      <c r="BE57" s="1064">
        <f>'Recurrentes 24-26'!BE59</f>
        <v>1259.6208</v>
      </c>
      <c r="BF57" s="1064">
        <f>'Recurrentes 24-26'!BF59</f>
        <v>1259.6208</v>
      </c>
      <c r="BG57" s="1064">
        <f>'Recurrentes 24-26'!BG59</f>
        <v>1259.6208</v>
      </c>
      <c r="BH57" s="1064">
        <f>'Recurrentes 24-26'!BH59</f>
        <v>1259.6208</v>
      </c>
      <c r="BI57" s="1064">
        <f>'Recurrentes 24-26'!BI59</f>
        <v>629.8104</v>
      </c>
      <c r="BJ57" s="1064">
        <f>'Recurrentes 24-26'!BJ59</f>
        <v>0</v>
      </c>
      <c r="BK57" s="451"/>
      <c r="BL57" s="1062">
        <f>'Recurrentes 24-26'!BK59</f>
        <v>11336.5872</v>
      </c>
      <c r="BM57" s="1064">
        <f>'Recurrentes 24-26'!BL59</f>
        <v>1889.4312</v>
      </c>
      <c r="BN57" s="1064">
        <f>'Recurrentes 24-26'!BM59</f>
        <v>629.8104</v>
      </c>
      <c r="BO57" s="1064">
        <f>'Recurrentes 24-26'!BN59</f>
        <v>1889.4312</v>
      </c>
      <c r="BP57" s="1064">
        <f>'Recurrentes 24-26'!BO59</f>
        <v>1259.6208</v>
      </c>
      <c r="BQ57" s="1064">
        <f>'Recurrentes 24-26'!BP59</f>
        <v>1259.6208</v>
      </c>
      <c r="BR57" s="1064">
        <f>'Recurrentes 24-26'!BQ59</f>
        <v>1259.6208</v>
      </c>
      <c r="BS57" s="1064">
        <f>'Recurrentes 24-26'!BR59</f>
        <v>1259.6208</v>
      </c>
      <c r="BT57" s="1064">
        <f>'Recurrentes 24-26'!BS59</f>
        <v>1259.6208</v>
      </c>
      <c r="BU57" s="1064">
        <f>'Recurrentes 24-26'!BT59</f>
        <v>629.8104</v>
      </c>
      <c r="BV57" s="1064">
        <f>'Recurrentes 24-26'!BU59</f>
        <v>0</v>
      </c>
      <c r="BW57" s="451"/>
      <c r="BX57" s="1062">
        <f>'Recurrentes 24-26'!BV59</f>
        <v>11336.5872</v>
      </c>
      <c r="BY57" s="1064">
        <f>'Recurrentes 24-26'!BW59</f>
        <v>1889.4312</v>
      </c>
      <c r="BZ57" s="1064">
        <f>'Recurrentes 24-26'!BX59</f>
        <v>629.8104</v>
      </c>
      <c r="CA57" s="1064">
        <f>'Recurrentes 24-26'!BY59</f>
        <v>1889.4312</v>
      </c>
      <c r="CB57" s="1064">
        <f>'Recurrentes 24-26'!BZ59</f>
        <v>1259.6208</v>
      </c>
      <c r="CC57" s="1064">
        <f>'Recurrentes 24-26'!CA59</f>
        <v>1259.6208</v>
      </c>
      <c r="CD57" s="1064">
        <f>'Recurrentes 24-26'!CB59</f>
        <v>1259.6208</v>
      </c>
      <c r="CE57" s="1064">
        <f>'Recurrentes 24-26'!CC59</f>
        <v>1259.6208</v>
      </c>
      <c r="CF57" s="1064">
        <f>'Recurrentes 24-26'!CD59</f>
        <v>1259.6208</v>
      </c>
      <c r="CG57" s="1064">
        <f>'Recurrentes 24-26'!CE59</f>
        <v>629.8104</v>
      </c>
      <c r="CH57" s="1064">
        <f>'Recurrentes 24-26'!CF59</f>
        <v>0</v>
      </c>
      <c r="CI57" s="451"/>
      <c r="CJ57" s="1062">
        <f>'Recurrentes 24-26'!CG59</f>
        <v>11336.5872</v>
      </c>
      <c r="CK57" s="1062">
        <f>'Recurrentes 24-26'!CH59</f>
        <v>34009.7616</v>
      </c>
      <c r="CL57" s="451" t="str">
        <f>'Recurrentes 24-26'!CI59</f>
        <v/>
      </c>
      <c r="CM57" s="1064" t="str">
        <f>'Recurrentes 24-26'!CJ59</f>
        <v/>
      </c>
      <c r="CN57" s="451">
        <f>'Recurrentes 24-26'!CK59</f>
        <v>1</v>
      </c>
      <c r="CO57" s="1062">
        <f>'Recurrentes 24-26'!CL59</f>
        <v>90.49</v>
      </c>
      <c r="CP57" s="451" t="str">
        <f>'Recurrentes 24-26'!CM59</f>
        <v/>
      </c>
    </row>
    <row r="58">
      <c r="A58" s="451" t="str">
        <f>'Recurrentes 24-26'!A60</f>
        <v>Repuestos Electromecánicos recurrentes</v>
      </c>
      <c r="B58" s="451">
        <f>'Recurrentes 24-26'!B60</f>
        <v>2</v>
      </c>
      <c r="C58" s="451" t="str">
        <f>'Recurrentes 24-26'!C60</f>
        <v>Vehículo</v>
      </c>
      <c r="D58" s="451" t="str">
        <f>'Recurrentes 24-26'!D60</f>
        <v>Manto. Pinza</v>
      </c>
      <c r="E58" s="451" t="str">
        <f>'Recurrentes 24-26'!E60</f>
        <v>Repuesto Mecánico</v>
      </c>
      <c r="F58" s="451" t="str">
        <f>'Recurrentes 24-26'!F60</f>
        <v>TDB</v>
      </c>
      <c r="G58" s="1025" t="str">
        <f>'Recurrentes 24-26'!G60</f>
        <v>39800</v>
      </c>
      <c r="H58" s="1061" t="str">
        <f>'Recurrentes 24-26'!H60</f>
        <v>2-01-00420</v>
      </c>
      <c r="I58" s="1061" t="str">
        <f>'Recurrentes 24-26'!I60</f>
        <v>10709660</v>
      </c>
      <c r="J58" s="1061" t="str">
        <f>'Recurrentes 24-26'!J60</f>
        <v>PERNO DEL EJE P. POLEA  A108-C DIA.35 LN 115,5</v>
      </c>
      <c r="K58" s="451" t="str">
        <f>'Recurrentes 24-26'!K60</f>
        <v>Pza</v>
      </c>
      <c r="L58" s="451">
        <f>'Recurrentes 24-26'!L60</f>
        <v>1</v>
      </c>
      <c r="M58" s="451">
        <f>'Recurrentes 24-26'!M60</f>
        <v>1</v>
      </c>
      <c r="N58" s="451">
        <f>'Recurrentes 24-26'!N60</f>
        <v>1</v>
      </c>
      <c r="O58" s="451">
        <f>'Recurrentes 24-26'!O60</f>
        <v>6</v>
      </c>
      <c r="P58" s="451">
        <f>'Recurrentes 24-26'!P60</f>
        <v>6</v>
      </c>
      <c r="Q58" s="451">
        <f>'Recurrentes 24-26'!Q60</f>
        <v>4</v>
      </c>
      <c r="R58" s="451">
        <f>'Recurrentes 24-26'!R60</f>
        <v>6</v>
      </c>
      <c r="S58" s="451">
        <f>'Recurrentes 24-26'!S60</f>
        <v>6</v>
      </c>
      <c r="T58" s="451">
        <f>'Recurrentes 24-26'!T60</f>
        <v>2</v>
      </c>
      <c r="U58" s="451">
        <f>'Recurrentes 24-26'!U60</f>
        <v>0</v>
      </c>
      <c r="V58" s="451">
        <f>'Recurrentes 24-26'!V60</f>
        <v>0</v>
      </c>
      <c r="W58" s="1062">
        <f>'Recurrentes 24-26'!W60</f>
        <v>33</v>
      </c>
      <c r="X58" s="451">
        <f>'Recurrentes 24-26'!X60</f>
        <v>1</v>
      </c>
      <c r="Y58" s="451">
        <f>'Recurrentes 24-26'!Y60</f>
        <v>1</v>
      </c>
      <c r="Z58" s="451">
        <f>'Recurrentes 24-26'!Z60</f>
        <v>1</v>
      </c>
      <c r="AA58" s="451">
        <f>'Recurrentes 24-26'!AA60</f>
        <v>6</v>
      </c>
      <c r="AB58" s="451">
        <f>'Recurrentes 24-26'!AB60</f>
        <v>6</v>
      </c>
      <c r="AC58" s="451">
        <f>'Recurrentes 24-26'!AC60</f>
        <v>4</v>
      </c>
      <c r="AD58" s="451">
        <f>'Recurrentes 24-26'!AD60</f>
        <v>6</v>
      </c>
      <c r="AE58" s="451">
        <f>'Recurrentes 24-26'!AE60</f>
        <v>6</v>
      </c>
      <c r="AF58" s="451">
        <f>'Recurrentes 24-26'!AF60</f>
        <v>2</v>
      </c>
      <c r="AG58" s="451">
        <f>'Recurrentes 24-26'!AG60</f>
        <v>0</v>
      </c>
      <c r="AH58" s="451">
        <f>'Recurrentes 24-26'!AH60</f>
        <v>0</v>
      </c>
      <c r="AI58" s="1062">
        <f>'Recurrentes 24-26'!AI60</f>
        <v>33</v>
      </c>
      <c r="AJ58" s="451">
        <f>'Recurrentes 24-26'!AJ60</f>
        <v>1</v>
      </c>
      <c r="AK58" s="451">
        <f>'Recurrentes 24-26'!AK60</f>
        <v>1</v>
      </c>
      <c r="AL58" s="451">
        <f>'Recurrentes 24-26'!AL60</f>
        <v>1</v>
      </c>
      <c r="AM58" s="451">
        <f>'Recurrentes 24-26'!AM60</f>
        <v>6</v>
      </c>
      <c r="AN58" s="451">
        <f>'Recurrentes 24-26'!AN60</f>
        <v>6</v>
      </c>
      <c r="AO58" s="451">
        <f>'Recurrentes 24-26'!AO60</f>
        <v>4</v>
      </c>
      <c r="AP58" s="451">
        <f>'Recurrentes 24-26'!AP60</f>
        <v>6</v>
      </c>
      <c r="AQ58" s="451">
        <f>'Recurrentes 24-26'!AQ60</f>
        <v>6</v>
      </c>
      <c r="AR58" s="451">
        <f>'Recurrentes 24-26'!AR60</f>
        <v>2</v>
      </c>
      <c r="AS58" s="451">
        <f>'Recurrentes 24-26'!AS60</f>
        <v>0</v>
      </c>
      <c r="AT58" s="451">
        <f>'Recurrentes 24-26'!AT60</f>
        <v>0</v>
      </c>
      <c r="AU58" s="1062">
        <f>'Recurrentes 24-26'!AU60</f>
        <v>33</v>
      </c>
      <c r="AV58" s="1063">
        <f>'Recurrentes 24-26'!AV60</f>
        <v>99</v>
      </c>
      <c r="AW58" s="451" t="str">
        <f>'Recurrentes 24-26'!AW60</f>
        <v/>
      </c>
      <c r="AX58" s="1062">
        <f>'Recurrentes 24-26'!AX60</f>
        <v>49.22</v>
      </c>
      <c r="AY58" s="1062">
        <f>'Recurrentes 24-26'!AY60</f>
        <v>342.5712</v>
      </c>
      <c r="AZ58" s="1064" t="str">
        <f>'Recurrentes 24-26'!AZ60</f>
        <v/>
      </c>
      <c r="BA58" s="1064">
        <f>'Recurrentes 24-26'!BA60</f>
        <v>342.5712</v>
      </c>
      <c r="BB58" s="1064">
        <f>'Recurrentes 24-26'!BB60</f>
        <v>342.5712</v>
      </c>
      <c r="BC58" s="1064">
        <f>'Recurrentes 24-26'!BC60</f>
        <v>342.5712</v>
      </c>
      <c r="BD58" s="1064">
        <f>'Recurrentes 24-26'!BD60</f>
        <v>2055.4272</v>
      </c>
      <c r="BE58" s="1064">
        <f>'Recurrentes 24-26'!BE60</f>
        <v>2055.4272</v>
      </c>
      <c r="BF58" s="1064">
        <f>'Recurrentes 24-26'!BF60</f>
        <v>1370.2848</v>
      </c>
      <c r="BG58" s="1064">
        <f>'Recurrentes 24-26'!BG60</f>
        <v>2055.4272</v>
      </c>
      <c r="BH58" s="1064">
        <f>'Recurrentes 24-26'!BH60</f>
        <v>2055.4272</v>
      </c>
      <c r="BI58" s="1064">
        <f>'Recurrentes 24-26'!BI60</f>
        <v>685.1424</v>
      </c>
      <c r="BJ58" s="1064">
        <f>'Recurrentes 24-26'!BJ60</f>
        <v>0</v>
      </c>
      <c r="BK58" s="451"/>
      <c r="BL58" s="1062">
        <f>'Recurrentes 24-26'!BK60</f>
        <v>11304.8496</v>
      </c>
      <c r="BM58" s="1064">
        <f>'Recurrentes 24-26'!BL60</f>
        <v>342.5712</v>
      </c>
      <c r="BN58" s="1064">
        <f>'Recurrentes 24-26'!BM60</f>
        <v>342.5712</v>
      </c>
      <c r="BO58" s="1064">
        <f>'Recurrentes 24-26'!BN60</f>
        <v>342.5712</v>
      </c>
      <c r="BP58" s="1064">
        <f>'Recurrentes 24-26'!BO60</f>
        <v>2055.4272</v>
      </c>
      <c r="BQ58" s="1064">
        <f>'Recurrentes 24-26'!BP60</f>
        <v>2055.4272</v>
      </c>
      <c r="BR58" s="1064">
        <f>'Recurrentes 24-26'!BQ60</f>
        <v>1370.2848</v>
      </c>
      <c r="BS58" s="1064">
        <f>'Recurrentes 24-26'!BR60</f>
        <v>2055.4272</v>
      </c>
      <c r="BT58" s="1064">
        <f>'Recurrentes 24-26'!BS60</f>
        <v>2055.4272</v>
      </c>
      <c r="BU58" s="1064">
        <f>'Recurrentes 24-26'!BT60</f>
        <v>685.1424</v>
      </c>
      <c r="BV58" s="1064">
        <f>'Recurrentes 24-26'!BU60</f>
        <v>0</v>
      </c>
      <c r="BW58" s="451"/>
      <c r="BX58" s="1062">
        <f>'Recurrentes 24-26'!BV60</f>
        <v>11304.8496</v>
      </c>
      <c r="BY58" s="1064">
        <f>'Recurrentes 24-26'!BW60</f>
        <v>342.5712</v>
      </c>
      <c r="BZ58" s="1064">
        <f>'Recurrentes 24-26'!BX60</f>
        <v>342.5712</v>
      </c>
      <c r="CA58" s="1064">
        <f>'Recurrentes 24-26'!BY60</f>
        <v>342.5712</v>
      </c>
      <c r="CB58" s="1064">
        <f>'Recurrentes 24-26'!BZ60</f>
        <v>2055.4272</v>
      </c>
      <c r="CC58" s="1064">
        <f>'Recurrentes 24-26'!CA60</f>
        <v>2055.4272</v>
      </c>
      <c r="CD58" s="1064">
        <f>'Recurrentes 24-26'!CB60</f>
        <v>1370.2848</v>
      </c>
      <c r="CE58" s="1064">
        <f>'Recurrentes 24-26'!CC60</f>
        <v>2055.4272</v>
      </c>
      <c r="CF58" s="1064">
        <f>'Recurrentes 24-26'!CD60</f>
        <v>2055.4272</v>
      </c>
      <c r="CG58" s="1064">
        <f>'Recurrentes 24-26'!CE60</f>
        <v>685.1424</v>
      </c>
      <c r="CH58" s="1064">
        <f>'Recurrentes 24-26'!CF60</f>
        <v>0</v>
      </c>
      <c r="CI58" s="451"/>
      <c r="CJ58" s="1062">
        <f>'Recurrentes 24-26'!CG60</f>
        <v>11304.8496</v>
      </c>
      <c r="CK58" s="1062">
        <f>'Recurrentes 24-26'!CH60</f>
        <v>33914.5488</v>
      </c>
      <c r="CL58" s="451" t="str">
        <f>'Recurrentes 24-26'!CI60</f>
        <v/>
      </c>
      <c r="CM58" s="1064" t="str">
        <f>'Recurrentes 24-26'!CJ60</f>
        <v/>
      </c>
      <c r="CN58" s="451">
        <f>'Recurrentes 24-26'!CK60</f>
        <v>1</v>
      </c>
      <c r="CO58" s="1062">
        <f>'Recurrentes 24-26'!CL60</f>
        <v>49.22</v>
      </c>
      <c r="CP58" s="451" t="str">
        <f>'Recurrentes 24-26'!CM60</f>
        <v/>
      </c>
    </row>
    <row r="59">
      <c r="A59" s="451" t="str">
        <f>'Recurrentes 24-26'!A61</f>
        <v>Repuestos Electromecánicos recurrentes</v>
      </c>
      <c r="B59" s="451">
        <f>'Recurrentes 24-26'!B61</f>
        <v>2</v>
      </c>
      <c r="C59" s="451" t="str">
        <f>'Recurrentes 24-26'!C61</f>
        <v>Estaciones</v>
      </c>
      <c r="D59" s="451" t="str">
        <f>'Recurrentes 24-26'!D61</f>
        <v>Sistema de seg. Apertura/Cierre de puertas</v>
      </c>
      <c r="E59" s="451" t="str">
        <f>'Recurrentes 24-26'!E61</f>
        <v>Repuesto Mecánico</v>
      </c>
      <c r="F59" s="451" t="str">
        <f>'Recurrentes 24-26'!F61</f>
        <v>TDB</v>
      </c>
      <c r="G59" s="1025" t="str">
        <f>'Recurrentes 24-26'!G61</f>
        <v>39800</v>
      </c>
      <c r="H59" s="1061" t="str">
        <f>'Recurrentes 24-26'!H61</f>
        <v>2-01-00239</v>
      </c>
      <c r="I59" s="1061" t="str">
        <f>'Recurrentes 24-26'!I61</f>
        <v>10752419</v>
      </c>
      <c r="J59" s="1061" t="str">
        <f>'Recurrentes 24-26'!J61</f>
        <v>ELEM.ACTUAD.P.INTERRUPT.FINAL  PARA CABEZA INTERR.F. ZCK-E056</v>
      </c>
      <c r="K59" s="451" t="str">
        <f>'Recurrentes 24-26'!K61</f>
        <v>Pza</v>
      </c>
      <c r="L59" s="451">
        <f>'Recurrentes 24-26'!L61</f>
        <v>4</v>
      </c>
      <c r="M59" s="451">
        <f>'Recurrentes 24-26'!M61</f>
        <v>4</v>
      </c>
      <c r="N59" s="451">
        <f>'Recurrentes 24-26'!N61</f>
        <v>6</v>
      </c>
      <c r="O59" s="451">
        <f>'Recurrentes 24-26'!O61</f>
        <v>0</v>
      </c>
      <c r="P59" s="451">
        <f>'Recurrentes 24-26'!P61</f>
        <v>6</v>
      </c>
      <c r="Q59" s="451">
        <f>'Recurrentes 24-26'!Q61</f>
        <v>8</v>
      </c>
      <c r="R59" s="451">
        <f>'Recurrentes 24-26'!R61</f>
        <v>6</v>
      </c>
      <c r="S59" s="451">
        <f>'Recurrentes 24-26'!S61</f>
        <v>6</v>
      </c>
      <c r="T59" s="451">
        <f>'Recurrentes 24-26'!T61</f>
        <v>2</v>
      </c>
      <c r="U59" s="451">
        <f>'Recurrentes 24-26'!U61</f>
        <v>6</v>
      </c>
      <c r="V59" s="451">
        <f>'Recurrentes 24-26'!V61</f>
        <v>0</v>
      </c>
      <c r="W59" s="1062">
        <f>'Recurrentes 24-26'!W61</f>
        <v>48</v>
      </c>
      <c r="X59" s="451">
        <f>'Recurrentes 24-26'!X61</f>
        <v>4</v>
      </c>
      <c r="Y59" s="451">
        <f>'Recurrentes 24-26'!Y61</f>
        <v>4</v>
      </c>
      <c r="Z59" s="451">
        <f>'Recurrentes 24-26'!Z61</f>
        <v>6</v>
      </c>
      <c r="AA59" s="451">
        <f>'Recurrentes 24-26'!AA61</f>
        <v>4</v>
      </c>
      <c r="AB59" s="451">
        <f>'Recurrentes 24-26'!AB61</f>
        <v>6</v>
      </c>
      <c r="AC59" s="451">
        <f>'Recurrentes 24-26'!AC61</f>
        <v>8</v>
      </c>
      <c r="AD59" s="451">
        <f>'Recurrentes 24-26'!AD61</f>
        <v>6</v>
      </c>
      <c r="AE59" s="451">
        <f>'Recurrentes 24-26'!AE61</f>
        <v>6</v>
      </c>
      <c r="AF59" s="451">
        <f>'Recurrentes 24-26'!AF61</f>
        <v>2</v>
      </c>
      <c r="AG59" s="451">
        <f>'Recurrentes 24-26'!AG61</f>
        <v>6</v>
      </c>
      <c r="AH59" s="451">
        <f>'Recurrentes 24-26'!AH61</f>
        <v>0</v>
      </c>
      <c r="AI59" s="1062">
        <f>'Recurrentes 24-26'!AI61</f>
        <v>52</v>
      </c>
      <c r="AJ59" s="451">
        <f>'Recurrentes 24-26'!AJ61</f>
        <v>4</v>
      </c>
      <c r="AK59" s="451">
        <f>'Recurrentes 24-26'!AK61</f>
        <v>4</v>
      </c>
      <c r="AL59" s="451">
        <f>'Recurrentes 24-26'!AL61</f>
        <v>6</v>
      </c>
      <c r="AM59" s="451">
        <f>'Recurrentes 24-26'!AM61</f>
        <v>4</v>
      </c>
      <c r="AN59" s="451">
        <f>'Recurrentes 24-26'!AN61</f>
        <v>6</v>
      </c>
      <c r="AO59" s="451">
        <f>'Recurrentes 24-26'!AO61</f>
        <v>8</v>
      </c>
      <c r="AP59" s="451">
        <f>'Recurrentes 24-26'!AP61</f>
        <v>6</v>
      </c>
      <c r="AQ59" s="451">
        <f>'Recurrentes 24-26'!AQ61</f>
        <v>6</v>
      </c>
      <c r="AR59" s="451">
        <f>'Recurrentes 24-26'!AR61</f>
        <v>2</v>
      </c>
      <c r="AS59" s="451">
        <f>'Recurrentes 24-26'!AS61</f>
        <v>6</v>
      </c>
      <c r="AT59" s="451">
        <f>'Recurrentes 24-26'!AT61</f>
        <v>0</v>
      </c>
      <c r="AU59" s="1062">
        <f>'Recurrentes 24-26'!AU61</f>
        <v>52</v>
      </c>
      <c r="AV59" s="1063">
        <f>'Recurrentes 24-26'!AV61</f>
        <v>152</v>
      </c>
      <c r="AW59" s="451" t="str">
        <f>'Recurrentes 24-26'!AW61</f>
        <v/>
      </c>
      <c r="AX59" s="1062">
        <f>'Recurrentes 24-26'!AX61</f>
        <v>30.65</v>
      </c>
      <c r="AY59" s="1062">
        <f>'Recurrentes 24-26'!AY61</f>
        <v>213.324</v>
      </c>
      <c r="AZ59" s="1064" t="str">
        <f>'Recurrentes 24-26'!AZ61</f>
        <v/>
      </c>
      <c r="BA59" s="1064">
        <f>'Recurrentes 24-26'!BA61</f>
        <v>853.296</v>
      </c>
      <c r="BB59" s="1064">
        <f>'Recurrentes 24-26'!BB61</f>
        <v>853.296</v>
      </c>
      <c r="BC59" s="1064">
        <f>'Recurrentes 24-26'!BC61</f>
        <v>1279.944</v>
      </c>
      <c r="BD59" s="1064">
        <f>'Recurrentes 24-26'!BD61</f>
        <v>0</v>
      </c>
      <c r="BE59" s="1064">
        <f>'Recurrentes 24-26'!BE61</f>
        <v>1279.944</v>
      </c>
      <c r="BF59" s="1064">
        <f>'Recurrentes 24-26'!BF61</f>
        <v>1706.592</v>
      </c>
      <c r="BG59" s="1064">
        <f>'Recurrentes 24-26'!BG61</f>
        <v>1279.944</v>
      </c>
      <c r="BH59" s="1064">
        <f>'Recurrentes 24-26'!BH61</f>
        <v>1279.944</v>
      </c>
      <c r="BI59" s="1064">
        <f>'Recurrentes 24-26'!BI61</f>
        <v>426.648</v>
      </c>
      <c r="BJ59" s="1064">
        <f>'Recurrentes 24-26'!BJ61</f>
        <v>1279.944</v>
      </c>
      <c r="BK59" s="451"/>
      <c r="BL59" s="1062">
        <f>'Recurrentes 24-26'!BK61</f>
        <v>10239.552</v>
      </c>
      <c r="BM59" s="1064">
        <f>'Recurrentes 24-26'!BL61</f>
        <v>853.296</v>
      </c>
      <c r="BN59" s="1064">
        <f>'Recurrentes 24-26'!BM61</f>
        <v>853.296</v>
      </c>
      <c r="BO59" s="1064">
        <f>'Recurrentes 24-26'!BN61</f>
        <v>1279.944</v>
      </c>
      <c r="BP59" s="1064">
        <f>'Recurrentes 24-26'!BO61</f>
        <v>853.296</v>
      </c>
      <c r="BQ59" s="1064">
        <f>'Recurrentes 24-26'!BP61</f>
        <v>1279.944</v>
      </c>
      <c r="BR59" s="1064">
        <f>'Recurrentes 24-26'!BQ61</f>
        <v>1706.592</v>
      </c>
      <c r="BS59" s="1064">
        <f>'Recurrentes 24-26'!BR61</f>
        <v>1279.944</v>
      </c>
      <c r="BT59" s="1064">
        <f>'Recurrentes 24-26'!BS61</f>
        <v>1279.944</v>
      </c>
      <c r="BU59" s="1064">
        <f>'Recurrentes 24-26'!BT61</f>
        <v>426.648</v>
      </c>
      <c r="BV59" s="1064">
        <f>'Recurrentes 24-26'!BU61</f>
        <v>1279.944</v>
      </c>
      <c r="BW59" s="451"/>
      <c r="BX59" s="1062">
        <f>'Recurrentes 24-26'!BV61</f>
        <v>11092.848</v>
      </c>
      <c r="BY59" s="1064">
        <f>'Recurrentes 24-26'!BW61</f>
        <v>853.296</v>
      </c>
      <c r="BZ59" s="1064">
        <f>'Recurrentes 24-26'!BX61</f>
        <v>853.296</v>
      </c>
      <c r="CA59" s="1064">
        <f>'Recurrentes 24-26'!BY61</f>
        <v>1279.944</v>
      </c>
      <c r="CB59" s="1064">
        <f>'Recurrentes 24-26'!BZ61</f>
        <v>853.296</v>
      </c>
      <c r="CC59" s="1064">
        <f>'Recurrentes 24-26'!CA61</f>
        <v>1279.944</v>
      </c>
      <c r="CD59" s="1064">
        <f>'Recurrentes 24-26'!CB61</f>
        <v>1706.592</v>
      </c>
      <c r="CE59" s="1064">
        <f>'Recurrentes 24-26'!CC61</f>
        <v>1279.944</v>
      </c>
      <c r="CF59" s="1064">
        <f>'Recurrentes 24-26'!CD61</f>
        <v>1279.944</v>
      </c>
      <c r="CG59" s="1064">
        <f>'Recurrentes 24-26'!CE61</f>
        <v>426.648</v>
      </c>
      <c r="CH59" s="1064">
        <f>'Recurrentes 24-26'!CF61</f>
        <v>1279.944</v>
      </c>
      <c r="CI59" s="451"/>
      <c r="CJ59" s="1062">
        <f>'Recurrentes 24-26'!CG61</f>
        <v>11092.848</v>
      </c>
      <c r="CK59" s="1062">
        <f>'Recurrentes 24-26'!CH61</f>
        <v>32425.248</v>
      </c>
      <c r="CL59" s="451" t="str">
        <f>'Recurrentes 24-26'!CI61</f>
        <v/>
      </c>
      <c r="CM59" s="1064" t="str">
        <f>'Recurrentes 24-26'!CJ61</f>
        <v/>
      </c>
      <c r="CN59" s="451">
        <f>'Recurrentes 24-26'!CK61</f>
        <v>1</v>
      </c>
      <c r="CO59" s="1062">
        <f>'Recurrentes 24-26'!CL61</f>
        <v>30.65</v>
      </c>
      <c r="CP59" s="451" t="str">
        <f>'Recurrentes 24-26'!CM61</f>
        <v/>
      </c>
    </row>
    <row r="60">
      <c r="A60" s="451" t="str">
        <f>'Recurrentes 24-26'!A62</f>
        <v>Repuestos Electromecánicos recurrentes</v>
      </c>
      <c r="B60" s="451">
        <f>'Recurrentes 24-26'!B62</f>
        <v>2</v>
      </c>
      <c r="C60" s="451" t="str">
        <f>'Recurrentes 24-26'!C62</f>
        <v>Torres</v>
      </c>
      <c r="D60" s="451" t="str">
        <f>'Recurrentes 24-26'!D62</f>
        <v>Sistema RPD</v>
      </c>
      <c r="E60" s="451" t="str">
        <f>'Recurrentes 24-26'!E62</f>
        <v>Repuesto Eléctrico</v>
      </c>
      <c r="F60" s="451" t="str">
        <f>'Recurrentes 24-26'!F62</f>
        <v>TDB</v>
      </c>
      <c r="G60" s="1025" t="str">
        <f>'Recurrentes 24-26'!G62</f>
        <v>39700</v>
      </c>
      <c r="H60" s="1061" t="str">
        <f>'Recurrentes 24-26'!H62</f>
        <v>2-06-00028</v>
      </c>
      <c r="I60" s="1061" t="str">
        <f>'Recurrentes 24-26'!I62</f>
        <v>10299843</v>
      </c>
      <c r="J60" s="1061" t="str">
        <f>'Recurrentes 24-26'!J62</f>
        <v>POTENCIÓMETRO PAP4 INCL. FILTRO N.° 305158 P. RS232/RPD PILZ</v>
      </c>
      <c r="K60" s="451" t="str">
        <f>'Recurrentes 24-26'!K62</f>
        <v>Pza</v>
      </c>
      <c r="L60" s="451">
        <f>'Recurrentes 24-26'!L62</f>
        <v>0</v>
      </c>
      <c r="M60" s="451">
        <f>'Recurrentes 24-26'!M62</f>
        <v>0</v>
      </c>
      <c r="N60" s="451">
        <f>'Recurrentes 24-26'!N62</f>
        <v>0</v>
      </c>
      <c r="O60" s="451">
        <f>'Recurrentes 24-26'!O62</f>
        <v>0</v>
      </c>
      <c r="P60" s="451">
        <f>'Recurrentes 24-26'!P62</f>
        <v>0</v>
      </c>
      <c r="Q60" s="451">
        <f>'Recurrentes 24-26'!Q62</f>
        <v>0</v>
      </c>
      <c r="R60" s="451">
        <f>'Recurrentes 24-26'!R62</f>
        <v>0</v>
      </c>
      <c r="S60" s="451">
        <f>'Recurrentes 24-26'!S62</f>
        <v>1</v>
      </c>
      <c r="T60" s="451">
        <f>'Recurrentes 24-26'!T62</f>
        <v>0</v>
      </c>
      <c r="U60" s="451">
        <f>'Recurrentes 24-26'!U62</f>
        <v>1</v>
      </c>
      <c r="V60" s="451">
        <f>'Recurrentes 24-26'!V62</f>
        <v>0</v>
      </c>
      <c r="W60" s="1062">
        <f>'Recurrentes 24-26'!W62</f>
        <v>2</v>
      </c>
      <c r="X60" s="451">
        <f>'Recurrentes 24-26'!X62</f>
        <v>0</v>
      </c>
      <c r="Y60" s="451">
        <f>'Recurrentes 24-26'!Y62</f>
        <v>0</v>
      </c>
      <c r="Z60" s="451">
        <f>'Recurrentes 24-26'!Z62</f>
        <v>0</v>
      </c>
      <c r="AA60" s="451">
        <f>'Recurrentes 24-26'!AA62</f>
        <v>0</v>
      </c>
      <c r="AB60" s="451">
        <f>'Recurrentes 24-26'!AB62</f>
        <v>0</v>
      </c>
      <c r="AC60" s="451">
        <f>'Recurrentes 24-26'!AC62</f>
        <v>0</v>
      </c>
      <c r="AD60" s="451">
        <f>'Recurrentes 24-26'!AD62</f>
        <v>0</v>
      </c>
      <c r="AE60" s="451">
        <f>'Recurrentes 24-26'!AE62</f>
        <v>1</v>
      </c>
      <c r="AF60" s="451">
        <f>'Recurrentes 24-26'!AF62</f>
        <v>0</v>
      </c>
      <c r="AG60" s="451">
        <f>'Recurrentes 24-26'!AG62</f>
        <v>0</v>
      </c>
      <c r="AH60" s="451">
        <f>'Recurrentes 24-26'!AH62</f>
        <v>0</v>
      </c>
      <c r="AI60" s="1062">
        <f>'Recurrentes 24-26'!AI62</f>
        <v>1</v>
      </c>
      <c r="AJ60" s="451">
        <f>'Recurrentes 24-26'!AJ62</f>
        <v>0</v>
      </c>
      <c r="AK60" s="451">
        <f>'Recurrentes 24-26'!AK62</f>
        <v>0</v>
      </c>
      <c r="AL60" s="451">
        <f>'Recurrentes 24-26'!AL62</f>
        <v>0</v>
      </c>
      <c r="AM60" s="451">
        <f>'Recurrentes 24-26'!AM62</f>
        <v>0</v>
      </c>
      <c r="AN60" s="451">
        <f>'Recurrentes 24-26'!AN62</f>
        <v>0</v>
      </c>
      <c r="AO60" s="451">
        <f>'Recurrentes 24-26'!AO62</f>
        <v>0</v>
      </c>
      <c r="AP60" s="451">
        <f>'Recurrentes 24-26'!AP62</f>
        <v>0</v>
      </c>
      <c r="AQ60" s="451">
        <f>'Recurrentes 24-26'!AQ62</f>
        <v>1</v>
      </c>
      <c r="AR60" s="451">
        <f>'Recurrentes 24-26'!AR62</f>
        <v>0</v>
      </c>
      <c r="AS60" s="451">
        <f>'Recurrentes 24-26'!AS62</f>
        <v>0</v>
      </c>
      <c r="AT60" s="451">
        <f>'Recurrentes 24-26'!AT62</f>
        <v>0</v>
      </c>
      <c r="AU60" s="1062">
        <f>'Recurrentes 24-26'!AU62</f>
        <v>1</v>
      </c>
      <c r="AV60" s="1063">
        <f>'Recurrentes 24-26'!AV62</f>
        <v>4</v>
      </c>
      <c r="AW60" s="451" t="str">
        <f>'Recurrentes 24-26'!AW62</f>
        <v/>
      </c>
      <c r="AX60" s="1062">
        <f>'Recurrentes 24-26'!AX62</f>
        <v>1078.24</v>
      </c>
      <c r="AY60" s="1062">
        <f>'Recurrentes 24-26'!AY62</f>
        <v>7504.5504</v>
      </c>
      <c r="AZ60" s="1064" t="str">
        <f>'Recurrentes 24-26'!AZ62</f>
        <v/>
      </c>
      <c r="BA60" s="1064">
        <f>'Recurrentes 24-26'!BA62</f>
        <v>0</v>
      </c>
      <c r="BB60" s="1064">
        <f>'Recurrentes 24-26'!BB62</f>
        <v>0</v>
      </c>
      <c r="BC60" s="1064">
        <f>'Recurrentes 24-26'!BC62</f>
        <v>0</v>
      </c>
      <c r="BD60" s="1064">
        <f>'Recurrentes 24-26'!BD62</f>
        <v>0</v>
      </c>
      <c r="BE60" s="1064">
        <f>'Recurrentes 24-26'!BE62</f>
        <v>0</v>
      </c>
      <c r="BF60" s="1064">
        <f>'Recurrentes 24-26'!BF62</f>
        <v>0</v>
      </c>
      <c r="BG60" s="1064">
        <f>'Recurrentes 24-26'!BG62</f>
        <v>0</v>
      </c>
      <c r="BH60" s="1064">
        <f>'Recurrentes 24-26'!BH62</f>
        <v>7504.5504</v>
      </c>
      <c r="BI60" s="1064">
        <f>'Recurrentes 24-26'!BI62</f>
        <v>0</v>
      </c>
      <c r="BJ60" s="1064">
        <f>'Recurrentes 24-26'!BJ62</f>
        <v>7504.5504</v>
      </c>
      <c r="BK60" s="451"/>
      <c r="BL60" s="1062">
        <f>'Recurrentes 24-26'!BK62</f>
        <v>15009.1008</v>
      </c>
      <c r="BM60" s="1064">
        <f>'Recurrentes 24-26'!BL62</f>
        <v>0</v>
      </c>
      <c r="BN60" s="1064">
        <f>'Recurrentes 24-26'!BM62</f>
        <v>0</v>
      </c>
      <c r="BO60" s="1064">
        <f>'Recurrentes 24-26'!BN62</f>
        <v>0</v>
      </c>
      <c r="BP60" s="1064">
        <f>'Recurrentes 24-26'!BO62</f>
        <v>0</v>
      </c>
      <c r="BQ60" s="1064">
        <f>'Recurrentes 24-26'!BP62</f>
        <v>0</v>
      </c>
      <c r="BR60" s="1064">
        <f>'Recurrentes 24-26'!BQ62</f>
        <v>0</v>
      </c>
      <c r="BS60" s="1064">
        <f>'Recurrentes 24-26'!BR62</f>
        <v>0</v>
      </c>
      <c r="BT60" s="1064">
        <f>'Recurrentes 24-26'!BS62</f>
        <v>7504.5504</v>
      </c>
      <c r="BU60" s="1064">
        <f>'Recurrentes 24-26'!BT62</f>
        <v>0</v>
      </c>
      <c r="BV60" s="1064">
        <f>'Recurrentes 24-26'!BU62</f>
        <v>0</v>
      </c>
      <c r="BW60" s="451"/>
      <c r="BX60" s="1062">
        <f>'Recurrentes 24-26'!BV62</f>
        <v>7504.5504</v>
      </c>
      <c r="BY60" s="1064">
        <f>'Recurrentes 24-26'!BW62</f>
        <v>0</v>
      </c>
      <c r="BZ60" s="1064">
        <f>'Recurrentes 24-26'!BX62</f>
        <v>0</v>
      </c>
      <c r="CA60" s="1064">
        <f>'Recurrentes 24-26'!BY62</f>
        <v>0</v>
      </c>
      <c r="CB60" s="1064">
        <f>'Recurrentes 24-26'!BZ62</f>
        <v>0</v>
      </c>
      <c r="CC60" s="1064">
        <f>'Recurrentes 24-26'!CA62</f>
        <v>0</v>
      </c>
      <c r="CD60" s="1064">
        <f>'Recurrentes 24-26'!CB62</f>
        <v>0</v>
      </c>
      <c r="CE60" s="1064">
        <f>'Recurrentes 24-26'!CC62</f>
        <v>0</v>
      </c>
      <c r="CF60" s="1064">
        <f>'Recurrentes 24-26'!CD62</f>
        <v>7504.5504</v>
      </c>
      <c r="CG60" s="1064">
        <f>'Recurrentes 24-26'!CE62</f>
        <v>0</v>
      </c>
      <c r="CH60" s="1064">
        <f>'Recurrentes 24-26'!CF62</f>
        <v>0</v>
      </c>
      <c r="CI60" s="451"/>
      <c r="CJ60" s="1062">
        <f>'Recurrentes 24-26'!CG62</f>
        <v>7504.5504</v>
      </c>
      <c r="CK60" s="1062">
        <f>'Recurrentes 24-26'!CH62</f>
        <v>30018.2016</v>
      </c>
      <c r="CL60" s="451" t="str">
        <f>'Recurrentes 24-26'!CI62</f>
        <v/>
      </c>
      <c r="CM60" s="1064" t="str">
        <f>'Recurrentes 24-26'!CJ62</f>
        <v/>
      </c>
      <c r="CN60" s="451">
        <f>'Recurrentes 24-26'!CK62</f>
        <v>1</v>
      </c>
      <c r="CO60" s="1062">
        <f>'Recurrentes 24-26'!CL62</f>
        <v>1078.24</v>
      </c>
      <c r="CP60" s="451" t="str">
        <f>'Recurrentes 24-26'!CM62</f>
        <v/>
      </c>
    </row>
    <row r="61">
      <c r="A61" s="451" t="str">
        <f>'Recurrentes 24-26'!A63</f>
        <v>Repuestos Electromecánicos recurrentes</v>
      </c>
      <c r="B61" s="451">
        <f>'Recurrentes 24-26'!B63</f>
        <v>2</v>
      </c>
      <c r="C61" s="451" t="str">
        <f>'Recurrentes 24-26'!C63</f>
        <v>Estaciones</v>
      </c>
      <c r="D61" s="451" t="str">
        <f>'Recurrentes 24-26'!D63</f>
        <v>Reacondicionamiento y Cambio de poleas de estacion</v>
      </c>
      <c r="E61" s="451" t="str">
        <f>'Recurrentes 24-26'!E63</f>
        <v>Repuesto Mecánico</v>
      </c>
      <c r="F61" s="451" t="str">
        <f>'Recurrentes 24-26'!F63</f>
        <v>TDB</v>
      </c>
      <c r="G61" s="1025" t="str">
        <f>'Recurrentes 24-26'!G63</f>
        <v>39800</v>
      </c>
      <c r="H61" s="1061" t="str">
        <f>'Recurrentes 24-26'!H63</f>
        <v>2-01-00098</v>
      </c>
      <c r="I61" s="1061" t="str">
        <f>'Recurrentes 24-26'!I63</f>
        <v>10252061</v>
      </c>
      <c r="J61" s="1061" t="str">
        <f>'Recurrentes 24-26'!J63</f>
        <v>TUERCA AUTOFIJ.  INLOC - 8 M24 C.ELEM.DE FIJAC. ~DIN934 GALV.</v>
      </c>
      <c r="K61" s="451" t="str">
        <f>'Recurrentes 24-26'!K63</f>
        <v>Pza</v>
      </c>
      <c r="L61" s="451">
        <f>'Recurrentes 24-26'!L63</f>
        <v>97</v>
      </c>
      <c r="M61" s="451">
        <f>'Recurrentes 24-26'!M63</f>
        <v>91</v>
      </c>
      <c r="N61" s="451">
        <f>'Recurrentes 24-26'!N63</f>
        <v>137</v>
      </c>
      <c r="O61" s="451">
        <f>'Recurrentes 24-26'!O63</f>
        <v>0</v>
      </c>
      <c r="P61" s="451">
        <f>'Recurrentes 24-26'!P63</f>
        <v>54</v>
      </c>
      <c r="Q61" s="451">
        <f>'Recurrentes 24-26'!Q63</f>
        <v>66</v>
      </c>
      <c r="R61" s="451">
        <f>'Recurrentes 24-26'!R63</f>
        <v>91</v>
      </c>
      <c r="S61" s="451">
        <f>'Recurrentes 24-26'!S63</f>
        <v>92</v>
      </c>
      <c r="T61" s="451">
        <f>'Recurrentes 24-26'!T63</f>
        <v>0</v>
      </c>
      <c r="U61" s="451">
        <f>'Recurrentes 24-26'!U63</f>
        <v>103</v>
      </c>
      <c r="V61" s="451">
        <f>'Recurrentes 24-26'!V63</f>
        <v>0</v>
      </c>
      <c r="W61" s="1062">
        <f>'Recurrentes 24-26'!W63</f>
        <v>731</v>
      </c>
      <c r="X61" s="451">
        <f>'Recurrentes 24-26'!X63</f>
        <v>34</v>
      </c>
      <c r="Y61" s="451">
        <f>'Recurrentes 24-26'!Y63</f>
        <v>32</v>
      </c>
      <c r="Z61" s="451">
        <f>'Recurrentes 24-26'!Z63</f>
        <v>48</v>
      </c>
      <c r="AA61" s="451">
        <f>'Recurrentes 24-26'!AA63</f>
        <v>0</v>
      </c>
      <c r="AB61" s="451">
        <f>'Recurrentes 24-26'!AB63</f>
        <v>54</v>
      </c>
      <c r="AC61" s="451">
        <f>'Recurrentes 24-26'!AC63</f>
        <v>66</v>
      </c>
      <c r="AD61" s="451">
        <f>'Recurrentes 24-26'!AD63</f>
        <v>32</v>
      </c>
      <c r="AE61" s="451">
        <f>'Recurrentes 24-26'!AE63</f>
        <v>32</v>
      </c>
      <c r="AF61" s="451">
        <f>'Recurrentes 24-26'!AF63</f>
        <v>0</v>
      </c>
      <c r="AG61" s="451">
        <f>'Recurrentes 24-26'!AG63</f>
        <v>36</v>
      </c>
      <c r="AH61" s="451">
        <f>'Recurrentes 24-26'!AH63</f>
        <v>0</v>
      </c>
      <c r="AI61" s="1062">
        <f>'Recurrentes 24-26'!AI63</f>
        <v>334</v>
      </c>
      <c r="AJ61" s="451">
        <f>'Recurrentes 24-26'!AJ63</f>
        <v>34</v>
      </c>
      <c r="AK61" s="451">
        <f>'Recurrentes 24-26'!AK63</f>
        <v>32</v>
      </c>
      <c r="AL61" s="451">
        <f>'Recurrentes 24-26'!AL63</f>
        <v>48</v>
      </c>
      <c r="AM61" s="451">
        <f>'Recurrentes 24-26'!AM63</f>
        <v>0</v>
      </c>
      <c r="AN61" s="451">
        <f>'Recurrentes 24-26'!AN63</f>
        <v>54</v>
      </c>
      <c r="AO61" s="451">
        <f>'Recurrentes 24-26'!AO63</f>
        <v>66</v>
      </c>
      <c r="AP61" s="451">
        <f>'Recurrentes 24-26'!AP63</f>
        <v>32</v>
      </c>
      <c r="AQ61" s="451">
        <f>'Recurrentes 24-26'!AQ63</f>
        <v>32</v>
      </c>
      <c r="AR61" s="451">
        <f>'Recurrentes 24-26'!AR63</f>
        <v>0</v>
      </c>
      <c r="AS61" s="451">
        <f>'Recurrentes 24-26'!AS63</f>
        <v>36</v>
      </c>
      <c r="AT61" s="451">
        <f>'Recurrentes 24-26'!AT63</f>
        <v>0</v>
      </c>
      <c r="AU61" s="1062">
        <f>'Recurrentes 24-26'!AU63</f>
        <v>334</v>
      </c>
      <c r="AV61" s="1063">
        <f>'Recurrentes 24-26'!AV63</f>
        <v>1399</v>
      </c>
      <c r="AW61" s="451" t="str">
        <f>'Recurrentes 24-26'!AW63</f>
        <v/>
      </c>
      <c r="AX61" s="1062">
        <f>'Recurrentes 24-26'!AX63</f>
        <v>3.08</v>
      </c>
      <c r="AY61" s="1062">
        <f>'Recurrentes 24-26'!AY63</f>
        <v>21.4368</v>
      </c>
      <c r="AZ61" s="1064" t="str">
        <f>'Recurrentes 24-26'!AZ63</f>
        <v/>
      </c>
      <c r="BA61" s="1064">
        <f>'Recurrentes 24-26'!BA63</f>
        <v>2079.3696</v>
      </c>
      <c r="BB61" s="1064">
        <f>'Recurrentes 24-26'!BB63</f>
        <v>1950.7488</v>
      </c>
      <c r="BC61" s="1064">
        <f>'Recurrentes 24-26'!BC63</f>
        <v>2936.8416</v>
      </c>
      <c r="BD61" s="1064">
        <f>'Recurrentes 24-26'!BD63</f>
        <v>0</v>
      </c>
      <c r="BE61" s="1064">
        <f>'Recurrentes 24-26'!BE63</f>
        <v>1157.5872</v>
      </c>
      <c r="BF61" s="1064">
        <f>'Recurrentes 24-26'!BF63</f>
        <v>1414.8288</v>
      </c>
      <c r="BG61" s="1064">
        <f>'Recurrentes 24-26'!BG63</f>
        <v>1950.7488</v>
      </c>
      <c r="BH61" s="1064">
        <f>'Recurrentes 24-26'!BH63</f>
        <v>1972.1856</v>
      </c>
      <c r="BI61" s="1064">
        <f>'Recurrentes 24-26'!BI63</f>
        <v>0</v>
      </c>
      <c r="BJ61" s="1064">
        <f>'Recurrentes 24-26'!BJ63</f>
        <v>2207.9904</v>
      </c>
      <c r="BK61" s="451"/>
      <c r="BL61" s="1062">
        <f>'Recurrentes 24-26'!BK63</f>
        <v>15670.3008</v>
      </c>
      <c r="BM61" s="1064">
        <f>'Recurrentes 24-26'!BL63</f>
        <v>728.8512</v>
      </c>
      <c r="BN61" s="1064">
        <f>'Recurrentes 24-26'!BM63</f>
        <v>685.9776</v>
      </c>
      <c r="BO61" s="1064">
        <f>'Recurrentes 24-26'!BN63</f>
        <v>1028.9664</v>
      </c>
      <c r="BP61" s="1064">
        <f>'Recurrentes 24-26'!BO63</f>
        <v>0</v>
      </c>
      <c r="BQ61" s="1064">
        <f>'Recurrentes 24-26'!BP63</f>
        <v>1157.5872</v>
      </c>
      <c r="BR61" s="1064">
        <f>'Recurrentes 24-26'!BQ63</f>
        <v>1414.8288</v>
      </c>
      <c r="BS61" s="1064">
        <f>'Recurrentes 24-26'!BR63</f>
        <v>685.9776</v>
      </c>
      <c r="BT61" s="1064">
        <f>'Recurrentes 24-26'!BS63</f>
        <v>685.9776</v>
      </c>
      <c r="BU61" s="1064">
        <f>'Recurrentes 24-26'!BT63</f>
        <v>0</v>
      </c>
      <c r="BV61" s="1064">
        <f>'Recurrentes 24-26'!BU63</f>
        <v>771.7248</v>
      </c>
      <c r="BW61" s="451"/>
      <c r="BX61" s="1062">
        <f>'Recurrentes 24-26'!BV63</f>
        <v>7159.8912</v>
      </c>
      <c r="BY61" s="1064">
        <f>'Recurrentes 24-26'!BW63</f>
        <v>728.8512</v>
      </c>
      <c r="BZ61" s="1064">
        <f>'Recurrentes 24-26'!BX63</f>
        <v>685.9776</v>
      </c>
      <c r="CA61" s="1064">
        <f>'Recurrentes 24-26'!BY63</f>
        <v>1028.9664</v>
      </c>
      <c r="CB61" s="1064">
        <f>'Recurrentes 24-26'!BZ63</f>
        <v>0</v>
      </c>
      <c r="CC61" s="1064">
        <f>'Recurrentes 24-26'!CA63</f>
        <v>1157.5872</v>
      </c>
      <c r="CD61" s="1064">
        <f>'Recurrentes 24-26'!CB63</f>
        <v>1414.8288</v>
      </c>
      <c r="CE61" s="1064">
        <f>'Recurrentes 24-26'!CC63</f>
        <v>685.9776</v>
      </c>
      <c r="CF61" s="1064">
        <f>'Recurrentes 24-26'!CD63</f>
        <v>685.9776</v>
      </c>
      <c r="CG61" s="1064">
        <f>'Recurrentes 24-26'!CE63</f>
        <v>0</v>
      </c>
      <c r="CH61" s="1064">
        <f>'Recurrentes 24-26'!CF63</f>
        <v>771.7248</v>
      </c>
      <c r="CI61" s="451"/>
      <c r="CJ61" s="1062">
        <f>'Recurrentes 24-26'!CG63</f>
        <v>7159.8912</v>
      </c>
      <c r="CK61" s="1062">
        <f>'Recurrentes 24-26'!CH63</f>
        <v>29990.0832</v>
      </c>
      <c r="CL61" s="451" t="str">
        <f>'Recurrentes 24-26'!CI63</f>
        <v/>
      </c>
      <c r="CM61" s="1064" t="str">
        <f>'Recurrentes 24-26'!CJ63</f>
        <v/>
      </c>
      <c r="CN61" s="451">
        <f>'Recurrentes 24-26'!CK63</f>
        <v>1</v>
      </c>
      <c r="CO61" s="1062">
        <f>'Recurrentes 24-26'!CL63</f>
        <v>3.08</v>
      </c>
      <c r="CP61" s="451" t="str">
        <f>'Recurrentes 24-26'!CM63</f>
        <v/>
      </c>
    </row>
    <row r="62">
      <c r="A62" s="451" t="str">
        <f>'Recurrentes 24-26'!A64</f>
        <v>Repuestos Electromecánicos recurrentes</v>
      </c>
      <c r="B62" s="451">
        <f>'Recurrentes 24-26'!B64</f>
        <v>2</v>
      </c>
      <c r="C62" s="451" t="str">
        <f>'Recurrentes 24-26'!C64</f>
        <v>Vehículo</v>
      </c>
      <c r="D62" s="451" t="str">
        <f>'Recurrentes 24-26'!D64</f>
        <v>Manto. Pinza</v>
      </c>
      <c r="E62" s="451" t="str">
        <f>'Recurrentes 24-26'!E64</f>
        <v>Repuesto Mecánico</v>
      </c>
      <c r="F62" s="451" t="str">
        <f>'Recurrentes 24-26'!F64</f>
        <v>TDB</v>
      </c>
      <c r="G62" s="1025" t="str">
        <f>'Recurrentes 24-26'!G64</f>
        <v>39800</v>
      </c>
      <c r="H62" s="1061" t="str">
        <f>'Recurrentes 24-26'!H64</f>
        <v>2-01-00284</v>
      </c>
      <c r="I62" s="1061" t="str">
        <f>'Recurrentes 24-26'!I64</f>
        <v>10083923</v>
      </c>
      <c r="J62" s="1061" t="str">
        <f>'Recurrentes 24-26'!J64</f>
        <v>CASQUILLO PM 5040 DS  TIPO: KW SIN AGUJ.DE ENGRASE    GLACIER</v>
      </c>
      <c r="K62" s="451" t="str">
        <f>'Recurrentes 24-26'!K64</f>
        <v>Pza</v>
      </c>
      <c r="L62" s="451">
        <f>'Recurrentes 24-26'!L64</f>
        <v>0</v>
      </c>
      <c r="M62" s="451">
        <f>'Recurrentes 24-26'!M64</f>
        <v>0</v>
      </c>
      <c r="N62" s="451">
        <f>'Recurrentes 24-26'!N64</f>
        <v>0</v>
      </c>
      <c r="O62" s="451">
        <f>'Recurrentes 24-26'!O64</f>
        <v>0</v>
      </c>
      <c r="P62" s="451">
        <f>'Recurrentes 24-26'!P64</f>
        <v>0</v>
      </c>
      <c r="Q62" s="451">
        <f>'Recurrentes 24-26'!Q64</f>
        <v>0</v>
      </c>
      <c r="R62" s="451">
        <f>'Recurrentes 24-26'!R64</f>
        <v>0</v>
      </c>
      <c r="S62" s="451">
        <f>'Recurrentes 24-26'!S64</f>
        <v>0</v>
      </c>
      <c r="T62" s="451">
        <f>'Recurrentes 24-26'!T64</f>
        <v>0</v>
      </c>
      <c r="U62" s="451">
        <f>'Recurrentes 24-26'!U64</f>
        <v>0</v>
      </c>
      <c r="V62" s="451">
        <f>'Recurrentes 24-26'!V64</f>
        <v>0</v>
      </c>
      <c r="W62" s="1062">
        <f>'Recurrentes 24-26'!W64</f>
        <v>0</v>
      </c>
      <c r="X62" s="451">
        <f>'Recurrentes 24-26'!X64</f>
        <v>30</v>
      </c>
      <c r="Y62" s="451">
        <f>'Recurrentes 24-26'!Y64</f>
        <v>18</v>
      </c>
      <c r="Z62" s="451">
        <f>'Recurrentes 24-26'!Z64</f>
        <v>26</v>
      </c>
      <c r="AA62" s="451">
        <f>'Recurrentes 24-26'!AA64</f>
        <v>10</v>
      </c>
      <c r="AB62" s="451">
        <f>'Recurrentes 24-26'!AB64</f>
        <v>25</v>
      </c>
      <c r="AC62" s="451">
        <f>'Recurrentes 24-26'!AC64</f>
        <v>20</v>
      </c>
      <c r="AD62" s="451">
        <f>'Recurrentes 24-26'!AD64</f>
        <v>10</v>
      </c>
      <c r="AE62" s="451">
        <f>'Recurrentes 24-26'!AE64</f>
        <v>10</v>
      </c>
      <c r="AF62" s="451">
        <f>'Recurrentes 24-26'!AF64</f>
        <v>6</v>
      </c>
      <c r="AG62" s="451">
        <f>'Recurrentes 24-26'!AG64</f>
        <v>0</v>
      </c>
      <c r="AH62" s="451">
        <f>'Recurrentes 24-26'!AH64</f>
        <v>0</v>
      </c>
      <c r="AI62" s="1062">
        <f>'Recurrentes 24-26'!AI64</f>
        <v>155</v>
      </c>
      <c r="AJ62" s="451">
        <f>'Recurrentes 24-26'!AJ64</f>
        <v>30</v>
      </c>
      <c r="AK62" s="451">
        <f>'Recurrentes 24-26'!AK64</f>
        <v>18</v>
      </c>
      <c r="AL62" s="451">
        <f>'Recurrentes 24-26'!AL64</f>
        <v>26</v>
      </c>
      <c r="AM62" s="451">
        <f>'Recurrentes 24-26'!AM64</f>
        <v>10</v>
      </c>
      <c r="AN62" s="451">
        <f>'Recurrentes 24-26'!AN64</f>
        <v>25</v>
      </c>
      <c r="AO62" s="451">
        <f>'Recurrentes 24-26'!AO64</f>
        <v>20</v>
      </c>
      <c r="AP62" s="451">
        <f>'Recurrentes 24-26'!AP64</f>
        <v>10</v>
      </c>
      <c r="AQ62" s="451">
        <f>'Recurrentes 24-26'!AQ64</f>
        <v>10</v>
      </c>
      <c r="AR62" s="451">
        <f>'Recurrentes 24-26'!AR64</f>
        <v>6</v>
      </c>
      <c r="AS62" s="451">
        <f>'Recurrentes 24-26'!AS64</f>
        <v>0</v>
      </c>
      <c r="AT62" s="451">
        <f>'Recurrentes 24-26'!AT64</f>
        <v>0</v>
      </c>
      <c r="AU62" s="1062">
        <f>'Recurrentes 24-26'!AU64</f>
        <v>155</v>
      </c>
      <c r="AV62" s="1063">
        <f>'Recurrentes 24-26'!AV64</f>
        <v>310</v>
      </c>
      <c r="AW62" s="451" t="str">
        <f>'Recurrentes 24-26'!AW64</f>
        <v/>
      </c>
      <c r="AX62" s="1062">
        <f>'Recurrentes 24-26'!AX64</f>
        <v>13.42</v>
      </c>
      <c r="AY62" s="1062">
        <f>'Recurrentes 24-26'!AY64</f>
        <v>93.4032</v>
      </c>
      <c r="AZ62" s="1064" t="str">
        <f>'Recurrentes 24-26'!AZ64</f>
        <v/>
      </c>
      <c r="BA62" s="1064">
        <f>'Recurrentes 24-26'!BA64</f>
        <v>0</v>
      </c>
      <c r="BB62" s="1064">
        <f>'Recurrentes 24-26'!BB64</f>
        <v>0</v>
      </c>
      <c r="BC62" s="1064">
        <f>'Recurrentes 24-26'!BC64</f>
        <v>0</v>
      </c>
      <c r="BD62" s="1064">
        <f>'Recurrentes 24-26'!BD64</f>
        <v>0</v>
      </c>
      <c r="BE62" s="1064">
        <f>'Recurrentes 24-26'!BE64</f>
        <v>0</v>
      </c>
      <c r="BF62" s="1064">
        <f>'Recurrentes 24-26'!BF64</f>
        <v>0</v>
      </c>
      <c r="BG62" s="1064">
        <f>'Recurrentes 24-26'!BG64</f>
        <v>0</v>
      </c>
      <c r="BH62" s="1064">
        <f>'Recurrentes 24-26'!BH64</f>
        <v>0</v>
      </c>
      <c r="BI62" s="1064">
        <f>'Recurrentes 24-26'!BI64</f>
        <v>0</v>
      </c>
      <c r="BJ62" s="1064">
        <f>'Recurrentes 24-26'!BJ64</f>
        <v>0</v>
      </c>
      <c r="BK62" s="451"/>
      <c r="BL62" s="1062">
        <f>'Recurrentes 24-26'!BK64</f>
        <v>0</v>
      </c>
      <c r="BM62" s="1064">
        <f>'Recurrentes 24-26'!BL64</f>
        <v>2802.096</v>
      </c>
      <c r="BN62" s="1064">
        <f>'Recurrentes 24-26'!BM64</f>
        <v>1681.2576</v>
      </c>
      <c r="BO62" s="1064">
        <f>'Recurrentes 24-26'!BN64</f>
        <v>2428.4832</v>
      </c>
      <c r="BP62" s="1064">
        <f>'Recurrentes 24-26'!BO64</f>
        <v>934.032</v>
      </c>
      <c r="BQ62" s="1064">
        <f>'Recurrentes 24-26'!BP64</f>
        <v>2335.08</v>
      </c>
      <c r="BR62" s="1064">
        <f>'Recurrentes 24-26'!BQ64</f>
        <v>1868.064</v>
      </c>
      <c r="BS62" s="1064">
        <f>'Recurrentes 24-26'!BR64</f>
        <v>934.032</v>
      </c>
      <c r="BT62" s="1064">
        <f>'Recurrentes 24-26'!BS64</f>
        <v>934.032</v>
      </c>
      <c r="BU62" s="1064">
        <f>'Recurrentes 24-26'!BT64</f>
        <v>560.4192</v>
      </c>
      <c r="BV62" s="1064">
        <f>'Recurrentes 24-26'!BU64</f>
        <v>0</v>
      </c>
      <c r="BW62" s="451"/>
      <c r="BX62" s="1062">
        <f>'Recurrentes 24-26'!BV64</f>
        <v>14477.496</v>
      </c>
      <c r="BY62" s="1064">
        <f>'Recurrentes 24-26'!BW64</f>
        <v>2802.096</v>
      </c>
      <c r="BZ62" s="1064">
        <f>'Recurrentes 24-26'!BX64</f>
        <v>1681.2576</v>
      </c>
      <c r="CA62" s="1064">
        <f>'Recurrentes 24-26'!BY64</f>
        <v>2428.4832</v>
      </c>
      <c r="CB62" s="1064">
        <f>'Recurrentes 24-26'!BZ64</f>
        <v>934.032</v>
      </c>
      <c r="CC62" s="1064">
        <f>'Recurrentes 24-26'!CA64</f>
        <v>2335.08</v>
      </c>
      <c r="CD62" s="1064">
        <f>'Recurrentes 24-26'!CB64</f>
        <v>1868.064</v>
      </c>
      <c r="CE62" s="1064">
        <f>'Recurrentes 24-26'!CC64</f>
        <v>934.032</v>
      </c>
      <c r="CF62" s="1064">
        <f>'Recurrentes 24-26'!CD64</f>
        <v>934.032</v>
      </c>
      <c r="CG62" s="1064">
        <f>'Recurrentes 24-26'!CE64</f>
        <v>560.4192</v>
      </c>
      <c r="CH62" s="1064">
        <f>'Recurrentes 24-26'!CF64</f>
        <v>0</v>
      </c>
      <c r="CI62" s="451"/>
      <c r="CJ62" s="1062">
        <f>'Recurrentes 24-26'!CG64</f>
        <v>14477.496</v>
      </c>
      <c r="CK62" s="1062">
        <f>'Recurrentes 24-26'!CH64</f>
        <v>28954.992</v>
      </c>
      <c r="CL62" s="451" t="str">
        <f>'Recurrentes 24-26'!CI64</f>
        <v/>
      </c>
      <c r="CM62" s="1064" t="str">
        <f>'Recurrentes 24-26'!CJ64</f>
        <v/>
      </c>
      <c r="CN62" s="451">
        <f>'Recurrentes 24-26'!CK64</f>
        <v>1</v>
      </c>
      <c r="CO62" s="1062">
        <f>'Recurrentes 24-26'!CL64</f>
        <v>13.42</v>
      </c>
      <c r="CP62" s="451" t="str">
        <f>'Recurrentes 24-26'!CM64</f>
        <v/>
      </c>
    </row>
    <row r="63">
      <c r="A63" s="451" t="str">
        <f>'Recurrentes 24-26'!A65</f>
        <v>Repuestos Electromecánicos recurrentes</v>
      </c>
      <c r="B63" s="451">
        <f>'Recurrentes 24-26'!B65</f>
        <v>2</v>
      </c>
      <c r="C63" s="451" t="str">
        <f>'Recurrentes 24-26'!C65</f>
        <v>Torres</v>
      </c>
      <c r="D63" s="451" t="str">
        <f>'Recurrentes 24-26'!D65</f>
        <v>Sistema RPD</v>
      </c>
      <c r="E63" s="451" t="str">
        <f>'Recurrentes 24-26'!E65</f>
        <v>Repuesto Eléctrico</v>
      </c>
      <c r="F63" s="451" t="str">
        <f>'Recurrentes 24-26'!F65</f>
        <v>TDB</v>
      </c>
      <c r="G63" s="1025" t="str">
        <f>'Recurrentes 24-26'!G65</f>
        <v>39700</v>
      </c>
      <c r="H63" s="1061" t="str">
        <f>'Recurrentes 24-26'!H65</f>
        <v>2-02-00332</v>
      </c>
      <c r="I63" s="1061" t="str">
        <f>'Recurrentes 24-26'!I65</f>
        <v>10302032</v>
      </c>
      <c r="J63" s="1061" t="str">
        <f>'Recurrentes 24-26'!J65</f>
        <v>CABLE CONEX. RPD 12,0M LDKS AMARILLO C. ENCHUFE INYECTADO Y</v>
      </c>
      <c r="K63" s="451" t="str">
        <f>'Recurrentes 24-26'!K65</f>
        <v>Pza</v>
      </c>
      <c r="L63" s="451">
        <f>'Recurrentes 24-26'!L65</f>
        <v>2</v>
      </c>
      <c r="M63" s="451">
        <f>'Recurrentes 24-26'!M65</f>
        <v>1</v>
      </c>
      <c r="N63" s="451">
        <f>'Recurrentes 24-26'!N65</f>
        <v>2</v>
      </c>
      <c r="O63" s="451">
        <f>'Recurrentes 24-26'!O65</f>
        <v>1</v>
      </c>
      <c r="P63" s="451">
        <f>'Recurrentes 24-26'!P65</f>
        <v>2</v>
      </c>
      <c r="Q63" s="451">
        <f>'Recurrentes 24-26'!Q65</f>
        <v>1</v>
      </c>
      <c r="R63" s="451">
        <f>'Recurrentes 24-26'!R65</f>
        <v>0</v>
      </c>
      <c r="S63" s="451">
        <f>'Recurrentes 24-26'!S65</f>
        <v>0</v>
      </c>
      <c r="T63" s="451">
        <f>'Recurrentes 24-26'!T65</f>
        <v>0</v>
      </c>
      <c r="U63" s="451">
        <f>'Recurrentes 24-26'!U65</f>
        <v>0</v>
      </c>
      <c r="V63" s="451">
        <f>'Recurrentes 24-26'!V65</f>
        <v>0</v>
      </c>
      <c r="W63" s="1062">
        <f>'Recurrentes 24-26'!W65</f>
        <v>9</v>
      </c>
      <c r="X63" s="451">
        <f>'Recurrentes 24-26'!X65</f>
        <v>2</v>
      </c>
      <c r="Y63" s="451">
        <f>'Recurrentes 24-26'!Y65</f>
        <v>1</v>
      </c>
      <c r="Z63" s="451">
        <f>'Recurrentes 24-26'!Z65</f>
        <v>2</v>
      </c>
      <c r="AA63" s="451">
        <f>'Recurrentes 24-26'!AA65</f>
        <v>1</v>
      </c>
      <c r="AB63" s="451">
        <f>'Recurrentes 24-26'!AB65</f>
        <v>2</v>
      </c>
      <c r="AC63" s="451">
        <f>'Recurrentes 24-26'!AC65</f>
        <v>1</v>
      </c>
      <c r="AD63" s="451">
        <f>'Recurrentes 24-26'!AD65</f>
        <v>1</v>
      </c>
      <c r="AE63" s="451">
        <f>'Recurrentes 24-26'!AE65</f>
        <v>0</v>
      </c>
      <c r="AF63" s="451">
        <f>'Recurrentes 24-26'!AF65</f>
        <v>0</v>
      </c>
      <c r="AG63" s="451">
        <f>'Recurrentes 24-26'!AG65</f>
        <v>0</v>
      </c>
      <c r="AH63" s="451">
        <f>'Recurrentes 24-26'!AH65</f>
        <v>0</v>
      </c>
      <c r="AI63" s="1062">
        <f>'Recurrentes 24-26'!AI65</f>
        <v>10</v>
      </c>
      <c r="AJ63" s="451">
        <f>'Recurrentes 24-26'!AJ65</f>
        <v>2</v>
      </c>
      <c r="AK63" s="451">
        <f>'Recurrentes 24-26'!AK65</f>
        <v>1</v>
      </c>
      <c r="AL63" s="451">
        <f>'Recurrentes 24-26'!AL65</f>
        <v>2</v>
      </c>
      <c r="AM63" s="451">
        <f>'Recurrentes 24-26'!AM65</f>
        <v>1</v>
      </c>
      <c r="AN63" s="451">
        <f>'Recurrentes 24-26'!AN65</f>
        <v>2</v>
      </c>
      <c r="AO63" s="451">
        <f>'Recurrentes 24-26'!AO65</f>
        <v>1</v>
      </c>
      <c r="AP63" s="451">
        <f>'Recurrentes 24-26'!AP65</f>
        <v>1</v>
      </c>
      <c r="AQ63" s="451">
        <f>'Recurrentes 24-26'!AQ65</f>
        <v>0</v>
      </c>
      <c r="AR63" s="451">
        <f>'Recurrentes 24-26'!AR65</f>
        <v>0</v>
      </c>
      <c r="AS63" s="451">
        <f>'Recurrentes 24-26'!AS65</f>
        <v>0</v>
      </c>
      <c r="AT63" s="451">
        <f>'Recurrentes 24-26'!AT65</f>
        <v>0</v>
      </c>
      <c r="AU63" s="1062">
        <f>'Recurrentes 24-26'!AU65</f>
        <v>10</v>
      </c>
      <c r="AV63" s="1063">
        <f>'Recurrentes 24-26'!AV65</f>
        <v>29</v>
      </c>
      <c r="AW63" s="451" t="str">
        <f>'Recurrentes 24-26'!AW65</f>
        <v/>
      </c>
      <c r="AX63" s="1062">
        <f>'Recurrentes 24-26'!AX65</f>
        <v>141.79</v>
      </c>
      <c r="AY63" s="1062">
        <f>'Recurrentes 24-26'!AY65</f>
        <v>986.8584</v>
      </c>
      <c r="AZ63" s="1064" t="str">
        <f>'Recurrentes 24-26'!AZ65</f>
        <v/>
      </c>
      <c r="BA63" s="1064">
        <f>'Recurrentes 24-26'!BA65</f>
        <v>1973.7168</v>
      </c>
      <c r="BB63" s="1064">
        <f>'Recurrentes 24-26'!BB65</f>
        <v>986.8584</v>
      </c>
      <c r="BC63" s="1064">
        <f>'Recurrentes 24-26'!BC65</f>
        <v>1973.7168</v>
      </c>
      <c r="BD63" s="1064">
        <f>'Recurrentes 24-26'!BD65</f>
        <v>986.8584</v>
      </c>
      <c r="BE63" s="1064">
        <f>'Recurrentes 24-26'!BE65</f>
        <v>1973.7168</v>
      </c>
      <c r="BF63" s="1064">
        <f>'Recurrentes 24-26'!BF65</f>
        <v>986.8584</v>
      </c>
      <c r="BG63" s="1064">
        <f>'Recurrentes 24-26'!BG65</f>
        <v>0</v>
      </c>
      <c r="BH63" s="1064">
        <f>'Recurrentes 24-26'!BH65</f>
        <v>0</v>
      </c>
      <c r="BI63" s="1064">
        <f>'Recurrentes 24-26'!BI65</f>
        <v>0</v>
      </c>
      <c r="BJ63" s="1064">
        <f>'Recurrentes 24-26'!BJ65</f>
        <v>0</v>
      </c>
      <c r="BK63" s="451"/>
      <c r="BL63" s="1062">
        <f>'Recurrentes 24-26'!BK65</f>
        <v>8881.7256</v>
      </c>
      <c r="BM63" s="1064">
        <f>'Recurrentes 24-26'!BL65</f>
        <v>1973.7168</v>
      </c>
      <c r="BN63" s="1064">
        <f>'Recurrentes 24-26'!BM65</f>
        <v>986.8584</v>
      </c>
      <c r="BO63" s="1064">
        <f>'Recurrentes 24-26'!BN65</f>
        <v>1973.7168</v>
      </c>
      <c r="BP63" s="1064">
        <f>'Recurrentes 24-26'!BO65</f>
        <v>986.8584</v>
      </c>
      <c r="BQ63" s="1064">
        <f>'Recurrentes 24-26'!BP65</f>
        <v>1973.7168</v>
      </c>
      <c r="BR63" s="1064">
        <f>'Recurrentes 24-26'!BQ65</f>
        <v>986.8584</v>
      </c>
      <c r="BS63" s="1064">
        <f>'Recurrentes 24-26'!BR65</f>
        <v>986.8584</v>
      </c>
      <c r="BT63" s="1064">
        <f>'Recurrentes 24-26'!BS65</f>
        <v>0</v>
      </c>
      <c r="BU63" s="1064">
        <f>'Recurrentes 24-26'!BT65</f>
        <v>0</v>
      </c>
      <c r="BV63" s="1064">
        <f>'Recurrentes 24-26'!BU65</f>
        <v>0</v>
      </c>
      <c r="BW63" s="451"/>
      <c r="BX63" s="1062">
        <f>'Recurrentes 24-26'!BV65</f>
        <v>9868.584</v>
      </c>
      <c r="BY63" s="1064">
        <f>'Recurrentes 24-26'!BW65</f>
        <v>1973.7168</v>
      </c>
      <c r="BZ63" s="1064">
        <f>'Recurrentes 24-26'!BX65</f>
        <v>986.8584</v>
      </c>
      <c r="CA63" s="1064">
        <f>'Recurrentes 24-26'!BY65</f>
        <v>1973.7168</v>
      </c>
      <c r="CB63" s="1064">
        <f>'Recurrentes 24-26'!BZ65</f>
        <v>986.8584</v>
      </c>
      <c r="CC63" s="1064">
        <f>'Recurrentes 24-26'!CA65</f>
        <v>1973.7168</v>
      </c>
      <c r="CD63" s="1064">
        <f>'Recurrentes 24-26'!CB65</f>
        <v>986.8584</v>
      </c>
      <c r="CE63" s="1064">
        <f>'Recurrentes 24-26'!CC65</f>
        <v>986.8584</v>
      </c>
      <c r="CF63" s="1064">
        <f>'Recurrentes 24-26'!CD65</f>
        <v>0</v>
      </c>
      <c r="CG63" s="1064">
        <f>'Recurrentes 24-26'!CE65</f>
        <v>0</v>
      </c>
      <c r="CH63" s="1064">
        <f>'Recurrentes 24-26'!CF65</f>
        <v>0</v>
      </c>
      <c r="CI63" s="451"/>
      <c r="CJ63" s="1062">
        <f>'Recurrentes 24-26'!CG65</f>
        <v>9868.584</v>
      </c>
      <c r="CK63" s="1062">
        <f>'Recurrentes 24-26'!CH65</f>
        <v>28618.8936</v>
      </c>
      <c r="CL63" s="451" t="str">
        <f>'Recurrentes 24-26'!CI65</f>
        <v/>
      </c>
      <c r="CM63" s="1064" t="str">
        <f>'Recurrentes 24-26'!CJ65</f>
        <v/>
      </c>
      <c r="CN63" s="451">
        <f>'Recurrentes 24-26'!CK65</f>
        <v>1</v>
      </c>
      <c r="CO63" s="1062">
        <f>'Recurrentes 24-26'!CL65</f>
        <v>141.79</v>
      </c>
      <c r="CP63" s="451" t="str">
        <f>'Recurrentes 24-26'!CM65</f>
        <v/>
      </c>
    </row>
    <row r="64">
      <c r="A64" s="451" t="str">
        <f>'Recurrentes 24-26'!A66</f>
        <v>Repuestos Electromecánicos recurrentes</v>
      </c>
      <c r="B64" s="451">
        <f>'Recurrentes 24-26'!B66</f>
        <v>2</v>
      </c>
      <c r="C64" s="451" t="str">
        <f>'Recurrentes 24-26'!C66</f>
        <v>Torres</v>
      </c>
      <c r="D64" s="451" t="str">
        <f>'Recurrentes 24-26'!D66</f>
        <v>Reacondionamiento y cambio de Poleas de torre</v>
      </c>
      <c r="E64" s="451" t="str">
        <f>'Recurrentes 24-26'!E66</f>
        <v>Repuesto Mecánico</v>
      </c>
      <c r="F64" s="451" t="str">
        <f>'Recurrentes 24-26'!F66</f>
        <v>TDB</v>
      </c>
      <c r="G64" s="1025" t="str">
        <f>'Recurrentes 24-26'!G66</f>
        <v>39800</v>
      </c>
      <c r="H64" s="1061" t="str">
        <f>'Recurrentes 24-26'!H66</f>
        <v>2-01-00098</v>
      </c>
      <c r="I64" s="1061" t="str">
        <f>'Recurrentes 24-26'!I66</f>
        <v>10252061</v>
      </c>
      <c r="J64" s="1061" t="str">
        <f>'Recurrentes 24-26'!J66</f>
        <v>TUERCA AUTOFIJ.  INLOC - 8 M24 C.ELEM.DE FIJAC. ~DIN934 GALV.</v>
      </c>
      <c r="K64" s="451" t="str">
        <f>'Recurrentes 24-26'!K66</f>
        <v>Pza</v>
      </c>
      <c r="L64" s="451">
        <f>'Recurrentes 24-26'!L66</f>
        <v>10</v>
      </c>
      <c r="M64" s="451">
        <f>'Recurrentes 24-26'!M66</f>
        <v>6</v>
      </c>
      <c r="N64" s="451">
        <f>'Recurrentes 24-26'!N66</f>
        <v>10</v>
      </c>
      <c r="O64" s="451">
        <f>'Recurrentes 24-26'!O66</f>
        <v>30</v>
      </c>
      <c r="P64" s="451">
        <f>'Recurrentes 24-26'!P66</f>
        <v>0</v>
      </c>
      <c r="Q64" s="451">
        <f>'Recurrentes 24-26'!Q66</f>
        <v>0</v>
      </c>
      <c r="R64" s="451">
        <f>'Recurrentes 24-26'!R66</f>
        <v>88</v>
      </c>
      <c r="S64" s="451">
        <f>'Recurrentes 24-26'!S66</f>
        <v>130</v>
      </c>
      <c r="T64" s="451">
        <f>'Recurrentes 24-26'!T66</f>
        <v>39</v>
      </c>
      <c r="U64" s="451">
        <f>'Recurrentes 24-26'!U66</f>
        <v>0</v>
      </c>
      <c r="V64" s="451">
        <f>'Recurrentes 24-26'!V66</f>
        <v>0</v>
      </c>
      <c r="W64" s="1062">
        <f>'Recurrentes 24-26'!W66</f>
        <v>313</v>
      </c>
      <c r="X64" s="451">
        <f>'Recurrentes 24-26'!X66</f>
        <v>5</v>
      </c>
      <c r="Y64" s="451">
        <f>'Recurrentes 24-26'!Y66</f>
        <v>3</v>
      </c>
      <c r="Z64" s="451">
        <f>'Recurrentes 24-26'!Z66</f>
        <v>5</v>
      </c>
      <c r="AA64" s="451">
        <f>'Recurrentes 24-26'!AA66</f>
        <v>120</v>
      </c>
      <c r="AB64" s="451">
        <f>'Recurrentes 24-26'!AB66</f>
        <v>70</v>
      </c>
      <c r="AC64" s="451">
        <f>'Recurrentes 24-26'!AC66</f>
        <v>100</v>
      </c>
      <c r="AD64" s="451">
        <f>'Recurrentes 24-26'!AD66</f>
        <v>45</v>
      </c>
      <c r="AE64" s="451">
        <f>'Recurrentes 24-26'!AE66</f>
        <v>66</v>
      </c>
      <c r="AF64" s="451">
        <f>'Recurrentes 24-26'!AF66</f>
        <v>20</v>
      </c>
      <c r="AG64" s="451">
        <f>'Recurrentes 24-26'!AG66</f>
        <v>0</v>
      </c>
      <c r="AH64" s="451">
        <f>'Recurrentes 24-26'!AH66</f>
        <v>0</v>
      </c>
      <c r="AI64" s="1062">
        <f>'Recurrentes 24-26'!AI66</f>
        <v>434</v>
      </c>
      <c r="AJ64" s="451">
        <f>'Recurrentes 24-26'!AJ66</f>
        <v>5</v>
      </c>
      <c r="AK64" s="451">
        <f>'Recurrentes 24-26'!AK66</f>
        <v>3</v>
      </c>
      <c r="AL64" s="451">
        <f>'Recurrentes 24-26'!AL66</f>
        <v>5</v>
      </c>
      <c r="AM64" s="451">
        <f>'Recurrentes 24-26'!AM66</f>
        <v>120</v>
      </c>
      <c r="AN64" s="451">
        <f>'Recurrentes 24-26'!AN66</f>
        <v>70</v>
      </c>
      <c r="AO64" s="451">
        <f>'Recurrentes 24-26'!AO66</f>
        <v>100</v>
      </c>
      <c r="AP64" s="451">
        <f>'Recurrentes 24-26'!AP66</f>
        <v>45</v>
      </c>
      <c r="AQ64" s="451">
        <f>'Recurrentes 24-26'!AQ66</f>
        <v>66</v>
      </c>
      <c r="AR64" s="451">
        <f>'Recurrentes 24-26'!AR66</f>
        <v>20</v>
      </c>
      <c r="AS64" s="451">
        <f>'Recurrentes 24-26'!AS66</f>
        <v>0</v>
      </c>
      <c r="AT64" s="451">
        <f>'Recurrentes 24-26'!AT66</f>
        <v>0</v>
      </c>
      <c r="AU64" s="1062">
        <f>'Recurrentes 24-26'!AU66</f>
        <v>434</v>
      </c>
      <c r="AV64" s="1063">
        <f>'Recurrentes 24-26'!AV66</f>
        <v>1181</v>
      </c>
      <c r="AW64" s="451" t="str">
        <f>'Recurrentes 24-26'!AW66</f>
        <v/>
      </c>
      <c r="AX64" s="1062">
        <f>'Recurrentes 24-26'!AX66</f>
        <v>3.08</v>
      </c>
      <c r="AY64" s="1062">
        <f>'Recurrentes 24-26'!AY66</f>
        <v>21.4368</v>
      </c>
      <c r="AZ64" s="1064" t="str">
        <f>'Recurrentes 24-26'!AZ66</f>
        <v/>
      </c>
      <c r="BA64" s="1064">
        <f>'Recurrentes 24-26'!BA66</f>
        <v>214.368</v>
      </c>
      <c r="BB64" s="1064">
        <f>'Recurrentes 24-26'!BB66</f>
        <v>128.6208</v>
      </c>
      <c r="BC64" s="1064">
        <f>'Recurrentes 24-26'!BC66</f>
        <v>214.368</v>
      </c>
      <c r="BD64" s="1064">
        <f>'Recurrentes 24-26'!BD66</f>
        <v>643.104</v>
      </c>
      <c r="BE64" s="1064">
        <f>'Recurrentes 24-26'!BE66</f>
        <v>0</v>
      </c>
      <c r="BF64" s="1064">
        <f>'Recurrentes 24-26'!BF66</f>
        <v>0</v>
      </c>
      <c r="BG64" s="1064">
        <f>'Recurrentes 24-26'!BG66</f>
        <v>1886.4384</v>
      </c>
      <c r="BH64" s="1064">
        <f>'Recurrentes 24-26'!BH66</f>
        <v>2786.784</v>
      </c>
      <c r="BI64" s="1064">
        <f>'Recurrentes 24-26'!BI66</f>
        <v>836.0352</v>
      </c>
      <c r="BJ64" s="1064">
        <f>'Recurrentes 24-26'!BJ66</f>
        <v>0</v>
      </c>
      <c r="BK64" s="451"/>
      <c r="BL64" s="1062">
        <f>'Recurrentes 24-26'!BK66</f>
        <v>6709.7184</v>
      </c>
      <c r="BM64" s="1064">
        <f>'Recurrentes 24-26'!BL66</f>
        <v>107.184</v>
      </c>
      <c r="BN64" s="1064">
        <f>'Recurrentes 24-26'!BM66</f>
        <v>64.3104</v>
      </c>
      <c r="BO64" s="1064">
        <f>'Recurrentes 24-26'!BN66</f>
        <v>107.184</v>
      </c>
      <c r="BP64" s="1064">
        <f>'Recurrentes 24-26'!BO66</f>
        <v>2572.416</v>
      </c>
      <c r="BQ64" s="1064">
        <f>'Recurrentes 24-26'!BP66</f>
        <v>1500.576</v>
      </c>
      <c r="BR64" s="1064">
        <f>'Recurrentes 24-26'!BQ66</f>
        <v>2143.68</v>
      </c>
      <c r="BS64" s="1064">
        <f>'Recurrentes 24-26'!BR66</f>
        <v>964.656</v>
      </c>
      <c r="BT64" s="1064">
        <f>'Recurrentes 24-26'!BS66</f>
        <v>1414.8288</v>
      </c>
      <c r="BU64" s="1064">
        <f>'Recurrentes 24-26'!BT66</f>
        <v>428.736</v>
      </c>
      <c r="BV64" s="1064">
        <f>'Recurrentes 24-26'!BU66</f>
        <v>0</v>
      </c>
      <c r="BW64" s="451"/>
      <c r="BX64" s="1062">
        <f>'Recurrentes 24-26'!BV66</f>
        <v>9303.5712</v>
      </c>
      <c r="BY64" s="1064">
        <f>'Recurrentes 24-26'!BW66</f>
        <v>107.184</v>
      </c>
      <c r="BZ64" s="1064">
        <f>'Recurrentes 24-26'!BX66</f>
        <v>64.3104</v>
      </c>
      <c r="CA64" s="1064">
        <f>'Recurrentes 24-26'!BY66</f>
        <v>107.184</v>
      </c>
      <c r="CB64" s="1064">
        <f>'Recurrentes 24-26'!BZ66</f>
        <v>2572.416</v>
      </c>
      <c r="CC64" s="1064">
        <f>'Recurrentes 24-26'!CA66</f>
        <v>1500.576</v>
      </c>
      <c r="CD64" s="1064">
        <f>'Recurrentes 24-26'!CB66</f>
        <v>2143.68</v>
      </c>
      <c r="CE64" s="1064">
        <f>'Recurrentes 24-26'!CC66</f>
        <v>964.656</v>
      </c>
      <c r="CF64" s="1064">
        <f>'Recurrentes 24-26'!CD66</f>
        <v>1414.8288</v>
      </c>
      <c r="CG64" s="1064">
        <f>'Recurrentes 24-26'!CE66</f>
        <v>428.736</v>
      </c>
      <c r="CH64" s="1064">
        <f>'Recurrentes 24-26'!CF66</f>
        <v>0</v>
      </c>
      <c r="CI64" s="451"/>
      <c r="CJ64" s="1062">
        <f>'Recurrentes 24-26'!CG66</f>
        <v>9303.5712</v>
      </c>
      <c r="CK64" s="1062">
        <f>'Recurrentes 24-26'!CH66</f>
        <v>25316.8608</v>
      </c>
      <c r="CL64" s="451" t="str">
        <f>'Recurrentes 24-26'!CI66</f>
        <v/>
      </c>
      <c r="CM64" s="1064" t="str">
        <f>'Recurrentes 24-26'!CJ66</f>
        <v/>
      </c>
      <c r="CN64" s="451">
        <f>'Recurrentes 24-26'!CK66</f>
        <v>1</v>
      </c>
      <c r="CO64" s="1062">
        <f>'Recurrentes 24-26'!CL66</f>
        <v>3.08</v>
      </c>
      <c r="CP64" s="451" t="str">
        <f>'Recurrentes 24-26'!CM66</f>
        <v/>
      </c>
    </row>
    <row r="65">
      <c r="A65" s="451" t="str">
        <f>'Recurrentes 24-26'!A67</f>
        <v>Repuestos Electromecánicos recurrentes</v>
      </c>
      <c r="B65" s="451">
        <f>'Recurrentes 24-26'!B67</f>
        <v>2</v>
      </c>
      <c r="C65" s="451" t="str">
        <f>'Recurrentes 24-26'!C67</f>
        <v>Vehículo</v>
      </c>
      <c r="D65" s="451" t="str">
        <f>'Recurrentes 24-26'!D67</f>
        <v>Manto. Pinza</v>
      </c>
      <c r="E65" s="451" t="str">
        <f>'Recurrentes 24-26'!E67</f>
        <v>Repuesto Mecánico</v>
      </c>
      <c r="F65" s="451" t="str">
        <f>'Recurrentes 24-26'!F67</f>
        <v>TDB</v>
      </c>
      <c r="G65" s="1025" t="str">
        <f>'Recurrentes 24-26'!G67</f>
        <v>39800</v>
      </c>
      <c r="H65" s="1061" t="str">
        <f>'Recurrentes 24-26'!H67</f>
        <v>2-01-00018</v>
      </c>
      <c r="I65" s="1061" t="str">
        <f>'Recurrentes 24-26'!I67</f>
        <v>10274054</v>
      </c>
      <c r="J65" s="1061" t="str">
        <f>'Recurrentes 24-26'!J67</f>
        <v>CASQUILLO PM 3240 DS  TIPO: KW AGA, SIN AGUJ.DE ENGR. GLACIER</v>
      </c>
      <c r="K65" s="451" t="str">
        <f>'Recurrentes 24-26'!K67</f>
        <v>Pza</v>
      </c>
      <c r="L65" s="451">
        <f>'Recurrentes 24-26'!L67</f>
        <v>0</v>
      </c>
      <c r="M65" s="451">
        <f>'Recurrentes 24-26'!M67</f>
        <v>0</v>
      </c>
      <c r="N65" s="451">
        <f>'Recurrentes 24-26'!N67</f>
        <v>0</v>
      </c>
      <c r="O65" s="451">
        <f>'Recurrentes 24-26'!O67</f>
        <v>0</v>
      </c>
      <c r="P65" s="451">
        <f>'Recurrentes 24-26'!P67</f>
        <v>25</v>
      </c>
      <c r="Q65" s="451">
        <f>'Recurrentes 24-26'!Q67</f>
        <v>0</v>
      </c>
      <c r="R65" s="451">
        <f>'Recurrentes 24-26'!R67</f>
        <v>0</v>
      </c>
      <c r="S65" s="451">
        <f>'Recurrentes 24-26'!S67</f>
        <v>0</v>
      </c>
      <c r="T65" s="451">
        <f>'Recurrentes 24-26'!T67</f>
        <v>0</v>
      </c>
      <c r="U65" s="451">
        <f>'Recurrentes 24-26'!U67</f>
        <v>0</v>
      </c>
      <c r="V65" s="451">
        <f>'Recurrentes 24-26'!V67</f>
        <v>0</v>
      </c>
      <c r="W65" s="1062">
        <f>'Recurrentes 24-26'!W67</f>
        <v>25</v>
      </c>
      <c r="X65" s="451">
        <f>'Recurrentes 24-26'!X67</f>
        <v>30</v>
      </c>
      <c r="Y65" s="451">
        <f>'Recurrentes 24-26'!Y67</f>
        <v>18</v>
      </c>
      <c r="Z65" s="451">
        <f>'Recurrentes 24-26'!Z67</f>
        <v>26</v>
      </c>
      <c r="AA65" s="451">
        <f>'Recurrentes 24-26'!AA67</f>
        <v>20</v>
      </c>
      <c r="AB65" s="451">
        <f>'Recurrentes 24-26'!AB67</f>
        <v>25</v>
      </c>
      <c r="AC65" s="451">
        <f>'Recurrentes 24-26'!AC67</f>
        <v>20</v>
      </c>
      <c r="AD65" s="451">
        <f>'Recurrentes 24-26'!AD67</f>
        <v>10</v>
      </c>
      <c r="AE65" s="451">
        <f>'Recurrentes 24-26'!AE67</f>
        <v>10</v>
      </c>
      <c r="AF65" s="451">
        <f>'Recurrentes 24-26'!AF67</f>
        <v>6</v>
      </c>
      <c r="AG65" s="451">
        <f>'Recurrentes 24-26'!AG67</f>
        <v>0</v>
      </c>
      <c r="AH65" s="451">
        <f>'Recurrentes 24-26'!AH67</f>
        <v>0</v>
      </c>
      <c r="AI65" s="1062">
        <f>'Recurrentes 24-26'!AI67</f>
        <v>165</v>
      </c>
      <c r="AJ65" s="451">
        <f>'Recurrentes 24-26'!AJ67</f>
        <v>30</v>
      </c>
      <c r="AK65" s="451">
        <f>'Recurrentes 24-26'!AK67</f>
        <v>18</v>
      </c>
      <c r="AL65" s="451">
        <f>'Recurrentes 24-26'!AL67</f>
        <v>26</v>
      </c>
      <c r="AM65" s="451">
        <f>'Recurrentes 24-26'!AM67</f>
        <v>20</v>
      </c>
      <c r="AN65" s="451">
        <f>'Recurrentes 24-26'!AN67</f>
        <v>25</v>
      </c>
      <c r="AO65" s="451">
        <f>'Recurrentes 24-26'!AO67</f>
        <v>20</v>
      </c>
      <c r="AP65" s="451">
        <f>'Recurrentes 24-26'!AP67</f>
        <v>10</v>
      </c>
      <c r="AQ65" s="451">
        <f>'Recurrentes 24-26'!AQ67</f>
        <v>10</v>
      </c>
      <c r="AR65" s="451">
        <f>'Recurrentes 24-26'!AR67</f>
        <v>6</v>
      </c>
      <c r="AS65" s="451">
        <f>'Recurrentes 24-26'!AS67</f>
        <v>0</v>
      </c>
      <c r="AT65" s="451">
        <f>'Recurrentes 24-26'!AT67</f>
        <v>0</v>
      </c>
      <c r="AU65" s="1062">
        <f>'Recurrentes 24-26'!AU67</f>
        <v>165</v>
      </c>
      <c r="AV65" s="1063">
        <f>'Recurrentes 24-26'!AV67</f>
        <v>355</v>
      </c>
      <c r="AW65" s="451" t="str">
        <f>'Recurrentes 24-26'!AW67</f>
        <v/>
      </c>
      <c r="AX65" s="1062">
        <f>'Recurrentes 24-26'!AX67</f>
        <v>10.04</v>
      </c>
      <c r="AY65" s="1062">
        <f>'Recurrentes 24-26'!AY67</f>
        <v>69.8784</v>
      </c>
      <c r="AZ65" s="1064" t="str">
        <f>'Recurrentes 24-26'!AZ67</f>
        <v/>
      </c>
      <c r="BA65" s="1064">
        <f>'Recurrentes 24-26'!BA67</f>
        <v>0</v>
      </c>
      <c r="BB65" s="1064">
        <f>'Recurrentes 24-26'!BB67</f>
        <v>0</v>
      </c>
      <c r="BC65" s="1064">
        <f>'Recurrentes 24-26'!BC67</f>
        <v>0</v>
      </c>
      <c r="BD65" s="1064">
        <f>'Recurrentes 24-26'!BD67</f>
        <v>0</v>
      </c>
      <c r="BE65" s="1064">
        <f>'Recurrentes 24-26'!BE67</f>
        <v>1746.96</v>
      </c>
      <c r="BF65" s="1064">
        <f>'Recurrentes 24-26'!BF67</f>
        <v>0</v>
      </c>
      <c r="BG65" s="1064">
        <f>'Recurrentes 24-26'!BG67</f>
        <v>0</v>
      </c>
      <c r="BH65" s="1064">
        <f>'Recurrentes 24-26'!BH67</f>
        <v>0</v>
      </c>
      <c r="BI65" s="1064">
        <f>'Recurrentes 24-26'!BI67</f>
        <v>0</v>
      </c>
      <c r="BJ65" s="1064">
        <f>'Recurrentes 24-26'!BJ67</f>
        <v>0</v>
      </c>
      <c r="BK65" s="451"/>
      <c r="BL65" s="1062">
        <f>'Recurrentes 24-26'!BK67</f>
        <v>1746.96</v>
      </c>
      <c r="BM65" s="1064">
        <f>'Recurrentes 24-26'!BL67</f>
        <v>2096.352</v>
      </c>
      <c r="BN65" s="1064">
        <f>'Recurrentes 24-26'!BM67</f>
        <v>1257.8112</v>
      </c>
      <c r="BO65" s="1064">
        <f>'Recurrentes 24-26'!BN67</f>
        <v>1816.8384</v>
      </c>
      <c r="BP65" s="1064">
        <f>'Recurrentes 24-26'!BO67</f>
        <v>1397.568</v>
      </c>
      <c r="BQ65" s="1064">
        <f>'Recurrentes 24-26'!BP67</f>
        <v>1746.96</v>
      </c>
      <c r="BR65" s="1064">
        <f>'Recurrentes 24-26'!BQ67</f>
        <v>1397.568</v>
      </c>
      <c r="BS65" s="1064">
        <f>'Recurrentes 24-26'!BR67</f>
        <v>698.784</v>
      </c>
      <c r="BT65" s="1064">
        <f>'Recurrentes 24-26'!BS67</f>
        <v>698.784</v>
      </c>
      <c r="BU65" s="1064">
        <f>'Recurrentes 24-26'!BT67</f>
        <v>419.2704</v>
      </c>
      <c r="BV65" s="1064">
        <f>'Recurrentes 24-26'!BU67</f>
        <v>0</v>
      </c>
      <c r="BW65" s="451"/>
      <c r="BX65" s="1062">
        <f>'Recurrentes 24-26'!BV67</f>
        <v>11529.936</v>
      </c>
      <c r="BY65" s="1064">
        <f>'Recurrentes 24-26'!BW67</f>
        <v>2096.352</v>
      </c>
      <c r="BZ65" s="1064">
        <f>'Recurrentes 24-26'!BX67</f>
        <v>1257.8112</v>
      </c>
      <c r="CA65" s="1064">
        <f>'Recurrentes 24-26'!BY67</f>
        <v>1816.8384</v>
      </c>
      <c r="CB65" s="1064">
        <f>'Recurrentes 24-26'!BZ67</f>
        <v>1397.568</v>
      </c>
      <c r="CC65" s="1064">
        <f>'Recurrentes 24-26'!CA67</f>
        <v>1746.96</v>
      </c>
      <c r="CD65" s="1064">
        <f>'Recurrentes 24-26'!CB67</f>
        <v>1397.568</v>
      </c>
      <c r="CE65" s="1064">
        <f>'Recurrentes 24-26'!CC67</f>
        <v>698.784</v>
      </c>
      <c r="CF65" s="1064">
        <f>'Recurrentes 24-26'!CD67</f>
        <v>698.784</v>
      </c>
      <c r="CG65" s="1064">
        <f>'Recurrentes 24-26'!CE67</f>
        <v>419.2704</v>
      </c>
      <c r="CH65" s="1064">
        <f>'Recurrentes 24-26'!CF67</f>
        <v>0</v>
      </c>
      <c r="CI65" s="451"/>
      <c r="CJ65" s="1062">
        <f>'Recurrentes 24-26'!CG67</f>
        <v>11529.936</v>
      </c>
      <c r="CK65" s="1062">
        <f>'Recurrentes 24-26'!CH67</f>
        <v>24806.832</v>
      </c>
      <c r="CL65" s="451" t="str">
        <f>'Recurrentes 24-26'!CI67</f>
        <v/>
      </c>
      <c r="CM65" s="1064" t="str">
        <f>'Recurrentes 24-26'!CJ67</f>
        <v/>
      </c>
      <c r="CN65" s="451">
        <f>'Recurrentes 24-26'!CK67</f>
        <v>1</v>
      </c>
      <c r="CO65" s="1062">
        <f>'Recurrentes 24-26'!CL67</f>
        <v>10.04</v>
      </c>
      <c r="CP65" s="451" t="str">
        <f>'Recurrentes 24-26'!CM67</f>
        <v/>
      </c>
    </row>
    <row r="66">
      <c r="A66" s="451" t="str">
        <f>'Recurrentes 24-26'!A68</f>
        <v>Repuestos Electromecánicos recurrentes</v>
      </c>
      <c r="B66" s="451">
        <f>'Recurrentes 24-26'!B68</f>
        <v>2</v>
      </c>
      <c r="C66" s="451" t="str">
        <f>'Recurrentes 24-26'!C68</f>
        <v>Estaciones</v>
      </c>
      <c r="D66" s="451" t="str">
        <f>'Recurrentes 24-26'!D68</f>
        <v>Reacondicionamiento y Cambio de poleas de estacion</v>
      </c>
      <c r="E66" s="451" t="str">
        <f>'Recurrentes 24-26'!E68</f>
        <v>Repuesto Mecánico</v>
      </c>
      <c r="F66" s="451" t="str">
        <f>'Recurrentes 24-26'!F68</f>
        <v>TDB</v>
      </c>
      <c r="G66" s="1025" t="str">
        <f>'Recurrentes 24-26'!G68</f>
        <v>39800</v>
      </c>
      <c r="H66" s="1061" t="str">
        <f>'Recurrentes 24-26'!H68</f>
        <v>2-01-01048</v>
      </c>
      <c r="I66" s="1061" t="str">
        <f>'Recurrentes 24-26'!I68</f>
        <v>10919457</v>
      </c>
      <c r="J66" s="1061" t="str">
        <f>'Recurrentes 24-26'!J68</f>
        <v>EJE P. ACC. POR FRICC. L=323,0 UNIG P. BALANCÍN POL.FR. BLK</v>
      </c>
      <c r="K66" s="451" t="str">
        <f>'Recurrentes 24-26'!K68</f>
        <v>Pza</v>
      </c>
      <c r="L66" s="451">
        <f>'Recurrentes 24-26'!L68</f>
        <v>1</v>
      </c>
      <c r="M66" s="451">
        <f>'Recurrentes 24-26'!M68</f>
        <v>0</v>
      </c>
      <c r="N66" s="451">
        <f>'Recurrentes 24-26'!N68</f>
        <v>1</v>
      </c>
      <c r="O66" s="451">
        <f>'Recurrentes 24-26'!O68</f>
        <v>0</v>
      </c>
      <c r="P66" s="451">
        <f>'Recurrentes 24-26'!P68</f>
        <v>0</v>
      </c>
      <c r="Q66" s="451">
        <f>'Recurrentes 24-26'!Q68</f>
        <v>0</v>
      </c>
      <c r="R66" s="451">
        <f>'Recurrentes 24-26'!R68</f>
        <v>0</v>
      </c>
      <c r="S66" s="451">
        <f>'Recurrentes 24-26'!S68</f>
        <v>0</v>
      </c>
      <c r="T66" s="451">
        <f>'Recurrentes 24-26'!T68</f>
        <v>0</v>
      </c>
      <c r="U66" s="451">
        <f>'Recurrentes 24-26'!U68</f>
        <v>1</v>
      </c>
      <c r="V66" s="451">
        <f>'Recurrentes 24-26'!V68</f>
        <v>0</v>
      </c>
      <c r="W66" s="1062">
        <f>'Recurrentes 24-26'!W68</f>
        <v>3</v>
      </c>
      <c r="X66" s="451">
        <f>'Recurrentes 24-26'!X68</f>
        <v>1</v>
      </c>
      <c r="Y66" s="451">
        <f>'Recurrentes 24-26'!Y68</f>
        <v>0</v>
      </c>
      <c r="Z66" s="451">
        <f>'Recurrentes 24-26'!Z68</f>
        <v>1</v>
      </c>
      <c r="AA66" s="451">
        <f>'Recurrentes 24-26'!AA68</f>
        <v>0</v>
      </c>
      <c r="AB66" s="451">
        <f>'Recurrentes 24-26'!AB68</f>
        <v>0</v>
      </c>
      <c r="AC66" s="451">
        <f>'Recurrentes 24-26'!AC68</f>
        <v>0</v>
      </c>
      <c r="AD66" s="451">
        <f>'Recurrentes 24-26'!AD68</f>
        <v>0</v>
      </c>
      <c r="AE66" s="451">
        <f>'Recurrentes 24-26'!AE68</f>
        <v>0</v>
      </c>
      <c r="AF66" s="451">
        <f>'Recurrentes 24-26'!AF68</f>
        <v>0</v>
      </c>
      <c r="AG66" s="451">
        <f>'Recurrentes 24-26'!AG68</f>
        <v>1</v>
      </c>
      <c r="AH66" s="451">
        <f>'Recurrentes 24-26'!AH68</f>
        <v>0</v>
      </c>
      <c r="AI66" s="1062">
        <f>'Recurrentes 24-26'!AI68</f>
        <v>3</v>
      </c>
      <c r="AJ66" s="451">
        <f>'Recurrentes 24-26'!AJ68</f>
        <v>1</v>
      </c>
      <c r="AK66" s="451">
        <f>'Recurrentes 24-26'!AK68</f>
        <v>0</v>
      </c>
      <c r="AL66" s="451">
        <f>'Recurrentes 24-26'!AL68</f>
        <v>1</v>
      </c>
      <c r="AM66" s="451">
        <f>'Recurrentes 24-26'!AM68</f>
        <v>0</v>
      </c>
      <c r="AN66" s="451">
        <f>'Recurrentes 24-26'!AN68</f>
        <v>0</v>
      </c>
      <c r="AO66" s="451">
        <f>'Recurrentes 24-26'!AO68</f>
        <v>0</v>
      </c>
      <c r="AP66" s="451">
        <f>'Recurrentes 24-26'!AP68</f>
        <v>0</v>
      </c>
      <c r="AQ66" s="451">
        <f>'Recurrentes 24-26'!AQ68</f>
        <v>0</v>
      </c>
      <c r="AR66" s="451">
        <f>'Recurrentes 24-26'!AR68</f>
        <v>0</v>
      </c>
      <c r="AS66" s="451">
        <f>'Recurrentes 24-26'!AS68</f>
        <v>1</v>
      </c>
      <c r="AT66" s="451">
        <f>'Recurrentes 24-26'!AT68</f>
        <v>0</v>
      </c>
      <c r="AU66" s="1062">
        <f>'Recurrentes 24-26'!AU68</f>
        <v>3</v>
      </c>
      <c r="AV66" s="1063">
        <f>'Recurrentes 24-26'!AV68</f>
        <v>9</v>
      </c>
      <c r="AW66" s="451" t="str">
        <f>'Recurrentes 24-26'!AW68</f>
        <v/>
      </c>
      <c r="AX66" s="1062">
        <f>'Recurrentes 24-26'!AX68</f>
        <v>384.33</v>
      </c>
      <c r="AY66" s="1062">
        <f>'Recurrentes 24-26'!AY68</f>
        <v>2674.9368</v>
      </c>
      <c r="AZ66" s="1064" t="str">
        <f>'Recurrentes 24-26'!AZ68</f>
        <v/>
      </c>
      <c r="BA66" s="1064">
        <f>'Recurrentes 24-26'!BA68</f>
        <v>2674.9368</v>
      </c>
      <c r="BB66" s="1064">
        <f>'Recurrentes 24-26'!BB68</f>
        <v>0</v>
      </c>
      <c r="BC66" s="1064">
        <f>'Recurrentes 24-26'!BC68</f>
        <v>2674.9368</v>
      </c>
      <c r="BD66" s="1064">
        <f>'Recurrentes 24-26'!BD68</f>
        <v>0</v>
      </c>
      <c r="BE66" s="1064">
        <f>'Recurrentes 24-26'!BE68</f>
        <v>0</v>
      </c>
      <c r="BF66" s="1064">
        <f>'Recurrentes 24-26'!BF68</f>
        <v>0</v>
      </c>
      <c r="BG66" s="1064">
        <f>'Recurrentes 24-26'!BG68</f>
        <v>0</v>
      </c>
      <c r="BH66" s="1064">
        <f>'Recurrentes 24-26'!BH68</f>
        <v>0</v>
      </c>
      <c r="BI66" s="1064">
        <f>'Recurrentes 24-26'!BI68</f>
        <v>0</v>
      </c>
      <c r="BJ66" s="1064">
        <f>'Recurrentes 24-26'!BJ68</f>
        <v>2674.9368</v>
      </c>
      <c r="BK66" s="451"/>
      <c r="BL66" s="1062">
        <f>'Recurrentes 24-26'!BK68</f>
        <v>8024.8104</v>
      </c>
      <c r="BM66" s="1064">
        <f>'Recurrentes 24-26'!BL68</f>
        <v>2674.9368</v>
      </c>
      <c r="BN66" s="1064">
        <f>'Recurrentes 24-26'!BM68</f>
        <v>0</v>
      </c>
      <c r="BO66" s="1064">
        <f>'Recurrentes 24-26'!BN68</f>
        <v>2674.9368</v>
      </c>
      <c r="BP66" s="1064">
        <f>'Recurrentes 24-26'!BO68</f>
        <v>0</v>
      </c>
      <c r="BQ66" s="1064">
        <f>'Recurrentes 24-26'!BP68</f>
        <v>0</v>
      </c>
      <c r="BR66" s="1064">
        <f>'Recurrentes 24-26'!BQ68</f>
        <v>0</v>
      </c>
      <c r="BS66" s="1064">
        <f>'Recurrentes 24-26'!BR68</f>
        <v>0</v>
      </c>
      <c r="BT66" s="1064">
        <f>'Recurrentes 24-26'!BS68</f>
        <v>0</v>
      </c>
      <c r="BU66" s="1064">
        <f>'Recurrentes 24-26'!BT68</f>
        <v>0</v>
      </c>
      <c r="BV66" s="1064">
        <f>'Recurrentes 24-26'!BU68</f>
        <v>2674.9368</v>
      </c>
      <c r="BW66" s="451"/>
      <c r="BX66" s="1062">
        <f>'Recurrentes 24-26'!BV68</f>
        <v>8024.8104</v>
      </c>
      <c r="BY66" s="1064">
        <f>'Recurrentes 24-26'!BW68</f>
        <v>2674.9368</v>
      </c>
      <c r="BZ66" s="1064">
        <f>'Recurrentes 24-26'!BX68</f>
        <v>0</v>
      </c>
      <c r="CA66" s="1064">
        <f>'Recurrentes 24-26'!BY68</f>
        <v>2674.9368</v>
      </c>
      <c r="CB66" s="1064">
        <f>'Recurrentes 24-26'!BZ68</f>
        <v>0</v>
      </c>
      <c r="CC66" s="1064">
        <f>'Recurrentes 24-26'!CA68</f>
        <v>0</v>
      </c>
      <c r="CD66" s="1064">
        <f>'Recurrentes 24-26'!CB68</f>
        <v>0</v>
      </c>
      <c r="CE66" s="1064">
        <f>'Recurrentes 24-26'!CC68</f>
        <v>0</v>
      </c>
      <c r="CF66" s="1064">
        <f>'Recurrentes 24-26'!CD68</f>
        <v>0</v>
      </c>
      <c r="CG66" s="1064">
        <f>'Recurrentes 24-26'!CE68</f>
        <v>0</v>
      </c>
      <c r="CH66" s="1064">
        <f>'Recurrentes 24-26'!CF68</f>
        <v>2674.9368</v>
      </c>
      <c r="CI66" s="451"/>
      <c r="CJ66" s="1062">
        <f>'Recurrentes 24-26'!CG68</f>
        <v>8024.8104</v>
      </c>
      <c r="CK66" s="1062">
        <f>'Recurrentes 24-26'!CH68</f>
        <v>24074.4312</v>
      </c>
      <c r="CL66" s="451" t="str">
        <f>'Recurrentes 24-26'!CI68</f>
        <v/>
      </c>
      <c r="CM66" s="1064" t="str">
        <f>'Recurrentes 24-26'!CJ68</f>
        <v/>
      </c>
      <c r="CN66" s="451">
        <f>'Recurrentes 24-26'!CK68</f>
        <v>1</v>
      </c>
      <c r="CO66" s="1062">
        <f>'Recurrentes 24-26'!CL68</f>
        <v>384.33</v>
      </c>
      <c r="CP66" s="451" t="str">
        <f>'Recurrentes 24-26'!CM68</f>
        <v/>
      </c>
    </row>
    <row r="67">
      <c r="A67" s="451" t="str">
        <f>'Recurrentes 24-26'!A69</f>
        <v/>
      </c>
      <c r="B67" s="451" t="str">
        <f>'Recurrentes 24-26'!B69</f>
        <v/>
      </c>
      <c r="C67" s="451" t="str">
        <f>'Recurrentes 24-26'!C69</f>
        <v/>
      </c>
      <c r="D67" s="451" t="str">
        <f>'Recurrentes 24-26'!D69</f>
        <v/>
      </c>
      <c r="E67" s="451" t="str">
        <f>'Recurrentes 24-26'!E69</f>
        <v/>
      </c>
      <c r="F67" s="451" t="str">
        <f>'Recurrentes 24-26'!F69</f>
        <v/>
      </c>
      <c r="G67" s="1061" t="str">
        <f>'Recurrentes 24-26'!G69</f>
        <v/>
      </c>
      <c r="H67" s="451" t="str">
        <f>'Recurrentes 24-26'!H69</f>
        <v/>
      </c>
      <c r="I67" s="1061" t="str">
        <f>'Recurrentes 24-26'!I69</f>
        <v/>
      </c>
      <c r="J67" s="1061" t="str">
        <f>'Recurrentes 24-26'!J69</f>
        <v/>
      </c>
      <c r="K67" s="451" t="str">
        <f>'Recurrentes 24-26'!K69</f>
        <v/>
      </c>
      <c r="L67" s="451" t="str">
        <f>'Recurrentes 24-26'!L69</f>
        <v/>
      </c>
      <c r="M67" s="451" t="str">
        <f>'Recurrentes 24-26'!M69</f>
        <v/>
      </c>
      <c r="N67" s="451" t="str">
        <f>'Recurrentes 24-26'!N69</f>
        <v/>
      </c>
      <c r="O67" s="451" t="str">
        <f>'Recurrentes 24-26'!O69</f>
        <v/>
      </c>
      <c r="P67" s="451" t="str">
        <f>'Recurrentes 24-26'!P69</f>
        <v/>
      </c>
      <c r="Q67" s="451" t="str">
        <f>'Recurrentes 24-26'!Q69</f>
        <v/>
      </c>
      <c r="R67" s="451" t="str">
        <f>'Recurrentes 24-26'!R69</f>
        <v/>
      </c>
      <c r="S67" s="451" t="str">
        <f>'Recurrentes 24-26'!S69</f>
        <v/>
      </c>
      <c r="T67" s="451" t="str">
        <f>'Recurrentes 24-26'!T69</f>
        <v/>
      </c>
      <c r="U67" s="451" t="str">
        <f>'Recurrentes 24-26'!U69</f>
        <v/>
      </c>
      <c r="V67" s="451" t="str">
        <f>'Recurrentes 24-26'!V69</f>
        <v/>
      </c>
      <c r="W67" s="451" t="str">
        <f>'Recurrentes 24-26'!W69</f>
        <v/>
      </c>
      <c r="X67" s="451" t="str">
        <f>'Recurrentes 24-26'!X69</f>
        <v/>
      </c>
      <c r="Y67" s="451" t="str">
        <f>'Recurrentes 24-26'!Y69</f>
        <v/>
      </c>
      <c r="Z67" s="451" t="str">
        <f>'Recurrentes 24-26'!Z69</f>
        <v/>
      </c>
      <c r="AA67" s="451" t="str">
        <f>'Recurrentes 24-26'!AA69</f>
        <v/>
      </c>
      <c r="AB67" s="451" t="str">
        <f>'Recurrentes 24-26'!AB69</f>
        <v/>
      </c>
      <c r="AC67" s="451" t="str">
        <f>'Recurrentes 24-26'!AC69</f>
        <v/>
      </c>
      <c r="AD67" s="451" t="str">
        <f>'Recurrentes 24-26'!AD69</f>
        <v/>
      </c>
      <c r="AE67" s="451" t="str">
        <f>'Recurrentes 24-26'!AE69</f>
        <v/>
      </c>
      <c r="AF67" s="451" t="str">
        <f>'Recurrentes 24-26'!AF69</f>
        <v/>
      </c>
      <c r="AG67" s="451" t="str">
        <f>'Recurrentes 24-26'!AG69</f>
        <v/>
      </c>
      <c r="AH67" s="451" t="str">
        <f>'Recurrentes 24-26'!AH69</f>
        <v/>
      </c>
      <c r="AI67" s="451" t="str">
        <f>'Recurrentes 24-26'!AI69</f>
        <v/>
      </c>
      <c r="AJ67" s="451" t="str">
        <f>'Recurrentes 24-26'!AJ69</f>
        <v/>
      </c>
      <c r="AK67" s="451" t="str">
        <f>'Recurrentes 24-26'!AK69</f>
        <v/>
      </c>
      <c r="AL67" s="451" t="str">
        <f>'Recurrentes 24-26'!AL69</f>
        <v/>
      </c>
      <c r="AM67" s="451" t="str">
        <f>'Recurrentes 24-26'!AM69</f>
        <v/>
      </c>
      <c r="AN67" s="451" t="str">
        <f>'Recurrentes 24-26'!AN69</f>
        <v/>
      </c>
      <c r="AO67" s="451" t="str">
        <f>'Recurrentes 24-26'!AO69</f>
        <v/>
      </c>
      <c r="AP67" s="451" t="str">
        <f>'Recurrentes 24-26'!AP69</f>
        <v/>
      </c>
      <c r="AQ67" s="451" t="str">
        <f>'Recurrentes 24-26'!AQ69</f>
        <v/>
      </c>
      <c r="AR67" s="451" t="str">
        <f>'Recurrentes 24-26'!AR69</f>
        <v/>
      </c>
      <c r="AS67" s="451" t="str">
        <f>'Recurrentes 24-26'!AS69</f>
        <v/>
      </c>
      <c r="AT67" s="451" t="str">
        <f>'Recurrentes 24-26'!AT69</f>
        <v/>
      </c>
      <c r="AU67" s="451" t="str">
        <f>'Recurrentes 24-26'!AU69</f>
        <v/>
      </c>
      <c r="AV67" s="1063" t="str">
        <f>'Recurrentes 24-26'!AV69</f>
        <v/>
      </c>
      <c r="AW67" s="451" t="str">
        <f>'Recurrentes 24-26'!AW69</f>
        <v/>
      </c>
      <c r="AX67" s="451" t="str">
        <f>'Recurrentes 24-26'!AX69</f>
        <v/>
      </c>
      <c r="AY67" s="451" t="str">
        <f>'Recurrentes 24-26'!AY69</f>
        <v/>
      </c>
      <c r="AZ67" s="1064" t="str">
        <f>'Recurrentes 24-26'!AZ69</f>
        <v/>
      </c>
      <c r="BA67" s="1064" t="str">
        <f>'Recurrentes 24-26'!BA69</f>
        <v/>
      </c>
      <c r="BB67" s="1064" t="str">
        <f>'Recurrentes 24-26'!BB69</f>
        <v/>
      </c>
      <c r="BC67" s="1064" t="str">
        <f>'Recurrentes 24-26'!BC69</f>
        <v/>
      </c>
      <c r="BD67" s="1064" t="str">
        <f>'Recurrentes 24-26'!BD69</f>
        <v/>
      </c>
      <c r="BE67" s="1064" t="str">
        <f>'Recurrentes 24-26'!BE69</f>
        <v/>
      </c>
      <c r="BF67" s="1064" t="str">
        <f>'Recurrentes 24-26'!BF69</f>
        <v/>
      </c>
      <c r="BG67" s="1064" t="str">
        <f>'Recurrentes 24-26'!BG69</f>
        <v/>
      </c>
      <c r="BH67" s="1064" t="str">
        <f>'Recurrentes 24-26'!BH69</f>
        <v/>
      </c>
      <c r="BI67" s="1064" t="str">
        <f>'Recurrentes 24-26'!BI69</f>
        <v/>
      </c>
      <c r="BJ67" s="1064" t="str">
        <f>'Recurrentes 24-26'!BJ69</f>
        <v/>
      </c>
      <c r="BK67" s="451"/>
      <c r="BL67" s="1064" t="str">
        <f>'Recurrentes 24-26'!BK69</f>
        <v/>
      </c>
      <c r="BM67" s="1064" t="str">
        <f>'Recurrentes 24-26'!BL69</f>
        <v/>
      </c>
      <c r="BN67" s="1064" t="str">
        <f>'Recurrentes 24-26'!BM69</f>
        <v/>
      </c>
      <c r="BO67" s="1064" t="str">
        <f>'Recurrentes 24-26'!BN69</f>
        <v/>
      </c>
      <c r="BP67" s="1064" t="str">
        <f>'Recurrentes 24-26'!BO69</f>
        <v/>
      </c>
      <c r="BQ67" s="1064" t="str">
        <f>'Recurrentes 24-26'!BP69</f>
        <v/>
      </c>
      <c r="BR67" s="1064" t="str">
        <f>'Recurrentes 24-26'!BQ69</f>
        <v/>
      </c>
      <c r="BS67" s="1064" t="str">
        <f>'Recurrentes 24-26'!BR69</f>
        <v/>
      </c>
      <c r="BT67" s="1064" t="str">
        <f>'Recurrentes 24-26'!BS69</f>
        <v/>
      </c>
      <c r="BU67" s="1064" t="str">
        <f>'Recurrentes 24-26'!BT69</f>
        <v/>
      </c>
      <c r="BV67" s="1064" t="str">
        <f>'Recurrentes 24-26'!BU69</f>
        <v/>
      </c>
      <c r="BW67" s="451"/>
      <c r="BX67" s="1064" t="str">
        <f>'Recurrentes 24-26'!BV69</f>
        <v/>
      </c>
      <c r="BY67" s="1064" t="str">
        <f>'Recurrentes 24-26'!BW69</f>
        <v/>
      </c>
      <c r="BZ67" s="1064" t="str">
        <f>'Recurrentes 24-26'!BX69</f>
        <v/>
      </c>
      <c r="CA67" s="1064" t="str">
        <f>'Recurrentes 24-26'!BY69</f>
        <v/>
      </c>
      <c r="CB67" s="1064" t="str">
        <f>'Recurrentes 24-26'!BZ69</f>
        <v/>
      </c>
      <c r="CC67" s="1064" t="str">
        <f>'Recurrentes 24-26'!CA69</f>
        <v/>
      </c>
      <c r="CD67" s="1064" t="str">
        <f>'Recurrentes 24-26'!CB69</f>
        <v/>
      </c>
      <c r="CE67" s="1064" t="str">
        <f>'Recurrentes 24-26'!CC69</f>
        <v/>
      </c>
      <c r="CF67" s="1064" t="str">
        <f>'Recurrentes 24-26'!CD69</f>
        <v/>
      </c>
      <c r="CG67" s="1064" t="str">
        <f>'Recurrentes 24-26'!CE69</f>
        <v/>
      </c>
      <c r="CH67" s="1064" t="str">
        <f>'Recurrentes 24-26'!CF69</f>
        <v/>
      </c>
      <c r="CI67" s="451"/>
      <c r="CJ67" s="1064" t="str">
        <f>'Recurrentes 24-26'!CG69</f>
        <v/>
      </c>
      <c r="CK67" s="1064" t="str">
        <f>'Recurrentes 24-26'!CH69</f>
        <v/>
      </c>
      <c r="CL67" s="451" t="str">
        <f>'Recurrentes 24-26'!CI69</f>
        <v/>
      </c>
      <c r="CM67" s="1064" t="str">
        <f>'Recurrentes 24-26'!CJ69</f>
        <v/>
      </c>
      <c r="CN67" s="451" t="str">
        <f>'Recurrentes 24-26'!CK69</f>
        <v/>
      </c>
      <c r="CO67" s="451" t="str">
        <f>'Recurrentes 24-26'!CL69</f>
        <v/>
      </c>
      <c r="CP67" s="451" t="str">
        <f>'Recurrentes 24-26'!CM69</f>
        <v/>
      </c>
    </row>
    <row r="68">
      <c r="A68" s="451" t="str">
        <f>'Recurrentes 24-26'!A70</f>
        <v>Repuestos Electromecánicos recurrentes</v>
      </c>
      <c r="B68" s="451">
        <f>'Recurrentes 24-26'!B70</f>
        <v>2</v>
      </c>
      <c r="C68" s="451" t="str">
        <f>'Recurrentes 24-26'!C70</f>
        <v>Torres</v>
      </c>
      <c r="D68" s="451" t="str">
        <f>'Recurrentes 24-26'!D70</f>
        <v>Reacondionamiento y cambio de Poleas de torre</v>
      </c>
      <c r="E68" s="451" t="str">
        <f>'Recurrentes 24-26'!E70</f>
        <v>Repuesto Mecánico</v>
      </c>
      <c r="F68" s="451" t="str">
        <f>'Recurrentes 24-26'!F70</f>
        <v>TDB</v>
      </c>
      <c r="G68" s="1025" t="str">
        <f>'Recurrentes 24-26'!G70</f>
        <v>39800</v>
      </c>
      <c r="H68" s="1061" t="str">
        <f>'Recurrentes 24-26'!H70</f>
        <v>2-01-00050</v>
      </c>
      <c r="I68" s="1061" t="str">
        <f>'Recurrentes 24-26'!I70</f>
        <v>10796747</v>
      </c>
      <c r="J68" s="1061" t="str">
        <f>'Recurrentes 24-26'!J70</f>
        <v>TUERCA AUTOFIJ.  INLOC - 8 M20 C.ELEM.DE FIJAC. ~DIN934 GALV.</v>
      </c>
      <c r="K68" s="451" t="str">
        <f>'Recurrentes 24-26'!K70</f>
        <v>Pza</v>
      </c>
      <c r="L68" s="451">
        <f>'Recurrentes 24-26'!L70</f>
        <v>4</v>
      </c>
      <c r="M68" s="451">
        <f>'Recurrentes 24-26'!M70</f>
        <v>3</v>
      </c>
      <c r="N68" s="451">
        <f>'Recurrentes 24-26'!N70</f>
        <v>4</v>
      </c>
      <c r="O68" s="451">
        <f>'Recurrentes 24-26'!O70</f>
        <v>71</v>
      </c>
      <c r="P68" s="451">
        <f>'Recurrentes 24-26'!P70</f>
        <v>85</v>
      </c>
      <c r="Q68" s="451">
        <f>'Recurrentes 24-26'!Q70</f>
        <v>122</v>
      </c>
      <c r="R68" s="451">
        <f>'Recurrentes 24-26'!R70</f>
        <v>90</v>
      </c>
      <c r="S68" s="451">
        <f>'Recurrentes 24-26'!S70</f>
        <v>108</v>
      </c>
      <c r="T68" s="451">
        <f>'Recurrentes 24-26'!T70</f>
        <v>28</v>
      </c>
      <c r="U68" s="451">
        <f>'Recurrentes 24-26'!U70</f>
        <v>72</v>
      </c>
      <c r="V68" s="451">
        <f>'Recurrentes 24-26'!V70</f>
        <v>0</v>
      </c>
      <c r="W68" s="1062">
        <f>'Recurrentes 24-26'!W70</f>
        <v>587</v>
      </c>
      <c r="X68" s="451">
        <f>'Recurrentes 24-26'!X70</f>
        <v>3</v>
      </c>
      <c r="Y68" s="451">
        <f>'Recurrentes 24-26'!Y70</f>
        <v>2</v>
      </c>
      <c r="Z68" s="451">
        <f>'Recurrentes 24-26'!Z70</f>
        <v>3</v>
      </c>
      <c r="AA68" s="451">
        <f>'Recurrentes 24-26'!AA70</f>
        <v>50</v>
      </c>
      <c r="AB68" s="451">
        <f>'Recurrentes 24-26'!AB70</f>
        <v>60</v>
      </c>
      <c r="AC68" s="451">
        <f>'Recurrentes 24-26'!AC70</f>
        <v>85</v>
      </c>
      <c r="AD68" s="451">
        <f>'Recurrentes 24-26'!AD70</f>
        <v>63</v>
      </c>
      <c r="AE68" s="451">
        <f>'Recurrentes 24-26'!AE70</f>
        <v>76</v>
      </c>
      <c r="AF68" s="451">
        <f>'Recurrentes 24-26'!AF70</f>
        <v>20</v>
      </c>
      <c r="AG68" s="451">
        <f>'Recurrentes 24-26'!AG70</f>
        <v>50</v>
      </c>
      <c r="AH68" s="451">
        <f>'Recurrentes 24-26'!AH70</f>
        <v>0</v>
      </c>
      <c r="AI68" s="1062">
        <f>'Recurrentes 24-26'!AI70</f>
        <v>412</v>
      </c>
      <c r="AJ68" s="451">
        <f>'Recurrentes 24-26'!AJ70</f>
        <v>3</v>
      </c>
      <c r="AK68" s="451">
        <f>'Recurrentes 24-26'!AK70</f>
        <v>2</v>
      </c>
      <c r="AL68" s="451">
        <f>'Recurrentes 24-26'!AL70</f>
        <v>3</v>
      </c>
      <c r="AM68" s="451">
        <f>'Recurrentes 24-26'!AM70</f>
        <v>50</v>
      </c>
      <c r="AN68" s="451">
        <f>'Recurrentes 24-26'!AN70</f>
        <v>60</v>
      </c>
      <c r="AO68" s="451">
        <f>'Recurrentes 24-26'!AO70</f>
        <v>85</v>
      </c>
      <c r="AP68" s="451">
        <f>'Recurrentes 24-26'!AP70</f>
        <v>63</v>
      </c>
      <c r="AQ68" s="451">
        <f>'Recurrentes 24-26'!AQ70</f>
        <v>76</v>
      </c>
      <c r="AR68" s="451">
        <f>'Recurrentes 24-26'!AR70</f>
        <v>20</v>
      </c>
      <c r="AS68" s="451">
        <f>'Recurrentes 24-26'!AS70</f>
        <v>50</v>
      </c>
      <c r="AT68" s="451">
        <f>'Recurrentes 24-26'!AT70</f>
        <v>0</v>
      </c>
      <c r="AU68" s="1062">
        <f>'Recurrentes 24-26'!AU70</f>
        <v>412</v>
      </c>
      <c r="AV68" s="1063">
        <f>'Recurrentes 24-26'!AV70</f>
        <v>1411</v>
      </c>
      <c r="AW68" s="451" t="str">
        <f>'Recurrentes 24-26'!AW70</f>
        <v/>
      </c>
      <c r="AX68" s="1062">
        <f>'Recurrentes 24-26'!AX70</f>
        <v>2.42</v>
      </c>
      <c r="AY68" s="1062">
        <f>'Recurrentes 24-26'!AY70</f>
        <v>16.8432</v>
      </c>
      <c r="AZ68" s="1064" t="str">
        <f>'Recurrentes 24-26'!AZ70</f>
        <v/>
      </c>
      <c r="BA68" s="1064">
        <f>'Recurrentes 24-26'!BA70</f>
        <v>67.3728</v>
      </c>
      <c r="BB68" s="1064">
        <f>'Recurrentes 24-26'!BB70</f>
        <v>50.5296</v>
      </c>
      <c r="BC68" s="1064">
        <f>'Recurrentes 24-26'!BC70</f>
        <v>67.3728</v>
      </c>
      <c r="BD68" s="1064">
        <f>'Recurrentes 24-26'!BD70</f>
        <v>1195.8672</v>
      </c>
      <c r="BE68" s="1064">
        <f>'Recurrentes 24-26'!BE70</f>
        <v>1431.672</v>
      </c>
      <c r="BF68" s="1064">
        <f>'Recurrentes 24-26'!BF70</f>
        <v>2054.8704</v>
      </c>
      <c r="BG68" s="1064">
        <f>'Recurrentes 24-26'!BG70</f>
        <v>1515.888</v>
      </c>
      <c r="BH68" s="1064">
        <f>'Recurrentes 24-26'!BH70</f>
        <v>1819.0656</v>
      </c>
      <c r="BI68" s="1064">
        <f>'Recurrentes 24-26'!BI70</f>
        <v>471.6096</v>
      </c>
      <c r="BJ68" s="1064">
        <f>'Recurrentes 24-26'!BJ70</f>
        <v>1212.7104</v>
      </c>
      <c r="BK68" s="451"/>
      <c r="BL68" s="1062">
        <f>'Recurrentes 24-26'!BK70</f>
        <v>9886.9584</v>
      </c>
      <c r="BM68" s="1064">
        <f>'Recurrentes 24-26'!BL70</f>
        <v>50.5296</v>
      </c>
      <c r="BN68" s="1064">
        <f>'Recurrentes 24-26'!BM70</f>
        <v>33.6864</v>
      </c>
      <c r="BO68" s="1064">
        <f>'Recurrentes 24-26'!BN70</f>
        <v>50.5296</v>
      </c>
      <c r="BP68" s="1064">
        <f>'Recurrentes 24-26'!BO70</f>
        <v>842.16</v>
      </c>
      <c r="BQ68" s="1064">
        <f>'Recurrentes 24-26'!BP70</f>
        <v>1010.592</v>
      </c>
      <c r="BR68" s="1064">
        <f>'Recurrentes 24-26'!BQ70</f>
        <v>1431.672</v>
      </c>
      <c r="BS68" s="1064">
        <f>'Recurrentes 24-26'!BR70</f>
        <v>1061.1216</v>
      </c>
      <c r="BT68" s="1064">
        <f>'Recurrentes 24-26'!BS70</f>
        <v>1280.0832</v>
      </c>
      <c r="BU68" s="1064">
        <f>'Recurrentes 24-26'!BT70</f>
        <v>336.864</v>
      </c>
      <c r="BV68" s="1064">
        <f>'Recurrentes 24-26'!BU70</f>
        <v>842.16</v>
      </c>
      <c r="BW68" s="451"/>
      <c r="BX68" s="1062">
        <f>'Recurrentes 24-26'!BV70</f>
        <v>6939.3984</v>
      </c>
      <c r="BY68" s="1064">
        <f>'Recurrentes 24-26'!BW70</f>
        <v>50.5296</v>
      </c>
      <c r="BZ68" s="1064">
        <f>'Recurrentes 24-26'!BX70</f>
        <v>33.6864</v>
      </c>
      <c r="CA68" s="1064">
        <f>'Recurrentes 24-26'!BY70</f>
        <v>50.5296</v>
      </c>
      <c r="CB68" s="1064">
        <f>'Recurrentes 24-26'!BZ70</f>
        <v>842.16</v>
      </c>
      <c r="CC68" s="1064">
        <f>'Recurrentes 24-26'!CA70</f>
        <v>1010.592</v>
      </c>
      <c r="CD68" s="1064">
        <f>'Recurrentes 24-26'!CB70</f>
        <v>1431.672</v>
      </c>
      <c r="CE68" s="1064">
        <f>'Recurrentes 24-26'!CC70</f>
        <v>1061.1216</v>
      </c>
      <c r="CF68" s="1064">
        <f>'Recurrentes 24-26'!CD70</f>
        <v>1280.0832</v>
      </c>
      <c r="CG68" s="1064">
        <f>'Recurrentes 24-26'!CE70</f>
        <v>336.864</v>
      </c>
      <c r="CH68" s="1064">
        <f>'Recurrentes 24-26'!CF70</f>
        <v>842.16</v>
      </c>
      <c r="CI68" s="451"/>
      <c r="CJ68" s="1062">
        <f>'Recurrentes 24-26'!CG70</f>
        <v>6939.3984</v>
      </c>
      <c r="CK68" s="1062">
        <f>'Recurrentes 24-26'!CH70</f>
        <v>23765.7552</v>
      </c>
      <c r="CL68" s="451" t="str">
        <f>'Recurrentes 24-26'!CI70</f>
        <v/>
      </c>
      <c r="CM68" s="1064" t="str">
        <f>'Recurrentes 24-26'!CJ70</f>
        <v/>
      </c>
      <c r="CN68" s="451">
        <f>'Recurrentes 24-26'!CK70</f>
        <v>1</v>
      </c>
      <c r="CO68" s="1062">
        <f>'Recurrentes 24-26'!CL70</f>
        <v>2.42</v>
      </c>
      <c r="CP68" s="451" t="str">
        <f>'Recurrentes 24-26'!CM70</f>
        <v/>
      </c>
    </row>
    <row r="69">
      <c r="A69" s="451" t="str">
        <f>'Recurrentes 24-26'!A71</f>
        <v>Repuestos Electromecánicos recurrentes</v>
      </c>
      <c r="B69" s="451">
        <f>'Recurrentes 24-26'!B71</f>
        <v>2</v>
      </c>
      <c r="C69" s="451" t="str">
        <f>'Recurrentes 24-26'!C71</f>
        <v>Estaciones</v>
      </c>
      <c r="D69" s="451" t="str">
        <f>'Recurrentes 24-26'!D71</f>
        <v>Cambio Correas</v>
      </c>
      <c r="E69" s="451" t="str">
        <f>'Recurrentes 24-26'!E71</f>
        <v>Repuesto Mecánico</v>
      </c>
      <c r="F69" s="451" t="str">
        <f>'Recurrentes 24-26'!F71</f>
        <v>TDB</v>
      </c>
      <c r="G69" s="1025" t="str">
        <f>'Recurrentes 24-26'!G71</f>
        <v>39800</v>
      </c>
      <c r="H69" s="1061" t="str">
        <f>'Recurrentes 24-26'!H71</f>
        <v>2-01-00001</v>
      </c>
      <c r="I69" s="1061" t="str">
        <f>'Recurrentes 24-26'!I71</f>
        <v>10241558</v>
      </c>
      <c r="J69" s="1061" t="str">
        <f>'Recurrentes 24-26'!J71</f>
        <v>CORREA TRAP.XPB     LW=1500 MM DIN 7753-1</v>
      </c>
      <c r="K69" s="451" t="str">
        <f>'Recurrentes 24-26'!K71</f>
        <v>Pza</v>
      </c>
      <c r="L69" s="451">
        <f>'Recurrentes 24-26'!L71</f>
        <v>0</v>
      </c>
      <c r="M69" s="451">
        <f>'Recurrentes 24-26'!M71</f>
        <v>0</v>
      </c>
      <c r="N69" s="451">
        <f>'Recurrentes 24-26'!N71</f>
        <v>0</v>
      </c>
      <c r="O69" s="451">
        <f>'Recurrentes 24-26'!O71</f>
        <v>0</v>
      </c>
      <c r="P69" s="451">
        <f>'Recurrentes 24-26'!P71</f>
        <v>0</v>
      </c>
      <c r="Q69" s="451">
        <f>'Recurrentes 24-26'!Q71</f>
        <v>0</v>
      </c>
      <c r="R69" s="451">
        <f>'Recurrentes 24-26'!R71</f>
        <v>0</v>
      </c>
      <c r="S69" s="451">
        <f>'Recurrentes 24-26'!S71</f>
        <v>0</v>
      </c>
      <c r="T69" s="451">
        <f>'Recurrentes 24-26'!T71</f>
        <v>0</v>
      </c>
      <c r="U69" s="451">
        <f>'Recurrentes 24-26'!U71</f>
        <v>0</v>
      </c>
      <c r="V69" s="451">
        <f>'Recurrentes 24-26'!V71</f>
        <v>0</v>
      </c>
      <c r="W69" s="1062">
        <f>'Recurrentes 24-26'!W71</f>
        <v>0</v>
      </c>
      <c r="X69" s="451">
        <f>'Recurrentes 24-26'!X71</f>
        <v>0</v>
      </c>
      <c r="Y69" s="451">
        <f>'Recurrentes 24-26'!Y71</f>
        <v>0</v>
      </c>
      <c r="Z69" s="451">
        <f>'Recurrentes 24-26'!Z71</f>
        <v>0</v>
      </c>
      <c r="AA69" s="451">
        <f>'Recurrentes 24-26'!AA71</f>
        <v>0</v>
      </c>
      <c r="AB69" s="451">
        <f>'Recurrentes 24-26'!AB71</f>
        <v>0</v>
      </c>
      <c r="AC69" s="451">
        <f>'Recurrentes 24-26'!AC71</f>
        <v>0</v>
      </c>
      <c r="AD69" s="451">
        <f>'Recurrentes 24-26'!AD71</f>
        <v>0</v>
      </c>
      <c r="AE69" s="451">
        <f>'Recurrentes 24-26'!AE71</f>
        <v>5</v>
      </c>
      <c r="AF69" s="451">
        <f>'Recurrentes 24-26'!AF71</f>
        <v>0</v>
      </c>
      <c r="AG69" s="451">
        <f>'Recurrentes 24-26'!AG71</f>
        <v>10</v>
      </c>
      <c r="AH69" s="451">
        <f>'Recurrentes 24-26'!AH71</f>
        <v>0</v>
      </c>
      <c r="AI69" s="1062">
        <f>'Recurrentes 24-26'!AI71</f>
        <v>15</v>
      </c>
      <c r="AJ69" s="451">
        <f>'Recurrentes 24-26'!AJ71</f>
        <v>0</v>
      </c>
      <c r="AK69" s="451">
        <f>'Recurrentes 24-26'!AK71</f>
        <v>0</v>
      </c>
      <c r="AL69" s="451">
        <f>'Recurrentes 24-26'!AL71</f>
        <v>0</v>
      </c>
      <c r="AM69" s="451">
        <f>'Recurrentes 24-26'!AM71</f>
        <v>0</v>
      </c>
      <c r="AN69" s="451">
        <f>'Recurrentes 24-26'!AN71</f>
        <v>0</v>
      </c>
      <c r="AO69" s="451">
        <f>'Recurrentes 24-26'!AO71</f>
        <v>0</v>
      </c>
      <c r="AP69" s="451">
        <f>'Recurrentes 24-26'!AP71</f>
        <v>10</v>
      </c>
      <c r="AQ69" s="451">
        <f>'Recurrentes 24-26'!AQ71</f>
        <v>5</v>
      </c>
      <c r="AR69" s="451">
        <f>'Recurrentes 24-26'!AR71</f>
        <v>0</v>
      </c>
      <c r="AS69" s="451">
        <f>'Recurrentes 24-26'!AS71</f>
        <v>10</v>
      </c>
      <c r="AT69" s="451">
        <f>'Recurrentes 24-26'!AT71</f>
        <v>0</v>
      </c>
      <c r="AU69" s="1062">
        <f>'Recurrentes 24-26'!AU71</f>
        <v>25</v>
      </c>
      <c r="AV69" s="1063">
        <f>'Recurrentes 24-26'!AV71</f>
        <v>40</v>
      </c>
      <c r="AW69" s="451" t="str">
        <f>'Recurrentes 24-26'!AW71</f>
        <v/>
      </c>
      <c r="AX69" s="1062">
        <f>'Recurrentes 24-26'!AX71</f>
        <v>83.87</v>
      </c>
      <c r="AY69" s="1062">
        <f>'Recurrentes 24-26'!AY71</f>
        <v>583.7352</v>
      </c>
      <c r="AZ69" s="1064" t="str">
        <f>'Recurrentes 24-26'!AZ71</f>
        <v/>
      </c>
      <c r="BA69" s="1064">
        <f>'Recurrentes 24-26'!BA71</f>
        <v>0</v>
      </c>
      <c r="BB69" s="1064">
        <f>'Recurrentes 24-26'!BB71</f>
        <v>0</v>
      </c>
      <c r="BC69" s="1064">
        <f>'Recurrentes 24-26'!BC71</f>
        <v>0</v>
      </c>
      <c r="BD69" s="1064">
        <f>'Recurrentes 24-26'!BD71</f>
        <v>0</v>
      </c>
      <c r="BE69" s="1064">
        <f>'Recurrentes 24-26'!BE71</f>
        <v>0</v>
      </c>
      <c r="BF69" s="1064">
        <f>'Recurrentes 24-26'!BF71</f>
        <v>0</v>
      </c>
      <c r="BG69" s="1064">
        <f>'Recurrentes 24-26'!BG71</f>
        <v>0</v>
      </c>
      <c r="BH69" s="1064">
        <f>'Recurrentes 24-26'!BH71</f>
        <v>0</v>
      </c>
      <c r="BI69" s="1064">
        <f>'Recurrentes 24-26'!BI71</f>
        <v>0</v>
      </c>
      <c r="BJ69" s="1064">
        <f>'Recurrentes 24-26'!BJ71</f>
        <v>0</v>
      </c>
      <c r="BK69" s="451"/>
      <c r="BL69" s="1062">
        <f>'Recurrentes 24-26'!BK71</f>
        <v>0</v>
      </c>
      <c r="BM69" s="1064">
        <f>'Recurrentes 24-26'!BL71</f>
        <v>0</v>
      </c>
      <c r="BN69" s="1064">
        <f>'Recurrentes 24-26'!BM71</f>
        <v>0</v>
      </c>
      <c r="BO69" s="1064">
        <f>'Recurrentes 24-26'!BN71</f>
        <v>0</v>
      </c>
      <c r="BP69" s="1064">
        <f>'Recurrentes 24-26'!BO71</f>
        <v>0</v>
      </c>
      <c r="BQ69" s="1064">
        <f>'Recurrentes 24-26'!BP71</f>
        <v>0</v>
      </c>
      <c r="BR69" s="1064">
        <f>'Recurrentes 24-26'!BQ71</f>
        <v>0</v>
      </c>
      <c r="BS69" s="1064">
        <f>'Recurrentes 24-26'!BR71</f>
        <v>0</v>
      </c>
      <c r="BT69" s="1064">
        <f>'Recurrentes 24-26'!BS71</f>
        <v>2918.676</v>
      </c>
      <c r="BU69" s="1064">
        <f>'Recurrentes 24-26'!BT71</f>
        <v>0</v>
      </c>
      <c r="BV69" s="1064">
        <f>'Recurrentes 24-26'!BU71</f>
        <v>5837.352</v>
      </c>
      <c r="BW69" s="451"/>
      <c r="BX69" s="1062">
        <f>'Recurrentes 24-26'!BV71</f>
        <v>8756.028</v>
      </c>
      <c r="BY69" s="1064">
        <f>'Recurrentes 24-26'!BW71</f>
        <v>0</v>
      </c>
      <c r="BZ69" s="1064">
        <f>'Recurrentes 24-26'!BX71</f>
        <v>0</v>
      </c>
      <c r="CA69" s="1064">
        <f>'Recurrentes 24-26'!BY71</f>
        <v>0</v>
      </c>
      <c r="CB69" s="1064">
        <f>'Recurrentes 24-26'!BZ71</f>
        <v>0</v>
      </c>
      <c r="CC69" s="1064">
        <f>'Recurrentes 24-26'!CA71</f>
        <v>0</v>
      </c>
      <c r="CD69" s="1064">
        <f>'Recurrentes 24-26'!CB71</f>
        <v>0</v>
      </c>
      <c r="CE69" s="1064">
        <f>'Recurrentes 24-26'!CC71</f>
        <v>5837.352</v>
      </c>
      <c r="CF69" s="1064">
        <f>'Recurrentes 24-26'!CD71</f>
        <v>2918.676</v>
      </c>
      <c r="CG69" s="1064">
        <f>'Recurrentes 24-26'!CE71</f>
        <v>0</v>
      </c>
      <c r="CH69" s="1064">
        <f>'Recurrentes 24-26'!CF71</f>
        <v>5837.352</v>
      </c>
      <c r="CI69" s="451"/>
      <c r="CJ69" s="1062">
        <f>'Recurrentes 24-26'!CG71</f>
        <v>14593.38</v>
      </c>
      <c r="CK69" s="1062">
        <f>'Recurrentes 24-26'!CH71</f>
        <v>23349.408</v>
      </c>
      <c r="CL69" s="451" t="str">
        <f>'Recurrentes 24-26'!CI71</f>
        <v/>
      </c>
      <c r="CM69" s="1064" t="str">
        <f>'Recurrentes 24-26'!CJ71</f>
        <v/>
      </c>
      <c r="CN69" s="451">
        <f>'Recurrentes 24-26'!CK71</f>
        <v>1</v>
      </c>
      <c r="CO69" s="1062">
        <f>'Recurrentes 24-26'!CL71</f>
        <v>83.87</v>
      </c>
      <c r="CP69" s="451" t="str">
        <f>'Recurrentes 24-26'!CM71</f>
        <v/>
      </c>
    </row>
    <row r="70">
      <c r="A70" s="451" t="str">
        <f>'Recurrentes 24-26'!A72</f>
        <v>Repuestos Electromecánicos recurrentes</v>
      </c>
      <c r="B70" s="451">
        <f>'Recurrentes 24-26'!B72</f>
        <v>2</v>
      </c>
      <c r="C70" s="451" t="str">
        <f>'Recurrentes 24-26'!C72</f>
        <v>Torres</v>
      </c>
      <c r="D70" s="451" t="str">
        <f>'Recurrentes 24-26'!D72</f>
        <v>Reacondicionamiento de Poleas Palpadoras</v>
      </c>
      <c r="E70" s="451" t="str">
        <f>'Recurrentes 24-26'!E72</f>
        <v>Repuesto Mecánico</v>
      </c>
      <c r="F70" s="451" t="str">
        <f>'Recurrentes 24-26'!F72</f>
        <v>TDB</v>
      </c>
      <c r="G70" s="1025" t="str">
        <f>'Recurrentes 24-26'!G72</f>
        <v>39800</v>
      </c>
      <c r="H70" s="1061" t="str">
        <f>'Recurrentes 24-26'!H72</f>
        <v>2-01-00439</v>
      </c>
      <c r="I70" s="1061" t="str">
        <f>'Recurrentes 24-26'!I72</f>
        <v>10288696</v>
      </c>
      <c r="J70" s="1061" t="str">
        <f>'Recurrentes 24-26'!J72</f>
        <v>BULÓN DIA.24,9 LN 148 M20      PARA POLEA TIPO C/401(&gt;1970)</v>
      </c>
      <c r="K70" s="451" t="str">
        <f>'Recurrentes 24-26'!K72</f>
        <v>Pza</v>
      </c>
      <c r="L70" s="451">
        <f>'Recurrentes 24-26'!L72</f>
        <v>5</v>
      </c>
      <c r="M70" s="451">
        <f>'Recurrentes 24-26'!M72</f>
        <v>3</v>
      </c>
      <c r="N70" s="451">
        <f>'Recurrentes 24-26'!N72</f>
        <v>5</v>
      </c>
      <c r="O70" s="451">
        <f>'Recurrentes 24-26'!O72</f>
        <v>4</v>
      </c>
      <c r="P70" s="451">
        <f>'Recurrentes 24-26'!P72</f>
        <v>4</v>
      </c>
      <c r="Q70" s="451">
        <f>'Recurrentes 24-26'!Q72</f>
        <v>5</v>
      </c>
      <c r="R70" s="451">
        <f>'Recurrentes 24-26'!R72</f>
        <v>6</v>
      </c>
      <c r="S70" s="451">
        <f>'Recurrentes 24-26'!S72</f>
        <v>6</v>
      </c>
      <c r="T70" s="451">
        <f>'Recurrentes 24-26'!T72</f>
        <v>2</v>
      </c>
      <c r="U70" s="451">
        <f>'Recurrentes 24-26'!U72</f>
        <v>0</v>
      </c>
      <c r="V70" s="451">
        <f>'Recurrentes 24-26'!V72</f>
        <v>0</v>
      </c>
      <c r="W70" s="1062">
        <f>'Recurrentes 24-26'!W72</f>
        <v>40</v>
      </c>
      <c r="X70" s="451">
        <f>'Recurrentes 24-26'!X72</f>
        <v>5</v>
      </c>
      <c r="Y70" s="451">
        <f>'Recurrentes 24-26'!Y72</f>
        <v>3</v>
      </c>
      <c r="Z70" s="451">
        <f>'Recurrentes 24-26'!Z72</f>
        <v>5</v>
      </c>
      <c r="AA70" s="451">
        <f>'Recurrentes 24-26'!AA72</f>
        <v>4</v>
      </c>
      <c r="AB70" s="451">
        <f>'Recurrentes 24-26'!AB72</f>
        <v>4</v>
      </c>
      <c r="AC70" s="451">
        <f>'Recurrentes 24-26'!AC72</f>
        <v>5</v>
      </c>
      <c r="AD70" s="451">
        <f>'Recurrentes 24-26'!AD72</f>
        <v>6</v>
      </c>
      <c r="AE70" s="451">
        <f>'Recurrentes 24-26'!AE72</f>
        <v>6</v>
      </c>
      <c r="AF70" s="451">
        <f>'Recurrentes 24-26'!AF72</f>
        <v>2</v>
      </c>
      <c r="AG70" s="451">
        <f>'Recurrentes 24-26'!AG72</f>
        <v>0</v>
      </c>
      <c r="AH70" s="451">
        <f>'Recurrentes 24-26'!AH72</f>
        <v>0</v>
      </c>
      <c r="AI70" s="1062">
        <f>'Recurrentes 24-26'!AI72</f>
        <v>40</v>
      </c>
      <c r="AJ70" s="451">
        <f>'Recurrentes 24-26'!AJ72</f>
        <v>5</v>
      </c>
      <c r="AK70" s="451">
        <f>'Recurrentes 24-26'!AK72</f>
        <v>3</v>
      </c>
      <c r="AL70" s="451">
        <f>'Recurrentes 24-26'!AL72</f>
        <v>5</v>
      </c>
      <c r="AM70" s="451">
        <f>'Recurrentes 24-26'!AM72</f>
        <v>4</v>
      </c>
      <c r="AN70" s="451">
        <f>'Recurrentes 24-26'!AN72</f>
        <v>4</v>
      </c>
      <c r="AO70" s="451">
        <f>'Recurrentes 24-26'!AO72</f>
        <v>5</v>
      </c>
      <c r="AP70" s="451">
        <f>'Recurrentes 24-26'!AP72</f>
        <v>6</v>
      </c>
      <c r="AQ70" s="451">
        <f>'Recurrentes 24-26'!AQ72</f>
        <v>6</v>
      </c>
      <c r="AR70" s="451">
        <f>'Recurrentes 24-26'!AR72</f>
        <v>2</v>
      </c>
      <c r="AS70" s="451">
        <f>'Recurrentes 24-26'!AS72</f>
        <v>6</v>
      </c>
      <c r="AT70" s="451">
        <f>'Recurrentes 24-26'!AT72</f>
        <v>0</v>
      </c>
      <c r="AU70" s="1062">
        <f>'Recurrentes 24-26'!AU72</f>
        <v>46</v>
      </c>
      <c r="AV70" s="1063">
        <f>'Recurrentes 24-26'!AV72</f>
        <v>126</v>
      </c>
      <c r="AW70" s="451" t="str">
        <f>'Recurrentes 24-26'!AW72</f>
        <v/>
      </c>
      <c r="AX70" s="1062">
        <f>'Recurrentes 24-26'!AX72</f>
        <v>25.5</v>
      </c>
      <c r="AY70" s="1062">
        <f>'Recurrentes 24-26'!AY72</f>
        <v>177.48</v>
      </c>
      <c r="AZ70" s="1064" t="str">
        <f>'Recurrentes 24-26'!AZ72</f>
        <v/>
      </c>
      <c r="BA70" s="1064">
        <f>'Recurrentes 24-26'!BA72</f>
        <v>887.4</v>
      </c>
      <c r="BB70" s="1064">
        <f>'Recurrentes 24-26'!BB72</f>
        <v>532.44</v>
      </c>
      <c r="BC70" s="1064">
        <f>'Recurrentes 24-26'!BC72</f>
        <v>887.4</v>
      </c>
      <c r="BD70" s="1064">
        <f>'Recurrentes 24-26'!BD72</f>
        <v>709.92</v>
      </c>
      <c r="BE70" s="1064">
        <f>'Recurrentes 24-26'!BE72</f>
        <v>709.92</v>
      </c>
      <c r="BF70" s="1064">
        <f>'Recurrentes 24-26'!BF72</f>
        <v>887.4</v>
      </c>
      <c r="BG70" s="1064">
        <f>'Recurrentes 24-26'!BG72</f>
        <v>1064.88</v>
      </c>
      <c r="BH70" s="1064">
        <f>'Recurrentes 24-26'!BH72</f>
        <v>1064.88</v>
      </c>
      <c r="BI70" s="1064">
        <f>'Recurrentes 24-26'!BI72</f>
        <v>354.96</v>
      </c>
      <c r="BJ70" s="1064">
        <f>'Recurrentes 24-26'!BJ72</f>
        <v>0</v>
      </c>
      <c r="BK70" s="451"/>
      <c r="BL70" s="1062">
        <f>'Recurrentes 24-26'!BK72</f>
        <v>7099.2</v>
      </c>
      <c r="BM70" s="1064">
        <f>'Recurrentes 24-26'!BL72</f>
        <v>887.4</v>
      </c>
      <c r="BN70" s="1064">
        <f>'Recurrentes 24-26'!BM72</f>
        <v>532.44</v>
      </c>
      <c r="BO70" s="1064">
        <f>'Recurrentes 24-26'!BN72</f>
        <v>887.4</v>
      </c>
      <c r="BP70" s="1064">
        <f>'Recurrentes 24-26'!BO72</f>
        <v>709.92</v>
      </c>
      <c r="BQ70" s="1064">
        <f>'Recurrentes 24-26'!BP72</f>
        <v>709.92</v>
      </c>
      <c r="BR70" s="1064">
        <f>'Recurrentes 24-26'!BQ72</f>
        <v>887.4</v>
      </c>
      <c r="BS70" s="1064">
        <f>'Recurrentes 24-26'!BR72</f>
        <v>1064.88</v>
      </c>
      <c r="BT70" s="1064">
        <f>'Recurrentes 24-26'!BS72</f>
        <v>1064.88</v>
      </c>
      <c r="BU70" s="1064">
        <f>'Recurrentes 24-26'!BT72</f>
        <v>354.96</v>
      </c>
      <c r="BV70" s="1064">
        <f>'Recurrentes 24-26'!BU72</f>
        <v>0</v>
      </c>
      <c r="BW70" s="451"/>
      <c r="BX70" s="1062">
        <f>'Recurrentes 24-26'!BV72</f>
        <v>7099.2</v>
      </c>
      <c r="BY70" s="1064">
        <f>'Recurrentes 24-26'!BW72</f>
        <v>887.4</v>
      </c>
      <c r="BZ70" s="1064">
        <f>'Recurrentes 24-26'!BX72</f>
        <v>532.44</v>
      </c>
      <c r="CA70" s="1064">
        <f>'Recurrentes 24-26'!BY72</f>
        <v>887.4</v>
      </c>
      <c r="CB70" s="1064">
        <f>'Recurrentes 24-26'!BZ72</f>
        <v>709.92</v>
      </c>
      <c r="CC70" s="1064">
        <f>'Recurrentes 24-26'!CA72</f>
        <v>709.92</v>
      </c>
      <c r="CD70" s="1064">
        <f>'Recurrentes 24-26'!CB72</f>
        <v>887.4</v>
      </c>
      <c r="CE70" s="1064">
        <f>'Recurrentes 24-26'!CC72</f>
        <v>1064.88</v>
      </c>
      <c r="CF70" s="1064">
        <f>'Recurrentes 24-26'!CD72</f>
        <v>1064.88</v>
      </c>
      <c r="CG70" s="1064">
        <f>'Recurrentes 24-26'!CE72</f>
        <v>354.96</v>
      </c>
      <c r="CH70" s="1064">
        <f>'Recurrentes 24-26'!CF72</f>
        <v>1064.88</v>
      </c>
      <c r="CI70" s="451"/>
      <c r="CJ70" s="1062">
        <f>'Recurrentes 24-26'!CG72</f>
        <v>8164.08</v>
      </c>
      <c r="CK70" s="1062">
        <f>'Recurrentes 24-26'!CH72</f>
        <v>22362.48</v>
      </c>
      <c r="CL70" s="451" t="str">
        <f>'Recurrentes 24-26'!CI72</f>
        <v/>
      </c>
      <c r="CM70" s="1064" t="str">
        <f>'Recurrentes 24-26'!CJ72</f>
        <v/>
      </c>
      <c r="CN70" s="451">
        <f>'Recurrentes 24-26'!CK72</f>
        <v>1</v>
      </c>
      <c r="CO70" s="1062">
        <f>'Recurrentes 24-26'!CL72</f>
        <v>25.5</v>
      </c>
      <c r="CP70" s="451" t="str">
        <f>'Recurrentes 24-26'!CM72</f>
        <v/>
      </c>
    </row>
    <row r="71">
      <c r="A71" s="451" t="str">
        <f>'Recurrentes 24-26'!A73</f>
        <v>Repuestos Electromecánicos recurrentes</v>
      </c>
      <c r="B71" s="451">
        <f>'Recurrentes 24-26'!B73</f>
        <v>2</v>
      </c>
      <c r="C71" s="451" t="str">
        <f>'Recurrentes 24-26'!C73</f>
        <v>Estaciones</v>
      </c>
      <c r="D71" s="451" t="str">
        <f>'Recurrentes 24-26'!D73</f>
        <v>Reacondicionamiento y Cambio de poleas de estacion</v>
      </c>
      <c r="E71" s="451" t="str">
        <f>'Recurrentes 24-26'!E73</f>
        <v>Repuesto Mecánico</v>
      </c>
      <c r="F71" s="451" t="str">
        <f>'Recurrentes 24-26'!F73</f>
        <v>TDB</v>
      </c>
      <c r="G71" s="1025" t="str">
        <f>'Recurrentes 24-26'!G73</f>
        <v>39800</v>
      </c>
      <c r="H71" s="1061" t="str">
        <f>'Recurrentes 24-26'!H73</f>
        <v>2-01-00050</v>
      </c>
      <c r="I71" s="1061" t="str">
        <f>'Recurrentes 24-26'!I73</f>
        <v>10796747</v>
      </c>
      <c r="J71" s="1061" t="str">
        <f>'Recurrentes 24-26'!J73</f>
        <v>TUERCA AUTOFIJ.  INLOC - 8 M20 C.ELEM.DE FIJAC. ~DIN934 GALV.</v>
      </c>
      <c r="K71" s="451" t="str">
        <f>'Recurrentes 24-26'!K73</f>
        <v>Pza</v>
      </c>
      <c r="L71" s="451">
        <f>'Recurrentes 24-26'!L73</f>
        <v>50</v>
      </c>
      <c r="M71" s="451">
        <f>'Recurrentes 24-26'!M73</f>
        <v>25</v>
      </c>
      <c r="N71" s="451">
        <f>'Recurrentes 24-26'!N73</f>
        <v>37</v>
      </c>
      <c r="O71" s="451">
        <f>'Recurrentes 24-26'!O73</f>
        <v>0</v>
      </c>
      <c r="P71" s="451">
        <f>'Recurrentes 24-26'!P73</f>
        <v>0</v>
      </c>
      <c r="Q71" s="451">
        <f>'Recurrentes 24-26'!Q73</f>
        <v>0</v>
      </c>
      <c r="R71" s="451">
        <f>'Recurrentes 24-26'!R73</f>
        <v>38</v>
      </c>
      <c r="S71" s="451">
        <f>'Recurrentes 24-26'!S73</f>
        <v>37</v>
      </c>
      <c r="T71" s="451">
        <f>'Recurrentes 24-26'!T73</f>
        <v>12</v>
      </c>
      <c r="U71" s="451">
        <f>'Recurrentes 24-26'!U73</f>
        <v>0</v>
      </c>
      <c r="V71" s="451">
        <f>'Recurrentes 24-26'!V73</f>
        <v>0</v>
      </c>
      <c r="W71" s="1062">
        <f>'Recurrentes 24-26'!W73</f>
        <v>199</v>
      </c>
      <c r="X71" s="451">
        <f>'Recurrentes 24-26'!X73</f>
        <v>48</v>
      </c>
      <c r="Y71" s="451">
        <f>'Recurrentes 24-26'!Y73</f>
        <v>24</v>
      </c>
      <c r="Z71" s="451">
        <f>'Recurrentes 24-26'!Z73</f>
        <v>36</v>
      </c>
      <c r="AA71" s="451">
        <f>'Recurrentes 24-26'!AA73</f>
        <v>75</v>
      </c>
      <c r="AB71" s="451">
        <f>'Recurrentes 24-26'!AB73</f>
        <v>111</v>
      </c>
      <c r="AC71" s="451">
        <f>'Recurrentes 24-26'!AC73</f>
        <v>147</v>
      </c>
      <c r="AD71" s="451">
        <f>'Recurrentes 24-26'!AD73</f>
        <v>38</v>
      </c>
      <c r="AE71" s="451">
        <f>'Recurrentes 24-26'!AE73</f>
        <v>36</v>
      </c>
      <c r="AF71" s="451">
        <f>'Recurrentes 24-26'!AF73</f>
        <v>12</v>
      </c>
      <c r="AG71" s="451">
        <f>'Recurrentes 24-26'!AG73</f>
        <v>0</v>
      </c>
      <c r="AH71" s="451">
        <f>'Recurrentes 24-26'!AH73</f>
        <v>0</v>
      </c>
      <c r="AI71" s="1062">
        <f>'Recurrentes 24-26'!AI73</f>
        <v>527</v>
      </c>
      <c r="AJ71" s="451">
        <f>'Recurrentes 24-26'!AJ73</f>
        <v>48</v>
      </c>
      <c r="AK71" s="451">
        <f>'Recurrentes 24-26'!AK73</f>
        <v>24</v>
      </c>
      <c r="AL71" s="451">
        <f>'Recurrentes 24-26'!AL73</f>
        <v>36</v>
      </c>
      <c r="AM71" s="451">
        <f>'Recurrentes 24-26'!AM73</f>
        <v>75</v>
      </c>
      <c r="AN71" s="451">
        <f>'Recurrentes 24-26'!AN73</f>
        <v>111</v>
      </c>
      <c r="AO71" s="451">
        <f>'Recurrentes 24-26'!AO73</f>
        <v>147</v>
      </c>
      <c r="AP71" s="451">
        <f>'Recurrentes 24-26'!AP73</f>
        <v>38</v>
      </c>
      <c r="AQ71" s="451">
        <f>'Recurrentes 24-26'!AQ73</f>
        <v>36</v>
      </c>
      <c r="AR71" s="451">
        <f>'Recurrentes 24-26'!AR73</f>
        <v>12</v>
      </c>
      <c r="AS71" s="451">
        <f>'Recurrentes 24-26'!AS73</f>
        <v>0</v>
      </c>
      <c r="AT71" s="451">
        <f>'Recurrentes 24-26'!AT73</f>
        <v>0</v>
      </c>
      <c r="AU71" s="1062">
        <f>'Recurrentes 24-26'!AU73</f>
        <v>527</v>
      </c>
      <c r="AV71" s="1063">
        <f>'Recurrentes 24-26'!AV73</f>
        <v>1253</v>
      </c>
      <c r="AW71" s="451" t="str">
        <f>'Recurrentes 24-26'!AW73</f>
        <v/>
      </c>
      <c r="AX71" s="1062">
        <f>'Recurrentes 24-26'!AX73</f>
        <v>2.42</v>
      </c>
      <c r="AY71" s="1062">
        <f>'Recurrentes 24-26'!AY73</f>
        <v>16.8432</v>
      </c>
      <c r="AZ71" s="1064" t="str">
        <f>'Recurrentes 24-26'!AZ73</f>
        <v/>
      </c>
      <c r="BA71" s="1064">
        <f>'Recurrentes 24-26'!BA73</f>
        <v>842.16</v>
      </c>
      <c r="BB71" s="1064">
        <f>'Recurrentes 24-26'!BB73</f>
        <v>421.08</v>
      </c>
      <c r="BC71" s="1064">
        <f>'Recurrentes 24-26'!BC73</f>
        <v>623.1984</v>
      </c>
      <c r="BD71" s="1064">
        <f>'Recurrentes 24-26'!BD73</f>
        <v>0</v>
      </c>
      <c r="BE71" s="1064">
        <f>'Recurrentes 24-26'!BE73</f>
        <v>0</v>
      </c>
      <c r="BF71" s="1064">
        <f>'Recurrentes 24-26'!BF73</f>
        <v>0</v>
      </c>
      <c r="BG71" s="1064">
        <f>'Recurrentes 24-26'!BG73</f>
        <v>640.0416</v>
      </c>
      <c r="BH71" s="1064">
        <f>'Recurrentes 24-26'!BH73</f>
        <v>623.1984</v>
      </c>
      <c r="BI71" s="1064">
        <f>'Recurrentes 24-26'!BI73</f>
        <v>202.1184</v>
      </c>
      <c r="BJ71" s="1064">
        <f>'Recurrentes 24-26'!BJ73</f>
        <v>0</v>
      </c>
      <c r="BK71" s="451"/>
      <c r="BL71" s="1062">
        <f>'Recurrentes 24-26'!BK73</f>
        <v>3351.7968</v>
      </c>
      <c r="BM71" s="1064">
        <f>'Recurrentes 24-26'!BL73</f>
        <v>808.4736</v>
      </c>
      <c r="BN71" s="1064">
        <f>'Recurrentes 24-26'!BM73</f>
        <v>404.2368</v>
      </c>
      <c r="BO71" s="1064">
        <f>'Recurrentes 24-26'!BN73</f>
        <v>606.3552</v>
      </c>
      <c r="BP71" s="1064">
        <f>'Recurrentes 24-26'!BO73</f>
        <v>1263.24</v>
      </c>
      <c r="BQ71" s="1064">
        <f>'Recurrentes 24-26'!BP73</f>
        <v>1869.5952</v>
      </c>
      <c r="BR71" s="1064">
        <f>'Recurrentes 24-26'!BQ73</f>
        <v>2475.9504</v>
      </c>
      <c r="BS71" s="1064">
        <f>'Recurrentes 24-26'!BR73</f>
        <v>640.0416</v>
      </c>
      <c r="BT71" s="1064">
        <f>'Recurrentes 24-26'!BS73</f>
        <v>606.3552</v>
      </c>
      <c r="BU71" s="1064">
        <f>'Recurrentes 24-26'!BT73</f>
        <v>202.1184</v>
      </c>
      <c r="BV71" s="1064">
        <f>'Recurrentes 24-26'!BU73</f>
        <v>0</v>
      </c>
      <c r="BW71" s="451"/>
      <c r="BX71" s="1062">
        <f>'Recurrentes 24-26'!BV73</f>
        <v>8876.3664</v>
      </c>
      <c r="BY71" s="1064">
        <f>'Recurrentes 24-26'!BW73</f>
        <v>808.4736</v>
      </c>
      <c r="BZ71" s="1064">
        <f>'Recurrentes 24-26'!BX73</f>
        <v>404.2368</v>
      </c>
      <c r="CA71" s="1064">
        <f>'Recurrentes 24-26'!BY73</f>
        <v>606.3552</v>
      </c>
      <c r="CB71" s="1064">
        <f>'Recurrentes 24-26'!BZ73</f>
        <v>1263.24</v>
      </c>
      <c r="CC71" s="1064">
        <f>'Recurrentes 24-26'!CA73</f>
        <v>1869.5952</v>
      </c>
      <c r="CD71" s="1064">
        <f>'Recurrentes 24-26'!CB73</f>
        <v>2475.9504</v>
      </c>
      <c r="CE71" s="1064">
        <f>'Recurrentes 24-26'!CC73</f>
        <v>640.0416</v>
      </c>
      <c r="CF71" s="1064">
        <f>'Recurrentes 24-26'!CD73</f>
        <v>606.3552</v>
      </c>
      <c r="CG71" s="1064">
        <f>'Recurrentes 24-26'!CE73</f>
        <v>202.1184</v>
      </c>
      <c r="CH71" s="1064">
        <f>'Recurrentes 24-26'!CF73</f>
        <v>0</v>
      </c>
      <c r="CI71" s="451"/>
      <c r="CJ71" s="1062">
        <f>'Recurrentes 24-26'!CG73</f>
        <v>8876.3664</v>
      </c>
      <c r="CK71" s="1062">
        <f>'Recurrentes 24-26'!CH73</f>
        <v>21104.5296</v>
      </c>
      <c r="CL71" s="451" t="str">
        <f>'Recurrentes 24-26'!CI73</f>
        <v/>
      </c>
      <c r="CM71" s="1064" t="str">
        <f>'Recurrentes 24-26'!CJ73</f>
        <v/>
      </c>
      <c r="CN71" s="451">
        <f>'Recurrentes 24-26'!CK73</f>
        <v>1</v>
      </c>
      <c r="CO71" s="1062">
        <f>'Recurrentes 24-26'!CL73</f>
        <v>2.42</v>
      </c>
      <c r="CP71" s="451" t="str">
        <f>'Recurrentes 24-26'!CM73</f>
        <v/>
      </c>
    </row>
    <row r="72">
      <c r="A72" s="451" t="str">
        <f>'Recurrentes 24-26'!A74</f>
        <v>Repuestos Electromecánicos recurrentes</v>
      </c>
      <c r="B72" s="451">
        <f>'Recurrentes 24-26'!B74</f>
        <v>2</v>
      </c>
      <c r="C72" s="451" t="str">
        <f>'Recurrentes 24-26'!C74</f>
        <v>Torres</v>
      </c>
      <c r="D72" s="451" t="str">
        <f>'Recurrentes 24-26'!D74</f>
        <v>Reacondicionamiento de Poleas Palpadoras</v>
      </c>
      <c r="E72" s="451" t="str">
        <f>'Recurrentes 24-26'!E74</f>
        <v>Repuesto Mecánico</v>
      </c>
      <c r="F72" s="451" t="str">
        <f>'Recurrentes 24-26'!F74</f>
        <v>TDB</v>
      </c>
      <c r="G72" s="1025" t="str">
        <f>'Recurrentes 24-26'!G74</f>
        <v>39800</v>
      </c>
      <c r="H72" s="1061" t="str">
        <f>'Recurrentes 24-26'!H74</f>
        <v>2-01-00050</v>
      </c>
      <c r="I72" s="1061" t="str">
        <f>'Recurrentes 24-26'!I74</f>
        <v>10796747</v>
      </c>
      <c r="J72" s="1061" t="str">
        <f>'Recurrentes 24-26'!J74</f>
        <v>TUERCA AUTOFIJ.  INLOC - 8 M20 C.ELEM.DE FIJAC. ~DIN934 GALV.</v>
      </c>
      <c r="K72" s="451" t="str">
        <f>'Recurrentes 24-26'!K74</f>
        <v>Pza</v>
      </c>
      <c r="L72" s="451">
        <f>'Recurrentes 24-26'!L74</f>
        <v>0</v>
      </c>
      <c r="M72" s="451">
        <f>'Recurrentes 24-26'!M74</f>
        <v>0</v>
      </c>
      <c r="N72" s="451">
        <f>'Recurrentes 24-26'!N74</f>
        <v>0</v>
      </c>
      <c r="O72" s="451">
        <f>'Recurrentes 24-26'!O74</f>
        <v>65</v>
      </c>
      <c r="P72" s="451">
        <f>'Recurrentes 24-26'!P74</f>
        <v>91</v>
      </c>
      <c r="Q72" s="451">
        <f>'Recurrentes 24-26'!Q74</f>
        <v>143</v>
      </c>
      <c r="R72" s="451">
        <f>'Recurrentes 24-26'!R74</f>
        <v>91</v>
      </c>
      <c r="S72" s="451">
        <f>'Recurrentes 24-26'!S74</f>
        <v>91</v>
      </c>
      <c r="T72" s="451">
        <f>'Recurrentes 24-26'!T74</f>
        <v>28</v>
      </c>
      <c r="U72" s="451">
        <f>'Recurrentes 24-26'!U74</f>
        <v>0</v>
      </c>
      <c r="V72" s="451">
        <f>'Recurrentes 24-26'!V74</f>
        <v>0</v>
      </c>
      <c r="W72" s="1062">
        <f>'Recurrentes 24-26'!W74</f>
        <v>509</v>
      </c>
      <c r="X72" s="451">
        <f>'Recurrentes 24-26'!X74</f>
        <v>0</v>
      </c>
      <c r="Y72" s="451">
        <f>'Recurrentes 24-26'!Y74</f>
        <v>0</v>
      </c>
      <c r="Z72" s="451">
        <f>'Recurrentes 24-26'!Z74</f>
        <v>0</v>
      </c>
      <c r="AA72" s="451">
        <f>'Recurrentes 24-26'!AA74</f>
        <v>40</v>
      </c>
      <c r="AB72" s="451">
        <f>'Recurrentes 24-26'!AB74</f>
        <v>56</v>
      </c>
      <c r="AC72" s="451">
        <f>'Recurrentes 24-26'!AC74</f>
        <v>88</v>
      </c>
      <c r="AD72" s="451">
        <f>'Recurrentes 24-26'!AD74</f>
        <v>56</v>
      </c>
      <c r="AE72" s="451">
        <f>'Recurrentes 24-26'!AE74</f>
        <v>56</v>
      </c>
      <c r="AF72" s="451">
        <f>'Recurrentes 24-26'!AF74</f>
        <v>16</v>
      </c>
      <c r="AG72" s="451">
        <f>'Recurrentes 24-26'!AG74</f>
        <v>48</v>
      </c>
      <c r="AH72" s="451">
        <f>'Recurrentes 24-26'!AH74</f>
        <v>0</v>
      </c>
      <c r="AI72" s="1062">
        <f>'Recurrentes 24-26'!AI74</f>
        <v>360</v>
      </c>
      <c r="AJ72" s="451">
        <f>'Recurrentes 24-26'!AJ74</f>
        <v>0</v>
      </c>
      <c r="AK72" s="451">
        <f>'Recurrentes 24-26'!AK74</f>
        <v>0</v>
      </c>
      <c r="AL72" s="451">
        <f>'Recurrentes 24-26'!AL74</f>
        <v>0</v>
      </c>
      <c r="AM72" s="451">
        <f>'Recurrentes 24-26'!AM74</f>
        <v>40</v>
      </c>
      <c r="AN72" s="451">
        <f>'Recurrentes 24-26'!AN74</f>
        <v>56</v>
      </c>
      <c r="AO72" s="451">
        <f>'Recurrentes 24-26'!AO74</f>
        <v>88</v>
      </c>
      <c r="AP72" s="451">
        <f>'Recurrentes 24-26'!AP74</f>
        <v>56</v>
      </c>
      <c r="AQ72" s="451">
        <f>'Recurrentes 24-26'!AQ74</f>
        <v>56</v>
      </c>
      <c r="AR72" s="451">
        <f>'Recurrentes 24-26'!AR74</f>
        <v>16</v>
      </c>
      <c r="AS72" s="451">
        <f>'Recurrentes 24-26'!AS74</f>
        <v>48</v>
      </c>
      <c r="AT72" s="451">
        <f>'Recurrentes 24-26'!AT74</f>
        <v>0</v>
      </c>
      <c r="AU72" s="1062">
        <f>'Recurrentes 24-26'!AU74</f>
        <v>360</v>
      </c>
      <c r="AV72" s="1063">
        <f>'Recurrentes 24-26'!AV74</f>
        <v>1229</v>
      </c>
      <c r="AW72" s="451" t="str">
        <f>'Recurrentes 24-26'!AW74</f>
        <v/>
      </c>
      <c r="AX72" s="1062">
        <f>'Recurrentes 24-26'!AX74</f>
        <v>2.42</v>
      </c>
      <c r="AY72" s="1062">
        <f>'Recurrentes 24-26'!AY74</f>
        <v>16.8432</v>
      </c>
      <c r="AZ72" s="1064" t="str">
        <f>'Recurrentes 24-26'!AZ74</f>
        <v/>
      </c>
      <c r="BA72" s="1064">
        <f>'Recurrentes 24-26'!BA74</f>
        <v>0</v>
      </c>
      <c r="BB72" s="1064">
        <f>'Recurrentes 24-26'!BB74</f>
        <v>0</v>
      </c>
      <c r="BC72" s="1064">
        <f>'Recurrentes 24-26'!BC74</f>
        <v>0</v>
      </c>
      <c r="BD72" s="1064">
        <f>'Recurrentes 24-26'!BD74</f>
        <v>1094.808</v>
      </c>
      <c r="BE72" s="1064">
        <f>'Recurrentes 24-26'!BE74</f>
        <v>1532.7312</v>
      </c>
      <c r="BF72" s="1064">
        <f>'Recurrentes 24-26'!BF74</f>
        <v>2408.5776</v>
      </c>
      <c r="BG72" s="1064">
        <f>'Recurrentes 24-26'!BG74</f>
        <v>1532.7312</v>
      </c>
      <c r="BH72" s="1064">
        <f>'Recurrentes 24-26'!BH74</f>
        <v>1532.7312</v>
      </c>
      <c r="BI72" s="1064">
        <f>'Recurrentes 24-26'!BI74</f>
        <v>471.6096</v>
      </c>
      <c r="BJ72" s="1064">
        <f>'Recurrentes 24-26'!BJ74</f>
        <v>0</v>
      </c>
      <c r="BK72" s="451"/>
      <c r="BL72" s="1062">
        <f>'Recurrentes 24-26'!BK74</f>
        <v>8573.1888</v>
      </c>
      <c r="BM72" s="1064">
        <f>'Recurrentes 24-26'!BL74</f>
        <v>0</v>
      </c>
      <c r="BN72" s="1064">
        <f>'Recurrentes 24-26'!BM74</f>
        <v>0</v>
      </c>
      <c r="BO72" s="1064">
        <f>'Recurrentes 24-26'!BN74</f>
        <v>0</v>
      </c>
      <c r="BP72" s="1064">
        <f>'Recurrentes 24-26'!BO74</f>
        <v>673.728</v>
      </c>
      <c r="BQ72" s="1064">
        <f>'Recurrentes 24-26'!BP74</f>
        <v>943.2192</v>
      </c>
      <c r="BR72" s="1064">
        <f>'Recurrentes 24-26'!BQ74</f>
        <v>1482.2016</v>
      </c>
      <c r="BS72" s="1064">
        <f>'Recurrentes 24-26'!BR74</f>
        <v>943.2192</v>
      </c>
      <c r="BT72" s="1064">
        <f>'Recurrentes 24-26'!BS74</f>
        <v>943.2192</v>
      </c>
      <c r="BU72" s="1064">
        <f>'Recurrentes 24-26'!BT74</f>
        <v>269.4912</v>
      </c>
      <c r="BV72" s="1064">
        <f>'Recurrentes 24-26'!BU74</f>
        <v>808.4736</v>
      </c>
      <c r="BW72" s="451"/>
      <c r="BX72" s="1062">
        <f>'Recurrentes 24-26'!BV74</f>
        <v>6063.552</v>
      </c>
      <c r="BY72" s="1064">
        <f>'Recurrentes 24-26'!BW74</f>
        <v>0</v>
      </c>
      <c r="BZ72" s="1064">
        <f>'Recurrentes 24-26'!BX74</f>
        <v>0</v>
      </c>
      <c r="CA72" s="1064">
        <f>'Recurrentes 24-26'!BY74</f>
        <v>0</v>
      </c>
      <c r="CB72" s="1064">
        <f>'Recurrentes 24-26'!BZ74</f>
        <v>673.728</v>
      </c>
      <c r="CC72" s="1064">
        <f>'Recurrentes 24-26'!CA74</f>
        <v>943.2192</v>
      </c>
      <c r="CD72" s="1064">
        <f>'Recurrentes 24-26'!CB74</f>
        <v>1482.2016</v>
      </c>
      <c r="CE72" s="1064">
        <f>'Recurrentes 24-26'!CC74</f>
        <v>943.2192</v>
      </c>
      <c r="CF72" s="1064">
        <f>'Recurrentes 24-26'!CD74</f>
        <v>943.2192</v>
      </c>
      <c r="CG72" s="1064">
        <f>'Recurrentes 24-26'!CE74</f>
        <v>269.4912</v>
      </c>
      <c r="CH72" s="1064">
        <f>'Recurrentes 24-26'!CF74</f>
        <v>808.4736</v>
      </c>
      <c r="CI72" s="451"/>
      <c r="CJ72" s="1062">
        <f>'Recurrentes 24-26'!CG74</f>
        <v>6063.552</v>
      </c>
      <c r="CK72" s="1062">
        <f>'Recurrentes 24-26'!CH74</f>
        <v>20700.2928</v>
      </c>
      <c r="CL72" s="451" t="str">
        <f>'Recurrentes 24-26'!CI74</f>
        <v/>
      </c>
      <c r="CM72" s="1064" t="str">
        <f>'Recurrentes 24-26'!CJ74</f>
        <v/>
      </c>
      <c r="CN72" s="451">
        <f>'Recurrentes 24-26'!CK74</f>
        <v>1</v>
      </c>
      <c r="CO72" s="1062">
        <f>'Recurrentes 24-26'!CL74</f>
        <v>2.42</v>
      </c>
      <c r="CP72" s="451" t="str">
        <f>'Recurrentes 24-26'!CM74</f>
        <v/>
      </c>
    </row>
    <row r="73">
      <c r="A73" s="451" t="str">
        <f>'Recurrentes 24-26'!A75</f>
        <v>Repuestos Electromecánicos recurrentes</v>
      </c>
      <c r="B73" s="451" t="str">
        <f>'Recurrentes 24-26'!B75</f>
        <v/>
      </c>
      <c r="C73" s="451" t="str">
        <f>'Recurrentes 24-26'!C75</f>
        <v>Vehículo</v>
      </c>
      <c r="D73" s="451" t="str">
        <f>'Recurrentes 24-26'!D75</f>
        <v>Manto. Pinza</v>
      </c>
      <c r="E73" s="451" t="str">
        <f>'Recurrentes 24-26'!E75</f>
        <v>Repuesto Mecánico</v>
      </c>
      <c r="F73" s="451" t="str">
        <f>'Recurrentes 24-26'!F75</f>
        <v>TDB</v>
      </c>
      <c r="G73" s="1061" t="str">
        <f>'Recurrentes 24-26'!G75</f>
        <v>39800</v>
      </c>
      <c r="H73" s="1061" t="str">
        <f>'Recurrentes 24-26'!H75</f>
        <v/>
      </c>
      <c r="I73" s="1061">
        <f>'Recurrentes 24-26'!I75</f>
        <v>11355248</v>
      </c>
      <c r="J73" s="1061" t="str">
        <f>'Recurrentes 24-26'!J75</f>
        <v>LENGÜETA DE PLÁSTICO A108-C TIPO 1/510/IBAF Ø48-51MM</v>
      </c>
      <c r="K73" s="451" t="str">
        <f>'Recurrentes 24-26'!K75</f>
        <v>Pza</v>
      </c>
      <c r="L73" s="451">
        <f>'Recurrentes 24-26'!L75</f>
        <v>0</v>
      </c>
      <c r="M73" s="451">
        <f>'Recurrentes 24-26'!M75</f>
        <v>0</v>
      </c>
      <c r="N73" s="451">
        <f>'Recurrentes 24-26'!N75</f>
        <v>0</v>
      </c>
      <c r="O73" s="451">
        <f>'Recurrentes 24-26'!O75</f>
        <v>0</v>
      </c>
      <c r="P73" s="451">
        <f>'Recurrentes 24-26'!P75</f>
        <v>0</v>
      </c>
      <c r="Q73" s="451">
        <f>'Recurrentes 24-26'!Q75</f>
        <v>0</v>
      </c>
      <c r="R73" s="451">
        <f>'Recurrentes 24-26'!R75</f>
        <v>0</v>
      </c>
      <c r="S73" s="451">
        <f>'Recurrentes 24-26'!S75</f>
        <v>0</v>
      </c>
      <c r="T73" s="451">
        <f>'Recurrentes 24-26'!T75</f>
        <v>0</v>
      </c>
      <c r="U73" s="451">
        <f>'Recurrentes 24-26'!U75</f>
        <v>0</v>
      </c>
      <c r="V73" s="451">
        <f>'Recurrentes 24-26'!V75</f>
        <v>0</v>
      </c>
      <c r="W73" s="1062">
        <f>'Recurrentes 24-26'!W75</f>
        <v>0</v>
      </c>
      <c r="X73" s="451">
        <f>'Recurrentes 24-26'!X75</f>
        <v>0</v>
      </c>
      <c r="Y73" s="451">
        <f>'Recurrentes 24-26'!Y75</f>
        <v>0</v>
      </c>
      <c r="Z73" s="451">
        <f>'Recurrentes 24-26'!Z75</f>
        <v>0</v>
      </c>
      <c r="AA73" s="451">
        <f>'Recurrentes 24-26'!AA75</f>
        <v>0</v>
      </c>
      <c r="AB73" s="451">
        <f>'Recurrentes 24-26'!AB75</f>
        <v>0</v>
      </c>
      <c r="AC73" s="451">
        <f>'Recurrentes 24-26'!AC75</f>
        <v>0</v>
      </c>
      <c r="AD73" s="451">
        <f>'Recurrentes 24-26'!AD75</f>
        <v>0</v>
      </c>
      <c r="AE73" s="451">
        <f>'Recurrentes 24-26'!AE75</f>
        <v>0</v>
      </c>
      <c r="AF73" s="451">
        <f>'Recurrentes 24-26'!AF75</f>
        <v>0</v>
      </c>
      <c r="AG73" s="451">
        <f>'Recurrentes 24-26'!AG75</f>
        <v>0</v>
      </c>
      <c r="AH73" s="451">
        <f>'Recurrentes 24-26'!AH75</f>
        <v>0</v>
      </c>
      <c r="AI73" s="1062">
        <f>'Recurrentes 24-26'!AI75</f>
        <v>0</v>
      </c>
      <c r="AJ73" s="451">
        <f>'Recurrentes 24-26'!AJ75</f>
        <v>0</v>
      </c>
      <c r="AK73" s="451">
        <f>'Recurrentes 24-26'!AK75</f>
        <v>0</v>
      </c>
      <c r="AL73" s="451">
        <f>'Recurrentes 24-26'!AL75</f>
        <v>0</v>
      </c>
      <c r="AM73" s="451">
        <f>'Recurrentes 24-26'!AM75</f>
        <v>0</v>
      </c>
      <c r="AN73" s="451">
        <f>'Recurrentes 24-26'!AN75</f>
        <v>0</v>
      </c>
      <c r="AO73" s="451">
        <f>'Recurrentes 24-26'!AO75</f>
        <v>0</v>
      </c>
      <c r="AP73" s="451">
        <f>'Recurrentes 24-26'!AP75</f>
        <v>0</v>
      </c>
      <c r="AQ73" s="451">
        <f>'Recurrentes 24-26'!AQ75</f>
        <v>0</v>
      </c>
      <c r="AR73" s="451">
        <f>'Recurrentes 24-26'!AR75</f>
        <v>0</v>
      </c>
      <c r="AS73" s="451">
        <f>'Recurrentes 24-26'!AS75</f>
        <v>0</v>
      </c>
      <c r="AT73" s="451">
        <f>'Recurrentes 24-26'!AT75</f>
        <v>0</v>
      </c>
      <c r="AU73" s="1062">
        <f>'Recurrentes 24-26'!AU75</f>
        <v>0</v>
      </c>
      <c r="AV73" s="1063">
        <f>'Recurrentes 24-26'!AV75</f>
        <v>0</v>
      </c>
      <c r="AW73" s="451" t="str">
        <f>'Recurrentes 24-26'!AW75</f>
        <v/>
      </c>
      <c r="AX73" s="1062">
        <f>'Recurrentes 24-26'!AX75</f>
        <v>93.64</v>
      </c>
      <c r="AY73" s="1062">
        <f>'Recurrentes 24-26'!AY75</f>
        <v>652.6708</v>
      </c>
      <c r="AZ73" s="1064" t="str">
        <f>'Recurrentes 24-26'!AZ75</f>
        <v/>
      </c>
      <c r="BA73" s="1064">
        <f>'Recurrentes 24-26'!BA75</f>
        <v>0</v>
      </c>
      <c r="BB73" s="1064">
        <f>'Recurrentes 24-26'!BB75</f>
        <v>0</v>
      </c>
      <c r="BC73" s="1064">
        <f>'Recurrentes 24-26'!BC75</f>
        <v>0</v>
      </c>
      <c r="BD73" s="1064">
        <f>'Recurrentes 24-26'!BD75</f>
        <v>0</v>
      </c>
      <c r="BE73" s="1064">
        <f>'Recurrentes 24-26'!BE75</f>
        <v>0</v>
      </c>
      <c r="BF73" s="1064">
        <f>'Recurrentes 24-26'!BF75</f>
        <v>0</v>
      </c>
      <c r="BG73" s="1064">
        <f>'Recurrentes 24-26'!BG75</f>
        <v>0</v>
      </c>
      <c r="BH73" s="1064">
        <f>'Recurrentes 24-26'!BH75</f>
        <v>0</v>
      </c>
      <c r="BI73" s="1064">
        <f>'Recurrentes 24-26'!BI75</f>
        <v>0</v>
      </c>
      <c r="BJ73" s="1064">
        <f>'Recurrentes 24-26'!BJ75</f>
        <v>0</v>
      </c>
      <c r="BK73" s="451"/>
      <c r="BL73" s="1062">
        <f>'Recurrentes 24-26'!BK75</f>
        <v>0</v>
      </c>
      <c r="BM73" s="1064">
        <f>'Recurrentes 24-26'!BL75</f>
        <v>0</v>
      </c>
      <c r="BN73" s="1064">
        <f>'Recurrentes 24-26'!BM75</f>
        <v>0</v>
      </c>
      <c r="BO73" s="1064">
        <f>'Recurrentes 24-26'!BN75</f>
        <v>0</v>
      </c>
      <c r="BP73" s="1064">
        <f>'Recurrentes 24-26'!BO75</f>
        <v>0</v>
      </c>
      <c r="BQ73" s="1064">
        <f>'Recurrentes 24-26'!BP75</f>
        <v>0</v>
      </c>
      <c r="BR73" s="1064">
        <f>'Recurrentes 24-26'!BQ75</f>
        <v>0</v>
      </c>
      <c r="BS73" s="1064">
        <f>'Recurrentes 24-26'!BR75</f>
        <v>0</v>
      </c>
      <c r="BT73" s="1064">
        <f>'Recurrentes 24-26'!BS75</f>
        <v>0</v>
      </c>
      <c r="BU73" s="1064">
        <f>'Recurrentes 24-26'!BT75</f>
        <v>0</v>
      </c>
      <c r="BV73" s="1064">
        <f>'Recurrentes 24-26'!BU75</f>
        <v>0</v>
      </c>
      <c r="BW73" s="451"/>
      <c r="BX73" s="1062">
        <f>'Recurrentes 24-26'!BV75</f>
        <v>0</v>
      </c>
      <c r="BY73" s="1064">
        <f>'Recurrentes 24-26'!BW75</f>
        <v>0</v>
      </c>
      <c r="BZ73" s="1064">
        <f>'Recurrentes 24-26'!BX75</f>
        <v>0</v>
      </c>
      <c r="CA73" s="1064">
        <f>'Recurrentes 24-26'!BY75</f>
        <v>0</v>
      </c>
      <c r="CB73" s="1064">
        <f>'Recurrentes 24-26'!BZ75</f>
        <v>0</v>
      </c>
      <c r="CC73" s="1064">
        <f>'Recurrentes 24-26'!CA75</f>
        <v>0</v>
      </c>
      <c r="CD73" s="1064">
        <f>'Recurrentes 24-26'!CB75</f>
        <v>0</v>
      </c>
      <c r="CE73" s="1064">
        <f>'Recurrentes 24-26'!CC75</f>
        <v>0</v>
      </c>
      <c r="CF73" s="1064">
        <f>'Recurrentes 24-26'!CD75</f>
        <v>0</v>
      </c>
      <c r="CG73" s="1064">
        <f>'Recurrentes 24-26'!CE75</f>
        <v>0</v>
      </c>
      <c r="CH73" s="1064">
        <f>'Recurrentes 24-26'!CF75</f>
        <v>0</v>
      </c>
      <c r="CI73" s="451"/>
      <c r="CJ73" s="1062">
        <f>'Recurrentes 24-26'!CG75</f>
        <v>0</v>
      </c>
      <c r="CK73" s="1062">
        <f>'Recurrentes 24-26'!CH75</f>
        <v>0</v>
      </c>
      <c r="CL73" s="451" t="str">
        <f>'Recurrentes 24-26'!CI75</f>
        <v/>
      </c>
      <c r="CM73" s="1064" t="str">
        <f>'Recurrentes 24-26'!CJ75</f>
        <v/>
      </c>
      <c r="CN73" s="451">
        <f>'Recurrentes 24-26'!CK75</f>
        <v>1</v>
      </c>
      <c r="CO73" s="451" t="str">
        <f>'Recurrentes 24-26'!CL75</f>
        <v/>
      </c>
      <c r="CP73" s="451" t="str">
        <f>'Recurrentes 24-26'!CM75</f>
        <v/>
      </c>
    </row>
    <row r="74">
      <c r="A74" s="451" t="str">
        <f>'Recurrentes 24-26'!A76</f>
        <v>Repuestos Electromecánicos recurrentes</v>
      </c>
      <c r="B74" s="451">
        <f>'Recurrentes 24-26'!B76</f>
        <v>2</v>
      </c>
      <c r="C74" s="451" t="str">
        <f>'Recurrentes 24-26'!C76</f>
        <v>Vehículo</v>
      </c>
      <c r="D74" s="451" t="str">
        <f>'Recurrentes 24-26'!D76</f>
        <v>10% Suspensiones de Cabinas </v>
      </c>
      <c r="E74" s="451" t="str">
        <f>'Recurrentes 24-26'!E76</f>
        <v>Repuesto Mecánico</v>
      </c>
      <c r="F74" s="451" t="str">
        <f>'Recurrentes 24-26'!F76</f>
        <v>TDB</v>
      </c>
      <c r="G74" s="1025" t="str">
        <f>'Recurrentes 24-26'!G76</f>
        <v>39800</v>
      </c>
      <c r="H74" s="1061" t="str">
        <f>'Recurrentes 24-26'!H76</f>
        <v>2-01-00748</v>
      </c>
      <c r="I74" s="1061" t="str">
        <f>'Recurrentes 24-26'!I76</f>
        <v>11-080297</v>
      </c>
      <c r="J74" s="1061" t="str">
        <f>'Recurrentes 24-26'!J76</f>
        <v>KIT SUSPENSIÓN DE CABINAS OMIV</v>
      </c>
      <c r="K74" s="451" t="str">
        <f>'Recurrentes 24-26'!K76</f>
        <v>Pza</v>
      </c>
      <c r="L74" s="451">
        <f>'Recurrentes 24-26'!L76</f>
        <v>0</v>
      </c>
      <c r="M74" s="451">
        <f>'Recurrentes 24-26'!M76</f>
        <v>0</v>
      </c>
      <c r="N74" s="451">
        <f>'Recurrentes 24-26'!N76</f>
        <v>0</v>
      </c>
      <c r="O74" s="451">
        <f>'Recurrentes 24-26'!O76</f>
        <v>0</v>
      </c>
      <c r="P74" s="451">
        <f>'Recurrentes 24-26'!P76</f>
        <v>0</v>
      </c>
      <c r="Q74" s="451">
        <f>'Recurrentes 24-26'!Q76</f>
        <v>0</v>
      </c>
      <c r="R74" s="451">
        <f>'Recurrentes 24-26'!R76</f>
        <v>0</v>
      </c>
      <c r="S74" s="451">
        <f>'Recurrentes 24-26'!S76</f>
        <v>0</v>
      </c>
      <c r="T74" s="451">
        <f>'Recurrentes 24-26'!T76</f>
        <v>0</v>
      </c>
      <c r="U74" s="451">
        <f>'Recurrentes 24-26'!U76</f>
        <v>0</v>
      </c>
      <c r="V74" s="451">
        <f>'Recurrentes 24-26'!V76</f>
        <v>0</v>
      </c>
      <c r="W74" s="1062">
        <f>'Recurrentes 24-26'!W76</f>
        <v>0</v>
      </c>
      <c r="X74" s="451">
        <f>'Recurrentes 24-26'!X76</f>
        <v>1</v>
      </c>
      <c r="Y74" s="451" t="str">
        <f>'Recurrentes 24-26'!Y76</f>
        <v/>
      </c>
      <c r="Z74" s="451" t="str">
        <f>'Recurrentes 24-26'!Z76</f>
        <v/>
      </c>
      <c r="AA74" s="451">
        <f>'Recurrentes 24-26'!AA76</f>
        <v>0</v>
      </c>
      <c r="AB74" s="451">
        <f>'Recurrentes 24-26'!AB76</f>
        <v>0</v>
      </c>
      <c r="AC74" s="451">
        <f>'Recurrentes 24-26'!AC76</f>
        <v>0</v>
      </c>
      <c r="AD74" s="451" t="str">
        <f>'Recurrentes 24-26'!AD76</f>
        <v/>
      </c>
      <c r="AE74" s="451" t="str">
        <f>'Recurrentes 24-26'!AE76</f>
        <v/>
      </c>
      <c r="AF74" s="451" t="str">
        <f>'Recurrentes 24-26'!AF76</f>
        <v/>
      </c>
      <c r="AG74" s="451" t="str">
        <f>'Recurrentes 24-26'!AG76</f>
        <v/>
      </c>
      <c r="AH74" s="451">
        <f>'Recurrentes 24-26'!AH76</f>
        <v>0</v>
      </c>
      <c r="AI74" s="1062">
        <f>'Recurrentes 24-26'!AI76</f>
        <v>1</v>
      </c>
      <c r="AJ74" s="451" t="str">
        <f>'Recurrentes 24-26'!AJ76</f>
        <v/>
      </c>
      <c r="AK74" s="451" t="str">
        <f>'Recurrentes 24-26'!AK76</f>
        <v/>
      </c>
      <c r="AL74" s="451" t="str">
        <f>'Recurrentes 24-26'!AL76</f>
        <v/>
      </c>
      <c r="AM74" s="451">
        <f>'Recurrentes 24-26'!AM76</f>
        <v>0</v>
      </c>
      <c r="AN74" s="451">
        <f>'Recurrentes 24-26'!AN76</f>
        <v>0</v>
      </c>
      <c r="AO74" s="451">
        <f>'Recurrentes 24-26'!AO76</f>
        <v>0</v>
      </c>
      <c r="AP74" s="451" t="str">
        <f>'Recurrentes 24-26'!AP76</f>
        <v/>
      </c>
      <c r="AQ74" s="451" t="str">
        <f>'Recurrentes 24-26'!AQ76</f>
        <v/>
      </c>
      <c r="AR74" s="451" t="str">
        <f>'Recurrentes 24-26'!AR76</f>
        <v/>
      </c>
      <c r="AS74" s="451" t="str">
        <f>'Recurrentes 24-26'!AS76</f>
        <v/>
      </c>
      <c r="AT74" s="451">
        <f>'Recurrentes 24-26'!AT76</f>
        <v>0</v>
      </c>
      <c r="AU74" s="1062">
        <f>'Recurrentes 24-26'!AU76</f>
        <v>0</v>
      </c>
      <c r="AV74" s="1063">
        <f>'Recurrentes 24-26'!AV76</f>
        <v>1</v>
      </c>
      <c r="AW74" s="451" t="str">
        <f>'Recurrentes 24-26'!AW76</f>
        <v/>
      </c>
      <c r="AX74" s="1062">
        <f>'Recurrentes 24-26'!AX76</f>
        <v>2937.98</v>
      </c>
      <c r="AY74" s="1062">
        <f>'Recurrentes 24-26'!AY76</f>
        <v>20448.3408</v>
      </c>
      <c r="AZ74" s="1064" t="str">
        <f>'Recurrentes 24-26'!AZ76</f>
        <v/>
      </c>
      <c r="BA74" s="1064">
        <f>'Recurrentes 24-26'!BA76</f>
        <v>0</v>
      </c>
      <c r="BB74" s="1064">
        <f>'Recurrentes 24-26'!BB76</f>
        <v>0</v>
      </c>
      <c r="BC74" s="1064">
        <f>'Recurrentes 24-26'!BC76</f>
        <v>0</v>
      </c>
      <c r="BD74" s="1064">
        <f>'Recurrentes 24-26'!BD76</f>
        <v>0</v>
      </c>
      <c r="BE74" s="1064">
        <f>'Recurrentes 24-26'!BE76</f>
        <v>0</v>
      </c>
      <c r="BF74" s="1064">
        <f>'Recurrentes 24-26'!BF76</f>
        <v>0</v>
      </c>
      <c r="BG74" s="1064">
        <f>'Recurrentes 24-26'!BG76</f>
        <v>0</v>
      </c>
      <c r="BH74" s="1064">
        <f>'Recurrentes 24-26'!BH76</f>
        <v>0</v>
      </c>
      <c r="BI74" s="1064">
        <f>'Recurrentes 24-26'!BI76</f>
        <v>0</v>
      </c>
      <c r="BJ74" s="1064">
        <f>'Recurrentes 24-26'!BJ76</f>
        <v>0</v>
      </c>
      <c r="BK74" s="451"/>
      <c r="BL74" s="1062">
        <f>'Recurrentes 24-26'!BK76</f>
        <v>0</v>
      </c>
      <c r="BM74" s="1064">
        <f>'Recurrentes 24-26'!BL76</f>
        <v>20448.3408</v>
      </c>
      <c r="BN74" s="1064">
        <f>'Recurrentes 24-26'!BM76</f>
        <v>0</v>
      </c>
      <c r="BO74" s="1064">
        <f>'Recurrentes 24-26'!BN76</f>
        <v>0</v>
      </c>
      <c r="BP74" s="1064">
        <f>'Recurrentes 24-26'!BO76</f>
        <v>0</v>
      </c>
      <c r="BQ74" s="1064">
        <f>'Recurrentes 24-26'!BP76</f>
        <v>0</v>
      </c>
      <c r="BR74" s="1064">
        <f>'Recurrentes 24-26'!BQ76</f>
        <v>0</v>
      </c>
      <c r="BS74" s="1064">
        <f>'Recurrentes 24-26'!BR76</f>
        <v>0</v>
      </c>
      <c r="BT74" s="1064">
        <f>'Recurrentes 24-26'!BS76</f>
        <v>0</v>
      </c>
      <c r="BU74" s="1064">
        <f>'Recurrentes 24-26'!BT76</f>
        <v>0</v>
      </c>
      <c r="BV74" s="1064">
        <f>'Recurrentes 24-26'!BU76</f>
        <v>0</v>
      </c>
      <c r="BW74" s="451"/>
      <c r="BX74" s="1062">
        <f>'Recurrentes 24-26'!BV76</f>
        <v>20448.3408</v>
      </c>
      <c r="BY74" s="1064">
        <f>'Recurrentes 24-26'!BW76</f>
        <v>0</v>
      </c>
      <c r="BZ74" s="1064">
        <f>'Recurrentes 24-26'!BX76</f>
        <v>0</v>
      </c>
      <c r="CA74" s="1064">
        <f>'Recurrentes 24-26'!BY76</f>
        <v>0</v>
      </c>
      <c r="CB74" s="1064">
        <f>'Recurrentes 24-26'!BZ76</f>
        <v>0</v>
      </c>
      <c r="CC74" s="1064">
        <f>'Recurrentes 24-26'!CA76</f>
        <v>0</v>
      </c>
      <c r="CD74" s="1064">
        <f>'Recurrentes 24-26'!CB76</f>
        <v>0</v>
      </c>
      <c r="CE74" s="1064">
        <f>'Recurrentes 24-26'!CC76</f>
        <v>0</v>
      </c>
      <c r="CF74" s="1064">
        <f>'Recurrentes 24-26'!CD76</f>
        <v>0</v>
      </c>
      <c r="CG74" s="1064">
        <f>'Recurrentes 24-26'!CE76</f>
        <v>0</v>
      </c>
      <c r="CH74" s="1064">
        <f>'Recurrentes 24-26'!CF76</f>
        <v>0</v>
      </c>
      <c r="CI74" s="451"/>
      <c r="CJ74" s="1062">
        <f>'Recurrentes 24-26'!CG76</f>
        <v>0</v>
      </c>
      <c r="CK74" s="1062">
        <f>'Recurrentes 24-26'!CH76</f>
        <v>20448.3408</v>
      </c>
      <c r="CL74" s="451" t="str">
        <f>'Recurrentes 24-26'!CI76</f>
        <v/>
      </c>
      <c r="CM74" s="451" t="str">
        <f>'Recurrentes 24-26'!CJ76</f>
        <v>Se requerian 7 pernos de suspensión, se opta por 1 kit completo, para el 2025</v>
      </c>
      <c r="CN74" s="451">
        <f>'Recurrentes 24-26'!CK76</f>
        <v>1</v>
      </c>
      <c r="CO74" s="1062">
        <f>'Recurrentes 24-26'!CL76</f>
        <v>2937.98</v>
      </c>
      <c r="CP74" s="451" t="str">
        <f>'Recurrentes 24-26'!CM76</f>
        <v/>
      </c>
    </row>
    <row r="75">
      <c r="A75" s="451" t="str">
        <f>'Recurrentes 24-26'!A77</f>
        <v>Repuestos Electromecánicos recurrentes</v>
      </c>
      <c r="B75" s="451" t="str">
        <f>'Recurrentes 24-26'!B77</f>
        <v/>
      </c>
      <c r="C75" s="451" t="str">
        <f>'Recurrentes 24-26'!C77</f>
        <v>Vehículo</v>
      </c>
      <c r="D75" s="451" t="str">
        <f>'Recurrentes 24-26'!D77</f>
        <v>Manto. Pinza</v>
      </c>
      <c r="E75" s="451" t="str">
        <f>'Recurrentes 24-26'!E77</f>
        <v>Repuesto Mecánico</v>
      </c>
      <c r="F75" s="451" t="str">
        <f>'Recurrentes 24-26'!F77</f>
        <v>LOCAL</v>
      </c>
      <c r="G75" s="1061" t="str">
        <f>'Recurrentes 24-26'!G77</f>
        <v>39800</v>
      </c>
      <c r="H75" s="1061" t="str">
        <f>'Recurrentes 24-26'!H77</f>
        <v>2-01-00020</v>
      </c>
      <c r="I75" s="1061" t="str">
        <f>'Recurrentes 24-26'!I77</f>
        <v>11982756</v>
      </c>
      <c r="J75" s="1061" t="str">
        <f>'Recurrentes 24-26'!J77</f>
        <v>POLEA DE RODADURA DIÁ.180MM, A-108C ENSAYO FINAL</v>
      </c>
      <c r="K75" s="451" t="str">
        <f>'Recurrentes 24-26'!K77</f>
        <v>Pza</v>
      </c>
      <c r="L75" s="451" t="str">
        <f>'Recurrentes 24-26'!L77</f>
        <v/>
      </c>
      <c r="M75" s="451" t="str">
        <f>'Recurrentes 24-26'!M77</f>
        <v/>
      </c>
      <c r="N75" s="451" t="str">
        <f>'Recurrentes 24-26'!N77</f>
        <v/>
      </c>
      <c r="O75" s="451" t="str">
        <f>'Recurrentes 24-26'!O77</f>
        <v/>
      </c>
      <c r="P75" s="451" t="str">
        <f>'Recurrentes 24-26'!P77</f>
        <v/>
      </c>
      <c r="Q75" s="451" t="str">
        <f>'Recurrentes 24-26'!Q77</f>
        <v/>
      </c>
      <c r="R75" s="451" t="str">
        <f>'Recurrentes 24-26'!R77</f>
        <v/>
      </c>
      <c r="S75" s="451" t="str">
        <f>'Recurrentes 24-26'!S77</f>
        <v/>
      </c>
      <c r="T75" s="451" t="str">
        <f>'Recurrentes 24-26'!T77</f>
        <v/>
      </c>
      <c r="U75" s="451" t="str">
        <f>'Recurrentes 24-26'!U77</f>
        <v/>
      </c>
      <c r="V75" s="451" t="str">
        <f>'Recurrentes 24-26'!V77</f>
        <v/>
      </c>
      <c r="W75" s="451">
        <f>'Recurrentes 24-26'!W77</f>
        <v>0</v>
      </c>
      <c r="X75" s="451">
        <f>'Recurrentes 24-26'!X77</f>
        <v>10</v>
      </c>
      <c r="Y75" s="451">
        <f>'Recurrentes 24-26'!Y77</f>
        <v>5</v>
      </c>
      <c r="Z75" s="451">
        <f>'Recurrentes 24-26'!Z77</f>
        <v>10</v>
      </c>
      <c r="AA75" s="451">
        <f>'Recurrentes 24-26'!AA77</f>
        <v>30</v>
      </c>
      <c r="AB75" s="451">
        <f>'Recurrentes 24-26'!AB77</f>
        <v>30</v>
      </c>
      <c r="AC75" s="451">
        <f>'Recurrentes 24-26'!AC77</f>
        <v>40</v>
      </c>
      <c r="AD75" s="451">
        <f>'Recurrentes 24-26'!AD77</f>
        <v>15</v>
      </c>
      <c r="AE75" s="451">
        <f>'Recurrentes 24-26'!AE77</f>
        <v>10</v>
      </c>
      <c r="AF75" s="451">
        <f>'Recurrentes 24-26'!AF77</f>
        <v>3</v>
      </c>
      <c r="AG75" s="451">
        <f>'Recurrentes 24-26'!AG77</f>
        <v>0</v>
      </c>
      <c r="AH75" s="451">
        <f>'Recurrentes 24-26'!AH77</f>
        <v>0</v>
      </c>
      <c r="AI75" s="451">
        <f>'Recurrentes 24-26'!AI77</f>
        <v>153</v>
      </c>
      <c r="AJ75" s="451">
        <f>'Recurrentes 24-26'!AJ77</f>
        <v>10</v>
      </c>
      <c r="AK75" s="451">
        <f>'Recurrentes 24-26'!AK77</f>
        <v>5</v>
      </c>
      <c r="AL75" s="451">
        <f>'Recurrentes 24-26'!AL77</f>
        <v>10</v>
      </c>
      <c r="AM75" s="451">
        <f>'Recurrentes 24-26'!AM77</f>
        <v>30</v>
      </c>
      <c r="AN75" s="451">
        <f>'Recurrentes 24-26'!AN77</f>
        <v>30</v>
      </c>
      <c r="AO75" s="451">
        <f>'Recurrentes 24-26'!AO77</f>
        <v>40</v>
      </c>
      <c r="AP75" s="451">
        <f>'Recurrentes 24-26'!AP77</f>
        <v>15</v>
      </c>
      <c r="AQ75" s="451">
        <f>'Recurrentes 24-26'!AQ77</f>
        <v>10</v>
      </c>
      <c r="AR75" s="451">
        <f>'Recurrentes 24-26'!AR77</f>
        <v>3</v>
      </c>
      <c r="AS75" s="451">
        <f>'Recurrentes 24-26'!AS77</f>
        <v>0</v>
      </c>
      <c r="AT75" s="451">
        <f>'Recurrentes 24-26'!AT77</f>
        <v>0</v>
      </c>
      <c r="AU75" s="451">
        <f>'Recurrentes 24-26'!AU77</f>
        <v>153</v>
      </c>
      <c r="AV75" s="1063">
        <f>'Recurrentes 24-26'!AV77</f>
        <v>306</v>
      </c>
      <c r="AW75" s="451" t="str">
        <f>'Recurrentes 24-26'!AW77</f>
        <v/>
      </c>
      <c r="AX75" s="451">
        <f>'Recurrentes 24-26'!AX77</f>
        <v>439.02</v>
      </c>
      <c r="AY75" s="451">
        <f>'Recurrentes 24-26'!AY77</f>
        <v>3059.9694</v>
      </c>
      <c r="AZ75" s="1064" t="str">
        <f>'Recurrentes 24-26'!AZ77</f>
        <v/>
      </c>
      <c r="BA75" s="1064">
        <f>'Recurrentes 24-26'!BA77</f>
        <v>0</v>
      </c>
      <c r="BB75" s="1064">
        <f>'Recurrentes 24-26'!BB77</f>
        <v>0</v>
      </c>
      <c r="BC75" s="1064">
        <f>'Recurrentes 24-26'!BC77</f>
        <v>0</v>
      </c>
      <c r="BD75" s="1064">
        <f>'Recurrentes 24-26'!BD77</f>
        <v>0</v>
      </c>
      <c r="BE75" s="1064">
        <f>'Recurrentes 24-26'!BE77</f>
        <v>0</v>
      </c>
      <c r="BF75" s="1064">
        <f>'Recurrentes 24-26'!BF77</f>
        <v>0</v>
      </c>
      <c r="BG75" s="1064">
        <f>'Recurrentes 24-26'!BG77</f>
        <v>0</v>
      </c>
      <c r="BH75" s="1064">
        <f>'Recurrentes 24-26'!BH77</f>
        <v>0</v>
      </c>
      <c r="BI75" s="1064">
        <f>'Recurrentes 24-26'!BI77</f>
        <v>0</v>
      </c>
      <c r="BJ75" s="1064">
        <f>'Recurrentes 24-26'!BJ77</f>
        <v>0</v>
      </c>
      <c r="BK75" s="451"/>
      <c r="BL75" s="1064">
        <f>'Recurrentes 24-26'!BK77</f>
        <v>0</v>
      </c>
      <c r="BM75" s="1064">
        <f>'Recurrentes 24-26'!BL77</f>
        <v>30599.694</v>
      </c>
      <c r="BN75" s="1064">
        <f>'Recurrentes 24-26'!BM77</f>
        <v>15299.847</v>
      </c>
      <c r="BO75" s="1064">
        <f>'Recurrentes 24-26'!BN77</f>
        <v>30599.694</v>
      </c>
      <c r="BP75" s="1064">
        <f>'Recurrentes 24-26'!BO77</f>
        <v>91799.082</v>
      </c>
      <c r="BQ75" s="1064">
        <f>'Recurrentes 24-26'!BP77</f>
        <v>91799.082</v>
      </c>
      <c r="BR75" s="1064">
        <f>'Recurrentes 24-26'!BQ77</f>
        <v>122398.776</v>
      </c>
      <c r="BS75" s="1064">
        <f>'Recurrentes 24-26'!BR77</f>
        <v>45899.541</v>
      </c>
      <c r="BT75" s="1064">
        <f>'Recurrentes 24-26'!BS77</f>
        <v>30599.694</v>
      </c>
      <c r="BU75" s="1064">
        <f>'Recurrentes 24-26'!BT77</f>
        <v>9179.9082</v>
      </c>
      <c r="BV75" s="1064">
        <f>'Recurrentes 24-26'!BU77</f>
        <v>0</v>
      </c>
      <c r="BW75" s="451"/>
      <c r="BX75" s="1064">
        <f>'Recurrentes 24-26'!BV77</f>
        <v>468175.3182</v>
      </c>
      <c r="BY75" s="1064">
        <f>'Recurrentes 24-26'!BW77</f>
        <v>30599.694</v>
      </c>
      <c r="BZ75" s="1064">
        <f>'Recurrentes 24-26'!BX77</f>
        <v>15299.847</v>
      </c>
      <c r="CA75" s="1064">
        <f>'Recurrentes 24-26'!BY77</f>
        <v>30599.694</v>
      </c>
      <c r="CB75" s="1064">
        <f>'Recurrentes 24-26'!BZ77</f>
        <v>91799.082</v>
      </c>
      <c r="CC75" s="1064">
        <f>'Recurrentes 24-26'!CA77</f>
        <v>91799.082</v>
      </c>
      <c r="CD75" s="1064">
        <f>'Recurrentes 24-26'!CB77</f>
        <v>122398.776</v>
      </c>
      <c r="CE75" s="1064">
        <f>'Recurrentes 24-26'!CC77</f>
        <v>45899.541</v>
      </c>
      <c r="CF75" s="1064">
        <f>'Recurrentes 24-26'!CD77</f>
        <v>30599.694</v>
      </c>
      <c r="CG75" s="1064">
        <f>'Recurrentes 24-26'!CE77</f>
        <v>9179.9082</v>
      </c>
      <c r="CH75" s="1064">
        <f>'Recurrentes 24-26'!CF77</f>
        <v>0</v>
      </c>
      <c r="CI75" s="451"/>
      <c r="CJ75" s="1064">
        <f>'Recurrentes 24-26'!CG77</f>
        <v>468175.3182</v>
      </c>
      <c r="CK75" s="1064">
        <f>'Recurrentes 24-26'!CH77</f>
        <v>936350.6364</v>
      </c>
      <c r="CL75" s="451" t="str">
        <f>'Recurrentes 24-26'!CI77</f>
        <v/>
      </c>
      <c r="CM75" s="1064" t="str">
        <f>'Recurrentes 24-26'!CJ77</f>
        <v>Se rebajo a 0,185,,185 = 370, Quiza se tenia en existencias</v>
      </c>
      <c r="CN75" s="451">
        <f>'Recurrentes 24-26'!CK77</f>
        <v>1</v>
      </c>
      <c r="CO75" s="451" t="str">
        <f>'Recurrentes 24-26'!CL77</f>
        <v/>
      </c>
      <c r="CP75" s="451" t="str">
        <f>'Recurrentes 24-26'!CM77</f>
        <v/>
      </c>
    </row>
    <row r="76">
      <c r="A76" s="451" t="str">
        <f>'Recurrentes 24-26'!A78</f>
        <v>Repuestos Electromecánicos recurrentes</v>
      </c>
      <c r="B76" s="451">
        <f>'Recurrentes 24-26'!B78</f>
        <v>2</v>
      </c>
      <c r="C76" s="451" t="str">
        <f>'Recurrentes 24-26'!C78</f>
        <v>Vehículo</v>
      </c>
      <c r="D76" s="451" t="str">
        <f>'Recurrentes 24-26'!D78</f>
        <v>Manto. Pinza</v>
      </c>
      <c r="E76" s="451" t="str">
        <f>'Recurrentes 24-26'!E78</f>
        <v>Repuesto Mecánico</v>
      </c>
      <c r="F76" s="451" t="str">
        <f>'Recurrentes 24-26'!F78</f>
        <v>TDB</v>
      </c>
      <c r="G76" s="1025" t="str">
        <f>'Recurrentes 24-26'!G78</f>
        <v>39800</v>
      </c>
      <c r="H76" s="1061" t="str">
        <f>'Recurrentes 24-26'!H78</f>
        <v>2-01-00022</v>
      </c>
      <c r="I76" s="1061" t="str">
        <f>'Recurrentes 24-26'!I78</f>
        <v>10000313</v>
      </c>
      <c r="J76" s="1061" t="str">
        <f>'Recurrentes 24-26'!J78</f>
        <v>CIRCLIP DIN 471 30X2,0 REFOZADO, FOSFATIZADO</v>
      </c>
      <c r="K76" s="451" t="str">
        <f>'Recurrentes 24-26'!K78</f>
        <v>Pza</v>
      </c>
      <c r="L76" s="451">
        <f>'Recurrentes 24-26'!L78</f>
        <v>197</v>
      </c>
      <c r="M76" s="451">
        <f>'Recurrentes 24-26'!M78</f>
        <v>117</v>
      </c>
      <c r="N76" s="451">
        <f>'Recurrentes 24-26'!N78</f>
        <v>172</v>
      </c>
      <c r="O76" s="451">
        <f>'Recurrentes 24-26'!O78</f>
        <v>222</v>
      </c>
      <c r="P76" s="451">
        <f>'Recurrentes 24-26'!P78</f>
        <v>254</v>
      </c>
      <c r="Q76" s="451">
        <f>'Recurrentes 24-26'!Q78</f>
        <v>420</v>
      </c>
      <c r="R76" s="451">
        <f>'Recurrentes 24-26'!R78</f>
        <v>0</v>
      </c>
      <c r="S76" s="451">
        <f>'Recurrentes 24-26'!S78</f>
        <v>314</v>
      </c>
      <c r="T76" s="451">
        <f>'Recurrentes 24-26'!T78</f>
        <v>54</v>
      </c>
      <c r="U76" s="451">
        <f>'Recurrentes 24-26'!U78</f>
        <v>0</v>
      </c>
      <c r="V76" s="451">
        <f>'Recurrentes 24-26'!V78</f>
        <v>0</v>
      </c>
      <c r="W76" s="1062">
        <f>'Recurrentes 24-26'!W78</f>
        <v>1750</v>
      </c>
      <c r="X76" s="451">
        <f>'Recurrentes 24-26'!X78</f>
        <v>197</v>
      </c>
      <c r="Y76" s="451">
        <f>'Recurrentes 24-26'!Y78</f>
        <v>117</v>
      </c>
      <c r="Z76" s="451">
        <f>'Recurrentes 24-26'!Z78</f>
        <v>172</v>
      </c>
      <c r="AA76" s="451">
        <f>'Recurrentes 24-26'!AA78</f>
        <v>222</v>
      </c>
      <c r="AB76" s="451">
        <f>'Recurrentes 24-26'!AB78</f>
        <v>254</v>
      </c>
      <c r="AC76" s="451">
        <f>'Recurrentes 24-26'!AC78</f>
        <v>420</v>
      </c>
      <c r="AD76" s="451">
        <f>'Recurrentes 24-26'!AD78</f>
        <v>0</v>
      </c>
      <c r="AE76" s="451">
        <f>'Recurrentes 24-26'!AE78</f>
        <v>314</v>
      </c>
      <c r="AF76" s="451">
        <f>'Recurrentes 24-26'!AF78</f>
        <v>54</v>
      </c>
      <c r="AG76" s="451">
        <f>'Recurrentes 24-26'!AG78</f>
        <v>0</v>
      </c>
      <c r="AH76" s="451">
        <f>'Recurrentes 24-26'!AH78</f>
        <v>0</v>
      </c>
      <c r="AI76" s="1062">
        <f>'Recurrentes 24-26'!AI78</f>
        <v>1750</v>
      </c>
      <c r="AJ76" s="451">
        <f>'Recurrentes 24-26'!AJ78</f>
        <v>197</v>
      </c>
      <c r="AK76" s="451">
        <f>'Recurrentes 24-26'!AK78</f>
        <v>117</v>
      </c>
      <c r="AL76" s="451">
        <f>'Recurrentes 24-26'!AL78</f>
        <v>172</v>
      </c>
      <c r="AM76" s="451">
        <f>'Recurrentes 24-26'!AM78</f>
        <v>222</v>
      </c>
      <c r="AN76" s="451">
        <f>'Recurrentes 24-26'!AN78</f>
        <v>254</v>
      </c>
      <c r="AO76" s="451">
        <f>'Recurrentes 24-26'!AO78</f>
        <v>420</v>
      </c>
      <c r="AP76" s="451">
        <f>'Recurrentes 24-26'!AP78</f>
        <v>266</v>
      </c>
      <c r="AQ76" s="451">
        <f>'Recurrentes 24-26'!AQ78</f>
        <v>314</v>
      </c>
      <c r="AR76" s="451">
        <f>'Recurrentes 24-26'!AR78</f>
        <v>54</v>
      </c>
      <c r="AS76" s="451">
        <f>'Recurrentes 24-26'!AS78</f>
        <v>330</v>
      </c>
      <c r="AT76" s="451">
        <f>'Recurrentes 24-26'!AT78</f>
        <v>0</v>
      </c>
      <c r="AU76" s="1062">
        <f>'Recurrentes 24-26'!AU78</f>
        <v>2346</v>
      </c>
      <c r="AV76" s="1063">
        <f>'Recurrentes 24-26'!AV78</f>
        <v>5846</v>
      </c>
      <c r="AW76" s="451" t="str">
        <f>'Recurrentes 24-26'!AW78</f>
        <v/>
      </c>
      <c r="AX76" s="1062">
        <f>'Recurrentes 24-26'!AX78</f>
        <v>0.5</v>
      </c>
      <c r="AY76" s="1062">
        <f>'Recurrentes 24-26'!AY78</f>
        <v>3.48</v>
      </c>
      <c r="AZ76" s="1064" t="str">
        <f>'Recurrentes 24-26'!AZ78</f>
        <v/>
      </c>
      <c r="BA76" s="1064">
        <f>'Recurrentes 24-26'!BA78</f>
        <v>685.56</v>
      </c>
      <c r="BB76" s="1064">
        <f>'Recurrentes 24-26'!BB78</f>
        <v>407.16</v>
      </c>
      <c r="BC76" s="1064">
        <f>'Recurrentes 24-26'!BC78</f>
        <v>598.56</v>
      </c>
      <c r="BD76" s="1064">
        <f>'Recurrentes 24-26'!BD78</f>
        <v>772.56</v>
      </c>
      <c r="BE76" s="1064">
        <f>'Recurrentes 24-26'!BE78</f>
        <v>883.92</v>
      </c>
      <c r="BF76" s="1064">
        <f>'Recurrentes 24-26'!BF78</f>
        <v>1461.6</v>
      </c>
      <c r="BG76" s="1064">
        <f>'Recurrentes 24-26'!BG78</f>
        <v>0</v>
      </c>
      <c r="BH76" s="1064">
        <f>'Recurrentes 24-26'!BH78</f>
        <v>1092.72</v>
      </c>
      <c r="BI76" s="1064">
        <f>'Recurrentes 24-26'!BI78</f>
        <v>187.92</v>
      </c>
      <c r="BJ76" s="1064">
        <f>'Recurrentes 24-26'!BJ78</f>
        <v>0</v>
      </c>
      <c r="BK76" s="451"/>
      <c r="BL76" s="1062">
        <f>'Recurrentes 24-26'!BK78</f>
        <v>6090</v>
      </c>
      <c r="BM76" s="1064">
        <f>'Recurrentes 24-26'!BL78</f>
        <v>685.56</v>
      </c>
      <c r="BN76" s="1064">
        <f>'Recurrentes 24-26'!BM78</f>
        <v>407.16</v>
      </c>
      <c r="BO76" s="1064">
        <f>'Recurrentes 24-26'!BN78</f>
        <v>598.56</v>
      </c>
      <c r="BP76" s="1064">
        <f>'Recurrentes 24-26'!BO78</f>
        <v>772.56</v>
      </c>
      <c r="BQ76" s="1064">
        <f>'Recurrentes 24-26'!BP78</f>
        <v>883.92</v>
      </c>
      <c r="BR76" s="1064">
        <f>'Recurrentes 24-26'!BQ78</f>
        <v>1461.6</v>
      </c>
      <c r="BS76" s="1064">
        <f>'Recurrentes 24-26'!BR78</f>
        <v>0</v>
      </c>
      <c r="BT76" s="1064">
        <f>'Recurrentes 24-26'!BS78</f>
        <v>1092.72</v>
      </c>
      <c r="BU76" s="1064">
        <f>'Recurrentes 24-26'!BT78</f>
        <v>187.92</v>
      </c>
      <c r="BV76" s="1064">
        <f>'Recurrentes 24-26'!BU78</f>
        <v>0</v>
      </c>
      <c r="BW76" s="451"/>
      <c r="BX76" s="1062">
        <f>'Recurrentes 24-26'!BV78</f>
        <v>6090</v>
      </c>
      <c r="BY76" s="1064">
        <f>'Recurrentes 24-26'!BW78</f>
        <v>685.56</v>
      </c>
      <c r="BZ76" s="1064">
        <f>'Recurrentes 24-26'!BX78</f>
        <v>407.16</v>
      </c>
      <c r="CA76" s="1064">
        <f>'Recurrentes 24-26'!BY78</f>
        <v>598.56</v>
      </c>
      <c r="CB76" s="1064">
        <f>'Recurrentes 24-26'!BZ78</f>
        <v>772.56</v>
      </c>
      <c r="CC76" s="1064">
        <f>'Recurrentes 24-26'!CA78</f>
        <v>883.92</v>
      </c>
      <c r="CD76" s="1064">
        <f>'Recurrentes 24-26'!CB78</f>
        <v>1461.6</v>
      </c>
      <c r="CE76" s="1064">
        <f>'Recurrentes 24-26'!CC78</f>
        <v>925.68</v>
      </c>
      <c r="CF76" s="1064">
        <f>'Recurrentes 24-26'!CD78</f>
        <v>1092.72</v>
      </c>
      <c r="CG76" s="1064">
        <f>'Recurrentes 24-26'!CE78</f>
        <v>187.92</v>
      </c>
      <c r="CH76" s="1064">
        <f>'Recurrentes 24-26'!CF78</f>
        <v>1148.4</v>
      </c>
      <c r="CI76" s="451"/>
      <c r="CJ76" s="1062">
        <f>'Recurrentes 24-26'!CG78</f>
        <v>8164.08</v>
      </c>
      <c r="CK76" s="1062">
        <f>'Recurrentes 24-26'!CH78</f>
        <v>20344.08</v>
      </c>
      <c r="CL76" s="451" t="str">
        <f>'Recurrentes 24-26'!CI78</f>
        <v/>
      </c>
      <c r="CM76" s="1064" t="str">
        <f>'Recurrentes 24-26'!CJ78</f>
        <v/>
      </c>
      <c r="CN76" s="451">
        <f>'Recurrentes 24-26'!CK78</f>
        <v>1</v>
      </c>
      <c r="CO76" s="1062">
        <f>'Recurrentes 24-26'!CL78</f>
        <v>0.5</v>
      </c>
      <c r="CP76" s="451" t="str">
        <f>'Recurrentes 24-26'!CM78</f>
        <v/>
      </c>
    </row>
    <row r="77">
      <c r="A77" s="451" t="str">
        <f>'Recurrentes 24-26'!A79</f>
        <v>Repuestos Electromecánicos recurrentes</v>
      </c>
      <c r="B77" s="451">
        <f>'Recurrentes 24-26'!B79</f>
        <v>2</v>
      </c>
      <c r="C77" s="451" t="str">
        <f>'Recurrentes 24-26'!C79</f>
        <v>Vehículo</v>
      </c>
      <c r="D77" s="451" t="str">
        <f>'Recurrentes 24-26'!D79</f>
        <v>Manto. Pinza</v>
      </c>
      <c r="E77" s="451" t="str">
        <f>'Recurrentes 24-26'!E79</f>
        <v>Repuesto Mecánico</v>
      </c>
      <c r="F77" s="451" t="str">
        <f>'Recurrentes 24-26'!F79</f>
        <v>TDB</v>
      </c>
      <c r="G77" s="1025" t="str">
        <f>'Recurrentes 24-26'!G79</f>
        <v>39800</v>
      </c>
      <c r="H77" s="1061" t="str">
        <f>'Recurrentes 24-26'!H79</f>
        <v>2-01-00021</v>
      </c>
      <c r="I77" s="1061" t="str">
        <f>'Recurrentes 24-26'!I79</f>
        <v>10274052</v>
      </c>
      <c r="J77" s="1061" t="str">
        <f>'Recurrentes 24-26'!J79</f>
        <v>CIRCLIP INTER. DIN 472  72X3,0 GALVAN.</v>
      </c>
      <c r="K77" s="451" t="str">
        <f>'Recurrentes 24-26'!K79</f>
        <v>Pza</v>
      </c>
      <c r="L77" s="451">
        <f>'Recurrentes 24-26'!L79</f>
        <v>23</v>
      </c>
      <c r="M77" s="451">
        <f>'Recurrentes 24-26'!M79</f>
        <v>18</v>
      </c>
      <c r="N77" s="451">
        <f>'Recurrentes 24-26'!N79</f>
        <v>28</v>
      </c>
      <c r="O77" s="451">
        <f>'Recurrentes 24-26'!O79</f>
        <v>20</v>
      </c>
      <c r="P77" s="451">
        <f>'Recurrentes 24-26'!P79</f>
        <v>23</v>
      </c>
      <c r="Q77" s="451">
        <f>'Recurrentes 24-26'!Q79</f>
        <v>39</v>
      </c>
      <c r="R77" s="451">
        <f>'Recurrentes 24-26'!R79</f>
        <v>18</v>
      </c>
      <c r="S77" s="451">
        <f>'Recurrentes 24-26'!S79</f>
        <v>18</v>
      </c>
      <c r="T77" s="451">
        <f>'Recurrentes 24-26'!T79</f>
        <v>9</v>
      </c>
      <c r="U77" s="451">
        <f>'Recurrentes 24-26'!U79</f>
        <v>28</v>
      </c>
      <c r="V77" s="451">
        <f>'Recurrentes 24-26'!V79</f>
        <v>0</v>
      </c>
      <c r="W77" s="1062">
        <f>'Recurrentes 24-26'!W79</f>
        <v>224</v>
      </c>
      <c r="X77" s="451">
        <f>'Recurrentes 24-26'!X79</f>
        <v>25</v>
      </c>
      <c r="Y77" s="451">
        <f>'Recurrentes 24-26'!Y79</f>
        <v>20</v>
      </c>
      <c r="Z77" s="451">
        <f>'Recurrentes 24-26'!Z79</f>
        <v>30</v>
      </c>
      <c r="AA77" s="451">
        <f>'Recurrentes 24-26'!AA79</f>
        <v>22</v>
      </c>
      <c r="AB77" s="451">
        <f>'Recurrentes 24-26'!AB79</f>
        <v>25</v>
      </c>
      <c r="AC77" s="451">
        <f>'Recurrentes 24-26'!AC79</f>
        <v>42</v>
      </c>
      <c r="AD77" s="451">
        <f>'Recurrentes 24-26'!AD79</f>
        <v>20</v>
      </c>
      <c r="AE77" s="451">
        <f>'Recurrentes 24-26'!AE79</f>
        <v>20</v>
      </c>
      <c r="AF77" s="451">
        <f>'Recurrentes 24-26'!AF79</f>
        <v>10</v>
      </c>
      <c r="AG77" s="451">
        <f>'Recurrentes 24-26'!AG79</f>
        <v>30</v>
      </c>
      <c r="AH77" s="451">
        <f>'Recurrentes 24-26'!AH79</f>
        <v>0</v>
      </c>
      <c r="AI77" s="1062">
        <f>'Recurrentes 24-26'!AI79</f>
        <v>244</v>
      </c>
      <c r="AJ77" s="451">
        <f>'Recurrentes 24-26'!AJ79</f>
        <v>25</v>
      </c>
      <c r="AK77" s="451">
        <f>'Recurrentes 24-26'!AK79</f>
        <v>20</v>
      </c>
      <c r="AL77" s="451">
        <f>'Recurrentes 24-26'!AL79</f>
        <v>30</v>
      </c>
      <c r="AM77" s="451">
        <f>'Recurrentes 24-26'!AM79</f>
        <v>22</v>
      </c>
      <c r="AN77" s="451">
        <f>'Recurrentes 24-26'!AN79</f>
        <v>25</v>
      </c>
      <c r="AO77" s="451">
        <f>'Recurrentes 24-26'!AO79</f>
        <v>42</v>
      </c>
      <c r="AP77" s="451">
        <f>'Recurrentes 24-26'!AP79</f>
        <v>20</v>
      </c>
      <c r="AQ77" s="451">
        <f>'Recurrentes 24-26'!AQ79</f>
        <v>20</v>
      </c>
      <c r="AR77" s="451">
        <f>'Recurrentes 24-26'!AR79</f>
        <v>10</v>
      </c>
      <c r="AS77" s="451">
        <f>'Recurrentes 24-26'!AS79</f>
        <v>30</v>
      </c>
      <c r="AT77" s="451">
        <f>'Recurrentes 24-26'!AT79</f>
        <v>0</v>
      </c>
      <c r="AU77" s="1062">
        <f>'Recurrentes 24-26'!AU79</f>
        <v>244</v>
      </c>
      <c r="AV77" s="1063">
        <f>'Recurrentes 24-26'!AV79</f>
        <v>712</v>
      </c>
      <c r="AW77" s="451" t="str">
        <f>'Recurrentes 24-26'!AW79</f>
        <v/>
      </c>
      <c r="AX77" s="1062">
        <f>'Recurrentes 24-26'!AX79</f>
        <v>3.81</v>
      </c>
      <c r="AY77" s="1062">
        <f>'Recurrentes 24-26'!AY79</f>
        <v>26.5176</v>
      </c>
      <c r="AZ77" s="1064" t="str">
        <f>'Recurrentes 24-26'!AZ79</f>
        <v/>
      </c>
      <c r="BA77" s="1064">
        <f>'Recurrentes 24-26'!BA79</f>
        <v>609.9048</v>
      </c>
      <c r="BB77" s="1064">
        <f>'Recurrentes 24-26'!BB79</f>
        <v>477.3168</v>
      </c>
      <c r="BC77" s="1064">
        <f>'Recurrentes 24-26'!BC79</f>
        <v>742.4928</v>
      </c>
      <c r="BD77" s="1064">
        <f>'Recurrentes 24-26'!BD79</f>
        <v>530.352</v>
      </c>
      <c r="BE77" s="1064">
        <f>'Recurrentes 24-26'!BE79</f>
        <v>609.9048</v>
      </c>
      <c r="BF77" s="1064">
        <f>'Recurrentes 24-26'!BF79</f>
        <v>1034.1864</v>
      </c>
      <c r="BG77" s="1064">
        <f>'Recurrentes 24-26'!BG79</f>
        <v>477.3168</v>
      </c>
      <c r="BH77" s="1064">
        <f>'Recurrentes 24-26'!BH79</f>
        <v>477.3168</v>
      </c>
      <c r="BI77" s="1064">
        <f>'Recurrentes 24-26'!BI79</f>
        <v>238.6584</v>
      </c>
      <c r="BJ77" s="1064">
        <f>'Recurrentes 24-26'!BJ79</f>
        <v>742.4928</v>
      </c>
      <c r="BK77" s="451"/>
      <c r="BL77" s="1062">
        <f>'Recurrentes 24-26'!BK79</f>
        <v>5939.9424</v>
      </c>
      <c r="BM77" s="1064">
        <f>'Recurrentes 24-26'!BL79</f>
        <v>662.94</v>
      </c>
      <c r="BN77" s="1064">
        <f>'Recurrentes 24-26'!BM79</f>
        <v>530.352</v>
      </c>
      <c r="BO77" s="1064">
        <f>'Recurrentes 24-26'!BN79</f>
        <v>795.528</v>
      </c>
      <c r="BP77" s="1064">
        <f>'Recurrentes 24-26'!BO79</f>
        <v>583.3872</v>
      </c>
      <c r="BQ77" s="1064">
        <f>'Recurrentes 24-26'!BP79</f>
        <v>662.94</v>
      </c>
      <c r="BR77" s="1064">
        <f>'Recurrentes 24-26'!BQ79</f>
        <v>1113.7392</v>
      </c>
      <c r="BS77" s="1064">
        <f>'Recurrentes 24-26'!BR79</f>
        <v>530.352</v>
      </c>
      <c r="BT77" s="1064">
        <f>'Recurrentes 24-26'!BS79</f>
        <v>530.352</v>
      </c>
      <c r="BU77" s="1064">
        <f>'Recurrentes 24-26'!BT79</f>
        <v>265.176</v>
      </c>
      <c r="BV77" s="1064">
        <f>'Recurrentes 24-26'!BU79</f>
        <v>795.528</v>
      </c>
      <c r="BW77" s="451"/>
      <c r="BX77" s="1062">
        <f>'Recurrentes 24-26'!BV79</f>
        <v>6470.2944</v>
      </c>
      <c r="BY77" s="1064">
        <f>'Recurrentes 24-26'!BW79</f>
        <v>662.94</v>
      </c>
      <c r="BZ77" s="1064">
        <f>'Recurrentes 24-26'!BX79</f>
        <v>530.352</v>
      </c>
      <c r="CA77" s="1064">
        <f>'Recurrentes 24-26'!BY79</f>
        <v>795.528</v>
      </c>
      <c r="CB77" s="1064">
        <f>'Recurrentes 24-26'!BZ79</f>
        <v>583.3872</v>
      </c>
      <c r="CC77" s="1064">
        <f>'Recurrentes 24-26'!CA79</f>
        <v>662.94</v>
      </c>
      <c r="CD77" s="1064">
        <f>'Recurrentes 24-26'!CB79</f>
        <v>1113.7392</v>
      </c>
      <c r="CE77" s="1064">
        <f>'Recurrentes 24-26'!CC79</f>
        <v>530.352</v>
      </c>
      <c r="CF77" s="1064">
        <f>'Recurrentes 24-26'!CD79</f>
        <v>530.352</v>
      </c>
      <c r="CG77" s="1064">
        <f>'Recurrentes 24-26'!CE79</f>
        <v>265.176</v>
      </c>
      <c r="CH77" s="1064">
        <f>'Recurrentes 24-26'!CF79</f>
        <v>795.528</v>
      </c>
      <c r="CI77" s="451"/>
      <c r="CJ77" s="1062">
        <f>'Recurrentes 24-26'!CG79</f>
        <v>6470.2944</v>
      </c>
      <c r="CK77" s="1062">
        <f>'Recurrentes 24-26'!CH79</f>
        <v>18880.5312</v>
      </c>
      <c r="CL77" s="451" t="str">
        <f>'Recurrentes 24-26'!CI79</f>
        <v/>
      </c>
      <c r="CM77" s="1064" t="str">
        <f>'Recurrentes 24-26'!CJ79</f>
        <v/>
      </c>
      <c r="CN77" s="451">
        <f>'Recurrentes 24-26'!CK79</f>
        <v>1</v>
      </c>
      <c r="CO77" s="1062">
        <f>'Recurrentes 24-26'!CL79</f>
        <v>3.81</v>
      </c>
      <c r="CP77" s="451" t="str">
        <f>'Recurrentes 24-26'!CM79</f>
        <v/>
      </c>
    </row>
    <row r="78">
      <c r="A78" s="451" t="str">
        <f>'Recurrentes 24-26'!A80</f>
        <v>Repuestos Electromecánicos recurrentes</v>
      </c>
      <c r="B78" s="451">
        <f>'Recurrentes 24-26'!B80</f>
        <v>2</v>
      </c>
      <c r="C78" s="451" t="str">
        <f>'Recurrentes 24-26'!C80</f>
        <v>Vehículo</v>
      </c>
      <c r="D78" s="451" t="str">
        <f>'Recurrentes 24-26'!D80</f>
        <v>10% Suspensiones de Cabinas </v>
      </c>
      <c r="E78" s="451" t="str">
        <f>'Recurrentes 24-26'!E80</f>
        <v>Repuesto Mecánico</v>
      </c>
      <c r="F78" s="451" t="str">
        <f>'Recurrentes 24-26'!F80</f>
        <v>TDB</v>
      </c>
      <c r="G78" s="1025" t="str">
        <f>'Recurrentes 24-26'!G80</f>
        <v>39800</v>
      </c>
      <c r="H78" s="1061" t="str">
        <f>'Recurrentes 24-26'!H80</f>
        <v>2-01-00743</v>
      </c>
      <c r="I78" s="1061" t="str">
        <f>'Recurrentes 24-26'!I80</f>
        <v>10752834</v>
      </c>
      <c r="J78" s="1061" t="str">
        <f>'Recurrentes 24-26'!J80</f>
        <v>ANILLO EN O, DIA I. 22,0X3,5</v>
      </c>
      <c r="K78" s="451" t="str">
        <f>'Recurrentes 24-26'!K80</f>
        <v>Pza</v>
      </c>
      <c r="L78" s="451">
        <f>'Recurrentes 24-26'!L80</f>
        <v>80</v>
      </c>
      <c r="M78" s="451">
        <f>'Recurrentes 24-26'!M80</f>
        <v>60</v>
      </c>
      <c r="N78" s="451">
        <f>'Recurrentes 24-26'!N80</f>
        <v>72</v>
      </c>
      <c r="O78" s="451">
        <f>'Recurrentes 24-26'!O80</f>
        <v>0</v>
      </c>
      <c r="P78" s="451">
        <f>'Recurrentes 24-26'!P80</f>
        <v>0</v>
      </c>
      <c r="Q78" s="451">
        <f>'Recurrentes 24-26'!Q80</f>
        <v>0</v>
      </c>
      <c r="R78" s="451">
        <f>'Recurrentes 24-26'!R80</f>
        <v>0</v>
      </c>
      <c r="S78" s="451">
        <f>'Recurrentes 24-26'!S80</f>
        <v>64</v>
      </c>
      <c r="T78" s="451">
        <f>'Recurrentes 24-26'!T80</f>
        <v>12</v>
      </c>
      <c r="U78" s="451">
        <f>'Recurrentes 24-26'!U80</f>
        <v>0</v>
      </c>
      <c r="V78" s="451">
        <f>'Recurrentes 24-26'!V80</f>
        <v>0</v>
      </c>
      <c r="W78" s="1062">
        <f>'Recurrentes 24-26'!W80</f>
        <v>288</v>
      </c>
      <c r="X78" s="451">
        <f>'Recurrentes 24-26'!X80</f>
        <v>80</v>
      </c>
      <c r="Y78" s="451">
        <f>'Recurrentes 24-26'!Y80</f>
        <v>60</v>
      </c>
      <c r="Z78" s="451">
        <f>'Recurrentes 24-26'!Z80</f>
        <v>72</v>
      </c>
      <c r="AA78" s="451">
        <f>'Recurrentes 24-26'!AA80</f>
        <v>44</v>
      </c>
      <c r="AB78" s="451">
        <f>'Recurrentes 24-26'!AB80</f>
        <v>52</v>
      </c>
      <c r="AC78" s="451">
        <f>'Recurrentes 24-26'!AC80</f>
        <v>84</v>
      </c>
      <c r="AD78" s="451">
        <f>'Recurrentes 24-26'!AD80</f>
        <v>52</v>
      </c>
      <c r="AE78" s="451">
        <f>'Recurrentes 24-26'!AE80</f>
        <v>64</v>
      </c>
      <c r="AF78" s="451">
        <f>'Recurrentes 24-26'!AF80</f>
        <v>12</v>
      </c>
      <c r="AG78" s="451">
        <f>'Recurrentes 24-26'!AG80</f>
        <v>0</v>
      </c>
      <c r="AH78" s="451">
        <f>'Recurrentes 24-26'!AH80</f>
        <v>0</v>
      </c>
      <c r="AI78" s="1062">
        <f>'Recurrentes 24-26'!AI80</f>
        <v>520</v>
      </c>
      <c r="AJ78" s="451">
        <f>'Recurrentes 24-26'!AJ80</f>
        <v>80</v>
      </c>
      <c r="AK78" s="451">
        <f>'Recurrentes 24-26'!AK80</f>
        <v>60</v>
      </c>
      <c r="AL78" s="451">
        <f>'Recurrentes 24-26'!AL80</f>
        <v>72</v>
      </c>
      <c r="AM78" s="451">
        <f>'Recurrentes 24-26'!AM80</f>
        <v>44</v>
      </c>
      <c r="AN78" s="451">
        <f>'Recurrentes 24-26'!AN80</f>
        <v>52</v>
      </c>
      <c r="AO78" s="451">
        <f>'Recurrentes 24-26'!AO80</f>
        <v>84</v>
      </c>
      <c r="AP78" s="451">
        <f>'Recurrentes 24-26'!AP80</f>
        <v>52</v>
      </c>
      <c r="AQ78" s="451">
        <f>'Recurrentes 24-26'!AQ80</f>
        <v>64</v>
      </c>
      <c r="AR78" s="451">
        <f>'Recurrentes 24-26'!AR80</f>
        <v>12</v>
      </c>
      <c r="AS78" s="451">
        <f>'Recurrentes 24-26'!AS80</f>
        <v>0</v>
      </c>
      <c r="AT78" s="451">
        <f>'Recurrentes 24-26'!AT80</f>
        <v>0</v>
      </c>
      <c r="AU78" s="1062">
        <f>'Recurrentes 24-26'!AU80</f>
        <v>520</v>
      </c>
      <c r="AV78" s="1063">
        <f>'Recurrentes 24-26'!AV80</f>
        <v>1328</v>
      </c>
      <c r="AW78" s="451" t="str">
        <f>'Recurrentes 24-26'!AW80</f>
        <v/>
      </c>
      <c r="AX78" s="1062">
        <f>'Recurrentes 24-26'!AX80</f>
        <v>2.04</v>
      </c>
      <c r="AY78" s="1062">
        <f>'Recurrentes 24-26'!AY80</f>
        <v>14.1984</v>
      </c>
      <c r="AZ78" s="1064" t="str">
        <f>'Recurrentes 24-26'!AZ80</f>
        <v/>
      </c>
      <c r="BA78" s="1064">
        <f>'Recurrentes 24-26'!BA80</f>
        <v>1135.872</v>
      </c>
      <c r="BB78" s="1064">
        <f>'Recurrentes 24-26'!BB80</f>
        <v>851.904</v>
      </c>
      <c r="BC78" s="1064">
        <f>'Recurrentes 24-26'!BC80</f>
        <v>1022.2848</v>
      </c>
      <c r="BD78" s="1064">
        <f>'Recurrentes 24-26'!BD80</f>
        <v>0</v>
      </c>
      <c r="BE78" s="1064">
        <f>'Recurrentes 24-26'!BE80</f>
        <v>0</v>
      </c>
      <c r="BF78" s="1064">
        <f>'Recurrentes 24-26'!BF80</f>
        <v>0</v>
      </c>
      <c r="BG78" s="1064">
        <f>'Recurrentes 24-26'!BG80</f>
        <v>0</v>
      </c>
      <c r="BH78" s="1064">
        <f>'Recurrentes 24-26'!BH80</f>
        <v>908.6976</v>
      </c>
      <c r="BI78" s="1064">
        <f>'Recurrentes 24-26'!BI80</f>
        <v>170.3808</v>
      </c>
      <c r="BJ78" s="1064">
        <f>'Recurrentes 24-26'!BJ80</f>
        <v>0</v>
      </c>
      <c r="BK78" s="451"/>
      <c r="BL78" s="1062">
        <f>'Recurrentes 24-26'!BK80</f>
        <v>4089.1392</v>
      </c>
      <c r="BM78" s="1064">
        <f>'Recurrentes 24-26'!BL80</f>
        <v>1135.872</v>
      </c>
      <c r="BN78" s="1064">
        <f>'Recurrentes 24-26'!BM80</f>
        <v>851.904</v>
      </c>
      <c r="BO78" s="1064">
        <f>'Recurrentes 24-26'!BN80</f>
        <v>1022.2848</v>
      </c>
      <c r="BP78" s="1064">
        <f>'Recurrentes 24-26'!BO80</f>
        <v>624.7296</v>
      </c>
      <c r="BQ78" s="1064">
        <f>'Recurrentes 24-26'!BP80</f>
        <v>738.3168</v>
      </c>
      <c r="BR78" s="1064">
        <f>'Recurrentes 24-26'!BQ80</f>
        <v>1192.6656</v>
      </c>
      <c r="BS78" s="1064">
        <f>'Recurrentes 24-26'!BR80</f>
        <v>738.3168</v>
      </c>
      <c r="BT78" s="1064">
        <f>'Recurrentes 24-26'!BS80</f>
        <v>908.6976</v>
      </c>
      <c r="BU78" s="1064">
        <f>'Recurrentes 24-26'!BT80</f>
        <v>170.3808</v>
      </c>
      <c r="BV78" s="1064">
        <f>'Recurrentes 24-26'!BU80</f>
        <v>0</v>
      </c>
      <c r="BW78" s="451"/>
      <c r="BX78" s="1062">
        <f>'Recurrentes 24-26'!BV80</f>
        <v>7383.168</v>
      </c>
      <c r="BY78" s="1064">
        <f>'Recurrentes 24-26'!BW80</f>
        <v>1135.872</v>
      </c>
      <c r="BZ78" s="1064">
        <f>'Recurrentes 24-26'!BX80</f>
        <v>851.904</v>
      </c>
      <c r="CA78" s="1064">
        <f>'Recurrentes 24-26'!BY80</f>
        <v>1022.2848</v>
      </c>
      <c r="CB78" s="1064">
        <f>'Recurrentes 24-26'!BZ80</f>
        <v>624.7296</v>
      </c>
      <c r="CC78" s="1064">
        <f>'Recurrentes 24-26'!CA80</f>
        <v>738.3168</v>
      </c>
      <c r="CD78" s="1064">
        <f>'Recurrentes 24-26'!CB80</f>
        <v>1192.6656</v>
      </c>
      <c r="CE78" s="1064">
        <f>'Recurrentes 24-26'!CC80</f>
        <v>738.3168</v>
      </c>
      <c r="CF78" s="1064">
        <f>'Recurrentes 24-26'!CD80</f>
        <v>908.6976</v>
      </c>
      <c r="CG78" s="1064">
        <f>'Recurrentes 24-26'!CE80</f>
        <v>170.3808</v>
      </c>
      <c r="CH78" s="1064">
        <f>'Recurrentes 24-26'!CF80</f>
        <v>0</v>
      </c>
      <c r="CI78" s="451"/>
      <c r="CJ78" s="1062">
        <f>'Recurrentes 24-26'!CG80</f>
        <v>7383.168</v>
      </c>
      <c r="CK78" s="1062">
        <f>'Recurrentes 24-26'!CH80</f>
        <v>18855.4752</v>
      </c>
      <c r="CL78" s="451" t="str">
        <f>'Recurrentes 24-26'!CI80</f>
        <v/>
      </c>
      <c r="CM78" s="1064" t="str">
        <f>'Recurrentes 24-26'!CJ80</f>
        <v/>
      </c>
      <c r="CN78" s="451">
        <f>'Recurrentes 24-26'!CK80</f>
        <v>1</v>
      </c>
      <c r="CO78" s="1062">
        <f>'Recurrentes 24-26'!CL80</f>
        <v>2.04</v>
      </c>
      <c r="CP78" s="451" t="str">
        <f>'Recurrentes 24-26'!CM80</f>
        <v/>
      </c>
    </row>
    <row r="79">
      <c r="A79" s="451" t="str">
        <f>'Recurrentes 24-26'!A81</f>
        <v/>
      </c>
      <c r="B79" s="451" t="str">
        <f>'Recurrentes 24-26'!B81</f>
        <v/>
      </c>
      <c r="C79" s="451" t="str">
        <f>'Recurrentes 24-26'!C81</f>
        <v/>
      </c>
      <c r="D79" s="451" t="str">
        <f>'Recurrentes 24-26'!D81</f>
        <v/>
      </c>
      <c r="E79" s="451" t="str">
        <f>'Recurrentes 24-26'!E81</f>
        <v/>
      </c>
      <c r="F79" s="451" t="str">
        <f>'Recurrentes 24-26'!F81</f>
        <v/>
      </c>
      <c r="G79" s="1061" t="str">
        <f>'Recurrentes 24-26'!G81</f>
        <v/>
      </c>
      <c r="H79" s="451" t="str">
        <f>'Recurrentes 24-26'!H81</f>
        <v/>
      </c>
      <c r="I79" s="1061" t="str">
        <f>'Recurrentes 24-26'!I81</f>
        <v/>
      </c>
      <c r="J79" s="1061" t="str">
        <f>'Recurrentes 24-26'!J81</f>
        <v/>
      </c>
      <c r="K79" s="451" t="str">
        <f>'Recurrentes 24-26'!K81</f>
        <v/>
      </c>
      <c r="L79" s="451" t="str">
        <f>'Recurrentes 24-26'!L81</f>
        <v/>
      </c>
      <c r="M79" s="451" t="str">
        <f>'Recurrentes 24-26'!M81</f>
        <v/>
      </c>
      <c r="N79" s="451" t="str">
        <f>'Recurrentes 24-26'!N81</f>
        <v/>
      </c>
      <c r="O79" s="451" t="str">
        <f>'Recurrentes 24-26'!O81</f>
        <v/>
      </c>
      <c r="P79" s="451" t="str">
        <f>'Recurrentes 24-26'!P81</f>
        <v/>
      </c>
      <c r="Q79" s="451" t="str">
        <f>'Recurrentes 24-26'!Q81</f>
        <v/>
      </c>
      <c r="R79" s="451" t="str">
        <f>'Recurrentes 24-26'!R81</f>
        <v/>
      </c>
      <c r="S79" s="451" t="str">
        <f>'Recurrentes 24-26'!S81</f>
        <v/>
      </c>
      <c r="T79" s="451" t="str">
        <f>'Recurrentes 24-26'!T81</f>
        <v/>
      </c>
      <c r="U79" s="451" t="str">
        <f>'Recurrentes 24-26'!U81</f>
        <v/>
      </c>
      <c r="V79" s="451" t="str">
        <f>'Recurrentes 24-26'!V81</f>
        <v/>
      </c>
      <c r="W79" s="451" t="str">
        <f>'Recurrentes 24-26'!W81</f>
        <v/>
      </c>
      <c r="X79" s="451" t="str">
        <f>'Recurrentes 24-26'!X81</f>
        <v/>
      </c>
      <c r="Y79" s="451" t="str">
        <f>'Recurrentes 24-26'!Y81</f>
        <v/>
      </c>
      <c r="Z79" s="451" t="str">
        <f>'Recurrentes 24-26'!Z81</f>
        <v/>
      </c>
      <c r="AA79" s="451" t="str">
        <f>'Recurrentes 24-26'!AA81</f>
        <v/>
      </c>
      <c r="AB79" s="451" t="str">
        <f>'Recurrentes 24-26'!AB81</f>
        <v/>
      </c>
      <c r="AC79" s="451" t="str">
        <f>'Recurrentes 24-26'!AC81</f>
        <v/>
      </c>
      <c r="AD79" s="451" t="str">
        <f>'Recurrentes 24-26'!AD81</f>
        <v/>
      </c>
      <c r="AE79" s="451" t="str">
        <f>'Recurrentes 24-26'!AE81</f>
        <v/>
      </c>
      <c r="AF79" s="451" t="str">
        <f>'Recurrentes 24-26'!AF81</f>
        <v/>
      </c>
      <c r="AG79" s="451" t="str">
        <f>'Recurrentes 24-26'!AG81</f>
        <v/>
      </c>
      <c r="AH79" s="451" t="str">
        <f>'Recurrentes 24-26'!AH81</f>
        <v/>
      </c>
      <c r="AI79" s="451" t="str">
        <f>'Recurrentes 24-26'!AI81</f>
        <v/>
      </c>
      <c r="AJ79" s="451" t="str">
        <f>'Recurrentes 24-26'!AJ81</f>
        <v/>
      </c>
      <c r="AK79" s="451" t="str">
        <f>'Recurrentes 24-26'!AK81</f>
        <v/>
      </c>
      <c r="AL79" s="451" t="str">
        <f>'Recurrentes 24-26'!AL81</f>
        <v/>
      </c>
      <c r="AM79" s="451" t="str">
        <f>'Recurrentes 24-26'!AM81</f>
        <v/>
      </c>
      <c r="AN79" s="451" t="str">
        <f>'Recurrentes 24-26'!AN81</f>
        <v/>
      </c>
      <c r="AO79" s="451" t="str">
        <f>'Recurrentes 24-26'!AO81</f>
        <v/>
      </c>
      <c r="AP79" s="451" t="str">
        <f>'Recurrentes 24-26'!AP81</f>
        <v/>
      </c>
      <c r="AQ79" s="451" t="str">
        <f>'Recurrentes 24-26'!AQ81</f>
        <v/>
      </c>
      <c r="AR79" s="451" t="str">
        <f>'Recurrentes 24-26'!AR81</f>
        <v/>
      </c>
      <c r="AS79" s="451" t="str">
        <f>'Recurrentes 24-26'!AS81</f>
        <v/>
      </c>
      <c r="AT79" s="451" t="str">
        <f>'Recurrentes 24-26'!AT81</f>
        <v/>
      </c>
      <c r="AU79" s="451" t="str">
        <f>'Recurrentes 24-26'!AU81</f>
        <v/>
      </c>
      <c r="AV79" s="1063" t="str">
        <f>'Recurrentes 24-26'!AV81</f>
        <v/>
      </c>
      <c r="AW79" s="451" t="str">
        <f>'Recurrentes 24-26'!AW81</f>
        <v/>
      </c>
      <c r="AX79" s="451" t="str">
        <f>'Recurrentes 24-26'!AX81</f>
        <v/>
      </c>
      <c r="AY79" s="451" t="str">
        <f>'Recurrentes 24-26'!AY81</f>
        <v/>
      </c>
      <c r="AZ79" s="1064" t="str">
        <f>'Recurrentes 24-26'!AZ81</f>
        <v/>
      </c>
      <c r="BA79" s="1064" t="str">
        <f>'Recurrentes 24-26'!BA81</f>
        <v/>
      </c>
      <c r="BB79" s="1064" t="str">
        <f>'Recurrentes 24-26'!BB81</f>
        <v/>
      </c>
      <c r="BC79" s="1064" t="str">
        <f>'Recurrentes 24-26'!BC81</f>
        <v/>
      </c>
      <c r="BD79" s="1064" t="str">
        <f>'Recurrentes 24-26'!BD81</f>
        <v/>
      </c>
      <c r="BE79" s="1064" t="str">
        <f>'Recurrentes 24-26'!BE81</f>
        <v/>
      </c>
      <c r="BF79" s="1064" t="str">
        <f>'Recurrentes 24-26'!BF81</f>
        <v/>
      </c>
      <c r="BG79" s="1064" t="str">
        <f>'Recurrentes 24-26'!BG81</f>
        <v/>
      </c>
      <c r="BH79" s="1064" t="str">
        <f>'Recurrentes 24-26'!BH81</f>
        <v/>
      </c>
      <c r="BI79" s="1064" t="str">
        <f>'Recurrentes 24-26'!BI81</f>
        <v/>
      </c>
      <c r="BJ79" s="1064" t="str">
        <f>'Recurrentes 24-26'!BJ81</f>
        <v/>
      </c>
      <c r="BK79" s="451"/>
      <c r="BL79" s="1064" t="str">
        <f>'Recurrentes 24-26'!BK81</f>
        <v/>
      </c>
      <c r="BM79" s="1064" t="str">
        <f>'Recurrentes 24-26'!BL81</f>
        <v/>
      </c>
      <c r="BN79" s="1064" t="str">
        <f>'Recurrentes 24-26'!BM81</f>
        <v/>
      </c>
      <c r="BO79" s="1064" t="str">
        <f>'Recurrentes 24-26'!BN81</f>
        <v/>
      </c>
      <c r="BP79" s="1064" t="str">
        <f>'Recurrentes 24-26'!BO81</f>
        <v/>
      </c>
      <c r="BQ79" s="1064" t="str">
        <f>'Recurrentes 24-26'!BP81</f>
        <v/>
      </c>
      <c r="BR79" s="1064" t="str">
        <f>'Recurrentes 24-26'!BQ81</f>
        <v/>
      </c>
      <c r="BS79" s="1064" t="str">
        <f>'Recurrentes 24-26'!BR81</f>
        <v/>
      </c>
      <c r="BT79" s="1064" t="str">
        <f>'Recurrentes 24-26'!BS81</f>
        <v/>
      </c>
      <c r="BU79" s="1064" t="str">
        <f>'Recurrentes 24-26'!BT81</f>
        <v/>
      </c>
      <c r="BV79" s="1064" t="str">
        <f>'Recurrentes 24-26'!BU81</f>
        <v/>
      </c>
      <c r="BW79" s="451"/>
      <c r="BX79" s="1064" t="str">
        <f>'Recurrentes 24-26'!BV81</f>
        <v/>
      </c>
      <c r="BY79" s="1064" t="str">
        <f>'Recurrentes 24-26'!BW81</f>
        <v/>
      </c>
      <c r="BZ79" s="1064" t="str">
        <f>'Recurrentes 24-26'!BX81</f>
        <v/>
      </c>
      <c r="CA79" s="1064" t="str">
        <f>'Recurrentes 24-26'!BY81</f>
        <v/>
      </c>
      <c r="CB79" s="1064" t="str">
        <f>'Recurrentes 24-26'!BZ81</f>
        <v/>
      </c>
      <c r="CC79" s="1064" t="str">
        <f>'Recurrentes 24-26'!CA81</f>
        <v/>
      </c>
      <c r="CD79" s="1064" t="str">
        <f>'Recurrentes 24-26'!CB81</f>
        <v/>
      </c>
      <c r="CE79" s="1064" t="str">
        <f>'Recurrentes 24-26'!CC81</f>
        <v/>
      </c>
      <c r="CF79" s="1064" t="str">
        <f>'Recurrentes 24-26'!CD81</f>
        <v/>
      </c>
      <c r="CG79" s="1064" t="str">
        <f>'Recurrentes 24-26'!CE81</f>
        <v/>
      </c>
      <c r="CH79" s="1064" t="str">
        <f>'Recurrentes 24-26'!CF81</f>
        <v/>
      </c>
      <c r="CI79" s="451"/>
      <c r="CJ79" s="1064" t="str">
        <f>'Recurrentes 24-26'!CG81</f>
        <v/>
      </c>
      <c r="CK79" s="1064" t="str">
        <f>'Recurrentes 24-26'!CH81</f>
        <v/>
      </c>
      <c r="CL79" s="451" t="str">
        <f>'Recurrentes 24-26'!CI81</f>
        <v/>
      </c>
      <c r="CM79" s="1064" t="str">
        <f>'Recurrentes 24-26'!CJ81</f>
        <v/>
      </c>
      <c r="CN79" s="451" t="str">
        <f>'Recurrentes 24-26'!CK81</f>
        <v/>
      </c>
      <c r="CO79" s="451" t="str">
        <f>'Recurrentes 24-26'!CL81</f>
        <v/>
      </c>
      <c r="CP79" s="451" t="str">
        <f>'Recurrentes 24-26'!CM81</f>
        <v/>
      </c>
    </row>
    <row r="80">
      <c r="A80" s="451" t="str">
        <f>'Recurrentes 24-26'!A82</f>
        <v>Repuestos Electromecánicos recurrentes</v>
      </c>
      <c r="B80" s="451">
        <f>'Recurrentes 24-26'!B82</f>
        <v>2</v>
      </c>
      <c r="C80" s="451" t="str">
        <f>'Recurrentes 24-26'!C82</f>
        <v>Estaciones</v>
      </c>
      <c r="D80" s="451" t="str">
        <f>'Recurrentes 24-26'!D82</f>
        <v>Cambio Correas</v>
      </c>
      <c r="E80" s="451" t="str">
        <f>'Recurrentes 24-26'!E82</f>
        <v>Repuesto Mecánico</v>
      </c>
      <c r="F80" s="451" t="str">
        <f>'Recurrentes 24-26'!F82</f>
        <v>TDB</v>
      </c>
      <c r="G80" s="1025" t="str">
        <f>'Recurrentes 24-26'!G82</f>
        <v>39800</v>
      </c>
      <c r="H80" s="1061" t="str">
        <f>'Recurrentes 24-26'!H82</f>
        <v>2-01-00009</v>
      </c>
      <c r="I80" s="1061" t="str">
        <f>'Recurrentes 24-26'!I82</f>
        <v>10319011</v>
      </c>
      <c r="J80" s="1061" t="str">
        <f>'Recurrentes 24-26'!J82</f>
        <v>CORREA TRAP.XPB     LW=1545 MM DIN 7753-1</v>
      </c>
      <c r="K80" s="451" t="str">
        <f>'Recurrentes 24-26'!K82</f>
        <v>Pza</v>
      </c>
      <c r="L80" s="451">
        <f>'Recurrentes 24-26'!L82</f>
        <v>0</v>
      </c>
      <c r="M80" s="451">
        <f>'Recurrentes 24-26'!M82</f>
        <v>0</v>
      </c>
      <c r="N80" s="451">
        <f>'Recurrentes 24-26'!N82</f>
        <v>0</v>
      </c>
      <c r="O80" s="451">
        <f>'Recurrentes 24-26'!O82</f>
        <v>0</v>
      </c>
      <c r="P80" s="451">
        <f>'Recurrentes 24-26'!P82</f>
        <v>0</v>
      </c>
      <c r="Q80" s="451">
        <f>'Recurrentes 24-26'!Q82</f>
        <v>0</v>
      </c>
      <c r="R80" s="451">
        <f>'Recurrentes 24-26'!R82</f>
        <v>0</v>
      </c>
      <c r="S80" s="451">
        <f>'Recurrentes 24-26'!S82</f>
        <v>0</v>
      </c>
      <c r="T80" s="451">
        <f>'Recurrentes 24-26'!T82</f>
        <v>0</v>
      </c>
      <c r="U80" s="451">
        <f>'Recurrentes 24-26'!U82</f>
        <v>0</v>
      </c>
      <c r="V80" s="451">
        <f>'Recurrentes 24-26'!V82</f>
        <v>0</v>
      </c>
      <c r="W80" s="1062">
        <f>'Recurrentes 24-26'!W82</f>
        <v>0</v>
      </c>
      <c r="X80" s="451">
        <f>'Recurrentes 24-26'!X82</f>
        <v>0</v>
      </c>
      <c r="Y80" s="451">
        <f>'Recurrentes 24-26'!Y82</f>
        <v>0</v>
      </c>
      <c r="Z80" s="451">
        <f>'Recurrentes 24-26'!Z82</f>
        <v>0</v>
      </c>
      <c r="AA80" s="451">
        <f>'Recurrentes 24-26'!AA82</f>
        <v>0</v>
      </c>
      <c r="AB80" s="451">
        <f>'Recurrentes 24-26'!AB82</f>
        <v>0</v>
      </c>
      <c r="AC80" s="451">
        <f>'Recurrentes 24-26'!AC82</f>
        <v>0</v>
      </c>
      <c r="AD80" s="451">
        <f>'Recurrentes 24-26'!AD82</f>
        <v>0</v>
      </c>
      <c r="AE80" s="451">
        <f>'Recurrentes 24-26'!AE82</f>
        <v>6</v>
      </c>
      <c r="AF80" s="451">
        <f>'Recurrentes 24-26'!AF82</f>
        <v>0</v>
      </c>
      <c r="AG80" s="451">
        <f>'Recurrentes 24-26'!AG82</f>
        <v>10</v>
      </c>
      <c r="AH80" s="451">
        <f>'Recurrentes 24-26'!AH82</f>
        <v>0</v>
      </c>
      <c r="AI80" s="1062">
        <f>'Recurrentes 24-26'!AI82</f>
        <v>16</v>
      </c>
      <c r="AJ80" s="451">
        <f>'Recurrentes 24-26'!AJ82</f>
        <v>0</v>
      </c>
      <c r="AK80" s="451">
        <f>'Recurrentes 24-26'!AK82</f>
        <v>0</v>
      </c>
      <c r="AL80" s="451">
        <f>'Recurrentes 24-26'!AL82</f>
        <v>0</v>
      </c>
      <c r="AM80" s="451">
        <f>'Recurrentes 24-26'!AM82</f>
        <v>0</v>
      </c>
      <c r="AN80" s="451">
        <f>'Recurrentes 24-26'!AN82</f>
        <v>0</v>
      </c>
      <c r="AO80" s="451">
        <f>'Recurrentes 24-26'!AO82</f>
        <v>0</v>
      </c>
      <c r="AP80" s="451">
        <f>'Recurrentes 24-26'!AP82</f>
        <v>10</v>
      </c>
      <c r="AQ80" s="451">
        <f>'Recurrentes 24-26'!AQ82</f>
        <v>6</v>
      </c>
      <c r="AR80" s="451">
        <f>'Recurrentes 24-26'!AR82</f>
        <v>0</v>
      </c>
      <c r="AS80" s="451">
        <f>'Recurrentes 24-26'!AS82</f>
        <v>10</v>
      </c>
      <c r="AT80" s="451">
        <f>'Recurrentes 24-26'!AT82</f>
        <v>0</v>
      </c>
      <c r="AU80" s="1062">
        <f>'Recurrentes 24-26'!AU82</f>
        <v>26</v>
      </c>
      <c r="AV80" s="1063">
        <f>'Recurrentes 24-26'!AV82</f>
        <v>42</v>
      </c>
      <c r="AW80" s="451" t="str">
        <f>'Recurrentes 24-26'!AW82</f>
        <v/>
      </c>
      <c r="AX80" s="1062">
        <f>'Recurrentes 24-26'!AX82</f>
        <v>64.26</v>
      </c>
      <c r="AY80" s="1062">
        <f>'Recurrentes 24-26'!AY82</f>
        <v>447.2496</v>
      </c>
      <c r="AZ80" s="1064" t="str">
        <f>'Recurrentes 24-26'!AZ82</f>
        <v/>
      </c>
      <c r="BA80" s="1064">
        <f>'Recurrentes 24-26'!BA82</f>
        <v>0</v>
      </c>
      <c r="BB80" s="1064">
        <f>'Recurrentes 24-26'!BB82</f>
        <v>0</v>
      </c>
      <c r="BC80" s="1064">
        <f>'Recurrentes 24-26'!BC82</f>
        <v>0</v>
      </c>
      <c r="BD80" s="1064">
        <f>'Recurrentes 24-26'!BD82</f>
        <v>0</v>
      </c>
      <c r="BE80" s="1064">
        <f>'Recurrentes 24-26'!BE82</f>
        <v>0</v>
      </c>
      <c r="BF80" s="1064">
        <f>'Recurrentes 24-26'!BF82</f>
        <v>0</v>
      </c>
      <c r="BG80" s="1064">
        <f>'Recurrentes 24-26'!BG82</f>
        <v>0</v>
      </c>
      <c r="BH80" s="1064">
        <f>'Recurrentes 24-26'!BH82</f>
        <v>0</v>
      </c>
      <c r="BI80" s="1064">
        <f>'Recurrentes 24-26'!BI82</f>
        <v>0</v>
      </c>
      <c r="BJ80" s="1064">
        <f>'Recurrentes 24-26'!BJ82</f>
        <v>0</v>
      </c>
      <c r="BK80" s="451"/>
      <c r="BL80" s="1062">
        <f>'Recurrentes 24-26'!BK82</f>
        <v>0</v>
      </c>
      <c r="BM80" s="1064">
        <f>'Recurrentes 24-26'!BL82</f>
        <v>0</v>
      </c>
      <c r="BN80" s="1064">
        <f>'Recurrentes 24-26'!BM82</f>
        <v>0</v>
      </c>
      <c r="BO80" s="1064">
        <f>'Recurrentes 24-26'!BN82</f>
        <v>0</v>
      </c>
      <c r="BP80" s="1064">
        <f>'Recurrentes 24-26'!BO82</f>
        <v>0</v>
      </c>
      <c r="BQ80" s="1064">
        <f>'Recurrentes 24-26'!BP82</f>
        <v>0</v>
      </c>
      <c r="BR80" s="1064">
        <f>'Recurrentes 24-26'!BQ82</f>
        <v>0</v>
      </c>
      <c r="BS80" s="1064">
        <f>'Recurrentes 24-26'!BR82</f>
        <v>0</v>
      </c>
      <c r="BT80" s="1064">
        <f>'Recurrentes 24-26'!BS82</f>
        <v>2683.4976</v>
      </c>
      <c r="BU80" s="1064">
        <f>'Recurrentes 24-26'!BT82</f>
        <v>0</v>
      </c>
      <c r="BV80" s="1064">
        <f>'Recurrentes 24-26'!BU82</f>
        <v>4472.496</v>
      </c>
      <c r="BW80" s="451"/>
      <c r="BX80" s="1062">
        <f>'Recurrentes 24-26'!BV82</f>
        <v>7155.9936</v>
      </c>
      <c r="BY80" s="1064">
        <f>'Recurrentes 24-26'!BW82</f>
        <v>0</v>
      </c>
      <c r="BZ80" s="1064">
        <f>'Recurrentes 24-26'!BX82</f>
        <v>0</v>
      </c>
      <c r="CA80" s="1064">
        <f>'Recurrentes 24-26'!BY82</f>
        <v>0</v>
      </c>
      <c r="CB80" s="1064">
        <f>'Recurrentes 24-26'!BZ82</f>
        <v>0</v>
      </c>
      <c r="CC80" s="1064">
        <f>'Recurrentes 24-26'!CA82</f>
        <v>0</v>
      </c>
      <c r="CD80" s="1064">
        <f>'Recurrentes 24-26'!CB82</f>
        <v>0</v>
      </c>
      <c r="CE80" s="1064">
        <f>'Recurrentes 24-26'!CC82</f>
        <v>4472.496</v>
      </c>
      <c r="CF80" s="1064">
        <f>'Recurrentes 24-26'!CD82</f>
        <v>2683.4976</v>
      </c>
      <c r="CG80" s="1064">
        <f>'Recurrentes 24-26'!CE82</f>
        <v>0</v>
      </c>
      <c r="CH80" s="1064">
        <f>'Recurrentes 24-26'!CF82</f>
        <v>4472.496</v>
      </c>
      <c r="CI80" s="451"/>
      <c r="CJ80" s="1062">
        <f>'Recurrentes 24-26'!CG82</f>
        <v>11628.4896</v>
      </c>
      <c r="CK80" s="1062">
        <f>'Recurrentes 24-26'!CH82</f>
        <v>18784.4832</v>
      </c>
      <c r="CL80" s="451" t="str">
        <f>'Recurrentes 24-26'!CI82</f>
        <v/>
      </c>
      <c r="CM80" s="1064" t="str">
        <f>'Recurrentes 24-26'!CJ82</f>
        <v/>
      </c>
      <c r="CN80" s="451">
        <f>'Recurrentes 24-26'!CK82</f>
        <v>1</v>
      </c>
      <c r="CO80" s="1062">
        <f>'Recurrentes 24-26'!CL82</f>
        <v>64.26</v>
      </c>
      <c r="CP80" s="451" t="str">
        <f>'Recurrentes 24-26'!CM82</f>
        <v/>
      </c>
    </row>
    <row r="81">
      <c r="A81" s="451" t="str">
        <f>'Recurrentes 24-26'!A83</f>
        <v>Repuestos Electromecánicos recurrentes</v>
      </c>
      <c r="B81" s="451">
        <f>'Recurrentes 24-26'!B83</f>
        <v>2</v>
      </c>
      <c r="C81" s="451" t="str">
        <f>'Recurrentes 24-26'!C83</f>
        <v>Vehículo</v>
      </c>
      <c r="D81" s="451" t="str">
        <f>'Recurrentes 24-26'!D83</f>
        <v>Manto. Pinza</v>
      </c>
      <c r="E81" s="451" t="str">
        <f>'Recurrentes 24-26'!E83</f>
        <v>Repuesto Mecánico</v>
      </c>
      <c r="F81" s="451" t="str">
        <f>'Recurrentes 24-26'!F83</f>
        <v>TDB</v>
      </c>
      <c r="G81" s="1025" t="str">
        <f>'Recurrentes 24-26'!G83</f>
        <v>39800</v>
      </c>
      <c r="H81" s="1061" t="str">
        <f>'Recurrentes 24-26'!H83</f>
        <v>2-01-00025</v>
      </c>
      <c r="I81" s="1061" t="str">
        <f>'Recurrentes 24-26'!I83</f>
        <v>10000562</v>
      </c>
      <c r="J81" s="1061" t="str">
        <f>'Recurrentes 24-26'!J83</f>
        <v>PASADOR SUJ. DIN1481  6  X 45 CON RECUBR.DACROMET (I</v>
      </c>
      <c r="K81" s="451" t="str">
        <f>'Recurrentes 24-26'!K83</f>
        <v>Pza</v>
      </c>
      <c r="L81" s="451">
        <f>'Recurrentes 24-26'!L83</f>
        <v>277</v>
      </c>
      <c r="M81" s="451">
        <f>'Recurrentes 24-26'!M83</f>
        <v>165</v>
      </c>
      <c r="N81" s="451">
        <f>'Recurrentes 24-26'!N83</f>
        <v>242</v>
      </c>
      <c r="O81" s="451">
        <f>'Recurrentes 24-26'!O83</f>
        <v>0</v>
      </c>
      <c r="P81" s="451">
        <f>'Recurrentes 24-26'!P83</f>
        <v>0</v>
      </c>
      <c r="Q81" s="451">
        <f>'Recurrentes 24-26'!Q83</f>
        <v>0</v>
      </c>
      <c r="R81" s="451">
        <f>'Recurrentes 24-26'!R83</f>
        <v>266</v>
      </c>
      <c r="S81" s="451">
        <f>'Recurrentes 24-26'!S83</f>
        <v>83</v>
      </c>
      <c r="T81" s="451">
        <f>'Recurrentes 24-26'!T83</f>
        <v>38</v>
      </c>
      <c r="U81" s="451">
        <f>'Recurrentes 24-26'!U83</f>
        <v>340</v>
      </c>
      <c r="V81" s="451">
        <f>'Recurrentes 24-26'!V83</f>
        <v>0</v>
      </c>
      <c r="W81" s="1062">
        <f>'Recurrentes 24-26'!W83</f>
        <v>1411</v>
      </c>
      <c r="X81" s="451">
        <f>'Recurrentes 24-26'!X83</f>
        <v>394</v>
      </c>
      <c r="Y81" s="451">
        <f>'Recurrentes 24-26'!Y83</f>
        <v>234</v>
      </c>
      <c r="Z81" s="451">
        <f>'Recurrentes 24-26'!Z83</f>
        <v>344</v>
      </c>
      <c r="AA81" s="451">
        <f>'Recurrentes 24-26'!AA83</f>
        <v>222</v>
      </c>
      <c r="AB81" s="451">
        <f>'Recurrentes 24-26'!AB83</f>
        <v>254</v>
      </c>
      <c r="AC81" s="451">
        <f>'Recurrentes 24-26'!AC83</f>
        <v>420</v>
      </c>
      <c r="AD81" s="451">
        <f>'Recurrentes 24-26'!AD83</f>
        <v>266</v>
      </c>
      <c r="AE81" s="451">
        <f>'Recurrentes 24-26'!AE83</f>
        <v>314</v>
      </c>
      <c r="AF81" s="451">
        <f>'Recurrentes 24-26'!AF83</f>
        <v>54</v>
      </c>
      <c r="AG81" s="451">
        <f>'Recurrentes 24-26'!AG83</f>
        <v>330</v>
      </c>
      <c r="AH81" s="451">
        <f>'Recurrentes 24-26'!AH83</f>
        <v>0</v>
      </c>
      <c r="AI81" s="1062">
        <f>'Recurrentes 24-26'!AI83</f>
        <v>2832</v>
      </c>
      <c r="AJ81" s="451">
        <f>'Recurrentes 24-26'!AJ83</f>
        <v>394</v>
      </c>
      <c r="AK81" s="451">
        <f>'Recurrentes 24-26'!AK83</f>
        <v>234</v>
      </c>
      <c r="AL81" s="451">
        <f>'Recurrentes 24-26'!AL83</f>
        <v>344</v>
      </c>
      <c r="AM81" s="451">
        <f>'Recurrentes 24-26'!AM83</f>
        <v>222</v>
      </c>
      <c r="AN81" s="451">
        <f>'Recurrentes 24-26'!AN83</f>
        <v>254</v>
      </c>
      <c r="AO81" s="451">
        <f>'Recurrentes 24-26'!AO83</f>
        <v>420</v>
      </c>
      <c r="AP81" s="451">
        <f>'Recurrentes 24-26'!AP83</f>
        <v>266</v>
      </c>
      <c r="AQ81" s="451">
        <f>'Recurrentes 24-26'!AQ83</f>
        <v>314</v>
      </c>
      <c r="AR81" s="451">
        <f>'Recurrentes 24-26'!AR83</f>
        <v>54</v>
      </c>
      <c r="AS81" s="451">
        <f>'Recurrentes 24-26'!AS83</f>
        <v>330</v>
      </c>
      <c r="AT81" s="451">
        <f>'Recurrentes 24-26'!AT83</f>
        <v>0</v>
      </c>
      <c r="AU81" s="1062">
        <f>'Recurrentes 24-26'!AU83</f>
        <v>2832</v>
      </c>
      <c r="AV81" s="1062">
        <f>'Recurrentes 24-26'!AV83</f>
        <v>7075</v>
      </c>
      <c r="AW81" s="451" t="str">
        <f>'Recurrentes 24-26'!AW83</f>
        <v/>
      </c>
      <c r="AX81" s="1062">
        <f>'Recurrentes 24-26'!AX83</f>
        <v>0.35</v>
      </c>
      <c r="AY81" s="1062">
        <f>'Recurrentes 24-26'!AY83</f>
        <v>2.436</v>
      </c>
      <c r="AZ81" s="1064" t="str">
        <f>'Recurrentes 24-26'!AZ83</f>
        <v/>
      </c>
      <c r="BA81" s="1064">
        <f>'Recurrentes 24-26'!BA83</f>
        <v>674.772</v>
      </c>
      <c r="BB81" s="1064">
        <f>'Recurrentes 24-26'!BB83</f>
        <v>401.94</v>
      </c>
      <c r="BC81" s="1064">
        <f>'Recurrentes 24-26'!BC83</f>
        <v>589.512</v>
      </c>
      <c r="BD81" s="1064">
        <f>'Recurrentes 24-26'!BD83</f>
        <v>0</v>
      </c>
      <c r="BE81" s="1064">
        <f>'Recurrentes 24-26'!BE83</f>
        <v>0</v>
      </c>
      <c r="BF81" s="1064">
        <f>'Recurrentes 24-26'!BF83</f>
        <v>0</v>
      </c>
      <c r="BG81" s="1064">
        <f>'Recurrentes 24-26'!BG83</f>
        <v>647.976</v>
      </c>
      <c r="BH81" s="1064">
        <f>'Recurrentes 24-26'!BH83</f>
        <v>202.188</v>
      </c>
      <c r="BI81" s="1064">
        <f>'Recurrentes 24-26'!BI83</f>
        <v>92.568</v>
      </c>
      <c r="BJ81" s="1064">
        <f>'Recurrentes 24-26'!BJ83</f>
        <v>828.24</v>
      </c>
      <c r="BK81" s="451"/>
      <c r="BL81" s="1062">
        <f>'Recurrentes 24-26'!BK83</f>
        <v>3437.196</v>
      </c>
      <c r="BM81" s="1064">
        <f>'Recurrentes 24-26'!BL83</f>
        <v>959.784</v>
      </c>
      <c r="BN81" s="1064">
        <f>'Recurrentes 24-26'!BM83</f>
        <v>570.024</v>
      </c>
      <c r="BO81" s="1064">
        <f>'Recurrentes 24-26'!BN83</f>
        <v>837.984</v>
      </c>
      <c r="BP81" s="1064">
        <f>'Recurrentes 24-26'!BO83</f>
        <v>540.792</v>
      </c>
      <c r="BQ81" s="1064">
        <f>'Recurrentes 24-26'!BP83</f>
        <v>618.744</v>
      </c>
      <c r="BR81" s="1064">
        <f>'Recurrentes 24-26'!BQ83</f>
        <v>1023.12</v>
      </c>
      <c r="BS81" s="1064">
        <f>'Recurrentes 24-26'!BR83</f>
        <v>647.976</v>
      </c>
      <c r="BT81" s="1064">
        <f>'Recurrentes 24-26'!BS83</f>
        <v>764.904</v>
      </c>
      <c r="BU81" s="1064">
        <f>'Recurrentes 24-26'!BT83</f>
        <v>131.544</v>
      </c>
      <c r="BV81" s="1064">
        <f>'Recurrentes 24-26'!BU83</f>
        <v>803.88</v>
      </c>
      <c r="BW81" s="451"/>
      <c r="BX81" s="1062">
        <f>'Recurrentes 24-26'!BV83</f>
        <v>6898.752</v>
      </c>
      <c r="BY81" s="1064">
        <f>'Recurrentes 24-26'!BW83</f>
        <v>959.784</v>
      </c>
      <c r="BZ81" s="1064">
        <f>'Recurrentes 24-26'!BX83</f>
        <v>570.024</v>
      </c>
      <c r="CA81" s="1064">
        <f>'Recurrentes 24-26'!BY83</f>
        <v>837.984</v>
      </c>
      <c r="CB81" s="1064">
        <f>'Recurrentes 24-26'!BZ83</f>
        <v>540.792</v>
      </c>
      <c r="CC81" s="1064">
        <f>'Recurrentes 24-26'!CA83</f>
        <v>618.744</v>
      </c>
      <c r="CD81" s="1064">
        <f>'Recurrentes 24-26'!CB83</f>
        <v>1023.12</v>
      </c>
      <c r="CE81" s="1064">
        <f>'Recurrentes 24-26'!CC83</f>
        <v>647.976</v>
      </c>
      <c r="CF81" s="1064">
        <f>'Recurrentes 24-26'!CD83</f>
        <v>764.904</v>
      </c>
      <c r="CG81" s="1064">
        <f>'Recurrentes 24-26'!CE83</f>
        <v>131.544</v>
      </c>
      <c r="CH81" s="1064">
        <f>'Recurrentes 24-26'!CF83</f>
        <v>803.88</v>
      </c>
      <c r="CI81" s="451"/>
      <c r="CJ81" s="1062">
        <f>'Recurrentes 24-26'!CG83</f>
        <v>6898.752</v>
      </c>
      <c r="CK81" s="1062">
        <f>'Recurrentes 24-26'!CH83</f>
        <v>17234.7</v>
      </c>
      <c r="CL81" s="451" t="str">
        <f>'Recurrentes 24-26'!CI83</f>
        <v/>
      </c>
      <c r="CM81" s="1064" t="str">
        <f>'Recurrentes 24-26'!CJ83</f>
        <v/>
      </c>
      <c r="CN81" s="451">
        <f>'Recurrentes 24-26'!CK83</f>
        <v>1</v>
      </c>
      <c r="CO81" s="1062">
        <f>'Recurrentes 24-26'!CL83</f>
        <v>0.35</v>
      </c>
      <c r="CP81" s="451" t="str">
        <f>'Recurrentes 24-26'!CM83</f>
        <v/>
      </c>
    </row>
    <row r="82">
      <c r="A82" s="451" t="str">
        <f>'Recurrentes 24-26'!A84</f>
        <v>Repuestos Electromecánicos recurrentes</v>
      </c>
      <c r="B82" s="451">
        <f>'Recurrentes 24-26'!B84</f>
        <v>2</v>
      </c>
      <c r="C82" s="451" t="str">
        <f>'Recurrentes 24-26'!C84</f>
        <v>Vehículo</v>
      </c>
      <c r="D82" s="451" t="str">
        <f>'Recurrentes 24-26'!D84</f>
        <v>Manto. Pinza</v>
      </c>
      <c r="E82" s="451" t="str">
        <f>'Recurrentes 24-26'!E84</f>
        <v>Repuesto Mecánico</v>
      </c>
      <c r="F82" s="451" t="str">
        <f>'Recurrentes 24-26'!F84</f>
        <v>TDB</v>
      </c>
      <c r="G82" s="1025" t="str">
        <f>'Recurrentes 24-26'!G84</f>
        <v>39800</v>
      </c>
      <c r="H82" s="1061" t="str">
        <f>'Recurrentes 24-26'!H84</f>
        <v>2-01-00876</v>
      </c>
      <c r="I82" s="1061" t="str">
        <f>'Recurrentes 24-26'!I84</f>
        <v>12023240</v>
      </c>
      <c r="J82" s="1061" t="str">
        <f>'Recurrentes 24-26'!J84</f>
        <v>LENGÜETA  A108-C TIPO 2     CABLE Ø48-51 MM</v>
      </c>
      <c r="K82" s="451" t="str">
        <f>'Recurrentes 24-26'!K84</f>
        <v>Pza</v>
      </c>
      <c r="L82" s="451">
        <f>'Recurrentes 24-26'!L84</f>
        <v>0</v>
      </c>
      <c r="M82" s="451">
        <f>'Recurrentes 24-26'!M84</f>
        <v>0</v>
      </c>
      <c r="N82" s="451">
        <f>'Recurrentes 24-26'!N84</f>
        <v>0</v>
      </c>
      <c r="O82" s="451">
        <f>'Recurrentes 24-26'!O84</f>
        <v>0</v>
      </c>
      <c r="P82" s="451">
        <f>'Recurrentes 24-26'!P84</f>
        <v>0</v>
      </c>
      <c r="Q82" s="451">
        <f>'Recurrentes 24-26'!Q84</f>
        <v>0</v>
      </c>
      <c r="R82" s="451">
        <f>'Recurrentes 24-26'!R84</f>
        <v>0</v>
      </c>
      <c r="S82" s="451">
        <f>'Recurrentes 24-26'!S84</f>
        <v>0</v>
      </c>
      <c r="T82" s="451">
        <f>'Recurrentes 24-26'!T84</f>
        <v>0</v>
      </c>
      <c r="U82" s="451">
        <f>'Recurrentes 24-26'!U84</f>
        <v>0</v>
      </c>
      <c r="V82" s="451">
        <f>'Recurrentes 24-26'!V84</f>
        <v>0</v>
      </c>
      <c r="W82" s="1062">
        <f>'Recurrentes 24-26'!W84</f>
        <v>0</v>
      </c>
      <c r="X82" s="451">
        <f>'Recurrentes 24-26'!X84</f>
        <v>2</v>
      </c>
      <c r="Y82" s="451">
        <f>'Recurrentes 24-26'!Y84</f>
        <v>2</v>
      </c>
      <c r="Z82" s="451">
        <f>'Recurrentes 24-26'!Z84</f>
        <v>2</v>
      </c>
      <c r="AA82" s="451">
        <f>'Recurrentes 24-26'!AA84</f>
        <v>2</v>
      </c>
      <c r="AB82" s="451">
        <f>'Recurrentes 24-26'!AB84</f>
        <v>2</v>
      </c>
      <c r="AC82" s="451">
        <f>'Recurrentes 24-26'!AC84</f>
        <v>4</v>
      </c>
      <c r="AD82" s="451">
        <f>'Recurrentes 24-26'!AD84</f>
        <v>4</v>
      </c>
      <c r="AE82" s="451">
        <f>'Recurrentes 24-26'!AE84</f>
        <v>0</v>
      </c>
      <c r="AF82" s="451">
        <f>'Recurrentes 24-26'!AF84</f>
        <v>0</v>
      </c>
      <c r="AG82" s="451">
        <f>'Recurrentes 24-26'!AG84</f>
        <v>0</v>
      </c>
      <c r="AH82" s="451">
        <f>'Recurrentes 24-26'!AH84</f>
        <v>0</v>
      </c>
      <c r="AI82" s="1062">
        <f>'Recurrentes 24-26'!AI84</f>
        <v>18</v>
      </c>
      <c r="AJ82" s="451">
        <f>'Recurrentes 24-26'!AJ84</f>
        <v>2</v>
      </c>
      <c r="AK82" s="451">
        <f>'Recurrentes 24-26'!AK84</f>
        <v>2</v>
      </c>
      <c r="AL82" s="451">
        <f>'Recurrentes 24-26'!AL84</f>
        <v>2</v>
      </c>
      <c r="AM82" s="451">
        <f>'Recurrentes 24-26'!AM84</f>
        <v>2</v>
      </c>
      <c r="AN82" s="451">
        <f>'Recurrentes 24-26'!AN84</f>
        <v>2</v>
      </c>
      <c r="AO82" s="451">
        <f>'Recurrentes 24-26'!AO84</f>
        <v>4</v>
      </c>
      <c r="AP82" s="451">
        <f>'Recurrentes 24-26'!AP84</f>
        <v>4</v>
      </c>
      <c r="AQ82" s="451">
        <f>'Recurrentes 24-26'!AQ84</f>
        <v>0</v>
      </c>
      <c r="AR82" s="451">
        <f>'Recurrentes 24-26'!AR84</f>
        <v>0</v>
      </c>
      <c r="AS82" s="451">
        <f>'Recurrentes 24-26'!AS84</f>
        <v>0</v>
      </c>
      <c r="AT82" s="451">
        <f>'Recurrentes 24-26'!AT84</f>
        <v>0</v>
      </c>
      <c r="AU82" s="1062">
        <f>'Recurrentes 24-26'!AU84</f>
        <v>18</v>
      </c>
      <c r="AV82" s="1063">
        <f>'Recurrentes 24-26'!AV84</f>
        <v>36</v>
      </c>
      <c r="AW82" s="451" t="str">
        <f>'Recurrentes 24-26'!AW84</f>
        <v/>
      </c>
      <c r="AX82" s="1062">
        <f>'Recurrentes 24-26'!AX84</f>
        <v>65.03</v>
      </c>
      <c r="AY82" s="1062">
        <f>'Recurrentes 24-26'!AY84</f>
        <v>452.6088</v>
      </c>
      <c r="AZ82" s="1064" t="str">
        <f>'Recurrentes 24-26'!AZ84</f>
        <v/>
      </c>
      <c r="BA82" s="1064">
        <f>'Recurrentes 24-26'!BA84</f>
        <v>0</v>
      </c>
      <c r="BB82" s="1064">
        <f>'Recurrentes 24-26'!BB84</f>
        <v>0</v>
      </c>
      <c r="BC82" s="1064">
        <f>'Recurrentes 24-26'!BC84</f>
        <v>0</v>
      </c>
      <c r="BD82" s="1064">
        <f>'Recurrentes 24-26'!BD84</f>
        <v>0</v>
      </c>
      <c r="BE82" s="1064">
        <f>'Recurrentes 24-26'!BE84</f>
        <v>0</v>
      </c>
      <c r="BF82" s="1064">
        <f>'Recurrentes 24-26'!BF84</f>
        <v>0</v>
      </c>
      <c r="BG82" s="1064">
        <f>'Recurrentes 24-26'!BG84</f>
        <v>0</v>
      </c>
      <c r="BH82" s="1064">
        <f>'Recurrentes 24-26'!BH84</f>
        <v>0</v>
      </c>
      <c r="BI82" s="1064">
        <f>'Recurrentes 24-26'!BI84</f>
        <v>0</v>
      </c>
      <c r="BJ82" s="1064">
        <f>'Recurrentes 24-26'!BJ84</f>
        <v>0</v>
      </c>
      <c r="BK82" s="451"/>
      <c r="BL82" s="1062">
        <f>'Recurrentes 24-26'!BK84</f>
        <v>0</v>
      </c>
      <c r="BM82" s="1064">
        <f>'Recurrentes 24-26'!BL84</f>
        <v>905.2176</v>
      </c>
      <c r="BN82" s="1064">
        <f>'Recurrentes 24-26'!BM84</f>
        <v>905.2176</v>
      </c>
      <c r="BO82" s="1064">
        <f>'Recurrentes 24-26'!BN84</f>
        <v>905.2176</v>
      </c>
      <c r="BP82" s="1064">
        <f>'Recurrentes 24-26'!BO84</f>
        <v>905.2176</v>
      </c>
      <c r="BQ82" s="1064">
        <f>'Recurrentes 24-26'!BP84</f>
        <v>905.2176</v>
      </c>
      <c r="BR82" s="1064">
        <f>'Recurrentes 24-26'!BQ84</f>
        <v>1810.4352</v>
      </c>
      <c r="BS82" s="1064">
        <f>'Recurrentes 24-26'!BR84</f>
        <v>1810.4352</v>
      </c>
      <c r="BT82" s="1064">
        <f>'Recurrentes 24-26'!BS84</f>
        <v>0</v>
      </c>
      <c r="BU82" s="1064">
        <f>'Recurrentes 24-26'!BT84</f>
        <v>0</v>
      </c>
      <c r="BV82" s="1064">
        <f>'Recurrentes 24-26'!BU84</f>
        <v>0</v>
      </c>
      <c r="BW82" s="451"/>
      <c r="BX82" s="1062">
        <f>'Recurrentes 24-26'!BV84</f>
        <v>8146.9584</v>
      </c>
      <c r="BY82" s="1064">
        <f>'Recurrentes 24-26'!BW84</f>
        <v>905.2176</v>
      </c>
      <c r="BZ82" s="1064">
        <f>'Recurrentes 24-26'!BX84</f>
        <v>905.2176</v>
      </c>
      <c r="CA82" s="1064">
        <f>'Recurrentes 24-26'!BY84</f>
        <v>905.2176</v>
      </c>
      <c r="CB82" s="1064">
        <f>'Recurrentes 24-26'!BZ84</f>
        <v>905.2176</v>
      </c>
      <c r="CC82" s="1064">
        <f>'Recurrentes 24-26'!CA84</f>
        <v>905.2176</v>
      </c>
      <c r="CD82" s="1064">
        <f>'Recurrentes 24-26'!CB84</f>
        <v>1810.4352</v>
      </c>
      <c r="CE82" s="1064">
        <f>'Recurrentes 24-26'!CC84</f>
        <v>1810.4352</v>
      </c>
      <c r="CF82" s="1064">
        <f>'Recurrentes 24-26'!CD84</f>
        <v>0</v>
      </c>
      <c r="CG82" s="1064">
        <f>'Recurrentes 24-26'!CE84</f>
        <v>0</v>
      </c>
      <c r="CH82" s="1064">
        <f>'Recurrentes 24-26'!CF84</f>
        <v>0</v>
      </c>
      <c r="CI82" s="451"/>
      <c r="CJ82" s="1062">
        <f>'Recurrentes 24-26'!CG84</f>
        <v>8146.9584</v>
      </c>
      <c r="CK82" s="1062">
        <f>'Recurrentes 24-26'!CH84</f>
        <v>16293.9168</v>
      </c>
      <c r="CL82" s="451" t="str">
        <f>'Recurrentes 24-26'!CI84</f>
        <v/>
      </c>
      <c r="CM82" s="1064" t="str">
        <f>'Recurrentes 24-26'!CJ84</f>
        <v/>
      </c>
      <c r="CN82" s="451">
        <f>'Recurrentes 24-26'!CK84</f>
        <v>1</v>
      </c>
      <c r="CO82" s="1062">
        <f>'Recurrentes 24-26'!CL84</f>
        <v>65.03</v>
      </c>
      <c r="CP82" s="451" t="str">
        <f>'Recurrentes 24-26'!CM84</f>
        <v/>
      </c>
    </row>
    <row r="83">
      <c r="A83" s="451" t="str">
        <f>'Recurrentes 24-26'!A85</f>
        <v>Repuestos Electromecánicos recurrentes</v>
      </c>
      <c r="B83" s="451">
        <f>'Recurrentes 24-26'!B85</f>
        <v>2</v>
      </c>
      <c r="C83" s="451" t="str">
        <f>'Recurrentes 24-26'!C85</f>
        <v>Vehículo</v>
      </c>
      <c r="D83" s="451" t="str">
        <f>'Recurrentes 24-26'!D85</f>
        <v>Manto. Pinza</v>
      </c>
      <c r="E83" s="451" t="str">
        <f>'Recurrentes 24-26'!E85</f>
        <v>Repuesto Mecánico</v>
      </c>
      <c r="F83" s="451" t="str">
        <f>'Recurrentes 24-26'!F85</f>
        <v>TDB</v>
      </c>
      <c r="G83" s="1025" t="str">
        <f>'Recurrentes 24-26'!G85</f>
        <v>39800</v>
      </c>
      <c r="H83" s="1061" t="str">
        <f>'Recurrentes 24-26'!H85</f>
        <v>2-01-00192</v>
      </c>
      <c r="I83" s="1061" t="str">
        <f>'Recurrentes 24-26'!I85</f>
        <v>10687475</v>
      </c>
      <c r="J83" s="1061" t="str">
        <f>'Recurrentes 24-26'!J85</f>
        <v>TORNILLO DE AJUSTE      A108-C </v>
      </c>
      <c r="K83" s="451" t="str">
        <f>'Recurrentes 24-26'!K85</f>
        <v>Pza</v>
      </c>
      <c r="L83" s="451">
        <f>'Recurrentes 24-26'!L85</f>
        <v>4</v>
      </c>
      <c r="M83" s="451">
        <f>'Recurrentes 24-26'!M85</f>
        <v>2</v>
      </c>
      <c r="N83" s="451">
        <f>'Recurrentes 24-26'!N85</f>
        <v>4</v>
      </c>
      <c r="O83" s="451">
        <f>'Recurrentes 24-26'!O85</f>
        <v>2</v>
      </c>
      <c r="P83" s="451">
        <f>'Recurrentes 24-26'!P85</f>
        <v>2</v>
      </c>
      <c r="Q83" s="451">
        <f>'Recurrentes 24-26'!Q85</f>
        <v>4</v>
      </c>
      <c r="R83" s="451">
        <f>'Recurrentes 24-26'!R85</f>
        <v>1</v>
      </c>
      <c r="S83" s="451">
        <f>'Recurrentes 24-26'!S85</f>
        <v>1</v>
      </c>
      <c r="T83" s="451">
        <f>'Recurrentes 24-26'!T85</f>
        <v>1</v>
      </c>
      <c r="U83" s="451">
        <f>'Recurrentes 24-26'!U85</f>
        <v>1</v>
      </c>
      <c r="V83" s="451">
        <f>'Recurrentes 24-26'!V85</f>
        <v>0</v>
      </c>
      <c r="W83" s="1062">
        <f>'Recurrentes 24-26'!W85</f>
        <v>22</v>
      </c>
      <c r="X83" s="451">
        <f>'Recurrentes 24-26'!X85</f>
        <v>4</v>
      </c>
      <c r="Y83" s="451">
        <f>'Recurrentes 24-26'!Y85</f>
        <v>2</v>
      </c>
      <c r="Z83" s="451">
        <f>'Recurrentes 24-26'!Z85</f>
        <v>4</v>
      </c>
      <c r="AA83" s="451">
        <f>'Recurrentes 24-26'!AA85</f>
        <v>2</v>
      </c>
      <c r="AB83" s="451">
        <f>'Recurrentes 24-26'!AB85</f>
        <v>2</v>
      </c>
      <c r="AC83" s="451">
        <f>'Recurrentes 24-26'!AC85</f>
        <v>4</v>
      </c>
      <c r="AD83" s="451">
        <f>'Recurrentes 24-26'!AD85</f>
        <v>1</v>
      </c>
      <c r="AE83" s="451">
        <f>'Recurrentes 24-26'!AE85</f>
        <v>1</v>
      </c>
      <c r="AF83" s="451">
        <f>'Recurrentes 24-26'!AF85</f>
        <v>1</v>
      </c>
      <c r="AG83" s="451">
        <f>'Recurrentes 24-26'!AG85</f>
        <v>1</v>
      </c>
      <c r="AH83" s="451">
        <f>'Recurrentes 24-26'!AH85</f>
        <v>0</v>
      </c>
      <c r="AI83" s="1062">
        <f>'Recurrentes 24-26'!AI85</f>
        <v>22</v>
      </c>
      <c r="AJ83" s="451">
        <f>'Recurrentes 24-26'!AJ85</f>
        <v>4</v>
      </c>
      <c r="AK83" s="451">
        <f>'Recurrentes 24-26'!AK85</f>
        <v>2</v>
      </c>
      <c r="AL83" s="451">
        <f>'Recurrentes 24-26'!AL85</f>
        <v>4</v>
      </c>
      <c r="AM83" s="451">
        <f>'Recurrentes 24-26'!AM85</f>
        <v>2</v>
      </c>
      <c r="AN83" s="451">
        <f>'Recurrentes 24-26'!AN85</f>
        <v>2</v>
      </c>
      <c r="AO83" s="451">
        <f>'Recurrentes 24-26'!AO85</f>
        <v>4</v>
      </c>
      <c r="AP83" s="451">
        <f>'Recurrentes 24-26'!AP85</f>
        <v>1</v>
      </c>
      <c r="AQ83" s="451">
        <f>'Recurrentes 24-26'!AQ85</f>
        <v>1</v>
      </c>
      <c r="AR83" s="451">
        <f>'Recurrentes 24-26'!AR85</f>
        <v>1</v>
      </c>
      <c r="AS83" s="451">
        <f>'Recurrentes 24-26'!AS85</f>
        <v>1</v>
      </c>
      <c r="AT83" s="451">
        <f>'Recurrentes 24-26'!AT85</f>
        <v>0</v>
      </c>
      <c r="AU83" s="1062">
        <f>'Recurrentes 24-26'!AU85</f>
        <v>22</v>
      </c>
      <c r="AV83" s="1063">
        <f>'Recurrentes 24-26'!AV85</f>
        <v>66</v>
      </c>
      <c r="AW83" s="451" t="str">
        <f>'Recurrentes 24-26'!AW85</f>
        <v/>
      </c>
      <c r="AX83" s="1062">
        <f>'Recurrentes 24-26'!AX85</f>
        <v>33.92</v>
      </c>
      <c r="AY83" s="1062">
        <f>'Recurrentes 24-26'!AY85</f>
        <v>236.0832</v>
      </c>
      <c r="AZ83" s="1064" t="str">
        <f>'Recurrentes 24-26'!AZ85</f>
        <v/>
      </c>
      <c r="BA83" s="1064">
        <f>'Recurrentes 24-26'!BA85</f>
        <v>944.3328</v>
      </c>
      <c r="BB83" s="1064">
        <f>'Recurrentes 24-26'!BB85</f>
        <v>472.1664</v>
      </c>
      <c r="BC83" s="1064">
        <f>'Recurrentes 24-26'!BC85</f>
        <v>944.3328</v>
      </c>
      <c r="BD83" s="1064">
        <f>'Recurrentes 24-26'!BD85</f>
        <v>472.1664</v>
      </c>
      <c r="BE83" s="1064">
        <f>'Recurrentes 24-26'!BE85</f>
        <v>472.1664</v>
      </c>
      <c r="BF83" s="1064">
        <f>'Recurrentes 24-26'!BF85</f>
        <v>944.3328</v>
      </c>
      <c r="BG83" s="1064">
        <f>'Recurrentes 24-26'!BG85</f>
        <v>236.0832</v>
      </c>
      <c r="BH83" s="1064">
        <f>'Recurrentes 24-26'!BH85</f>
        <v>236.0832</v>
      </c>
      <c r="BI83" s="1064">
        <f>'Recurrentes 24-26'!BI85</f>
        <v>236.0832</v>
      </c>
      <c r="BJ83" s="1064">
        <f>'Recurrentes 24-26'!BJ85</f>
        <v>236.0832</v>
      </c>
      <c r="BK83" s="451"/>
      <c r="BL83" s="1062">
        <f>'Recurrentes 24-26'!BK85</f>
        <v>5193.8304</v>
      </c>
      <c r="BM83" s="1064">
        <f>'Recurrentes 24-26'!BL85</f>
        <v>944.3328</v>
      </c>
      <c r="BN83" s="1064">
        <f>'Recurrentes 24-26'!BM85</f>
        <v>472.1664</v>
      </c>
      <c r="BO83" s="1064">
        <f>'Recurrentes 24-26'!BN85</f>
        <v>944.3328</v>
      </c>
      <c r="BP83" s="1064">
        <f>'Recurrentes 24-26'!BO85</f>
        <v>472.1664</v>
      </c>
      <c r="BQ83" s="1064">
        <f>'Recurrentes 24-26'!BP85</f>
        <v>472.1664</v>
      </c>
      <c r="BR83" s="1064">
        <f>'Recurrentes 24-26'!BQ85</f>
        <v>944.3328</v>
      </c>
      <c r="BS83" s="1064">
        <f>'Recurrentes 24-26'!BR85</f>
        <v>236.0832</v>
      </c>
      <c r="BT83" s="1064">
        <f>'Recurrentes 24-26'!BS85</f>
        <v>236.0832</v>
      </c>
      <c r="BU83" s="1064">
        <f>'Recurrentes 24-26'!BT85</f>
        <v>236.0832</v>
      </c>
      <c r="BV83" s="1064">
        <f>'Recurrentes 24-26'!BU85</f>
        <v>236.0832</v>
      </c>
      <c r="BW83" s="451"/>
      <c r="BX83" s="1062">
        <f>'Recurrentes 24-26'!BV85</f>
        <v>5193.8304</v>
      </c>
      <c r="BY83" s="1064">
        <f>'Recurrentes 24-26'!BW85</f>
        <v>944.3328</v>
      </c>
      <c r="BZ83" s="1064">
        <f>'Recurrentes 24-26'!BX85</f>
        <v>472.1664</v>
      </c>
      <c r="CA83" s="1064">
        <f>'Recurrentes 24-26'!BY85</f>
        <v>944.3328</v>
      </c>
      <c r="CB83" s="1064">
        <f>'Recurrentes 24-26'!BZ85</f>
        <v>472.1664</v>
      </c>
      <c r="CC83" s="1064">
        <f>'Recurrentes 24-26'!CA85</f>
        <v>472.1664</v>
      </c>
      <c r="CD83" s="1064">
        <f>'Recurrentes 24-26'!CB85</f>
        <v>944.3328</v>
      </c>
      <c r="CE83" s="1064">
        <f>'Recurrentes 24-26'!CC85</f>
        <v>236.0832</v>
      </c>
      <c r="CF83" s="1064">
        <f>'Recurrentes 24-26'!CD85</f>
        <v>236.0832</v>
      </c>
      <c r="CG83" s="1064">
        <f>'Recurrentes 24-26'!CE85</f>
        <v>236.0832</v>
      </c>
      <c r="CH83" s="1064">
        <f>'Recurrentes 24-26'!CF85</f>
        <v>236.0832</v>
      </c>
      <c r="CI83" s="451"/>
      <c r="CJ83" s="1062">
        <f>'Recurrentes 24-26'!CG85</f>
        <v>5193.8304</v>
      </c>
      <c r="CK83" s="1062">
        <f>'Recurrentes 24-26'!CH85</f>
        <v>15581.4912</v>
      </c>
      <c r="CL83" s="451" t="str">
        <f>'Recurrentes 24-26'!CI85</f>
        <v/>
      </c>
      <c r="CM83" s="1064" t="str">
        <f>'Recurrentes 24-26'!CJ85</f>
        <v/>
      </c>
      <c r="CN83" s="451">
        <f>'Recurrentes 24-26'!CK85</f>
        <v>1</v>
      </c>
      <c r="CO83" s="1062">
        <f>'Recurrentes 24-26'!CL85</f>
        <v>33.92</v>
      </c>
      <c r="CP83" s="451" t="str">
        <f>'Recurrentes 24-26'!CM85</f>
        <v/>
      </c>
    </row>
    <row r="84">
      <c r="A84" s="451" t="str">
        <f>'Recurrentes 24-26'!A86</f>
        <v>Repuestos Electromecánicos recurrentes</v>
      </c>
      <c r="B84" s="451">
        <f>'Recurrentes 24-26'!B86</f>
        <v>2</v>
      </c>
      <c r="C84" s="451" t="str">
        <f>'Recurrentes 24-26'!C86</f>
        <v>Torres</v>
      </c>
      <c r="D84" s="451" t="str">
        <f>'Recurrentes 24-26'!D86</f>
        <v>Sistema RPD</v>
      </c>
      <c r="E84" s="451" t="str">
        <f>'Recurrentes 24-26'!E86</f>
        <v>Repuesto Eléctrico</v>
      </c>
      <c r="F84" s="451" t="str">
        <f>'Recurrentes 24-26'!F86</f>
        <v>TDB</v>
      </c>
      <c r="G84" s="1025" t="str">
        <f>'Recurrentes 24-26'!G86</f>
        <v>39700</v>
      </c>
      <c r="H84" s="1061" t="str">
        <f>'Recurrentes 24-26'!H86</f>
        <v>2-02-00333</v>
      </c>
      <c r="I84" s="1061" t="str">
        <f>'Recurrentes 24-26'!I86</f>
        <v>10302028</v>
      </c>
      <c r="J84" s="1061" t="str">
        <f>'Recurrentes 24-26'!J86</f>
        <v>CABLE CONECTOR RPD 8M KDKS AMARILLO CON CONECTOR INTEGRADO +</v>
      </c>
      <c r="K84" s="451" t="str">
        <f>'Recurrentes 24-26'!K86</f>
        <v>Pza</v>
      </c>
      <c r="L84" s="451">
        <f>'Recurrentes 24-26'!L86</f>
        <v>0</v>
      </c>
      <c r="M84" s="451">
        <f>'Recurrentes 24-26'!M86</f>
        <v>0</v>
      </c>
      <c r="N84" s="451">
        <f>'Recurrentes 24-26'!N86</f>
        <v>0</v>
      </c>
      <c r="O84" s="451">
        <f>'Recurrentes 24-26'!O86</f>
        <v>0</v>
      </c>
      <c r="P84" s="451">
        <f>'Recurrentes 24-26'!P86</f>
        <v>0</v>
      </c>
      <c r="Q84" s="451">
        <f>'Recurrentes 24-26'!Q86</f>
        <v>0</v>
      </c>
      <c r="R84" s="451">
        <f>'Recurrentes 24-26'!R86</f>
        <v>2</v>
      </c>
      <c r="S84" s="451">
        <f>'Recurrentes 24-26'!S86</f>
        <v>2</v>
      </c>
      <c r="T84" s="451">
        <f>'Recurrentes 24-26'!T86</f>
        <v>0</v>
      </c>
      <c r="U84" s="451">
        <f>'Recurrentes 24-26'!U86</f>
        <v>2</v>
      </c>
      <c r="V84" s="451">
        <f>'Recurrentes 24-26'!V86</f>
        <v>0</v>
      </c>
      <c r="W84" s="1062">
        <f>'Recurrentes 24-26'!W86</f>
        <v>6</v>
      </c>
      <c r="X84" s="451">
        <f>'Recurrentes 24-26'!X86</f>
        <v>0</v>
      </c>
      <c r="Y84" s="451">
        <f>'Recurrentes 24-26'!Y86</f>
        <v>0</v>
      </c>
      <c r="Z84" s="451">
        <f>'Recurrentes 24-26'!Z86</f>
        <v>0</v>
      </c>
      <c r="AA84" s="451">
        <f>'Recurrentes 24-26'!AA86</f>
        <v>0</v>
      </c>
      <c r="AB84" s="451">
        <f>'Recurrentes 24-26'!AB86</f>
        <v>0</v>
      </c>
      <c r="AC84" s="451">
        <f>'Recurrentes 24-26'!AC86</f>
        <v>0</v>
      </c>
      <c r="AD84" s="451">
        <f>'Recurrentes 24-26'!AD86</f>
        <v>2</v>
      </c>
      <c r="AE84" s="451">
        <f>'Recurrentes 24-26'!AE86</f>
        <v>2</v>
      </c>
      <c r="AF84" s="451">
        <f>'Recurrentes 24-26'!AF86</f>
        <v>0</v>
      </c>
      <c r="AG84" s="451">
        <f>'Recurrentes 24-26'!AG86</f>
        <v>2</v>
      </c>
      <c r="AH84" s="451">
        <f>'Recurrentes 24-26'!AH86</f>
        <v>0</v>
      </c>
      <c r="AI84" s="1062">
        <f>'Recurrentes 24-26'!AI86</f>
        <v>6</v>
      </c>
      <c r="AJ84" s="451">
        <f>'Recurrentes 24-26'!AJ86</f>
        <v>0</v>
      </c>
      <c r="AK84" s="451">
        <f>'Recurrentes 24-26'!AK86</f>
        <v>0</v>
      </c>
      <c r="AL84" s="451">
        <f>'Recurrentes 24-26'!AL86</f>
        <v>0</v>
      </c>
      <c r="AM84" s="451">
        <f>'Recurrentes 24-26'!AM86</f>
        <v>0</v>
      </c>
      <c r="AN84" s="451">
        <f>'Recurrentes 24-26'!AN86</f>
        <v>0</v>
      </c>
      <c r="AO84" s="451">
        <f>'Recurrentes 24-26'!AO86</f>
        <v>0</v>
      </c>
      <c r="AP84" s="451">
        <f>'Recurrentes 24-26'!AP86</f>
        <v>2</v>
      </c>
      <c r="AQ84" s="451">
        <f>'Recurrentes 24-26'!AQ86</f>
        <v>2</v>
      </c>
      <c r="AR84" s="451">
        <f>'Recurrentes 24-26'!AR86</f>
        <v>0</v>
      </c>
      <c r="AS84" s="451">
        <f>'Recurrentes 24-26'!AS86</f>
        <v>2</v>
      </c>
      <c r="AT84" s="451">
        <f>'Recurrentes 24-26'!AT86</f>
        <v>0</v>
      </c>
      <c r="AU84" s="1062">
        <f>'Recurrentes 24-26'!AU86</f>
        <v>6</v>
      </c>
      <c r="AV84" s="1063">
        <f>'Recurrentes 24-26'!AV86</f>
        <v>18</v>
      </c>
      <c r="AW84" s="451" t="str">
        <f>'Recurrentes 24-26'!AW86</f>
        <v/>
      </c>
      <c r="AX84" s="1062">
        <f>'Recurrentes 24-26'!AX86</f>
        <v>120.56</v>
      </c>
      <c r="AY84" s="1062">
        <f>'Recurrentes 24-26'!AY86</f>
        <v>839.0976</v>
      </c>
      <c r="AZ84" s="1064" t="str">
        <f>'Recurrentes 24-26'!AZ86</f>
        <v/>
      </c>
      <c r="BA84" s="1064">
        <f>'Recurrentes 24-26'!BA86</f>
        <v>0</v>
      </c>
      <c r="BB84" s="1064">
        <f>'Recurrentes 24-26'!BB86</f>
        <v>0</v>
      </c>
      <c r="BC84" s="1064">
        <f>'Recurrentes 24-26'!BC86</f>
        <v>0</v>
      </c>
      <c r="BD84" s="1064">
        <f>'Recurrentes 24-26'!BD86</f>
        <v>0</v>
      </c>
      <c r="BE84" s="1064">
        <f>'Recurrentes 24-26'!BE86</f>
        <v>0</v>
      </c>
      <c r="BF84" s="1064">
        <f>'Recurrentes 24-26'!BF86</f>
        <v>0</v>
      </c>
      <c r="BG84" s="1064">
        <f>'Recurrentes 24-26'!BG86</f>
        <v>1678.1952</v>
      </c>
      <c r="BH84" s="1064">
        <f>'Recurrentes 24-26'!BH86</f>
        <v>1678.1952</v>
      </c>
      <c r="BI84" s="1064">
        <f>'Recurrentes 24-26'!BI86</f>
        <v>0</v>
      </c>
      <c r="BJ84" s="1064">
        <f>'Recurrentes 24-26'!BJ86</f>
        <v>1678.1952</v>
      </c>
      <c r="BK84" s="451"/>
      <c r="BL84" s="1062">
        <f>'Recurrentes 24-26'!BK86</f>
        <v>5034.5856</v>
      </c>
      <c r="BM84" s="1064">
        <f>'Recurrentes 24-26'!BL86</f>
        <v>0</v>
      </c>
      <c r="BN84" s="1064">
        <f>'Recurrentes 24-26'!BM86</f>
        <v>0</v>
      </c>
      <c r="BO84" s="1064">
        <f>'Recurrentes 24-26'!BN86</f>
        <v>0</v>
      </c>
      <c r="BP84" s="1064">
        <f>'Recurrentes 24-26'!BO86</f>
        <v>0</v>
      </c>
      <c r="BQ84" s="1064">
        <f>'Recurrentes 24-26'!BP86</f>
        <v>0</v>
      </c>
      <c r="BR84" s="1064">
        <f>'Recurrentes 24-26'!BQ86</f>
        <v>0</v>
      </c>
      <c r="BS84" s="1064">
        <f>'Recurrentes 24-26'!BR86</f>
        <v>1678.1952</v>
      </c>
      <c r="BT84" s="1064">
        <f>'Recurrentes 24-26'!BS86</f>
        <v>1678.1952</v>
      </c>
      <c r="BU84" s="1064">
        <f>'Recurrentes 24-26'!BT86</f>
        <v>0</v>
      </c>
      <c r="BV84" s="1064">
        <f>'Recurrentes 24-26'!BU86</f>
        <v>1678.1952</v>
      </c>
      <c r="BW84" s="451"/>
      <c r="BX84" s="1062">
        <f>'Recurrentes 24-26'!BV86</f>
        <v>5034.5856</v>
      </c>
      <c r="BY84" s="1064">
        <f>'Recurrentes 24-26'!BW86</f>
        <v>0</v>
      </c>
      <c r="BZ84" s="1064">
        <f>'Recurrentes 24-26'!BX86</f>
        <v>0</v>
      </c>
      <c r="CA84" s="1064">
        <f>'Recurrentes 24-26'!BY86</f>
        <v>0</v>
      </c>
      <c r="CB84" s="1064">
        <f>'Recurrentes 24-26'!BZ86</f>
        <v>0</v>
      </c>
      <c r="CC84" s="1064">
        <f>'Recurrentes 24-26'!CA86</f>
        <v>0</v>
      </c>
      <c r="CD84" s="1064">
        <f>'Recurrentes 24-26'!CB86</f>
        <v>0</v>
      </c>
      <c r="CE84" s="1064">
        <f>'Recurrentes 24-26'!CC86</f>
        <v>1678.1952</v>
      </c>
      <c r="CF84" s="1064">
        <f>'Recurrentes 24-26'!CD86</f>
        <v>1678.1952</v>
      </c>
      <c r="CG84" s="1064">
        <f>'Recurrentes 24-26'!CE86</f>
        <v>0</v>
      </c>
      <c r="CH84" s="1064">
        <f>'Recurrentes 24-26'!CF86</f>
        <v>1678.1952</v>
      </c>
      <c r="CI84" s="451"/>
      <c r="CJ84" s="1062">
        <f>'Recurrentes 24-26'!CG86</f>
        <v>5034.5856</v>
      </c>
      <c r="CK84" s="1062">
        <f>'Recurrentes 24-26'!CH86</f>
        <v>15103.7568</v>
      </c>
      <c r="CL84" s="451" t="str">
        <f>'Recurrentes 24-26'!CI86</f>
        <v/>
      </c>
      <c r="CM84" s="1064" t="str">
        <f>'Recurrentes 24-26'!CJ86</f>
        <v/>
      </c>
      <c r="CN84" s="451">
        <f>'Recurrentes 24-26'!CK86</f>
        <v>1</v>
      </c>
      <c r="CO84" s="1062">
        <f>'Recurrentes 24-26'!CL86</f>
        <v>120.56</v>
      </c>
      <c r="CP84" s="451" t="str">
        <f>'Recurrentes 24-26'!CM86</f>
        <v/>
      </c>
    </row>
    <row r="85">
      <c r="A85" s="451" t="str">
        <f>'Recurrentes 24-26'!A87</f>
        <v>Repuestos Electromecánicos recurrentes</v>
      </c>
      <c r="B85" s="451">
        <f>'Recurrentes 24-26'!B87</f>
        <v>2</v>
      </c>
      <c r="C85" s="451" t="str">
        <f>'Recurrentes 24-26'!C87</f>
        <v>Vehículo</v>
      </c>
      <c r="D85" s="451" t="str">
        <f>'Recurrentes 24-26'!D87</f>
        <v>10% Suspensiones de Cabinas </v>
      </c>
      <c r="E85" s="451" t="str">
        <f>'Recurrentes 24-26'!E87</f>
        <v>Repuesto Mecánico</v>
      </c>
      <c r="F85" s="451" t="str">
        <f>'Recurrentes 24-26'!F87</f>
        <v>TDB</v>
      </c>
      <c r="G85" s="1025" t="str">
        <f>'Recurrentes 24-26'!G87</f>
        <v>39800</v>
      </c>
      <c r="H85" s="1061" t="str">
        <f>'Recurrentes 24-26'!H87</f>
        <v>2-01-00340</v>
      </c>
      <c r="I85" s="1061" t="str">
        <f>'Recurrentes 24-26'!I87</f>
        <v>10000082</v>
      </c>
      <c r="J85" s="1061" t="str">
        <f>'Recurrentes 24-26'!J87</f>
        <v>TUERCA HEX. DIN 985-8 M16 ELECTROGALVAN. (C.ELEM.DE FIJAC.)</v>
      </c>
      <c r="K85" s="451" t="str">
        <f>'Recurrentes 24-26'!K87</f>
        <v>Pza</v>
      </c>
      <c r="L85" s="451">
        <f>'Recurrentes 24-26'!L87</f>
        <v>200</v>
      </c>
      <c r="M85" s="451">
        <f>'Recurrentes 24-26'!M87</f>
        <v>150</v>
      </c>
      <c r="N85" s="451">
        <f>'Recurrentes 24-26'!N87</f>
        <v>180</v>
      </c>
      <c r="O85" s="451">
        <f>'Recurrentes 24-26'!O87</f>
        <v>0</v>
      </c>
      <c r="P85" s="451">
        <f>'Recurrentes 24-26'!P87</f>
        <v>0</v>
      </c>
      <c r="Q85" s="451">
        <f>'Recurrentes 24-26'!Q87</f>
        <v>0</v>
      </c>
      <c r="R85" s="451">
        <f>'Recurrentes 24-26'!R87</f>
        <v>0</v>
      </c>
      <c r="S85" s="451">
        <f>'Recurrentes 24-26'!S87</f>
        <v>0</v>
      </c>
      <c r="T85" s="451">
        <f>'Recurrentes 24-26'!T87</f>
        <v>30</v>
      </c>
      <c r="U85" s="451">
        <f>'Recurrentes 24-26'!U87</f>
        <v>0</v>
      </c>
      <c r="V85" s="451">
        <f>'Recurrentes 24-26'!V87</f>
        <v>0</v>
      </c>
      <c r="W85" s="1062">
        <f>'Recurrentes 24-26'!W87</f>
        <v>560</v>
      </c>
      <c r="X85" s="451">
        <f>'Recurrentes 24-26'!X87</f>
        <v>160</v>
      </c>
      <c r="Y85" s="451">
        <f>'Recurrentes 24-26'!Y87</f>
        <v>120</v>
      </c>
      <c r="Z85" s="451">
        <f>'Recurrentes 24-26'!Z87</f>
        <v>144</v>
      </c>
      <c r="AA85" s="451">
        <f>'Recurrentes 24-26'!AA87</f>
        <v>88</v>
      </c>
      <c r="AB85" s="451">
        <f>'Recurrentes 24-26'!AB87</f>
        <v>104</v>
      </c>
      <c r="AC85" s="451">
        <f>'Recurrentes 24-26'!AC87</f>
        <v>168</v>
      </c>
      <c r="AD85" s="451">
        <f>'Recurrentes 24-26'!AD87</f>
        <v>104</v>
      </c>
      <c r="AE85" s="451">
        <f>'Recurrentes 24-26'!AE87</f>
        <v>0</v>
      </c>
      <c r="AF85" s="451">
        <f>'Recurrentes 24-26'!AF87</f>
        <v>24</v>
      </c>
      <c r="AG85" s="451">
        <f>'Recurrentes 24-26'!AG87</f>
        <v>0</v>
      </c>
      <c r="AH85" s="451">
        <f>'Recurrentes 24-26'!AH87</f>
        <v>0</v>
      </c>
      <c r="AI85" s="1062">
        <f>'Recurrentes 24-26'!AI87</f>
        <v>912</v>
      </c>
      <c r="AJ85" s="451">
        <f>'Recurrentes 24-26'!AJ87</f>
        <v>160</v>
      </c>
      <c r="AK85" s="451">
        <f>'Recurrentes 24-26'!AK87</f>
        <v>120</v>
      </c>
      <c r="AL85" s="451">
        <f>'Recurrentes 24-26'!AL87</f>
        <v>144</v>
      </c>
      <c r="AM85" s="451">
        <f>'Recurrentes 24-26'!AM87</f>
        <v>88</v>
      </c>
      <c r="AN85" s="451">
        <f>'Recurrentes 24-26'!AN87</f>
        <v>104</v>
      </c>
      <c r="AO85" s="451">
        <f>'Recurrentes 24-26'!AO87</f>
        <v>168</v>
      </c>
      <c r="AP85" s="451">
        <f>'Recurrentes 24-26'!AP87</f>
        <v>104</v>
      </c>
      <c r="AQ85" s="451">
        <f>'Recurrentes 24-26'!AQ87</f>
        <v>0</v>
      </c>
      <c r="AR85" s="451">
        <f>'Recurrentes 24-26'!AR87</f>
        <v>24</v>
      </c>
      <c r="AS85" s="451">
        <f>'Recurrentes 24-26'!AS87</f>
        <v>0</v>
      </c>
      <c r="AT85" s="451">
        <f>'Recurrentes 24-26'!AT87</f>
        <v>0</v>
      </c>
      <c r="AU85" s="1062">
        <f>'Recurrentes 24-26'!AU87</f>
        <v>912</v>
      </c>
      <c r="AV85" s="1063">
        <f>'Recurrentes 24-26'!AV87</f>
        <v>2384</v>
      </c>
      <c r="AW85" s="451" t="str">
        <f>'Recurrentes 24-26'!AW87</f>
        <v/>
      </c>
      <c r="AX85" s="1062">
        <f>'Recurrentes 24-26'!AX87</f>
        <v>0.89</v>
      </c>
      <c r="AY85" s="1062">
        <f>'Recurrentes 24-26'!AY87</f>
        <v>6.1944</v>
      </c>
      <c r="AZ85" s="1064" t="str">
        <f>'Recurrentes 24-26'!AZ87</f>
        <v/>
      </c>
      <c r="BA85" s="1064">
        <f>'Recurrentes 24-26'!BA87</f>
        <v>1238.88</v>
      </c>
      <c r="BB85" s="1064">
        <f>'Recurrentes 24-26'!BB87</f>
        <v>929.16</v>
      </c>
      <c r="BC85" s="1064">
        <f>'Recurrentes 24-26'!BC87</f>
        <v>1114.992</v>
      </c>
      <c r="BD85" s="1064">
        <f>'Recurrentes 24-26'!BD87</f>
        <v>0</v>
      </c>
      <c r="BE85" s="1064">
        <f>'Recurrentes 24-26'!BE87</f>
        <v>0</v>
      </c>
      <c r="BF85" s="1064">
        <f>'Recurrentes 24-26'!BF87</f>
        <v>0</v>
      </c>
      <c r="BG85" s="1064">
        <f>'Recurrentes 24-26'!BG87</f>
        <v>0</v>
      </c>
      <c r="BH85" s="1064">
        <f>'Recurrentes 24-26'!BH87</f>
        <v>0</v>
      </c>
      <c r="BI85" s="1064">
        <f>'Recurrentes 24-26'!BI87</f>
        <v>185.832</v>
      </c>
      <c r="BJ85" s="1064">
        <f>'Recurrentes 24-26'!BJ87</f>
        <v>0</v>
      </c>
      <c r="BK85" s="451"/>
      <c r="BL85" s="1062">
        <f>'Recurrentes 24-26'!BK87</f>
        <v>3468.864</v>
      </c>
      <c r="BM85" s="1064">
        <f>'Recurrentes 24-26'!BL87</f>
        <v>991.104</v>
      </c>
      <c r="BN85" s="1064">
        <f>'Recurrentes 24-26'!BM87</f>
        <v>743.328</v>
      </c>
      <c r="BO85" s="1064">
        <f>'Recurrentes 24-26'!BN87</f>
        <v>891.9936</v>
      </c>
      <c r="BP85" s="1064">
        <f>'Recurrentes 24-26'!BO87</f>
        <v>545.1072</v>
      </c>
      <c r="BQ85" s="1064">
        <f>'Recurrentes 24-26'!BP87</f>
        <v>644.2176</v>
      </c>
      <c r="BR85" s="1064">
        <f>'Recurrentes 24-26'!BQ87</f>
        <v>1040.6592</v>
      </c>
      <c r="BS85" s="1064">
        <f>'Recurrentes 24-26'!BR87</f>
        <v>644.2176</v>
      </c>
      <c r="BT85" s="1064">
        <f>'Recurrentes 24-26'!BS87</f>
        <v>0</v>
      </c>
      <c r="BU85" s="1064">
        <f>'Recurrentes 24-26'!BT87</f>
        <v>148.6656</v>
      </c>
      <c r="BV85" s="1064">
        <f>'Recurrentes 24-26'!BU87</f>
        <v>0</v>
      </c>
      <c r="BW85" s="451"/>
      <c r="BX85" s="1062">
        <f>'Recurrentes 24-26'!BV87</f>
        <v>5649.2928</v>
      </c>
      <c r="BY85" s="1064">
        <f>'Recurrentes 24-26'!BW87</f>
        <v>991.104</v>
      </c>
      <c r="BZ85" s="1064">
        <f>'Recurrentes 24-26'!BX87</f>
        <v>743.328</v>
      </c>
      <c r="CA85" s="1064">
        <f>'Recurrentes 24-26'!BY87</f>
        <v>891.9936</v>
      </c>
      <c r="CB85" s="1064">
        <f>'Recurrentes 24-26'!BZ87</f>
        <v>545.1072</v>
      </c>
      <c r="CC85" s="1064">
        <f>'Recurrentes 24-26'!CA87</f>
        <v>644.2176</v>
      </c>
      <c r="CD85" s="1064">
        <f>'Recurrentes 24-26'!CB87</f>
        <v>1040.6592</v>
      </c>
      <c r="CE85" s="1064">
        <f>'Recurrentes 24-26'!CC87</f>
        <v>644.2176</v>
      </c>
      <c r="CF85" s="1064">
        <f>'Recurrentes 24-26'!CD87</f>
        <v>0</v>
      </c>
      <c r="CG85" s="1064">
        <f>'Recurrentes 24-26'!CE87</f>
        <v>148.6656</v>
      </c>
      <c r="CH85" s="1064">
        <f>'Recurrentes 24-26'!CF87</f>
        <v>0</v>
      </c>
      <c r="CI85" s="451"/>
      <c r="CJ85" s="1062">
        <f>'Recurrentes 24-26'!CG87</f>
        <v>5649.2928</v>
      </c>
      <c r="CK85" s="1062">
        <f>'Recurrentes 24-26'!CH87</f>
        <v>14767.4496</v>
      </c>
      <c r="CL85" s="451" t="str">
        <f>'Recurrentes 24-26'!CI87</f>
        <v/>
      </c>
      <c r="CM85" s="1064" t="str">
        <f>'Recurrentes 24-26'!CJ87</f>
        <v/>
      </c>
      <c r="CN85" s="451">
        <f>'Recurrentes 24-26'!CK87</f>
        <v>1</v>
      </c>
      <c r="CO85" s="1062">
        <f>'Recurrentes 24-26'!CL87</f>
        <v>0.89</v>
      </c>
      <c r="CP85" s="451" t="str">
        <f>'Recurrentes 24-26'!CM87</f>
        <v/>
      </c>
    </row>
    <row r="86">
      <c r="A86" s="451" t="str">
        <f>'Recurrentes 24-26'!A88</f>
        <v>Repuestos Electromecánicos recurrentes</v>
      </c>
      <c r="B86" s="451">
        <f>'Recurrentes 24-26'!B88</f>
        <v>2</v>
      </c>
      <c r="C86" s="451" t="str">
        <f>'Recurrentes 24-26'!C88</f>
        <v>Vehículo</v>
      </c>
      <c r="D86" s="451" t="str">
        <f>'Recurrentes 24-26'!D88</f>
        <v>Manto. Pinza</v>
      </c>
      <c r="E86" s="451" t="str">
        <f>'Recurrentes 24-26'!E88</f>
        <v>Repuesto Mecánico</v>
      </c>
      <c r="F86" s="451" t="str">
        <f>'Recurrentes 24-26'!F88</f>
        <v>TDB</v>
      </c>
      <c r="G86" s="1025" t="str">
        <f>'Recurrentes 24-26'!G88</f>
        <v>39800</v>
      </c>
      <c r="H86" s="1061" t="str">
        <f>'Recurrentes 24-26'!H88</f>
        <v>2-01-00348</v>
      </c>
      <c r="I86" s="1061" t="str">
        <f>'Recurrentes 24-26'!I88</f>
        <v>10488571</v>
      </c>
      <c r="J86" s="1061" t="str">
        <f>'Recurrentes 24-26'!J88</f>
        <v>TUERCA HEXAGONAL M18   A 108-C</v>
      </c>
      <c r="K86" s="451" t="str">
        <f>'Recurrentes 24-26'!K88</f>
        <v>Pza</v>
      </c>
      <c r="L86" s="451">
        <f>'Recurrentes 24-26'!L88</f>
        <v>2</v>
      </c>
      <c r="M86" s="451">
        <f>'Recurrentes 24-26'!M88</f>
        <v>2</v>
      </c>
      <c r="N86" s="451">
        <f>'Recurrentes 24-26'!N88</f>
        <v>2</v>
      </c>
      <c r="O86" s="451">
        <f>'Recurrentes 24-26'!O88</f>
        <v>2</v>
      </c>
      <c r="P86" s="451">
        <f>'Recurrentes 24-26'!P88</f>
        <v>2</v>
      </c>
      <c r="Q86" s="451">
        <f>'Recurrentes 24-26'!Q88</f>
        <v>2</v>
      </c>
      <c r="R86" s="451">
        <f>'Recurrentes 24-26'!R88</f>
        <v>2</v>
      </c>
      <c r="S86" s="451">
        <f>'Recurrentes 24-26'!S88</f>
        <v>2</v>
      </c>
      <c r="T86" s="451">
        <f>'Recurrentes 24-26'!T88</f>
        <v>1</v>
      </c>
      <c r="U86" s="451">
        <f>'Recurrentes 24-26'!U88</f>
        <v>0</v>
      </c>
      <c r="V86" s="451">
        <f>'Recurrentes 24-26'!V88</f>
        <v>0</v>
      </c>
      <c r="W86" s="1062">
        <f>'Recurrentes 24-26'!W88</f>
        <v>17</v>
      </c>
      <c r="X86" s="451">
        <f>'Recurrentes 24-26'!X88</f>
        <v>10</v>
      </c>
      <c r="Y86" s="451">
        <f>'Recurrentes 24-26'!Y88</f>
        <v>10</v>
      </c>
      <c r="Z86" s="451">
        <f>'Recurrentes 24-26'!Z88</f>
        <v>10</v>
      </c>
      <c r="AA86" s="451">
        <f>'Recurrentes 24-26'!AA88</f>
        <v>10</v>
      </c>
      <c r="AB86" s="451">
        <f>'Recurrentes 24-26'!AB88</f>
        <v>10</v>
      </c>
      <c r="AC86" s="451">
        <f>'Recurrentes 24-26'!AC88</f>
        <v>10</v>
      </c>
      <c r="AD86" s="451">
        <f>'Recurrentes 24-26'!AD88</f>
        <v>10</v>
      </c>
      <c r="AE86" s="451">
        <f>'Recurrentes 24-26'!AE88</f>
        <v>10</v>
      </c>
      <c r="AF86" s="451">
        <f>'Recurrentes 24-26'!AF88</f>
        <v>5</v>
      </c>
      <c r="AG86" s="451">
        <f>'Recurrentes 24-26'!AG88</f>
        <v>0</v>
      </c>
      <c r="AH86" s="451">
        <f>'Recurrentes 24-26'!AH88</f>
        <v>0</v>
      </c>
      <c r="AI86" s="1062">
        <f>'Recurrentes 24-26'!AI88</f>
        <v>85</v>
      </c>
      <c r="AJ86" s="451">
        <f>'Recurrentes 24-26'!AJ88</f>
        <v>10</v>
      </c>
      <c r="AK86" s="451">
        <f>'Recurrentes 24-26'!AK88</f>
        <v>10</v>
      </c>
      <c r="AL86" s="451">
        <f>'Recurrentes 24-26'!AL88</f>
        <v>10</v>
      </c>
      <c r="AM86" s="451">
        <f>'Recurrentes 24-26'!AM88</f>
        <v>10</v>
      </c>
      <c r="AN86" s="451">
        <f>'Recurrentes 24-26'!AN88</f>
        <v>10</v>
      </c>
      <c r="AO86" s="451">
        <f>'Recurrentes 24-26'!AO88</f>
        <v>10</v>
      </c>
      <c r="AP86" s="451">
        <f>'Recurrentes 24-26'!AP88</f>
        <v>10</v>
      </c>
      <c r="AQ86" s="451">
        <f>'Recurrentes 24-26'!AQ88</f>
        <v>10</v>
      </c>
      <c r="AR86" s="451">
        <f>'Recurrentes 24-26'!AR88</f>
        <v>5</v>
      </c>
      <c r="AS86" s="451">
        <f>'Recurrentes 24-26'!AS88</f>
        <v>0</v>
      </c>
      <c r="AT86" s="451">
        <f>'Recurrentes 24-26'!AT88</f>
        <v>0</v>
      </c>
      <c r="AU86" s="1062">
        <f>'Recurrentes 24-26'!AU88</f>
        <v>85</v>
      </c>
      <c r="AV86" s="1063">
        <f>'Recurrentes 24-26'!AV88</f>
        <v>187</v>
      </c>
      <c r="AW86" s="451" t="str">
        <f>'Recurrentes 24-26'!AW88</f>
        <v/>
      </c>
      <c r="AX86" s="1062">
        <f>'Recurrentes 24-26'!AX88</f>
        <v>11.11</v>
      </c>
      <c r="AY86" s="1062">
        <f>'Recurrentes 24-26'!AY88</f>
        <v>77.3256</v>
      </c>
      <c r="AZ86" s="1064" t="str">
        <f>'Recurrentes 24-26'!AZ88</f>
        <v/>
      </c>
      <c r="BA86" s="1064">
        <f>'Recurrentes 24-26'!BA88</f>
        <v>154.6512</v>
      </c>
      <c r="BB86" s="1064">
        <f>'Recurrentes 24-26'!BB88</f>
        <v>154.6512</v>
      </c>
      <c r="BC86" s="1064">
        <f>'Recurrentes 24-26'!BC88</f>
        <v>154.6512</v>
      </c>
      <c r="BD86" s="1064">
        <f>'Recurrentes 24-26'!BD88</f>
        <v>154.6512</v>
      </c>
      <c r="BE86" s="1064">
        <f>'Recurrentes 24-26'!BE88</f>
        <v>154.6512</v>
      </c>
      <c r="BF86" s="1064">
        <f>'Recurrentes 24-26'!BF88</f>
        <v>154.6512</v>
      </c>
      <c r="BG86" s="1064">
        <f>'Recurrentes 24-26'!BG88</f>
        <v>154.6512</v>
      </c>
      <c r="BH86" s="1064">
        <f>'Recurrentes 24-26'!BH88</f>
        <v>154.6512</v>
      </c>
      <c r="BI86" s="1064">
        <f>'Recurrentes 24-26'!BI88</f>
        <v>77.3256</v>
      </c>
      <c r="BJ86" s="1064">
        <f>'Recurrentes 24-26'!BJ88</f>
        <v>0</v>
      </c>
      <c r="BK86" s="451"/>
      <c r="BL86" s="1062">
        <f>'Recurrentes 24-26'!BK88</f>
        <v>1314.5352</v>
      </c>
      <c r="BM86" s="1064">
        <f>'Recurrentes 24-26'!BL88</f>
        <v>773.256</v>
      </c>
      <c r="BN86" s="1064">
        <f>'Recurrentes 24-26'!BM88</f>
        <v>773.256</v>
      </c>
      <c r="BO86" s="1064">
        <f>'Recurrentes 24-26'!BN88</f>
        <v>773.256</v>
      </c>
      <c r="BP86" s="1064">
        <f>'Recurrentes 24-26'!BO88</f>
        <v>773.256</v>
      </c>
      <c r="BQ86" s="1064">
        <f>'Recurrentes 24-26'!BP88</f>
        <v>773.256</v>
      </c>
      <c r="BR86" s="1064">
        <f>'Recurrentes 24-26'!BQ88</f>
        <v>773.256</v>
      </c>
      <c r="BS86" s="1064">
        <f>'Recurrentes 24-26'!BR88</f>
        <v>773.256</v>
      </c>
      <c r="BT86" s="1064">
        <f>'Recurrentes 24-26'!BS88</f>
        <v>773.256</v>
      </c>
      <c r="BU86" s="1064">
        <f>'Recurrentes 24-26'!BT88</f>
        <v>386.628</v>
      </c>
      <c r="BV86" s="1064">
        <f>'Recurrentes 24-26'!BU88</f>
        <v>0</v>
      </c>
      <c r="BW86" s="451"/>
      <c r="BX86" s="1062">
        <f>'Recurrentes 24-26'!BV88</f>
        <v>6572.676</v>
      </c>
      <c r="BY86" s="1064">
        <f>'Recurrentes 24-26'!BW88</f>
        <v>773.256</v>
      </c>
      <c r="BZ86" s="1064">
        <f>'Recurrentes 24-26'!BX88</f>
        <v>773.256</v>
      </c>
      <c r="CA86" s="1064">
        <f>'Recurrentes 24-26'!BY88</f>
        <v>773.256</v>
      </c>
      <c r="CB86" s="1064">
        <f>'Recurrentes 24-26'!BZ88</f>
        <v>773.256</v>
      </c>
      <c r="CC86" s="1064">
        <f>'Recurrentes 24-26'!CA88</f>
        <v>773.256</v>
      </c>
      <c r="CD86" s="1064">
        <f>'Recurrentes 24-26'!CB88</f>
        <v>773.256</v>
      </c>
      <c r="CE86" s="1064">
        <f>'Recurrentes 24-26'!CC88</f>
        <v>773.256</v>
      </c>
      <c r="CF86" s="1064">
        <f>'Recurrentes 24-26'!CD88</f>
        <v>773.256</v>
      </c>
      <c r="CG86" s="1064">
        <f>'Recurrentes 24-26'!CE88</f>
        <v>386.628</v>
      </c>
      <c r="CH86" s="1064">
        <f>'Recurrentes 24-26'!CF88</f>
        <v>0</v>
      </c>
      <c r="CI86" s="451"/>
      <c r="CJ86" s="1062">
        <f>'Recurrentes 24-26'!CG88</f>
        <v>6572.676</v>
      </c>
      <c r="CK86" s="1062">
        <f>'Recurrentes 24-26'!CH88</f>
        <v>14459.8872</v>
      </c>
      <c r="CL86" s="451" t="str">
        <f>'Recurrentes 24-26'!CI88</f>
        <v/>
      </c>
      <c r="CM86" s="1064" t="str">
        <f>'Recurrentes 24-26'!CJ88</f>
        <v/>
      </c>
      <c r="CN86" s="451">
        <f>'Recurrentes 24-26'!CK88</f>
        <v>1</v>
      </c>
      <c r="CO86" s="1062">
        <f>'Recurrentes 24-26'!CL88</f>
        <v>11.11</v>
      </c>
      <c r="CP86" s="451" t="str">
        <f>'Recurrentes 24-26'!CM88</f>
        <v/>
      </c>
    </row>
    <row r="87">
      <c r="A87" s="451" t="str">
        <f>'Recurrentes 24-26'!A89</f>
        <v>Repuestos Electromecánicos recurrentes</v>
      </c>
      <c r="B87" s="451">
        <f>'Recurrentes 24-26'!B89</f>
        <v>2</v>
      </c>
      <c r="C87" s="451" t="str">
        <f>'Recurrentes 24-26'!C89</f>
        <v>Torres</v>
      </c>
      <c r="D87" s="451" t="str">
        <f>'Recurrentes 24-26'!D89</f>
        <v>Sistema RPD</v>
      </c>
      <c r="E87" s="451" t="str">
        <f>'Recurrentes 24-26'!E89</f>
        <v>Repuesto Eléctrico</v>
      </c>
      <c r="F87" s="451" t="str">
        <f>'Recurrentes 24-26'!F89</f>
        <v>TDB</v>
      </c>
      <c r="G87" s="1025" t="str">
        <f>'Recurrentes 24-26'!G89</f>
        <v>39700</v>
      </c>
      <c r="H87" s="1061" t="str">
        <f>'Recurrentes 24-26'!H89</f>
        <v>2-02-00616</v>
      </c>
      <c r="I87" s="1061" t="str">
        <f>'Recurrentes 24-26'!I89</f>
        <v>11131578</v>
      </c>
      <c r="J87" s="1061" t="str">
        <f>'Recurrentes 24-26'!J89</f>
        <v>ELEMENTO BASE P. ENCHUFE PROTECT. PHOENIX CONTACT N.°:2839376</v>
      </c>
      <c r="K87" s="451" t="str">
        <f>'Recurrentes 24-26'!K89</f>
        <v>Pza</v>
      </c>
      <c r="L87" s="451">
        <f>'Recurrentes 24-26'!L89</f>
        <v>0</v>
      </c>
      <c r="M87" s="451">
        <f>'Recurrentes 24-26'!M89</f>
        <v>0</v>
      </c>
      <c r="N87" s="451">
        <f>'Recurrentes 24-26'!N89</f>
        <v>0</v>
      </c>
      <c r="O87" s="451">
        <f>'Recurrentes 24-26'!O89</f>
        <v>0</v>
      </c>
      <c r="P87" s="451">
        <f>'Recurrentes 24-26'!P89</f>
        <v>0</v>
      </c>
      <c r="Q87" s="451">
        <f>'Recurrentes 24-26'!Q89</f>
        <v>0</v>
      </c>
      <c r="R87" s="451">
        <f>'Recurrentes 24-26'!R89</f>
        <v>1</v>
      </c>
      <c r="S87" s="451">
        <f>'Recurrentes 24-26'!S89</f>
        <v>2</v>
      </c>
      <c r="T87" s="451">
        <f>'Recurrentes 24-26'!T89</f>
        <v>0</v>
      </c>
      <c r="U87" s="451">
        <f>'Recurrentes 24-26'!U89</f>
        <v>1</v>
      </c>
      <c r="V87" s="451">
        <f>'Recurrentes 24-26'!V89</f>
        <v>0</v>
      </c>
      <c r="W87" s="1062">
        <f>'Recurrentes 24-26'!W89</f>
        <v>4</v>
      </c>
      <c r="X87" s="451">
        <f>'Recurrentes 24-26'!X89</f>
        <v>0</v>
      </c>
      <c r="Y87" s="451">
        <f>'Recurrentes 24-26'!Y89</f>
        <v>0</v>
      </c>
      <c r="Z87" s="451">
        <f>'Recurrentes 24-26'!Z89</f>
        <v>0</v>
      </c>
      <c r="AA87" s="451">
        <f>'Recurrentes 24-26'!AA89</f>
        <v>0</v>
      </c>
      <c r="AB87" s="451">
        <f>'Recurrentes 24-26'!AB89</f>
        <v>0</v>
      </c>
      <c r="AC87" s="451">
        <f>'Recurrentes 24-26'!AC89</f>
        <v>0</v>
      </c>
      <c r="AD87" s="451">
        <f>'Recurrentes 24-26'!AD89</f>
        <v>1</v>
      </c>
      <c r="AE87" s="451">
        <f>'Recurrentes 24-26'!AE89</f>
        <v>2</v>
      </c>
      <c r="AF87" s="451">
        <f>'Recurrentes 24-26'!AF89</f>
        <v>0</v>
      </c>
      <c r="AG87" s="451">
        <f>'Recurrentes 24-26'!AG89</f>
        <v>1</v>
      </c>
      <c r="AH87" s="451">
        <f>'Recurrentes 24-26'!AH89</f>
        <v>0</v>
      </c>
      <c r="AI87" s="1062">
        <f>'Recurrentes 24-26'!AI89</f>
        <v>4</v>
      </c>
      <c r="AJ87" s="451">
        <f>'Recurrentes 24-26'!AJ89</f>
        <v>0</v>
      </c>
      <c r="AK87" s="451">
        <f>'Recurrentes 24-26'!AK89</f>
        <v>0</v>
      </c>
      <c r="AL87" s="451">
        <f>'Recurrentes 24-26'!AL89</f>
        <v>0</v>
      </c>
      <c r="AM87" s="451">
        <f>'Recurrentes 24-26'!AM89</f>
        <v>0</v>
      </c>
      <c r="AN87" s="451">
        <f>'Recurrentes 24-26'!AN89</f>
        <v>0</v>
      </c>
      <c r="AO87" s="451">
        <f>'Recurrentes 24-26'!AO89</f>
        <v>0</v>
      </c>
      <c r="AP87" s="451">
        <f>'Recurrentes 24-26'!AP89</f>
        <v>1</v>
      </c>
      <c r="AQ87" s="451">
        <f>'Recurrentes 24-26'!AQ89</f>
        <v>2</v>
      </c>
      <c r="AR87" s="451">
        <f>'Recurrentes 24-26'!AR89</f>
        <v>0</v>
      </c>
      <c r="AS87" s="451">
        <f>'Recurrentes 24-26'!AS89</f>
        <v>1</v>
      </c>
      <c r="AT87" s="451">
        <f>'Recurrentes 24-26'!AT89</f>
        <v>0</v>
      </c>
      <c r="AU87" s="1062">
        <f>'Recurrentes 24-26'!AU89</f>
        <v>4</v>
      </c>
      <c r="AV87" s="1063">
        <f>'Recurrentes 24-26'!AV89</f>
        <v>12</v>
      </c>
      <c r="AW87" s="451" t="str">
        <f>'Recurrentes 24-26'!AW89</f>
        <v/>
      </c>
      <c r="AX87" s="1062">
        <f>'Recurrentes 24-26'!AX89</f>
        <v>172.21</v>
      </c>
      <c r="AY87" s="1062">
        <f>'Recurrentes 24-26'!AY89</f>
        <v>1198.5816</v>
      </c>
      <c r="AZ87" s="1064" t="str">
        <f>'Recurrentes 24-26'!AZ89</f>
        <v/>
      </c>
      <c r="BA87" s="1064">
        <f>'Recurrentes 24-26'!BA89</f>
        <v>0</v>
      </c>
      <c r="BB87" s="1064">
        <f>'Recurrentes 24-26'!BB89</f>
        <v>0</v>
      </c>
      <c r="BC87" s="1064">
        <f>'Recurrentes 24-26'!BC89</f>
        <v>0</v>
      </c>
      <c r="BD87" s="1064">
        <f>'Recurrentes 24-26'!BD89</f>
        <v>0</v>
      </c>
      <c r="BE87" s="1064">
        <f>'Recurrentes 24-26'!BE89</f>
        <v>0</v>
      </c>
      <c r="BF87" s="1064">
        <f>'Recurrentes 24-26'!BF89</f>
        <v>0</v>
      </c>
      <c r="BG87" s="1064">
        <f>'Recurrentes 24-26'!BG89</f>
        <v>1198.5816</v>
      </c>
      <c r="BH87" s="1064">
        <f>'Recurrentes 24-26'!BH89</f>
        <v>2397.1632</v>
      </c>
      <c r="BI87" s="1064">
        <f>'Recurrentes 24-26'!BI89</f>
        <v>0</v>
      </c>
      <c r="BJ87" s="1064">
        <f>'Recurrentes 24-26'!BJ89</f>
        <v>1198.5816</v>
      </c>
      <c r="BK87" s="451"/>
      <c r="BL87" s="1062">
        <f>'Recurrentes 24-26'!BK89</f>
        <v>4794.3264</v>
      </c>
      <c r="BM87" s="1064">
        <f>'Recurrentes 24-26'!BL89</f>
        <v>0</v>
      </c>
      <c r="BN87" s="1064">
        <f>'Recurrentes 24-26'!BM89</f>
        <v>0</v>
      </c>
      <c r="BO87" s="1064">
        <f>'Recurrentes 24-26'!BN89</f>
        <v>0</v>
      </c>
      <c r="BP87" s="1064">
        <f>'Recurrentes 24-26'!BO89</f>
        <v>0</v>
      </c>
      <c r="BQ87" s="1064">
        <f>'Recurrentes 24-26'!BP89</f>
        <v>0</v>
      </c>
      <c r="BR87" s="1064">
        <f>'Recurrentes 24-26'!BQ89</f>
        <v>0</v>
      </c>
      <c r="BS87" s="1064">
        <f>'Recurrentes 24-26'!BR89</f>
        <v>1198.5816</v>
      </c>
      <c r="BT87" s="1064">
        <f>'Recurrentes 24-26'!BS89</f>
        <v>2397.1632</v>
      </c>
      <c r="BU87" s="1064">
        <f>'Recurrentes 24-26'!BT89</f>
        <v>0</v>
      </c>
      <c r="BV87" s="1064">
        <f>'Recurrentes 24-26'!BU89</f>
        <v>1198.5816</v>
      </c>
      <c r="BW87" s="451"/>
      <c r="BX87" s="1062">
        <f>'Recurrentes 24-26'!BV89</f>
        <v>4794.3264</v>
      </c>
      <c r="BY87" s="1064">
        <f>'Recurrentes 24-26'!BW89</f>
        <v>0</v>
      </c>
      <c r="BZ87" s="1064">
        <f>'Recurrentes 24-26'!BX89</f>
        <v>0</v>
      </c>
      <c r="CA87" s="1064">
        <f>'Recurrentes 24-26'!BY89</f>
        <v>0</v>
      </c>
      <c r="CB87" s="1064">
        <f>'Recurrentes 24-26'!BZ89</f>
        <v>0</v>
      </c>
      <c r="CC87" s="1064">
        <f>'Recurrentes 24-26'!CA89</f>
        <v>0</v>
      </c>
      <c r="CD87" s="1064">
        <f>'Recurrentes 24-26'!CB89</f>
        <v>0</v>
      </c>
      <c r="CE87" s="1064">
        <f>'Recurrentes 24-26'!CC89</f>
        <v>1198.5816</v>
      </c>
      <c r="CF87" s="1064">
        <f>'Recurrentes 24-26'!CD89</f>
        <v>2397.1632</v>
      </c>
      <c r="CG87" s="1064">
        <f>'Recurrentes 24-26'!CE89</f>
        <v>0</v>
      </c>
      <c r="CH87" s="1064">
        <f>'Recurrentes 24-26'!CF89</f>
        <v>1198.5816</v>
      </c>
      <c r="CI87" s="451"/>
      <c r="CJ87" s="1062">
        <f>'Recurrentes 24-26'!CG89</f>
        <v>4794.3264</v>
      </c>
      <c r="CK87" s="1062">
        <f>'Recurrentes 24-26'!CH89</f>
        <v>14382.9792</v>
      </c>
      <c r="CL87" s="451" t="str">
        <f>'Recurrentes 24-26'!CI89</f>
        <v/>
      </c>
      <c r="CM87" s="1064" t="str">
        <f>'Recurrentes 24-26'!CJ89</f>
        <v/>
      </c>
      <c r="CN87" s="451">
        <f>'Recurrentes 24-26'!CK89</f>
        <v>1</v>
      </c>
      <c r="CO87" s="1062">
        <f>'Recurrentes 24-26'!CL89</f>
        <v>172.21</v>
      </c>
      <c r="CP87" s="451" t="str">
        <f>'Recurrentes 24-26'!CM89</f>
        <v/>
      </c>
    </row>
    <row r="88">
      <c r="A88" s="451" t="str">
        <f>'Recurrentes 24-26'!A90</f>
        <v>Repuestos Electromecánicos recurrentes</v>
      </c>
      <c r="B88" s="451">
        <f>'Recurrentes 24-26'!B90</f>
        <v>2</v>
      </c>
      <c r="C88" s="451" t="str">
        <f>'Recurrentes 24-26'!C90</f>
        <v>Torres</v>
      </c>
      <c r="D88" s="451" t="str">
        <f>'Recurrentes 24-26'!D90</f>
        <v>Reacondionamiento y cambio de Poleas de torre</v>
      </c>
      <c r="E88" s="451" t="str">
        <f>'Recurrentes 24-26'!E90</f>
        <v>Repuesto Mecánico</v>
      </c>
      <c r="F88" s="451" t="str">
        <f>'Recurrentes 24-26'!F90</f>
        <v>TDB</v>
      </c>
      <c r="G88" s="1025" t="str">
        <f>'Recurrentes 24-26'!G90</f>
        <v>39800</v>
      </c>
      <c r="H88" s="1061" t="str">
        <f>'Recurrentes 24-26'!H90</f>
        <v>2-01-00674</v>
      </c>
      <c r="I88" s="1061" t="str">
        <f>'Recurrentes 24-26'!I90</f>
        <v>11430348</v>
      </c>
      <c r="J88" s="1061" t="str">
        <f>'Recurrentes 24-26'!J90</f>
        <v>TUBO DIST. DIÁ 35/25 L=140, TUBO DIST. P. POLEA 420C</v>
      </c>
      <c r="K88" s="451" t="str">
        <f>'Recurrentes 24-26'!K90</f>
        <v>Pza</v>
      </c>
      <c r="L88" s="451">
        <f>'Recurrentes 24-26'!L90</f>
        <v>0</v>
      </c>
      <c r="M88" s="451">
        <f>'Recurrentes 24-26'!M90</f>
        <v>0</v>
      </c>
      <c r="N88" s="451">
        <f>'Recurrentes 24-26'!N90</f>
        <v>0</v>
      </c>
      <c r="O88" s="451">
        <f>'Recurrentes 24-26'!O90</f>
        <v>0</v>
      </c>
      <c r="P88" s="451">
        <f>'Recurrentes 24-26'!P90</f>
        <v>0</v>
      </c>
      <c r="Q88" s="451">
        <f>'Recurrentes 24-26'!Q90</f>
        <v>0</v>
      </c>
      <c r="R88" s="451">
        <f>'Recurrentes 24-26'!R90</f>
        <v>0</v>
      </c>
      <c r="S88" s="451">
        <f>'Recurrentes 24-26'!S90</f>
        <v>0</v>
      </c>
      <c r="T88" s="451">
        <f>'Recurrentes 24-26'!T90</f>
        <v>0</v>
      </c>
      <c r="U88" s="451">
        <f>'Recurrentes 24-26'!U90</f>
        <v>0</v>
      </c>
      <c r="V88" s="451">
        <f>'Recurrentes 24-26'!V90</f>
        <v>0</v>
      </c>
      <c r="W88" s="1062">
        <f>'Recurrentes 24-26'!W90</f>
        <v>0</v>
      </c>
      <c r="X88" s="451">
        <f>'Recurrentes 24-26'!X90</f>
        <v>0</v>
      </c>
      <c r="Y88" s="451">
        <f>'Recurrentes 24-26'!Y90</f>
        <v>0</v>
      </c>
      <c r="Z88" s="451">
        <f>'Recurrentes 24-26'!Z90</f>
        <v>0</v>
      </c>
      <c r="AA88" s="451">
        <f>'Recurrentes 24-26'!AA90</f>
        <v>5</v>
      </c>
      <c r="AB88" s="451">
        <f>'Recurrentes 24-26'!AB90</f>
        <v>5</v>
      </c>
      <c r="AC88" s="451">
        <f>'Recurrentes 24-26'!AC90</f>
        <v>6</v>
      </c>
      <c r="AD88" s="451">
        <f>'Recurrentes 24-26'!AD90</f>
        <v>2</v>
      </c>
      <c r="AE88" s="451">
        <f>'Recurrentes 24-26'!AE90</f>
        <v>2</v>
      </c>
      <c r="AF88" s="451">
        <f>'Recurrentes 24-26'!AF90</f>
        <v>0</v>
      </c>
      <c r="AG88" s="451">
        <f>'Recurrentes 24-26'!AG90</f>
        <v>0</v>
      </c>
      <c r="AH88" s="451">
        <f>'Recurrentes 24-26'!AH90</f>
        <v>0</v>
      </c>
      <c r="AI88" s="1062">
        <f>'Recurrentes 24-26'!AI90</f>
        <v>20</v>
      </c>
      <c r="AJ88" s="451">
        <f>'Recurrentes 24-26'!AJ90</f>
        <v>0</v>
      </c>
      <c r="AK88" s="451">
        <f>'Recurrentes 24-26'!AK90</f>
        <v>0</v>
      </c>
      <c r="AL88" s="451">
        <f>'Recurrentes 24-26'!AL90</f>
        <v>0</v>
      </c>
      <c r="AM88" s="451">
        <f>'Recurrentes 24-26'!AM90</f>
        <v>5</v>
      </c>
      <c r="AN88" s="451">
        <f>'Recurrentes 24-26'!AN90</f>
        <v>5</v>
      </c>
      <c r="AO88" s="451">
        <f>'Recurrentes 24-26'!AO90</f>
        <v>6</v>
      </c>
      <c r="AP88" s="451">
        <f>'Recurrentes 24-26'!AP90</f>
        <v>2</v>
      </c>
      <c r="AQ88" s="451">
        <f>'Recurrentes 24-26'!AQ90</f>
        <v>2</v>
      </c>
      <c r="AR88" s="451">
        <f>'Recurrentes 24-26'!AR90</f>
        <v>0</v>
      </c>
      <c r="AS88" s="451">
        <f>'Recurrentes 24-26'!AS90</f>
        <v>0</v>
      </c>
      <c r="AT88" s="451">
        <f>'Recurrentes 24-26'!AT90</f>
        <v>0</v>
      </c>
      <c r="AU88" s="1062">
        <f>'Recurrentes 24-26'!AU90</f>
        <v>20</v>
      </c>
      <c r="AV88" s="1063">
        <f>'Recurrentes 24-26'!AV90</f>
        <v>40</v>
      </c>
      <c r="AW88" s="451" t="str">
        <f>'Recurrentes 24-26'!AW90</f>
        <v/>
      </c>
      <c r="AX88" s="1062">
        <f>'Recurrentes 24-26'!AX90</f>
        <v>50.92</v>
      </c>
      <c r="AY88" s="1062">
        <f>'Recurrentes 24-26'!AY90</f>
        <v>354.4032</v>
      </c>
      <c r="AZ88" s="1064" t="str">
        <f>'Recurrentes 24-26'!AZ90</f>
        <v/>
      </c>
      <c r="BA88" s="1064">
        <f>'Recurrentes 24-26'!BA90</f>
        <v>0</v>
      </c>
      <c r="BB88" s="1064">
        <f>'Recurrentes 24-26'!BB90</f>
        <v>0</v>
      </c>
      <c r="BC88" s="1064">
        <f>'Recurrentes 24-26'!BC90</f>
        <v>0</v>
      </c>
      <c r="BD88" s="1064">
        <f>'Recurrentes 24-26'!BD90</f>
        <v>0</v>
      </c>
      <c r="BE88" s="1064">
        <f>'Recurrentes 24-26'!BE90</f>
        <v>0</v>
      </c>
      <c r="BF88" s="1064">
        <f>'Recurrentes 24-26'!BF90</f>
        <v>0</v>
      </c>
      <c r="BG88" s="1064">
        <f>'Recurrentes 24-26'!BG90</f>
        <v>0</v>
      </c>
      <c r="BH88" s="1064">
        <f>'Recurrentes 24-26'!BH90</f>
        <v>0</v>
      </c>
      <c r="BI88" s="1064">
        <f>'Recurrentes 24-26'!BI90</f>
        <v>0</v>
      </c>
      <c r="BJ88" s="1064">
        <f>'Recurrentes 24-26'!BJ90</f>
        <v>0</v>
      </c>
      <c r="BK88" s="451"/>
      <c r="BL88" s="1062">
        <f>'Recurrentes 24-26'!BK90</f>
        <v>0</v>
      </c>
      <c r="BM88" s="1064">
        <f>'Recurrentes 24-26'!BL90</f>
        <v>0</v>
      </c>
      <c r="BN88" s="1064">
        <f>'Recurrentes 24-26'!BM90</f>
        <v>0</v>
      </c>
      <c r="BO88" s="1064">
        <f>'Recurrentes 24-26'!BN90</f>
        <v>0</v>
      </c>
      <c r="BP88" s="1064">
        <f>'Recurrentes 24-26'!BO90</f>
        <v>1772.016</v>
      </c>
      <c r="BQ88" s="1064">
        <f>'Recurrentes 24-26'!BP90</f>
        <v>1772.016</v>
      </c>
      <c r="BR88" s="1064">
        <f>'Recurrentes 24-26'!BQ90</f>
        <v>2126.4192</v>
      </c>
      <c r="BS88" s="1064">
        <f>'Recurrentes 24-26'!BR90</f>
        <v>708.8064</v>
      </c>
      <c r="BT88" s="1064">
        <f>'Recurrentes 24-26'!BS90</f>
        <v>708.8064</v>
      </c>
      <c r="BU88" s="1064">
        <f>'Recurrentes 24-26'!BT90</f>
        <v>0</v>
      </c>
      <c r="BV88" s="1064">
        <f>'Recurrentes 24-26'!BU90</f>
        <v>0</v>
      </c>
      <c r="BW88" s="451"/>
      <c r="BX88" s="1062">
        <f>'Recurrentes 24-26'!BV90</f>
        <v>7088.064</v>
      </c>
      <c r="BY88" s="1064">
        <f>'Recurrentes 24-26'!BW90</f>
        <v>0</v>
      </c>
      <c r="BZ88" s="1064">
        <f>'Recurrentes 24-26'!BX90</f>
        <v>0</v>
      </c>
      <c r="CA88" s="1064">
        <f>'Recurrentes 24-26'!BY90</f>
        <v>0</v>
      </c>
      <c r="CB88" s="1064">
        <f>'Recurrentes 24-26'!BZ90</f>
        <v>1772.016</v>
      </c>
      <c r="CC88" s="1064">
        <f>'Recurrentes 24-26'!CA90</f>
        <v>1772.016</v>
      </c>
      <c r="CD88" s="1064">
        <f>'Recurrentes 24-26'!CB90</f>
        <v>2126.4192</v>
      </c>
      <c r="CE88" s="1064">
        <f>'Recurrentes 24-26'!CC90</f>
        <v>708.8064</v>
      </c>
      <c r="CF88" s="1064">
        <f>'Recurrentes 24-26'!CD90</f>
        <v>708.8064</v>
      </c>
      <c r="CG88" s="1064">
        <f>'Recurrentes 24-26'!CE90</f>
        <v>0</v>
      </c>
      <c r="CH88" s="1064">
        <f>'Recurrentes 24-26'!CF90</f>
        <v>0</v>
      </c>
      <c r="CI88" s="451"/>
      <c r="CJ88" s="1062">
        <f>'Recurrentes 24-26'!CG90</f>
        <v>7088.064</v>
      </c>
      <c r="CK88" s="1062">
        <f>'Recurrentes 24-26'!CH90</f>
        <v>14176.128</v>
      </c>
      <c r="CL88" s="451" t="str">
        <f>'Recurrentes 24-26'!CI90</f>
        <v/>
      </c>
      <c r="CM88" s="1064" t="str">
        <f>'Recurrentes 24-26'!CJ90</f>
        <v/>
      </c>
      <c r="CN88" s="451">
        <f>'Recurrentes 24-26'!CK90</f>
        <v>1</v>
      </c>
      <c r="CO88" s="1062">
        <f>'Recurrentes 24-26'!CL90</f>
        <v>50.92</v>
      </c>
      <c r="CP88" s="451" t="str">
        <f>'Recurrentes 24-26'!CM90</f>
        <v/>
      </c>
    </row>
    <row r="89">
      <c r="A89" s="451" t="str">
        <f>'Recurrentes 24-26'!A91</f>
        <v>Repuestos Electromecánicos recurrentes</v>
      </c>
      <c r="B89" s="451">
        <f>'Recurrentes 24-26'!B91</f>
        <v>2</v>
      </c>
      <c r="C89" s="451" t="str">
        <f>'Recurrentes 24-26'!C91</f>
        <v>Torres</v>
      </c>
      <c r="D89" s="451" t="str">
        <f>'Recurrentes 24-26'!D91</f>
        <v>Sistema RPD</v>
      </c>
      <c r="E89" s="451" t="str">
        <f>'Recurrentes 24-26'!E91</f>
        <v>Repuesto Eléctrico</v>
      </c>
      <c r="F89" s="451" t="str">
        <f>'Recurrentes 24-26'!F91</f>
        <v>TDB</v>
      </c>
      <c r="G89" s="1025" t="str">
        <f>'Recurrentes 24-26'!G91</f>
        <v>39700</v>
      </c>
      <c r="H89" s="1061" t="str">
        <f>'Recurrentes 24-26'!H91</f>
        <v>2-02-00334</v>
      </c>
      <c r="I89" s="1061" t="str">
        <f>'Recurrentes 24-26'!I91</f>
        <v>10302026</v>
      </c>
      <c r="J89" s="1061" t="str">
        <f>'Recurrentes 24-26'!J91</f>
        <v>CABLE DE CONEX.RPD 6M KDKS AMARILLO CON ENCHUFE INYECTADO Y</v>
      </c>
      <c r="K89" s="451" t="str">
        <f>'Recurrentes 24-26'!K91</f>
        <v>Pza</v>
      </c>
      <c r="L89" s="451">
        <f>'Recurrentes 24-26'!L91</f>
        <v>0</v>
      </c>
      <c r="M89" s="451">
        <f>'Recurrentes 24-26'!M91</f>
        <v>0</v>
      </c>
      <c r="N89" s="451">
        <f>'Recurrentes 24-26'!N91</f>
        <v>0</v>
      </c>
      <c r="O89" s="451">
        <f>'Recurrentes 24-26'!O91</f>
        <v>0</v>
      </c>
      <c r="P89" s="451">
        <f>'Recurrentes 24-26'!P91</f>
        <v>0</v>
      </c>
      <c r="Q89" s="451">
        <f>'Recurrentes 24-26'!Q91</f>
        <v>0</v>
      </c>
      <c r="R89" s="451">
        <f>'Recurrentes 24-26'!R91</f>
        <v>2</v>
      </c>
      <c r="S89" s="451">
        <f>'Recurrentes 24-26'!S91</f>
        <v>2</v>
      </c>
      <c r="T89" s="451">
        <f>'Recurrentes 24-26'!T91</f>
        <v>0</v>
      </c>
      <c r="U89" s="451">
        <f>'Recurrentes 24-26'!U91</f>
        <v>2</v>
      </c>
      <c r="V89" s="451">
        <f>'Recurrentes 24-26'!V91</f>
        <v>0</v>
      </c>
      <c r="W89" s="1062">
        <f>'Recurrentes 24-26'!W91</f>
        <v>6</v>
      </c>
      <c r="X89" s="451">
        <f>'Recurrentes 24-26'!X91</f>
        <v>0</v>
      </c>
      <c r="Y89" s="451">
        <f>'Recurrentes 24-26'!Y91</f>
        <v>0</v>
      </c>
      <c r="Z89" s="451">
        <f>'Recurrentes 24-26'!Z91</f>
        <v>0</v>
      </c>
      <c r="AA89" s="451">
        <f>'Recurrentes 24-26'!AA91</f>
        <v>0</v>
      </c>
      <c r="AB89" s="451">
        <f>'Recurrentes 24-26'!AB91</f>
        <v>0</v>
      </c>
      <c r="AC89" s="451">
        <f>'Recurrentes 24-26'!AC91</f>
        <v>0</v>
      </c>
      <c r="AD89" s="451">
        <f>'Recurrentes 24-26'!AD91</f>
        <v>2</v>
      </c>
      <c r="AE89" s="451">
        <f>'Recurrentes 24-26'!AE91</f>
        <v>2</v>
      </c>
      <c r="AF89" s="451">
        <f>'Recurrentes 24-26'!AF91</f>
        <v>0</v>
      </c>
      <c r="AG89" s="451">
        <f>'Recurrentes 24-26'!AG91</f>
        <v>2</v>
      </c>
      <c r="AH89" s="451">
        <f>'Recurrentes 24-26'!AH91</f>
        <v>0</v>
      </c>
      <c r="AI89" s="1062">
        <f>'Recurrentes 24-26'!AI91</f>
        <v>6</v>
      </c>
      <c r="AJ89" s="451">
        <f>'Recurrentes 24-26'!AJ91</f>
        <v>0</v>
      </c>
      <c r="AK89" s="451">
        <f>'Recurrentes 24-26'!AK91</f>
        <v>0</v>
      </c>
      <c r="AL89" s="451">
        <f>'Recurrentes 24-26'!AL91</f>
        <v>0</v>
      </c>
      <c r="AM89" s="451">
        <f>'Recurrentes 24-26'!AM91</f>
        <v>0</v>
      </c>
      <c r="AN89" s="451">
        <f>'Recurrentes 24-26'!AN91</f>
        <v>0</v>
      </c>
      <c r="AO89" s="451">
        <f>'Recurrentes 24-26'!AO91</f>
        <v>0</v>
      </c>
      <c r="AP89" s="451">
        <f>'Recurrentes 24-26'!AP91</f>
        <v>2</v>
      </c>
      <c r="AQ89" s="451">
        <f>'Recurrentes 24-26'!AQ91</f>
        <v>2</v>
      </c>
      <c r="AR89" s="451">
        <f>'Recurrentes 24-26'!AR91</f>
        <v>0</v>
      </c>
      <c r="AS89" s="451">
        <f>'Recurrentes 24-26'!AS91</f>
        <v>2</v>
      </c>
      <c r="AT89" s="451">
        <f>'Recurrentes 24-26'!AT91</f>
        <v>0</v>
      </c>
      <c r="AU89" s="1062">
        <f>'Recurrentes 24-26'!AU91</f>
        <v>6</v>
      </c>
      <c r="AV89" s="1063">
        <f>'Recurrentes 24-26'!AV91</f>
        <v>18</v>
      </c>
      <c r="AW89" s="451" t="str">
        <f>'Recurrentes 24-26'!AW91</f>
        <v/>
      </c>
      <c r="AX89" s="1062">
        <f>'Recurrentes 24-26'!AX91</f>
        <v>111.25</v>
      </c>
      <c r="AY89" s="1062">
        <f>'Recurrentes 24-26'!AY91</f>
        <v>774.3</v>
      </c>
      <c r="AZ89" s="1064" t="str">
        <f>'Recurrentes 24-26'!AZ91</f>
        <v/>
      </c>
      <c r="BA89" s="1064">
        <f>'Recurrentes 24-26'!BA91</f>
        <v>0</v>
      </c>
      <c r="BB89" s="1064">
        <f>'Recurrentes 24-26'!BB91</f>
        <v>0</v>
      </c>
      <c r="BC89" s="1064">
        <f>'Recurrentes 24-26'!BC91</f>
        <v>0</v>
      </c>
      <c r="BD89" s="1064">
        <f>'Recurrentes 24-26'!BD91</f>
        <v>0</v>
      </c>
      <c r="BE89" s="1064">
        <f>'Recurrentes 24-26'!BE91</f>
        <v>0</v>
      </c>
      <c r="BF89" s="1064">
        <f>'Recurrentes 24-26'!BF91</f>
        <v>0</v>
      </c>
      <c r="BG89" s="1064">
        <f>'Recurrentes 24-26'!BG91</f>
        <v>1548.6</v>
      </c>
      <c r="BH89" s="1064">
        <f>'Recurrentes 24-26'!BH91</f>
        <v>1548.6</v>
      </c>
      <c r="BI89" s="1064">
        <f>'Recurrentes 24-26'!BI91</f>
        <v>0</v>
      </c>
      <c r="BJ89" s="1064">
        <f>'Recurrentes 24-26'!BJ91</f>
        <v>1548.6</v>
      </c>
      <c r="BK89" s="451"/>
      <c r="BL89" s="1062">
        <f>'Recurrentes 24-26'!BK91</f>
        <v>4645.8</v>
      </c>
      <c r="BM89" s="1064">
        <f>'Recurrentes 24-26'!BL91</f>
        <v>0</v>
      </c>
      <c r="BN89" s="1064">
        <f>'Recurrentes 24-26'!BM91</f>
        <v>0</v>
      </c>
      <c r="BO89" s="1064">
        <f>'Recurrentes 24-26'!BN91</f>
        <v>0</v>
      </c>
      <c r="BP89" s="1064">
        <f>'Recurrentes 24-26'!BO91</f>
        <v>0</v>
      </c>
      <c r="BQ89" s="1064">
        <f>'Recurrentes 24-26'!BP91</f>
        <v>0</v>
      </c>
      <c r="BR89" s="1064">
        <f>'Recurrentes 24-26'!BQ91</f>
        <v>0</v>
      </c>
      <c r="BS89" s="1064">
        <f>'Recurrentes 24-26'!BR91</f>
        <v>1548.6</v>
      </c>
      <c r="BT89" s="1064">
        <f>'Recurrentes 24-26'!BS91</f>
        <v>1548.6</v>
      </c>
      <c r="BU89" s="1064">
        <f>'Recurrentes 24-26'!BT91</f>
        <v>0</v>
      </c>
      <c r="BV89" s="1064">
        <f>'Recurrentes 24-26'!BU91</f>
        <v>1548.6</v>
      </c>
      <c r="BW89" s="451"/>
      <c r="BX89" s="1062">
        <f>'Recurrentes 24-26'!BV91</f>
        <v>4645.8</v>
      </c>
      <c r="BY89" s="1064">
        <f>'Recurrentes 24-26'!BW91</f>
        <v>0</v>
      </c>
      <c r="BZ89" s="1064">
        <f>'Recurrentes 24-26'!BX91</f>
        <v>0</v>
      </c>
      <c r="CA89" s="1064">
        <f>'Recurrentes 24-26'!BY91</f>
        <v>0</v>
      </c>
      <c r="CB89" s="1064">
        <f>'Recurrentes 24-26'!BZ91</f>
        <v>0</v>
      </c>
      <c r="CC89" s="1064">
        <f>'Recurrentes 24-26'!CA91</f>
        <v>0</v>
      </c>
      <c r="CD89" s="1064">
        <f>'Recurrentes 24-26'!CB91</f>
        <v>0</v>
      </c>
      <c r="CE89" s="1064">
        <f>'Recurrentes 24-26'!CC91</f>
        <v>1548.6</v>
      </c>
      <c r="CF89" s="1064">
        <f>'Recurrentes 24-26'!CD91</f>
        <v>1548.6</v>
      </c>
      <c r="CG89" s="1064">
        <f>'Recurrentes 24-26'!CE91</f>
        <v>0</v>
      </c>
      <c r="CH89" s="1064">
        <f>'Recurrentes 24-26'!CF91</f>
        <v>1548.6</v>
      </c>
      <c r="CI89" s="451"/>
      <c r="CJ89" s="1062">
        <f>'Recurrentes 24-26'!CG91</f>
        <v>4645.8</v>
      </c>
      <c r="CK89" s="1062">
        <f>'Recurrentes 24-26'!CH91</f>
        <v>13937.4</v>
      </c>
      <c r="CL89" s="451" t="str">
        <f>'Recurrentes 24-26'!CI91</f>
        <v/>
      </c>
      <c r="CM89" s="1064" t="str">
        <f>'Recurrentes 24-26'!CJ91</f>
        <v/>
      </c>
      <c r="CN89" s="451">
        <f>'Recurrentes 24-26'!CK91</f>
        <v>1</v>
      </c>
      <c r="CO89" s="1062">
        <f>'Recurrentes 24-26'!CL91</f>
        <v>111.25</v>
      </c>
      <c r="CP89" s="451" t="str">
        <f>'Recurrentes 24-26'!CM91</f>
        <v/>
      </c>
    </row>
    <row r="90">
      <c r="A90" s="451" t="str">
        <f>'Recurrentes 24-26'!A92</f>
        <v>Repuestos Electromecánicos recurrentes</v>
      </c>
      <c r="B90" s="451">
        <f>'Recurrentes 24-26'!B92</f>
        <v>2</v>
      </c>
      <c r="C90" s="451" t="str">
        <f>'Recurrentes 24-26'!C92</f>
        <v>Vehículo</v>
      </c>
      <c r="D90" s="451" t="str">
        <f>'Recurrentes 24-26'!D92</f>
        <v>Manto. Pinza</v>
      </c>
      <c r="E90" s="451" t="str">
        <f>'Recurrentes 24-26'!E92</f>
        <v>Repuesto Mecánico</v>
      </c>
      <c r="F90" s="451" t="str">
        <f>'Recurrentes 24-26'!F92</f>
        <v>TDB</v>
      </c>
      <c r="G90" s="1025" t="str">
        <f>'Recurrentes 24-26'!G92</f>
        <v>39800</v>
      </c>
      <c r="H90" s="1061" t="str">
        <f>'Recurrentes 24-26'!H92</f>
        <v>2-01-00026</v>
      </c>
      <c r="I90" s="1061" t="str">
        <f>'Recurrentes 24-26'!I92</f>
        <v>10000564</v>
      </c>
      <c r="J90" s="1061" t="str">
        <f>'Recurrentes 24-26'!J92</f>
        <v>PASADOR SUJ.DIN 1481  6  X 55 CON RECUBR.DACROMET (I</v>
      </c>
      <c r="K90" s="451" t="str">
        <f>'Recurrentes 24-26'!K92</f>
        <v>Pza</v>
      </c>
      <c r="L90" s="451">
        <f>'Recurrentes 24-26'!L92</f>
        <v>507</v>
      </c>
      <c r="M90" s="451">
        <f>'Recurrentes 24-26'!M92</f>
        <v>301</v>
      </c>
      <c r="N90" s="451">
        <f>'Recurrentes 24-26'!N92</f>
        <v>443</v>
      </c>
      <c r="O90" s="451">
        <f>'Recurrentes 24-26'!O92</f>
        <v>0</v>
      </c>
      <c r="P90" s="451">
        <f>'Recurrentes 24-26'!P92</f>
        <v>254</v>
      </c>
      <c r="Q90" s="451">
        <f>'Recurrentes 24-26'!Q92</f>
        <v>0</v>
      </c>
      <c r="R90" s="451">
        <f>'Recurrentes 24-26'!R92</f>
        <v>0</v>
      </c>
      <c r="S90" s="451">
        <f>'Recurrentes 24-26'!S92</f>
        <v>0</v>
      </c>
      <c r="T90" s="451">
        <f>'Recurrentes 24-26'!T92</f>
        <v>70</v>
      </c>
      <c r="U90" s="451">
        <f>'Recurrentes 24-26'!U92</f>
        <v>0</v>
      </c>
      <c r="V90" s="451">
        <f>'Recurrentes 24-26'!V92</f>
        <v>0</v>
      </c>
      <c r="W90" s="1062">
        <f>'Recurrentes 24-26'!W92</f>
        <v>1575</v>
      </c>
      <c r="X90" s="451">
        <f>'Recurrentes 24-26'!X92</f>
        <v>394</v>
      </c>
      <c r="Y90" s="451">
        <f>'Recurrentes 24-26'!Y92</f>
        <v>234</v>
      </c>
      <c r="Z90" s="451">
        <f>'Recurrentes 24-26'!Z92</f>
        <v>344</v>
      </c>
      <c r="AA90" s="451">
        <f>'Recurrentes 24-26'!AA92</f>
        <v>222</v>
      </c>
      <c r="AB90" s="451">
        <f>'Recurrentes 24-26'!AB92</f>
        <v>254</v>
      </c>
      <c r="AC90" s="451">
        <f>'Recurrentes 24-26'!AC92</f>
        <v>420</v>
      </c>
      <c r="AD90" s="451">
        <f>'Recurrentes 24-26'!AD92</f>
        <v>266</v>
      </c>
      <c r="AE90" s="451">
        <f>'Recurrentes 24-26'!AE92</f>
        <v>314</v>
      </c>
      <c r="AF90" s="451">
        <f>'Recurrentes 24-26'!AF92</f>
        <v>54</v>
      </c>
      <c r="AG90" s="451">
        <f>'Recurrentes 24-26'!AG92</f>
        <v>330</v>
      </c>
      <c r="AH90" s="451">
        <f>'Recurrentes 24-26'!AH92</f>
        <v>0</v>
      </c>
      <c r="AI90" s="1062">
        <f>'Recurrentes 24-26'!AI92</f>
        <v>2832</v>
      </c>
      <c r="AJ90" s="451">
        <f>'Recurrentes 24-26'!AJ92</f>
        <v>394</v>
      </c>
      <c r="AK90" s="451">
        <f>'Recurrentes 24-26'!AK92</f>
        <v>234</v>
      </c>
      <c r="AL90" s="451">
        <f>'Recurrentes 24-26'!AL92</f>
        <v>344</v>
      </c>
      <c r="AM90" s="451">
        <f>'Recurrentes 24-26'!AM92</f>
        <v>222</v>
      </c>
      <c r="AN90" s="451">
        <f>'Recurrentes 24-26'!AN92</f>
        <v>254</v>
      </c>
      <c r="AO90" s="451">
        <f>'Recurrentes 24-26'!AO92</f>
        <v>420</v>
      </c>
      <c r="AP90" s="451">
        <f>'Recurrentes 24-26'!AP92</f>
        <v>266</v>
      </c>
      <c r="AQ90" s="451">
        <f>'Recurrentes 24-26'!AQ92</f>
        <v>314</v>
      </c>
      <c r="AR90" s="451">
        <f>'Recurrentes 24-26'!AR92</f>
        <v>54</v>
      </c>
      <c r="AS90" s="451">
        <f>'Recurrentes 24-26'!AS92</f>
        <v>330</v>
      </c>
      <c r="AT90" s="451">
        <f>'Recurrentes 24-26'!AT92</f>
        <v>0</v>
      </c>
      <c r="AU90" s="1062">
        <f>'Recurrentes 24-26'!AU92</f>
        <v>2832</v>
      </c>
      <c r="AV90" s="1063">
        <f>'Recurrentes 24-26'!AV92</f>
        <v>7239</v>
      </c>
      <c r="AW90" s="451" t="str">
        <f>'Recurrentes 24-26'!AW92</f>
        <v/>
      </c>
      <c r="AX90" s="1062">
        <f>'Recurrentes 24-26'!AX92</f>
        <v>0.27</v>
      </c>
      <c r="AY90" s="1062">
        <f>'Recurrentes 24-26'!AY92</f>
        <v>1.8792</v>
      </c>
      <c r="AZ90" s="1064" t="str">
        <f>'Recurrentes 24-26'!AZ92</f>
        <v/>
      </c>
      <c r="BA90" s="1064">
        <f>'Recurrentes 24-26'!BA92</f>
        <v>952.7544</v>
      </c>
      <c r="BB90" s="1064">
        <f>'Recurrentes 24-26'!BB92</f>
        <v>565.6392</v>
      </c>
      <c r="BC90" s="1064">
        <f>'Recurrentes 24-26'!BC92</f>
        <v>832.4856</v>
      </c>
      <c r="BD90" s="1064">
        <f>'Recurrentes 24-26'!BD92</f>
        <v>0</v>
      </c>
      <c r="BE90" s="1064">
        <f>'Recurrentes 24-26'!BE92</f>
        <v>477.3168</v>
      </c>
      <c r="BF90" s="1064">
        <f>'Recurrentes 24-26'!BF92</f>
        <v>0</v>
      </c>
      <c r="BG90" s="1064">
        <f>'Recurrentes 24-26'!BG92</f>
        <v>0</v>
      </c>
      <c r="BH90" s="1064">
        <f>'Recurrentes 24-26'!BH92</f>
        <v>0</v>
      </c>
      <c r="BI90" s="1064">
        <f>'Recurrentes 24-26'!BI92</f>
        <v>131.544</v>
      </c>
      <c r="BJ90" s="1064">
        <f>'Recurrentes 24-26'!BJ92</f>
        <v>0</v>
      </c>
      <c r="BK90" s="451"/>
      <c r="BL90" s="1062">
        <f>'Recurrentes 24-26'!BK92</f>
        <v>2959.74</v>
      </c>
      <c r="BM90" s="1064">
        <f>'Recurrentes 24-26'!BL92</f>
        <v>740.4048</v>
      </c>
      <c r="BN90" s="1064">
        <f>'Recurrentes 24-26'!BM92</f>
        <v>439.7328</v>
      </c>
      <c r="BO90" s="1064">
        <f>'Recurrentes 24-26'!BN92</f>
        <v>646.4448</v>
      </c>
      <c r="BP90" s="1064">
        <f>'Recurrentes 24-26'!BO92</f>
        <v>417.1824</v>
      </c>
      <c r="BQ90" s="1064">
        <f>'Recurrentes 24-26'!BP92</f>
        <v>477.3168</v>
      </c>
      <c r="BR90" s="1064">
        <f>'Recurrentes 24-26'!BQ92</f>
        <v>789.264</v>
      </c>
      <c r="BS90" s="1064">
        <f>'Recurrentes 24-26'!BR92</f>
        <v>499.8672</v>
      </c>
      <c r="BT90" s="1064">
        <f>'Recurrentes 24-26'!BS92</f>
        <v>590.0688</v>
      </c>
      <c r="BU90" s="1064">
        <f>'Recurrentes 24-26'!BT92</f>
        <v>101.4768</v>
      </c>
      <c r="BV90" s="1064">
        <f>'Recurrentes 24-26'!BU92</f>
        <v>620.136</v>
      </c>
      <c r="BW90" s="451"/>
      <c r="BX90" s="1062">
        <f>'Recurrentes 24-26'!BV92</f>
        <v>5321.8944</v>
      </c>
      <c r="BY90" s="1064">
        <f>'Recurrentes 24-26'!BW92</f>
        <v>740.4048</v>
      </c>
      <c r="BZ90" s="1064">
        <f>'Recurrentes 24-26'!BX92</f>
        <v>439.7328</v>
      </c>
      <c r="CA90" s="1064">
        <f>'Recurrentes 24-26'!BY92</f>
        <v>646.4448</v>
      </c>
      <c r="CB90" s="1064">
        <f>'Recurrentes 24-26'!BZ92</f>
        <v>417.1824</v>
      </c>
      <c r="CC90" s="1064">
        <f>'Recurrentes 24-26'!CA92</f>
        <v>477.3168</v>
      </c>
      <c r="CD90" s="1064">
        <f>'Recurrentes 24-26'!CB92</f>
        <v>789.264</v>
      </c>
      <c r="CE90" s="1064">
        <f>'Recurrentes 24-26'!CC92</f>
        <v>499.8672</v>
      </c>
      <c r="CF90" s="1064">
        <f>'Recurrentes 24-26'!CD92</f>
        <v>590.0688</v>
      </c>
      <c r="CG90" s="1064">
        <f>'Recurrentes 24-26'!CE92</f>
        <v>101.4768</v>
      </c>
      <c r="CH90" s="1064">
        <f>'Recurrentes 24-26'!CF92</f>
        <v>620.136</v>
      </c>
      <c r="CI90" s="451"/>
      <c r="CJ90" s="1062">
        <f>'Recurrentes 24-26'!CG92</f>
        <v>5321.8944</v>
      </c>
      <c r="CK90" s="1062">
        <f>'Recurrentes 24-26'!CH92</f>
        <v>13603.5288</v>
      </c>
      <c r="CL90" s="451" t="str">
        <f>'Recurrentes 24-26'!CI92</f>
        <v/>
      </c>
      <c r="CM90" s="1064" t="str">
        <f>'Recurrentes 24-26'!CJ92</f>
        <v/>
      </c>
      <c r="CN90" s="451">
        <f>'Recurrentes 24-26'!CK92</f>
        <v>1</v>
      </c>
      <c r="CO90" s="1062">
        <f>'Recurrentes 24-26'!CL92</f>
        <v>0.27</v>
      </c>
      <c r="CP90" s="451" t="str">
        <f>'Recurrentes 24-26'!CM92</f>
        <v/>
      </c>
    </row>
    <row r="91">
      <c r="A91" s="451" t="str">
        <f>'Recurrentes 24-26'!A93</f>
        <v>Repuestos Electromecánicos recurrentes</v>
      </c>
      <c r="B91" s="451">
        <f>'Recurrentes 24-26'!B93</f>
        <v>2</v>
      </c>
      <c r="C91" s="451" t="str">
        <f>'Recurrentes 24-26'!C93</f>
        <v>Vehículo</v>
      </c>
      <c r="D91" s="451" t="str">
        <f>'Recurrentes 24-26'!D93</f>
        <v>Manto. Pinza</v>
      </c>
      <c r="E91" s="451" t="str">
        <f>'Recurrentes 24-26'!E93</f>
        <v>Repuesto Mecánico</v>
      </c>
      <c r="F91" s="451" t="str">
        <f>'Recurrentes 24-26'!F93</f>
        <v>TDB</v>
      </c>
      <c r="G91" s="1025" t="str">
        <f>'Recurrentes 24-26'!G93</f>
        <v>39800</v>
      </c>
      <c r="H91" s="1061" t="str">
        <f>'Recurrentes 24-26'!H93</f>
        <v>2-01-00193</v>
      </c>
      <c r="I91" s="1061" t="str">
        <f>'Recurrentes 24-26'!I93</f>
        <v>10488558</v>
      </c>
      <c r="J91" s="1061" t="str">
        <f>'Recurrentes 24-26'!J93</f>
        <v>ARANDELA 80X3            AGA-C </v>
      </c>
      <c r="K91" s="451" t="str">
        <f>'Recurrentes 24-26'!K93</f>
        <v>Pza</v>
      </c>
      <c r="L91" s="451">
        <f>'Recurrentes 24-26'!L93</f>
        <v>4</v>
      </c>
      <c r="M91" s="451">
        <f>'Recurrentes 24-26'!M93</f>
        <v>4</v>
      </c>
      <c r="N91" s="451">
        <f>'Recurrentes 24-26'!N93</f>
        <v>4</v>
      </c>
      <c r="O91" s="451">
        <f>'Recurrentes 24-26'!O93</f>
        <v>4</v>
      </c>
      <c r="P91" s="451">
        <f>'Recurrentes 24-26'!P93</f>
        <v>4</v>
      </c>
      <c r="Q91" s="451">
        <f>'Recurrentes 24-26'!Q93</f>
        <v>4</v>
      </c>
      <c r="R91" s="451">
        <f>'Recurrentes 24-26'!R93</f>
        <v>1</v>
      </c>
      <c r="S91" s="451">
        <f>'Recurrentes 24-26'!S93</f>
        <v>1</v>
      </c>
      <c r="T91" s="451">
        <f>'Recurrentes 24-26'!T93</f>
        <v>1</v>
      </c>
      <c r="U91" s="451">
        <f>'Recurrentes 24-26'!U93</f>
        <v>1</v>
      </c>
      <c r="V91" s="451">
        <f>'Recurrentes 24-26'!V93</f>
        <v>0</v>
      </c>
      <c r="W91" s="1062">
        <f>'Recurrentes 24-26'!W93</f>
        <v>28</v>
      </c>
      <c r="X91" s="451">
        <f>'Recurrentes 24-26'!X93</f>
        <v>4</v>
      </c>
      <c r="Y91" s="451">
        <f>'Recurrentes 24-26'!Y93</f>
        <v>4</v>
      </c>
      <c r="Z91" s="451">
        <f>'Recurrentes 24-26'!Z93</f>
        <v>4</v>
      </c>
      <c r="AA91" s="451">
        <f>'Recurrentes 24-26'!AA93</f>
        <v>4</v>
      </c>
      <c r="AB91" s="451">
        <f>'Recurrentes 24-26'!AB93</f>
        <v>4</v>
      </c>
      <c r="AC91" s="451">
        <f>'Recurrentes 24-26'!AC93</f>
        <v>4</v>
      </c>
      <c r="AD91" s="451">
        <f>'Recurrentes 24-26'!AD93</f>
        <v>1</v>
      </c>
      <c r="AE91" s="451">
        <f>'Recurrentes 24-26'!AE93</f>
        <v>1</v>
      </c>
      <c r="AF91" s="451">
        <f>'Recurrentes 24-26'!AF93</f>
        <v>1</v>
      </c>
      <c r="AG91" s="451">
        <f>'Recurrentes 24-26'!AG93</f>
        <v>1</v>
      </c>
      <c r="AH91" s="451">
        <f>'Recurrentes 24-26'!AH93</f>
        <v>0</v>
      </c>
      <c r="AI91" s="1062">
        <f>'Recurrentes 24-26'!AI93</f>
        <v>28</v>
      </c>
      <c r="AJ91" s="451">
        <f>'Recurrentes 24-26'!AJ93</f>
        <v>4</v>
      </c>
      <c r="AK91" s="451">
        <f>'Recurrentes 24-26'!AK93</f>
        <v>4</v>
      </c>
      <c r="AL91" s="451">
        <f>'Recurrentes 24-26'!AL93</f>
        <v>4</v>
      </c>
      <c r="AM91" s="451">
        <f>'Recurrentes 24-26'!AM93</f>
        <v>4</v>
      </c>
      <c r="AN91" s="451">
        <f>'Recurrentes 24-26'!AN93</f>
        <v>4</v>
      </c>
      <c r="AO91" s="451">
        <f>'Recurrentes 24-26'!AO93</f>
        <v>4</v>
      </c>
      <c r="AP91" s="451">
        <f>'Recurrentes 24-26'!AP93</f>
        <v>4</v>
      </c>
      <c r="AQ91" s="451">
        <f>'Recurrentes 24-26'!AQ93</f>
        <v>1</v>
      </c>
      <c r="AR91" s="451">
        <f>'Recurrentes 24-26'!AR93</f>
        <v>2</v>
      </c>
      <c r="AS91" s="451">
        <f>'Recurrentes 24-26'!AS93</f>
        <v>1</v>
      </c>
      <c r="AT91" s="451">
        <f>'Recurrentes 24-26'!AT93</f>
        <v>0</v>
      </c>
      <c r="AU91" s="1062">
        <f>'Recurrentes 24-26'!AU93</f>
        <v>32</v>
      </c>
      <c r="AV91" s="1063">
        <f>'Recurrentes 24-26'!AV93</f>
        <v>88</v>
      </c>
      <c r="AW91" s="451" t="str">
        <f>'Recurrentes 24-26'!AW93</f>
        <v/>
      </c>
      <c r="AX91" s="1062">
        <f>'Recurrentes 24-26'!AX93</f>
        <v>19.34</v>
      </c>
      <c r="AY91" s="1062">
        <f>'Recurrentes 24-26'!AY93</f>
        <v>134.6064</v>
      </c>
      <c r="AZ91" s="1064" t="str">
        <f>'Recurrentes 24-26'!AZ93</f>
        <v/>
      </c>
      <c r="BA91" s="1064">
        <f>'Recurrentes 24-26'!BA93</f>
        <v>538.4256</v>
      </c>
      <c r="BB91" s="1064">
        <f>'Recurrentes 24-26'!BB93</f>
        <v>538.4256</v>
      </c>
      <c r="BC91" s="1064">
        <f>'Recurrentes 24-26'!BC93</f>
        <v>538.4256</v>
      </c>
      <c r="BD91" s="1064">
        <f>'Recurrentes 24-26'!BD93</f>
        <v>538.4256</v>
      </c>
      <c r="BE91" s="1064">
        <f>'Recurrentes 24-26'!BE93</f>
        <v>538.4256</v>
      </c>
      <c r="BF91" s="1064">
        <f>'Recurrentes 24-26'!BF93</f>
        <v>538.4256</v>
      </c>
      <c r="BG91" s="1064">
        <f>'Recurrentes 24-26'!BG93</f>
        <v>134.6064</v>
      </c>
      <c r="BH91" s="1064">
        <f>'Recurrentes 24-26'!BH93</f>
        <v>134.6064</v>
      </c>
      <c r="BI91" s="1064">
        <f>'Recurrentes 24-26'!BI93</f>
        <v>134.6064</v>
      </c>
      <c r="BJ91" s="1064">
        <f>'Recurrentes 24-26'!BJ93</f>
        <v>134.6064</v>
      </c>
      <c r="BK91" s="451"/>
      <c r="BL91" s="1062">
        <f>'Recurrentes 24-26'!BK93</f>
        <v>3768.9792</v>
      </c>
      <c r="BM91" s="1064">
        <f>'Recurrentes 24-26'!BL93</f>
        <v>538.4256</v>
      </c>
      <c r="BN91" s="1064">
        <f>'Recurrentes 24-26'!BM93</f>
        <v>538.4256</v>
      </c>
      <c r="BO91" s="1064">
        <f>'Recurrentes 24-26'!BN93</f>
        <v>538.4256</v>
      </c>
      <c r="BP91" s="1064">
        <f>'Recurrentes 24-26'!BO93</f>
        <v>538.4256</v>
      </c>
      <c r="BQ91" s="1064">
        <f>'Recurrentes 24-26'!BP93</f>
        <v>538.4256</v>
      </c>
      <c r="BR91" s="1064">
        <f>'Recurrentes 24-26'!BQ93</f>
        <v>538.4256</v>
      </c>
      <c r="BS91" s="1064">
        <f>'Recurrentes 24-26'!BR93</f>
        <v>134.6064</v>
      </c>
      <c r="BT91" s="1064">
        <f>'Recurrentes 24-26'!BS93</f>
        <v>134.6064</v>
      </c>
      <c r="BU91" s="1064">
        <f>'Recurrentes 24-26'!BT93</f>
        <v>134.6064</v>
      </c>
      <c r="BV91" s="1064">
        <f>'Recurrentes 24-26'!BU93</f>
        <v>134.6064</v>
      </c>
      <c r="BW91" s="451"/>
      <c r="BX91" s="1062">
        <f>'Recurrentes 24-26'!BV93</f>
        <v>3768.9792</v>
      </c>
      <c r="BY91" s="1064">
        <f>'Recurrentes 24-26'!BW93</f>
        <v>538.4256</v>
      </c>
      <c r="BZ91" s="1064">
        <f>'Recurrentes 24-26'!BX93</f>
        <v>538.4256</v>
      </c>
      <c r="CA91" s="1064">
        <f>'Recurrentes 24-26'!BY93</f>
        <v>538.4256</v>
      </c>
      <c r="CB91" s="1064">
        <f>'Recurrentes 24-26'!BZ93</f>
        <v>538.4256</v>
      </c>
      <c r="CC91" s="1064">
        <f>'Recurrentes 24-26'!CA93</f>
        <v>538.4256</v>
      </c>
      <c r="CD91" s="1064">
        <f>'Recurrentes 24-26'!CB93</f>
        <v>538.4256</v>
      </c>
      <c r="CE91" s="1064">
        <f>'Recurrentes 24-26'!CC93</f>
        <v>538.4256</v>
      </c>
      <c r="CF91" s="1064">
        <f>'Recurrentes 24-26'!CD93</f>
        <v>134.6064</v>
      </c>
      <c r="CG91" s="1064">
        <f>'Recurrentes 24-26'!CE93</f>
        <v>269.2128</v>
      </c>
      <c r="CH91" s="1064">
        <f>'Recurrentes 24-26'!CF93</f>
        <v>134.6064</v>
      </c>
      <c r="CI91" s="451"/>
      <c r="CJ91" s="1062">
        <f>'Recurrentes 24-26'!CG93</f>
        <v>4307.4048</v>
      </c>
      <c r="CK91" s="1062">
        <f>'Recurrentes 24-26'!CH93</f>
        <v>11845.3632</v>
      </c>
      <c r="CL91" s="451" t="str">
        <f>'Recurrentes 24-26'!CI93</f>
        <v/>
      </c>
      <c r="CM91" s="1064" t="str">
        <f>'Recurrentes 24-26'!CJ93</f>
        <v/>
      </c>
      <c r="CN91" s="451">
        <f>'Recurrentes 24-26'!CK93</f>
        <v>1</v>
      </c>
      <c r="CO91" s="1062">
        <f>'Recurrentes 24-26'!CL93</f>
        <v>19.34</v>
      </c>
      <c r="CP91" s="451" t="str">
        <f>'Recurrentes 24-26'!CM93</f>
        <v/>
      </c>
    </row>
    <row r="92">
      <c r="A92" s="451" t="str">
        <f>'Recurrentes 24-26'!A94</f>
        <v>Repuestos Electromecánicos recurrentes</v>
      </c>
      <c r="B92" s="451">
        <f>'Recurrentes 24-26'!B94</f>
        <v>2</v>
      </c>
      <c r="C92" s="451" t="str">
        <f>'Recurrentes 24-26'!C94</f>
        <v>Vehículo</v>
      </c>
      <c r="D92" s="451" t="str">
        <f>'Recurrentes 24-26'!D94</f>
        <v>Manto. Pinza</v>
      </c>
      <c r="E92" s="451" t="str">
        <f>'Recurrentes 24-26'!E94</f>
        <v>Repuesto Mecánico</v>
      </c>
      <c r="F92" s="451" t="str">
        <f>'Recurrentes 24-26'!F94</f>
        <v>TDB</v>
      </c>
      <c r="G92" s="1025" t="str">
        <f>'Recurrentes 24-26'!G94</f>
        <v>39800</v>
      </c>
      <c r="H92" s="1061" t="str">
        <f>'Recurrentes 24-26'!H94</f>
        <v>2-02-00620</v>
      </c>
      <c r="I92" s="1061" t="str">
        <f>'Recurrentes 24-26'!I94</f>
        <v>11007503</v>
      </c>
      <c r="J92" s="1061" t="str">
        <f>'Recurrentes 24-26'!J94</f>
        <v>TAPA DE EJE              AGA-C A108-C, A104-C</v>
      </c>
      <c r="K92" s="451" t="str">
        <f>'Recurrentes 24-26'!K94</f>
        <v>Pza</v>
      </c>
      <c r="L92" s="451">
        <f>'Recurrentes 24-26'!L94</f>
        <v>4</v>
      </c>
      <c r="M92" s="451">
        <f>'Recurrentes 24-26'!M94</f>
        <v>2</v>
      </c>
      <c r="N92" s="451">
        <f>'Recurrentes 24-26'!N94</f>
        <v>4</v>
      </c>
      <c r="O92" s="451">
        <f>'Recurrentes 24-26'!O94</f>
        <v>2</v>
      </c>
      <c r="P92" s="451">
        <f>'Recurrentes 24-26'!P94</f>
        <v>2</v>
      </c>
      <c r="Q92" s="451">
        <f>'Recurrentes 24-26'!Q94</f>
        <v>4</v>
      </c>
      <c r="R92" s="451">
        <f>'Recurrentes 24-26'!R94</f>
        <v>2</v>
      </c>
      <c r="S92" s="451">
        <f>'Recurrentes 24-26'!S94</f>
        <v>2</v>
      </c>
      <c r="T92" s="451">
        <f>'Recurrentes 24-26'!T94</f>
        <v>0</v>
      </c>
      <c r="U92" s="451">
        <f>'Recurrentes 24-26'!U94</f>
        <v>2</v>
      </c>
      <c r="V92" s="451">
        <f>'Recurrentes 24-26'!V94</f>
        <v>0</v>
      </c>
      <c r="W92" s="1062">
        <f>'Recurrentes 24-26'!W94</f>
        <v>24</v>
      </c>
      <c r="X92" s="451">
        <f>'Recurrentes 24-26'!X94</f>
        <v>5</v>
      </c>
      <c r="Y92" s="451">
        <f>'Recurrentes 24-26'!Y94</f>
        <v>2</v>
      </c>
      <c r="Z92" s="451">
        <f>'Recurrentes 24-26'!Z94</f>
        <v>5</v>
      </c>
      <c r="AA92" s="451">
        <f>'Recurrentes 24-26'!AA94</f>
        <v>2</v>
      </c>
      <c r="AB92" s="451">
        <f>'Recurrentes 24-26'!AB94</f>
        <v>2</v>
      </c>
      <c r="AC92" s="451">
        <f>'Recurrentes 24-26'!AC94</f>
        <v>4</v>
      </c>
      <c r="AD92" s="451">
        <f>'Recurrentes 24-26'!AD94</f>
        <v>2</v>
      </c>
      <c r="AE92" s="451">
        <f>'Recurrentes 24-26'!AE94</f>
        <v>2</v>
      </c>
      <c r="AF92" s="451">
        <f>'Recurrentes 24-26'!AF94</f>
        <v>0</v>
      </c>
      <c r="AG92" s="451">
        <f>'Recurrentes 24-26'!AG94</f>
        <v>2</v>
      </c>
      <c r="AH92" s="451">
        <f>'Recurrentes 24-26'!AH94</f>
        <v>0</v>
      </c>
      <c r="AI92" s="1062">
        <f>'Recurrentes 24-26'!AI94</f>
        <v>26</v>
      </c>
      <c r="AJ92" s="451">
        <f>'Recurrentes 24-26'!AJ94</f>
        <v>5</v>
      </c>
      <c r="AK92" s="451">
        <f>'Recurrentes 24-26'!AK94</f>
        <v>2</v>
      </c>
      <c r="AL92" s="451">
        <f>'Recurrentes 24-26'!AL94</f>
        <v>5</v>
      </c>
      <c r="AM92" s="451">
        <f>'Recurrentes 24-26'!AM94</f>
        <v>2</v>
      </c>
      <c r="AN92" s="451">
        <f>'Recurrentes 24-26'!AN94</f>
        <v>2</v>
      </c>
      <c r="AO92" s="451">
        <f>'Recurrentes 24-26'!AO94</f>
        <v>4</v>
      </c>
      <c r="AP92" s="451">
        <f>'Recurrentes 24-26'!AP94</f>
        <v>2</v>
      </c>
      <c r="AQ92" s="451">
        <f>'Recurrentes 24-26'!AQ94</f>
        <v>2</v>
      </c>
      <c r="AR92" s="451">
        <f>'Recurrentes 24-26'!AR94</f>
        <v>0</v>
      </c>
      <c r="AS92" s="451">
        <f>'Recurrentes 24-26'!AS94</f>
        <v>2</v>
      </c>
      <c r="AT92" s="451">
        <f>'Recurrentes 24-26'!AT94</f>
        <v>0</v>
      </c>
      <c r="AU92" s="1062">
        <f>'Recurrentes 24-26'!AU94</f>
        <v>26</v>
      </c>
      <c r="AV92" s="1063">
        <f>'Recurrentes 24-26'!AV94</f>
        <v>76</v>
      </c>
      <c r="AW92" s="451" t="str">
        <f>'Recurrentes 24-26'!AW94</f>
        <v/>
      </c>
      <c r="AX92" s="1062">
        <f>'Recurrentes 24-26'!AX94</f>
        <v>19.34</v>
      </c>
      <c r="AY92" s="1062">
        <f>'Recurrentes 24-26'!AY94</f>
        <v>134.6064</v>
      </c>
      <c r="AZ92" s="1064" t="str">
        <f>'Recurrentes 24-26'!AZ94</f>
        <v/>
      </c>
      <c r="BA92" s="1064">
        <f>'Recurrentes 24-26'!BA94</f>
        <v>538.4256</v>
      </c>
      <c r="BB92" s="1064">
        <f>'Recurrentes 24-26'!BB94</f>
        <v>269.2128</v>
      </c>
      <c r="BC92" s="1064">
        <f>'Recurrentes 24-26'!BC94</f>
        <v>538.4256</v>
      </c>
      <c r="BD92" s="1064">
        <f>'Recurrentes 24-26'!BD94</f>
        <v>269.2128</v>
      </c>
      <c r="BE92" s="1064">
        <f>'Recurrentes 24-26'!BE94</f>
        <v>269.2128</v>
      </c>
      <c r="BF92" s="1064">
        <f>'Recurrentes 24-26'!BF94</f>
        <v>538.4256</v>
      </c>
      <c r="BG92" s="1064">
        <f>'Recurrentes 24-26'!BG94</f>
        <v>269.2128</v>
      </c>
      <c r="BH92" s="1064">
        <f>'Recurrentes 24-26'!BH94</f>
        <v>269.2128</v>
      </c>
      <c r="BI92" s="1064">
        <f>'Recurrentes 24-26'!BI94</f>
        <v>0</v>
      </c>
      <c r="BJ92" s="1064">
        <f>'Recurrentes 24-26'!BJ94</f>
        <v>269.2128</v>
      </c>
      <c r="BK92" s="451"/>
      <c r="BL92" s="1062">
        <f>'Recurrentes 24-26'!BK94</f>
        <v>3230.5536</v>
      </c>
      <c r="BM92" s="1064">
        <f>'Recurrentes 24-26'!BL94</f>
        <v>673.032</v>
      </c>
      <c r="BN92" s="1064">
        <f>'Recurrentes 24-26'!BM94</f>
        <v>269.2128</v>
      </c>
      <c r="BO92" s="1064">
        <f>'Recurrentes 24-26'!BN94</f>
        <v>673.032</v>
      </c>
      <c r="BP92" s="1064">
        <f>'Recurrentes 24-26'!BO94</f>
        <v>269.2128</v>
      </c>
      <c r="BQ92" s="1064">
        <f>'Recurrentes 24-26'!BP94</f>
        <v>269.2128</v>
      </c>
      <c r="BR92" s="1064">
        <f>'Recurrentes 24-26'!BQ94</f>
        <v>538.4256</v>
      </c>
      <c r="BS92" s="1064">
        <f>'Recurrentes 24-26'!BR94</f>
        <v>269.2128</v>
      </c>
      <c r="BT92" s="1064">
        <f>'Recurrentes 24-26'!BS94</f>
        <v>269.2128</v>
      </c>
      <c r="BU92" s="1064">
        <f>'Recurrentes 24-26'!BT94</f>
        <v>0</v>
      </c>
      <c r="BV92" s="1064">
        <f>'Recurrentes 24-26'!BU94</f>
        <v>269.2128</v>
      </c>
      <c r="BW92" s="451"/>
      <c r="BX92" s="1062">
        <f>'Recurrentes 24-26'!BV94</f>
        <v>3499.7664</v>
      </c>
      <c r="BY92" s="1064">
        <f>'Recurrentes 24-26'!BW94</f>
        <v>673.032</v>
      </c>
      <c r="BZ92" s="1064">
        <f>'Recurrentes 24-26'!BX94</f>
        <v>269.2128</v>
      </c>
      <c r="CA92" s="1064">
        <f>'Recurrentes 24-26'!BY94</f>
        <v>673.032</v>
      </c>
      <c r="CB92" s="1064">
        <f>'Recurrentes 24-26'!BZ94</f>
        <v>269.2128</v>
      </c>
      <c r="CC92" s="1064">
        <f>'Recurrentes 24-26'!CA94</f>
        <v>269.2128</v>
      </c>
      <c r="CD92" s="1064">
        <f>'Recurrentes 24-26'!CB94</f>
        <v>538.4256</v>
      </c>
      <c r="CE92" s="1064">
        <f>'Recurrentes 24-26'!CC94</f>
        <v>269.2128</v>
      </c>
      <c r="CF92" s="1064">
        <f>'Recurrentes 24-26'!CD94</f>
        <v>269.2128</v>
      </c>
      <c r="CG92" s="1064">
        <f>'Recurrentes 24-26'!CE94</f>
        <v>0</v>
      </c>
      <c r="CH92" s="1064">
        <f>'Recurrentes 24-26'!CF94</f>
        <v>269.2128</v>
      </c>
      <c r="CI92" s="451"/>
      <c r="CJ92" s="1062">
        <f>'Recurrentes 24-26'!CG94</f>
        <v>3499.7664</v>
      </c>
      <c r="CK92" s="1062">
        <f>'Recurrentes 24-26'!CH94</f>
        <v>10230.0864</v>
      </c>
      <c r="CL92" s="451" t="str">
        <f>'Recurrentes 24-26'!CI94</f>
        <v/>
      </c>
      <c r="CM92" s="1064" t="str">
        <f>'Recurrentes 24-26'!CJ94</f>
        <v/>
      </c>
      <c r="CN92" s="451">
        <f>'Recurrentes 24-26'!CK94</f>
        <v>1</v>
      </c>
      <c r="CO92" s="1062">
        <f>'Recurrentes 24-26'!CL94</f>
        <v>19.34</v>
      </c>
      <c r="CP92" s="451" t="str">
        <f>'Recurrentes 24-26'!CM94</f>
        <v/>
      </c>
    </row>
    <row r="93">
      <c r="A93" s="451" t="str">
        <f>'Recurrentes 24-26'!A95</f>
        <v>Repuestos Electromecánicos recurrentes</v>
      </c>
      <c r="B93" s="451">
        <f>'Recurrentes 24-26'!B95</f>
        <v>2</v>
      </c>
      <c r="C93" s="451" t="str">
        <f>'Recurrentes 24-26'!C95</f>
        <v>Estaciones</v>
      </c>
      <c r="D93" s="451" t="str">
        <f>'Recurrentes 24-26'!D95</f>
        <v>Reacondicionamiento y Cambio de poleas de estacion</v>
      </c>
      <c r="E93" s="451" t="str">
        <f>'Recurrentes 24-26'!E95</f>
        <v>Repuesto Mecánico</v>
      </c>
      <c r="F93" s="451" t="str">
        <f>'Recurrentes 24-26'!F95</f>
        <v>TDB</v>
      </c>
      <c r="G93" s="1025" t="str">
        <f>'Recurrentes 24-26'!G95</f>
        <v>39800</v>
      </c>
      <c r="H93" s="1061" t="str">
        <f>'Recurrentes 24-26'!H95</f>
        <v>2-01-00371</v>
      </c>
      <c r="I93" s="1061" t="str">
        <f>'Recurrentes 24-26'!I95</f>
        <v>10505294</v>
      </c>
      <c r="J93" s="1061" t="str">
        <f>'Recurrentes 24-26'!J95</f>
        <v>EJE P.ACC.RUE.DE FRICC.L=335,1 UNIG</v>
      </c>
      <c r="K93" s="451" t="str">
        <f>'Recurrentes 24-26'!K95</f>
        <v>Pza</v>
      </c>
      <c r="L93" s="451">
        <f>'Recurrentes 24-26'!L95</f>
        <v>1</v>
      </c>
      <c r="M93" s="451">
        <f>'Recurrentes 24-26'!M95</f>
        <v>0</v>
      </c>
      <c r="N93" s="451">
        <f>'Recurrentes 24-26'!N95</f>
        <v>0</v>
      </c>
      <c r="O93" s="451">
        <f>'Recurrentes 24-26'!O95</f>
        <v>0</v>
      </c>
      <c r="P93" s="451">
        <f>'Recurrentes 24-26'!P95</f>
        <v>0</v>
      </c>
      <c r="Q93" s="451">
        <f>'Recurrentes 24-26'!Q95</f>
        <v>0</v>
      </c>
      <c r="R93" s="451">
        <f>'Recurrentes 24-26'!R95</f>
        <v>0</v>
      </c>
      <c r="S93" s="451">
        <f>'Recurrentes 24-26'!S95</f>
        <v>0</v>
      </c>
      <c r="T93" s="451">
        <f>'Recurrentes 24-26'!T95</f>
        <v>0</v>
      </c>
      <c r="U93" s="451">
        <f>'Recurrentes 24-26'!U95</f>
        <v>0</v>
      </c>
      <c r="V93" s="451">
        <f>'Recurrentes 24-26'!V95</f>
        <v>0</v>
      </c>
      <c r="W93" s="1062">
        <f>'Recurrentes 24-26'!W95</f>
        <v>1</v>
      </c>
      <c r="X93" s="451">
        <f>'Recurrentes 24-26'!X95</f>
        <v>1</v>
      </c>
      <c r="Y93" s="451">
        <f>'Recurrentes 24-26'!Y95</f>
        <v>0</v>
      </c>
      <c r="Z93" s="451">
        <f>'Recurrentes 24-26'!Z95</f>
        <v>1</v>
      </c>
      <c r="AA93" s="451">
        <f>'Recurrentes 24-26'!AA95</f>
        <v>0</v>
      </c>
      <c r="AB93" s="451">
        <f>'Recurrentes 24-26'!AB95</f>
        <v>0</v>
      </c>
      <c r="AC93" s="451">
        <f>'Recurrentes 24-26'!AC95</f>
        <v>0</v>
      </c>
      <c r="AD93" s="451">
        <f>'Recurrentes 24-26'!AD95</f>
        <v>0</v>
      </c>
      <c r="AE93" s="451">
        <f>'Recurrentes 24-26'!AE95</f>
        <v>0</v>
      </c>
      <c r="AF93" s="451">
        <f>'Recurrentes 24-26'!AF95</f>
        <v>0</v>
      </c>
      <c r="AG93" s="451">
        <f>'Recurrentes 24-26'!AG95</f>
        <v>0</v>
      </c>
      <c r="AH93" s="451">
        <f>'Recurrentes 24-26'!AH95</f>
        <v>0</v>
      </c>
      <c r="AI93" s="1062">
        <f>'Recurrentes 24-26'!AI95</f>
        <v>2</v>
      </c>
      <c r="AJ93" s="451">
        <f>'Recurrentes 24-26'!AJ95</f>
        <v>1</v>
      </c>
      <c r="AK93" s="451">
        <f>'Recurrentes 24-26'!AK95</f>
        <v>0</v>
      </c>
      <c r="AL93" s="451">
        <f>'Recurrentes 24-26'!AL95</f>
        <v>1</v>
      </c>
      <c r="AM93" s="451">
        <f>'Recurrentes 24-26'!AM95</f>
        <v>0</v>
      </c>
      <c r="AN93" s="451">
        <f>'Recurrentes 24-26'!AN95</f>
        <v>0</v>
      </c>
      <c r="AO93" s="451">
        <f>'Recurrentes 24-26'!AO95</f>
        <v>0</v>
      </c>
      <c r="AP93" s="451">
        <f>'Recurrentes 24-26'!AP95</f>
        <v>0</v>
      </c>
      <c r="AQ93" s="451">
        <f>'Recurrentes 24-26'!AQ95</f>
        <v>0</v>
      </c>
      <c r="AR93" s="451">
        <f>'Recurrentes 24-26'!AR95</f>
        <v>0</v>
      </c>
      <c r="AS93" s="451">
        <f>'Recurrentes 24-26'!AS95</f>
        <v>0</v>
      </c>
      <c r="AT93" s="451">
        <f>'Recurrentes 24-26'!AT95</f>
        <v>0</v>
      </c>
      <c r="AU93" s="1062">
        <f>'Recurrentes 24-26'!AU95</f>
        <v>2</v>
      </c>
      <c r="AV93" s="1063">
        <f>'Recurrentes 24-26'!AV95</f>
        <v>5</v>
      </c>
      <c r="AW93" s="451" t="str">
        <f>'Recurrentes 24-26'!AW95</f>
        <v/>
      </c>
      <c r="AX93" s="1062">
        <f>'Recurrentes 24-26'!AX95</f>
        <v>279.15</v>
      </c>
      <c r="AY93" s="1062">
        <f>'Recurrentes 24-26'!AY95</f>
        <v>1942.884</v>
      </c>
      <c r="AZ93" s="1064" t="str">
        <f>'Recurrentes 24-26'!AZ95</f>
        <v/>
      </c>
      <c r="BA93" s="1064">
        <f>'Recurrentes 24-26'!BA95</f>
        <v>1942.884</v>
      </c>
      <c r="BB93" s="1064">
        <f>'Recurrentes 24-26'!BB95</f>
        <v>0</v>
      </c>
      <c r="BC93" s="1064">
        <f>'Recurrentes 24-26'!BC95</f>
        <v>0</v>
      </c>
      <c r="BD93" s="1064">
        <f>'Recurrentes 24-26'!BD95</f>
        <v>0</v>
      </c>
      <c r="BE93" s="1064">
        <f>'Recurrentes 24-26'!BE95</f>
        <v>0</v>
      </c>
      <c r="BF93" s="1064">
        <f>'Recurrentes 24-26'!BF95</f>
        <v>0</v>
      </c>
      <c r="BG93" s="1064">
        <f>'Recurrentes 24-26'!BG95</f>
        <v>0</v>
      </c>
      <c r="BH93" s="1064">
        <f>'Recurrentes 24-26'!BH95</f>
        <v>0</v>
      </c>
      <c r="BI93" s="1064">
        <f>'Recurrentes 24-26'!BI95</f>
        <v>0</v>
      </c>
      <c r="BJ93" s="1064">
        <f>'Recurrentes 24-26'!BJ95</f>
        <v>0</v>
      </c>
      <c r="BK93" s="451"/>
      <c r="BL93" s="1062">
        <f>'Recurrentes 24-26'!BK95</f>
        <v>1942.884</v>
      </c>
      <c r="BM93" s="1064">
        <f>'Recurrentes 24-26'!BL95</f>
        <v>1942.884</v>
      </c>
      <c r="BN93" s="1064">
        <f>'Recurrentes 24-26'!BM95</f>
        <v>0</v>
      </c>
      <c r="BO93" s="1064">
        <f>'Recurrentes 24-26'!BN95</f>
        <v>1942.884</v>
      </c>
      <c r="BP93" s="1064">
        <f>'Recurrentes 24-26'!BO95</f>
        <v>0</v>
      </c>
      <c r="BQ93" s="1064">
        <f>'Recurrentes 24-26'!BP95</f>
        <v>0</v>
      </c>
      <c r="BR93" s="1064">
        <f>'Recurrentes 24-26'!BQ95</f>
        <v>0</v>
      </c>
      <c r="BS93" s="1064">
        <f>'Recurrentes 24-26'!BR95</f>
        <v>0</v>
      </c>
      <c r="BT93" s="1064">
        <f>'Recurrentes 24-26'!BS95</f>
        <v>0</v>
      </c>
      <c r="BU93" s="1064">
        <f>'Recurrentes 24-26'!BT95</f>
        <v>0</v>
      </c>
      <c r="BV93" s="1064">
        <f>'Recurrentes 24-26'!BU95</f>
        <v>0</v>
      </c>
      <c r="BW93" s="451"/>
      <c r="BX93" s="1062">
        <f>'Recurrentes 24-26'!BV95</f>
        <v>3885.768</v>
      </c>
      <c r="BY93" s="1064">
        <f>'Recurrentes 24-26'!BW95</f>
        <v>1942.884</v>
      </c>
      <c r="BZ93" s="1064">
        <f>'Recurrentes 24-26'!BX95</f>
        <v>0</v>
      </c>
      <c r="CA93" s="1064">
        <f>'Recurrentes 24-26'!BY95</f>
        <v>1942.884</v>
      </c>
      <c r="CB93" s="1064">
        <f>'Recurrentes 24-26'!BZ95</f>
        <v>0</v>
      </c>
      <c r="CC93" s="1064">
        <f>'Recurrentes 24-26'!CA95</f>
        <v>0</v>
      </c>
      <c r="CD93" s="1064">
        <f>'Recurrentes 24-26'!CB95</f>
        <v>0</v>
      </c>
      <c r="CE93" s="1064">
        <f>'Recurrentes 24-26'!CC95</f>
        <v>0</v>
      </c>
      <c r="CF93" s="1064">
        <f>'Recurrentes 24-26'!CD95</f>
        <v>0</v>
      </c>
      <c r="CG93" s="1064">
        <f>'Recurrentes 24-26'!CE95</f>
        <v>0</v>
      </c>
      <c r="CH93" s="1064">
        <f>'Recurrentes 24-26'!CF95</f>
        <v>0</v>
      </c>
      <c r="CI93" s="451"/>
      <c r="CJ93" s="1062">
        <f>'Recurrentes 24-26'!CG95</f>
        <v>3885.768</v>
      </c>
      <c r="CK93" s="1062">
        <f>'Recurrentes 24-26'!CH95</f>
        <v>9714.42</v>
      </c>
      <c r="CL93" s="451" t="str">
        <f>'Recurrentes 24-26'!CI95</f>
        <v/>
      </c>
      <c r="CM93" s="1064" t="str">
        <f>'Recurrentes 24-26'!CJ95</f>
        <v/>
      </c>
      <c r="CN93" s="451">
        <f>'Recurrentes 24-26'!CK95</f>
        <v>1</v>
      </c>
      <c r="CO93" s="1062">
        <f>'Recurrentes 24-26'!CL95</f>
        <v>279.15</v>
      </c>
      <c r="CP93" s="451" t="str">
        <f>'Recurrentes 24-26'!CM95</f>
        <v/>
      </c>
    </row>
    <row r="94">
      <c r="A94" s="451" t="str">
        <f>'Recurrentes 24-26'!A96</f>
        <v>Repuestos Electromecánicos recurrentes</v>
      </c>
      <c r="B94" s="451">
        <f>'Recurrentes 24-26'!B96</f>
        <v>2</v>
      </c>
      <c r="C94" s="451" t="str">
        <f>'Recurrentes 24-26'!C96</f>
        <v>Estaciones</v>
      </c>
      <c r="D94" s="451" t="str">
        <f>'Recurrentes 24-26'!D96</f>
        <v>Poleas de Impulso-Dinamo tacométrica</v>
      </c>
      <c r="E94" s="451" t="str">
        <f>'Recurrentes 24-26'!E96</f>
        <v>Repuesto Mecánico</v>
      </c>
      <c r="F94" s="451" t="str">
        <f>'Recurrentes 24-26'!F96</f>
        <v>TDB</v>
      </c>
      <c r="G94" s="1025" t="str">
        <f>'Recurrentes 24-26'!G96</f>
        <v>39800</v>
      </c>
      <c r="H94" s="1061" t="str">
        <f>'Recurrentes 24-26'!H96</f>
        <v>2-01-00636</v>
      </c>
      <c r="I94" s="1061" t="str">
        <f>'Recurrentes 24-26'!I96</f>
        <v>10607522</v>
      </c>
      <c r="J94" s="1061" t="str">
        <f>'Recurrentes 24-26'!J96</f>
        <v>BULÓN DIA.30 H8 - L= 120       PARA POLEA CONTADORA</v>
      </c>
      <c r="K94" s="451" t="str">
        <f>'Recurrentes 24-26'!K96</f>
        <v>Pza</v>
      </c>
      <c r="L94" s="451">
        <f>'Recurrentes 24-26'!L96</f>
        <v>1</v>
      </c>
      <c r="M94" s="451">
        <f>'Recurrentes 24-26'!M96</f>
        <v>1</v>
      </c>
      <c r="N94" s="451">
        <f>'Recurrentes 24-26'!N96</f>
        <v>1</v>
      </c>
      <c r="O94" s="451">
        <f>'Recurrentes 24-26'!O96</f>
        <v>0</v>
      </c>
      <c r="P94" s="451">
        <f>'Recurrentes 24-26'!P96</f>
        <v>0</v>
      </c>
      <c r="Q94" s="451">
        <f>'Recurrentes 24-26'!Q96</f>
        <v>0</v>
      </c>
      <c r="R94" s="451">
        <f>'Recurrentes 24-26'!R96</f>
        <v>1</v>
      </c>
      <c r="S94" s="451">
        <f>'Recurrentes 24-26'!S96</f>
        <v>1</v>
      </c>
      <c r="T94" s="451">
        <f>'Recurrentes 24-26'!T96</f>
        <v>0</v>
      </c>
      <c r="U94" s="451">
        <f>'Recurrentes 24-26'!U96</f>
        <v>1</v>
      </c>
      <c r="V94" s="451">
        <f>'Recurrentes 24-26'!V96</f>
        <v>0</v>
      </c>
      <c r="W94" s="1062">
        <f>'Recurrentes 24-26'!W96</f>
        <v>6</v>
      </c>
      <c r="X94" s="451">
        <f>'Recurrentes 24-26'!X96</f>
        <v>2</v>
      </c>
      <c r="Y94" s="451">
        <f>'Recurrentes 24-26'!Y96</f>
        <v>1</v>
      </c>
      <c r="Z94" s="451">
        <f>'Recurrentes 24-26'!Z96</f>
        <v>2</v>
      </c>
      <c r="AA94" s="451">
        <f>'Recurrentes 24-26'!AA96</f>
        <v>0</v>
      </c>
      <c r="AB94" s="451">
        <f>'Recurrentes 24-26'!AB96</f>
        <v>0</v>
      </c>
      <c r="AC94" s="451">
        <f>'Recurrentes 24-26'!AC96</f>
        <v>0</v>
      </c>
      <c r="AD94" s="451">
        <f>'Recurrentes 24-26'!AD96</f>
        <v>2</v>
      </c>
      <c r="AE94" s="451">
        <f>'Recurrentes 24-26'!AE96</f>
        <v>2</v>
      </c>
      <c r="AF94" s="451">
        <f>'Recurrentes 24-26'!AF96</f>
        <v>1</v>
      </c>
      <c r="AG94" s="451">
        <f>'Recurrentes 24-26'!AG96</f>
        <v>2</v>
      </c>
      <c r="AH94" s="451">
        <f>'Recurrentes 24-26'!AH96</f>
        <v>0</v>
      </c>
      <c r="AI94" s="1062">
        <f>'Recurrentes 24-26'!AI96</f>
        <v>12</v>
      </c>
      <c r="AJ94" s="451">
        <f>'Recurrentes 24-26'!AJ96</f>
        <v>2</v>
      </c>
      <c r="AK94" s="451">
        <f>'Recurrentes 24-26'!AK96</f>
        <v>1</v>
      </c>
      <c r="AL94" s="451">
        <f>'Recurrentes 24-26'!AL96</f>
        <v>2</v>
      </c>
      <c r="AM94" s="451">
        <f>'Recurrentes 24-26'!AM96</f>
        <v>0</v>
      </c>
      <c r="AN94" s="451">
        <f>'Recurrentes 24-26'!AN96</f>
        <v>0</v>
      </c>
      <c r="AO94" s="451">
        <f>'Recurrentes 24-26'!AO96</f>
        <v>0</v>
      </c>
      <c r="AP94" s="451">
        <f>'Recurrentes 24-26'!AP96</f>
        <v>2</v>
      </c>
      <c r="AQ94" s="451">
        <f>'Recurrentes 24-26'!AQ96</f>
        <v>2</v>
      </c>
      <c r="AR94" s="451">
        <f>'Recurrentes 24-26'!AR96</f>
        <v>1</v>
      </c>
      <c r="AS94" s="451">
        <f>'Recurrentes 24-26'!AS96</f>
        <v>2</v>
      </c>
      <c r="AT94" s="451">
        <f>'Recurrentes 24-26'!AT96</f>
        <v>0</v>
      </c>
      <c r="AU94" s="1062">
        <f>'Recurrentes 24-26'!AU96</f>
        <v>12</v>
      </c>
      <c r="AV94" s="1063">
        <f>'Recurrentes 24-26'!AV96</f>
        <v>30</v>
      </c>
      <c r="AW94" s="451" t="str">
        <f>'Recurrentes 24-26'!AW96</f>
        <v/>
      </c>
      <c r="AX94" s="1062">
        <f>'Recurrentes 24-26'!AX96</f>
        <v>45.03</v>
      </c>
      <c r="AY94" s="1062">
        <f>'Recurrentes 24-26'!AY96</f>
        <v>313.4088</v>
      </c>
      <c r="AZ94" s="1064" t="str">
        <f>'Recurrentes 24-26'!AZ96</f>
        <v/>
      </c>
      <c r="BA94" s="1064">
        <f>'Recurrentes 24-26'!BA96</f>
        <v>313.4088</v>
      </c>
      <c r="BB94" s="1064">
        <f>'Recurrentes 24-26'!BB96</f>
        <v>313.4088</v>
      </c>
      <c r="BC94" s="1064">
        <f>'Recurrentes 24-26'!BC96</f>
        <v>313.4088</v>
      </c>
      <c r="BD94" s="1064">
        <f>'Recurrentes 24-26'!BD96</f>
        <v>0</v>
      </c>
      <c r="BE94" s="1064">
        <f>'Recurrentes 24-26'!BE96</f>
        <v>0</v>
      </c>
      <c r="BF94" s="1064">
        <f>'Recurrentes 24-26'!BF96</f>
        <v>0</v>
      </c>
      <c r="BG94" s="1064">
        <f>'Recurrentes 24-26'!BG96</f>
        <v>313.4088</v>
      </c>
      <c r="BH94" s="1064">
        <f>'Recurrentes 24-26'!BH96</f>
        <v>313.4088</v>
      </c>
      <c r="BI94" s="1064">
        <f>'Recurrentes 24-26'!BI96</f>
        <v>0</v>
      </c>
      <c r="BJ94" s="1064">
        <f>'Recurrentes 24-26'!BJ96</f>
        <v>313.4088</v>
      </c>
      <c r="BK94" s="451"/>
      <c r="BL94" s="1062">
        <f>'Recurrentes 24-26'!BK96</f>
        <v>1880.4528</v>
      </c>
      <c r="BM94" s="1064">
        <f>'Recurrentes 24-26'!BL96</f>
        <v>626.8176</v>
      </c>
      <c r="BN94" s="1064">
        <f>'Recurrentes 24-26'!BM96</f>
        <v>313.4088</v>
      </c>
      <c r="BO94" s="1064">
        <f>'Recurrentes 24-26'!BN96</f>
        <v>626.8176</v>
      </c>
      <c r="BP94" s="1064">
        <f>'Recurrentes 24-26'!BO96</f>
        <v>0</v>
      </c>
      <c r="BQ94" s="1064">
        <f>'Recurrentes 24-26'!BP96</f>
        <v>0</v>
      </c>
      <c r="BR94" s="1064">
        <f>'Recurrentes 24-26'!BQ96</f>
        <v>0</v>
      </c>
      <c r="BS94" s="1064">
        <f>'Recurrentes 24-26'!BR96</f>
        <v>626.8176</v>
      </c>
      <c r="BT94" s="1064">
        <f>'Recurrentes 24-26'!BS96</f>
        <v>626.8176</v>
      </c>
      <c r="BU94" s="1064">
        <f>'Recurrentes 24-26'!BT96</f>
        <v>313.4088</v>
      </c>
      <c r="BV94" s="1064">
        <f>'Recurrentes 24-26'!BU96</f>
        <v>626.8176</v>
      </c>
      <c r="BW94" s="451"/>
      <c r="BX94" s="1062">
        <f>'Recurrentes 24-26'!BV96</f>
        <v>3760.9056</v>
      </c>
      <c r="BY94" s="1064">
        <f>'Recurrentes 24-26'!BW96</f>
        <v>626.8176</v>
      </c>
      <c r="BZ94" s="1064">
        <f>'Recurrentes 24-26'!BX96</f>
        <v>313.4088</v>
      </c>
      <c r="CA94" s="1064">
        <f>'Recurrentes 24-26'!BY96</f>
        <v>626.8176</v>
      </c>
      <c r="CB94" s="1064">
        <f>'Recurrentes 24-26'!BZ96</f>
        <v>0</v>
      </c>
      <c r="CC94" s="1064">
        <f>'Recurrentes 24-26'!CA96</f>
        <v>0</v>
      </c>
      <c r="CD94" s="1064">
        <f>'Recurrentes 24-26'!CB96</f>
        <v>0</v>
      </c>
      <c r="CE94" s="1064">
        <f>'Recurrentes 24-26'!CC96</f>
        <v>626.8176</v>
      </c>
      <c r="CF94" s="1064">
        <f>'Recurrentes 24-26'!CD96</f>
        <v>626.8176</v>
      </c>
      <c r="CG94" s="1064">
        <f>'Recurrentes 24-26'!CE96</f>
        <v>313.4088</v>
      </c>
      <c r="CH94" s="1064">
        <f>'Recurrentes 24-26'!CF96</f>
        <v>626.8176</v>
      </c>
      <c r="CI94" s="451"/>
      <c r="CJ94" s="1062">
        <f>'Recurrentes 24-26'!CG96</f>
        <v>3760.9056</v>
      </c>
      <c r="CK94" s="1062">
        <f>'Recurrentes 24-26'!CH96</f>
        <v>9402.264</v>
      </c>
      <c r="CL94" s="451" t="str">
        <f>'Recurrentes 24-26'!CI96</f>
        <v/>
      </c>
      <c r="CM94" s="1064" t="str">
        <f>'Recurrentes 24-26'!CJ96</f>
        <v/>
      </c>
      <c r="CN94" s="451">
        <f>'Recurrentes 24-26'!CK96</f>
        <v>1</v>
      </c>
      <c r="CO94" s="1062">
        <f>'Recurrentes 24-26'!CL96</f>
        <v>45.03</v>
      </c>
      <c r="CP94" s="451" t="str">
        <f>'Recurrentes 24-26'!CM96</f>
        <v/>
      </c>
    </row>
    <row r="95">
      <c r="A95" s="451" t="str">
        <f>'Recurrentes 24-26'!A97</f>
        <v>Repuestos Electromecánicos recurrentes</v>
      </c>
      <c r="B95" s="451">
        <f>'Recurrentes 24-26'!B97</f>
        <v>2</v>
      </c>
      <c r="C95" s="451" t="str">
        <f>'Recurrentes 24-26'!C97</f>
        <v>Torres</v>
      </c>
      <c r="D95" s="451" t="str">
        <f>'Recurrentes 24-26'!D97</f>
        <v>Reacondicionamiento de Poleas Palpadoras</v>
      </c>
      <c r="E95" s="451" t="str">
        <f>'Recurrentes 24-26'!E97</f>
        <v>Repuesto Mecánico</v>
      </c>
      <c r="F95" s="451" t="str">
        <f>'Recurrentes 24-26'!F97</f>
        <v>TDB</v>
      </c>
      <c r="G95" s="1025" t="str">
        <f>'Recurrentes 24-26'!G97</f>
        <v>39800</v>
      </c>
      <c r="H95" s="1061" t="str">
        <f>'Recurrentes 24-26'!H97</f>
        <v>2-01-00406</v>
      </c>
      <c r="I95" s="1061" t="str">
        <f>'Recurrentes 24-26'!I97</f>
        <v>10075741</v>
      </c>
      <c r="J95" s="1061" t="str">
        <f>'Recurrentes 24-26'!J97</f>
        <v>ARANDELA DIST. DIÁ.51,5/14 E=12,5 P.POLEA C-C, ENSAYO FINAL</v>
      </c>
      <c r="K95" s="451" t="str">
        <f>'Recurrentes 24-26'!K97</f>
        <v>Pza</v>
      </c>
      <c r="L95" s="451">
        <f>'Recurrentes 24-26'!L97</f>
        <v>8</v>
      </c>
      <c r="M95" s="451">
        <f>'Recurrentes 24-26'!M97</f>
        <v>6</v>
      </c>
      <c r="N95" s="451">
        <f>'Recurrentes 24-26'!N97</f>
        <v>8</v>
      </c>
      <c r="O95" s="451">
        <f>'Recurrentes 24-26'!O97</f>
        <v>4</v>
      </c>
      <c r="P95" s="451">
        <f>'Recurrentes 24-26'!P97</f>
        <v>4</v>
      </c>
      <c r="Q95" s="451">
        <f>'Recurrentes 24-26'!Q97</f>
        <v>8</v>
      </c>
      <c r="R95" s="451">
        <f>'Recurrentes 24-26'!R97</f>
        <v>2</v>
      </c>
      <c r="S95" s="451">
        <f>'Recurrentes 24-26'!S97</f>
        <v>0</v>
      </c>
      <c r="T95" s="451">
        <f>'Recurrentes 24-26'!T97</f>
        <v>2</v>
      </c>
      <c r="U95" s="451">
        <f>'Recurrentes 24-26'!U97</f>
        <v>2</v>
      </c>
      <c r="V95" s="451">
        <f>'Recurrentes 24-26'!V97</f>
        <v>0</v>
      </c>
      <c r="W95" s="1062">
        <f>'Recurrentes 24-26'!W97</f>
        <v>44</v>
      </c>
      <c r="X95" s="451">
        <f>'Recurrentes 24-26'!X97</f>
        <v>8</v>
      </c>
      <c r="Y95" s="451">
        <f>'Recurrentes 24-26'!Y97</f>
        <v>6</v>
      </c>
      <c r="Z95" s="451">
        <f>'Recurrentes 24-26'!Z97</f>
        <v>8</v>
      </c>
      <c r="AA95" s="451">
        <f>'Recurrentes 24-26'!AA97</f>
        <v>4</v>
      </c>
      <c r="AB95" s="451">
        <f>'Recurrentes 24-26'!AB97</f>
        <v>4</v>
      </c>
      <c r="AC95" s="451">
        <f>'Recurrentes 24-26'!AC97</f>
        <v>8</v>
      </c>
      <c r="AD95" s="451">
        <f>'Recurrentes 24-26'!AD97</f>
        <v>2</v>
      </c>
      <c r="AE95" s="451">
        <f>'Recurrentes 24-26'!AE97</f>
        <v>0</v>
      </c>
      <c r="AF95" s="451">
        <f>'Recurrentes 24-26'!AF97</f>
        <v>2</v>
      </c>
      <c r="AG95" s="451">
        <f>'Recurrentes 24-26'!AG97</f>
        <v>2</v>
      </c>
      <c r="AH95" s="451">
        <f>'Recurrentes 24-26'!AH97</f>
        <v>0</v>
      </c>
      <c r="AI95" s="1062">
        <f>'Recurrentes 24-26'!AI97</f>
        <v>44</v>
      </c>
      <c r="AJ95" s="451">
        <f>'Recurrentes 24-26'!AJ97</f>
        <v>8</v>
      </c>
      <c r="AK95" s="451">
        <f>'Recurrentes 24-26'!AK97</f>
        <v>6</v>
      </c>
      <c r="AL95" s="451">
        <f>'Recurrentes 24-26'!AL97</f>
        <v>8</v>
      </c>
      <c r="AM95" s="451">
        <f>'Recurrentes 24-26'!AM97</f>
        <v>4</v>
      </c>
      <c r="AN95" s="451">
        <f>'Recurrentes 24-26'!AN97</f>
        <v>4</v>
      </c>
      <c r="AO95" s="451">
        <f>'Recurrentes 24-26'!AO97</f>
        <v>8</v>
      </c>
      <c r="AP95" s="451">
        <f>'Recurrentes 24-26'!AP97</f>
        <v>2</v>
      </c>
      <c r="AQ95" s="451">
        <f>'Recurrentes 24-26'!AQ97</f>
        <v>0</v>
      </c>
      <c r="AR95" s="451">
        <f>'Recurrentes 24-26'!AR97</f>
        <v>2</v>
      </c>
      <c r="AS95" s="451">
        <f>'Recurrentes 24-26'!AS97</f>
        <v>2</v>
      </c>
      <c r="AT95" s="451">
        <f>'Recurrentes 24-26'!AT97</f>
        <v>0</v>
      </c>
      <c r="AU95" s="1062">
        <f>'Recurrentes 24-26'!AU97</f>
        <v>44</v>
      </c>
      <c r="AV95" s="1063">
        <f>'Recurrentes 24-26'!AV97</f>
        <v>132</v>
      </c>
      <c r="AW95" s="451" t="str">
        <f>'Recurrentes 24-26'!AW97</f>
        <v/>
      </c>
      <c r="AX95" s="1062">
        <f>'Recurrentes 24-26'!AX97</f>
        <v>9.81</v>
      </c>
      <c r="AY95" s="1062">
        <f>'Recurrentes 24-26'!AY97</f>
        <v>68.2776</v>
      </c>
      <c r="AZ95" s="1064" t="str">
        <f>'Recurrentes 24-26'!AZ97</f>
        <v/>
      </c>
      <c r="BA95" s="1064">
        <f>'Recurrentes 24-26'!BA97</f>
        <v>546.2208</v>
      </c>
      <c r="BB95" s="1064">
        <f>'Recurrentes 24-26'!BB97</f>
        <v>409.6656</v>
      </c>
      <c r="BC95" s="1064">
        <f>'Recurrentes 24-26'!BC97</f>
        <v>546.2208</v>
      </c>
      <c r="BD95" s="1064">
        <f>'Recurrentes 24-26'!BD97</f>
        <v>273.1104</v>
      </c>
      <c r="BE95" s="1064">
        <f>'Recurrentes 24-26'!BE97</f>
        <v>273.1104</v>
      </c>
      <c r="BF95" s="1064">
        <f>'Recurrentes 24-26'!BF97</f>
        <v>546.2208</v>
      </c>
      <c r="BG95" s="1064">
        <f>'Recurrentes 24-26'!BG97</f>
        <v>136.5552</v>
      </c>
      <c r="BH95" s="1064">
        <f>'Recurrentes 24-26'!BH97</f>
        <v>0</v>
      </c>
      <c r="BI95" s="1064">
        <f>'Recurrentes 24-26'!BI97</f>
        <v>136.5552</v>
      </c>
      <c r="BJ95" s="1064">
        <f>'Recurrentes 24-26'!BJ97</f>
        <v>136.5552</v>
      </c>
      <c r="BK95" s="451"/>
      <c r="BL95" s="1062">
        <f>'Recurrentes 24-26'!BK97</f>
        <v>3004.2144</v>
      </c>
      <c r="BM95" s="1064">
        <f>'Recurrentes 24-26'!BL97</f>
        <v>546.2208</v>
      </c>
      <c r="BN95" s="1064">
        <f>'Recurrentes 24-26'!BM97</f>
        <v>409.6656</v>
      </c>
      <c r="BO95" s="1064">
        <f>'Recurrentes 24-26'!BN97</f>
        <v>546.2208</v>
      </c>
      <c r="BP95" s="1064">
        <f>'Recurrentes 24-26'!BO97</f>
        <v>273.1104</v>
      </c>
      <c r="BQ95" s="1064">
        <f>'Recurrentes 24-26'!BP97</f>
        <v>273.1104</v>
      </c>
      <c r="BR95" s="1064">
        <f>'Recurrentes 24-26'!BQ97</f>
        <v>546.2208</v>
      </c>
      <c r="BS95" s="1064">
        <f>'Recurrentes 24-26'!BR97</f>
        <v>136.5552</v>
      </c>
      <c r="BT95" s="1064">
        <f>'Recurrentes 24-26'!BS97</f>
        <v>0</v>
      </c>
      <c r="BU95" s="1064">
        <f>'Recurrentes 24-26'!BT97</f>
        <v>136.5552</v>
      </c>
      <c r="BV95" s="1064">
        <f>'Recurrentes 24-26'!BU97</f>
        <v>136.5552</v>
      </c>
      <c r="BW95" s="451"/>
      <c r="BX95" s="1062">
        <f>'Recurrentes 24-26'!BV97</f>
        <v>3004.2144</v>
      </c>
      <c r="BY95" s="1064">
        <f>'Recurrentes 24-26'!BW97</f>
        <v>546.2208</v>
      </c>
      <c r="BZ95" s="1064">
        <f>'Recurrentes 24-26'!BX97</f>
        <v>409.6656</v>
      </c>
      <c r="CA95" s="1064">
        <f>'Recurrentes 24-26'!BY97</f>
        <v>546.2208</v>
      </c>
      <c r="CB95" s="1064">
        <f>'Recurrentes 24-26'!BZ97</f>
        <v>273.1104</v>
      </c>
      <c r="CC95" s="1064">
        <f>'Recurrentes 24-26'!CA97</f>
        <v>273.1104</v>
      </c>
      <c r="CD95" s="1064">
        <f>'Recurrentes 24-26'!CB97</f>
        <v>546.2208</v>
      </c>
      <c r="CE95" s="1064">
        <f>'Recurrentes 24-26'!CC97</f>
        <v>136.5552</v>
      </c>
      <c r="CF95" s="1064">
        <f>'Recurrentes 24-26'!CD97</f>
        <v>0</v>
      </c>
      <c r="CG95" s="1064">
        <f>'Recurrentes 24-26'!CE97</f>
        <v>136.5552</v>
      </c>
      <c r="CH95" s="1064">
        <f>'Recurrentes 24-26'!CF97</f>
        <v>136.5552</v>
      </c>
      <c r="CI95" s="451"/>
      <c r="CJ95" s="1062">
        <f>'Recurrentes 24-26'!CG97</f>
        <v>3004.2144</v>
      </c>
      <c r="CK95" s="1062">
        <f>'Recurrentes 24-26'!CH97</f>
        <v>9012.6432</v>
      </c>
      <c r="CL95" s="451" t="str">
        <f>'Recurrentes 24-26'!CI97</f>
        <v/>
      </c>
      <c r="CM95" s="1064" t="str">
        <f>'Recurrentes 24-26'!CJ97</f>
        <v/>
      </c>
      <c r="CN95" s="451">
        <f>'Recurrentes 24-26'!CK97</f>
        <v>1</v>
      </c>
      <c r="CO95" s="1062">
        <f>'Recurrentes 24-26'!CL97</f>
        <v>9.81</v>
      </c>
      <c r="CP95" s="451" t="str">
        <f>'Recurrentes 24-26'!CM97</f>
        <v/>
      </c>
    </row>
    <row r="96">
      <c r="A96" s="451" t="str">
        <f>'Recurrentes 24-26'!A98</f>
        <v>Repuestos Electromecánicos recurrentes</v>
      </c>
      <c r="B96" s="451">
        <f>'Recurrentes 24-26'!B98</f>
        <v>2</v>
      </c>
      <c r="C96" s="451" t="str">
        <f>'Recurrentes 24-26'!C98</f>
        <v>Vehículo</v>
      </c>
      <c r="D96" s="451" t="str">
        <f>'Recurrentes 24-26'!D98</f>
        <v>Manto. Pinza</v>
      </c>
      <c r="E96" s="451" t="str">
        <f>'Recurrentes 24-26'!E98</f>
        <v>Repuesto Mecánico</v>
      </c>
      <c r="F96" s="451" t="str">
        <f>'Recurrentes 24-26'!F98</f>
        <v>TDB</v>
      </c>
      <c r="G96" s="1025" t="str">
        <f>'Recurrentes 24-26'!G98</f>
        <v>39800</v>
      </c>
      <c r="H96" s="1061" t="str">
        <f>'Recurrentes 24-26'!H98</f>
        <v>2-01-00083</v>
      </c>
      <c r="I96" s="1061" t="str">
        <f>'Recurrentes 24-26'!I98</f>
        <v>10000460</v>
      </c>
      <c r="J96" s="1061" t="str">
        <f>'Recurrentes 24-26'!J98</f>
        <v>CHAVETA     DIN 94  5  X 50 AC GALVAN.             (ISO-1234)</v>
      </c>
      <c r="K96" s="451" t="str">
        <f>'Recurrentes 24-26'!K98</f>
        <v>Pza</v>
      </c>
      <c r="L96" s="451">
        <f>'Recurrentes 24-26'!L98</f>
        <v>0</v>
      </c>
      <c r="M96" s="451">
        <f>'Recurrentes 24-26'!M98</f>
        <v>0</v>
      </c>
      <c r="N96" s="451">
        <f>'Recurrentes 24-26'!N98</f>
        <v>0</v>
      </c>
      <c r="O96" s="451">
        <f>'Recurrentes 24-26'!O98</f>
        <v>0</v>
      </c>
      <c r="P96" s="451">
        <f>'Recurrentes 24-26'!P98</f>
        <v>0</v>
      </c>
      <c r="Q96" s="451">
        <f>'Recurrentes 24-26'!Q98</f>
        <v>0</v>
      </c>
      <c r="R96" s="451">
        <f>'Recurrentes 24-26'!R98</f>
        <v>0</v>
      </c>
      <c r="S96" s="451">
        <f>'Recurrentes 24-26'!S98</f>
        <v>0</v>
      </c>
      <c r="T96" s="451">
        <f>'Recurrentes 24-26'!T98</f>
        <v>0</v>
      </c>
      <c r="U96" s="451">
        <f>'Recurrentes 24-26'!U98</f>
        <v>0</v>
      </c>
      <c r="V96" s="451">
        <f>'Recurrentes 24-26'!V98</f>
        <v>0</v>
      </c>
      <c r="W96" s="1062">
        <f>'Recurrentes 24-26'!W98</f>
        <v>0</v>
      </c>
      <c r="X96" s="451">
        <f>'Recurrentes 24-26'!X98</f>
        <v>394</v>
      </c>
      <c r="Y96" s="451">
        <f>'Recurrentes 24-26'!Y98</f>
        <v>234</v>
      </c>
      <c r="Z96" s="451">
        <f>'Recurrentes 24-26'!Z98</f>
        <v>344</v>
      </c>
      <c r="AA96" s="451">
        <f>'Recurrentes 24-26'!AA98</f>
        <v>222</v>
      </c>
      <c r="AB96" s="451">
        <f>'Recurrentes 24-26'!AB98</f>
        <v>254</v>
      </c>
      <c r="AC96" s="451">
        <f>'Recurrentes 24-26'!AC98</f>
        <v>420</v>
      </c>
      <c r="AD96" s="451">
        <f>'Recurrentes 24-26'!AD98</f>
        <v>266</v>
      </c>
      <c r="AE96" s="451">
        <f>'Recurrentes 24-26'!AE98</f>
        <v>314</v>
      </c>
      <c r="AF96" s="451">
        <f>'Recurrentes 24-26'!AF98</f>
        <v>54</v>
      </c>
      <c r="AG96" s="451">
        <f>'Recurrentes 24-26'!AG98</f>
        <v>100</v>
      </c>
      <c r="AH96" s="451">
        <f>'Recurrentes 24-26'!AH98</f>
        <v>0</v>
      </c>
      <c r="AI96" s="1062">
        <f>'Recurrentes 24-26'!AI98</f>
        <v>2602</v>
      </c>
      <c r="AJ96" s="451">
        <f>'Recurrentes 24-26'!AJ98</f>
        <v>394</v>
      </c>
      <c r="AK96" s="451">
        <f>'Recurrentes 24-26'!AK98</f>
        <v>234</v>
      </c>
      <c r="AL96" s="451">
        <f>'Recurrentes 24-26'!AL98</f>
        <v>344</v>
      </c>
      <c r="AM96" s="451">
        <f>'Recurrentes 24-26'!AM98</f>
        <v>222</v>
      </c>
      <c r="AN96" s="451">
        <f>'Recurrentes 24-26'!AN98</f>
        <v>254</v>
      </c>
      <c r="AO96" s="451">
        <f>'Recurrentes 24-26'!AO98</f>
        <v>420</v>
      </c>
      <c r="AP96" s="451">
        <f>'Recurrentes 24-26'!AP98</f>
        <v>266</v>
      </c>
      <c r="AQ96" s="451">
        <f>'Recurrentes 24-26'!AQ98</f>
        <v>314</v>
      </c>
      <c r="AR96" s="451">
        <f>'Recurrentes 24-26'!AR98</f>
        <v>54</v>
      </c>
      <c r="AS96" s="451">
        <f>'Recurrentes 24-26'!AS98</f>
        <v>330</v>
      </c>
      <c r="AT96" s="451">
        <f>'Recurrentes 24-26'!AT98</f>
        <v>0</v>
      </c>
      <c r="AU96" s="1062">
        <f>'Recurrentes 24-26'!AU98</f>
        <v>2832</v>
      </c>
      <c r="AV96" s="1063">
        <f>'Recurrentes 24-26'!AV98</f>
        <v>5434</v>
      </c>
      <c r="AW96" s="451" t="str">
        <f>'Recurrentes 24-26'!AW98</f>
        <v/>
      </c>
      <c r="AX96" s="1062">
        <f>'Recurrentes 24-26'!AX98</f>
        <v>0.23</v>
      </c>
      <c r="AY96" s="1062">
        <f>'Recurrentes 24-26'!AY98</f>
        <v>1.6008</v>
      </c>
      <c r="AZ96" s="1064" t="str">
        <f>'Recurrentes 24-26'!AZ98</f>
        <v/>
      </c>
      <c r="BA96" s="1064">
        <f>'Recurrentes 24-26'!BA98</f>
        <v>0</v>
      </c>
      <c r="BB96" s="1064">
        <f>'Recurrentes 24-26'!BB98</f>
        <v>0</v>
      </c>
      <c r="BC96" s="1064">
        <f>'Recurrentes 24-26'!BC98</f>
        <v>0</v>
      </c>
      <c r="BD96" s="1064">
        <f>'Recurrentes 24-26'!BD98</f>
        <v>0</v>
      </c>
      <c r="BE96" s="1064">
        <f>'Recurrentes 24-26'!BE98</f>
        <v>0</v>
      </c>
      <c r="BF96" s="1064">
        <f>'Recurrentes 24-26'!BF98</f>
        <v>0</v>
      </c>
      <c r="BG96" s="1064">
        <f>'Recurrentes 24-26'!BG98</f>
        <v>0</v>
      </c>
      <c r="BH96" s="1064">
        <f>'Recurrentes 24-26'!BH98</f>
        <v>0</v>
      </c>
      <c r="BI96" s="1064">
        <f>'Recurrentes 24-26'!BI98</f>
        <v>0</v>
      </c>
      <c r="BJ96" s="1064">
        <f>'Recurrentes 24-26'!BJ98</f>
        <v>0</v>
      </c>
      <c r="BK96" s="451"/>
      <c r="BL96" s="1062">
        <f>'Recurrentes 24-26'!BK98</f>
        <v>0</v>
      </c>
      <c r="BM96" s="1064">
        <f>'Recurrentes 24-26'!BL98</f>
        <v>630.7152</v>
      </c>
      <c r="BN96" s="1064">
        <f>'Recurrentes 24-26'!BM98</f>
        <v>374.5872</v>
      </c>
      <c r="BO96" s="1064">
        <f>'Recurrentes 24-26'!BN98</f>
        <v>550.6752</v>
      </c>
      <c r="BP96" s="1064">
        <f>'Recurrentes 24-26'!BO98</f>
        <v>355.3776</v>
      </c>
      <c r="BQ96" s="1064">
        <f>'Recurrentes 24-26'!BP98</f>
        <v>406.6032</v>
      </c>
      <c r="BR96" s="1064">
        <f>'Recurrentes 24-26'!BQ98</f>
        <v>672.336</v>
      </c>
      <c r="BS96" s="1064">
        <f>'Recurrentes 24-26'!BR98</f>
        <v>425.8128</v>
      </c>
      <c r="BT96" s="1064">
        <f>'Recurrentes 24-26'!BS98</f>
        <v>502.6512</v>
      </c>
      <c r="BU96" s="1064">
        <f>'Recurrentes 24-26'!BT98</f>
        <v>86.4432</v>
      </c>
      <c r="BV96" s="1064">
        <f>'Recurrentes 24-26'!BU98</f>
        <v>160.08</v>
      </c>
      <c r="BW96" s="451"/>
      <c r="BX96" s="1062">
        <f>'Recurrentes 24-26'!BV98</f>
        <v>4165.2816</v>
      </c>
      <c r="BY96" s="1064">
        <f>'Recurrentes 24-26'!BW98</f>
        <v>630.7152</v>
      </c>
      <c r="BZ96" s="1064">
        <f>'Recurrentes 24-26'!BX98</f>
        <v>374.5872</v>
      </c>
      <c r="CA96" s="1064">
        <f>'Recurrentes 24-26'!BY98</f>
        <v>550.6752</v>
      </c>
      <c r="CB96" s="1064">
        <f>'Recurrentes 24-26'!BZ98</f>
        <v>355.3776</v>
      </c>
      <c r="CC96" s="1064">
        <f>'Recurrentes 24-26'!CA98</f>
        <v>406.6032</v>
      </c>
      <c r="CD96" s="1064">
        <f>'Recurrentes 24-26'!CB98</f>
        <v>672.336</v>
      </c>
      <c r="CE96" s="1064">
        <f>'Recurrentes 24-26'!CC98</f>
        <v>425.8128</v>
      </c>
      <c r="CF96" s="1064">
        <f>'Recurrentes 24-26'!CD98</f>
        <v>502.6512</v>
      </c>
      <c r="CG96" s="1064">
        <f>'Recurrentes 24-26'!CE98</f>
        <v>86.4432</v>
      </c>
      <c r="CH96" s="1064">
        <f>'Recurrentes 24-26'!CF98</f>
        <v>528.264</v>
      </c>
      <c r="CI96" s="451"/>
      <c r="CJ96" s="1062">
        <f>'Recurrentes 24-26'!CG98</f>
        <v>4533.4656</v>
      </c>
      <c r="CK96" s="1062">
        <f>'Recurrentes 24-26'!CH98</f>
        <v>8698.7472</v>
      </c>
      <c r="CL96" s="451" t="str">
        <f>'Recurrentes 24-26'!CI98</f>
        <v/>
      </c>
      <c r="CM96" s="1064" t="str">
        <f>'Recurrentes 24-26'!CJ98</f>
        <v/>
      </c>
      <c r="CN96" s="451">
        <f>'Recurrentes 24-26'!CK98</f>
        <v>1</v>
      </c>
      <c r="CO96" s="1062">
        <f>'Recurrentes 24-26'!CL98</f>
        <v>0.23</v>
      </c>
      <c r="CP96" s="451" t="str">
        <f>'Recurrentes 24-26'!CM98</f>
        <v/>
      </c>
    </row>
    <row r="97">
      <c r="A97" s="451" t="str">
        <f>'Recurrentes 24-26'!A99</f>
        <v>Repuestos Electromecánicos recurrentes</v>
      </c>
      <c r="B97" s="451">
        <f>'Recurrentes 24-26'!B99</f>
        <v>2</v>
      </c>
      <c r="C97" s="451" t="str">
        <f>'Recurrentes 24-26'!C99</f>
        <v>Vehículo</v>
      </c>
      <c r="D97" s="451" t="str">
        <f>'Recurrentes 24-26'!D99</f>
        <v>Manto. Pinza</v>
      </c>
      <c r="E97" s="451" t="str">
        <f>'Recurrentes 24-26'!E99</f>
        <v>Repuesto Mecánico</v>
      </c>
      <c r="F97" s="451" t="str">
        <f>'Recurrentes 24-26'!F99</f>
        <v>TDB</v>
      </c>
      <c r="G97" s="1025" t="str">
        <f>'Recurrentes 24-26'!G99</f>
        <v>39800</v>
      </c>
      <c r="H97" s="1061" t="str">
        <f>'Recurrentes 24-26'!H99</f>
        <v/>
      </c>
      <c r="I97" s="1061" t="str">
        <f>'Recurrentes 24-26'!I99</f>
        <v>10488431</v>
      </c>
      <c r="J97" s="1061" t="str">
        <f>'Recurrentes 24-26'!J99</f>
        <v>ANILLO DE CIERRE        A108-C DIA95,0/ 75,0  S=26,0  EL.GALV</v>
      </c>
      <c r="K97" s="451" t="str">
        <f>'Recurrentes 24-26'!K99</f>
        <v>Pza</v>
      </c>
      <c r="L97" s="451">
        <f>'Recurrentes 24-26'!L99</f>
        <v>1</v>
      </c>
      <c r="M97" s="451">
        <f>'Recurrentes 24-26'!M99</f>
        <v>1</v>
      </c>
      <c r="N97" s="451">
        <f>'Recurrentes 24-26'!N99</f>
        <v>1</v>
      </c>
      <c r="O97" s="451">
        <f>'Recurrentes 24-26'!O99</f>
        <v>1</v>
      </c>
      <c r="P97" s="451">
        <f>'Recurrentes 24-26'!P99</f>
        <v>1</v>
      </c>
      <c r="Q97" s="451">
        <f>'Recurrentes 24-26'!Q99</f>
        <v>1</v>
      </c>
      <c r="R97" s="451">
        <f>'Recurrentes 24-26'!R99</f>
        <v>1</v>
      </c>
      <c r="S97" s="451">
        <f>'Recurrentes 24-26'!S99</f>
        <v>1</v>
      </c>
      <c r="T97" s="451">
        <f>'Recurrentes 24-26'!T99</f>
        <v>1</v>
      </c>
      <c r="U97" s="451">
        <f>'Recurrentes 24-26'!U99</f>
        <v>1</v>
      </c>
      <c r="V97" s="451">
        <f>'Recurrentes 24-26'!V99</f>
        <v>0</v>
      </c>
      <c r="W97" s="1062">
        <f>'Recurrentes 24-26'!W99</f>
        <v>10</v>
      </c>
      <c r="X97" s="451">
        <f>'Recurrentes 24-26'!X99</f>
        <v>1</v>
      </c>
      <c r="Y97" s="451">
        <f>'Recurrentes 24-26'!Y99</f>
        <v>1</v>
      </c>
      <c r="Z97" s="451">
        <f>'Recurrentes 24-26'!Z99</f>
        <v>1</v>
      </c>
      <c r="AA97" s="451">
        <f>'Recurrentes 24-26'!AA99</f>
        <v>1</v>
      </c>
      <c r="AB97" s="451">
        <f>'Recurrentes 24-26'!AB99</f>
        <v>1</v>
      </c>
      <c r="AC97" s="451">
        <f>'Recurrentes 24-26'!AC99</f>
        <v>1</v>
      </c>
      <c r="AD97" s="451">
        <f>'Recurrentes 24-26'!AD99</f>
        <v>1</v>
      </c>
      <c r="AE97" s="451">
        <f>'Recurrentes 24-26'!AE99</f>
        <v>1</v>
      </c>
      <c r="AF97" s="451">
        <f>'Recurrentes 24-26'!AF99</f>
        <v>1</v>
      </c>
      <c r="AG97" s="451">
        <f>'Recurrentes 24-26'!AG99</f>
        <v>1</v>
      </c>
      <c r="AH97" s="451">
        <f>'Recurrentes 24-26'!AH99</f>
        <v>0</v>
      </c>
      <c r="AI97" s="1062">
        <f>'Recurrentes 24-26'!AI99</f>
        <v>10</v>
      </c>
      <c r="AJ97" s="451">
        <f>'Recurrentes 24-26'!AJ99</f>
        <v>1</v>
      </c>
      <c r="AK97" s="451">
        <f>'Recurrentes 24-26'!AK99</f>
        <v>1</v>
      </c>
      <c r="AL97" s="451">
        <f>'Recurrentes 24-26'!AL99</f>
        <v>1</v>
      </c>
      <c r="AM97" s="451">
        <f>'Recurrentes 24-26'!AM99</f>
        <v>1</v>
      </c>
      <c r="AN97" s="451">
        <f>'Recurrentes 24-26'!AN99</f>
        <v>1</v>
      </c>
      <c r="AO97" s="451">
        <f>'Recurrentes 24-26'!AO99</f>
        <v>1</v>
      </c>
      <c r="AP97" s="451">
        <f>'Recurrentes 24-26'!AP99</f>
        <v>1</v>
      </c>
      <c r="AQ97" s="451">
        <f>'Recurrentes 24-26'!AQ99</f>
        <v>1</v>
      </c>
      <c r="AR97" s="451">
        <f>'Recurrentes 24-26'!AR99</f>
        <v>1</v>
      </c>
      <c r="AS97" s="451">
        <f>'Recurrentes 24-26'!AS99</f>
        <v>1</v>
      </c>
      <c r="AT97" s="451">
        <f>'Recurrentes 24-26'!AT99</f>
        <v>0</v>
      </c>
      <c r="AU97" s="1062">
        <f>'Recurrentes 24-26'!AU99</f>
        <v>10</v>
      </c>
      <c r="AV97" s="1062">
        <f>'Recurrentes 24-26'!AV99</f>
        <v>30</v>
      </c>
      <c r="AW97" s="451" t="str">
        <f>'Recurrentes 24-26'!AW99</f>
        <v/>
      </c>
      <c r="AX97" s="1062">
        <f>'Recurrentes 24-26'!AX99</f>
        <v>40.65</v>
      </c>
      <c r="AY97" s="1062">
        <f>'Recurrentes 24-26'!AY99</f>
        <v>282.924</v>
      </c>
      <c r="AZ97" s="1064" t="str">
        <f>'Recurrentes 24-26'!AZ99</f>
        <v/>
      </c>
      <c r="BA97" s="1064">
        <f>'Recurrentes 24-26'!BA99</f>
        <v>282.924</v>
      </c>
      <c r="BB97" s="1064">
        <f>'Recurrentes 24-26'!BB99</f>
        <v>282.924</v>
      </c>
      <c r="BC97" s="1064">
        <f>'Recurrentes 24-26'!BC99</f>
        <v>282.924</v>
      </c>
      <c r="BD97" s="1064">
        <f>'Recurrentes 24-26'!BD99</f>
        <v>282.924</v>
      </c>
      <c r="BE97" s="1064">
        <f>'Recurrentes 24-26'!BE99</f>
        <v>282.924</v>
      </c>
      <c r="BF97" s="1064">
        <f>'Recurrentes 24-26'!BF99</f>
        <v>282.924</v>
      </c>
      <c r="BG97" s="1064">
        <f>'Recurrentes 24-26'!BG99</f>
        <v>282.924</v>
      </c>
      <c r="BH97" s="1064">
        <f>'Recurrentes 24-26'!BH99</f>
        <v>282.924</v>
      </c>
      <c r="BI97" s="1064">
        <f>'Recurrentes 24-26'!BI99</f>
        <v>282.924</v>
      </c>
      <c r="BJ97" s="1064">
        <f>'Recurrentes 24-26'!BJ99</f>
        <v>282.924</v>
      </c>
      <c r="BK97" s="451"/>
      <c r="BL97" s="1062">
        <f>'Recurrentes 24-26'!BK99</f>
        <v>2829.24</v>
      </c>
      <c r="BM97" s="1064">
        <f>'Recurrentes 24-26'!BL99</f>
        <v>282.924</v>
      </c>
      <c r="BN97" s="1064">
        <f>'Recurrentes 24-26'!BM99</f>
        <v>282.924</v>
      </c>
      <c r="BO97" s="1064">
        <f>'Recurrentes 24-26'!BN99</f>
        <v>282.924</v>
      </c>
      <c r="BP97" s="1064">
        <f>'Recurrentes 24-26'!BO99</f>
        <v>282.924</v>
      </c>
      <c r="BQ97" s="1064">
        <f>'Recurrentes 24-26'!BP99</f>
        <v>282.924</v>
      </c>
      <c r="BR97" s="1064">
        <f>'Recurrentes 24-26'!BQ99</f>
        <v>282.924</v>
      </c>
      <c r="BS97" s="1064">
        <f>'Recurrentes 24-26'!BR99</f>
        <v>282.924</v>
      </c>
      <c r="BT97" s="1064">
        <f>'Recurrentes 24-26'!BS99</f>
        <v>282.924</v>
      </c>
      <c r="BU97" s="1064">
        <f>'Recurrentes 24-26'!BT99</f>
        <v>282.924</v>
      </c>
      <c r="BV97" s="1064">
        <f>'Recurrentes 24-26'!BU99</f>
        <v>282.924</v>
      </c>
      <c r="BW97" s="451"/>
      <c r="BX97" s="1062">
        <f>'Recurrentes 24-26'!BV99</f>
        <v>2829.24</v>
      </c>
      <c r="BY97" s="1064">
        <f>'Recurrentes 24-26'!BW99</f>
        <v>282.924</v>
      </c>
      <c r="BZ97" s="1064">
        <f>'Recurrentes 24-26'!BX99</f>
        <v>282.924</v>
      </c>
      <c r="CA97" s="1064">
        <f>'Recurrentes 24-26'!BY99</f>
        <v>282.924</v>
      </c>
      <c r="CB97" s="1064">
        <f>'Recurrentes 24-26'!BZ99</f>
        <v>282.924</v>
      </c>
      <c r="CC97" s="1064">
        <f>'Recurrentes 24-26'!CA99</f>
        <v>282.924</v>
      </c>
      <c r="CD97" s="1064">
        <f>'Recurrentes 24-26'!CB99</f>
        <v>282.924</v>
      </c>
      <c r="CE97" s="1064">
        <f>'Recurrentes 24-26'!CC99</f>
        <v>282.924</v>
      </c>
      <c r="CF97" s="1064">
        <f>'Recurrentes 24-26'!CD99</f>
        <v>282.924</v>
      </c>
      <c r="CG97" s="1064">
        <f>'Recurrentes 24-26'!CE99</f>
        <v>282.924</v>
      </c>
      <c r="CH97" s="1064">
        <f>'Recurrentes 24-26'!CF99</f>
        <v>282.924</v>
      </c>
      <c r="CI97" s="451"/>
      <c r="CJ97" s="1062">
        <f>'Recurrentes 24-26'!CG99</f>
        <v>2829.24</v>
      </c>
      <c r="CK97" s="1062">
        <f>'Recurrentes 24-26'!CH99</f>
        <v>8487.72</v>
      </c>
      <c r="CL97" s="451" t="str">
        <f>'Recurrentes 24-26'!CI99</f>
        <v/>
      </c>
      <c r="CM97" s="1064" t="str">
        <f>'Recurrentes 24-26'!CJ99</f>
        <v/>
      </c>
      <c r="CN97" s="451">
        <f>'Recurrentes 24-26'!CK99</f>
        <v>1</v>
      </c>
      <c r="CO97" s="1062">
        <f>'Recurrentes 24-26'!CL99</f>
        <v>40.65</v>
      </c>
      <c r="CP97" s="451" t="str">
        <f>'Recurrentes 24-26'!CM99</f>
        <v/>
      </c>
    </row>
    <row r="98">
      <c r="A98" s="451" t="str">
        <f>'Recurrentes 24-26'!A100</f>
        <v>Repuestos Electromecánicos recurrentes</v>
      </c>
      <c r="B98" s="451">
        <f>'Recurrentes 24-26'!B100</f>
        <v>2</v>
      </c>
      <c r="C98" s="451" t="str">
        <f>'Recurrentes 24-26'!C100</f>
        <v>Vehículo</v>
      </c>
      <c r="D98" s="451" t="str">
        <f>'Recurrentes 24-26'!D100</f>
        <v>Manto. Pinza</v>
      </c>
      <c r="E98" s="451" t="str">
        <f>'Recurrentes 24-26'!E100</f>
        <v>Repuesto Mecánico</v>
      </c>
      <c r="F98" s="451" t="str">
        <f>'Recurrentes 24-26'!F100</f>
        <v>TDB</v>
      </c>
      <c r="G98" s="1025" t="str">
        <f>'Recurrentes 24-26'!G100</f>
        <v>39800</v>
      </c>
      <c r="H98" s="1061" t="str">
        <f>'Recurrentes 24-26'!H100</f>
        <v>2-01-00029</v>
      </c>
      <c r="I98" s="1061" t="str">
        <f>'Recurrentes 24-26'!I100</f>
        <v>10625658</v>
      </c>
      <c r="J98" s="1061" t="str">
        <f>'Recurrentes 24-26'!J100</f>
        <v>ANILL.SINUS.85,8X75,8X1,10/8,0 N° ART.: SR 050.43-36</v>
      </c>
      <c r="K98" s="451" t="str">
        <f>'Recurrentes 24-26'!K100</f>
        <v>Pza</v>
      </c>
      <c r="L98" s="451">
        <f>'Recurrentes 24-26'!L100</f>
        <v>0</v>
      </c>
      <c r="M98" s="451">
        <f>'Recurrentes 24-26'!M100</f>
        <v>0</v>
      </c>
      <c r="N98" s="451">
        <f>'Recurrentes 24-26'!N100</f>
        <v>0</v>
      </c>
      <c r="O98" s="451">
        <f>'Recurrentes 24-26'!O100</f>
        <v>0</v>
      </c>
      <c r="P98" s="451">
        <f>'Recurrentes 24-26'!P100</f>
        <v>0</v>
      </c>
      <c r="Q98" s="451">
        <f>'Recurrentes 24-26'!Q100</f>
        <v>0</v>
      </c>
      <c r="R98" s="451">
        <f>'Recurrentes 24-26'!R100</f>
        <v>0</v>
      </c>
      <c r="S98" s="451">
        <f>'Recurrentes 24-26'!S100</f>
        <v>0</v>
      </c>
      <c r="T98" s="451">
        <f>'Recurrentes 24-26'!T100</f>
        <v>0</v>
      </c>
      <c r="U98" s="451">
        <f>'Recurrentes 24-26'!U100</f>
        <v>0</v>
      </c>
      <c r="V98" s="451">
        <f>'Recurrentes 24-26'!V100</f>
        <v>0</v>
      </c>
      <c r="W98" s="1062">
        <f>'Recurrentes 24-26'!W100</f>
        <v>0</v>
      </c>
      <c r="X98" s="451">
        <f>'Recurrentes 24-26'!X100</f>
        <v>6</v>
      </c>
      <c r="Y98" s="451">
        <f>'Recurrentes 24-26'!Y100</f>
        <v>3</v>
      </c>
      <c r="Z98" s="451">
        <f>'Recurrentes 24-26'!Z100</f>
        <v>10</v>
      </c>
      <c r="AA98" s="451">
        <f>'Recurrentes 24-26'!AA100</f>
        <v>2</v>
      </c>
      <c r="AB98" s="451">
        <f>'Recurrentes 24-26'!AB100</f>
        <v>2</v>
      </c>
      <c r="AC98" s="451">
        <f>'Recurrentes 24-26'!AC100</f>
        <v>10</v>
      </c>
      <c r="AD98" s="451">
        <f>'Recurrentes 24-26'!AD100</f>
        <v>3</v>
      </c>
      <c r="AE98" s="451">
        <f>'Recurrentes 24-26'!AE100</f>
        <v>3</v>
      </c>
      <c r="AF98" s="451">
        <f>'Recurrentes 24-26'!AF100</f>
        <v>1</v>
      </c>
      <c r="AG98" s="451">
        <f>'Recurrentes 24-26'!AG100</f>
        <v>0</v>
      </c>
      <c r="AH98" s="451">
        <f>'Recurrentes 24-26'!AH100</f>
        <v>0</v>
      </c>
      <c r="AI98" s="1062">
        <f>'Recurrentes 24-26'!AI100</f>
        <v>40</v>
      </c>
      <c r="AJ98" s="451">
        <f>'Recurrentes 24-26'!AJ100</f>
        <v>6</v>
      </c>
      <c r="AK98" s="451">
        <f>'Recurrentes 24-26'!AK100</f>
        <v>3</v>
      </c>
      <c r="AL98" s="451">
        <f>'Recurrentes 24-26'!AL100</f>
        <v>10</v>
      </c>
      <c r="AM98" s="451">
        <f>'Recurrentes 24-26'!AM100</f>
        <v>2</v>
      </c>
      <c r="AN98" s="451">
        <f>'Recurrentes 24-26'!AN100</f>
        <v>2</v>
      </c>
      <c r="AO98" s="451">
        <f>'Recurrentes 24-26'!AO100</f>
        <v>10</v>
      </c>
      <c r="AP98" s="451">
        <f>'Recurrentes 24-26'!AP100</f>
        <v>3</v>
      </c>
      <c r="AQ98" s="451">
        <f>'Recurrentes 24-26'!AQ100</f>
        <v>3</v>
      </c>
      <c r="AR98" s="451">
        <f>'Recurrentes 24-26'!AR100</f>
        <v>1</v>
      </c>
      <c r="AS98" s="451">
        <f>'Recurrentes 24-26'!AS100</f>
        <v>0</v>
      </c>
      <c r="AT98" s="451">
        <f>'Recurrentes 24-26'!AT100</f>
        <v>0</v>
      </c>
      <c r="AU98" s="1062">
        <f>'Recurrentes 24-26'!AU100</f>
        <v>40</v>
      </c>
      <c r="AV98" s="1062">
        <f>'Recurrentes 24-26'!AV100</f>
        <v>80</v>
      </c>
      <c r="AW98" s="451" t="str">
        <f>'Recurrentes 24-26'!AW100</f>
        <v/>
      </c>
      <c r="AX98" s="1062">
        <f>'Recurrentes 24-26'!AX100</f>
        <v>14.96</v>
      </c>
      <c r="AY98" s="1062">
        <f>'Recurrentes 24-26'!AY100</f>
        <v>104.1216</v>
      </c>
      <c r="AZ98" s="1064" t="str">
        <f>'Recurrentes 24-26'!AZ100</f>
        <v/>
      </c>
      <c r="BA98" s="1064">
        <f>'Recurrentes 24-26'!BA100</f>
        <v>0</v>
      </c>
      <c r="BB98" s="1064">
        <f>'Recurrentes 24-26'!BB100</f>
        <v>0</v>
      </c>
      <c r="BC98" s="1064">
        <f>'Recurrentes 24-26'!BC100</f>
        <v>0</v>
      </c>
      <c r="BD98" s="1064">
        <f>'Recurrentes 24-26'!BD100</f>
        <v>0</v>
      </c>
      <c r="BE98" s="1064">
        <f>'Recurrentes 24-26'!BE100</f>
        <v>0</v>
      </c>
      <c r="BF98" s="1064">
        <f>'Recurrentes 24-26'!BF100</f>
        <v>0</v>
      </c>
      <c r="BG98" s="1064">
        <f>'Recurrentes 24-26'!BG100</f>
        <v>0</v>
      </c>
      <c r="BH98" s="1064">
        <f>'Recurrentes 24-26'!BH100</f>
        <v>0</v>
      </c>
      <c r="BI98" s="1064">
        <f>'Recurrentes 24-26'!BI100</f>
        <v>0</v>
      </c>
      <c r="BJ98" s="1064">
        <f>'Recurrentes 24-26'!BJ100</f>
        <v>0</v>
      </c>
      <c r="BK98" s="451"/>
      <c r="BL98" s="1062">
        <f>'Recurrentes 24-26'!BK100</f>
        <v>0</v>
      </c>
      <c r="BM98" s="1064">
        <f>'Recurrentes 24-26'!BL100</f>
        <v>624.7296</v>
      </c>
      <c r="BN98" s="1064">
        <f>'Recurrentes 24-26'!BM100</f>
        <v>312.3648</v>
      </c>
      <c r="BO98" s="1064">
        <f>'Recurrentes 24-26'!BN100</f>
        <v>1041.216</v>
      </c>
      <c r="BP98" s="1064">
        <f>'Recurrentes 24-26'!BO100</f>
        <v>208.2432</v>
      </c>
      <c r="BQ98" s="1064">
        <f>'Recurrentes 24-26'!BP100</f>
        <v>208.2432</v>
      </c>
      <c r="BR98" s="1064">
        <f>'Recurrentes 24-26'!BQ100</f>
        <v>1041.216</v>
      </c>
      <c r="BS98" s="1064">
        <f>'Recurrentes 24-26'!BR100</f>
        <v>312.3648</v>
      </c>
      <c r="BT98" s="1064">
        <f>'Recurrentes 24-26'!BS100</f>
        <v>312.3648</v>
      </c>
      <c r="BU98" s="1064">
        <f>'Recurrentes 24-26'!BT100</f>
        <v>104.1216</v>
      </c>
      <c r="BV98" s="1064">
        <f>'Recurrentes 24-26'!BU100</f>
        <v>0</v>
      </c>
      <c r="BW98" s="451"/>
      <c r="BX98" s="1062">
        <f>'Recurrentes 24-26'!BV100</f>
        <v>4164.864</v>
      </c>
      <c r="BY98" s="1064">
        <f>'Recurrentes 24-26'!BW100</f>
        <v>624.7296</v>
      </c>
      <c r="BZ98" s="1064">
        <f>'Recurrentes 24-26'!BX100</f>
        <v>312.3648</v>
      </c>
      <c r="CA98" s="1064">
        <f>'Recurrentes 24-26'!BY100</f>
        <v>1041.216</v>
      </c>
      <c r="CB98" s="1064">
        <f>'Recurrentes 24-26'!BZ100</f>
        <v>208.2432</v>
      </c>
      <c r="CC98" s="1064">
        <f>'Recurrentes 24-26'!CA100</f>
        <v>208.2432</v>
      </c>
      <c r="CD98" s="1064">
        <f>'Recurrentes 24-26'!CB100</f>
        <v>1041.216</v>
      </c>
      <c r="CE98" s="1064">
        <f>'Recurrentes 24-26'!CC100</f>
        <v>312.3648</v>
      </c>
      <c r="CF98" s="1064">
        <f>'Recurrentes 24-26'!CD100</f>
        <v>312.3648</v>
      </c>
      <c r="CG98" s="1064">
        <f>'Recurrentes 24-26'!CE100</f>
        <v>104.1216</v>
      </c>
      <c r="CH98" s="1064">
        <f>'Recurrentes 24-26'!CF100</f>
        <v>0</v>
      </c>
      <c r="CI98" s="451"/>
      <c r="CJ98" s="1062">
        <f>'Recurrentes 24-26'!CG100</f>
        <v>4164.864</v>
      </c>
      <c r="CK98" s="1062">
        <f>'Recurrentes 24-26'!CH100</f>
        <v>8329.728</v>
      </c>
      <c r="CL98" s="451" t="str">
        <f>'Recurrentes 24-26'!CI100</f>
        <v/>
      </c>
      <c r="CM98" s="1064" t="str">
        <f>'Recurrentes 24-26'!CJ100</f>
        <v/>
      </c>
      <c r="CN98" s="451">
        <f>'Recurrentes 24-26'!CK100</f>
        <v>1</v>
      </c>
      <c r="CO98" s="1062">
        <f>'Recurrentes 24-26'!CL100</f>
        <v>14.96</v>
      </c>
      <c r="CP98" s="451" t="str">
        <f>'Recurrentes 24-26'!CM100</f>
        <v/>
      </c>
    </row>
    <row r="99">
      <c r="A99" s="451" t="str">
        <f>'Recurrentes 24-26'!A101</f>
        <v>Repuestos Electromecánicos recurrentes</v>
      </c>
      <c r="B99" s="451">
        <f>'Recurrentes 24-26'!B101</f>
        <v>2</v>
      </c>
      <c r="C99" s="451" t="str">
        <f>'Recurrentes 24-26'!C101</f>
        <v>Estaciones</v>
      </c>
      <c r="D99" s="451" t="str">
        <f>'Recurrentes 24-26'!D101</f>
        <v>Poleas de Impulso-Dinamo tacométrica</v>
      </c>
      <c r="E99" s="451" t="str">
        <f>'Recurrentes 24-26'!E101</f>
        <v>Repuesto Mecánico</v>
      </c>
      <c r="F99" s="451" t="str">
        <f>'Recurrentes 24-26'!F101</f>
        <v>TDB</v>
      </c>
      <c r="G99" s="1025" t="str">
        <f>'Recurrentes 24-26'!G101</f>
        <v>39800</v>
      </c>
      <c r="H99" s="1061" t="str">
        <f>'Recurrentes 24-26'!H101</f>
        <v>2-01-00567</v>
      </c>
      <c r="I99" s="1061" t="str">
        <f>'Recurrentes 24-26'!I101</f>
        <v>10317357</v>
      </c>
      <c r="J99" s="1061" t="str">
        <f>'Recurrentes 24-26'!J101</f>
        <v>ARO DE GOMA  290X44 SIN RANURA PARA POLEA</v>
      </c>
      <c r="K99" s="451" t="str">
        <f>'Recurrentes 24-26'!K101</f>
        <v>Pza</v>
      </c>
      <c r="L99" s="451">
        <f>'Recurrentes 24-26'!L101</f>
        <v>0</v>
      </c>
      <c r="M99" s="451">
        <f>'Recurrentes 24-26'!M101</f>
        <v>0</v>
      </c>
      <c r="N99" s="451">
        <f>'Recurrentes 24-26'!N101</f>
        <v>0</v>
      </c>
      <c r="O99" s="451">
        <f>'Recurrentes 24-26'!O101</f>
        <v>0</v>
      </c>
      <c r="P99" s="451">
        <f>'Recurrentes 24-26'!P101</f>
        <v>0</v>
      </c>
      <c r="Q99" s="451">
        <f>'Recurrentes 24-26'!Q101</f>
        <v>0</v>
      </c>
      <c r="R99" s="451">
        <f>'Recurrentes 24-26'!R101</f>
        <v>0</v>
      </c>
      <c r="S99" s="451">
        <f>'Recurrentes 24-26'!S101</f>
        <v>0</v>
      </c>
      <c r="T99" s="451">
        <f>'Recurrentes 24-26'!T101</f>
        <v>0</v>
      </c>
      <c r="U99" s="451">
        <f>'Recurrentes 24-26'!U101</f>
        <v>0</v>
      </c>
      <c r="V99" s="451">
        <f>'Recurrentes 24-26'!V101</f>
        <v>0</v>
      </c>
      <c r="W99" s="1062">
        <f>'Recurrentes 24-26'!W101</f>
        <v>0</v>
      </c>
      <c r="X99" s="451">
        <f>'Recurrentes 24-26'!X101</f>
        <v>2</v>
      </c>
      <c r="Y99" s="451">
        <f>'Recurrentes 24-26'!Y101</f>
        <v>0</v>
      </c>
      <c r="Z99" s="451">
        <f>'Recurrentes 24-26'!Z101</f>
        <v>2</v>
      </c>
      <c r="AA99" s="451">
        <f>'Recurrentes 24-26'!AA101</f>
        <v>0</v>
      </c>
      <c r="AB99" s="451">
        <f>'Recurrentes 24-26'!AB101</f>
        <v>0</v>
      </c>
      <c r="AC99" s="451">
        <f>'Recurrentes 24-26'!AC101</f>
        <v>0</v>
      </c>
      <c r="AD99" s="451">
        <f>'Recurrentes 24-26'!AD101</f>
        <v>0</v>
      </c>
      <c r="AE99" s="451">
        <f>'Recurrentes 24-26'!AE101</f>
        <v>0</v>
      </c>
      <c r="AF99" s="451">
        <f>'Recurrentes 24-26'!AF101</f>
        <v>0</v>
      </c>
      <c r="AG99" s="451">
        <f>'Recurrentes 24-26'!AG101</f>
        <v>0</v>
      </c>
      <c r="AH99" s="451">
        <f>'Recurrentes 24-26'!AH101</f>
        <v>0</v>
      </c>
      <c r="AI99" s="1062">
        <f>'Recurrentes 24-26'!AI101</f>
        <v>4</v>
      </c>
      <c r="AJ99" s="451">
        <f>'Recurrentes 24-26'!AJ101</f>
        <v>2</v>
      </c>
      <c r="AK99" s="451">
        <f>'Recurrentes 24-26'!AK101</f>
        <v>0</v>
      </c>
      <c r="AL99" s="451">
        <f>'Recurrentes 24-26'!AL101</f>
        <v>2</v>
      </c>
      <c r="AM99" s="451">
        <f>'Recurrentes 24-26'!AM101</f>
        <v>0</v>
      </c>
      <c r="AN99" s="451">
        <f>'Recurrentes 24-26'!AN101</f>
        <v>0</v>
      </c>
      <c r="AO99" s="451">
        <f>'Recurrentes 24-26'!AO101</f>
        <v>0</v>
      </c>
      <c r="AP99" s="451">
        <f>'Recurrentes 24-26'!AP101</f>
        <v>0</v>
      </c>
      <c r="AQ99" s="451">
        <f>'Recurrentes 24-26'!AQ101</f>
        <v>0</v>
      </c>
      <c r="AR99" s="451">
        <f>'Recurrentes 24-26'!AR101</f>
        <v>0</v>
      </c>
      <c r="AS99" s="451">
        <f>'Recurrentes 24-26'!AS101</f>
        <v>0</v>
      </c>
      <c r="AT99" s="451">
        <f>'Recurrentes 24-26'!AT101</f>
        <v>0</v>
      </c>
      <c r="AU99" s="1062">
        <f>'Recurrentes 24-26'!AU101</f>
        <v>4</v>
      </c>
      <c r="AV99" s="1063">
        <f>'Recurrentes 24-26'!AV101</f>
        <v>8</v>
      </c>
      <c r="AW99" s="451" t="str">
        <f>'Recurrentes 24-26'!AW101</f>
        <v/>
      </c>
      <c r="AX99" s="1062">
        <f>'Recurrentes 24-26'!AX101</f>
        <v>145.09</v>
      </c>
      <c r="AY99" s="1062">
        <f>'Recurrentes 24-26'!AY101</f>
        <v>1009.8264</v>
      </c>
      <c r="AZ99" s="1064" t="str">
        <f>'Recurrentes 24-26'!AZ101</f>
        <v/>
      </c>
      <c r="BA99" s="1064">
        <f>'Recurrentes 24-26'!BA101</f>
        <v>0</v>
      </c>
      <c r="BB99" s="1064">
        <f>'Recurrentes 24-26'!BB101</f>
        <v>0</v>
      </c>
      <c r="BC99" s="1064">
        <f>'Recurrentes 24-26'!BC101</f>
        <v>0</v>
      </c>
      <c r="BD99" s="1064">
        <f>'Recurrentes 24-26'!BD101</f>
        <v>0</v>
      </c>
      <c r="BE99" s="1064">
        <f>'Recurrentes 24-26'!BE101</f>
        <v>0</v>
      </c>
      <c r="BF99" s="1064">
        <f>'Recurrentes 24-26'!BF101</f>
        <v>0</v>
      </c>
      <c r="BG99" s="1064">
        <f>'Recurrentes 24-26'!BG101</f>
        <v>0</v>
      </c>
      <c r="BH99" s="1064">
        <f>'Recurrentes 24-26'!BH101</f>
        <v>0</v>
      </c>
      <c r="BI99" s="1064">
        <f>'Recurrentes 24-26'!BI101</f>
        <v>0</v>
      </c>
      <c r="BJ99" s="1064">
        <f>'Recurrentes 24-26'!BJ101</f>
        <v>0</v>
      </c>
      <c r="BK99" s="451"/>
      <c r="BL99" s="1062">
        <f>'Recurrentes 24-26'!BK101</f>
        <v>0</v>
      </c>
      <c r="BM99" s="1064">
        <f>'Recurrentes 24-26'!BL101</f>
        <v>2019.6528</v>
      </c>
      <c r="BN99" s="1064">
        <f>'Recurrentes 24-26'!BM101</f>
        <v>0</v>
      </c>
      <c r="BO99" s="1064">
        <f>'Recurrentes 24-26'!BN101</f>
        <v>2019.6528</v>
      </c>
      <c r="BP99" s="1064">
        <f>'Recurrentes 24-26'!BO101</f>
        <v>0</v>
      </c>
      <c r="BQ99" s="1064">
        <f>'Recurrentes 24-26'!BP101</f>
        <v>0</v>
      </c>
      <c r="BR99" s="1064">
        <f>'Recurrentes 24-26'!BQ101</f>
        <v>0</v>
      </c>
      <c r="BS99" s="1064">
        <f>'Recurrentes 24-26'!BR101</f>
        <v>0</v>
      </c>
      <c r="BT99" s="1064">
        <f>'Recurrentes 24-26'!BS101</f>
        <v>0</v>
      </c>
      <c r="BU99" s="1064">
        <f>'Recurrentes 24-26'!BT101</f>
        <v>0</v>
      </c>
      <c r="BV99" s="1064">
        <f>'Recurrentes 24-26'!BU101</f>
        <v>0</v>
      </c>
      <c r="BW99" s="451"/>
      <c r="BX99" s="1062">
        <f>'Recurrentes 24-26'!BV101</f>
        <v>4039.3056</v>
      </c>
      <c r="BY99" s="1064">
        <f>'Recurrentes 24-26'!BW101</f>
        <v>2019.6528</v>
      </c>
      <c r="BZ99" s="1064">
        <f>'Recurrentes 24-26'!BX101</f>
        <v>0</v>
      </c>
      <c r="CA99" s="1064">
        <f>'Recurrentes 24-26'!BY101</f>
        <v>2019.6528</v>
      </c>
      <c r="CB99" s="1064">
        <f>'Recurrentes 24-26'!BZ101</f>
        <v>0</v>
      </c>
      <c r="CC99" s="1064">
        <f>'Recurrentes 24-26'!CA101</f>
        <v>0</v>
      </c>
      <c r="CD99" s="1064">
        <f>'Recurrentes 24-26'!CB101</f>
        <v>0</v>
      </c>
      <c r="CE99" s="1064">
        <f>'Recurrentes 24-26'!CC101</f>
        <v>0</v>
      </c>
      <c r="CF99" s="1064">
        <f>'Recurrentes 24-26'!CD101</f>
        <v>0</v>
      </c>
      <c r="CG99" s="1064">
        <f>'Recurrentes 24-26'!CE101</f>
        <v>0</v>
      </c>
      <c r="CH99" s="1064">
        <f>'Recurrentes 24-26'!CF101</f>
        <v>0</v>
      </c>
      <c r="CI99" s="451"/>
      <c r="CJ99" s="1062">
        <f>'Recurrentes 24-26'!CG101</f>
        <v>4039.3056</v>
      </c>
      <c r="CK99" s="1062">
        <f>'Recurrentes 24-26'!CH101</f>
        <v>8078.6112</v>
      </c>
      <c r="CL99" s="451" t="str">
        <f>'Recurrentes 24-26'!CI101</f>
        <v/>
      </c>
      <c r="CM99" s="1064" t="str">
        <f>'Recurrentes 24-26'!CJ101</f>
        <v/>
      </c>
      <c r="CN99" s="451">
        <f>'Recurrentes 24-26'!CK101</f>
        <v>1</v>
      </c>
      <c r="CO99" s="1062">
        <f>'Recurrentes 24-26'!CL101</f>
        <v>145.09</v>
      </c>
      <c r="CP99" s="451" t="str">
        <f>'Recurrentes 24-26'!CM101</f>
        <v/>
      </c>
    </row>
    <row r="100">
      <c r="A100" s="451" t="str">
        <f>'Recurrentes 24-26'!A102</f>
        <v>Repuestos Electromecánicos recurrentes</v>
      </c>
      <c r="B100" s="451">
        <f>'Recurrentes 24-26'!B102</f>
        <v>2</v>
      </c>
      <c r="C100" s="451" t="str">
        <f>'Recurrentes 24-26'!C102</f>
        <v>Torres</v>
      </c>
      <c r="D100" s="451" t="str">
        <f>'Recurrentes 24-26'!D102</f>
        <v>Reacondionamiento y cambio de Poleas de torre</v>
      </c>
      <c r="E100" s="451" t="str">
        <f>'Recurrentes 24-26'!E102</f>
        <v>Repuesto Mecánico</v>
      </c>
      <c r="F100" s="451" t="str">
        <f>'Recurrentes 24-26'!F102</f>
        <v>TDB</v>
      </c>
      <c r="G100" s="1025" t="str">
        <f>'Recurrentes 24-26'!G102</f>
        <v>39800</v>
      </c>
      <c r="H100" s="1061" t="str">
        <f>'Recurrentes 24-26'!H102</f>
        <v>2-01-00325</v>
      </c>
      <c r="I100" s="1061" t="str">
        <f>'Recurrentes 24-26'!I102</f>
        <v>10465474</v>
      </c>
      <c r="J100" s="1061" t="str">
        <f>'Recurrentes 24-26'!J102</f>
        <v>CUERPO DE POLEA  420C 330X120  </v>
      </c>
      <c r="K100" s="451" t="str">
        <f>'Recurrentes 24-26'!K102</f>
        <v>Pza</v>
      </c>
      <c r="L100" s="451">
        <f>'Recurrentes 24-26'!L102</f>
        <v>0</v>
      </c>
      <c r="M100" s="451">
        <f>'Recurrentes 24-26'!M102</f>
        <v>0</v>
      </c>
      <c r="N100" s="451">
        <f>'Recurrentes 24-26'!N102</f>
        <v>0</v>
      </c>
      <c r="O100" s="451">
        <f>'Recurrentes 24-26'!O102</f>
        <v>0</v>
      </c>
      <c r="P100" s="451">
        <f>'Recurrentes 24-26'!P102</f>
        <v>0</v>
      </c>
      <c r="Q100" s="451">
        <f>'Recurrentes 24-26'!Q102</f>
        <v>0</v>
      </c>
      <c r="R100" s="451">
        <f>'Recurrentes 24-26'!R102</f>
        <v>0</v>
      </c>
      <c r="S100" s="451">
        <f>'Recurrentes 24-26'!S102</f>
        <v>0</v>
      </c>
      <c r="T100" s="451">
        <f>'Recurrentes 24-26'!T102</f>
        <v>0</v>
      </c>
      <c r="U100" s="451">
        <f>'Recurrentes 24-26'!U102</f>
        <v>0</v>
      </c>
      <c r="V100" s="451">
        <f>'Recurrentes 24-26'!V102</f>
        <v>0</v>
      </c>
      <c r="W100" s="1062">
        <f>'Recurrentes 24-26'!W102</f>
        <v>0</v>
      </c>
      <c r="X100" s="451">
        <f>'Recurrentes 24-26'!X102</f>
        <v>0</v>
      </c>
      <c r="Y100" s="451">
        <f>'Recurrentes 24-26'!Y102</f>
        <v>0</v>
      </c>
      <c r="Z100" s="451">
        <f>'Recurrentes 24-26'!Z102</f>
        <v>0</v>
      </c>
      <c r="AA100" s="451">
        <f>'Recurrentes 24-26'!AA102</f>
        <v>0</v>
      </c>
      <c r="AB100" s="451">
        <f>'Recurrentes 24-26'!AB102</f>
        <v>0</v>
      </c>
      <c r="AC100" s="451">
        <f>'Recurrentes 24-26'!AC102</f>
        <v>0</v>
      </c>
      <c r="AD100" s="451">
        <f>'Recurrentes 24-26'!AD102</f>
        <v>0</v>
      </c>
      <c r="AE100" s="451">
        <f>'Recurrentes 24-26'!AE102</f>
        <v>0</v>
      </c>
      <c r="AF100" s="451">
        <f>'Recurrentes 24-26'!AF102</f>
        <v>0</v>
      </c>
      <c r="AG100" s="451">
        <f>'Recurrentes 24-26'!AG102</f>
        <v>1</v>
      </c>
      <c r="AH100" s="451">
        <f>'Recurrentes 24-26'!AH102</f>
        <v>0</v>
      </c>
      <c r="AI100" s="1062">
        <f>'Recurrentes 24-26'!AI102</f>
        <v>1</v>
      </c>
      <c r="AJ100" s="451">
        <f>'Recurrentes 24-26'!AJ102</f>
        <v>0</v>
      </c>
      <c r="AK100" s="451">
        <f>'Recurrentes 24-26'!AK102</f>
        <v>0</v>
      </c>
      <c r="AL100" s="451">
        <f>'Recurrentes 24-26'!AL102</f>
        <v>0</v>
      </c>
      <c r="AM100" s="451">
        <f>'Recurrentes 24-26'!AM102</f>
        <v>0</v>
      </c>
      <c r="AN100" s="451">
        <f>'Recurrentes 24-26'!AN102</f>
        <v>0</v>
      </c>
      <c r="AO100" s="451">
        <f>'Recurrentes 24-26'!AO102</f>
        <v>0</v>
      </c>
      <c r="AP100" s="451">
        <f>'Recurrentes 24-26'!AP102</f>
        <v>0</v>
      </c>
      <c r="AQ100" s="451">
        <f>'Recurrentes 24-26'!AQ102</f>
        <v>0</v>
      </c>
      <c r="AR100" s="451">
        <f>'Recurrentes 24-26'!AR102</f>
        <v>0</v>
      </c>
      <c r="AS100" s="451">
        <f>'Recurrentes 24-26'!AS102</f>
        <v>1</v>
      </c>
      <c r="AT100" s="451">
        <f>'Recurrentes 24-26'!AT102</f>
        <v>0</v>
      </c>
      <c r="AU100" s="1062">
        <f>'Recurrentes 24-26'!AU102</f>
        <v>1</v>
      </c>
      <c r="AV100" s="1063">
        <f>'Recurrentes 24-26'!AV102</f>
        <v>2</v>
      </c>
      <c r="AW100" s="451" t="str">
        <f>'Recurrentes 24-26'!AW102</f>
        <v/>
      </c>
      <c r="AX100" s="1062">
        <f>'Recurrentes 24-26'!AX102</f>
        <v>571.27</v>
      </c>
      <c r="AY100" s="1062">
        <f>'Recurrentes 24-26'!AY102</f>
        <v>3976.0392</v>
      </c>
      <c r="AZ100" s="1064" t="str">
        <f>'Recurrentes 24-26'!AZ102</f>
        <v/>
      </c>
      <c r="BA100" s="1064">
        <f>'Recurrentes 24-26'!BA102</f>
        <v>0</v>
      </c>
      <c r="BB100" s="1064">
        <f>'Recurrentes 24-26'!BB102</f>
        <v>0</v>
      </c>
      <c r="BC100" s="1064">
        <f>'Recurrentes 24-26'!BC102</f>
        <v>0</v>
      </c>
      <c r="BD100" s="1064">
        <f>'Recurrentes 24-26'!BD102</f>
        <v>0</v>
      </c>
      <c r="BE100" s="1064">
        <f>'Recurrentes 24-26'!BE102</f>
        <v>0</v>
      </c>
      <c r="BF100" s="1064">
        <f>'Recurrentes 24-26'!BF102</f>
        <v>0</v>
      </c>
      <c r="BG100" s="1064">
        <f>'Recurrentes 24-26'!BG102</f>
        <v>0</v>
      </c>
      <c r="BH100" s="1064">
        <f>'Recurrentes 24-26'!BH102</f>
        <v>0</v>
      </c>
      <c r="BI100" s="1064">
        <f>'Recurrentes 24-26'!BI102</f>
        <v>0</v>
      </c>
      <c r="BJ100" s="1064">
        <f>'Recurrentes 24-26'!BJ102</f>
        <v>0</v>
      </c>
      <c r="BK100" s="451"/>
      <c r="BL100" s="1062">
        <f>'Recurrentes 24-26'!BK102</f>
        <v>0</v>
      </c>
      <c r="BM100" s="1064">
        <f>'Recurrentes 24-26'!BL102</f>
        <v>0</v>
      </c>
      <c r="BN100" s="1064">
        <f>'Recurrentes 24-26'!BM102</f>
        <v>0</v>
      </c>
      <c r="BO100" s="1064">
        <f>'Recurrentes 24-26'!BN102</f>
        <v>0</v>
      </c>
      <c r="BP100" s="1064">
        <f>'Recurrentes 24-26'!BO102</f>
        <v>0</v>
      </c>
      <c r="BQ100" s="1064">
        <f>'Recurrentes 24-26'!BP102</f>
        <v>0</v>
      </c>
      <c r="BR100" s="1064">
        <f>'Recurrentes 24-26'!BQ102</f>
        <v>0</v>
      </c>
      <c r="BS100" s="1064">
        <f>'Recurrentes 24-26'!BR102</f>
        <v>0</v>
      </c>
      <c r="BT100" s="1064">
        <f>'Recurrentes 24-26'!BS102</f>
        <v>0</v>
      </c>
      <c r="BU100" s="1064">
        <f>'Recurrentes 24-26'!BT102</f>
        <v>0</v>
      </c>
      <c r="BV100" s="1064">
        <f>'Recurrentes 24-26'!BU102</f>
        <v>3976.0392</v>
      </c>
      <c r="BW100" s="451"/>
      <c r="BX100" s="1062">
        <f>'Recurrentes 24-26'!BV102</f>
        <v>3976.0392</v>
      </c>
      <c r="BY100" s="1064">
        <f>'Recurrentes 24-26'!BW102</f>
        <v>0</v>
      </c>
      <c r="BZ100" s="1064">
        <f>'Recurrentes 24-26'!BX102</f>
        <v>0</v>
      </c>
      <c r="CA100" s="1064">
        <f>'Recurrentes 24-26'!BY102</f>
        <v>0</v>
      </c>
      <c r="CB100" s="1064">
        <f>'Recurrentes 24-26'!BZ102</f>
        <v>0</v>
      </c>
      <c r="CC100" s="1064">
        <f>'Recurrentes 24-26'!CA102</f>
        <v>0</v>
      </c>
      <c r="CD100" s="1064">
        <f>'Recurrentes 24-26'!CB102</f>
        <v>0</v>
      </c>
      <c r="CE100" s="1064">
        <f>'Recurrentes 24-26'!CC102</f>
        <v>0</v>
      </c>
      <c r="CF100" s="1064">
        <f>'Recurrentes 24-26'!CD102</f>
        <v>0</v>
      </c>
      <c r="CG100" s="1064">
        <f>'Recurrentes 24-26'!CE102</f>
        <v>0</v>
      </c>
      <c r="CH100" s="1064">
        <f>'Recurrentes 24-26'!CF102</f>
        <v>3976.0392</v>
      </c>
      <c r="CI100" s="451"/>
      <c r="CJ100" s="1062">
        <f>'Recurrentes 24-26'!CG102</f>
        <v>3976.0392</v>
      </c>
      <c r="CK100" s="1062">
        <f>'Recurrentes 24-26'!CH102</f>
        <v>7952.0784</v>
      </c>
      <c r="CL100" s="451" t="str">
        <f>'Recurrentes 24-26'!CI102</f>
        <v/>
      </c>
      <c r="CM100" s="1064" t="str">
        <f>'Recurrentes 24-26'!CJ102</f>
        <v/>
      </c>
      <c r="CN100" s="451">
        <f>'Recurrentes 24-26'!CK102</f>
        <v>1</v>
      </c>
      <c r="CO100" s="1062">
        <f>'Recurrentes 24-26'!CL102</f>
        <v>571.27</v>
      </c>
      <c r="CP100" s="451" t="str">
        <f>'Recurrentes 24-26'!CM102</f>
        <v/>
      </c>
    </row>
    <row r="101">
      <c r="A101" s="451" t="str">
        <f>'Recurrentes 24-26'!A103</f>
        <v>Repuestos Electromecánicos recurrentes</v>
      </c>
      <c r="B101" s="451">
        <f>'Recurrentes 24-26'!B103</f>
        <v>2</v>
      </c>
      <c r="C101" s="451" t="str">
        <f>'Recurrentes 24-26'!C103</f>
        <v>Vehículo</v>
      </c>
      <c r="D101" s="451" t="str">
        <f>'Recurrentes 24-26'!D103</f>
        <v>10% Suspensiones de Cabinas </v>
      </c>
      <c r="E101" s="451" t="str">
        <f>'Recurrentes 24-26'!E103</f>
        <v>Repuesto Mecánico</v>
      </c>
      <c r="F101" s="451" t="str">
        <f>'Recurrentes 24-26'!F103</f>
        <v>TDB</v>
      </c>
      <c r="G101" s="1025" t="str">
        <f>'Recurrentes 24-26'!G103</f>
        <v>39800</v>
      </c>
      <c r="H101" s="1061" t="str">
        <f>'Recurrentes 24-26'!H103</f>
        <v>2-01-00866</v>
      </c>
      <c r="I101" s="1061" t="str">
        <f>'Recurrentes 24-26'!I103</f>
        <v>10752724</v>
      </c>
      <c r="J101" s="1061" t="str">
        <f>'Recurrentes 24-26'!J103</f>
        <v>BULÓN P. CILINDRO AMORT. MGD Y CLD</v>
      </c>
      <c r="K101" s="451" t="str">
        <f>'Recurrentes 24-26'!K103</f>
        <v>Pza</v>
      </c>
      <c r="L101" s="451">
        <f>'Recurrentes 24-26'!L103</f>
        <v>0</v>
      </c>
      <c r="M101" s="451">
        <f>'Recurrentes 24-26'!M103</f>
        <v>0</v>
      </c>
      <c r="N101" s="451">
        <f>'Recurrentes 24-26'!N103</f>
        <v>0</v>
      </c>
      <c r="O101" s="451">
        <f>'Recurrentes 24-26'!O103</f>
        <v>0</v>
      </c>
      <c r="P101" s="451">
        <f>'Recurrentes 24-26'!P103</f>
        <v>0</v>
      </c>
      <c r="Q101" s="451">
        <f>'Recurrentes 24-26'!Q103</f>
        <v>0</v>
      </c>
      <c r="R101" s="451">
        <f>'Recurrentes 24-26'!R103</f>
        <v>0</v>
      </c>
      <c r="S101" s="451">
        <f>'Recurrentes 24-26'!S103</f>
        <v>4</v>
      </c>
      <c r="T101" s="451">
        <f>'Recurrentes 24-26'!T103</f>
        <v>0</v>
      </c>
      <c r="U101" s="451">
        <f>'Recurrentes 24-26'!U103</f>
        <v>0</v>
      </c>
      <c r="V101" s="451">
        <f>'Recurrentes 24-26'!V103</f>
        <v>0</v>
      </c>
      <c r="W101" s="1062">
        <f>'Recurrentes 24-26'!W103</f>
        <v>4</v>
      </c>
      <c r="X101" s="451">
        <f>'Recurrentes 24-26'!X103</f>
        <v>0</v>
      </c>
      <c r="Y101" s="451">
        <f>'Recurrentes 24-26'!Y103</f>
        <v>0</v>
      </c>
      <c r="Z101" s="451">
        <f>'Recurrentes 24-26'!Z103</f>
        <v>0</v>
      </c>
      <c r="AA101" s="451">
        <f>'Recurrentes 24-26'!AA103</f>
        <v>0</v>
      </c>
      <c r="AB101" s="451">
        <f>'Recurrentes 24-26'!AB103</f>
        <v>0</v>
      </c>
      <c r="AC101" s="451">
        <f>'Recurrentes 24-26'!AC103</f>
        <v>0</v>
      </c>
      <c r="AD101" s="451">
        <f>'Recurrentes 24-26'!AD103</f>
        <v>4</v>
      </c>
      <c r="AE101" s="451">
        <f>'Recurrentes 24-26'!AE103</f>
        <v>4</v>
      </c>
      <c r="AF101" s="451">
        <f>'Recurrentes 24-26'!AF103</f>
        <v>0</v>
      </c>
      <c r="AG101" s="451">
        <f>'Recurrentes 24-26'!AG103</f>
        <v>4</v>
      </c>
      <c r="AH101" s="451">
        <f>'Recurrentes 24-26'!AH103</f>
        <v>0</v>
      </c>
      <c r="AI101" s="1062">
        <f>'Recurrentes 24-26'!AI103</f>
        <v>12</v>
      </c>
      <c r="AJ101" s="451">
        <f>'Recurrentes 24-26'!AJ103</f>
        <v>0</v>
      </c>
      <c r="AK101" s="451">
        <f>'Recurrentes 24-26'!AK103</f>
        <v>0</v>
      </c>
      <c r="AL101" s="451">
        <f>'Recurrentes 24-26'!AL103</f>
        <v>0</v>
      </c>
      <c r="AM101" s="451">
        <f>'Recurrentes 24-26'!AM103</f>
        <v>0</v>
      </c>
      <c r="AN101" s="451">
        <f>'Recurrentes 24-26'!AN103</f>
        <v>0</v>
      </c>
      <c r="AO101" s="451">
        <f>'Recurrentes 24-26'!AO103</f>
        <v>0</v>
      </c>
      <c r="AP101" s="451">
        <f>'Recurrentes 24-26'!AP103</f>
        <v>4</v>
      </c>
      <c r="AQ101" s="451">
        <f>'Recurrentes 24-26'!AQ103</f>
        <v>4</v>
      </c>
      <c r="AR101" s="451">
        <f>'Recurrentes 24-26'!AR103</f>
        <v>0</v>
      </c>
      <c r="AS101" s="451">
        <f>'Recurrentes 24-26'!AS103</f>
        <v>4</v>
      </c>
      <c r="AT101" s="451">
        <f>'Recurrentes 24-26'!AT103</f>
        <v>0</v>
      </c>
      <c r="AU101" s="1062">
        <f>'Recurrentes 24-26'!AU103</f>
        <v>12</v>
      </c>
      <c r="AV101" s="1062">
        <f>'Recurrentes 24-26'!AV103</f>
        <v>28</v>
      </c>
      <c r="AW101" s="451" t="str">
        <f>'Recurrentes 24-26'!AW103</f>
        <v/>
      </c>
      <c r="AX101" s="1062">
        <f>'Recurrentes 24-26'!AX103</f>
        <v>32.92</v>
      </c>
      <c r="AY101" s="1062">
        <f>'Recurrentes 24-26'!AY103</f>
        <v>229.1232</v>
      </c>
      <c r="AZ101" s="1064" t="str">
        <f>'Recurrentes 24-26'!AZ103</f>
        <v/>
      </c>
      <c r="BA101" s="1064">
        <f>'Recurrentes 24-26'!BA103</f>
        <v>0</v>
      </c>
      <c r="BB101" s="1064">
        <f>'Recurrentes 24-26'!BB103</f>
        <v>0</v>
      </c>
      <c r="BC101" s="1064">
        <f>'Recurrentes 24-26'!BC103</f>
        <v>0</v>
      </c>
      <c r="BD101" s="1064">
        <f>'Recurrentes 24-26'!BD103</f>
        <v>0</v>
      </c>
      <c r="BE101" s="1064">
        <f>'Recurrentes 24-26'!BE103</f>
        <v>0</v>
      </c>
      <c r="BF101" s="1064">
        <f>'Recurrentes 24-26'!BF103</f>
        <v>0</v>
      </c>
      <c r="BG101" s="1064">
        <f>'Recurrentes 24-26'!BG103</f>
        <v>0</v>
      </c>
      <c r="BH101" s="1064">
        <f>'Recurrentes 24-26'!BH103</f>
        <v>916.4928</v>
      </c>
      <c r="BI101" s="1064">
        <f>'Recurrentes 24-26'!BI103</f>
        <v>0</v>
      </c>
      <c r="BJ101" s="1064">
        <f>'Recurrentes 24-26'!BJ103</f>
        <v>0</v>
      </c>
      <c r="BK101" s="451"/>
      <c r="BL101" s="1062">
        <f>'Recurrentes 24-26'!BK103</f>
        <v>916.4928</v>
      </c>
      <c r="BM101" s="1064">
        <f>'Recurrentes 24-26'!BL103</f>
        <v>0</v>
      </c>
      <c r="BN101" s="1064">
        <f>'Recurrentes 24-26'!BM103</f>
        <v>0</v>
      </c>
      <c r="BO101" s="1064">
        <f>'Recurrentes 24-26'!BN103</f>
        <v>0</v>
      </c>
      <c r="BP101" s="1064">
        <f>'Recurrentes 24-26'!BO103</f>
        <v>0</v>
      </c>
      <c r="BQ101" s="1064">
        <f>'Recurrentes 24-26'!BP103</f>
        <v>0</v>
      </c>
      <c r="BR101" s="1064">
        <f>'Recurrentes 24-26'!BQ103</f>
        <v>0</v>
      </c>
      <c r="BS101" s="1064">
        <f>'Recurrentes 24-26'!BR103</f>
        <v>916.4928</v>
      </c>
      <c r="BT101" s="1064">
        <f>'Recurrentes 24-26'!BS103</f>
        <v>916.4928</v>
      </c>
      <c r="BU101" s="1064">
        <f>'Recurrentes 24-26'!BT103</f>
        <v>0</v>
      </c>
      <c r="BV101" s="1064">
        <f>'Recurrentes 24-26'!BU103</f>
        <v>916.4928</v>
      </c>
      <c r="BW101" s="451"/>
      <c r="BX101" s="1062">
        <f>'Recurrentes 24-26'!BV103</f>
        <v>2749.4784</v>
      </c>
      <c r="BY101" s="1064">
        <f>'Recurrentes 24-26'!BW103</f>
        <v>0</v>
      </c>
      <c r="BZ101" s="1064">
        <f>'Recurrentes 24-26'!BX103</f>
        <v>0</v>
      </c>
      <c r="CA101" s="1064">
        <f>'Recurrentes 24-26'!BY103</f>
        <v>0</v>
      </c>
      <c r="CB101" s="1064">
        <f>'Recurrentes 24-26'!BZ103</f>
        <v>0</v>
      </c>
      <c r="CC101" s="1064">
        <f>'Recurrentes 24-26'!CA103</f>
        <v>0</v>
      </c>
      <c r="CD101" s="1064">
        <f>'Recurrentes 24-26'!CB103</f>
        <v>0</v>
      </c>
      <c r="CE101" s="1064">
        <f>'Recurrentes 24-26'!CC103</f>
        <v>916.4928</v>
      </c>
      <c r="CF101" s="1064">
        <f>'Recurrentes 24-26'!CD103</f>
        <v>916.4928</v>
      </c>
      <c r="CG101" s="1064">
        <f>'Recurrentes 24-26'!CE103</f>
        <v>0</v>
      </c>
      <c r="CH101" s="1064">
        <f>'Recurrentes 24-26'!CF103</f>
        <v>916.4928</v>
      </c>
      <c r="CI101" s="451"/>
      <c r="CJ101" s="1062">
        <f>'Recurrentes 24-26'!CG103</f>
        <v>2749.4784</v>
      </c>
      <c r="CK101" s="1062">
        <f>'Recurrentes 24-26'!CH103</f>
        <v>6415.4496</v>
      </c>
      <c r="CL101" s="451" t="str">
        <f>'Recurrentes 24-26'!CI103</f>
        <v/>
      </c>
      <c r="CM101" s="1064" t="str">
        <f>'Recurrentes 24-26'!CJ103</f>
        <v/>
      </c>
      <c r="CN101" s="451">
        <f>'Recurrentes 24-26'!CK103</f>
        <v>1</v>
      </c>
      <c r="CO101" s="1062">
        <f>'Recurrentes 24-26'!CL103</f>
        <v>32.92</v>
      </c>
      <c r="CP101" s="451" t="str">
        <f>'Recurrentes 24-26'!CM103</f>
        <v/>
      </c>
    </row>
    <row r="102">
      <c r="A102" s="451" t="str">
        <f>'Recurrentes 24-26'!A104</f>
        <v>Repuestos Electromecánicos recurrentes</v>
      </c>
      <c r="B102" s="451">
        <f>'Recurrentes 24-26'!B104</f>
        <v>2</v>
      </c>
      <c r="C102" s="451" t="str">
        <f>'Recurrentes 24-26'!C104</f>
        <v>Vehículo</v>
      </c>
      <c r="D102" s="451" t="str">
        <f>'Recurrentes 24-26'!D104</f>
        <v>Manto. Pinza</v>
      </c>
      <c r="E102" s="451" t="str">
        <f>'Recurrentes 24-26'!E104</f>
        <v>Repuesto Mecánico</v>
      </c>
      <c r="F102" s="451" t="str">
        <f>'Recurrentes 24-26'!F104</f>
        <v>TDB</v>
      </c>
      <c r="G102" s="1025" t="str">
        <f>'Recurrentes 24-26'!G104</f>
        <v>39800</v>
      </c>
      <c r="H102" s="1061" t="str">
        <f>'Recurrentes 24-26'!H104</f>
        <v>2-01-00426</v>
      </c>
      <c r="I102" s="1061" t="str">
        <f>'Recurrentes 24-26'!I104</f>
        <v>10274064</v>
      </c>
      <c r="J102" s="1061" t="str">
        <f>'Recurrentes 24-26'!J104</f>
        <v>ARAND.DE AJ.DIN988  35X 45X1,5                 ELECTROGALVAN.</v>
      </c>
      <c r="K102" s="451" t="str">
        <f>'Recurrentes 24-26'!K104</f>
        <v>Pza</v>
      </c>
      <c r="L102" s="451">
        <f>'Recurrentes 24-26'!L104</f>
        <v>25</v>
      </c>
      <c r="M102" s="451">
        <f>'Recurrentes 24-26'!M104</f>
        <v>20</v>
      </c>
      <c r="N102" s="451">
        <f>'Recurrentes 24-26'!N104</f>
        <v>20</v>
      </c>
      <c r="O102" s="451">
        <f>'Recurrentes 24-26'!O104</f>
        <v>30</v>
      </c>
      <c r="P102" s="451">
        <f>'Recurrentes 24-26'!P104</f>
        <v>20</v>
      </c>
      <c r="Q102" s="451">
        <f>'Recurrentes 24-26'!Q104</f>
        <v>50</v>
      </c>
      <c r="R102" s="451">
        <f>'Recurrentes 24-26'!R104</f>
        <v>40</v>
      </c>
      <c r="S102" s="451">
        <f>'Recurrentes 24-26'!S104</f>
        <v>40</v>
      </c>
      <c r="T102" s="451">
        <f>'Recurrentes 24-26'!T104</f>
        <v>20</v>
      </c>
      <c r="U102" s="451">
        <f>'Recurrentes 24-26'!U104</f>
        <v>30</v>
      </c>
      <c r="V102" s="451">
        <f>'Recurrentes 24-26'!V104</f>
        <v>0</v>
      </c>
      <c r="W102" s="1062">
        <f>'Recurrentes 24-26'!W104</f>
        <v>295</v>
      </c>
      <c r="X102" s="451">
        <f>'Recurrentes 24-26'!X104</f>
        <v>25</v>
      </c>
      <c r="Y102" s="451">
        <f>'Recurrentes 24-26'!Y104</f>
        <v>20</v>
      </c>
      <c r="Z102" s="451">
        <f>'Recurrentes 24-26'!Z104</f>
        <v>20</v>
      </c>
      <c r="AA102" s="451">
        <f>'Recurrentes 24-26'!AA104</f>
        <v>30</v>
      </c>
      <c r="AB102" s="451">
        <f>'Recurrentes 24-26'!AB104</f>
        <v>20</v>
      </c>
      <c r="AC102" s="451">
        <f>'Recurrentes 24-26'!AC104</f>
        <v>50</v>
      </c>
      <c r="AD102" s="451">
        <f>'Recurrentes 24-26'!AD104</f>
        <v>40</v>
      </c>
      <c r="AE102" s="451">
        <f>'Recurrentes 24-26'!AE104</f>
        <v>40</v>
      </c>
      <c r="AF102" s="451">
        <f>'Recurrentes 24-26'!AF104</f>
        <v>20</v>
      </c>
      <c r="AG102" s="451">
        <f>'Recurrentes 24-26'!AG104</f>
        <v>30</v>
      </c>
      <c r="AH102" s="451">
        <f>'Recurrentes 24-26'!AH104</f>
        <v>0</v>
      </c>
      <c r="AI102" s="1062">
        <f>'Recurrentes 24-26'!AI104</f>
        <v>295</v>
      </c>
      <c r="AJ102" s="451">
        <f>'Recurrentes 24-26'!AJ104</f>
        <v>25</v>
      </c>
      <c r="AK102" s="451">
        <f>'Recurrentes 24-26'!AK104</f>
        <v>20</v>
      </c>
      <c r="AL102" s="451">
        <f>'Recurrentes 24-26'!AL104</f>
        <v>20</v>
      </c>
      <c r="AM102" s="451">
        <f>'Recurrentes 24-26'!AM104</f>
        <v>30</v>
      </c>
      <c r="AN102" s="451">
        <f>'Recurrentes 24-26'!AN104</f>
        <v>20</v>
      </c>
      <c r="AO102" s="451">
        <f>'Recurrentes 24-26'!AO104</f>
        <v>50</v>
      </c>
      <c r="AP102" s="451">
        <f>'Recurrentes 24-26'!AP104</f>
        <v>40</v>
      </c>
      <c r="AQ102" s="451">
        <f>'Recurrentes 24-26'!AQ104</f>
        <v>40</v>
      </c>
      <c r="AR102" s="451">
        <f>'Recurrentes 24-26'!AR104</f>
        <v>20</v>
      </c>
      <c r="AS102" s="451">
        <f>'Recurrentes 24-26'!AS104</f>
        <v>30</v>
      </c>
      <c r="AT102" s="451">
        <f>'Recurrentes 24-26'!AT104</f>
        <v>0</v>
      </c>
      <c r="AU102" s="1062">
        <f>'Recurrentes 24-26'!AU104</f>
        <v>295</v>
      </c>
      <c r="AV102" s="1063">
        <f>'Recurrentes 24-26'!AV104</f>
        <v>885</v>
      </c>
      <c r="AW102" s="451" t="str">
        <f>'Recurrentes 24-26'!AW104</f>
        <v/>
      </c>
      <c r="AX102" s="1062">
        <f>'Recurrentes 24-26'!AX104</f>
        <v>1.04</v>
      </c>
      <c r="AY102" s="1062">
        <f>'Recurrentes 24-26'!AY104</f>
        <v>7.2384</v>
      </c>
      <c r="AZ102" s="1064" t="str">
        <f>'Recurrentes 24-26'!AZ104</f>
        <v/>
      </c>
      <c r="BA102" s="1064">
        <f>'Recurrentes 24-26'!BA104</f>
        <v>180.96</v>
      </c>
      <c r="BB102" s="1064">
        <f>'Recurrentes 24-26'!BB104</f>
        <v>144.768</v>
      </c>
      <c r="BC102" s="1064">
        <f>'Recurrentes 24-26'!BC104</f>
        <v>144.768</v>
      </c>
      <c r="BD102" s="1064">
        <f>'Recurrentes 24-26'!BD104</f>
        <v>217.152</v>
      </c>
      <c r="BE102" s="1064">
        <f>'Recurrentes 24-26'!BE104</f>
        <v>144.768</v>
      </c>
      <c r="BF102" s="1064">
        <f>'Recurrentes 24-26'!BF104</f>
        <v>361.92</v>
      </c>
      <c r="BG102" s="1064">
        <f>'Recurrentes 24-26'!BG104</f>
        <v>289.536</v>
      </c>
      <c r="BH102" s="1064">
        <f>'Recurrentes 24-26'!BH104</f>
        <v>289.536</v>
      </c>
      <c r="BI102" s="1064">
        <f>'Recurrentes 24-26'!BI104</f>
        <v>144.768</v>
      </c>
      <c r="BJ102" s="1064">
        <f>'Recurrentes 24-26'!BJ104</f>
        <v>217.152</v>
      </c>
      <c r="BK102" s="451"/>
      <c r="BL102" s="1062">
        <f>'Recurrentes 24-26'!BK104</f>
        <v>2135.328</v>
      </c>
      <c r="BM102" s="1064">
        <f>'Recurrentes 24-26'!BL104</f>
        <v>180.96</v>
      </c>
      <c r="BN102" s="1064">
        <f>'Recurrentes 24-26'!BM104</f>
        <v>144.768</v>
      </c>
      <c r="BO102" s="1064">
        <f>'Recurrentes 24-26'!BN104</f>
        <v>144.768</v>
      </c>
      <c r="BP102" s="1064">
        <f>'Recurrentes 24-26'!BO104</f>
        <v>217.152</v>
      </c>
      <c r="BQ102" s="1064">
        <f>'Recurrentes 24-26'!BP104</f>
        <v>144.768</v>
      </c>
      <c r="BR102" s="1064">
        <f>'Recurrentes 24-26'!BQ104</f>
        <v>361.92</v>
      </c>
      <c r="BS102" s="1064">
        <f>'Recurrentes 24-26'!BR104</f>
        <v>289.536</v>
      </c>
      <c r="BT102" s="1064">
        <f>'Recurrentes 24-26'!BS104</f>
        <v>289.536</v>
      </c>
      <c r="BU102" s="1064">
        <f>'Recurrentes 24-26'!BT104</f>
        <v>144.768</v>
      </c>
      <c r="BV102" s="1064">
        <f>'Recurrentes 24-26'!BU104</f>
        <v>217.152</v>
      </c>
      <c r="BW102" s="451"/>
      <c r="BX102" s="1062">
        <f>'Recurrentes 24-26'!BV104</f>
        <v>2135.328</v>
      </c>
      <c r="BY102" s="1064">
        <f>'Recurrentes 24-26'!BW104</f>
        <v>180.96</v>
      </c>
      <c r="BZ102" s="1064">
        <f>'Recurrentes 24-26'!BX104</f>
        <v>144.768</v>
      </c>
      <c r="CA102" s="1064">
        <f>'Recurrentes 24-26'!BY104</f>
        <v>144.768</v>
      </c>
      <c r="CB102" s="1064">
        <f>'Recurrentes 24-26'!BZ104</f>
        <v>217.152</v>
      </c>
      <c r="CC102" s="1064">
        <f>'Recurrentes 24-26'!CA104</f>
        <v>144.768</v>
      </c>
      <c r="CD102" s="1064">
        <f>'Recurrentes 24-26'!CB104</f>
        <v>361.92</v>
      </c>
      <c r="CE102" s="1064">
        <f>'Recurrentes 24-26'!CC104</f>
        <v>289.536</v>
      </c>
      <c r="CF102" s="1064">
        <f>'Recurrentes 24-26'!CD104</f>
        <v>289.536</v>
      </c>
      <c r="CG102" s="1064">
        <f>'Recurrentes 24-26'!CE104</f>
        <v>144.768</v>
      </c>
      <c r="CH102" s="1064">
        <f>'Recurrentes 24-26'!CF104</f>
        <v>217.152</v>
      </c>
      <c r="CI102" s="451"/>
      <c r="CJ102" s="1062">
        <f>'Recurrentes 24-26'!CG104</f>
        <v>2135.328</v>
      </c>
      <c r="CK102" s="1062">
        <f>'Recurrentes 24-26'!CH104</f>
        <v>6405.984</v>
      </c>
      <c r="CL102" s="451" t="str">
        <f>'Recurrentes 24-26'!CI104</f>
        <v/>
      </c>
      <c r="CM102" s="1064" t="str">
        <f>'Recurrentes 24-26'!CJ104</f>
        <v/>
      </c>
      <c r="CN102" s="451">
        <f>'Recurrentes 24-26'!CK104</f>
        <v>1</v>
      </c>
      <c r="CO102" s="1062">
        <f>'Recurrentes 24-26'!CL104</f>
        <v>1.04</v>
      </c>
      <c r="CP102" s="451" t="str">
        <f>'Recurrentes 24-26'!CM104</f>
        <v/>
      </c>
    </row>
    <row r="103">
      <c r="A103" s="451" t="str">
        <f>'Recurrentes 24-26'!A105</f>
        <v>Repuestos Electromecánicos recurrentes</v>
      </c>
      <c r="B103" s="451">
        <f>'Recurrentes 24-26'!B105</f>
        <v>2</v>
      </c>
      <c r="C103" s="451" t="str">
        <f>'Recurrentes 24-26'!C105</f>
        <v>Estaciones</v>
      </c>
      <c r="D103" s="451" t="str">
        <f>'Recurrentes 24-26'!D105</f>
        <v>Cambio Correas</v>
      </c>
      <c r="E103" s="451" t="str">
        <f>'Recurrentes 24-26'!E105</f>
        <v>Repuesto Mecánico</v>
      </c>
      <c r="F103" s="451" t="str">
        <f>'Recurrentes 24-26'!F105</f>
        <v>TDB</v>
      </c>
      <c r="G103" s="1025" t="str">
        <f>'Recurrentes 24-26'!G105</f>
        <v>39800</v>
      </c>
      <c r="H103" s="1061" t="str">
        <f>'Recurrentes 24-26'!H105</f>
        <v>1-01-00763</v>
      </c>
      <c r="I103" s="1061" t="str">
        <f>'Recurrentes 24-26'!I105</f>
        <v>10360353</v>
      </c>
      <c r="J103" s="1061" t="str">
        <f>'Recurrentes 24-26'!J105</f>
        <v>CORREA TRAPEZOIDAL XPC LA=1850 MM DIN 7753-1</v>
      </c>
      <c r="K103" s="451" t="str">
        <f>'Recurrentes 24-26'!K105</f>
        <v>Pza</v>
      </c>
      <c r="L103" s="451">
        <f>'Recurrentes 24-26'!L105</f>
        <v>0</v>
      </c>
      <c r="M103" s="451">
        <f>'Recurrentes 24-26'!M105</f>
        <v>0</v>
      </c>
      <c r="N103" s="451">
        <f>'Recurrentes 24-26'!N105</f>
        <v>0</v>
      </c>
      <c r="O103" s="451">
        <f>'Recurrentes 24-26'!O105</f>
        <v>0</v>
      </c>
      <c r="P103" s="451">
        <f>'Recurrentes 24-26'!P105</f>
        <v>0</v>
      </c>
      <c r="Q103" s="451">
        <f>'Recurrentes 24-26'!Q105</f>
        <v>0</v>
      </c>
      <c r="R103" s="451">
        <f>'Recurrentes 24-26'!R105</f>
        <v>0</v>
      </c>
      <c r="S103" s="451">
        <f>'Recurrentes 24-26'!S105</f>
        <v>0</v>
      </c>
      <c r="T103" s="451">
        <f>'Recurrentes 24-26'!T105</f>
        <v>0</v>
      </c>
      <c r="U103" s="451">
        <f>'Recurrentes 24-26'!U105</f>
        <v>0</v>
      </c>
      <c r="V103" s="451">
        <f>'Recurrentes 24-26'!V105</f>
        <v>0</v>
      </c>
      <c r="W103" s="1062">
        <f>'Recurrentes 24-26'!W105</f>
        <v>0</v>
      </c>
      <c r="X103" s="451">
        <f>'Recurrentes 24-26'!X105</f>
        <v>0</v>
      </c>
      <c r="Y103" s="451">
        <f>'Recurrentes 24-26'!Y105</f>
        <v>0</v>
      </c>
      <c r="Z103" s="451">
        <f>'Recurrentes 24-26'!Z105</f>
        <v>0</v>
      </c>
      <c r="AA103" s="451">
        <f>'Recurrentes 24-26'!AA105</f>
        <v>0</v>
      </c>
      <c r="AB103" s="451">
        <f>'Recurrentes 24-26'!AB105</f>
        <v>0</v>
      </c>
      <c r="AC103" s="451">
        <f>'Recurrentes 24-26'!AC105</f>
        <v>0</v>
      </c>
      <c r="AD103" s="451">
        <f>'Recurrentes 24-26'!AD105</f>
        <v>0</v>
      </c>
      <c r="AE103" s="451">
        <f>'Recurrentes 24-26'!AE105</f>
        <v>4</v>
      </c>
      <c r="AF103" s="451">
        <f>'Recurrentes 24-26'!AF105</f>
        <v>0</v>
      </c>
      <c r="AG103" s="451">
        <f>'Recurrentes 24-26'!AG105</f>
        <v>0</v>
      </c>
      <c r="AH103" s="451">
        <f>'Recurrentes 24-26'!AH105</f>
        <v>0</v>
      </c>
      <c r="AI103" s="1062">
        <f>'Recurrentes 24-26'!AI105</f>
        <v>4</v>
      </c>
      <c r="AJ103" s="451">
        <f>'Recurrentes 24-26'!AJ105</f>
        <v>0</v>
      </c>
      <c r="AK103" s="451">
        <f>'Recurrentes 24-26'!AK105</f>
        <v>0</v>
      </c>
      <c r="AL103" s="451">
        <f>'Recurrentes 24-26'!AL105</f>
        <v>0</v>
      </c>
      <c r="AM103" s="451">
        <f>'Recurrentes 24-26'!AM105</f>
        <v>0</v>
      </c>
      <c r="AN103" s="451">
        <f>'Recurrentes 24-26'!AN105</f>
        <v>0</v>
      </c>
      <c r="AO103" s="451">
        <f>'Recurrentes 24-26'!AO105</f>
        <v>0</v>
      </c>
      <c r="AP103" s="451">
        <f>'Recurrentes 24-26'!AP105</f>
        <v>0</v>
      </c>
      <c r="AQ103" s="451">
        <f>'Recurrentes 24-26'!AQ105</f>
        <v>4</v>
      </c>
      <c r="AR103" s="451">
        <f>'Recurrentes 24-26'!AR105</f>
        <v>0</v>
      </c>
      <c r="AS103" s="451">
        <f>'Recurrentes 24-26'!AS105</f>
        <v>0</v>
      </c>
      <c r="AT103" s="451">
        <f>'Recurrentes 24-26'!AT105</f>
        <v>0</v>
      </c>
      <c r="AU103" s="1062">
        <f>'Recurrentes 24-26'!AU105</f>
        <v>4</v>
      </c>
      <c r="AV103" s="1063">
        <f>'Recurrentes 24-26'!AV105</f>
        <v>8</v>
      </c>
      <c r="AW103" s="451" t="str">
        <f>'Recurrentes 24-26'!AW105</f>
        <v/>
      </c>
      <c r="AX103" s="1062">
        <f>'Recurrentes 24-26'!AX105</f>
        <v>100.29</v>
      </c>
      <c r="AY103" s="1062">
        <f>'Recurrentes 24-26'!AY105</f>
        <v>698.0184</v>
      </c>
      <c r="AZ103" s="1064" t="str">
        <f>'Recurrentes 24-26'!AZ105</f>
        <v/>
      </c>
      <c r="BA103" s="1064">
        <f>'Recurrentes 24-26'!BA105</f>
        <v>0</v>
      </c>
      <c r="BB103" s="1064">
        <f>'Recurrentes 24-26'!BB105</f>
        <v>0</v>
      </c>
      <c r="BC103" s="1064">
        <f>'Recurrentes 24-26'!BC105</f>
        <v>0</v>
      </c>
      <c r="BD103" s="1064">
        <f>'Recurrentes 24-26'!BD105</f>
        <v>0</v>
      </c>
      <c r="BE103" s="1064">
        <f>'Recurrentes 24-26'!BE105</f>
        <v>0</v>
      </c>
      <c r="BF103" s="1064">
        <f>'Recurrentes 24-26'!BF105</f>
        <v>0</v>
      </c>
      <c r="BG103" s="1064">
        <f>'Recurrentes 24-26'!BG105</f>
        <v>0</v>
      </c>
      <c r="BH103" s="1064">
        <f>'Recurrentes 24-26'!BH105</f>
        <v>0</v>
      </c>
      <c r="BI103" s="1064">
        <f>'Recurrentes 24-26'!BI105</f>
        <v>0</v>
      </c>
      <c r="BJ103" s="1064">
        <f>'Recurrentes 24-26'!BJ105</f>
        <v>0</v>
      </c>
      <c r="BK103" s="451"/>
      <c r="BL103" s="1062">
        <f>'Recurrentes 24-26'!BK105</f>
        <v>0</v>
      </c>
      <c r="BM103" s="1064">
        <f>'Recurrentes 24-26'!BL105</f>
        <v>0</v>
      </c>
      <c r="BN103" s="1064">
        <f>'Recurrentes 24-26'!BM105</f>
        <v>0</v>
      </c>
      <c r="BO103" s="1064">
        <f>'Recurrentes 24-26'!BN105</f>
        <v>0</v>
      </c>
      <c r="BP103" s="1064">
        <f>'Recurrentes 24-26'!BO105</f>
        <v>0</v>
      </c>
      <c r="BQ103" s="1064">
        <f>'Recurrentes 24-26'!BP105</f>
        <v>0</v>
      </c>
      <c r="BR103" s="1064">
        <f>'Recurrentes 24-26'!BQ105</f>
        <v>0</v>
      </c>
      <c r="BS103" s="1064">
        <f>'Recurrentes 24-26'!BR105</f>
        <v>0</v>
      </c>
      <c r="BT103" s="1064">
        <f>'Recurrentes 24-26'!BS105</f>
        <v>2792.0736</v>
      </c>
      <c r="BU103" s="1064">
        <f>'Recurrentes 24-26'!BT105</f>
        <v>0</v>
      </c>
      <c r="BV103" s="1064">
        <f>'Recurrentes 24-26'!BU105</f>
        <v>0</v>
      </c>
      <c r="BW103" s="451"/>
      <c r="BX103" s="1062">
        <f>'Recurrentes 24-26'!BV105</f>
        <v>2792.0736</v>
      </c>
      <c r="BY103" s="1064">
        <f>'Recurrentes 24-26'!BW105</f>
        <v>0</v>
      </c>
      <c r="BZ103" s="1064">
        <f>'Recurrentes 24-26'!BX105</f>
        <v>0</v>
      </c>
      <c r="CA103" s="1064">
        <f>'Recurrentes 24-26'!BY105</f>
        <v>0</v>
      </c>
      <c r="CB103" s="1064">
        <f>'Recurrentes 24-26'!BZ105</f>
        <v>0</v>
      </c>
      <c r="CC103" s="1064">
        <f>'Recurrentes 24-26'!CA105</f>
        <v>0</v>
      </c>
      <c r="CD103" s="1064">
        <f>'Recurrentes 24-26'!CB105</f>
        <v>0</v>
      </c>
      <c r="CE103" s="1064">
        <f>'Recurrentes 24-26'!CC105</f>
        <v>0</v>
      </c>
      <c r="CF103" s="1064">
        <f>'Recurrentes 24-26'!CD105</f>
        <v>2792.0736</v>
      </c>
      <c r="CG103" s="1064">
        <f>'Recurrentes 24-26'!CE105</f>
        <v>0</v>
      </c>
      <c r="CH103" s="1064">
        <f>'Recurrentes 24-26'!CF105</f>
        <v>0</v>
      </c>
      <c r="CI103" s="451"/>
      <c r="CJ103" s="1062">
        <f>'Recurrentes 24-26'!CG105</f>
        <v>2792.0736</v>
      </c>
      <c r="CK103" s="1062">
        <f>'Recurrentes 24-26'!CH105</f>
        <v>5584.1472</v>
      </c>
      <c r="CL103" s="451" t="str">
        <f>'Recurrentes 24-26'!CI105</f>
        <v/>
      </c>
      <c r="CM103" s="1064" t="str">
        <f>'Recurrentes 24-26'!CJ105</f>
        <v/>
      </c>
      <c r="CN103" s="451">
        <f>'Recurrentes 24-26'!CK105</f>
        <v>1</v>
      </c>
      <c r="CO103" s="1062">
        <f>'Recurrentes 24-26'!CL105</f>
        <v>100.29</v>
      </c>
      <c r="CP103" s="451" t="str">
        <f>'Recurrentes 24-26'!CM105</f>
        <v/>
      </c>
    </row>
    <row r="104">
      <c r="A104" s="451" t="str">
        <f>'Recurrentes 24-26'!A106</f>
        <v>Repuestos Electromecánicos recurrentes</v>
      </c>
      <c r="B104" s="451">
        <f>'Recurrentes 24-26'!B106</f>
        <v>2</v>
      </c>
      <c r="C104" s="451" t="str">
        <f>'Recurrentes 24-26'!C106</f>
        <v>Torres</v>
      </c>
      <c r="D104" s="451" t="str">
        <f>'Recurrentes 24-26'!D106</f>
        <v>Reacondionamiento y cambio de Poleas de torre</v>
      </c>
      <c r="E104" s="451" t="str">
        <f>'Recurrentes 24-26'!E106</f>
        <v>Repuesto Mecánico</v>
      </c>
      <c r="F104" s="451" t="str">
        <f>'Recurrentes 24-26'!F106</f>
        <v>TDB</v>
      </c>
      <c r="G104" s="1025" t="str">
        <f>'Recurrentes 24-26'!G106</f>
        <v>39800</v>
      </c>
      <c r="H104" s="1061" t="str">
        <f>'Recurrentes 24-26'!H106</f>
        <v>2-01-00657</v>
      </c>
      <c r="I104" s="1061" t="str">
        <f>'Recurrentes 24-26'!I106</f>
        <v>10834428</v>
      </c>
      <c r="J104" s="1061" t="str">
        <f>'Recurrentes 24-26'!J106</f>
        <v>ANILLO DIST. DIÁ.57/35 E=18,5 P. POLEA 420C GALV.+AMARILLO</v>
      </c>
      <c r="K104" s="451" t="str">
        <f>'Recurrentes 24-26'!K106</f>
        <v>Pza</v>
      </c>
      <c r="L104" s="451">
        <f>'Recurrentes 24-26'!L106</f>
        <v>0</v>
      </c>
      <c r="M104" s="451">
        <f>'Recurrentes 24-26'!M106</f>
        <v>0</v>
      </c>
      <c r="N104" s="451">
        <f>'Recurrentes 24-26'!N106</f>
        <v>0</v>
      </c>
      <c r="O104" s="451">
        <f>'Recurrentes 24-26'!O106</f>
        <v>3</v>
      </c>
      <c r="P104" s="451">
        <f>'Recurrentes 24-26'!P106</f>
        <v>3</v>
      </c>
      <c r="Q104" s="451">
        <f>'Recurrentes 24-26'!Q106</f>
        <v>3</v>
      </c>
      <c r="R104" s="451">
        <f>'Recurrentes 24-26'!R106</f>
        <v>1</v>
      </c>
      <c r="S104" s="451">
        <f>'Recurrentes 24-26'!S106</f>
        <v>1</v>
      </c>
      <c r="T104" s="451">
        <f>'Recurrentes 24-26'!T106</f>
        <v>0</v>
      </c>
      <c r="U104" s="451">
        <f>'Recurrentes 24-26'!U106</f>
        <v>1</v>
      </c>
      <c r="V104" s="451">
        <f>'Recurrentes 24-26'!V106</f>
        <v>0</v>
      </c>
      <c r="W104" s="1062">
        <f>'Recurrentes 24-26'!W106</f>
        <v>12</v>
      </c>
      <c r="X104" s="451">
        <f>'Recurrentes 24-26'!X106</f>
        <v>0</v>
      </c>
      <c r="Y104" s="451">
        <f>'Recurrentes 24-26'!Y106</f>
        <v>0</v>
      </c>
      <c r="Z104" s="451">
        <f>'Recurrentes 24-26'!Z106</f>
        <v>0</v>
      </c>
      <c r="AA104" s="451">
        <f>'Recurrentes 24-26'!AA106</f>
        <v>5</v>
      </c>
      <c r="AB104" s="451">
        <f>'Recurrentes 24-26'!AB106</f>
        <v>5</v>
      </c>
      <c r="AC104" s="451">
        <f>'Recurrentes 24-26'!AC106</f>
        <v>5</v>
      </c>
      <c r="AD104" s="451">
        <f>'Recurrentes 24-26'!AD106</f>
        <v>2</v>
      </c>
      <c r="AE104" s="451">
        <f>'Recurrentes 24-26'!AE106</f>
        <v>2</v>
      </c>
      <c r="AF104" s="451">
        <f>'Recurrentes 24-26'!AF106</f>
        <v>0</v>
      </c>
      <c r="AG104" s="451">
        <f>'Recurrentes 24-26'!AG106</f>
        <v>2</v>
      </c>
      <c r="AH104" s="451">
        <f>'Recurrentes 24-26'!AH106</f>
        <v>0</v>
      </c>
      <c r="AI104" s="1062">
        <f>'Recurrentes 24-26'!AI106</f>
        <v>21</v>
      </c>
      <c r="AJ104" s="451">
        <f>'Recurrentes 24-26'!AJ106</f>
        <v>0</v>
      </c>
      <c r="AK104" s="451">
        <f>'Recurrentes 24-26'!AK106</f>
        <v>0</v>
      </c>
      <c r="AL104" s="451">
        <f>'Recurrentes 24-26'!AL106</f>
        <v>0</v>
      </c>
      <c r="AM104" s="451">
        <f>'Recurrentes 24-26'!AM106</f>
        <v>5</v>
      </c>
      <c r="AN104" s="451">
        <f>'Recurrentes 24-26'!AN106</f>
        <v>5</v>
      </c>
      <c r="AO104" s="451">
        <f>'Recurrentes 24-26'!AO106</f>
        <v>5</v>
      </c>
      <c r="AP104" s="451">
        <f>'Recurrentes 24-26'!AP106</f>
        <v>2</v>
      </c>
      <c r="AQ104" s="451">
        <f>'Recurrentes 24-26'!AQ106</f>
        <v>2</v>
      </c>
      <c r="AR104" s="451">
        <f>'Recurrentes 24-26'!AR106</f>
        <v>0</v>
      </c>
      <c r="AS104" s="451">
        <f>'Recurrentes 24-26'!AS106</f>
        <v>2</v>
      </c>
      <c r="AT104" s="451">
        <f>'Recurrentes 24-26'!AT106</f>
        <v>0</v>
      </c>
      <c r="AU104" s="1062">
        <f>'Recurrentes 24-26'!AU106</f>
        <v>21</v>
      </c>
      <c r="AV104" s="1063">
        <f>'Recurrentes 24-26'!AV106</f>
        <v>54</v>
      </c>
      <c r="AW104" s="451" t="str">
        <f>'Recurrentes 24-26'!AW106</f>
        <v/>
      </c>
      <c r="AX104" s="1062">
        <f>'Recurrentes 24-26'!AX106</f>
        <v>14.31</v>
      </c>
      <c r="AY104" s="1062">
        <f>'Recurrentes 24-26'!AY106</f>
        <v>99.5976</v>
      </c>
      <c r="AZ104" s="1064" t="str">
        <f>'Recurrentes 24-26'!AZ106</f>
        <v/>
      </c>
      <c r="BA104" s="1064">
        <f>'Recurrentes 24-26'!BA106</f>
        <v>0</v>
      </c>
      <c r="BB104" s="1064">
        <f>'Recurrentes 24-26'!BB106</f>
        <v>0</v>
      </c>
      <c r="BC104" s="1064">
        <f>'Recurrentes 24-26'!BC106</f>
        <v>0</v>
      </c>
      <c r="BD104" s="1064">
        <f>'Recurrentes 24-26'!BD106</f>
        <v>298.7928</v>
      </c>
      <c r="BE104" s="1064">
        <f>'Recurrentes 24-26'!BE106</f>
        <v>298.7928</v>
      </c>
      <c r="BF104" s="1064">
        <f>'Recurrentes 24-26'!BF106</f>
        <v>298.7928</v>
      </c>
      <c r="BG104" s="1064">
        <f>'Recurrentes 24-26'!BG106</f>
        <v>99.5976</v>
      </c>
      <c r="BH104" s="1064">
        <f>'Recurrentes 24-26'!BH106</f>
        <v>99.5976</v>
      </c>
      <c r="BI104" s="1064">
        <f>'Recurrentes 24-26'!BI106</f>
        <v>0</v>
      </c>
      <c r="BJ104" s="1064">
        <f>'Recurrentes 24-26'!BJ106</f>
        <v>99.5976</v>
      </c>
      <c r="BK104" s="451"/>
      <c r="BL104" s="1062">
        <f>'Recurrentes 24-26'!BK106</f>
        <v>1195.1712</v>
      </c>
      <c r="BM104" s="1064">
        <f>'Recurrentes 24-26'!BL106</f>
        <v>0</v>
      </c>
      <c r="BN104" s="1064">
        <f>'Recurrentes 24-26'!BM106</f>
        <v>0</v>
      </c>
      <c r="BO104" s="1064">
        <f>'Recurrentes 24-26'!BN106</f>
        <v>0</v>
      </c>
      <c r="BP104" s="1064">
        <f>'Recurrentes 24-26'!BO106</f>
        <v>497.988</v>
      </c>
      <c r="BQ104" s="1064">
        <f>'Recurrentes 24-26'!BP106</f>
        <v>497.988</v>
      </c>
      <c r="BR104" s="1064">
        <f>'Recurrentes 24-26'!BQ106</f>
        <v>497.988</v>
      </c>
      <c r="BS104" s="1064">
        <f>'Recurrentes 24-26'!BR106</f>
        <v>199.1952</v>
      </c>
      <c r="BT104" s="1064">
        <f>'Recurrentes 24-26'!BS106</f>
        <v>199.1952</v>
      </c>
      <c r="BU104" s="1064">
        <f>'Recurrentes 24-26'!BT106</f>
        <v>0</v>
      </c>
      <c r="BV104" s="1064">
        <f>'Recurrentes 24-26'!BU106</f>
        <v>199.1952</v>
      </c>
      <c r="BW104" s="451"/>
      <c r="BX104" s="1062">
        <f>'Recurrentes 24-26'!BV106</f>
        <v>2091.5496</v>
      </c>
      <c r="BY104" s="1064">
        <f>'Recurrentes 24-26'!BW106</f>
        <v>0</v>
      </c>
      <c r="BZ104" s="1064">
        <f>'Recurrentes 24-26'!BX106</f>
        <v>0</v>
      </c>
      <c r="CA104" s="1064">
        <f>'Recurrentes 24-26'!BY106</f>
        <v>0</v>
      </c>
      <c r="CB104" s="1064">
        <f>'Recurrentes 24-26'!BZ106</f>
        <v>497.988</v>
      </c>
      <c r="CC104" s="1064">
        <f>'Recurrentes 24-26'!CA106</f>
        <v>497.988</v>
      </c>
      <c r="CD104" s="1064">
        <f>'Recurrentes 24-26'!CB106</f>
        <v>497.988</v>
      </c>
      <c r="CE104" s="1064">
        <f>'Recurrentes 24-26'!CC106</f>
        <v>199.1952</v>
      </c>
      <c r="CF104" s="1064">
        <f>'Recurrentes 24-26'!CD106</f>
        <v>199.1952</v>
      </c>
      <c r="CG104" s="1064">
        <f>'Recurrentes 24-26'!CE106</f>
        <v>0</v>
      </c>
      <c r="CH104" s="1064">
        <f>'Recurrentes 24-26'!CF106</f>
        <v>199.1952</v>
      </c>
      <c r="CI104" s="451"/>
      <c r="CJ104" s="1062">
        <f>'Recurrentes 24-26'!CG106</f>
        <v>2091.5496</v>
      </c>
      <c r="CK104" s="1062">
        <f>'Recurrentes 24-26'!CH106</f>
        <v>5378.2704</v>
      </c>
      <c r="CL104" s="451" t="str">
        <f>'Recurrentes 24-26'!CI106</f>
        <v/>
      </c>
      <c r="CM104" s="1064" t="str">
        <f>'Recurrentes 24-26'!CJ106</f>
        <v/>
      </c>
      <c r="CN104" s="451">
        <f>'Recurrentes 24-26'!CK106</f>
        <v>1</v>
      </c>
      <c r="CO104" s="1062">
        <f>'Recurrentes 24-26'!CL106</f>
        <v>14.31</v>
      </c>
      <c r="CP104" s="451" t="str">
        <f>'Recurrentes 24-26'!CM106</f>
        <v/>
      </c>
    </row>
    <row r="105">
      <c r="A105" s="451" t="str">
        <f>'Recurrentes 24-26'!A107</f>
        <v>Repuestos Electromecánicos recurrentes</v>
      </c>
      <c r="B105" s="451">
        <f>'Recurrentes 24-26'!B107</f>
        <v>2</v>
      </c>
      <c r="C105" s="451" t="str">
        <f>'Recurrentes 24-26'!C107</f>
        <v>Vehículo</v>
      </c>
      <c r="D105" s="451" t="str">
        <f>'Recurrentes 24-26'!D107</f>
        <v>10% Suspensiones de Cabinas </v>
      </c>
      <c r="E105" s="451" t="str">
        <f>'Recurrentes 24-26'!E107</f>
        <v>Repuesto Mecánico</v>
      </c>
      <c r="F105" s="451" t="str">
        <f>'Recurrentes 24-26'!F107</f>
        <v>TDB</v>
      </c>
      <c r="G105" s="1025" t="str">
        <f>'Recurrentes 24-26'!G107</f>
        <v>39800</v>
      </c>
      <c r="H105" s="1061" t="str">
        <f>'Recurrentes 24-26'!H107</f>
        <v>2-01-00656</v>
      </c>
      <c r="I105" s="1061" t="str">
        <f>'Recurrentes 24-26'!I107</f>
        <v>10752839</v>
      </c>
      <c r="J105" s="1061" t="str">
        <f>'Recurrentes 24-26'!J107</f>
        <v>TUERCA HEX. DIN 985-8 M14X1.5 GVZ ELECTROGALV. (PARTE APR.)</v>
      </c>
      <c r="K105" s="451" t="str">
        <f>'Recurrentes 24-26'!K107</f>
        <v>Pza</v>
      </c>
      <c r="L105" s="451">
        <f>'Recurrentes 24-26'!L107</f>
        <v>80</v>
      </c>
      <c r="M105" s="451">
        <f>'Recurrentes 24-26'!M107</f>
        <v>60</v>
      </c>
      <c r="N105" s="451">
        <f>'Recurrentes 24-26'!N107</f>
        <v>72</v>
      </c>
      <c r="O105" s="451">
        <f>'Recurrentes 24-26'!O107</f>
        <v>44</v>
      </c>
      <c r="P105" s="451">
        <f>'Recurrentes 24-26'!P107</f>
        <v>52</v>
      </c>
      <c r="Q105" s="451">
        <f>'Recurrentes 24-26'!Q107</f>
        <v>84</v>
      </c>
      <c r="R105" s="451">
        <f>'Recurrentes 24-26'!R107</f>
        <v>0</v>
      </c>
      <c r="S105" s="451">
        <f>'Recurrentes 24-26'!S107</f>
        <v>64</v>
      </c>
      <c r="T105" s="451">
        <f>'Recurrentes 24-26'!T107</f>
        <v>12</v>
      </c>
      <c r="U105" s="451">
        <f>'Recurrentes 24-26'!U107</f>
        <v>0</v>
      </c>
      <c r="V105" s="451">
        <f>'Recurrentes 24-26'!V107</f>
        <v>0</v>
      </c>
      <c r="W105" s="1062">
        <f>'Recurrentes 24-26'!W107</f>
        <v>468</v>
      </c>
      <c r="X105" s="451">
        <f>'Recurrentes 24-26'!X107</f>
        <v>80</v>
      </c>
      <c r="Y105" s="451">
        <f>'Recurrentes 24-26'!Y107</f>
        <v>60</v>
      </c>
      <c r="Z105" s="451">
        <f>'Recurrentes 24-26'!Z107</f>
        <v>72</v>
      </c>
      <c r="AA105" s="451">
        <f>'Recurrentes 24-26'!AA107</f>
        <v>44</v>
      </c>
      <c r="AB105" s="451">
        <f>'Recurrentes 24-26'!AB107</f>
        <v>52</v>
      </c>
      <c r="AC105" s="451">
        <f>'Recurrentes 24-26'!AC107</f>
        <v>84</v>
      </c>
      <c r="AD105" s="451">
        <f>'Recurrentes 24-26'!AD107</f>
        <v>52</v>
      </c>
      <c r="AE105" s="451">
        <f>'Recurrentes 24-26'!AE107</f>
        <v>64</v>
      </c>
      <c r="AF105" s="451">
        <f>'Recurrentes 24-26'!AF107</f>
        <v>12</v>
      </c>
      <c r="AG105" s="451">
        <f>'Recurrentes 24-26'!AG107</f>
        <v>0</v>
      </c>
      <c r="AH105" s="451">
        <f>'Recurrentes 24-26'!AH107</f>
        <v>0</v>
      </c>
      <c r="AI105" s="1062">
        <f>'Recurrentes 24-26'!AI107</f>
        <v>520</v>
      </c>
      <c r="AJ105" s="451">
        <f>'Recurrentes 24-26'!AJ107</f>
        <v>80</v>
      </c>
      <c r="AK105" s="451">
        <f>'Recurrentes 24-26'!AK107</f>
        <v>60</v>
      </c>
      <c r="AL105" s="451">
        <f>'Recurrentes 24-26'!AL107</f>
        <v>72</v>
      </c>
      <c r="AM105" s="451">
        <f>'Recurrentes 24-26'!AM107</f>
        <v>44</v>
      </c>
      <c r="AN105" s="451">
        <f>'Recurrentes 24-26'!AN107</f>
        <v>52</v>
      </c>
      <c r="AO105" s="451">
        <f>'Recurrentes 24-26'!AO107</f>
        <v>84</v>
      </c>
      <c r="AP105" s="451">
        <f>'Recurrentes 24-26'!AP107</f>
        <v>52</v>
      </c>
      <c r="AQ105" s="451">
        <f>'Recurrentes 24-26'!AQ107</f>
        <v>64</v>
      </c>
      <c r="AR105" s="451">
        <f>'Recurrentes 24-26'!AR107</f>
        <v>12</v>
      </c>
      <c r="AS105" s="451">
        <f>'Recurrentes 24-26'!AS107</f>
        <v>0</v>
      </c>
      <c r="AT105" s="451">
        <f>'Recurrentes 24-26'!AT107</f>
        <v>0</v>
      </c>
      <c r="AU105" s="1062">
        <f>'Recurrentes 24-26'!AU107</f>
        <v>520</v>
      </c>
      <c r="AV105" s="1063">
        <f>'Recurrentes 24-26'!AV107</f>
        <v>1508</v>
      </c>
      <c r="AW105" s="451" t="str">
        <f>'Recurrentes 24-26'!AW107</f>
        <v/>
      </c>
      <c r="AX105" s="1062">
        <f>'Recurrentes 24-26'!AX107</f>
        <v>0.5</v>
      </c>
      <c r="AY105" s="1062">
        <f>'Recurrentes 24-26'!AY107</f>
        <v>3.48</v>
      </c>
      <c r="AZ105" s="1064" t="str">
        <f>'Recurrentes 24-26'!AZ107</f>
        <v/>
      </c>
      <c r="BA105" s="1064">
        <f>'Recurrentes 24-26'!BA107</f>
        <v>278.4</v>
      </c>
      <c r="BB105" s="1064">
        <f>'Recurrentes 24-26'!BB107</f>
        <v>208.8</v>
      </c>
      <c r="BC105" s="1064">
        <f>'Recurrentes 24-26'!BC107</f>
        <v>250.56</v>
      </c>
      <c r="BD105" s="1064">
        <f>'Recurrentes 24-26'!BD107</f>
        <v>153.12</v>
      </c>
      <c r="BE105" s="1064">
        <f>'Recurrentes 24-26'!BE107</f>
        <v>180.96</v>
      </c>
      <c r="BF105" s="1064">
        <f>'Recurrentes 24-26'!BF107</f>
        <v>292.32</v>
      </c>
      <c r="BG105" s="1064">
        <f>'Recurrentes 24-26'!BG107</f>
        <v>0</v>
      </c>
      <c r="BH105" s="1064">
        <f>'Recurrentes 24-26'!BH107</f>
        <v>222.72</v>
      </c>
      <c r="BI105" s="1064">
        <f>'Recurrentes 24-26'!BI107</f>
        <v>41.76</v>
      </c>
      <c r="BJ105" s="1064">
        <f>'Recurrentes 24-26'!BJ107</f>
        <v>0</v>
      </c>
      <c r="BK105" s="451"/>
      <c r="BL105" s="1062">
        <f>'Recurrentes 24-26'!BK107</f>
        <v>1628.64</v>
      </c>
      <c r="BM105" s="1064">
        <f>'Recurrentes 24-26'!BL107</f>
        <v>278.4</v>
      </c>
      <c r="BN105" s="1064">
        <f>'Recurrentes 24-26'!BM107</f>
        <v>208.8</v>
      </c>
      <c r="BO105" s="1064">
        <f>'Recurrentes 24-26'!BN107</f>
        <v>250.56</v>
      </c>
      <c r="BP105" s="1064">
        <f>'Recurrentes 24-26'!BO107</f>
        <v>153.12</v>
      </c>
      <c r="BQ105" s="1064">
        <f>'Recurrentes 24-26'!BP107</f>
        <v>180.96</v>
      </c>
      <c r="BR105" s="1064">
        <f>'Recurrentes 24-26'!BQ107</f>
        <v>292.32</v>
      </c>
      <c r="BS105" s="1064">
        <f>'Recurrentes 24-26'!BR107</f>
        <v>180.96</v>
      </c>
      <c r="BT105" s="1064">
        <f>'Recurrentes 24-26'!BS107</f>
        <v>222.72</v>
      </c>
      <c r="BU105" s="1064">
        <f>'Recurrentes 24-26'!BT107</f>
        <v>41.76</v>
      </c>
      <c r="BV105" s="1064">
        <f>'Recurrentes 24-26'!BU107</f>
        <v>0</v>
      </c>
      <c r="BW105" s="451"/>
      <c r="BX105" s="1062">
        <f>'Recurrentes 24-26'!BV107</f>
        <v>1809.6</v>
      </c>
      <c r="BY105" s="1064">
        <f>'Recurrentes 24-26'!BW107</f>
        <v>278.4</v>
      </c>
      <c r="BZ105" s="1064">
        <f>'Recurrentes 24-26'!BX107</f>
        <v>208.8</v>
      </c>
      <c r="CA105" s="1064">
        <f>'Recurrentes 24-26'!BY107</f>
        <v>250.56</v>
      </c>
      <c r="CB105" s="1064">
        <f>'Recurrentes 24-26'!BZ107</f>
        <v>153.12</v>
      </c>
      <c r="CC105" s="1064">
        <f>'Recurrentes 24-26'!CA107</f>
        <v>180.96</v>
      </c>
      <c r="CD105" s="1064">
        <f>'Recurrentes 24-26'!CB107</f>
        <v>292.32</v>
      </c>
      <c r="CE105" s="1064">
        <f>'Recurrentes 24-26'!CC107</f>
        <v>180.96</v>
      </c>
      <c r="CF105" s="1064">
        <f>'Recurrentes 24-26'!CD107</f>
        <v>222.72</v>
      </c>
      <c r="CG105" s="1064">
        <f>'Recurrentes 24-26'!CE107</f>
        <v>41.76</v>
      </c>
      <c r="CH105" s="1064">
        <f>'Recurrentes 24-26'!CF107</f>
        <v>0</v>
      </c>
      <c r="CI105" s="451"/>
      <c r="CJ105" s="1062">
        <f>'Recurrentes 24-26'!CG107</f>
        <v>1809.6</v>
      </c>
      <c r="CK105" s="1062">
        <f>'Recurrentes 24-26'!CH107</f>
        <v>5247.84</v>
      </c>
      <c r="CL105" s="451" t="str">
        <f>'Recurrentes 24-26'!CI107</f>
        <v/>
      </c>
      <c r="CM105" s="1064" t="str">
        <f>'Recurrentes 24-26'!CJ107</f>
        <v/>
      </c>
      <c r="CN105" s="451">
        <f>'Recurrentes 24-26'!CK107</f>
        <v>1</v>
      </c>
      <c r="CO105" s="1062">
        <f>'Recurrentes 24-26'!CL107</f>
        <v>0.5</v>
      </c>
      <c r="CP105" s="451" t="str">
        <f>'Recurrentes 24-26'!CM107</f>
        <v/>
      </c>
    </row>
    <row r="106">
      <c r="A106" s="451" t="str">
        <f>'Recurrentes 24-26'!A108</f>
        <v>Repuestos Electromecánicos recurrentes</v>
      </c>
      <c r="B106" s="451">
        <f>'Recurrentes 24-26'!B108</f>
        <v>2</v>
      </c>
      <c r="C106" s="451" t="str">
        <f>'Recurrentes 24-26'!C108</f>
        <v>Torres</v>
      </c>
      <c r="D106" s="451" t="str">
        <f>'Recurrentes 24-26'!D108</f>
        <v>Reacondicionamiento de Poleas Palpadoras</v>
      </c>
      <c r="E106" s="451" t="str">
        <f>'Recurrentes 24-26'!E108</f>
        <v>Repuesto Mecánico</v>
      </c>
      <c r="F106" s="451" t="str">
        <f>'Recurrentes 24-26'!F108</f>
        <v>TDB</v>
      </c>
      <c r="G106" s="1025" t="str">
        <f>'Recurrentes 24-26'!G108</f>
        <v>39800</v>
      </c>
      <c r="H106" s="1061" t="str">
        <f>'Recurrentes 24-26'!H108</f>
        <v>2-01-00503</v>
      </c>
      <c r="I106" s="1061" t="str">
        <f>'Recurrentes 24-26'!I108</f>
        <v>10531215</v>
      </c>
      <c r="J106" s="1061" t="str">
        <f>'Recurrentes 24-26'!J108</f>
        <v>DISCO DISTANCIADOR DIA. 50  / 31   E=  1,5</v>
      </c>
      <c r="K106" s="451" t="str">
        <f>'Recurrentes 24-26'!K108</f>
        <v>Pza</v>
      </c>
      <c r="L106" s="451">
        <f>'Recurrentes 24-26'!L108</f>
        <v>8</v>
      </c>
      <c r="M106" s="451">
        <f>'Recurrentes 24-26'!M108</f>
        <v>3</v>
      </c>
      <c r="N106" s="451">
        <f>'Recurrentes 24-26'!N108</f>
        <v>8</v>
      </c>
      <c r="O106" s="451">
        <f>'Recurrentes 24-26'!O108</f>
        <v>8</v>
      </c>
      <c r="P106" s="451">
        <f>'Recurrentes 24-26'!P108</f>
        <v>8</v>
      </c>
      <c r="Q106" s="451">
        <f>'Recurrentes 24-26'!Q108</f>
        <v>10</v>
      </c>
      <c r="R106" s="451">
        <f>'Recurrentes 24-26'!R108</f>
        <v>8</v>
      </c>
      <c r="S106" s="451">
        <f>'Recurrentes 24-26'!S108</f>
        <v>8</v>
      </c>
      <c r="T106" s="451">
        <f>'Recurrentes 24-26'!T108</f>
        <v>8</v>
      </c>
      <c r="U106" s="451">
        <f>'Recurrentes 24-26'!U108</f>
        <v>18</v>
      </c>
      <c r="V106" s="451">
        <f>'Recurrentes 24-26'!V108</f>
        <v>0</v>
      </c>
      <c r="W106" s="1062">
        <f>'Recurrentes 24-26'!W108</f>
        <v>87</v>
      </c>
      <c r="X106" s="451">
        <f>'Recurrentes 24-26'!X108</f>
        <v>8</v>
      </c>
      <c r="Y106" s="451">
        <f>'Recurrentes 24-26'!Y108</f>
        <v>3</v>
      </c>
      <c r="Z106" s="451">
        <f>'Recurrentes 24-26'!Z108</f>
        <v>8</v>
      </c>
      <c r="AA106" s="451">
        <f>'Recurrentes 24-26'!AA108</f>
        <v>8</v>
      </c>
      <c r="AB106" s="451">
        <f>'Recurrentes 24-26'!AB108</f>
        <v>8</v>
      </c>
      <c r="AC106" s="451">
        <f>'Recurrentes 24-26'!AC108</f>
        <v>10</v>
      </c>
      <c r="AD106" s="451">
        <f>'Recurrentes 24-26'!AD108</f>
        <v>8</v>
      </c>
      <c r="AE106" s="451">
        <f>'Recurrentes 24-26'!AE108</f>
        <v>8</v>
      </c>
      <c r="AF106" s="451">
        <f>'Recurrentes 24-26'!AF108</f>
        <v>8</v>
      </c>
      <c r="AG106" s="451">
        <f>'Recurrentes 24-26'!AG108</f>
        <v>18</v>
      </c>
      <c r="AH106" s="451">
        <f>'Recurrentes 24-26'!AH108</f>
        <v>0</v>
      </c>
      <c r="AI106" s="1062">
        <f>'Recurrentes 24-26'!AI108</f>
        <v>87</v>
      </c>
      <c r="AJ106" s="451">
        <f>'Recurrentes 24-26'!AJ108</f>
        <v>8</v>
      </c>
      <c r="AK106" s="451">
        <f>'Recurrentes 24-26'!AK108</f>
        <v>3</v>
      </c>
      <c r="AL106" s="451">
        <f>'Recurrentes 24-26'!AL108</f>
        <v>8</v>
      </c>
      <c r="AM106" s="451">
        <f>'Recurrentes 24-26'!AM108</f>
        <v>8</v>
      </c>
      <c r="AN106" s="451">
        <f>'Recurrentes 24-26'!AN108</f>
        <v>8</v>
      </c>
      <c r="AO106" s="451">
        <f>'Recurrentes 24-26'!AO108</f>
        <v>10</v>
      </c>
      <c r="AP106" s="451">
        <f>'Recurrentes 24-26'!AP108</f>
        <v>8</v>
      </c>
      <c r="AQ106" s="451">
        <f>'Recurrentes 24-26'!AQ108</f>
        <v>8</v>
      </c>
      <c r="AR106" s="451">
        <f>'Recurrentes 24-26'!AR108</f>
        <v>8</v>
      </c>
      <c r="AS106" s="451">
        <f>'Recurrentes 24-26'!AS108</f>
        <v>18</v>
      </c>
      <c r="AT106" s="451">
        <f>'Recurrentes 24-26'!AT108</f>
        <v>0</v>
      </c>
      <c r="AU106" s="1062">
        <f>'Recurrentes 24-26'!AU108</f>
        <v>87</v>
      </c>
      <c r="AV106" s="1062">
        <f>'Recurrentes 24-26'!AV108</f>
        <v>261</v>
      </c>
      <c r="AW106" s="451" t="str">
        <f>'Recurrentes 24-26'!AW108</f>
        <v/>
      </c>
      <c r="AX106" s="1062">
        <f>'Recurrentes 24-26'!AX108</f>
        <v>2.85</v>
      </c>
      <c r="AY106" s="1062">
        <f>'Recurrentes 24-26'!AY108</f>
        <v>19.836</v>
      </c>
      <c r="AZ106" s="1064" t="str">
        <f>'Recurrentes 24-26'!AZ108</f>
        <v/>
      </c>
      <c r="BA106" s="1064">
        <f>'Recurrentes 24-26'!BA108</f>
        <v>158.688</v>
      </c>
      <c r="BB106" s="1064">
        <f>'Recurrentes 24-26'!BB108</f>
        <v>59.508</v>
      </c>
      <c r="BC106" s="1064">
        <f>'Recurrentes 24-26'!BC108</f>
        <v>158.688</v>
      </c>
      <c r="BD106" s="1064">
        <f>'Recurrentes 24-26'!BD108</f>
        <v>158.688</v>
      </c>
      <c r="BE106" s="1064">
        <f>'Recurrentes 24-26'!BE108</f>
        <v>158.688</v>
      </c>
      <c r="BF106" s="1064">
        <f>'Recurrentes 24-26'!BF108</f>
        <v>198.36</v>
      </c>
      <c r="BG106" s="1064">
        <f>'Recurrentes 24-26'!BG108</f>
        <v>158.688</v>
      </c>
      <c r="BH106" s="1064">
        <f>'Recurrentes 24-26'!BH108</f>
        <v>158.688</v>
      </c>
      <c r="BI106" s="1064">
        <f>'Recurrentes 24-26'!BI108</f>
        <v>158.688</v>
      </c>
      <c r="BJ106" s="1064">
        <f>'Recurrentes 24-26'!BJ108</f>
        <v>357.048</v>
      </c>
      <c r="BK106" s="451"/>
      <c r="BL106" s="1062">
        <f>'Recurrentes 24-26'!BK108</f>
        <v>1725.732</v>
      </c>
      <c r="BM106" s="1064">
        <f>'Recurrentes 24-26'!BL108</f>
        <v>158.688</v>
      </c>
      <c r="BN106" s="1064">
        <f>'Recurrentes 24-26'!BM108</f>
        <v>59.508</v>
      </c>
      <c r="BO106" s="1064">
        <f>'Recurrentes 24-26'!BN108</f>
        <v>158.688</v>
      </c>
      <c r="BP106" s="1064">
        <f>'Recurrentes 24-26'!BO108</f>
        <v>158.688</v>
      </c>
      <c r="BQ106" s="1064">
        <f>'Recurrentes 24-26'!BP108</f>
        <v>158.688</v>
      </c>
      <c r="BR106" s="1064">
        <f>'Recurrentes 24-26'!BQ108</f>
        <v>198.36</v>
      </c>
      <c r="BS106" s="1064">
        <f>'Recurrentes 24-26'!BR108</f>
        <v>158.688</v>
      </c>
      <c r="BT106" s="1064">
        <f>'Recurrentes 24-26'!BS108</f>
        <v>158.688</v>
      </c>
      <c r="BU106" s="1064">
        <f>'Recurrentes 24-26'!BT108</f>
        <v>158.688</v>
      </c>
      <c r="BV106" s="1064">
        <f>'Recurrentes 24-26'!BU108</f>
        <v>357.048</v>
      </c>
      <c r="BW106" s="451"/>
      <c r="BX106" s="1062">
        <f>'Recurrentes 24-26'!BV108</f>
        <v>1725.732</v>
      </c>
      <c r="BY106" s="1064">
        <f>'Recurrentes 24-26'!BW108</f>
        <v>158.688</v>
      </c>
      <c r="BZ106" s="1064">
        <f>'Recurrentes 24-26'!BX108</f>
        <v>59.508</v>
      </c>
      <c r="CA106" s="1064">
        <f>'Recurrentes 24-26'!BY108</f>
        <v>158.688</v>
      </c>
      <c r="CB106" s="1064">
        <f>'Recurrentes 24-26'!BZ108</f>
        <v>158.688</v>
      </c>
      <c r="CC106" s="1064">
        <f>'Recurrentes 24-26'!CA108</f>
        <v>158.688</v>
      </c>
      <c r="CD106" s="1064">
        <f>'Recurrentes 24-26'!CB108</f>
        <v>198.36</v>
      </c>
      <c r="CE106" s="1064">
        <f>'Recurrentes 24-26'!CC108</f>
        <v>158.688</v>
      </c>
      <c r="CF106" s="1064">
        <f>'Recurrentes 24-26'!CD108</f>
        <v>158.688</v>
      </c>
      <c r="CG106" s="1064">
        <f>'Recurrentes 24-26'!CE108</f>
        <v>158.688</v>
      </c>
      <c r="CH106" s="1064">
        <f>'Recurrentes 24-26'!CF108</f>
        <v>357.048</v>
      </c>
      <c r="CI106" s="451"/>
      <c r="CJ106" s="1062">
        <f>'Recurrentes 24-26'!CG108</f>
        <v>1725.732</v>
      </c>
      <c r="CK106" s="1062">
        <f>'Recurrentes 24-26'!CH108</f>
        <v>5177.196</v>
      </c>
      <c r="CL106" s="451" t="str">
        <f>'Recurrentes 24-26'!CI108</f>
        <v/>
      </c>
      <c r="CM106" s="1064" t="str">
        <f>'Recurrentes 24-26'!CJ108</f>
        <v/>
      </c>
      <c r="CN106" s="451">
        <f>'Recurrentes 24-26'!CK108</f>
        <v>1</v>
      </c>
      <c r="CO106" s="1062">
        <f>'Recurrentes 24-26'!CL108</f>
        <v>2.85</v>
      </c>
      <c r="CP106" s="451" t="str">
        <f>'Recurrentes 24-26'!CM108</f>
        <v/>
      </c>
    </row>
    <row r="107">
      <c r="A107" s="451" t="str">
        <f>'Recurrentes 24-26'!A109</f>
        <v/>
      </c>
      <c r="B107" s="451" t="str">
        <f>'Recurrentes 24-26'!B109</f>
        <v/>
      </c>
      <c r="C107" s="451" t="str">
        <f>'Recurrentes 24-26'!C109</f>
        <v/>
      </c>
      <c r="D107" s="451" t="str">
        <f>'Recurrentes 24-26'!D109</f>
        <v/>
      </c>
      <c r="E107" s="451" t="str">
        <f>'Recurrentes 24-26'!E109</f>
        <v/>
      </c>
      <c r="F107" s="451" t="str">
        <f>'Recurrentes 24-26'!F109</f>
        <v/>
      </c>
      <c r="G107" s="1061" t="str">
        <f>'Recurrentes 24-26'!G109</f>
        <v/>
      </c>
      <c r="H107" s="451" t="str">
        <f>'Recurrentes 24-26'!H109</f>
        <v/>
      </c>
      <c r="I107" s="1061" t="str">
        <f>'Recurrentes 24-26'!I109</f>
        <v/>
      </c>
      <c r="J107" s="1061" t="str">
        <f>'Recurrentes 24-26'!J109</f>
        <v/>
      </c>
      <c r="K107" s="451" t="str">
        <f>'Recurrentes 24-26'!K109</f>
        <v/>
      </c>
      <c r="L107" s="451" t="str">
        <f>'Recurrentes 24-26'!L109</f>
        <v/>
      </c>
      <c r="M107" s="451" t="str">
        <f>'Recurrentes 24-26'!M109</f>
        <v/>
      </c>
      <c r="N107" s="451" t="str">
        <f>'Recurrentes 24-26'!N109</f>
        <v/>
      </c>
      <c r="O107" s="451" t="str">
        <f>'Recurrentes 24-26'!O109</f>
        <v/>
      </c>
      <c r="P107" s="451" t="str">
        <f>'Recurrentes 24-26'!P109</f>
        <v/>
      </c>
      <c r="Q107" s="451" t="str">
        <f>'Recurrentes 24-26'!Q109</f>
        <v/>
      </c>
      <c r="R107" s="451" t="str">
        <f>'Recurrentes 24-26'!R109</f>
        <v/>
      </c>
      <c r="S107" s="451" t="str">
        <f>'Recurrentes 24-26'!S109</f>
        <v/>
      </c>
      <c r="T107" s="451" t="str">
        <f>'Recurrentes 24-26'!T109</f>
        <v/>
      </c>
      <c r="U107" s="451" t="str">
        <f>'Recurrentes 24-26'!U109</f>
        <v/>
      </c>
      <c r="V107" s="451" t="str">
        <f>'Recurrentes 24-26'!V109</f>
        <v/>
      </c>
      <c r="W107" s="451" t="str">
        <f>'Recurrentes 24-26'!W109</f>
        <v/>
      </c>
      <c r="X107" s="451" t="str">
        <f>'Recurrentes 24-26'!X109</f>
        <v/>
      </c>
      <c r="Y107" s="451" t="str">
        <f>'Recurrentes 24-26'!Y109</f>
        <v/>
      </c>
      <c r="Z107" s="451" t="str">
        <f>'Recurrentes 24-26'!Z109</f>
        <v/>
      </c>
      <c r="AA107" s="451" t="str">
        <f>'Recurrentes 24-26'!AA109</f>
        <v/>
      </c>
      <c r="AB107" s="451" t="str">
        <f>'Recurrentes 24-26'!AB109</f>
        <v/>
      </c>
      <c r="AC107" s="451" t="str">
        <f>'Recurrentes 24-26'!AC109</f>
        <v/>
      </c>
      <c r="AD107" s="451" t="str">
        <f>'Recurrentes 24-26'!AD109</f>
        <v/>
      </c>
      <c r="AE107" s="451" t="str">
        <f>'Recurrentes 24-26'!AE109</f>
        <v/>
      </c>
      <c r="AF107" s="451" t="str">
        <f>'Recurrentes 24-26'!AF109</f>
        <v/>
      </c>
      <c r="AG107" s="451" t="str">
        <f>'Recurrentes 24-26'!AG109</f>
        <v/>
      </c>
      <c r="AH107" s="451" t="str">
        <f>'Recurrentes 24-26'!AH109</f>
        <v/>
      </c>
      <c r="AI107" s="451" t="str">
        <f>'Recurrentes 24-26'!AI109</f>
        <v/>
      </c>
      <c r="AJ107" s="451" t="str">
        <f>'Recurrentes 24-26'!AJ109</f>
        <v/>
      </c>
      <c r="AK107" s="451" t="str">
        <f>'Recurrentes 24-26'!AK109</f>
        <v/>
      </c>
      <c r="AL107" s="451" t="str">
        <f>'Recurrentes 24-26'!AL109</f>
        <v/>
      </c>
      <c r="AM107" s="451" t="str">
        <f>'Recurrentes 24-26'!AM109</f>
        <v/>
      </c>
      <c r="AN107" s="451" t="str">
        <f>'Recurrentes 24-26'!AN109</f>
        <v/>
      </c>
      <c r="AO107" s="451" t="str">
        <f>'Recurrentes 24-26'!AO109</f>
        <v/>
      </c>
      <c r="AP107" s="451" t="str">
        <f>'Recurrentes 24-26'!AP109</f>
        <v/>
      </c>
      <c r="AQ107" s="451" t="str">
        <f>'Recurrentes 24-26'!AQ109</f>
        <v/>
      </c>
      <c r="AR107" s="451" t="str">
        <f>'Recurrentes 24-26'!AR109</f>
        <v/>
      </c>
      <c r="AS107" s="451" t="str">
        <f>'Recurrentes 24-26'!AS109</f>
        <v/>
      </c>
      <c r="AT107" s="451" t="str">
        <f>'Recurrentes 24-26'!AT109</f>
        <v/>
      </c>
      <c r="AU107" s="451" t="str">
        <f>'Recurrentes 24-26'!AU109</f>
        <v/>
      </c>
      <c r="AV107" s="451" t="str">
        <f>'Recurrentes 24-26'!AV109</f>
        <v/>
      </c>
      <c r="AW107" s="451" t="str">
        <f>'Recurrentes 24-26'!AW109</f>
        <v/>
      </c>
      <c r="AX107" s="451" t="str">
        <f>'Recurrentes 24-26'!AX109</f>
        <v/>
      </c>
      <c r="AY107" s="451" t="str">
        <f>'Recurrentes 24-26'!AY109</f>
        <v/>
      </c>
      <c r="AZ107" s="1064" t="str">
        <f>'Recurrentes 24-26'!AZ109</f>
        <v/>
      </c>
      <c r="BA107" s="1064" t="str">
        <f>'Recurrentes 24-26'!BA109</f>
        <v/>
      </c>
      <c r="BB107" s="1064" t="str">
        <f>'Recurrentes 24-26'!BB109</f>
        <v/>
      </c>
      <c r="BC107" s="1064" t="str">
        <f>'Recurrentes 24-26'!BC109</f>
        <v/>
      </c>
      <c r="BD107" s="1064" t="str">
        <f>'Recurrentes 24-26'!BD109</f>
        <v/>
      </c>
      <c r="BE107" s="1064" t="str">
        <f>'Recurrentes 24-26'!BE109</f>
        <v/>
      </c>
      <c r="BF107" s="1064" t="str">
        <f>'Recurrentes 24-26'!BF109</f>
        <v/>
      </c>
      <c r="BG107" s="1064" t="str">
        <f>'Recurrentes 24-26'!BG109</f>
        <v/>
      </c>
      <c r="BH107" s="1064" t="str">
        <f>'Recurrentes 24-26'!BH109</f>
        <v/>
      </c>
      <c r="BI107" s="1064" t="str">
        <f>'Recurrentes 24-26'!BI109</f>
        <v/>
      </c>
      <c r="BJ107" s="1064" t="str">
        <f>'Recurrentes 24-26'!BJ109</f>
        <v/>
      </c>
      <c r="BK107" s="451"/>
      <c r="BL107" s="1064" t="str">
        <f>'Recurrentes 24-26'!BK109</f>
        <v/>
      </c>
      <c r="BM107" s="1064" t="str">
        <f>'Recurrentes 24-26'!BL109</f>
        <v/>
      </c>
      <c r="BN107" s="1064" t="str">
        <f>'Recurrentes 24-26'!BM109</f>
        <v/>
      </c>
      <c r="BO107" s="1064" t="str">
        <f>'Recurrentes 24-26'!BN109</f>
        <v/>
      </c>
      <c r="BP107" s="1064" t="str">
        <f>'Recurrentes 24-26'!BO109</f>
        <v/>
      </c>
      <c r="BQ107" s="1064" t="str">
        <f>'Recurrentes 24-26'!BP109</f>
        <v/>
      </c>
      <c r="BR107" s="1064" t="str">
        <f>'Recurrentes 24-26'!BQ109</f>
        <v/>
      </c>
      <c r="BS107" s="1064" t="str">
        <f>'Recurrentes 24-26'!BR109</f>
        <v/>
      </c>
      <c r="BT107" s="1064" t="str">
        <f>'Recurrentes 24-26'!BS109</f>
        <v/>
      </c>
      <c r="BU107" s="1064" t="str">
        <f>'Recurrentes 24-26'!BT109</f>
        <v/>
      </c>
      <c r="BV107" s="1064" t="str">
        <f>'Recurrentes 24-26'!BU109</f>
        <v/>
      </c>
      <c r="BW107" s="451"/>
      <c r="BX107" s="1064" t="str">
        <f>'Recurrentes 24-26'!BV109</f>
        <v/>
      </c>
      <c r="BY107" s="1064" t="str">
        <f>'Recurrentes 24-26'!BW109</f>
        <v/>
      </c>
      <c r="BZ107" s="1064" t="str">
        <f>'Recurrentes 24-26'!BX109</f>
        <v/>
      </c>
      <c r="CA107" s="1064" t="str">
        <f>'Recurrentes 24-26'!BY109</f>
        <v/>
      </c>
      <c r="CB107" s="1064" t="str">
        <f>'Recurrentes 24-26'!BZ109</f>
        <v/>
      </c>
      <c r="CC107" s="1064" t="str">
        <f>'Recurrentes 24-26'!CA109</f>
        <v/>
      </c>
      <c r="CD107" s="1064" t="str">
        <f>'Recurrentes 24-26'!CB109</f>
        <v/>
      </c>
      <c r="CE107" s="1064" t="str">
        <f>'Recurrentes 24-26'!CC109</f>
        <v/>
      </c>
      <c r="CF107" s="1064" t="str">
        <f>'Recurrentes 24-26'!CD109</f>
        <v/>
      </c>
      <c r="CG107" s="1064" t="str">
        <f>'Recurrentes 24-26'!CE109</f>
        <v/>
      </c>
      <c r="CH107" s="1064" t="str">
        <f>'Recurrentes 24-26'!CF109</f>
        <v/>
      </c>
      <c r="CI107" s="451"/>
      <c r="CJ107" s="1064" t="str">
        <f>'Recurrentes 24-26'!CG109</f>
        <v/>
      </c>
      <c r="CK107" s="1064" t="str">
        <f>'Recurrentes 24-26'!CH109</f>
        <v/>
      </c>
      <c r="CL107" s="451" t="str">
        <f>'Recurrentes 24-26'!CI109</f>
        <v/>
      </c>
      <c r="CM107" s="1064" t="str">
        <f>'Recurrentes 24-26'!CJ109</f>
        <v/>
      </c>
      <c r="CN107" s="451" t="str">
        <f>'Recurrentes 24-26'!CK109</f>
        <v/>
      </c>
      <c r="CO107" s="451" t="str">
        <f>'Recurrentes 24-26'!CL109</f>
        <v/>
      </c>
      <c r="CP107" s="451" t="str">
        <f>'Recurrentes 24-26'!CM109</f>
        <v/>
      </c>
    </row>
    <row r="108">
      <c r="A108" s="451" t="str">
        <f>'Recurrentes 24-26'!A110</f>
        <v>Repuestos Electromecánicos recurrentes</v>
      </c>
      <c r="B108" s="451">
        <f>'Recurrentes 24-26'!B110</f>
        <v>2</v>
      </c>
      <c r="C108" s="451" t="str">
        <f>'Recurrentes 24-26'!C110</f>
        <v>Vehículo</v>
      </c>
      <c r="D108" s="451" t="str">
        <f>'Recurrentes 24-26'!D110</f>
        <v>Manto. Pinza</v>
      </c>
      <c r="E108" s="451" t="str">
        <f>'Recurrentes 24-26'!E110</f>
        <v>Repuesto Mecánico</v>
      </c>
      <c r="F108" s="451" t="str">
        <f>'Recurrentes 24-26'!F110</f>
        <v>TDB</v>
      </c>
      <c r="G108" s="1025" t="str">
        <f>'Recurrentes 24-26'!G110</f>
        <v>39800</v>
      </c>
      <c r="H108" s="1061" t="str">
        <f>'Recurrentes 24-26'!H110</f>
        <v>2-01-00286</v>
      </c>
      <c r="I108" s="1061" t="str">
        <f>'Recurrentes 24-26'!I110</f>
        <v>10000079</v>
      </c>
      <c r="J108" s="1061" t="str">
        <f>'Recurrentes 24-26'!J110</f>
        <v>TUERCA HEXAG. DIN 985-8 M10 ELECTROGALV. (C.ELEM.DE FIJAC.)</v>
      </c>
      <c r="K108" s="451" t="str">
        <f>'Recurrentes 24-26'!K110</f>
        <v>Pza</v>
      </c>
      <c r="L108" s="451">
        <f>'Recurrentes 24-26'!L110</f>
        <v>220</v>
      </c>
      <c r="M108" s="451">
        <f>'Recurrentes 24-26'!M110</f>
        <v>131</v>
      </c>
      <c r="N108" s="451">
        <f>'Recurrentes 24-26'!N110</f>
        <v>192</v>
      </c>
      <c r="O108" s="451">
        <f>'Recurrentes 24-26'!O110</f>
        <v>124</v>
      </c>
      <c r="P108" s="451">
        <f>'Recurrentes 24-26'!P110</f>
        <v>142</v>
      </c>
      <c r="Q108" s="451">
        <f>'Recurrentes 24-26'!Q110</f>
        <v>235</v>
      </c>
      <c r="R108" s="451">
        <f>'Recurrentes 24-26'!R110</f>
        <v>0</v>
      </c>
      <c r="S108" s="451">
        <f>'Recurrentes 24-26'!S110</f>
        <v>0</v>
      </c>
      <c r="T108" s="451">
        <f>'Recurrentes 24-26'!T110</f>
        <v>30</v>
      </c>
      <c r="U108" s="451">
        <f>'Recurrentes 24-26'!U110</f>
        <v>0</v>
      </c>
      <c r="V108" s="451">
        <f>'Recurrentes 24-26'!V110</f>
        <v>0</v>
      </c>
      <c r="W108" s="1062">
        <f>'Recurrentes 24-26'!W110</f>
        <v>1074</v>
      </c>
      <c r="X108" s="451">
        <f>'Recurrentes 24-26'!X110</f>
        <v>197</v>
      </c>
      <c r="Y108" s="451">
        <f>'Recurrentes 24-26'!Y110</f>
        <v>117</v>
      </c>
      <c r="Z108" s="451">
        <f>'Recurrentes 24-26'!Z110</f>
        <v>172</v>
      </c>
      <c r="AA108" s="451">
        <f>'Recurrentes 24-26'!AA110</f>
        <v>111</v>
      </c>
      <c r="AB108" s="451">
        <f>'Recurrentes 24-26'!AB110</f>
        <v>127</v>
      </c>
      <c r="AC108" s="451">
        <f>'Recurrentes 24-26'!AC110</f>
        <v>210</v>
      </c>
      <c r="AD108" s="451">
        <f>'Recurrentes 24-26'!AD110</f>
        <v>0</v>
      </c>
      <c r="AE108" s="451">
        <f>'Recurrentes 24-26'!AE110</f>
        <v>0</v>
      </c>
      <c r="AF108" s="451">
        <f>'Recurrentes 24-26'!AF110</f>
        <v>27</v>
      </c>
      <c r="AG108" s="451">
        <f>'Recurrentes 24-26'!AG110</f>
        <v>0</v>
      </c>
      <c r="AH108" s="451">
        <f>'Recurrentes 24-26'!AH110</f>
        <v>0</v>
      </c>
      <c r="AI108" s="1062">
        <f>'Recurrentes 24-26'!AI110</f>
        <v>961</v>
      </c>
      <c r="AJ108" s="451">
        <f>'Recurrentes 24-26'!AJ110</f>
        <v>197</v>
      </c>
      <c r="AK108" s="451">
        <f>'Recurrentes 24-26'!AK110</f>
        <v>117</v>
      </c>
      <c r="AL108" s="451">
        <f>'Recurrentes 24-26'!AL110</f>
        <v>172</v>
      </c>
      <c r="AM108" s="451">
        <f>'Recurrentes 24-26'!AM110</f>
        <v>111</v>
      </c>
      <c r="AN108" s="451">
        <f>'Recurrentes 24-26'!AN110</f>
        <v>127</v>
      </c>
      <c r="AO108" s="451">
        <f>'Recurrentes 24-26'!AO110</f>
        <v>210</v>
      </c>
      <c r="AP108" s="451">
        <f>'Recurrentes 24-26'!AP110</f>
        <v>0</v>
      </c>
      <c r="AQ108" s="451">
        <f>'Recurrentes 24-26'!AQ110</f>
        <v>0</v>
      </c>
      <c r="AR108" s="451">
        <f>'Recurrentes 24-26'!AR110</f>
        <v>27</v>
      </c>
      <c r="AS108" s="451">
        <f>'Recurrentes 24-26'!AS110</f>
        <v>0</v>
      </c>
      <c r="AT108" s="451">
        <f>'Recurrentes 24-26'!AT110</f>
        <v>0</v>
      </c>
      <c r="AU108" s="1062">
        <f>'Recurrentes 24-26'!AU110</f>
        <v>961</v>
      </c>
      <c r="AV108" s="1062">
        <f>'Recurrentes 24-26'!AV110</f>
        <v>2996</v>
      </c>
      <c r="AW108" s="451" t="str">
        <f>'Recurrentes 24-26'!AW110</f>
        <v/>
      </c>
      <c r="AX108" s="1062">
        <f>'Recurrentes 24-26'!AX110</f>
        <v>0.23</v>
      </c>
      <c r="AY108" s="1062">
        <f>'Recurrentes 24-26'!AY110</f>
        <v>1.6008</v>
      </c>
      <c r="AZ108" s="1064" t="str">
        <f>'Recurrentes 24-26'!AZ110</f>
        <v/>
      </c>
      <c r="BA108" s="1064">
        <f>'Recurrentes 24-26'!BA110</f>
        <v>352.176</v>
      </c>
      <c r="BB108" s="1064">
        <f>'Recurrentes 24-26'!BB110</f>
        <v>209.7048</v>
      </c>
      <c r="BC108" s="1064">
        <f>'Recurrentes 24-26'!BC110</f>
        <v>307.3536</v>
      </c>
      <c r="BD108" s="1064">
        <f>'Recurrentes 24-26'!BD110</f>
        <v>198.4992</v>
      </c>
      <c r="BE108" s="1064">
        <f>'Recurrentes 24-26'!BE110</f>
        <v>227.3136</v>
      </c>
      <c r="BF108" s="1064">
        <f>'Recurrentes 24-26'!BF110</f>
        <v>376.188</v>
      </c>
      <c r="BG108" s="1064">
        <f>'Recurrentes 24-26'!BG110</f>
        <v>0</v>
      </c>
      <c r="BH108" s="1064">
        <f>'Recurrentes 24-26'!BH110</f>
        <v>0</v>
      </c>
      <c r="BI108" s="1064">
        <f>'Recurrentes 24-26'!BI110</f>
        <v>48.024</v>
      </c>
      <c r="BJ108" s="1064">
        <f>'Recurrentes 24-26'!BJ110</f>
        <v>0</v>
      </c>
      <c r="BK108" s="451"/>
      <c r="BL108" s="1062">
        <f>'Recurrentes 24-26'!BK110</f>
        <v>1719.2592</v>
      </c>
      <c r="BM108" s="1064">
        <f>'Recurrentes 24-26'!BL110</f>
        <v>315.3576</v>
      </c>
      <c r="BN108" s="1064">
        <f>'Recurrentes 24-26'!BM110</f>
        <v>187.2936</v>
      </c>
      <c r="BO108" s="1064">
        <f>'Recurrentes 24-26'!BN110</f>
        <v>275.3376</v>
      </c>
      <c r="BP108" s="1064">
        <f>'Recurrentes 24-26'!BO110</f>
        <v>177.6888</v>
      </c>
      <c r="BQ108" s="1064">
        <f>'Recurrentes 24-26'!BP110</f>
        <v>203.3016</v>
      </c>
      <c r="BR108" s="1064">
        <f>'Recurrentes 24-26'!BQ110</f>
        <v>336.168</v>
      </c>
      <c r="BS108" s="1064">
        <f>'Recurrentes 24-26'!BR110</f>
        <v>0</v>
      </c>
      <c r="BT108" s="1064">
        <f>'Recurrentes 24-26'!BS110</f>
        <v>0</v>
      </c>
      <c r="BU108" s="1064">
        <f>'Recurrentes 24-26'!BT110</f>
        <v>43.2216</v>
      </c>
      <c r="BV108" s="1064">
        <f>'Recurrentes 24-26'!BU110</f>
        <v>0</v>
      </c>
      <c r="BW108" s="451"/>
      <c r="BX108" s="1062">
        <f>'Recurrentes 24-26'!BV110</f>
        <v>1538.3688</v>
      </c>
      <c r="BY108" s="1064">
        <f>'Recurrentes 24-26'!BW110</f>
        <v>315.3576</v>
      </c>
      <c r="BZ108" s="1064">
        <f>'Recurrentes 24-26'!BX110</f>
        <v>187.2936</v>
      </c>
      <c r="CA108" s="1064">
        <f>'Recurrentes 24-26'!BY110</f>
        <v>275.3376</v>
      </c>
      <c r="CB108" s="1064">
        <f>'Recurrentes 24-26'!BZ110</f>
        <v>177.6888</v>
      </c>
      <c r="CC108" s="1064">
        <f>'Recurrentes 24-26'!CA110</f>
        <v>203.3016</v>
      </c>
      <c r="CD108" s="1064">
        <f>'Recurrentes 24-26'!CB110</f>
        <v>336.168</v>
      </c>
      <c r="CE108" s="1064">
        <f>'Recurrentes 24-26'!CC110</f>
        <v>0</v>
      </c>
      <c r="CF108" s="1064">
        <f>'Recurrentes 24-26'!CD110</f>
        <v>0</v>
      </c>
      <c r="CG108" s="1064">
        <f>'Recurrentes 24-26'!CE110</f>
        <v>43.2216</v>
      </c>
      <c r="CH108" s="1064">
        <f>'Recurrentes 24-26'!CF110</f>
        <v>0</v>
      </c>
      <c r="CI108" s="451"/>
      <c r="CJ108" s="1062">
        <f>'Recurrentes 24-26'!CG110</f>
        <v>1538.3688</v>
      </c>
      <c r="CK108" s="1062">
        <f>'Recurrentes 24-26'!CH110</f>
        <v>4795.9968</v>
      </c>
      <c r="CL108" s="451" t="str">
        <f>'Recurrentes 24-26'!CI110</f>
        <v/>
      </c>
      <c r="CM108" s="1064" t="str">
        <f>'Recurrentes 24-26'!CJ110</f>
        <v/>
      </c>
      <c r="CN108" s="451">
        <f>'Recurrentes 24-26'!CK110</f>
        <v>1</v>
      </c>
      <c r="CO108" s="1062">
        <f>'Recurrentes 24-26'!CL110</f>
        <v>0.23</v>
      </c>
      <c r="CP108" s="451" t="str">
        <f>'Recurrentes 24-26'!CM110</f>
        <v/>
      </c>
    </row>
    <row r="109">
      <c r="A109" s="451" t="str">
        <f>'Recurrentes 24-26'!A111</f>
        <v>Repuestos Electromecánicos recurrentes</v>
      </c>
      <c r="B109" s="451">
        <f>'Recurrentes 24-26'!B111</f>
        <v>2</v>
      </c>
      <c r="C109" s="451" t="str">
        <f>'Recurrentes 24-26'!C111</f>
        <v>Torres</v>
      </c>
      <c r="D109" s="451" t="str">
        <f>'Recurrentes 24-26'!D111</f>
        <v>Reacondicionamiento de Poleas Palpadoras</v>
      </c>
      <c r="E109" s="451" t="str">
        <f>'Recurrentes 24-26'!E111</f>
        <v>Repuesto Mecánico</v>
      </c>
      <c r="F109" s="451" t="str">
        <f>'Recurrentes 24-26'!F111</f>
        <v>TDB</v>
      </c>
      <c r="G109" s="1025" t="str">
        <f>'Recurrentes 24-26'!G111</f>
        <v>39800</v>
      </c>
      <c r="H109" s="1061" t="str">
        <f>'Recurrentes 24-26'!H111</f>
        <v>2-01-00340</v>
      </c>
      <c r="I109" s="1061" t="str">
        <f>'Recurrentes 24-26'!I111</f>
        <v>10000082</v>
      </c>
      <c r="J109" s="1061" t="str">
        <f>'Recurrentes 24-26'!J111</f>
        <v>TUERCA HEX. DIN 985-8 M16 ELECTROGALVAN. (C.ELEM.DE FIJAC.)</v>
      </c>
      <c r="K109" s="451" t="str">
        <f>'Recurrentes 24-26'!K111</f>
        <v>Pza</v>
      </c>
      <c r="L109" s="451">
        <f>'Recurrentes 24-26'!L111</f>
        <v>11</v>
      </c>
      <c r="M109" s="451">
        <f>'Recurrentes 24-26'!M111</f>
        <v>6</v>
      </c>
      <c r="N109" s="451">
        <f>'Recurrentes 24-26'!N111</f>
        <v>10</v>
      </c>
      <c r="O109" s="451">
        <f>'Recurrentes 24-26'!O111</f>
        <v>0</v>
      </c>
      <c r="P109" s="451">
        <f>'Recurrentes 24-26'!P111</f>
        <v>0</v>
      </c>
      <c r="Q109" s="451">
        <f>'Recurrentes 24-26'!Q111</f>
        <v>0</v>
      </c>
      <c r="R109" s="451">
        <f>'Recurrentes 24-26'!R111</f>
        <v>170</v>
      </c>
      <c r="S109" s="451">
        <f>'Recurrentes 24-26'!S111</f>
        <v>0</v>
      </c>
      <c r="T109" s="451">
        <f>'Recurrentes 24-26'!T111</f>
        <v>48</v>
      </c>
      <c r="U109" s="451">
        <f>'Recurrentes 24-26'!U111</f>
        <v>0</v>
      </c>
      <c r="V109" s="451">
        <f>'Recurrentes 24-26'!V111</f>
        <v>0</v>
      </c>
      <c r="W109" s="1062">
        <f>'Recurrentes 24-26'!W111</f>
        <v>245</v>
      </c>
      <c r="X109" s="451">
        <f>'Recurrentes 24-26'!X111</f>
        <v>44</v>
      </c>
      <c r="Y109" s="451">
        <f>'Recurrentes 24-26'!Y111</f>
        <v>28</v>
      </c>
      <c r="Z109" s="451">
        <f>'Recurrentes 24-26'!Z111</f>
        <v>44</v>
      </c>
      <c r="AA109" s="451">
        <f>'Recurrentes 24-26'!AA111</f>
        <v>20</v>
      </c>
      <c r="AB109" s="451">
        <f>'Recurrentes 24-26'!AB111</f>
        <v>28</v>
      </c>
      <c r="AC109" s="451">
        <f>'Recurrentes 24-26'!AC111</f>
        <v>44</v>
      </c>
      <c r="AD109" s="451">
        <f>'Recurrentes 24-26'!AD111</f>
        <v>28</v>
      </c>
      <c r="AE109" s="451">
        <f>'Recurrentes 24-26'!AE111</f>
        <v>0</v>
      </c>
      <c r="AF109" s="451">
        <f>'Recurrentes 24-26'!AF111</f>
        <v>8</v>
      </c>
      <c r="AG109" s="451">
        <f>'Recurrentes 24-26'!AG111</f>
        <v>0</v>
      </c>
      <c r="AH109" s="451">
        <f>'Recurrentes 24-26'!AH111</f>
        <v>0</v>
      </c>
      <c r="AI109" s="1062">
        <f>'Recurrentes 24-26'!AI111</f>
        <v>244</v>
      </c>
      <c r="AJ109" s="451">
        <f>'Recurrentes 24-26'!AJ111</f>
        <v>44</v>
      </c>
      <c r="AK109" s="451">
        <f>'Recurrentes 24-26'!AK111</f>
        <v>28</v>
      </c>
      <c r="AL109" s="451">
        <f>'Recurrentes 24-26'!AL111</f>
        <v>44</v>
      </c>
      <c r="AM109" s="451">
        <f>'Recurrentes 24-26'!AM111</f>
        <v>20</v>
      </c>
      <c r="AN109" s="451">
        <f>'Recurrentes 24-26'!AN111</f>
        <v>28</v>
      </c>
      <c r="AO109" s="451">
        <f>'Recurrentes 24-26'!AO111</f>
        <v>44</v>
      </c>
      <c r="AP109" s="451">
        <f>'Recurrentes 24-26'!AP111</f>
        <v>28</v>
      </c>
      <c r="AQ109" s="451">
        <f>'Recurrentes 24-26'!AQ111</f>
        <v>28</v>
      </c>
      <c r="AR109" s="451">
        <f>'Recurrentes 24-26'!AR111</f>
        <v>8</v>
      </c>
      <c r="AS109" s="451">
        <f>'Recurrentes 24-26'!AS111</f>
        <v>0</v>
      </c>
      <c r="AT109" s="451">
        <f>'Recurrentes 24-26'!AT111</f>
        <v>0</v>
      </c>
      <c r="AU109" s="1062">
        <f>'Recurrentes 24-26'!AU111</f>
        <v>272</v>
      </c>
      <c r="AV109" s="1062">
        <f>'Recurrentes 24-26'!AV111</f>
        <v>761</v>
      </c>
      <c r="AW109" s="451" t="str">
        <f>'Recurrentes 24-26'!AW111</f>
        <v/>
      </c>
      <c r="AX109" s="1062">
        <f>'Recurrentes 24-26'!AX111</f>
        <v>0.89</v>
      </c>
      <c r="AY109" s="1062">
        <f>'Recurrentes 24-26'!AY111</f>
        <v>6.1944</v>
      </c>
      <c r="AZ109" s="1064" t="str">
        <f>'Recurrentes 24-26'!AZ111</f>
        <v/>
      </c>
      <c r="BA109" s="1064">
        <f>'Recurrentes 24-26'!BA111</f>
        <v>68.1384</v>
      </c>
      <c r="BB109" s="1064">
        <f>'Recurrentes 24-26'!BB111</f>
        <v>37.1664</v>
      </c>
      <c r="BC109" s="1064">
        <f>'Recurrentes 24-26'!BC111</f>
        <v>61.944</v>
      </c>
      <c r="BD109" s="1064">
        <f>'Recurrentes 24-26'!BD111</f>
        <v>0</v>
      </c>
      <c r="BE109" s="1064">
        <f>'Recurrentes 24-26'!BE111</f>
        <v>0</v>
      </c>
      <c r="BF109" s="1064">
        <f>'Recurrentes 24-26'!BF111</f>
        <v>0</v>
      </c>
      <c r="BG109" s="1064">
        <f>'Recurrentes 24-26'!BG111</f>
        <v>1053.048</v>
      </c>
      <c r="BH109" s="1064">
        <f>'Recurrentes 24-26'!BH111</f>
        <v>0</v>
      </c>
      <c r="BI109" s="1064">
        <f>'Recurrentes 24-26'!BI111</f>
        <v>297.3312</v>
      </c>
      <c r="BJ109" s="1064">
        <f>'Recurrentes 24-26'!BJ111</f>
        <v>0</v>
      </c>
      <c r="BK109" s="451"/>
      <c r="BL109" s="1062">
        <f>'Recurrentes 24-26'!BK111</f>
        <v>1517.628</v>
      </c>
      <c r="BM109" s="1064">
        <f>'Recurrentes 24-26'!BL111</f>
        <v>272.5536</v>
      </c>
      <c r="BN109" s="1064">
        <f>'Recurrentes 24-26'!BM111</f>
        <v>173.4432</v>
      </c>
      <c r="BO109" s="1064">
        <f>'Recurrentes 24-26'!BN111</f>
        <v>272.5536</v>
      </c>
      <c r="BP109" s="1064">
        <f>'Recurrentes 24-26'!BO111</f>
        <v>123.888</v>
      </c>
      <c r="BQ109" s="1064">
        <f>'Recurrentes 24-26'!BP111</f>
        <v>173.4432</v>
      </c>
      <c r="BR109" s="1064">
        <f>'Recurrentes 24-26'!BQ111</f>
        <v>272.5536</v>
      </c>
      <c r="BS109" s="1064">
        <f>'Recurrentes 24-26'!BR111</f>
        <v>173.4432</v>
      </c>
      <c r="BT109" s="1064">
        <f>'Recurrentes 24-26'!BS111</f>
        <v>0</v>
      </c>
      <c r="BU109" s="1064">
        <f>'Recurrentes 24-26'!BT111</f>
        <v>49.5552</v>
      </c>
      <c r="BV109" s="1064">
        <f>'Recurrentes 24-26'!BU111</f>
        <v>0</v>
      </c>
      <c r="BW109" s="451"/>
      <c r="BX109" s="1062">
        <f>'Recurrentes 24-26'!BV111</f>
        <v>1511.4336</v>
      </c>
      <c r="BY109" s="1064">
        <f>'Recurrentes 24-26'!BW111</f>
        <v>272.5536</v>
      </c>
      <c r="BZ109" s="1064">
        <f>'Recurrentes 24-26'!BX111</f>
        <v>173.4432</v>
      </c>
      <c r="CA109" s="1064">
        <f>'Recurrentes 24-26'!BY111</f>
        <v>272.5536</v>
      </c>
      <c r="CB109" s="1064">
        <f>'Recurrentes 24-26'!BZ111</f>
        <v>123.888</v>
      </c>
      <c r="CC109" s="1064">
        <f>'Recurrentes 24-26'!CA111</f>
        <v>173.4432</v>
      </c>
      <c r="CD109" s="1064">
        <f>'Recurrentes 24-26'!CB111</f>
        <v>272.5536</v>
      </c>
      <c r="CE109" s="1064">
        <f>'Recurrentes 24-26'!CC111</f>
        <v>173.4432</v>
      </c>
      <c r="CF109" s="1064">
        <f>'Recurrentes 24-26'!CD111</f>
        <v>173.4432</v>
      </c>
      <c r="CG109" s="1064">
        <f>'Recurrentes 24-26'!CE111</f>
        <v>49.5552</v>
      </c>
      <c r="CH109" s="1064">
        <f>'Recurrentes 24-26'!CF111</f>
        <v>0</v>
      </c>
      <c r="CI109" s="451"/>
      <c r="CJ109" s="1062">
        <f>'Recurrentes 24-26'!CG111</f>
        <v>1684.8768</v>
      </c>
      <c r="CK109" s="1062">
        <f>'Recurrentes 24-26'!CH111</f>
        <v>4713.9384</v>
      </c>
      <c r="CL109" s="451" t="str">
        <f>'Recurrentes 24-26'!CI111</f>
        <v/>
      </c>
      <c r="CM109" s="1064" t="str">
        <f>'Recurrentes 24-26'!CJ111</f>
        <v/>
      </c>
      <c r="CN109" s="451">
        <f>'Recurrentes 24-26'!CK111</f>
        <v>1</v>
      </c>
      <c r="CO109" s="1062">
        <f>'Recurrentes 24-26'!CL111</f>
        <v>0.89</v>
      </c>
      <c r="CP109" s="451" t="str">
        <f>'Recurrentes 24-26'!CM111</f>
        <v/>
      </c>
    </row>
    <row r="110">
      <c r="A110" s="451" t="str">
        <f>'Recurrentes 24-26'!A112</f>
        <v>Repuestos Electromecánicos recurrentes</v>
      </c>
      <c r="B110" s="451">
        <f>'Recurrentes 24-26'!B112</f>
        <v>2</v>
      </c>
      <c r="C110" s="451" t="str">
        <f>'Recurrentes 24-26'!C112</f>
        <v>Torres</v>
      </c>
      <c r="D110" s="451" t="str">
        <f>'Recurrentes 24-26'!D112</f>
        <v>Reacondionamiento y cambio de Poleas de torre</v>
      </c>
      <c r="E110" s="451" t="str">
        <f>'Recurrentes 24-26'!E112</f>
        <v>Repuesto Mecánico</v>
      </c>
      <c r="F110" s="451" t="str">
        <f>'Recurrentes 24-26'!F112</f>
        <v>TDB</v>
      </c>
      <c r="G110" s="1025" t="str">
        <f>'Recurrentes 24-26'!G112</f>
        <v>39800</v>
      </c>
      <c r="H110" s="1061" t="str">
        <f>'Recurrentes 24-26'!H112</f>
        <v>2-01-00570</v>
      </c>
      <c r="I110" s="1061" t="str">
        <f>'Recurrentes 24-26'!I112</f>
        <v>10834216</v>
      </c>
      <c r="J110" s="1061" t="str">
        <f>'Recurrentes 24-26'!J112</f>
        <v>ANILLO DIST. DIÁ.68/50 E=23,5 P. POLEA 501 GALV.+AMARILLO</v>
      </c>
      <c r="K110" s="451" t="str">
        <f>'Recurrentes 24-26'!K112</f>
        <v>Pza</v>
      </c>
      <c r="L110" s="451">
        <f>'Recurrentes 24-26'!L112</f>
        <v>0</v>
      </c>
      <c r="M110" s="451">
        <f>'Recurrentes 24-26'!M112</f>
        <v>0</v>
      </c>
      <c r="N110" s="451">
        <f>'Recurrentes 24-26'!N112</f>
        <v>0</v>
      </c>
      <c r="O110" s="451">
        <f>'Recurrentes 24-26'!O112</f>
        <v>1</v>
      </c>
      <c r="P110" s="451">
        <f>'Recurrentes 24-26'!P112</f>
        <v>1</v>
      </c>
      <c r="Q110" s="451">
        <f>'Recurrentes 24-26'!Q112</f>
        <v>1</v>
      </c>
      <c r="R110" s="451">
        <f>'Recurrentes 24-26'!R112</f>
        <v>0</v>
      </c>
      <c r="S110" s="451">
        <f>'Recurrentes 24-26'!S112</f>
        <v>0</v>
      </c>
      <c r="T110" s="451">
        <f>'Recurrentes 24-26'!T112</f>
        <v>0</v>
      </c>
      <c r="U110" s="451">
        <f>'Recurrentes 24-26'!U112</f>
        <v>0</v>
      </c>
      <c r="V110" s="451">
        <f>'Recurrentes 24-26'!V112</f>
        <v>0</v>
      </c>
      <c r="W110" s="1062">
        <f>'Recurrentes 24-26'!W112</f>
        <v>3</v>
      </c>
      <c r="X110" s="451">
        <f>'Recurrentes 24-26'!X112</f>
        <v>0</v>
      </c>
      <c r="Y110" s="451">
        <f>'Recurrentes 24-26'!Y112</f>
        <v>0</v>
      </c>
      <c r="Z110" s="451">
        <f>'Recurrentes 24-26'!Z112</f>
        <v>0</v>
      </c>
      <c r="AA110" s="451">
        <f>'Recurrentes 24-26'!AA112</f>
        <v>5</v>
      </c>
      <c r="AB110" s="451">
        <f>'Recurrentes 24-26'!AB112</f>
        <v>5</v>
      </c>
      <c r="AC110" s="451">
        <f>'Recurrentes 24-26'!AC112</f>
        <v>5</v>
      </c>
      <c r="AD110" s="451">
        <f>'Recurrentes 24-26'!AD112</f>
        <v>0</v>
      </c>
      <c r="AE110" s="451">
        <f>'Recurrentes 24-26'!AE112</f>
        <v>0</v>
      </c>
      <c r="AF110" s="451">
        <f>'Recurrentes 24-26'!AF112</f>
        <v>0</v>
      </c>
      <c r="AG110" s="451">
        <f>'Recurrentes 24-26'!AG112</f>
        <v>2</v>
      </c>
      <c r="AH110" s="451">
        <f>'Recurrentes 24-26'!AH112</f>
        <v>0</v>
      </c>
      <c r="AI110" s="1062">
        <f>'Recurrentes 24-26'!AI112</f>
        <v>17</v>
      </c>
      <c r="AJ110" s="451">
        <f>'Recurrentes 24-26'!AJ112</f>
        <v>0</v>
      </c>
      <c r="AK110" s="451">
        <f>'Recurrentes 24-26'!AK112</f>
        <v>0</v>
      </c>
      <c r="AL110" s="451">
        <f>'Recurrentes 24-26'!AL112</f>
        <v>0</v>
      </c>
      <c r="AM110" s="451">
        <f>'Recurrentes 24-26'!AM112</f>
        <v>5</v>
      </c>
      <c r="AN110" s="451">
        <f>'Recurrentes 24-26'!AN112</f>
        <v>5</v>
      </c>
      <c r="AO110" s="451">
        <f>'Recurrentes 24-26'!AO112</f>
        <v>5</v>
      </c>
      <c r="AP110" s="451">
        <f>'Recurrentes 24-26'!AP112</f>
        <v>0</v>
      </c>
      <c r="AQ110" s="451">
        <f>'Recurrentes 24-26'!AQ112</f>
        <v>0</v>
      </c>
      <c r="AR110" s="451">
        <f>'Recurrentes 24-26'!AR112</f>
        <v>0</v>
      </c>
      <c r="AS110" s="451">
        <f>'Recurrentes 24-26'!AS112</f>
        <v>2</v>
      </c>
      <c r="AT110" s="451">
        <f>'Recurrentes 24-26'!AT112</f>
        <v>0</v>
      </c>
      <c r="AU110" s="1062">
        <f>'Recurrentes 24-26'!AU112</f>
        <v>17</v>
      </c>
      <c r="AV110" s="1062">
        <f>'Recurrentes 24-26'!AV112</f>
        <v>37</v>
      </c>
      <c r="AW110" s="451" t="str">
        <f>'Recurrentes 24-26'!AW112</f>
        <v/>
      </c>
      <c r="AX110" s="1062">
        <f>'Recurrentes 24-26'!AX112</f>
        <v>17.88</v>
      </c>
      <c r="AY110" s="1062">
        <f>'Recurrentes 24-26'!AY112</f>
        <v>124.4448</v>
      </c>
      <c r="AZ110" s="1064" t="str">
        <f>'Recurrentes 24-26'!AZ112</f>
        <v/>
      </c>
      <c r="BA110" s="1064">
        <f>'Recurrentes 24-26'!BA112</f>
        <v>0</v>
      </c>
      <c r="BB110" s="1064">
        <f>'Recurrentes 24-26'!BB112</f>
        <v>0</v>
      </c>
      <c r="BC110" s="1064">
        <f>'Recurrentes 24-26'!BC112</f>
        <v>0</v>
      </c>
      <c r="BD110" s="1064">
        <f>'Recurrentes 24-26'!BD112</f>
        <v>124.4448</v>
      </c>
      <c r="BE110" s="1064">
        <f>'Recurrentes 24-26'!BE112</f>
        <v>124.4448</v>
      </c>
      <c r="BF110" s="1064">
        <f>'Recurrentes 24-26'!BF112</f>
        <v>124.4448</v>
      </c>
      <c r="BG110" s="1064">
        <f>'Recurrentes 24-26'!BG112</f>
        <v>0</v>
      </c>
      <c r="BH110" s="1064">
        <f>'Recurrentes 24-26'!BH112</f>
        <v>0</v>
      </c>
      <c r="BI110" s="1064">
        <f>'Recurrentes 24-26'!BI112</f>
        <v>0</v>
      </c>
      <c r="BJ110" s="1064">
        <f>'Recurrentes 24-26'!BJ112</f>
        <v>0</v>
      </c>
      <c r="BK110" s="451"/>
      <c r="BL110" s="1062">
        <f>'Recurrentes 24-26'!BK112</f>
        <v>373.3344</v>
      </c>
      <c r="BM110" s="1064">
        <f>'Recurrentes 24-26'!BL112</f>
        <v>0</v>
      </c>
      <c r="BN110" s="1064">
        <f>'Recurrentes 24-26'!BM112</f>
        <v>0</v>
      </c>
      <c r="BO110" s="1064">
        <f>'Recurrentes 24-26'!BN112</f>
        <v>0</v>
      </c>
      <c r="BP110" s="1064">
        <f>'Recurrentes 24-26'!BO112</f>
        <v>622.224</v>
      </c>
      <c r="BQ110" s="1064">
        <f>'Recurrentes 24-26'!BP112</f>
        <v>622.224</v>
      </c>
      <c r="BR110" s="1064">
        <f>'Recurrentes 24-26'!BQ112</f>
        <v>622.224</v>
      </c>
      <c r="BS110" s="1064">
        <f>'Recurrentes 24-26'!BR112</f>
        <v>0</v>
      </c>
      <c r="BT110" s="1064">
        <f>'Recurrentes 24-26'!BS112</f>
        <v>0</v>
      </c>
      <c r="BU110" s="1064">
        <f>'Recurrentes 24-26'!BT112</f>
        <v>0</v>
      </c>
      <c r="BV110" s="1064">
        <f>'Recurrentes 24-26'!BU112</f>
        <v>248.8896</v>
      </c>
      <c r="BW110" s="451"/>
      <c r="BX110" s="1062">
        <f>'Recurrentes 24-26'!BV112</f>
        <v>2115.5616</v>
      </c>
      <c r="BY110" s="1064">
        <f>'Recurrentes 24-26'!BW112</f>
        <v>0</v>
      </c>
      <c r="BZ110" s="1064">
        <f>'Recurrentes 24-26'!BX112</f>
        <v>0</v>
      </c>
      <c r="CA110" s="1064">
        <f>'Recurrentes 24-26'!BY112</f>
        <v>0</v>
      </c>
      <c r="CB110" s="1064">
        <f>'Recurrentes 24-26'!BZ112</f>
        <v>622.224</v>
      </c>
      <c r="CC110" s="1064">
        <f>'Recurrentes 24-26'!CA112</f>
        <v>622.224</v>
      </c>
      <c r="CD110" s="1064">
        <f>'Recurrentes 24-26'!CB112</f>
        <v>622.224</v>
      </c>
      <c r="CE110" s="1064">
        <f>'Recurrentes 24-26'!CC112</f>
        <v>0</v>
      </c>
      <c r="CF110" s="1064">
        <f>'Recurrentes 24-26'!CD112</f>
        <v>0</v>
      </c>
      <c r="CG110" s="1064">
        <f>'Recurrentes 24-26'!CE112</f>
        <v>0</v>
      </c>
      <c r="CH110" s="1064">
        <f>'Recurrentes 24-26'!CF112</f>
        <v>248.8896</v>
      </c>
      <c r="CI110" s="451"/>
      <c r="CJ110" s="1062">
        <f>'Recurrentes 24-26'!CG112</f>
        <v>2115.5616</v>
      </c>
      <c r="CK110" s="1062">
        <f>'Recurrentes 24-26'!CH112</f>
        <v>4604.4576</v>
      </c>
      <c r="CL110" s="451" t="str">
        <f>'Recurrentes 24-26'!CI112</f>
        <v/>
      </c>
      <c r="CM110" s="1064" t="str">
        <f>'Recurrentes 24-26'!CJ112</f>
        <v/>
      </c>
      <c r="CN110" s="451">
        <f>'Recurrentes 24-26'!CK112</f>
        <v>1</v>
      </c>
      <c r="CO110" s="1062">
        <f>'Recurrentes 24-26'!CL112</f>
        <v>17.88</v>
      </c>
      <c r="CP110" s="451" t="str">
        <f>'Recurrentes 24-26'!CM112</f>
        <v/>
      </c>
    </row>
    <row r="111">
      <c r="A111" s="451" t="str">
        <f>'Recurrentes 24-26'!A113</f>
        <v>Repuestos Electromecánicos recurrentes</v>
      </c>
      <c r="B111" s="451">
        <f>'Recurrentes 24-26'!B113</f>
        <v>2</v>
      </c>
      <c r="C111" s="451" t="str">
        <f>'Recurrentes 24-26'!C113</f>
        <v>Torres</v>
      </c>
      <c r="D111" s="451" t="str">
        <f>'Recurrentes 24-26'!D113</f>
        <v>Reacondicionamiento de Poleas Palpadoras</v>
      </c>
      <c r="E111" s="451" t="str">
        <f>'Recurrentes 24-26'!E113</f>
        <v>Repuesto Mecánico</v>
      </c>
      <c r="F111" s="451" t="str">
        <f>'Recurrentes 24-26'!F113</f>
        <v>TDB</v>
      </c>
      <c r="G111" s="1025" t="str">
        <f>'Recurrentes 24-26'!G113</f>
        <v>39800</v>
      </c>
      <c r="H111" s="1061" t="str">
        <f>'Recurrentes 24-26'!H113</f>
        <v>2-01-00438</v>
      </c>
      <c r="I111" s="1061" t="str">
        <f>'Recurrentes 24-26'!I113</f>
        <v>10167525</v>
      </c>
      <c r="J111" s="1061" t="str">
        <f>'Recurrentes 24-26'!J113</f>
        <v>CASQUILLO DISTANC. 34/25 L= 45 CAQUILLO DISTANCIADOR</v>
      </c>
      <c r="K111" s="451" t="str">
        <f>'Recurrentes 24-26'!K113</f>
        <v>Pza</v>
      </c>
      <c r="L111" s="451">
        <f>'Recurrentes 24-26'!L113</f>
        <v>0</v>
      </c>
      <c r="M111" s="451">
        <f>'Recurrentes 24-26'!M113</f>
        <v>0</v>
      </c>
      <c r="N111" s="451">
        <f>'Recurrentes 24-26'!N113</f>
        <v>0</v>
      </c>
      <c r="O111" s="451">
        <f>'Recurrentes 24-26'!O113</f>
        <v>0</v>
      </c>
      <c r="P111" s="451">
        <f>'Recurrentes 24-26'!P113</f>
        <v>0</v>
      </c>
      <c r="Q111" s="451">
        <f>'Recurrentes 24-26'!Q113</f>
        <v>0</v>
      </c>
      <c r="R111" s="451">
        <f>'Recurrentes 24-26'!R113</f>
        <v>0</v>
      </c>
      <c r="S111" s="451">
        <f>'Recurrentes 24-26'!S113</f>
        <v>0</v>
      </c>
      <c r="T111" s="451">
        <f>'Recurrentes 24-26'!T113</f>
        <v>0</v>
      </c>
      <c r="U111" s="451">
        <f>'Recurrentes 24-26'!U113</f>
        <v>2</v>
      </c>
      <c r="V111" s="451">
        <f>'Recurrentes 24-26'!V113</f>
        <v>0</v>
      </c>
      <c r="W111" s="1062">
        <f>'Recurrentes 24-26'!W113</f>
        <v>2</v>
      </c>
      <c r="X111" s="451">
        <f>'Recurrentes 24-26'!X113</f>
        <v>6</v>
      </c>
      <c r="Y111" s="451">
        <f>'Recurrentes 24-26'!Y113</f>
        <v>4</v>
      </c>
      <c r="Z111" s="451">
        <f>'Recurrentes 24-26'!Z113</f>
        <v>6</v>
      </c>
      <c r="AA111" s="451">
        <f>'Recurrentes 24-26'!AA113</f>
        <v>2</v>
      </c>
      <c r="AB111" s="451">
        <f>'Recurrentes 24-26'!AB113</f>
        <v>2</v>
      </c>
      <c r="AC111" s="451">
        <f>'Recurrentes 24-26'!AC113</f>
        <v>4</v>
      </c>
      <c r="AD111" s="451">
        <f>'Recurrentes 24-26'!AD113</f>
        <v>2</v>
      </c>
      <c r="AE111" s="451">
        <f>'Recurrentes 24-26'!AE113</f>
        <v>2</v>
      </c>
      <c r="AF111" s="451">
        <f>'Recurrentes 24-26'!AF113</f>
        <v>1</v>
      </c>
      <c r="AG111" s="451">
        <f>'Recurrentes 24-26'!AG113</f>
        <v>2</v>
      </c>
      <c r="AH111" s="451">
        <f>'Recurrentes 24-26'!AH113</f>
        <v>0</v>
      </c>
      <c r="AI111" s="1062">
        <f>'Recurrentes 24-26'!AI113</f>
        <v>31</v>
      </c>
      <c r="AJ111" s="451">
        <f>'Recurrentes 24-26'!AJ113</f>
        <v>6</v>
      </c>
      <c r="AK111" s="451">
        <f>'Recurrentes 24-26'!AK113</f>
        <v>4</v>
      </c>
      <c r="AL111" s="451">
        <f>'Recurrentes 24-26'!AL113</f>
        <v>6</v>
      </c>
      <c r="AM111" s="451">
        <f>'Recurrentes 24-26'!AM113</f>
        <v>2</v>
      </c>
      <c r="AN111" s="451">
        <f>'Recurrentes 24-26'!AN113</f>
        <v>2</v>
      </c>
      <c r="AO111" s="451">
        <f>'Recurrentes 24-26'!AO113</f>
        <v>4</v>
      </c>
      <c r="AP111" s="451">
        <f>'Recurrentes 24-26'!AP113</f>
        <v>2</v>
      </c>
      <c r="AQ111" s="451">
        <f>'Recurrentes 24-26'!AQ113</f>
        <v>2</v>
      </c>
      <c r="AR111" s="451">
        <f>'Recurrentes 24-26'!AR113</f>
        <v>1</v>
      </c>
      <c r="AS111" s="451">
        <f>'Recurrentes 24-26'!AS113</f>
        <v>2</v>
      </c>
      <c r="AT111" s="451">
        <f>'Recurrentes 24-26'!AT113</f>
        <v>0</v>
      </c>
      <c r="AU111" s="1062">
        <f>'Recurrentes 24-26'!AU113</f>
        <v>31</v>
      </c>
      <c r="AV111" s="1062">
        <f>'Recurrentes 24-26'!AV113</f>
        <v>64</v>
      </c>
      <c r="AW111" s="451" t="str">
        <f>'Recurrentes 24-26'!AW113</f>
        <v/>
      </c>
      <c r="AX111" s="1062">
        <f>'Recurrentes 24-26'!AX113</f>
        <v>9.15</v>
      </c>
      <c r="AY111" s="1062">
        <f>'Recurrentes 24-26'!AY113</f>
        <v>63.684</v>
      </c>
      <c r="AZ111" s="1064" t="str">
        <f>'Recurrentes 24-26'!AZ113</f>
        <v/>
      </c>
      <c r="BA111" s="1064">
        <f>'Recurrentes 24-26'!BA113</f>
        <v>0</v>
      </c>
      <c r="BB111" s="1064">
        <f>'Recurrentes 24-26'!BB113</f>
        <v>0</v>
      </c>
      <c r="BC111" s="1064">
        <f>'Recurrentes 24-26'!BC113</f>
        <v>0</v>
      </c>
      <c r="BD111" s="1064">
        <f>'Recurrentes 24-26'!BD113</f>
        <v>0</v>
      </c>
      <c r="BE111" s="1064">
        <f>'Recurrentes 24-26'!BE113</f>
        <v>0</v>
      </c>
      <c r="BF111" s="1064">
        <f>'Recurrentes 24-26'!BF113</f>
        <v>0</v>
      </c>
      <c r="BG111" s="1064">
        <f>'Recurrentes 24-26'!BG113</f>
        <v>0</v>
      </c>
      <c r="BH111" s="1064">
        <f>'Recurrentes 24-26'!BH113</f>
        <v>0</v>
      </c>
      <c r="BI111" s="1064">
        <f>'Recurrentes 24-26'!BI113</f>
        <v>0</v>
      </c>
      <c r="BJ111" s="1064">
        <f>'Recurrentes 24-26'!BJ113</f>
        <v>127.368</v>
      </c>
      <c r="BK111" s="451"/>
      <c r="BL111" s="1062">
        <f>'Recurrentes 24-26'!BK113</f>
        <v>127.368</v>
      </c>
      <c r="BM111" s="1064">
        <f>'Recurrentes 24-26'!BL113</f>
        <v>382.104</v>
      </c>
      <c r="BN111" s="1064">
        <f>'Recurrentes 24-26'!BM113</f>
        <v>254.736</v>
      </c>
      <c r="BO111" s="1064">
        <f>'Recurrentes 24-26'!BN113</f>
        <v>382.104</v>
      </c>
      <c r="BP111" s="1064">
        <f>'Recurrentes 24-26'!BO113</f>
        <v>127.368</v>
      </c>
      <c r="BQ111" s="1064">
        <f>'Recurrentes 24-26'!BP113</f>
        <v>127.368</v>
      </c>
      <c r="BR111" s="1064">
        <f>'Recurrentes 24-26'!BQ113</f>
        <v>254.736</v>
      </c>
      <c r="BS111" s="1064">
        <f>'Recurrentes 24-26'!BR113</f>
        <v>127.368</v>
      </c>
      <c r="BT111" s="1064">
        <f>'Recurrentes 24-26'!BS113</f>
        <v>127.368</v>
      </c>
      <c r="BU111" s="1064">
        <f>'Recurrentes 24-26'!BT113</f>
        <v>63.684</v>
      </c>
      <c r="BV111" s="1064">
        <f>'Recurrentes 24-26'!BU113</f>
        <v>127.368</v>
      </c>
      <c r="BW111" s="451"/>
      <c r="BX111" s="1062">
        <f>'Recurrentes 24-26'!BV113</f>
        <v>1974.204</v>
      </c>
      <c r="BY111" s="1064">
        <f>'Recurrentes 24-26'!BW113</f>
        <v>382.104</v>
      </c>
      <c r="BZ111" s="1064">
        <f>'Recurrentes 24-26'!BX113</f>
        <v>254.736</v>
      </c>
      <c r="CA111" s="1064">
        <f>'Recurrentes 24-26'!BY113</f>
        <v>382.104</v>
      </c>
      <c r="CB111" s="1064">
        <f>'Recurrentes 24-26'!BZ113</f>
        <v>127.368</v>
      </c>
      <c r="CC111" s="1064">
        <f>'Recurrentes 24-26'!CA113</f>
        <v>127.368</v>
      </c>
      <c r="CD111" s="1064">
        <f>'Recurrentes 24-26'!CB113</f>
        <v>254.736</v>
      </c>
      <c r="CE111" s="1064">
        <f>'Recurrentes 24-26'!CC113</f>
        <v>127.368</v>
      </c>
      <c r="CF111" s="1064">
        <f>'Recurrentes 24-26'!CD113</f>
        <v>127.368</v>
      </c>
      <c r="CG111" s="1064">
        <f>'Recurrentes 24-26'!CE113</f>
        <v>63.684</v>
      </c>
      <c r="CH111" s="1064">
        <f>'Recurrentes 24-26'!CF113</f>
        <v>127.368</v>
      </c>
      <c r="CI111" s="451"/>
      <c r="CJ111" s="1062">
        <f>'Recurrentes 24-26'!CG113</f>
        <v>1974.204</v>
      </c>
      <c r="CK111" s="1062">
        <f>'Recurrentes 24-26'!CH113</f>
        <v>4075.776</v>
      </c>
      <c r="CL111" s="451" t="str">
        <f>'Recurrentes 24-26'!CI113</f>
        <v/>
      </c>
      <c r="CM111" s="1064" t="str">
        <f>'Recurrentes 24-26'!CJ113</f>
        <v/>
      </c>
      <c r="CN111" s="451">
        <f>'Recurrentes 24-26'!CK113</f>
        <v>1</v>
      </c>
      <c r="CO111" s="1062">
        <f>'Recurrentes 24-26'!CL113</f>
        <v>9.15</v>
      </c>
      <c r="CP111" s="451" t="str">
        <f>'Recurrentes 24-26'!CM113</f>
        <v/>
      </c>
    </row>
    <row r="112">
      <c r="A112" s="451" t="str">
        <f>'Recurrentes 24-26'!A114</f>
        <v>Repuestos Electromecánicos recurrentes</v>
      </c>
      <c r="B112" s="451">
        <f>'Recurrentes 24-26'!B114</f>
        <v>2</v>
      </c>
      <c r="C112" s="451" t="str">
        <f>'Recurrentes 24-26'!C114</f>
        <v>Vehículo</v>
      </c>
      <c r="D112" s="451" t="str">
        <f>'Recurrentes 24-26'!D114</f>
        <v>Manto. Pinza</v>
      </c>
      <c r="E112" s="451" t="str">
        <f>'Recurrentes 24-26'!E114</f>
        <v>Repuesto Mecánico</v>
      </c>
      <c r="F112" s="451" t="str">
        <f>'Recurrentes 24-26'!F114</f>
        <v>TDB</v>
      </c>
      <c r="G112" s="1025" t="str">
        <f>'Recurrentes 24-26'!G114</f>
        <v>39800</v>
      </c>
      <c r="H112" s="1061" t="str">
        <f>'Recurrentes 24-26'!H114</f>
        <v>2-01-00351</v>
      </c>
      <c r="I112" s="1061" t="str">
        <f>'Recurrentes 24-26'!I114</f>
        <v>10001860</v>
      </c>
      <c r="J112" s="1061" t="str">
        <f>'Recurrentes 24-26'!J114</f>
        <v>TORNILLO ISO 4017-8.8 M8X20, TORN. HEXAG., GALVAN.</v>
      </c>
      <c r="K112" s="451" t="str">
        <f>'Recurrentes 24-26'!K114</f>
        <v>Pza</v>
      </c>
      <c r="L112" s="451">
        <f>'Recurrentes 24-26'!L114</f>
        <v>14</v>
      </c>
      <c r="M112" s="451">
        <f>'Recurrentes 24-26'!M114</f>
        <v>9</v>
      </c>
      <c r="N112" s="451">
        <f>'Recurrentes 24-26'!N114</f>
        <v>14</v>
      </c>
      <c r="O112" s="451">
        <f>'Recurrentes 24-26'!O114</f>
        <v>18</v>
      </c>
      <c r="P112" s="451">
        <f>'Recurrentes 24-26'!P114</f>
        <v>152</v>
      </c>
      <c r="Q112" s="451">
        <f>'Recurrentes 24-26'!Q114</f>
        <v>252</v>
      </c>
      <c r="R112" s="451">
        <f>'Recurrentes 24-26'!R114</f>
        <v>5</v>
      </c>
      <c r="S112" s="451">
        <f>'Recurrentes 24-26'!S114</f>
        <v>5</v>
      </c>
      <c r="T112" s="451">
        <f>'Recurrentes 24-26'!T114</f>
        <v>1</v>
      </c>
      <c r="U112" s="451">
        <f>'Recurrentes 24-26'!U114</f>
        <v>0</v>
      </c>
      <c r="V112" s="451">
        <f>'Recurrentes 24-26'!V114</f>
        <v>0</v>
      </c>
      <c r="W112" s="1062">
        <f>'Recurrentes 24-26'!W114</f>
        <v>470</v>
      </c>
      <c r="X112" s="451">
        <f>'Recurrentes 24-26'!X114</f>
        <v>15</v>
      </c>
      <c r="Y112" s="451">
        <f>'Recurrentes 24-26'!Y114</f>
        <v>10</v>
      </c>
      <c r="Z112" s="451">
        <f>'Recurrentes 24-26'!Z114</f>
        <v>15</v>
      </c>
      <c r="AA112" s="451">
        <f>'Recurrentes 24-26'!AA114</f>
        <v>20</v>
      </c>
      <c r="AB112" s="451">
        <f>'Recurrentes 24-26'!AB114</f>
        <v>168</v>
      </c>
      <c r="AC112" s="451">
        <f>'Recurrentes 24-26'!AC114</f>
        <v>278</v>
      </c>
      <c r="AD112" s="451">
        <f>'Recurrentes 24-26'!AD114</f>
        <v>6</v>
      </c>
      <c r="AE112" s="451">
        <f>'Recurrentes 24-26'!AE114</f>
        <v>6</v>
      </c>
      <c r="AF112" s="451">
        <f>'Recurrentes 24-26'!AF114</f>
        <v>1</v>
      </c>
      <c r="AG112" s="451">
        <f>'Recurrentes 24-26'!AG114</f>
        <v>0</v>
      </c>
      <c r="AH112" s="451">
        <f>'Recurrentes 24-26'!AH114</f>
        <v>0</v>
      </c>
      <c r="AI112" s="1062">
        <f>'Recurrentes 24-26'!AI114</f>
        <v>519</v>
      </c>
      <c r="AJ112" s="451">
        <f>'Recurrentes 24-26'!AJ114</f>
        <v>15</v>
      </c>
      <c r="AK112" s="451">
        <f>'Recurrentes 24-26'!AK114</f>
        <v>10</v>
      </c>
      <c r="AL112" s="451">
        <f>'Recurrentes 24-26'!AL114</f>
        <v>15</v>
      </c>
      <c r="AM112" s="451">
        <f>'Recurrentes 24-26'!AM114</f>
        <v>20</v>
      </c>
      <c r="AN112" s="451">
        <f>'Recurrentes 24-26'!AN114</f>
        <v>168</v>
      </c>
      <c r="AO112" s="451">
        <f>'Recurrentes 24-26'!AO114</f>
        <v>278</v>
      </c>
      <c r="AP112" s="451">
        <f>'Recurrentes 24-26'!AP114</f>
        <v>6</v>
      </c>
      <c r="AQ112" s="451">
        <f>'Recurrentes 24-26'!AQ114</f>
        <v>6</v>
      </c>
      <c r="AR112" s="451">
        <f>'Recurrentes 24-26'!AR114</f>
        <v>1</v>
      </c>
      <c r="AS112" s="451">
        <f>'Recurrentes 24-26'!AS114</f>
        <v>0</v>
      </c>
      <c r="AT112" s="451">
        <f>'Recurrentes 24-26'!AT114</f>
        <v>0</v>
      </c>
      <c r="AU112" s="1062">
        <f>'Recurrentes 24-26'!AU114</f>
        <v>519</v>
      </c>
      <c r="AV112" s="1062">
        <f>'Recurrentes 24-26'!AV114</f>
        <v>1508</v>
      </c>
      <c r="AW112" s="451" t="str">
        <f>'Recurrentes 24-26'!AW114</f>
        <v/>
      </c>
      <c r="AX112" s="1062">
        <f>'Recurrentes 24-26'!AX114</f>
        <v>0.31</v>
      </c>
      <c r="AY112" s="1062">
        <f>'Recurrentes 24-26'!AY114</f>
        <v>2.1576</v>
      </c>
      <c r="AZ112" s="1064" t="str">
        <f>'Recurrentes 24-26'!AZ114</f>
        <v/>
      </c>
      <c r="BA112" s="1064">
        <f>'Recurrentes 24-26'!BA114</f>
        <v>30.2064</v>
      </c>
      <c r="BB112" s="1064">
        <f>'Recurrentes 24-26'!BB114</f>
        <v>19.4184</v>
      </c>
      <c r="BC112" s="1064">
        <f>'Recurrentes 24-26'!BC114</f>
        <v>30.2064</v>
      </c>
      <c r="BD112" s="1064">
        <f>'Recurrentes 24-26'!BD114</f>
        <v>38.8368</v>
      </c>
      <c r="BE112" s="1064">
        <f>'Recurrentes 24-26'!BE114</f>
        <v>327.9552</v>
      </c>
      <c r="BF112" s="1064">
        <f>'Recurrentes 24-26'!BF114</f>
        <v>543.7152</v>
      </c>
      <c r="BG112" s="1064">
        <f>'Recurrentes 24-26'!BG114</f>
        <v>10.788</v>
      </c>
      <c r="BH112" s="1064">
        <f>'Recurrentes 24-26'!BH114</f>
        <v>10.788</v>
      </c>
      <c r="BI112" s="1064">
        <f>'Recurrentes 24-26'!BI114</f>
        <v>2.1576</v>
      </c>
      <c r="BJ112" s="1064">
        <f>'Recurrentes 24-26'!BJ114</f>
        <v>0</v>
      </c>
      <c r="BK112" s="451"/>
      <c r="BL112" s="1062">
        <f>'Recurrentes 24-26'!BK114</f>
        <v>1014.072</v>
      </c>
      <c r="BM112" s="1064">
        <f>'Recurrentes 24-26'!BL114</f>
        <v>32.364</v>
      </c>
      <c r="BN112" s="1064">
        <f>'Recurrentes 24-26'!BM114</f>
        <v>21.576</v>
      </c>
      <c r="BO112" s="1064">
        <f>'Recurrentes 24-26'!BN114</f>
        <v>32.364</v>
      </c>
      <c r="BP112" s="1064">
        <f>'Recurrentes 24-26'!BO114</f>
        <v>43.152</v>
      </c>
      <c r="BQ112" s="1064">
        <f>'Recurrentes 24-26'!BP114</f>
        <v>362.4768</v>
      </c>
      <c r="BR112" s="1064">
        <f>'Recurrentes 24-26'!BQ114</f>
        <v>599.8128</v>
      </c>
      <c r="BS112" s="1064">
        <f>'Recurrentes 24-26'!BR114</f>
        <v>12.9456</v>
      </c>
      <c r="BT112" s="1064">
        <f>'Recurrentes 24-26'!BS114</f>
        <v>12.9456</v>
      </c>
      <c r="BU112" s="1064">
        <f>'Recurrentes 24-26'!BT114</f>
        <v>2.1576</v>
      </c>
      <c r="BV112" s="1064">
        <f>'Recurrentes 24-26'!BU114</f>
        <v>0</v>
      </c>
      <c r="BW112" s="451"/>
      <c r="BX112" s="1062">
        <f>'Recurrentes 24-26'!BV114</f>
        <v>1119.7944</v>
      </c>
      <c r="BY112" s="1064">
        <f>'Recurrentes 24-26'!BW114</f>
        <v>32.364</v>
      </c>
      <c r="BZ112" s="1064">
        <f>'Recurrentes 24-26'!BX114</f>
        <v>21.576</v>
      </c>
      <c r="CA112" s="1064">
        <f>'Recurrentes 24-26'!BY114</f>
        <v>32.364</v>
      </c>
      <c r="CB112" s="1064">
        <f>'Recurrentes 24-26'!BZ114</f>
        <v>43.152</v>
      </c>
      <c r="CC112" s="1064">
        <f>'Recurrentes 24-26'!CA114</f>
        <v>362.4768</v>
      </c>
      <c r="CD112" s="1064">
        <f>'Recurrentes 24-26'!CB114</f>
        <v>599.8128</v>
      </c>
      <c r="CE112" s="1064">
        <f>'Recurrentes 24-26'!CC114</f>
        <v>12.9456</v>
      </c>
      <c r="CF112" s="1064">
        <f>'Recurrentes 24-26'!CD114</f>
        <v>12.9456</v>
      </c>
      <c r="CG112" s="1064">
        <f>'Recurrentes 24-26'!CE114</f>
        <v>2.1576</v>
      </c>
      <c r="CH112" s="1064">
        <f>'Recurrentes 24-26'!CF114</f>
        <v>0</v>
      </c>
      <c r="CI112" s="451"/>
      <c r="CJ112" s="1062">
        <f>'Recurrentes 24-26'!CG114</f>
        <v>1119.7944</v>
      </c>
      <c r="CK112" s="1062">
        <f>'Recurrentes 24-26'!CH114</f>
        <v>3253.6608</v>
      </c>
      <c r="CL112" s="451" t="str">
        <f>'Recurrentes 24-26'!CI114</f>
        <v/>
      </c>
      <c r="CM112" s="1064" t="str">
        <f>'Recurrentes 24-26'!CJ114</f>
        <v/>
      </c>
      <c r="CN112" s="451">
        <f>'Recurrentes 24-26'!CK114</f>
        <v>1</v>
      </c>
      <c r="CO112" s="1062">
        <f>'Recurrentes 24-26'!CL114</f>
        <v>0.31</v>
      </c>
      <c r="CP112" s="451" t="str">
        <f>'Recurrentes 24-26'!CM114</f>
        <v/>
      </c>
    </row>
    <row r="113">
      <c r="A113" s="451" t="str">
        <f>'Recurrentes 24-26'!A115</f>
        <v>Repuestos Electromecánicos recurrentes</v>
      </c>
      <c r="B113" s="451">
        <f>'Recurrentes 24-26'!B115</f>
        <v>2</v>
      </c>
      <c r="C113" s="451" t="str">
        <f>'Recurrentes 24-26'!C115</f>
        <v>Vehículo</v>
      </c>
      <c r="D113" s="451" t="str">
        <f>'Recurrentes 24-26'!D115</f>
        <v>Manto. Pinza</v>
      </c>
      <c r="E113" s="451" t="str">
        <f>'Recurrentes 24-26'!E115</f>
        <v>Repuesto Mecánico</v>
      </c>
      <c r="F113" s="451" t="str">
        <f>'Recurrentes 24-26'!F115</f>
        <v>TDB</v>
      </c>
      <c r="G113" s="1025" t="str">
        <f>'Recurrentes 24-26'!G115</f>
        <v>39800</v>
      </c>
      <c r="H113" s="1061" t="str">
        <f>'Recurrentes 24-26'!H115</f>
        <v>2-01-00076</v>
      </c>
      <c r="I113" s="1061" t="str">
        <f>'Recurrentes 24-26'!I115</f>
        <v>10488435</v>
      </c>
      <c r="J113" s="1061" t="str">
        <f>'Recurrentes 24-26'!J115</f>
        <v>ARANDELA                A108-C DIA. 70,0/ 50,0  E= 6,5</v>
      </c>
      <c r="K113" s="451" t="str">
        <f>'Recurrentes 24-26'!K115</f>
        <v>Pza</v>
      </c>
      <c r="L113" s="451">
        <f>'Recurrentes 24-26'!L115</f>
        <v>5</v>
      </c>
      <c r="M113" s="451">
        <f>'Recurrentes 24-26'!M115</f>
        <v>5</v>
      </c>
      <c r="N113" s="451">
        <f>'Recurrentes 24-26'!N115</f>
        <v>5</v>
      </c>
      <c r="O113" s="451">
        <f>'Recurrentes 24-26'!O115</f>
        <v>4</v>
      </c>
      <c r="P113" s="451">
        <f>'Recurrentes 24-26'!P115</f>
        <v>4</v>
      </c>
      <c r="Q113" s="451">
        <f>'Recurrentes 24-26'!Q115</f>
        <v>6</v>
      </c>
      <c r="R113" s="451">
        <f>'Recurrentes 24-26'!R115</f>
        <v>4</v>
      </c>
      <c r="S113" s="451">
        <f>'Recurrentes 24-26'!S115</f>
        <v>4</v>
      </c>
      <c r="T113" s="451">
        <f>'Recurrentes 24-26'!T115</f>
        <v>2</v>
      </c>
      <c r="U113" s="451">
        <f>'Recurrentes 24-26'!U115</f>
        <v>5</v>
      </c>
      <c r="V113" s="451">
        <f>'Recurrentes 24-26'!V115</f>
        <v>0</v>
      </c>
      <c r="W113" s="1062">
        <f>'Recurrentes 24-26'!W115</f>
        <v>44</v>
      </c>
      <c r="X113" s="451">
        <f>'Recurrentes 24-26'!X115</f>
        <v>5</v>
      </c>
      <c r="Y113" s="451">
        <f>'Recurrentes 24-26'!Y115</f>
        <v>5</v>
      </c>
      <c r="Z113" s="451">
        <f>'Recurrentes 24-26'!Z115</f>
        <v>5</v>
      </c>
      <c r="AA113" s="451">
        <f>'Recurrentes 24-26'!AA115</f>
        <v>4</v>
      </c>
      <c r="AB113" s="451">
        <f>'Recurrentes 24-26'!AB115</f>
        <v>4</v>
      </c>
      <c r="AC113" s="451">
        <f>'Recurrentes 24-26'!AC115</f>
        <v>6</v>
      </c>
      <c r="AD113" s="451">
        <f>'Recurrentes 24-26'!AD115</f>
        <v>4</v>
      </c>
      <c r="AE113" s="451">
        <f>'Recurrentes 24-26'!AE115</f>
        <v>4</v>
      </c>
      <c r="AF113" s="451">
        <f>'Recurrentes 24-26'!AF115</f>
        <v>2</v>
      </c>
      <c r="AG113" s="451">
        <f>'Recurrentes 24-26'!AG115</f>
        <v>5</v>
      </c>
      <c r="AH113" s="451">
        <f>'Recurrentes 24-26'!AH115</f>
        <v>0</v>
      </c>
      <c r="AI113" s="1062">
        <f>'Recurrentes 24-26'!AI115</f>
        <v>44</v>
      </c>
      <c r="AJ113" s="451">
        <f>'Recurrentes 24-26'!AJ115</f>
        <v>5</v>
      </c>
      <c r="AK113" s="451">
        <f>'Recurrentes 24-26'!AK115</f>
        <v>5</v>
      </c>
      <c r="AL113" s="451">
        <f>'Recurrentes 24-26'!AL115</f>
        <v>5</v>
      </c>
      <c r="AM113" s="451">
        <f>'Recurrentes 24-26'!AM115</f>
        <v>4</v>
      </c>
      <c r="AN113" s="451">
        <f>'Recurrentes 24-26'!AN115</f>
        <v>4</v>
      </c>
      <c r="AO113" s="451">
        <f>'Recurrentes 24-26'!AO115</f>
        <v>6</v>
      </c>
      <c r="AP113" s="451">
        <f>'Recurrentes 24-26'!AP115</f>
        <v>4</v>
      </c>
      <c r="AQ113" s="451">
        <f>'Recurrentes 24-26'!AQ115</f>
        <v>4</v>
      </c>
      <c r="AR113" s="451">
        <f>'Recurrentes 24-26'!AR115</f>
        <v>2</v>
      </c>
      <c r="AS113" s="451">
        <f>'Recurrentes 24-26'!AS115</f>
        <v>5</v>
      </c>
      <c r="AT113" s="451">
        <f>'Recurrentes 24-26'!AT115</f>
        <v>0</v>
      </c>
      <c r="AU113" s="1062">
        <f>'Recurrentes 24-26'!AU115</f>
        <v>44</v>
      </c>
      <c r="AV113" s="1062">
        <f>'Recurrentes 24-26'!AV115</f>
        <v>132</v>
      </c>
      <c r="AW113" s="451" t="str">
        <f>'Recurrentes 24-26'!AW115</f>
        <v/>
      </c>
      <c r="AX113" s="1062">
        <f>'Recurrentes 24-26'!AX115</f>
        <v>3.04</v>
      </c>
      <c r="AY113" s="1062">
        <f>'Recurrentes 24-26'!AY115</f>
        <v>21.1584</v>
      </c>
      <c r="AZ113" s="1064" t="str">
        <f>'Recurrentes 24-26'!AZ115</f>
        <v/>
      </c>
      <c r="BA113" s="1064">
        <f>'Recurrentes 24-26'!BA115</f>
        <v>105.792</v>
      </c>
      <c r="BB113" s="1064">
        <f>'Recurrentes 24-26'!BB115</f>
        <v>105.792</v>
      </c>
      <c r="BC113" s="1064">
        <f>'Recurrentes 24-26'!BC115</f>
        <v>105.792</v>
      </c>
      <c r="BD113" s="1064">
        <f>'Recurrentes 24-26'!BD115</f>
        <v>84.6336</v>
      </c>
      <c r="BE113" s="1064">
        <f>'Recurrentes 24-26'!BE115</f>
        <v>84.6336</v>
      </c>
      <c r="BF113" s="1064">
        <f>'Recurrentes 24-26'!BF115</f>
        <v>126.9504</v>
      </c>
      <c r="BG113" s="1064">
        <f>'Recurrentes 24-26'!BG115</f>
        <v>84.6336</v>
      </c>
      <c r="BH113" s="1064">
        <f>'Recurrentes 24-26'!BH115</f>
        <v>84.6336</v>
      </c>
      <c r="BI113" s="1064">
        <f>'Recurrentes 24-26'!BI115</f>
        <v>42.3168</v>
      </c>
      <c r="BJ113" s="1064">
        <f>'Recurrentes 24-26'!BJ115</f>
        <v>105.792</v>
      </c>
      <c r="BK113" s="451"/>
      <c r="BL113" s="1062">
        <f>'Recurrentes 24-26'!BK115</f>
        <v>930.9696</v>
      </c>
      <c r="BM113" s="1064">
        <f>'Recurrentes 24-26'!BL115</f>
        <v>105.792</v>
      </c>
      <c r="BN113" s="1064">
        <f>'Recurrentes 24-26'!BM115</f>
        <v>105.792</v>
      </c>
      <c r="BO113" s="1064">
        <f>'Recurrentes 24-26'!BN115</f>
        <v>105.792</v>
      </c>
      <c r="BP113" s="1064">
        <f>'Recurrentes 24-26'!BO115</f>
        <v>84.6336</v>
      </c>
      <c r="BQ113" s="1064">
        <f>'Recurrentes 24-26'!BP115</f>
        <v>84.6336</v>
      </c>
      <c r="BR113" s="1064">
        <f>'Recurrentes 24-26'!BQ115</f>
        <v>126.9504</v>
      </c>
      <c r="BS113" s="1064">
        <f>'Recurrentes 24-26'!BR115</f>
        <v>84.6336</v>
      </c>
      <c r="BT113" s="1064">
        <f>'Recurrentes 24-26'!BS115</f>
        <v>84.6336</v>
      </c>
      <c r="BU113" s="1064">
        <f>'Recurrentes 24-26'!BT115</f>
        <v>42.3168</v>
      </c>
      <c r="BV113" s="1064">
        <f>'Recurrentes 24-26'!BU115</f>
        <v>105.792</v>
      </c>
      <c r="BW113" s="451"/>
      <c r="BX113" s="1062">
        <f>'Recurrentes 24-26'!BV115</f>
        <v>930.9696</v>
      </c>
      <c r="BY113" s="1064">
        <f>'Recurrentes 24-26'!BW115</f>
        <v>105.792</v>
      </c>
      <c r="BZ113" s="1064">
        <f>'Recurrentes 24-26'!BX115</f>
        <v>105.792</v>
      </c>
      <c r="CA113" s="1064">
        <f>'Recurrentes 24-26'!BY115</f>
        <v>105.792</v>
      </c>
      <c r="CB113" s="1064">
        <f>'Recurrentes 24-26'!BZ115</f>
        <v>84.6336</v>
      </c>
      <c r="CC113" s="1064">
        <f>'Recurrentes 24-26'!CA115</f>
        <v>84.6336</v>
      </c>
      <c r="CD113" s="1064">
        <f>'Recurrentes 24-26'!CB115</f>
        <v>126.9504</v>
      </c>
      <c r="CE113" s="1064">
        <f>'Recurrentes 24-26'!CC115</f>
        <v>84.6336</v>
      </c>
      <c r="CF113" s="1064">
        <f>'Recurrentes 24-26'!CD115</f>
        <v>84.6336</v>
      </c>
      <c r="CG113" s="1064">
        <f>'Recurrentes 24-26'!CE115</f>
        <v>42.3168</v>
      </c>
      <c r="CH113" s="1064">
        <f>'Recurrentes 24-26'!CF115</f>
        <v>105.792</v>
      </c>
      <c r="CI113" s="451"/>
      <c r="CJ113" s="1062">
        <f>'Recurrentes 24-26'!CG115</f>
        <v>930.9696</v>
      </c>
      <c r="CK113" s="1062">
        <f>'Recurrentes 24-26'!CH115</f>
        <v>2792.9088</v>
      </c>
      <c r="CL113" s="451" t="str">
        <f>'Recurrentes 24-26'!CI115</f>
        <v/>
      </c>
      <c r="CM113" s="1064" t="str">
        <f>'Recurrentes 24-26'!CJ115</f>
        <v/>
      </c>
      <c r="CN113" s="451">
        <f>'Recurrentes 24-26'!CK115</f>
        <v>1</v>
      </c>
      <c r="CO113" s="1062">
        <f>'Recurrentes 24-26'!CL115</f>
        <v>3.04</v>
      </c>
      <c r="CP113" s="451" t="str">
        <f>'Recurrentes 24-26'!CM115</f>
        <v/>
      </c>
    </row>
    <row r="114">
      <c r="A114" s="451" t="str">
        <f>'Recurrentes 24-26'!A116</f>
        <v>Repuestos Electromecánicos recurrentes</v>
      </c>
      <c r="B114" s="451">
        <f>'Recurrentes 24-26'!B116</f>
        <v>2</v>
      </c>
      <c r="C114" s="451" t="str">
        <f>'Recurrentes 24-26'!C116</f>
        <v>Torres</v>
      </c>
      <c r="D114" s="451" t="str">
        <f>'Recurrentes 24-26'!D116</f>
        <v>Sistema RPD</v>
      </c>
      <c r="E114" s="451" t="str">
        <f>'Recurrentes 24-26'!E116</f>
        <v>Repuesto Eléctrico</v>
      </c>
      <c r="F114" s="451" t="str">
        <f>'Recurrentes 24-26'!F116</f>
        <v>TDB</v>
      </c>
      <c r="G114" s="1025" t="str">
        <f>'Recurrentes 24-26'!G116</f>
        <v>39700</v>
      </c>
      <c r="H114" s="1061" t="str">
        <f>'Recurrentes 24-26'!H116</f>
        <v>2-01-00721</v>
      </c>
      <c r="I114" s="1061" t="str">
        <f>'Recurrentes 24-26'!I116</f>
        <v>11436685</v>
      </c>
      <c r="J114" s="1061" t="str">
        <f>'Recurrentes 24-26'!J116</f>
        <v>ELEMENTO BÁSICO P.ENCHUFE DE PROT. PHOENIX CONTACT Nº 2905557</v>
      </c>
      <c r="K114" s="451" t="str">
        <f>'Recurrentes 24-26'!K116</f>
        <v>Pza</v>
      </c>
      <c r="L114" s="451">
        <f>'Recurrentes 24-26'!L116</f>
        <v>0</v>
      </c>
      <c r="M114" s="451">
        <f>'Recurrentes 24-26'!M116</f>
        <v>0</v>
      </c>
      <c r="N114" s="451">
        <f>'Recurrentes 24-26'!N116</f>
        <v>0</v>
      </c>
      <c r="O114" s="451">
        <f>'Recurrentes 24-26'!O116</f>
        <v>0</v>
      </c>
      <c r="P114" s="451">
        <f>'Recurrentes 24-26'!P116</f>
        <v>0</v>
      </c>
      <c r="Q114" s="451">
        <f>'Recurrentes 24-26'!Q116</f>
        <v>0</v>
      </c>
      <c r="R114" s="451">
        <f>'Recurrentes 24-26'!R116</f>
        <v>0</v>
      </c>
      <c r="S114" s="451">
        <f>'Recurrentes 24-26'!S116</f>
        <v>1</v>
      </c>
      <c r="T114" s="451">
        <f>'Recurrentes 24-26'!T116</f>
        <v>0</v>
      </c>
      <c r="U114" s="451">
        <f>'Recurrentes 24-26'!U116</f>
        <v>1</v>
      </c>
      <c r="V114" s="451">
        <f>'Recurrentes 24-26'!V116</f>
        <v>0</v>
      </c>
      <c r="W114" s="1062">
        <f>'Recurrentes 24-26'!W116</f>
        <v>2</v>
      </c>
      <c r="X114" s="451">
        <f>'Recurrentes 24-26'!X116</f>
        <v>0</v>
      </c>
      <c r="Y114" s="451">
        <f>'Recurrentes 24-26'!Y116</f>
        <v>0</v>
      </c>
      <c r="Z114" s="451">
        <f>'Recurrentes 24-26'!Z116</f>
        <v>0</v>
      </c>
      <c r="AA114" s="451">
        <f>'Recurrentes 24-26'!AA116</f>
        <v>0</v>
      </c>
      <c r="AB114" s="451">
        <f>'Recurrentes 24-26'!AB116</f>
        <v>0</v>
      </c>
      <c r="AC114" s="451">
        <f>'Recurrentes 24-26'!AC116</f>
        <v>0</v>
      </c>
      <c r="AD114" s="451">
        <f>'Recurrentes 24-26'!AD116</f>
        <v>0</v>
      </c>
      <c r="AE114" s="451">
        <f>'Recurrentes 24-26'!AE116</f>
        <v>1</v>
      </c>
      <c r="AF114" s="451">
        <f>'Recurrentes 24-26'!AF116</f>
        <v>0</v>
      </c>
      <c r="AG114" s="451">
        <f>'Recurrentes 24-26'!AG116</f>
        <v>1</v>
      </c>
      <c r="AH114" s="451">
        <f>'Recurrentes 24-26'!AH116</f>
        <v>0</v>
      </c>
      <c r="AI114" s="1062">
        <f>'Recurrentes 24-26'!AI116</f>
        <v>2</v>
      </c>
      <c r="AJ114" s="451">
        <f>'Recurrentes 24-26'!AJ116</f>
        <v>0</v>
      </c>
      <c r="AK114" s="451">
        <f>'Recurrentes 24-26'!AK116</f>
        <v>0</v>
      </c>
      <c r="AL114" s="451">
        <f>'Recurrentes 24-26'!AL116</f>
        <v>0</v>
      </c>
      <c r="AM114" s="451">
        <f>'Recurrentes 24-26'!AM116</f>
        <v>0</v>
      </c>
      <c r="AN114" s="451">
        <f>'Recurrentes 24-26'!AN116</f>
        <v>0</v>
      </c>
      <c r="AO114" s="451">
        <f>'Recurrentes 24-26'!AO116</f>
        <v>0</v>
      </c>
      <c r="AP114" s="451">
        <f>'Recurrentes 24-26'!AP116</f>
        <v>0</v>
      </c>
      <c r="AQ114" s="451">
        <f>'Recurrentes 24-26'!AQ116</f>
        <v>1</v>
      </c>
      <c r="AR114" s="451">
        <f>'Recurrentes 24-26'!AR116</f>
        <v>0</v>
      </c>
      <c r="AS114" s="451">
        <f>'Recurrentes 24-26'!AS116</f>
        <v>1</v>
      </c>
      <c r="AT114" s="451">
        <f>'Recurrentes 24-26'!AT116</f>
        <v>0</v>
      </c>
      <c r="AU114" s="1062">
        <f>'Recurrentes 24-26'!AU116</f>
        <v>2</v>
      </c>
      <c r="AV114" s="1062">
        <f>'Recurrentes 24-26'!AV116</f>
        <v>6</v>
      </c>
      <c r="AW114" s="451" t="str">
        <f>'Recurrentes 24-26'!AW116</f>
        <v/>
      </c>
      <c r="AX114" s="1062">
        <f>'Recurrentes 24-26'!AX116</f>
        <v>66.72</v>
      </c>
      <c r="AY114" s="1062">
        <f>'Recurrentes 24-26'!AY116</f>
        <v>464.3712</v>
      </c>
      <c r="AZ114" s="1064" t="str">
        <f>'Recurrentes 24-26'!AZ116</f>
        <v/>
      </c>
      <c r="BA114" s="1064">
        <f>'Recurrentes 24-26'!BA116</f>
        <v>0</v>
      </c>
      <c r="BB114" s="1064">
        <f>'Recurrentes 24-26'!BB116</f>
        <v>0</v>
      </c>
      <c r="BC114" s="1064">
        <f>'Recurrentes 24-26'!BC116</f>
        <v>0</v>
      </c>
      <c r="BD114" s="1064">
        <f>'Recurrentes 24-26'!BD116</f>
        <v>0</v>
      </c>
      <c r="BE114" s="1064">
        <f>'Recurrentes 24-26'!BE116</f>
        <v>0</v>
      </c>
      <c r="BF114" s="1064">
        <f>'Recurrentes 24-26'!BF116</f>
        <v>0</v>
      </c>
      <c r="BG114" s="1064">
        <f>'Recurrentes 24-26'!BG116</f>
        <v>0</v>
      </c>
      <c r="BH114" s="1064">
        <f>'Recurrentes 24-26'!BH116</f>
        <v>464.3712</v>
      </c>
      <c r="BI114" s="1064">
        <f>'Recurrentes 24-26'!BI116</f>
        <v>0</v>
      </c>
      <c r="BJ114" s="1064">
        <f>'Recurrentes 24-26'!BJ116</f>
        <v>464.3712</v>
      </c>
      <c r="BK114" s="451"/>
      <c r="BL114" s="1062">
        <f>'Recurrentes 24-26'!BK116</f>
        <v>928.7424</v>
      </c>
      <c r="BM114" s="1064">
        <f>'Recurrentes 24-26'!BL116</f>
        <v>0</v>
      </c>
      <c r="BN114" s="1064">
        <f>'Recurrentes 24-26'!BM116</f>
        <v>0</v>
      </c>
      <c r="BO114" s="1064">
        <f>'Recurrentes 24-26'!BN116</f>
        <v>0</v>
      </c>
      <c r="BP114" s="1064">
        <f>'Recurrentes 24-26'!BO116</f>
        <v>0</v>
      </c>
      <c r="BQ114" s="1064">
        <f>'Recurrentes 24-26'!BP116</f>
        <v>0</v>
      </c>
      <c r="BR114" s="1064">
        <f>'Recurrentes 24-26'!BQ116</f>
        <v>0</v>
      </c>
      <c r="BS114" s="1064">
        <f>'Recurrentes 24-26'!BR116</f>
        <v>0</v>
      </c>
      <c r="BT114" s="1064">
        <f>'Recurrentes 24-26'!BS116</f>
        <v>464.3712</v>
      </c>
      <c r="BU114" s="1064">
        <f>'Recurrentes 24-26'!BT116</f>
        <v>0</v>
      </c>
      <c r="BV114" s="1064">
        <f>'Recurrentes 24-26'!BU116</f>
        <v>464.3712</v>
      </c>
      <c r="BW114" s="451"/>
      <c r="BX114" s="1062">
        <f>'Recurrentes 24-26'!BV116</f>
        <v>928.7424</v>
      </c>
      <c r="BY114" s="1064">
        <f>'Recurrentes 24-26'!BW116</f>
        <v>0</v>
      </c>
      <c r="BZ114" s="1064">
        <f>'Recurrentes 24-26'!BX116</f>
        <v>0</v>
      </c>
      <c r="CA114" s="1064">
        <f>'Recurrentes 24-26'!BY116</f>
        <v>0</v>
      </c>
      <c r="CB114" s="1064">
        <f>'Recurrentes 24-26'!BZ116</f>
        <v>0</v>
      </c>
      <c r="CC114" s="1064">
        <f>'Recurrentes 24-26'!CA116</f>
        <v>0</v>
      </c>
      <c r="CD114" s="1064">
        <f>'Recurrentes 24-26'!CB116</f>
        <v>0</v>
      </c>
      <c r="CE114" s="1064">
        <f>'Recurrentes 24-26'!CC116</f>
        <v>0</v>
      </c>
      <c r="CF114" s="1064">
        <f>'Recurrentes 24-26'!CD116</f>
        <v>464.3712</v>
      </c>
      <c r="CG114" s="1064">
        <f>'Recurrentes 24-26'!CE116</f>
        <v>0</v>
      </c>
      <c r="CH114" s="1064">
        <f>'Recurrentes 24-26'!CF116</f>
        <v>464.3712</v>
      </c>
      <c r="CI114" s="451"/>
      <c r="CJ114" s="1062">
        <f>'Recurrentes 24-26'!CG116</f>
        <v>928.7424</v>
      </c>
      <c r="CK114" s="1062">
        <f>'Recurrentes 24-26'!CH116</f>
        <v>2786.2272</v>
      </c>
      <c r="CL114" s="451" t="str">
        <f>'Recurrentes 24-26'!CI116</f>
        <v/>
      </c>
      <c r="CM114" s="1064" t="str">
        <f>'Recurrentes 24-26'!CJ116</f>
        <v/>
      </c>
      <c r="CN114" s="451">
        <f>'Recurrentes 24-26'!CK116</f>
        <v>1</v>
      </c>
      <c r="CO114" s="1062">
        <f>'Recurrentes 24-26'!CL116</f>
        <v>66.72</v>
      </c>
      <c r="CP114" s="451" t="str">
        <f>'Recurrentes 24-26'!CM116</f>
        <v/>
      </c>
    </row>
    <row r="115">
      <c r="A115" s="451" t="str">
        <f>'Recurrentes 24-26'!A117</f>
        <v>Repuestos Electromecánicos recurrentes</v>
      </c>
      <c r="B115" s="451">
        <f>'Recurrentes 24-26'!B117</f>
        <v>2</v>
      </c>
      <c r="C115" s="451" t="str">
        <f>'Recurrentes 24-26'!C117</f>
        <v>Vehículo</v>
      </c>
      <c r="D115" s="451" t="str">
        <f>'Recurrentes 24-26'!D117</f>
        <v>Manto. Pinza</v>
      </c>
      <c r="E115" s="451" t="str">
        <f>'Recurrentes 24-26'!E117</f>
        <v>Repuesto Mecánico</v>
      </c>
      <c r="F115" s="451" t="str">
        <f>'Recurrentes 24-26'!F117</f>
        <v>TDB</v>
      </c>
      <c r="G115" s="1025" t="str">
        <f>'Recurrentes 24-26'!G117</f>
        <v>39800</v>
      </c>
      <c r="H115" s="1061" t="str">
        <f>'Recurrentes 24-26'!H117</f>
        <v>2-01-00023</v>
      </c>
      <c r="I115" s="1061" t="str">
        <f>'Recurrentes 24-26'!I117</f>
        <v>10292406</v>
      </c>
      <c r="J115" s="1061" t="str">
        <f>'Recurrentes 24-26'!J117</f>
        <v>TUERCA ALMEN. DIN979-04 M30X2  VERZINKT, NIEDRIGE BAUART</v>
      </c>
      <c r="K115" s="451" t="str">
        <f>'Recurrentes 24-26'!K117</f>
        <v>Pza</v>
      </c>
      <c r="L115" s="451">
        <f>'Recurrentes 24-26'!L117</f>
        <v>0</v>
      </c>
      <c r="M115" s="451">
        <f>'Recurrentes 24-26'!M117</f>
        <v>0</v>
      </c>
      <c r="N115" s="451">
        <f>'Recurrentes 24-26'!N117</f>
        <v>0</v>
      </c>
      <c r="O115" s="451">
        <f>'Recurrentes 24-26'!O117</f>
        <v>0</v>
      </c>
      <c r="P115" s="451">
        <f>'Recurrentes 24-26'!P117</f>
        <v>0</v>
      </c>
      <c r="Q115" s="451">
        <f>'Recurrentes 24-26'!Q117</f>
        <v>0</v>
      </c>
      <c r="R115" s="451">
        <f>'Recurrentes 24-26'!R117</f>
        <v>0</v>
      </c>
      <c r="S115" s="451">
        <f>'Recurrentes 24-26'!S117</f>
        <v>0</v>
      </c>
      <c r="T115" s="451">
        <f>'Recurrentes 24-26'!T117</f>
        <v>0</v>
      </c>
      <c r="U115" s="451">
        <f>'Recurrentes 24-26'!U117</f>
        <v>0</v>
      </c>
      <c r="V115" s="451">
        <f>'Recurrentes 24-26'!V117</f>
        <v>0</v>
      </c>
      <c r="W115" s="1062">
        <f>'Recurrentes 24-26'!W117</f>
        <v>0</v>
      </c>
      <c r="X115" s="451">
        <f>'Recurrentes 24-26'!X117</f>
        <v>2</v>
      </c>
      <c r="Y115" s="451">
        <f>'Recurrentes 24-26'!Y117</f>
        <v>2</v>
      </c>
      <c r="Z115" s="451">
        <f>'Recurrentes 24-26'!Z117</f>
        <v>2</v>
      </c>
      <c r="AA115" s="451">
        <f>'Recurrentes 24-26'!AA117</f>
        <v>2</v>
      </c>
      <c r="AB115" s="451">
        <f>'Recurrentes 24-26'!AB117</f>
        <v>2</v>
      </c>
      <c r="AC115" s="451">
        <f>'Recurrentes 24-26'!AC117</f>
        <v>4</v>
      </c>
      <c r="AD115" s="451">
        <f>'Recurrentes 24-26'!AD117</f>
        <v>1</v>
      </c>
      <c r="AE115" s="451">
        <f>'Recurrentes 24-26'!AE117</f>
        <v>1</v>
      </c>
      <c r="AF115" s="451">
        <f>'Recurrentes 24-26'!AF117</f>
        <v>1</v>
      </c>
      <c r="AG115" s="451">
        <f>'Recurrentes 24-26'!AG117</f>
        <v>0</v>
      </c>
      <c r="AH115" s="451">
        <f>'Recurrentes 24-26'!AH117</f>
        <v>0</v>
      </c>
      <c r="AI115" s="1062">
        <f>'Recurrentes 24-26'!AI117</f>
        <v>17</v>
      </c>
      <c r="AJ115" s="451">
        <f>'Recurrentes 24-26'!AJ117</f>
        <v>2</v>
      </c>
      <c r="AK115" s="451">
        <f>'Recurrentes 24-26'!AK117</f>
        <v>2</v>
      </c>
      <c r="AL115" s="451">
        <f>'Recurrentes 24-26'!AL117</f>
        <v>2</v>
      </c>
      <c r="AM115" s="451">
        <f>'Recurrentes 24-26'!AM117</f>
        <v>2</v>
      </c>
      <c r="AN115" s="451">
        <f>'Recurrentes 24-26'!AN117</f>
        <v>2</v>
      </c>
      <c r="AO115" s="451">
        <f>'Recurrentes 24-26'!AO117</f>
        <v>4</v>
      </c>
      <c r="AP115" s="451">
        <f>'Recurrentes 24-26'!AP117</f>
        <v>1</v>
      </c>
      <c r="AQ115" s="451">
        <f>'Recurrentes 24-26'!AQ117</f>
        <v>1</v>
      </c>
      <c r="AR115" s="451">
        <f>'Recurrentes 24-26'!AR117</f>
        <v>1</v>
      </c>
      <c r="AS115" s="451">
        <f>'Recurrentes 24-26'!AS117</f>
        <v>0</v>
      </c>
      <c r="AT115" s="451">
        <f>'Recurrentes 24-26'!AT117</f>
        <v>0</v>
      </c>
      <c r="AU115" s="1062">
        <f>'Recurrentes 24-26'!AU117</f>
        <v>17</v>
      </c>
      <c r="AV115" s="1062">
        <f>'Recurrentes 24-26'!AV117</f>
        <v>34</v>
      </c>
      <c r="AW115" s="451" t="str">
        <f>'Recurrentes 24-26'!AW117</f>
        <v/>
      </c>
      <c r="AX115" s="1062">
        <f>'Recurrentes 24-26'!AX117</f>
        <v>10.96</v>
      </c>
      <c r="AY115" s="1062">
        <f>'Recurrentes 24-26'!AY117</f>
        <v>76.2816</v>
      </c>
      <c r="AZ115" s="1064" t="str">
        <f>'Recurrentes 24-26'!AZ117</f>
        <v/>
      </c>
      <c r="BA115" s="1064">
        <f>'Recurrentes 24-26'!BA117</f>
        <v>0</v>
      </c>
      <c r="BB115" s="1064">
        <f>'Recurrentes 24-26'!BB117</f>
        <v>0</v>
      </c>
      <c r="BC115" s="1064">
        <f>'Recurrentes 24-26'!BC117</f>
        <v>0</v>
      </c>
      <c r="BD115" s="1064">
        <f>'Recurrentes 24-26'!BD117</f>
        <v>0</v>
      </c>
      <c r="BE115" s="1064">
        <f>'Recurrentes 24-26'!BE117</f>
        <v>0</v>
      </c>
      <c r="BF115" s="1064">
        <f>'Recurrentes 24-26'!BF117</f>
        <v>0</v>
      </c>
      <c r="BG115" s="1064">
        <f>'Recurrentes 24-26'!BG117</f>
        <v>0</v>
      </c>
      <c r="BH115" s="1064">
        <f>'Recurrentes 24-26'!BH117</f>
        <v>0</v>
      </c>
      <c r="BI115" s="1064">
        <f>'Recurrentes 24-26'!BI117</f>
        <v>0</v>
      </c>
      <c r="BJ115" s="1064">
        <f>'Recurrentes 24-26'!BJ117</f>
        <v>0</v>
      </c>
      <c r="BK115" s="451"/>
      <c r="BL115" s="1062">
        <f>'Recurrentes 24-26'!BK117</f>
        <v>0</v>
      </c>
      <c r="BM115" s="1064">
        <f>'Recurrentes 24-26'!BL117</f>
        <v>152.5632</v>
      </c>
      <c r="BN115" s="1064">
        <f>'Recurrentes 24-26'!BM117</f>
        <v>152.5632</v>
      </c>
      <c r="BO115" s="1064">
        <f>'Recurrentes 24-26'!BN117</f>
        <v>152.5632</v>
      </c>
      <c r="BP115" s="1064">
        <f>'Recurrentes 24-26'!BO117</f>
        <v>152.5632</v>
      </c>
      <c r="BQ115" s="1064">
        <f>'Recurrentes 24-26'!BP117</f>
        <v>152.5632</v>
      </c>
      <c r="BR115" s="1064">
        <f>'Recurrentes 24-26'!BQ117</f>
        <v>305.1264</v>
      </c>
      <c r="BS115" s="1064">
        <f>'Recurrentes 24-26'!BR117</f>
        <v>76.2816</v>
      </c>
      <c r="BT115" s="1064">
        <f>'Recurrentes 24-26'!BS117</f>
        <v>76.2816</v>
      </c>
      <c r="BU115" s="1064">
        <f>'Recurrentes 24-26'!BT117</f>
        <v>76.2816</v>
      </c>
      <c r="BV115" s="1064">
        <f>'Recurrentes 24-26'!BU117</f>
        <v>0</v>
      </c>
      <c r="BW115" s="451"/>
      <c r="BX115" s="1062">
        <f>'Recurrentes 24-26'!BV117</f>
        <v>1296.7872</v>
      </c>
      <c r="BY115" s="1064">
        <f>'Recurrentes 24-26'!BW117</f>
        <v>152.5632</v>
      </c>
      <c r="BZ115" s="1064">
        <f>'Recurrentes 24-26'!BX117</f>
        <v>152.5632</v>
      </c>
      <c r="CA115" s="1064">
        <f>'Recurrentes 24-26'!BY117</f>
        <v>152.5632</v>
      </c>
      <c r="CB115" s="1064">
        <f>'Recurrentes 24-26'!BZ117</f>
        <v>152.5632</v>
      </c>
      <c r="CC115" s="1064">
        <f>'Recurrentes 24-26'!CA117</f>
        <v>152.5632</v>
      </c>
      <c r="CD115" s="1064">
        <f>'Recurrentes 24-26'!CB117</f>
        <v>305.1264</v>
      </c>
      <c r="CE115" s="1064">
        <f>'Recurrentes 24-26'!CC117</f>
        <v>76.2816</v>
      </c>
      <c r="CF115" s="1064">
        <f>'Recurrentes 24-26'!CD117</f>
        <v>76.2816</v>
      </c>
      <c r="CG115" s="1064">
        <f>'Recurrentes 24-26'!CE117</f>
        <v>76.2816</v>
      </c>
      <c r="CH115" s="1064">
        <f>'Recurrentes 24-26'!CF117</f>
        <v>0</v>
      </c>
      <c r="CI115" s="451"/>
      <c r="CJ115" s="1062">
        <f>'Recurrentes 24-26'!CG117</f>
        <v>1296.7872</v>
      </c>
      <c r="CK115" s="1062">
        <f>'Recurrentes 24-26'!CH117</f>
        <v>2593.5744</v>
      </c>
      <c r="CL115" s="451" t="str">
        <f>'Recurrentes 24-26'!CI117</f>
        <v/>
      </c>
      <c r="CM115" s="1064" t="str">
        <f>'Recurrentes 24-26'!CJ117</f>
        <v/>
      </c>
      <c r="CN115" s="451">
        <f>'Recurrentes 24-26'!CK117</f>
        <v>1</v>
      </c>
      <c r="CO115" s="1062">
        <f>'Recurrentes 24-26'!CL117</f>
        <v>10.96</v>
      </c>
      <c r="CP115" s="451" t="str">
        <f>'Recurrentes 24-26'!CM117</f>
        <v/>
      </c>
    </row>
    <row r="116">
      <c r="A116" s="451" t="str">
        <f>'Recurrentes 24-26'!A118</f>
        <v>Repuestos Electromecánicos recurrentes</v>
      </c>
      <c r="B116" s="451">
        <f>'Recurrentes 24-26'!B118</f>
        <v>2</v>
      </c>
      <c r="C116" s="451" t="str">
        <f>'Recurrentes 24-26'!C118</f>
        <v>Vehículo</v>
      </c>
      <c r="D116" s="451" t="str">
        <f>'Recurrentes 24-26'!D118</f>
        <v>Manto. Pinza</v>
      </c>
      <c r="E116" s="451" t="str">
        <f>'Recurrentes 24-26'!E118</f>
        <v>Repuesto Mecánico</v>
      </c>
      <c r="F116" s="451" t="str">
        <f>'Recurrentes 24-26'!F118</f>
        <v>TDB</v>
      </c>
      <c r="G116" s="1025" t="str">
        <f>'Recurrentes 24-26'!G118</f>
        <v>39800</v>
      </c>
      <c r="H116" s="1061" t="str">
        <f>'Recurrentes 24-26'!H118</f>
        <v>2-01-00887</v>
      </c>
      <c r="I116" s="1061" t="str">
        <f>'Recurrentes 24-26'!I118</f>
        <v>10958255</v>
      </c>
      <c r="J116" s="1061" t="str">
        <f>'Recurrentes 24-26'!J118</f>
        <v>PLATILLO DE RESORTE INF., A108-CR RECUB.DE LAMINILLAS DE CINC</v>
      </c>
      <c r="K116" s="451" t="str">
        <f>'Recurrentes 24-26'!K118</f>
        <v>Pza</v>
      </c>
      <c r="L116" s="451">
        <f>'Recurrentes 24-26'!L118</f>
        <v>0</v>
      </c>
      <c r="M116" s="451">
        <f>'Recurrentes 24-26'!M118</f>
        <v>0</v>
      </c>
      <c r="N116" s="451">
        <f>'Recurrentes 24-26'!N118</f>
        <v>0</v>
      </c>
      <c r="O116" s="451">
        <f>'Recurrentes 24-26'!O118</f>
        <v>0</v>
      </c>
      <c r="P116" s="451">
        <f>'Recurrentes 24-26'!P118</f>
        <v>0</v>
      </c>
      <c r="Q116" s="451">
        <f>'Recurrentes 24-26'!Q118</f>
        <v>0</v>
      </c>
      <c r="R116" s="451">
        <f>'Recurrentes 24-26'!R118</f>
        <v>0</v>
      </c>
      <c r="S116" s="451">
        <f>'Recurrentes 24-26'!S118</f>
        <v>0</v>
      </c>
      <c r="T116" s="451">
        <f>'Recurrentes 24-26'!T118</f>
        <v>0</v>
      </c>
      <c r="U116" s="451">
        <f>'Recurrentes 24-26'!U118</f>
        <v>0</v>
      </c>
      <c r="V116" s="451">
        <f>'Recurrentes 24-26'!V118</f>
        <v>0</v>
      </c>
      <c r="W116" s="1062">
        <f>'Recurrentes 24-26'!W118</f>
        <v>0</v>
      </c>
      <c r="X116" s="451">
        <f>'Recurrentes 24-26'!X118</f>
        <v>1</v>
      </c>
      <c r="Y116" s="451">
        <f>'Recurrentes 24-26'!Y118</f>
        <v>0</v>
      </c>
      <c r="Z116" s="451">
        <f>'Recurrentes 24-26'!Z118</f>
        <v>0</v>
      </c>
      <c r="AA116" s="451">
        <f>'Recurrentes 24-26'!AA118</f>
        <v>0</v>
      </c>
      <c r="AB116" s="451">
        <f>'Recurrentes 24-26'!AB118</f>
        <v>0</v>
      </c>
      <c r="AC116" s="451">
        <f>'Recurrentes 24-26'!AC118</f>
        <v>0</v>
      </c>
      <c r="AD116" s="451">
        <f>'Recurrentes 24-26'!AD118</f>
        <v>0</v>
      </c>
      <c r="AE116" s="451">
        <f>'Recurrentes 24-26'!AE118</f>
        <v>0</v>
      </c>
      <c r="AF116" s="451">
        <f>'Recurrentes 24-26'!AF118</f>
        <v>0</v>
      </c>
      <c r="AG116" s="451">
        <f>'Recurrentes 24-26'!AG118</f>
        <v>0</v>
      </c>
      <c r="AH116" s="451">
        <f>'Recurrentes 24-26'!AH118</f>
        <v>0</v>
      </c>
      <c r="AI116" s="1062">
        <f>'Recurrentes 24-26'!AI118</f>
        <v>1</v>
      </c>
      <c r="AJ116" s="451">
        <f>'Recurrentes 24-26'!AJ118</f>
        <v>1</v>
      </c>
      <c r="AK116" s="451">
        <f>'Recurrentes 24-26'!AK118</f>
        <v>0</v>
      </c>
      <c r="AL116" s="451">
        <f>'Recurrentes 24-26'!AL118</f>
        <v>0</v>
      </c>
      <c r="AM116" s="451">
        <f>'Recurrentes 24-26'!AM118</f>
        <v>0</v>
      </c>
      <c r="AN116" s="451">
        <f>'Recurrentes 24-26'!AN118</f>
        <v>0</v>
      </c>
      <c r="AO116" s="451">
        <f>'Recurrentes 24-26'!AO118</f>
        <v>0</v>
      </c>
      <c r="AP116" s="451">
        <f>'Recurrentes 24-26'!AP118</f>
        <v>0</v>
      </c>
      <c r="AQ116" s="451">
        <f>'Recurrentes 24-26'!AQ118</f>
        <v>0</v>
      </c>
      <c r="AR116" s="451">
        <f>'Recurrentes 24-26'!AR118</f>
        <v>0</v>
      </c>
      <c r="AS116" s="451">
        <f>'Recurrentes 24-26'!AS118</f>
        <v>0</v>
      </c>
      <c r="AT116" s="451">
        <f>'Recurrentes 24-26'!AT118</f>
        <v>0</v>
      </c>
      <c r="AU116" s="1062">
        <f>'Recurrentes 24-26'!AU118</f>
        <v>1</v>
      </c>
      <c r="AV116" s="1062">
        <f>'Recurrentes 24-26'!AV118</f>
        <v>2</v>
      </c>
      <c r="AW116" s="451" t="str">
        <f>'Recurrentes 24-26'!AW118</f>
        <v/>
      </c>
      <c r="AX116" s="1062">
        <f>'Recurrentes 24-26'!AX118</f>
        <v>184.9</v>
      </c>
      <c r="AY116" s="1062">
        <f>'Recurrentes 24-26'!AY118</f>
        <v>1286.904</v>
      </c>
      <c r="AZ116" s="1064" t="str">
        <f>'Recurrentes 24-26'!AZ118</f>
        <v/>
      </c>
      <c r="BA116" s="1064">
        <f>'Recurrentes 24-26'!BA118</f>
        <v>0</v>
      </c>
      <c r="BB116" s="1064">
        <f>'Recurrentes 24-26'!BB118</f>
        <v>0</v>
      </c>
      <c r="BC116" s="1064">
        <f>'Recurrentes 24-26'!BC118</f>
        <v>0</v>
      </c>
      <c r="BD116" s="1064">
        <f>'Recurrentes 24-26'!BD118</f>
        <v>0</v>
      </c>
      <c r="BE116" s="1064">
        <f>'Recurrentes 24-26'!BE118</f>
        <v>0</v>
      </c>
      <c r="BF116" s="1064">
        <f>'Recurrentes 24-26'!BF118</f>
        <v>0</v>
      </c>
      <c r="BG116" s="1064">
        <f>'Recurrentes 24-26'!BG118</f>
        <v>0</v>
      </c>
      <c r="BH116" s="1064">
        <f>'Recurrentes 24-26'!BH118</f>
        <v>0</v>
      </c>
      <c r="BI116" s="1064">
        <f>'Recurrentes 24-26'!BI118</f>
        <v>0</v>
      </c>
      <c r="BJ116" s="1064">
        <f>'Recurrentes 24-26'!BJ118</f>
        <v>0</v>
      </c>
      <c r="BK116" s="451"/>
      <c r="BL116" s="1062">
        <f>'Recurrentes 24-26'!BK118</f>
        <v>0</v>
      </c>
      <c r="BM116" s="1064">
        <f>'Recurrentes 24-26'!BL118</f>
        <v>1286.904</v>
      </c>
      <c r="BN116" s="1064">
        <f>'Recurrentes 24-26'!BM118</f>
        <v>0</v>
      </c>
      <c r="BO116" s="1064">
        <f>'Recurrentes 24-26'!BN118</f>
        <v>0</v>
      </c>
      <c r="BP116" s="1064">
        <f>'Recurrentes 24-26'!BO118</f>
        <v>0</v>
      </c>
      <c r="BQ116" s="1064">
        <f>'Recurrentes 24-26'!BP118</f>
        <v>0</v>
      </c>
      <c r="BR116" s="1064">
        <f>'Recurrentes 24-26'!BQ118</f>
        <v>0</v>
      </c>
      <c r="BS116" s="1064">
        <f>'Recurrentes 24-26'!BR118</f>
        <v>0</v>
      </c>
      <c r="BT116" s="1064">
        <f>'Recurrentes 24-26'!BS118</f>
        <v>0</v>
      </c>
      <c r="BU116" s="1064">
        <f>'Recurrentes 24-26'!BT118</f>
        <v>0</v>
      </c>
      <c r="BV116" s="1064">
        <f>'Recurrentes 24-26'!BU118</f>
        <v>0</v>
      </c>
      <c r="BW116" s="451"/>
      <c r="BX116" s="1062">
        <f>'Recurrentes 24-26'!BV118</f>
        <v>1286.904</v>
      </c>
      <c r="BY116" s="1064">
        <f>'Recurrentes 24-26'!BW118</f>
        <v>1286.904</v>
      </c>
      <c r="BZ116" s="1064">
        <f>'Recurrentes 24-26'!BX118</f>
        <v>0</v>
      </c>
      <c r="CA116" s="1064">
        <f>'Recurrentes 24-26'!BY118</f>
        <v>0</v>
      </c>
      <c r="CB116" s="1064">
        <f>'Recurrentes 24-26'!BZ118</f>
        <v>0</v>
      </c>
      <c r="CC116" s="1064">
        <f>'Recurrentes 24-26'!CA118</f>
        <v>0</v>
      </c>
      <c r="CD116" s="1064">
        <f>'Recurrentes 24-26'!CB118</f>
        <v>0</v>
      </c>
      <c r="CE116" s="1064">
        <f>'Recurrentes 24-26'!CC118</f>
        <v>0</v>
      </c>
      <c r="CF116" s="1064">
        <f>'Recurrentes 24-26'!CD118</f>
        <v>0</v>
      </c>
      <c r="CG116" s="1064">
        <f>'Recurrentes 24-26'!CE118</f>
        <v>0</v>
      </c>
      <c r="CH116" s="1064">
        <f>'Recurrentes 24-26'!CF118</f>
        <v>0</v>
      </c>
      <c r="CI116" s="451"/>
      <c r="CJ116" s="1062">
        <f>'Recurrentes 24-26'!CG118</f>
        <v>1286.904</v>
      </c>
      <c r="CK116" s="1062">
        <f>'Recurrentes 24-26'!CH118</f>
        <v>2573.808</v>
      </c>
      <c r="CL116" s="451" t="str">
        <f>'Recurrentes 24-26'!CI118</f>
        <v/>
      </c>
      <c r="CM116" s="1064" t="str">
        <f>'Recurrentes 24-26'!CJ118</f>
        <v/>
      </c>
      <c r="CN116" s="451">
        <f>'Recurrentes 24-26'!CK118</f>
        <v>1</v>
      </c>
      <c r="CO116" s="1062">
        <f>'Recurrentes 24-26'!CL118</f>
        <v>184.9</v>
      </c>
      <c r="CP116" s="451" t="str">
        <f>'Recurrentes 24-26'!CM118</f>
        <v/>
      </c>
    </row>
    <row r="117">
      <c r="A117" s="451" t="str">
        <f>'Recurrentes 24-26'!A119</f>
        <v>Repuestos Electromecánicos recurrentes</v>
      </c>
      <c r="B117" s="451">
        <f>'Recurrentes 24-26'!B119</f>
        <v>2</v>
      </c>
      <c r="C117" s="451" t="str">
        <f>'Recurrentes 24-26'!C119</f>
        <v>Estaciones</v>
      </c>
      <c r="D117" s="451" t="str">
        <f>'Recurrentes 24-26'!D119</f>
        <v>Reacondicionamiento y Cambio de poleas de estacion</v>
      </c>
      <c r="E117" s="451" t="str">
        <f>'Recurrentes 24-26'!E119</f>
        <v>Repuesto Mecánico</v>
      </c>
      <c r="F117" s="451" t="str">
        <f>'Recurrentes 24-26'!F119</f>
        <v>TDB</v>
      </c>
      <c r="G117" s="1025" t="str">
        <f>'Recurrentes 24-26'!G119</f>
        <v>39800</v>
      </c>
      <c r="H117" s="1061" t="str">
        <f>'Recurrentes 24-26'!H119</f>
        <v>2-01-00258</v>
      </c>
      <c r="I117" s="1061" t="str">
        <f>'Recurrentes 24-26'!I119</f>
        <v>10044149</v>
      </c>
      <c r="J117" s="1061" t="str">
        <f>'Recurrentes 24-26'!J119</f>
        <v>ARAND.DIST. 108,5/50,1 S= 13,5 ACCIONAMIENTO P.RUEDA D.FRICC.</v>
      </c>
      <c r="K117" s="451" t="str">
        <f>'Recurrentes 24-26'!K119</f>
        <v>Pza</v>
      </c>
      <c r="L117" s="451">
        <f>'Recurrentes 24-26'!L119</f>
        <v>1</v>
      </c>
      <c r="M117" s="451">
        <f>'Recurrentes 24-26'!M119</f>
        <v>0</v>
      </c>
      <c r="N117" s="451">
        <f>'Recurrentes 24-26'!N119</f>
        <v>1</v>
      </c>
      <c r="O117" s="451">
        <f>'Recurrentes 24-26'!O119</f>
        <v>0</v>
      </c>
      <c r="P117" s="451">
        <f>'Recurrentes 24-26'!P119</f>
        <v>0</v>
      </c>
      <c r="Q117" s="451">
        <f>'Recurrentes 24-26'!Q119</f>
        <v>0</v>
      </c>
      <c r="R117" s="451">
        <f>'Recurrentes 24-26'!R119</f>
        <v>1</v>
      </c>
      <c r="S117" s="451">
        <f>'Recurrentes 24-26'!S119</f>
        <v>1</v>
      </c>
      <c r="T117" s="451">
        <f>'Recurrentes 24-26'!T119</f>
        <v>0</v>
      </c>
      <c r="U117" s="451">
        <f>'Recurrentes 24-26'!U119</f>
        <v>0</v>
      </c>
      <c r="V117" s="451">
        <f>'Recurrentes 24-26'!V119</f>
        <v>0</v>
      </c>
      <c r="W117" s="1062">
        <f>'Recurrentes 24-26'!W119</f>
        <v>4</v>
      </c>
      <c r="X117" s="451">
        <f>'Recurrentes 24-26'!X119</f>
        <v>1</v>
      </c>
      <c r="Y117" s="451">
        <f>'Recurrentes 24-26'!Y119</f>
        <v>0</v>
      </c>
      <c r="Z117" s="451">
        <f>'Recurrentes 24-26'!Z119</f>
        <v>1</v>
      </c>
      <c r="AA117" s="451">
        <f>'Recurrentes 24-26'!AA119</f>
        <v>0</v>
      </c>
      <c r="AB117" s="451">
        <f>'Recurrentes 24-26'!AB119</f>
        <v>0</v>
      </c>
      <c r="AC117" s="451">
        <f>'Recurrentes 24-26'!AC119</f>
        <v>0</v>
      </c>
      <c r="AD117" s="451">
        <f>'Recurrentes 24-26'!AD119</f>
        <v>1</v>
      </c>
      <c r="AE117" s="451">
        <f>'Recurrentes 24-26'!AE119</f>
        <v>1</v>
      </c>
      <c r="AF117" s="451">
        <f>'Recurrentes 24-26'!AF119</f>
        <v>0</v>
      </c>
      <c r="AG117" s="451">
        <f>'Recurrentes 24-26'!AG119</f>
        <v>0</v>
      </c>
      <c r="AH117" s="451">
        <f>'Recurrentes 24-26'!AH119</f>
        <v>0</v>
      </c>
      <c r="AI117" s="1062">
        <f>'Recurrentes 24-26'!AI119</f>
        <v>4</v>
      </c>
      <c r="AJ117" s="451">
        <f>'Recurrentes 24-26'!AJ119</f>
        <v>1</v>
      </c>
      <c r="AK117" s="451">
        <f>'Recurrentes 24-26'!AK119</f>
        <v>0</v>
      </c>
      <c r="AL117" s="451">
        <f>'Recurrentes 24-26'!AL119</f>
        <v>1</v>
      </c>
      <c r="AM117" s="451">
        <f>'Recurrentes 24-26'!AM119</f>
        <v>0</v>
      </c>
      <c r="AN117" s="451">
        <f>'Recurrentes 24-26'!AN119</f>
        <v>0</v>
      </c>
      <c r="AO117" s="451">
        <f>'Recurrentes 24-26'!AO119</f>
        <v>0</v>
      </c>
      <c r="AP117" s="451">
        <f>'Recurrentes 24-26'!AP119</f>
        <v>1</v>
      </c>
      <c r="AQ117" s="451">
        <f>'Recurrentes 24-26'!AQ119</f>
        <v>1</v>
      </c>
      <c r="AR117" s="451">
        <f>'Recurrentes 24-26'!AR119</f>
        <v>0</v>
      </c>
      <c r="AS117" s="451">
        <f>'Recurrentes 24-26'!AS119</f>
        <v>0</v>
      </c>
      <c r="AT117" s="451">
        <f>'Recurrentes 24-26'!AT119</f>
        <v>0</v>
      </c>
      <c r="AU117" s="1062">
        <f>'Recurrentes 24-26'!AU119</f>
        <v>4</v>
      </c>
      <c r="AV117" s="1063">
        <f>'Recurrentes 24-26'!AV119</f>
        <v>12</v>
      </c>
      <c r="AW117" s="451" t="str">
        <f>'Recurrentes 24-26'!AW119</f>
        <v/>
      </c>
      <c r="AX117" s="1062">
        <f>'Recurrentes 24-26'!AX119</f>
        <v>30.11</v>
      </c>
      <c r="AY117" s="1062">
        <f>'Recurrentes 24-26'!AY119</f>
        <v>209.5656</v>
      </c>
      <c r="AZ117" s="1064" t="str">
        <f>'Recurrentes 24-26'!AZ119</f>
        <v/>
      </c>
      <c r="BA117" s="1064">
        <f>'Recurrentes 24-26'!BA119</f>
        <v>209.5656</v>
      </c>
      <c r="BB117" s="1064">
        <f>'Recurrentes 24-26'!BB119</f>
        <v>0</v>
      </c>
      <c r="BC117" s="1064">
        <f>'Recurrentes 24-26'!BC119</f>
        <v>209.5656</v>
      </c>
      <c r="BD117" s="1064">
        <f>'Recurrentes 24-26'!BD119</f>
        <v>0</v>
      </c>
      <c r="BE117" s="1064">
        <f>'Recurrentes 24-26'!BE119</f>
        <v>0</v>
      </c>
      <c r="BF117" s="1064">
        <f>'Recurrentes 24-26'!BF119</f>
        <v>0</v>
      </c>
      <c r="BG117" s="1064">
        <f>'Recurrentes 24-26'!BG119</f>
        <v>209.5656</v>
      </c>
      <c r="BH117" s="1064">
        <f>'Recurrentes 24-26'!BH119</f>
        <v>209.5656</v>
      </c>
      <c r="BI117" s="1064">
        <f>'Recurrentes 24-26'!BI119</f>
        <v>0</v>
      </c>
      <c r="BJ117" s="1064">
        <f>'Recurrentes 24-26'!BJ119</f>
        <v>0</v>
      </c>
      <c r="BK117" s="451"/>
      <c r="BL117" s="1062">
        <f>'Recurrentes 24-26'!BK119</f>
        <v>838.2624</v>
      </c>
      <c r="BM117" s="1064">
        <f>'Recurrentes 24-26'!BL119</f>
        <v>209.5656</v>
      </c>
      <c r="BN117" s="1064">
        <f>'Recurrentes 24-26'!BM119</f>
        <v>0</v>
      </c>
      <c r="BO117" s="1064">
        <f>'Recurrentes 24-26'!BN119</f>
        <v>209.5656</v>
      </c>
      <c r="BP117" s="1064">
        <f>'Recurrentes 24-26'!BO119</f>
        <v>0</v>
      </c>
      <c r="BQ117" s="1064">
        <f>'Recurrentes 24-26'!BP119</f>
        <v>0</v>
      </c>
      <c r="BR117" s="1064">
        <f>'Recurrentes 24-26'!BQ119</f>
        <v>0</v>
      </c>
      <c r="BS117" s="1064">
        <f>'Recurrentes 24-26'!BR119</f>
        <v>209.5656</v>
      </c>
      <c r="BT117" s="1064">
        <f>'Recurrentes 24-26'!BS119</f>
        <v>209.5656</v>
      </c>
      <c r="BU117" s="1064">
        <f>'Recurrentes 24-26'!BT119</f>
        <v>0</v>
      </c>
      <c r="BV117" s="1064">
        <f>'Recurrentes 24-26'!BU119</f>
        <v>0</v>
      </c>
      <c r="BW117" s="451"/>
      <c r="BX117" s="1062">
        <f>'Recurrentes 24-26'!BV119</f>
        <v>838.2624</v>
      </c>
      <c r="BY117" s="1064">
        <f>'Recurrentes 24-26'!BW119</f>
        <v>209.5656</v>
      </c>
      <c r="BZ117" s="1064">
        <f>'Recurrentes 24-26'!BX119</f>
        <v>0</v>
      </c>
      <c r="CA117" s="1064">
        <f>'Recurrentes 24-26'!BY119</f>
        <v>209.5656</v>
      </c>
      <c r="CB117" s="1064">
        <f>'Recurrentes 24-26'!BZ119</f>
        <v>0</v>
      </c>
      <c r="CC117" s="1064">
        <f>'Recurrentes 24-26'!CA119</f>
        <v>0</v>
      </c>
      <c r="CD117" s="1064">
        <f>'Recurrentes 24-26'!CB119</f>
        <v>0</v>
      </c>
      <c r="CE117" s="1064">
        <f>'Recurrentes 24-26'!CC119</f>
        <v>209.5656</v>
      </c>
      <c r="CF117" s="1064">
        <f>'Recurrentes 24-26'!CD119</f>
        <v>209.5656</v>
      </c>
      <c r="CG117" s="1064">
        <f>'Recurrentes 24-26'!CE119</f>
        <v>0</v>
      </c>
      <c r="CH117" s="1064">
        <f>'Recurrentes 24-26'!CF119</f>
        <v>0</v>
      </c>
      <c r="CI117" s="451"/>
      <c r="CJ117" s="1062">
        <f>'Recurrentes 24-26'!CG119</f>
        <v>838.2624</v>
      </c>
      <c r="CK117" s="1062">
        <f>'Recurrentes 24-26'!CH119</f>
        <v>2514.7872</v>
      </c>
      <c r="CL117" s="451" t="str">
        <f>'Recurrentes 24-26'!CI119</f>
        <v/>
      </c>
      <c r="CM117" s="1064" t="str">
        <f>'Recurrentes 24-26'!CJ119</f>
        <v/>
      </c>
      <c r="CN117" s="451">
        <f>'Recurrentes 24-26'!CK119</f>
        <v>1</v>
      </c>
      <c r="CO117" s="1062">
        <f>'Recurrentes 24-26'!CL119</f>
        <v>30.11</v>
      </c>
      <c r="CP117" s="451" t="str">
        <f>'Recurrentes 24-26'!CM119</f>
        <v/>
      </c>
    </row>
    <row r="118">
      <c r="A118" s="451" t="str">
        <f>'Recurrentes 24-26'!A120</f>
        <v>Repuestos Electromecánicos recurrentes</v>
      </c>
      <c r="B118" s="451">
        <f>'Recurrentes 24-26'!B120</f>
        <v>2</v>
      </c>
      <c r="C118" s="451" t="str">
        <f>'Recurrentes 24-26'!C120</f>
        <v>Estaciones</v>
      </c>
      <c r="D118" s="451" t="str">
        <f>'Recurrentes 24-26'!D120</f>
        <v>Poleas de Impulso-Dinamo tacométrica</v>
      </c>
      <c r="E118" s="451" t="str">
        <f>'Recurrentes 24-26'!E120</f>
        <v>Repuesto Mecánico</v>
      </c>
      <c r="F118" s="451" t="str">
        <f>'Recurrentes 24-26'!F120</f>
        <v>TDB</v>
      </c>
      <c r="G118" s="1025" t="str">
        <f>'Recurrentes 24-26'!G120</f>
        <v>39800</v>
      </c>
      <c r="H118" s="1061" t="str">
        <f>'Recurrentes 24-26'!H120</f>
        <v>2-01-00289</v>
      </c>
      <c r="I118" s="1061" t="str">
        <f>'Recurrentes 24-26'!I120</f>
        <v>10083913</v>
      </c>
      <c r="J118" s="1061" t="str">
        <f>'Recurrentes 24-26'!J120</f>
        <v>CASQUILLO PM 3030 DS  TIPO: KW SIN AGUJ.DE ENGRASE    GLACIER</v>
      </c>
      <c r="K118" s="451" t="str">
        <f>'Recurrentes 24-26'!K120</f>
        <v>Pza</v>
      </c>
      <c r="L118" s="451">
        <f>'Recurrentes 24-26'!L120</f>
        <v>0</v>
      </c>
      <c r="M118" s="451">
        <f>'Recurrentes 24-26'!M120</f>
        <v>0</v>
      </c>
      <c r="N118" s="451">
        <f>'Recurrentes 24-26'!N120</f>
        <v>0</v>
      </c>
      <c r="O118" s="451">
        <f>'Recurrentes 24-26'!O120</f>
        <v>0</v>
      </c>
      <c r="P118" s="451">
        <f>'Recurrentes 24-26'!P120</f>
        <v>0</v>
      </c>
      <c r="Q118" s="451">
        <f>'Recurrentes 24-26'!Q120</f>
        <v>0</v>
      </c>
      <c r="R118" s="451">
        <f>'Recurrentes 24-26'!R120</f>
        <v>2</v>
      </c>
      <c r="S118" s="451">
        <f>'Recurrentes 24-26'!S120</f>
        <v>2</v>
      </c>
      <c r="T118" s="451">
        <f>'Recurrentes 24-26'!T120</f>
        <v>0</v>
      </c>
      <c r="U118" s="451">
        <f>'Recurrentes 24-26'!U120</f>
        <v>0</v>
      </c>
      <c r="V118" s="451">
        <f>'Recurrentes 24-26'!V120</f>
        <v>0</v>
      </c>
      <c r="W118" s="1062">
        <f>'Recurrentes 24-26'!W120</f>
        <v>4</v>
      </c>
      <c r="X118" s="451">
        <f>'Recurrentes 24-26'!X120</f>
        <v>2</v>
      </c>
      <c r="Y118" s="451">
        <f>'Recurrentes 24-26'!Y120</f>
        <v>2</v>
      </c>
      <c r="Z118" s="451">
        <f>'Recurrentes 24-26'!Z120</f>
        <v>2</v>
      </c>
      <c r="AA118" s="451">
        <f>'Recurrentes 24-26'!AA120</f>
        <v>0</v>
      </c>
      <c r="AB118" s="451">
        <f>'Recurrentes 24-26'!AB120</f>
        <v>0</v>
      </c>
      <c r="AC118" s="451">
        <f>'Recurrentes 24-26'!AC120</f>
        <v>0</v>
      </c>
      <c r="AD118" s="451">
        <f>'Recurrentes 24-26'!AD120</f>
        <v>4</v>
      </c>
      <c r="AE118" s="451">
        <f>'Recurrentes 24-26'!AE120</f>
        <v>4</v>
      </c>
      <c r="AF118" s="451">
        <f>'Recurrentes 24-26'!AF120</f>
        <v>2</v>
      </c>
      <c r="AG118" s="451">
        <f>'Recurrentes 24-26'!AG120</f>
        <v>4</v>
      </c>
      <c r="AH118" s="451">
        <f>'Recurrentes 24-26'!AH120</f>
        <v>0</v>
      </c>
      <c r="AI118" s="1062">
        <f>'Recurrentes 24-26'!AI120</f>
        <v>20</v>
      </c>
      <c r="AJ118" s="451">
        <f>'Recurrentes 24-26'!AJ120</f>
        <v>2</v>
      </c>
      <c r="AK118" s="451">
        <f>'Recurrentes 24-26'!AK120</f>
        <v>2</v>
      </c>
      <c r="AL118" s="451">
        <f>'Recurrentes 24-26'!AL120</f>
        <v>2</v>
      </c>
      <c r="AM118" s="451">
        <f>'Recurrentes 24-26'!AM120</f>
        <v>0</v>
      </c>
      <c r="AN118" s="451">
        <f>'Recurrentes 24-26'!AN120</f>
        <v>0</v>
      </c>
      <c r="AO118" s="451">
        <f>'Recurrentes 24-26'!AO120</f>
        <v>0</v>
      </c>
      <c r="AP118" s="451">
        <f>'Recurrentes 24-26'!AP120</f>
        <v>4</v>
      </c>
      <c r="AQ118" s="451">
        <f>'Recurrentes 24-26'!AQ120</f>
        <v>4</v>
      </c>
      <c r="AR118" s="451">
        <f>'Recurrentes 24-26'!AR120</f>
        <v>2</v>
      </c>
      <c r="AS118" s="451">
        <f>'Recurrentes 24-26'!AS120</f>
        <v>4</v>
      </c>
      <c r="AT118" s="451">
        <f>'Recurrentes 24-26'!AT120</f>
        <v>0</v>
      </c>
      <c r="AU118" s="1062">
        <f>'Recurrentes 24-26'!AU120</f>
        <v>20</v>
      </c>
      <c r="AV118" s="1062">
        <f>'Recurrentes 24-26'!AV120</f>
        <v>44</v>
      </c>
      <c r="AW118" s="451" t="str">
        <f>'Recurrentes 24-26'!AW120</f>
        <v/>
      </c>
      <c r="AX118" s="1062">
        <f>'Recurrentes 24-26'!AX120</f>
        <v>8.11</v>
      </c>
      <c r="AY118" s="1062">
        <f>'Recurrentes 24-26'!AY120</f>
        <v>56.4456</v>
      </c>
      <c r="AZ118" s="1064" t="str">
        <f>'Recurrentes 24-26'!AZ120</f>
        <v/>
      </c>
      <c r="BA118" s="1064">
        <f>'Recurrentes 24-26'!BA120</f>
        <v>0</v>
      </c>
      <c r="BB118" s="1064">
        <f>'Recurrentes 24-26'!BB120</f>
        <v>0</v>
      </c>
      <c r="BC118" s="1064">
        <f>'Recurrentes 24-26'!BC120</f>
        <v>0</v>
      </c>
      <c r="BD118" s="1064">
        <f>'Recurrentes 24-26'!BD120</f>
        <v>0</v>
      </c>
      <c r="BE118" s="1064">
        <f>'Recurrentes 24-26'!BE120</f>
        <v>0</v>
      </c>
      <c r="BF118" s="1064">
        <f>'Recurrentes 24-26'!BF120</f>
        <v>0</v>
      </c>
      <c r="BG118" s="1064">
        <f>'Recurrentes 24-26'!BG120</f>
        <v>112.8912</v>
      </c>
      <c r="BH118" s="1064">
        <f>'Recurrentes 24-26'!BH120</f>
        <v>112.8912</v>
      </c>
      <c r="BI118" s="1064">
        <f>'Recurrentes 24-26'!BI120</f>
        <v>0</v>
      </c>
      <c r="BJ118" s="1064">
        <f>'Recurrentes 24-26'!BJ120</f>
        <v>0</v>
      </c>
      <c r="BK118" s="451"/>
      <c r="BL118" s="1062">
        <f>'Recurrentes 24-26'!BK120</f>
        <v>225.7824</v>
      </c>
      <c r="BM118" s="1064">
        <f>'Recurrentes 24-26'!BL120</f>
        <v>112.8912</v>
      </c>
      <c r="BN118" s="1064">
        <f>'Recurrentes 24-26'!BM120</f>
        <v>112.8912</v>
      </c>
      <c r="BO118" s="1064">
        <f>'Recurrentes 24-26'!BN120</f>
        <v>112.8912</v>
      </c>
      <c r="BP118" s="1064">
        <f>'Recurrentes 24-26'!BO120</f>
        <v>0</v>
      </c>
      <c r="BQ118" s="1064">
        <f>'Recurrentes 24-26'!BP120</f>
        <v>0</v>
      </c>
      <c r="BR118" s="1064">
        <f>'Recurrentes 24-26'!BQ120</f>
        <v>0</v>
      </c>
      <c r="BS118" s="1064">
        <f>'Recurrentes 24-26'!BR120</f>
        <v>225.7824</v>
      </c>
      <c r="BT118" s="1064">
        <f>'Recurrentes 24-26'!BS120</f>
        <v>225.7824</v>
      </c>
      <c r="BU118" s="1064">
        <f>'Recurrentes 24-26'!BT120</f>
        <v>112.8912</v>
      </c>
      <c r="BV118" s="1064">
        <f>'Recurrentes 24-26'!BU120</f>
        <v>225.7824</v>
      </c>
      <c r="BW118" s="451"/>
      <c r="BX118" s="1062">
        <f>'Recurrentes 24-26'!BV120</f>
        <v>1128.912</v>
      </c>
      <c r="BY118" s="1064">
        <f>'Recurrentes 24-26'!BW120</f>
        <v>112.8912</v>
      </c>
      <c r="BZ118" s="1064">
        <f>'Recurrentes 24-26'!BX120</f>
        <v>112.8912</v>
      </c>
      <c r="CA118" s="1064">
        <f>'Recurrentes 24-26'!BY120</f>
        <v>112.8912</v>
      </c>
      <c r="CB118" s="1064">
        <f>'Recurrentes 24-26'!BZ120</f>
        <v>0</v>
      </c>
      <c r="CC118" s="1064">
        <f>'Recurrentes 24-26'!CA120</f>
        <v>0</v>
      </c>
      <c r="CD118" s="1064">
        <f>'Recurrentes 24-26'!CB120</f>
        <v>0</v>
      </c>
      <c r="CE118" s="1064">
        <f>'Recurrentes 24-26'!CC120</f>
        <v>225.7824</v>
      </c>
      <c r="CF118" s="1064">
        <f>'Recurrentes 24-26'!CD120</f>
        <v>225.7824</v>
      </c>
      <c r="CG118" s="1064">
        <f>'Recurrentes 24-26'!CE120</f>
        <v>112.8912</v>
      </c>
      <c r="CH118" s="1064">
        <f>'Recurrentes 24-26'!CF120</f>
        <v>225.7824</v>
      </c>
      <c r="CI118" s="451"/>
      <c r="CJ118" s="1062">
        <f>'Recurrentes 24-26'!CG120</f>
        <v>1128.912</v>
      </c>
      <c r="CK118" s="1062">
        <f>'Recurrentes 24-26'!CH120</f>
        <v>2483.6064</v>
      </c>
      <c r="CL118" s="451" t="str">
        <f>'Recurrentes 24-26'!CI120</f>
        <v/>
      </c>
      <c r="CM118" s="1064" t="str">
        <f>'Recurrentes 24-26'!CJ120</f>
        <v/>
      </c>
      <c r="CN118" s="451">
        <f>'Recurrentes 24-26'!CK120</f>
        <v>1</v>
      </c>
      <c r="CO118" s="1062">
        <f>'Recurrentes 24-26'!CL120</f>
        <v>8.11</v>
      </c>
      <c r="CP118" s="451" t="str">
        <f>'Recurrentes 24-26'!CM120</f>
        <v/>
      </c>
    </row>
    <row r="119">
      <c r="A119" s="451" t="str">
        <f>'Recurrentes 24-26'!A121</f>
        <v>Repuestos Electromecánicos recurrentes</v>
      </c>
      <c r="B119" s="451">
        <f>'Recurrentes 24-26'!B121</f>
        <v>2</v>
      </c>
      <c r="C119" s="451" t="str">
        <f>'Recurrentes 24-26'!C121</f>
        <v>Vehículo</v>
      </c>
      <c r="D119" s="451" t="str">
        <f>'Recurrentes 24-26'!D121</f>
        <v>10% Suspensiones de Cabinas </v>
      </c>
      <c r="E119" s="451" t="str">
        <f>'Recurrentes 24-26'!E121</f>
        <v>Repuesto Mecánico</v>
      </c>
      <c r="F119" s="451" t="str">
        <f>'Recurrentes 24-26'!F121</f>
        <v>TDB</v>
      </c>
      <c r="G119" s="1025" t="str">
        <f>'Recurrentes 24-26'!G121</f>
        <v>39800</v>
      </c>
      <c r="H119" s="1061" t="str">
        <f>'Recurrentes 24-26'!H121</f>
        <v>2-01-00079</v>
      </c>
      <c r="I119" s="1061" t="str">
        <f>'Recurrentes 24-26'!I121</f>
        <v>10247398</v>
      </c>
      <c r="J119" s="1061" t="str">
        <f>'Recurrentes 24-26'!J121</f>
        <v>ARANDELA SEGUR.  NORDLOCK NL8  RECUB.DE LAMINILLAS DE CINC</v>
      </c>
      <c r="K119" s="451" t="str">
        <f>'Recurrentes 24-26'!K121</f>
        <v>Pza</v>
      </c>
      <c r="L119" s="451">
        <f>'Recurrentes 24-26'!L121</f>
        <v>0</v>
      </c>
      <c r="M119" s="451">
        <f>'Recurrentes 24-26'!M121</f>
        <v>0</v>
      </c>
      <c r="N119" s="451">
        <f>'Recurrentes 24-26'!N121</f>
        <v>0</v>
      </c>
      <c r="O119" s="451">
        <f>'Recurrentes 24-26'!O121</f>
        <v>0</v>
      </c>
      <c r="P119" s="451">
        <f>'Recurrentes 24-26'!P121</f>
        <v>0</v>
      </c>
      <c r="Q119" s="451">
        <f>'Recurrentes 24-26'!Q121</f>
        <v>0</v>
      </c>
      <c r="R119" s="451">
        <f>'Recurrentes 24-26'!R121</f>
        <v>0</v>
      </c>
      <c r="S119" s="451">
        <f>'Recurrentes 24-26'!S121</f>
        <v>0</v>
      </c>
      <c r="T119" s="451">
        <f>'Recurrentes 24-26'!T121</f>
        <v>0</v>
      </c>
      <c r="U119" s="451">
        <f>'Recurrentes 24-26'!U121</f>
        <v>0</v>
      </c>
      <c r="V119" s="451">
        <f>'Recurrentes 24-26'!V121</f>
        <v>0</v>
      </c>
      <c r="W119" s="1062">
        <f>'Recurrentes 24-26'!W121</f>
        <v>0</v>
      </c>
      <c r="X119" s="451">
        <f>'Recurrentes 24-26'!X121</f>
        <v>40</v>
      </c>
      <c r="Y119" s="451">
        <f>'Recurrentes 24-26'!Y121</f>
        <v>30</v>
      </c>
      <c r="Z119" s="451">
        <f>'Recurrentes 24-26'!Z121</f>
        <v>36</v>
      </c>
      <c r="AA119" s="451">
        <f>'Recurrentes 24-26'!AA121</f>
        <v>22</v>
      </c>
      <c r="AB119" s="451">
        <f>'Recurrentes 24-26'!AB121</f>
        <v>26</v>
      </c>
      <c r="AC119" s="451">
        <f>'Recurrentes 24-26'!AC121</f>
        <v>42</v>
      </c>
      <c r="AD119" s="451">
        <f>'Recurrentes 24-26'!AD121</f>
        <v>0</v>
      </c>
      <c r="AE119" s="451">
        <f>'Recurrentes 24-26'!AE121</f>
        <v>0</v>
      </c>
      <c r="AF119" s="451">
        <f>'Recurrentes 24-26'!AF121</f>
        <v>12</v>
      </c>
      <c r="AG119" s="451">
        <f>'Recurrentes 24-26'!AG121</f>
        <v>0</v>
      </c>
      <c r="AH119" s="451">
        <f>'Recurrentes 24-26'!AH121</f>
        <v>0</v>
      </c>
      <c r="AI119" s="1062">
        <f>'Recurrentes 24-26'!AI121</f>
        <v>208</v>
      </c>
      <c r="AJ119" s="451">
        <f>'Recurrentes 24-26'!AJ121</f>
        <v>40</v>
      </c>
      <c r="AK119" s="451">
        <f>'Recurrentes 24-26'!AK121</f>
        <v>30</v>
      </c>
      <c r="AL119" s="451">
        <f>'Recurrentes 24-26'!AL121</f>
        <v>36</v>
      </c>
      <c r="AM119" s="451">
        <f>'Recurrentes 24-26'!AM121</f>
        <v>22</v>
      </c>
      <c r="AN119" s="451">
        <f>'Recurrentes 24-26'!AN121</f>
        <v>26</v>
      </c>
      <c r="AO119" s="451">
        <f>'Recurrentes 24-26'!AO121</f>
        <v>42</v>
      </c>
      <c r="AP119" s="451">
        <f>'Recurrentes 24-26'!AP121</f>
        <v>0</v>
      </c>
      <c r="AQ119" s="451">
        <f>'Recurrentes 24-26'!AQ121</f>
        <v>0</v>
      </c>
      <c r="AR119" s="451">
        <f>'Recurrentes 24-26'!AR121</f>
        <v>12</v>
      </c>
      <c r="AS119" s="451">
        <f>'Recurrentes 24-26'!AS121</f>
        <v>0</v>
      </c>
      <c r="AT119" s="451">
        <f>'Recurrentes 24-26'!AT121</f>
        <v>0</v>
      </c>
      <c r="AU119" s="1062">
        <f>'Recurrentes 24-26'!AU121</f>
        <v>208</v>
      </c>
      <c r="AV119" s="1063">
        <f>'Recurrentes 24-26'!AV121</f>
        <v>416</v>
      </c>
      <c r="AW119" s="451" t="str">
        <f>'Recurrentes 24-26'!AW121</f>
        <v/>
      </c>
      <c r="AX119" s="1062">
        <f>'Recurrentes 24-26'!AX121</f>
        <v>0.81</v>
      </c>
      <c r="AY119" s="1062">
        <f>'Recurrentes 24-26'!AY121</f>
        <v>5.6376</v>
      </c>
      <c r="AZ119" s="1064" t="str">
        <f>'Recurrentes 24-26'!AZ121</f>
        <v/>
      </c>
      <c r="BA119" s="1064">
        <f>'Recurrentes 24-26'!BA121</f>
        <v>0</v>
      </c>
      <c r="BB119" s="1064">
        <f>'Recurrentes 24-26'!BB121</f>
        <v>0</v>
      </c>
      <c r="BC119" s="1064">
        <f>'Recurrentes 24-26'!BC121</f>
        <v>0</v>
      </c>
      <c r="BD119" s="1064">
        <f>'Recurrentes 24-26'!BD121</f>
        <v>0</v>
      </c>
      <c r="BE119" s="1064">
        <f>'Recurrentes 24-26'!BE121</f>
        <v>0</v>
      </c>
      <c r="BF119" s="1064">
        <f>'Recurrentes 24-26'!BF121</f>
        <v>0</v>
      </c>
      <c r="BG119" s="1064">
        <f>'Recurrentes 24-26'!BG121</f>
        <v>0</v>
      </c>
      <c r="BH119" s="1064">
        <f>'Recurrentes 24-26'!BH121</f>
        <v>0</v>
      </c>
      <c r="BI119" s="1064">
        <f>'Recurrentes 24-26'!BI121</f>
        <v>0</v>
      </c>
      <c r="BJ119" s="1064">
        <f>'Recurrentes 24-26'!BJ121</f>
        <v>0</v>
      </c>
      <c r="BK119" s="451"/>
      <c r="BL119" s="1062">
        <f>'Recurrentes 24-26'!BK121</f>
        <v>0</v>
      </c>
      <c r="BM119" s="1064">
        <f>'Recurrentes 24-26'!BL121</f>
        <v>225.504</v>
      </c>
      <c r="BN119" s="1064">
        <f>'Recurrentes 24-26'!BM121</f>
        <v>169.128</v>
      </c>
      <c r="BO119" s="1064">
        <f>'Recurrentes 24-26'!BN121</f>
        <v>202.9536</v>
      </c>
      <c r="BP119" s="1064">
        <f>'Recurrentes 24-26'!BO121</f>
        <v>124.0272</v>
      </c>
      <c r="BQ119" s="1064">
        <f>'Recurrentes 24-26'!BP121</f>
        <v>146.5776</v>
      </c>
      <c r="BR119" s="1064">
        <f>'Recurrentes 24-26'!BQ121</f>
        <v>236.7792</v>
      </c>
      <c r="BS119" s="1064">
        <f>'Recurrentes 24-26'!BR121</f>
        <v>0</v>
      </c>
      <c r="BT119" s="1064">
        <f>'Recurrentes 24-26'!BS121</f>
        <v>0</v>
      </c>
      <c r="BU119" s="1064">
        <f>'Recurrentes 24-26'!BT121</f>
        <v>67.6512</v>
      </c>
      <c r="BV119" s="1064">
        <f>'Recurrentes 24-26'!BU121</f>
        <v>0</v>
      </c>
      <c r="BW119" s="451"/>
      <c r="BX119" s="1062">
        <f>'Recurrentes 24-26'!BV121</f>
        <v>1172.6208</v>
      </c>
      <c r="BY119" s="1064">
        <f>'Recurrentes 24-26'!BW121</f>
        <v>225.504</v>
      </c>
      <c r="BZ119" s="1064">
        <f>'Recurrentes 24-26'!BX121</f>
        <v>169.128</v>
      </c>
      <c r="CA119" s="1064">
        <f>'Recurrentes 24-26'!BY121</f>
        <v>202.9536</v>
      </c>
      <c r="CB119" s="1064">
        <f>'Recurrentes 24-26'!BZ121</f>
        <v>124.0272</v>
      </c>
      <c r="CC119" s="1064">
        <f>'Recurrentes 24-26'!CA121</f>
        <v>146.5776</v>
      </c>
      <c r="CD119" s="1064">
        <f>'Recurrentes 24-26'!CB121</f>
        <v>236.7792</v>
      </c>
      <c r="CE119" s="1064">
        <f>'Recurrentes 24-26'!CC121</f>
        <v>0</v>
      </c>
      <c r="CF119" s="1064">
        <f>'Recurrentes 24-26'!CD121</f>
        <v>0</v>
      </c>
      <c r="CG119" s="1064">
        <f>'Recurrentes 24-26'!CE121</f>
        <v>67.6512</v>
      </c>
      <c r="CH119" s="1064">
        <f>'Recurrentes 24-26'!CF121</f>
        <v>0</v>
      </c>
      <c r="CI119" s="451"/>
      <c r="CJ119" s="1062">
        <f>'Recurrentes 24-26'!CG121</f>
        <v>1172.6208</v>
      </c>
      <c r="CK119" s="1062">
        <f>'Recurrentes 24-26'!CH121</f>
        <v>2345.2416</v>
      </c>
      <c r="CL119" s="451" t="str">
        <f>'Recurrentes 24-26'!CI121</f>
        <v/>
      </c>
      <c r="CM119" s="1064" t="str">
        <f>'Recurrentes 24-26'!CJ121</f>
        <v/>
      </c>
      <c r="CN119" s="451">
        <f>'Recurrentes 24-26'!CK121</f>
        <v>1</v>
      </c>
      <c r="CO119" s="1062">
        <f>'Recurrentes 24-26'!CL121</f>
        <v>0.81</v>
      </c>
      <c r="CP119" s="451" t="str">
        <f>'Recurrentes 24-26'!CM121</f>
        <v/>
      </c>
    </row>
    <row r="120">
      <c r="A120" s="451" t="str">
        <f>'Recurrentes 24-26'!A122</f>
        <v>Repuestos Electromecánicos recurrentes</v>
      </c>
      <c r="B120" s="451">
        <f>'Recurrentes 24-26'!B122</f>
        <v>2</v>
      </c>
      <c r="C120" s="451" t="str">
        <f>'Recurrentes 24-26'!C122</f>
        <v>Vehículo</v>
      </c>
      <c r="D120" s="451" t="str">
        <f>'Recurrentes 24-26'!D122</f>
        <v>Manto. Pinza</v>
      </c>
      <c r="E120" s="451" t="str">
        <f>'Recurrentes 24-26'!E122</f>
        <v>Repuesto Mecánico</v>
      </c>
      <c r="F120" s="451" t="str">
        <f>'Recurrentes 24-26'!F122</f>
        <v>TDB</v>
      </c>
      <c r="G120" s="1025" t="str">
        <f>'Recurrentes 24-26'!G122</f>
        <v>39800</v>
      </c>
      <c r="H120" s="1061" t="str">
        <f>'Recurrentes 24-26'!H122</f>
        <v>2-01-00264</v>
      </c>
      <c r="I120" s="1061" t="str">
        <f>'Recurrentes 24-26'!I122</f>
        <v>10752990</v>
      </c>
      <c r="J120" s="1061" t="str">
        <f>'Recurrentes 24-26'!J122</f>
        <v>NIPLE ENGRASE M10X1 H1 RES.RESF. NIPLE CÓNICO DE ENGRASE 0°</v>
      </c>
      <c r="K120" s="451" t="str">
        <f>'Recurrentes 24-26'!K122</f>
        <v>Pza</v>
      </c>
      <c r="L120" s="451">
        <f>'Recurrentes 24-26'!L122</f>
        <v>15</v>
      </c>
      <c r="M120" s="451">
        <f>'Recurrentes 24-26'!M122</f>
        <v>9</v>
      </c>
      <c r="N120" s="451">
        <f>'Recurrentes 24-26'!N122</f>
        <v>4</v>
      </c>
      <c r="O120" s="451">
        <f>'Recurrentes 24-26'!O122</f>
        <v>5</v>
      </c>
      <c r="P120" s="451">
        <f>'Recurrentes 24-26'!P122</f>
        <v>5</v>
      </c>
      <c r="Q120" s="451">
        <f>'Recurrentes 24-26'!Q122</f>
        <v>5</v>
      </c>
      <c r="R120" s="451">
        <f>'Recurrentes 24-26'!R122</f>
        <v>4</v>
      </c>
      <c r="S120" s="451">
        <f>'Recurrentes 24-26'!S122</f>
        <v>4</v>
      </c>
      <c r="T120" s="451">
        <f>'Recurrentes 24-26'!T122</f>
        <v>2</v>
      </c>
      <c r="U120" s="451">
        <f>'Recurrentes 24-26'!U122</f>
        <v>0</v>
      </c>
      <c r="V120" s="451">
        <f>'Recurrentes 24-26'!V122</f>
        <v>0</v>
      </c>
      <c r="W120" s="1062">
        <f>'Recurrentes 24-26'!W122</f>
        <v>53</v>
      </c>
      <c r="X120" s="451">
        <f>'Recurrentes 24-26'!X122</f>
        <v>15</v>
      </c>
      <c r="Y120" s="451">
        <f>'Recurrentes 24-26'!Y122</f>
        <v>9</v>
      </c>
      <c r="Z120" s="451">
        <f>'Recurrentes 24-26'!Z122</f>
        <v>4</v>
      </c>
      <c r="AA120" s="451">
        <f>'Recurrentes 24-26'!AA122</f>
        <v>5</v>
      </c>
      <c r="AB120" s="451">
        <f>'Recurrentes 24-26'!AB122</f>
        <v>5</v>
      </c>
      <c r="AC120" s="451">
        <f>'Recurrentes 24-26'!AC122</f>
        <v>5</v>
      </c>
      <c r="AD120" s="451">
        <f>'Recurrentes 24-26'!AD122</f>
        <v>4</v>
      </c>
      <c r="AE120" s="451">
        <f>'Recurrentes 24-26'!AE122</f>
        <v>4</v>
      </c>
      <c r="AF120" s="451">
        <f>'Recurrentes 24-26'!AF122</f>
        <v>2</v>
      </c>
      <c r="AG120" s="451">
        <f>'Recurrentes 24-26'!AG122</f>
        <v>0</v>
      </c>
      <c r="AH120" s="451">
        <f>'Recurrentes 24-26'!AH122</f>
        <v>0</v>
      </c>
      <c r="AI120" s="1062">
        <f>'Recurrentes 24-26'!AI122</f>
        <v>53</v>
      </c>
      <c r="AJ120" s="451">
        <f>'Recurrentes 24-26'!AJ122</f>
        <v>15</v>
      </c>
      <c r="AK120" s="451">
        <f>'Recurrentes 24-26'!AK122</f>
        <v>9</v>
      </c>
      <c r="AL120" s="451">
        <f>'Recurrentes 24-26'!AL122</f>
        <v>4</v>
      </c>
      <c r="AM120" s="451">
        <f>'Recurrentes 24-26'!AM122</f>
        <v>5</v>
      </c>
      <c r="AN120" s="451">
        <f>'Recurrentes 24-26'!AN122</f>
        <v>5</v>
      </c>
      <c r="AO120" s="451">
        <f>'Recurrentes 24-26'!AO122</f>
        <v>5</v>
      </c>
      <c r="AP120" s="451">
        <f>'Recurrentes 24-26'!AP122</f>
        <v>4</v>
      </c>
      <c r="AQ120" s="451">
        <f>'Recurrentes 24-26'!AQ122</f>
        <v>4</v>
      </c>
      <c r="AR120" s="451">
        <f>'Recurrentes 24-26'!AR122</f>
        <v>2</v>
      </c>
      <c r="AS120" s="451">
        <f>'Recurrentes 24-26'!AS122</f>
        <v>0</v>
      </c>
      <c r="AT120" s="451">
        <f>'Recurrentes 24-26'!AT122</f>
        <v>0</v>
      </c>
      <c r="AU120" s="1062">
        <f>'Recurrentes 24-26'!AU122</f>
        <v>53</v>
      </c>
      <c r="AV120" s="1063">
        <f>'Recurrentes 24-26'!AV122</f>
        <v>159</v>
      </c>
      <c r="AW120" s="451" t="str">
        <f>'Recurrentes 24-26'!AW122</f>
        <v/>
      </c>
      <c r="AX120" s="1062">
        <f>'Recurrentes 24-26'!AX122</f>
        <v>2.11</v>
      </c>
      <c r="AY120" s="1062">
        <f>'Recurrentes 24-26'!AY122</f>
        <v>14.6856</v>
      </c>
      <c r="AZ120" s="1064" t="str">
        <f>'Recurrentes 24-26'!AZ122</f>
        <v/>
      </c>
      <c r="BA120" s="1064">
        <f>'Recurrentes 24-26'!BA122</f>
        <v>220.284</v>
      </c>
      <c r="BB120" s="1064">
        <f>'Recurrentes 24-26'!BB122</f>
        <v>132.1704</v>
      </c>
      <c r="BC120" s="1064">
        <f>'Recurrentes 24-26'!BC122</f>
        <v>58.7424</v>
      </c>
      <c r="BD120" s="1064">
        <f>'Recurrentes 24-26'!BD122</f>
        <v>73.428</v>
      </c>
      <c r="BE120" s="1064">
        <f>'Recurrentes 24-26'!BE122</f>
        <v>73.428</v>
      </c>
      <c r="BF120" s="1064">
        <f>'Recurrentes 24-26'!BF122</f>
        <v>73.428</v>
      </c>
      <c r="BG120" s="1064">
        <f>'Recurrentes 24-26'!BG122</f>
        <v>58.7424</v>
      </c>
      <c r="BH120" s="1064">
        <f>'Recurrentes 24-26'!BH122</f>
        <v>58.7424</v>
      </c>
      <c r="BI120" s="1064">
        <f>'Recurrentes 24-26'!BI122</f>
        <v>29.3712</v>
      </c>
      <c r="BJ120" s="1064">
        <f>'Recurrentes 24-26'!BJ122</f>
        <v>0</v>
      </c>
      <c r="BK120" s="451"/>
      <c r="BL120" s="1062">
        <f>'Recurrentes 24-26'!BK122</f>
        <v>778.3368</v>
      </c>
      <c r="BM120" s="1064">
        <f>'Recurrentes 24-26'!BL122</f>
        <v>220.284</v>
      </c>
      <c r="BN120" s="1064">
        <f>'Recurrentes 24-26'!BM122</f>
        <v>132.1704</v>
      </c>
      <c r="BO120" s="1064">
        <f>'Recurrentes 24-26'!BN122</f>
        <v>58.7424</v>
      </c>
      <c r="BP120" s="1064">
        <f>'Recurrentes 24-26'!BO122</f>
        <v>73.428</v>
      </c>
      <c r="BQ120" s="1064">
        <f>'Recurrentes 24-26'!BP122</f>
        <v>73.428</v>
      </c>
      <c r="BR120" s="1064">
        <f>'Recurrentes 24-26'!BQ122</f>
        <v>73.428</v>
      </c>
      <c r="BS120" s="1064">
        <f>'Recurrentes 24-26'!BR122</f>
        <v>58.7424</v>
      </c>
      <c r="BT120" s="1064">
        <f>'Recurrentes 24-26'!BS122</f>
        <v>58.7424</v>
      </c>
      <c r="BU120" s="1064">
        <f>'Recurrentes 24-26'!BT122</f>
        <v>29.3712</v>
      </c>
      <c r="BV120" s="1064">
        <f>'Recurrentes 24-26'!BU122</f>
        <v>0</v>
      </c>
      <c r="BW120" s="451"/>
      <c r="BX120" s="1062">
        <f>'Recurrentes 24-26'!BV122</f>
        <v>778.3368</v>
      </c>
      <c r="BY120" s="1064">
        <f>'Recurrentes 24-26'!BW122</f>
        <v>220.284</v>
      </c>
      <c r="BZ120" s="1064">
        <f>'Recurrentes 24-26'!BX122</f>
        <v>132.1704</v>
      </c>
      <c r="CA120" s="1064">
        <f>'Recurrentes 24-26'!BY122</f>
        <v>58.7424</v>
      </c>
      <c r="CB120" s="1064">
        <f>'Recurrentes 24-26'!BZ122</f>
        <v>73.428</v>
      </c>
      <c r="CC120" s="1064">
        <f>'Recurrentes 24-26'!CA122</f>
        <v>73.428</v>
      </c>
      <c r="CD120" s="1064">
        <f>'Recurrentes 24-26'!CB122</f>
        <v>73.428</v>
      </c>
      <c r="CE120" s="1064">
        <f>'Recurrentes 24-26'!CC122</f>
        <v>58.7424</v>
      </c>
      <c r="CF120" s="1064">
        <f>'Recurrentes 24-26'!CD122</f>
        <v>58.7424</v>
      </c>
      <c r="CG120" s="1064">
        <f>'Recurrentes 24-26'!CE122</f>
        <v>29.3712</v>
      </c>
      <c r="CH120" s="1064">
        <f>'Recurrentes 24-26'!CF122</f>
        <v>0</v>
      </c>
      <c r="CI120" s="451"/>
      <c r="CJ120" s="1062">
        <f>'Recurrentes 24-26'!CG122</f>
        <v>778.3368</v>
      </c>
      <c r="CK120" s="1062">
        <f>'Recurrentes 24-26'!CH122</f>
        <v>2335.0104</v>
      </c>
      <c r="CL120" s="451" t="str">
        <f>'Recurrentes 24-26'!CI122</f>
        <v/>
      </c>
      <c r="CM120" s="1064" t="str">
        <f>'Recurrentes 24-26'!CJ122</f>
        <v/>
      </c>
      <c r="CN120" s="451">
        <f>'Recurrentes 24-26'!CK122</f>
        <v>1</v>
      </c>
      <c r="CO120" s="1062">
        <f>'Recurrentes 24-26'!CL122</f>
        <v>2.11</v>
      </c>
      <c r="CP120" s="451" t="str">
        <f>'Recurrentes 24-26'!CM122</f>
        <v/>
      </c>
    </row>
    <row r="121">
      <c r="A121" s="451" t="str">
        <f>'Recurrentes 24-26'!A123</f>
        <v>Repuestos Electromecánicos recurrentes</v>
      </c>
      <c r="B121" s="451">
        <f>'Recurrentes 24-26'!B123</f>
        <v>2</v>
      </c>
      <c r="C121" s="451" t="str">
        <f>'Recurrentes 24-26'!C123</f>
        <v>Vehículo</v>
      </c>
      <c r="D121" s="451" t="str">
        <f>'Recurrentes 24-26'!D123</f>
        <v>Manto. Pinza</v>
      </c>
      <c r="E121" s="451" t="str">
        <f>'Recurrentes 24-26'!E123</f>
        <v>Repuesto Mecánico</v>
      </c>
      <c r="F121" s="451" t="str">
        <f>'Recurrentes 24-26'!F123</f>
        <v>TDB</v>
      </c>
      <c r="G121" s="1025" t="str">
        <f>'Recurrentes 24-26'!G123</f>
        <v>39800</v>
      </c>
      <c r="H121" s="1061" t="str">
        <f>'Recurrentes 24-26'!H123</f>
        <v>2-01-00633</v>
      </c>
      <c r="I121" s="1061" t="str">
        <f>'Recurrentes 24-26'!I123</f>
        <v>10488487</v>
      </c>
      <c r="J121" s="1061" t="str">
        <f>'Recurrentes 24-26'!J123</f>
        <v>ANILLO DIST. DIA.43/35  L=16,0 </v>
      </c>
      <c r="K121" s="451" t="str">
        <f>'Recurrentes 24-26'!K123</f>
        <v>Pza</v>
      </c>
      <c r="L121" s="451">
        <f>'Recurrentes 24-26'!L123</f>
        <v>5</v>
      </c>
      <c r="M121" s="451">
        <f>'Recurrentes 24-26'!M123</f>
        <v>2</v>
      </c>
      <c r="N121" s="451">
        <f>'Recurrentes 24-26'!N123</f>
        <v>2</v>
      </c>
      <c r="O121" s="451">
        <f>'Recurrentes 24-26'!O123</f>
        <v>2</v>
      </c>
      <c r="P121" s="451">
        <f>'Recurrentes 24-26'!P123</f>
        <v>2</v>
      </c>
      <c r="Q121" s="451">
        <f>'Recurrentes 24-26'!Q123</f>
        <v>2</v>
      </c>
      <c r="R121" s="451">
        <f>'Recurrentes 24-26'!R123</f>
        <v>2</v>
      </c>
      <c r="S121" s="451">
        <f>'Recurrentes 24-26'!S123</f>
        <v>2</v>
      </c>
      <c r="T121" s="451">
        <f>'Recurrentes 24-26'!T123</f>
        <v>2</v>
      </c>
      <c r="U121" s="451">
        <f>'Recurrentes 24-26'!U123</f>
        <v>0</v>
      </c>
      <c r="V121" s="451">
        <f>'Recurrentes 24-26'!V123</f>
        <v>0</v>
      </c>
      <c r="W121" s="1062">
        <f>'Recurrentes 24-26'!W123</f>
        <v>21</v>
      </c>
      <c r="X121" s="451">
        <f>'Recurrentes 24-26'!X123</f>
        <v>5</v>
      </c>
      <c r="Y121" s="451">
        <f>'Recurrentes 24-26'!Y123</f>
        <v>2</v>
      </c>
      <c r="Z121" s="451">
        <f>'Recurrentes 24-26'!Z123</f>
        <v>2</v>
      </c>
      <c r="AA121" s="451">
        <f>'Recurrentes 24-26'!AA123</f>
        <v>2</v>
      </c>
      <c r="AB121" s="451">
        <f>'Recurrentes 24-26'!AB123</f>
        <v>2</v>
      </c>
      <c r="AC121" s="451">
        <f>'Recurrentes 24-26'!AC123</f>
        <v>2</v>
      </c>
      <c r="AD121" s="451">
        <f>'Recurrentes 24-26'!AD123</f>
        <v>2</v>
      </c>
      <c r="AE121" s="451">
        <f>'Recurrentes 24-26'!AE123</f>
        <v>2</v>
      </c>
      <c r="AF121" s="451">
        <f>'Recurrentes 24-26'!AF123</f>
        <v>2</v>
      </c>
      <c r="AG121" s="451">
        <f>'Recurrentes 24-26'!AG123</f>
        <v>0</v>
      </c>
      <c r="AH121" s="451">
        <f>'Recurrentes 24-26'!AH123</f>
        <v>0</v>
      </c>
      <c r="AI121" s="1062">
        <f>'Recurrentes 24-26'!AI123</f>
        <v>21</v>
      </c>
      <c r="AJ121" s="451">
        <f>'Recurrentes 24-26'!AJ123</f>
        <v>5</v>
      </c>
      <c r="AK121" s="451">
        <f>'Recurrentes 24-26'!AK123</f>
        <v>2</v>
      </c>
      <c r="AL121" s="451">
        <f>'Recurrentes 24-26'!AL123</f>
        <v>2</v>
      </c>
      <c r="AM121" s="451">
        <f>'Recurrentes 24-26'!AM123</f>
        <v>2</v>
      </c>
      <c r="AN121" s="451">
        <f>'Recurrentes 24-26'!AN123</f>
        <v>2</v>
      </c>
      <c r="AO121" s="451">
        <f>'Recurrentes 24-26'!AO123</f>
        <v>2</v>
      </c>
      <c r="AP121" s="451">
        <f>'Recurrentes 24-26'!AP123</f>
        <v>2</v>
      </c>
      <c r="AQ121" s="451">
        <f>'Recurrentes 24-26'!AQ123</f>
        <v>2</v>
      </c>
      <c r="AR121" s="451">
        <f>'Recurrentes 24-26'!AR123</f>
        <v>2</v>
      </c>
      <c r="AS121" s="451">
        <f>'Recurrentes 24-26'!AS123</f>
        <v>0</v>
      </c>
      <c r="AT121" s="451">
        <f>'Recurrentes 24-26'!AT123</f>
        <v>0</v>
      </c>
      <c r="AU121" s="1062">
        <f>'Recurrentes 24-26'!AU123</f>
        <v>21</v>
      </c>
      <c r="AV121" s="1062">
        <f>'Recurrentes 24-26'!AV123</f>
        <v>63</v>
      </c>
      <c r="AW121" s="451" t="str">
        <f>'Recurrentes 24-26'!AW123</f>
        <v/>
      </c>
      <c r="AX121" s="1062">
        <f>'Recurrentes 24-26'!AX123</f>
        <v>5</v>
      </c>
      <c r="AY121" s="1062">
        <f>'Recurrentes 24-26'!AY123</f>
        <v>34.8</v>
      </c>
      <c r="AZ121" s="1064" t="str">
        <f>'Recurrentes 24-26'!AZ123</f>
        <v/>
      </c>
      <c r="BA121" s="1064">
        <f>'Recurrentes 24-26'!BA123</f>
        <v>174</v>
      </c>
      <c r="BB121" s="1064">
        <f>'Recurrentes 24-26'!BB123</f>
        <v>69.6</v>
      </c>
      <c r="BC121" s="1064">
        <f>'Recurrentes 24-26'!BC123</f>
        <v>69.6</v>
      </c>
      <c r="BD121" s="1064">
        <f>'Recurrentes 24-26'!BD123</f>
        <v>69.6</v>
      </c>
      <c r="BE121" s="1064">
        <f>'Recurrentes 24-26'!BE123</f>
        <v>69.6</v>
      </c>
      <c r="BF121" s="1064">
        <f>'Recurrentes 24-26'!BF123</f>
        <v>69.6</v>
      </c>
      <c r="BG121" s="1064">
        <f>'Recurrentes 24-26'!BG123</f>
        <v>69.6</v>
      </c>
      <c r="BH121" s="1064">
        <f>'Recurrentes 24-26'!BH123</f>
        <v>69.6</v>
      </c>
      <c r="BI121" s="1064">
        <f>'Recurrentes 24-26'!BI123</f>
        <v>69.6</v>
      </c>
      <c r="BJ121" s="1064">
        <f>'Recurrentes 24-26'!BJ123</f>
        <v>0</v>
      </c>
      <c r="BK121" s="451"/>
      <c r="BL121" s="1062">
        <f>'Recurrentes 24-26'!BK123</f>
        <v>730.8</v>
      </c>
      <c r="BM121" s="1064">
        <f>'Recurrentes 24-26'!BL123</f>
        <v>174</v>
      </c>
      <c r="BN121" s="1064">
        <f>'Recurrentes 24-26'!BM123</f>
        <v>69.6</v>
      </c>
      <c r="BO121" s="1064">
        <f>'Recurrentes 24-26'!BN123</f>
        <v>69.6</v>
      </c>
      <c r="BP121" s="1064">
        <f>'Recurrentes 24-26'!BO123</f>
        <v>69.6</v>
      </c>
      <c r="BQ121" s="1064">
        <f>'Recurrentes 24-26'!BP123</f>
        <v>69.6</v>
      </c>
      <c r="BR121" s="1064">
        <f>'Recurrentes 24-26'!BQ123</f>
        <v>69.6</v>
      </c>
      <c r="BS121" s="1064">
        <f>'Recurrentes 24-26'!BR123</f>
        <v>69.6</v>
      </c>
      <c r="BT121" s="1064">
        <f>'Recurrentes 24-26'!BS123</f>
        <v>69.6</v>
      </c>
      <c r="BU121" s="1064">
        <f>'Recurrentes 24-26'!BT123</f>
        <v>69.6</v>
      </c>
      <c r="BV121" s="1064">
        <f>'Recurrentes 24-26'!BU123</f>
        <v>0</v>
      </c>
      <c r="BW121" s="451"/>
      <c r="BX121" s="1062">
        <f>'Recurrentes 24-26'!BV123</f>
        <v>730.8</v>
      </c>
      <c r="BY121" s="1064">
        <f>'Recurrentes 24-26'!BW123</f>
        <v>174</v>
      </c>
      <c r="BZ121" s="1064">
        <f>'Recurrentes 24-26'!BX123</f>
        <v>69.6</v>
      </c>
      <c r="CA121" s="1064">
        <f>'Recurrentes 24-26'!BY123</f>
        <v>69.6</v>
      </c>
      <c r="CB121" s="1064">
        <f>'Recurrentes 24-26'!BZ123</f>
        <v>69.6</v>
      </c>
      <c r="CC121" s="1064">
        <f>'Recurrentes 24-26'!CA123</f>
        <v>69.6</v>
      </c>
      <c r="CD121" s="1064">
        <f>'Recurrentes 24-26'!CB123</f>
        <v>69.6</v>
      </c>
      <c r="CE121" s="1064">
        <f>'Recurrentes 24-26'!CC123</f>
        <v>69.6</v>
      </c>
      <c r="CF121" s="1064">
        <f>'Recurrentes 24-26'!CD123</f>
        <v>69.6</v>
      </c>
      <c r="CG121" s="1064">
        <f>'Recurrentes 24-26'!CE123</f>
        <v>69.6</v>
      </c>
      <c r="CH121" s="1064">
        <f>'Recurrentes 24-26'!CF123</f>
        <v>0</v>
      </c>
      <c r="CI121" s="451"/>
      <c r="CJ121" s="1062">
        <f>'Recurrentes 24-26'!CG123</f>
        <v>730.8</v>
      </c>
      <c r="CK121" s="1062">
        <f>'Recurrentes 24-26'!CH123</f>
        <v>2192.4</v>
      </c>
      <c r="CL121" s="451" t="str">
        <f>'Recurrentes 24-26'!CI123</f>
        <v/>
      </c>
      <c r="CM121" s="1064" t="str">
        <f>'Recurrentes 24-26'!CJ123</f>
        <v/>
      </c>
      <c r="CN121" s="451">
        <f>'Recurrentes 24-26'!CK123</f>
        <v>1</v>
      </c>
      <c r="CO121" s="1062">
        <f>'Recurrentes 24-26'!CL123</f>
        <v>5</v>
      </c>
      <c r="CP121" s="451" t="str">
        <f>'Recurrentes 24-26'!CM123</f>
        <v/>
      </c>
    </row>
    <row r="122">
      <c r="A122" s="451" t="str">
        <f>'Recurrentes 24-26'!A124</f>
        <v>Repuestos Electromecánicos recurrentes</v>
      </c>
      <c r="B122" s="451">
        <f>'Recurrentes 24-26'!B124</f>
        <v>2</v>
      </c>
      <c r="C122" s="451" t="str">
        <f>'Recurrentes 24-26'!C124</f>
        <v>Torres</v>
      </c>
      <c r="D122" s="451" t="str">
        <f>'Recurrentes 24-26'!D124</f>
        <v>Reacondicionamiento de Poleas Palpadoras</v>
      </c>
      <c r="E122" s="451" t="str">
        <f>'Recurrentes 24-26'!E124</f>
        <v>Repuesto Mecánico</v>
      </c>
      <c r="F122" s="451" t="str">
        <f>'Recurrentes 24-26'!F124</f>
        <v>TDB</v>
      </c>
      <c r="G122" s="1025" t="str">
        <f>'Recurrentes 24-26'!G124</f>
        <v>39800</v>
      </c>
      <c r="H122" s="1061" t="str">
        <f>'Recurrentes 24-26'!H124</f>
        <v>2-01-00264</v>
      </c>
      <c r="I122" s="1061" t="str">
        <f>'Recurrentes 24-26'!I124</f>
        <v>10752990</v>
      </c>
      <c r="J122" s="1061" t="str">
        <f>'Recurrentes 24-26'!J124</f>
        <v>NIPLE ENGRASE M10X1 H1 RES.RESF. NIPLE CÓNICO DE ENGRASE 0°</v>
      </c>
      <c r="K122" s="451" t="str">
        <f>'Recurrentes 24-26'!K124</f>
        <v>Pza</v>
      </c>
      <c r="L122" s="451">
        <f>'Recurrentes 24-26'!L124</f>
        <v>6</v>
      </c>
      <c r="M122" s="451">
        <f>'Recurrentes 24-26'!M124</f>
        <v>3</v>
      </c>
      <c r="N122" s="451">
        <f>'Recurrentes 24-26'!N124</f>
        <v>6</v>
      </c>
      <c r="O122" s="451">
        <f>'Recurrentes 24-26'!O124</f>
        <v>7</v>
      </c>
      <c r="P122" s="451">
        <f>'Recurrentes 24-26'!P124</f>
        <v>7</v>
      </c>
      <c r="Q122" s="451">
        <f>'Recurrentes 24-26'!Q124</f>
        <v>29</v>
      </c>
      <c r="R122" s="451">
        <f>'Recurrentes 24-26'!R124</f>
        <v>0</v>
      </c>
      <c r="S122" s="451">
        <f>'Recurrentes 24-26'!S124</f>
        <v>0</v>
      </c>
      <c r="T122" s="451">
        <f>'Recurrentes 24-26'!T124</f>
        <v>0</v>
      </c>
      <c r="U122" s="451">
        <f>'Recurrentes 24-26'!U124</f>
        <v>0</v>
      </c>
      <c r="V122" s="451">
        <f>'Recurrentes 24-26'!V124</f>
        <v>0</v>
      </c>
      <c r="W122" s="1062">
        <f>'Recurrentes 24-26'!W124</f>
        <v>58</v>
      </c>
      <c r="X122" s="451">
        <f>'Recurrentes 24-26'!X124</f>
        <v>4</v>
      </c>
      <c r="Y122" s="451">
        <f>'Recurrentes 24-26'!Y124</f>
        <v>2</v>
      </c>
      <c r="Z122" s="451">
        <f>'Recurrentes 24-26'!Z124</f>
        <v>4</v>
      </c>
      <c r="AA122" s="451">
        <f>'Recurrentes 24-26'!AA124</f>
        <v>5</v>
      </c>
      <c r="AB122" s="451">
        <f>'Recurrentes 24-26'!AB124</f>
        <v>5</v>
      </c>
      <c r="AC122" s="451">
        <f>'Recurrentes 24-26'!AC124</f>
        <v>20</v>
      </c>
      <c r="AD122" s="451">
        <f>'Recurrentes 24-26'!AD124</f>
        <v>0</v>
      </c>
      <c r="AE122" s="451">
        <f>'Recurrentes 24-26'!AE124</f>
        <v>0</v>
      </c>
      <c r="AF122" s="451">
        <f>'Recurrentes 24-26'!AF124</f>
        <v>0</v>
      </c>
      <c r="AG122" s="451">
        <f>'Recurrentes 24-26'!AG124</f>
        <v>0</v>
      </c>
      <c r="AH122" s="451">
        <f>'Recurrentes 24-26'!AH124</f>
        <v>0</v>
      </c>
      <c r="AI122" s="1062">
        <f>'Recurrentes 24-26'!AI124</f>
        <v>40</v>
      </c>
      <c r="AJ122" s="451">
        <f>'Recurrentes 24-26'!AJ124</f>
        <v>4</v>
      </c>
      <c r="AK122" s="451">
        <f>'Recurrentes 24-26'!AK124</f>
        <v>2</v>
      </c>
      <c r="AL122" s="451">
        <f>'Recurrentes 24-26'!AL124</f>
        <v>4</v>
      </c>
      <c r="AM122" s="451">
        <f>'Recurrentes 24-26'!AM124</f>
        <v>5</v>
      </c>
      <c r="AN122" s="451">
        <f>'Recurrentes 24-26'!AN124</f>
        <v>5</v>
      </c>
      <c r="AO122" s="451">
        <f>'Recurrentes 24-26'!AO124</f>
        <v>20</v>
      </c>
      <c r="AP122" s="451">
        <f>'Recurrentes 24-26'!AP124</f>
        <v>0</v>
      </c>
      <c r="AQ122" s="451">
        <f>'Recurrentes 24-26'!AQ124</f>
        <v>0</v>
      </c>
      <c r="AR122" s="451">
        <f>'Recurrentes 24-26'!AR124</f>
        <v>0</v>
      </c>
      <c r="AS122" s="451">
        <f>'Recurrentes 24-26'!AS124</f>
        <v>0</v>
      </c>
      <c r="AT122" s="451">
        <f>'Recurrentes 24-26'!AT124</f>
        <v>0</v>
      </c>
      <c r="AU122" s="1062">
        <f>'Recurrentes 24-26'!AU124</f>
        <v>40</v>
      </c>
      <c r="AV122" s="1063">
        <f>'Recurrentes 24-26'!AV124</f>
        <v>138</v>
      </c>
      <c r="AW122" s="451" t="str">
        <f>'Recurrentes 24-26'!AW124</f>
        <v/>
      </c>
      <c r="AX122" s="1062">
        <f>'Recurrentes 24-26'!AX124</f>
        <v>2.11</v>
      </c>
      <c r="AY122" s="1062">
        <f>'Recurrentes 24-26'!AY124</f>
        <v>14.6856</v>
      </c>
      <c r="AZ122" s="1064" t="str">
        <f>'Recurrentes 24-26'!AZ124</f>
        <v/>
      </c>
      <c r="BA122" s="1064">
        <f>'Recurrentes 24-26'!BA124</f>
        <v>88.1136</v>
      </c>
      <c r="BB122" s="1064">
        <f>'Recurrentes 24-26'!BB124</f>
        <v>44.0568</v>
      </c>
      <c r="BC122" s="1064">
        <f>'Recurrentes 24-26'!BC124</f>
        <v>88.1136</v>
      </c>
      <c r="BD122" s="1064">
        <f>'Recurrentes 24-26'!BD124</f>
        <v>102.7992</v>
      </c>
      <c r="BE122" s="1064">
        <f>'Recurrentes 24-26'!BE124</f>
        <v>102.7992</v>
      </c>
      <c r="BF122" s="1064">
        <f>'Recurrentes 24-26'!BF124</f>
        <v>425.8824</v>
      </c>
      <c r="BG122" s="1064">
        <f>'Recurrentes 24-26'!BG124</f>
        <v>0</v>
      </c>
      <c r="BH122" s="1064">
        <f>'Recurrentes 24-26'!BH124</f>
        <v>0</v>
      </c>
      <c r="BI122" s="1064">
        <f>'Recurrentes 24-26'!BI124</f>
        <v>0</v>
      </c>
      <c r="BJ122" s="1064">
        <f>'Recurrentes 24-26'!BJ124</f>
        <v>0</v>
      </c>
      <c r="BK122" s="451"/>
      <c r="BL122" s="1062">
        <f>'Recurrentes 24-26'!BK124</f>
        <v>851.7648</v>
      </c>
      <c r="BM122" s="1064">
        <f>'Recurrentes 24-26'!BL124</f>
        <v>58.7424</v>
      </c>
      <c r="BN122" s="1064">
        <f>'Recurrentes 24-26'!BM124</f>
        <v>29.3712</v>
      </c>
      <c r="BO122" s="1064">
        <f>'Recurrentes 24-26'!BN124</f>
        <v>58.7424</v>
      </c>
      <c r="BP122" s="1064">
        <f>'Recurrentes 24-26'!BO124</f>
        <v>73.428</v>
      </c>
      <c r="BQ122" s="1064">
        <f>'Recurrentes 24-26'!BP124</f>
        <v>73.428</v>
      </c>
      <c r="BR122" s="1064">
        <f>'Recurrentes 24-26'!BQ124</f>
        <v>293.712</v>
      </c>
      <c r="BS122" s="1064">
        <f>'Recurrentes 24-26'!BR124</f>
        <v>0</v>
      </c>
      <c r="BT122" s="1064">
        <f>'Recurrentes 24-26'!BS124</f>
        <v>0</v>
      </c>
      <c r="BU122" s="1064">
        <f>'Recurrentes 24-26'!BT124</f>
        <v>0</v>
      </c>
      <c r="BV122" s="1064">
        <f>'Recurrentes 24-26'!BU124</f>
        <v>0</v>
      </c>
      <c r="BW122" s="451"/>
      <c r="BX122" s="1062">
        <f>'Recurrentes 24-26'!BV124</f>
        <v>587.424</v>
      </c>
      <c r="BY122" s="1064">
        <f>'Recurrentes 24-26'!BW124</f>
        <v>58.7424</v>
      </c>
      <c r="BZ122" s="1064">
        <f>'Recurrentes 24-26'!BX124</f>
        <v>29.3712</v>
      </c>
      <c r="CA122" s="1064">
        <f>'Recurrentes 24-26'!BY124</f>
        <v>58.7424</v>
      </c>
      <c r="CB122" s="1064">
        <f>'Recurrentes 24-26'!BZ124</f>
        <v>73.428</v>
      </c>
      <c r="CC122" s="1064">
        <f>'Recurrentes 24-26'!CA124</f>
        <v>73.428</v>
      </c>
      <c r="CD122" s="1064">
        <f>'Recurrentes 24-26'!CB124</f>
        <v>293.712</v>
      </c>
      <c r="CE122" s="1064">
        <f>'Recurrentes 24-26'!CC124</f>
        <v>0</v>
      </c>
      <c r="CF122" s="1064">
        <f>'Recurrentes 24-26'!CD124</f>
        <v>0</v>
      </c>
      <c r="CG122" s="1064">
        <f>'Recurrentes 24-26'!CE124</f>
        <v>0</v>
      </c>
      <c r="CH122" s="1064">
        <f>'Recurrentes 24-26'!CF124</f>
        <v>0</v>
      </c>
      <c r="CI122" s="451"/>
      <c r="CJ122" s="1062">
        <f>'Recurrentes 24-26'!CG124</f>
        <v>587.424</v>
      </c>
      <c r="CK122" s="1062">
        <f>'Recurrentes 24-26'!CH124</f>
        <v>2026.6128</v>
      </c>
      <c r="CL122" s="451" t="str">
        <f>'Recurrentes 24-26'!CI124</f>
        <v/>
      </c>
      <c r="CM122" s="1064" t="str">
        <f>'Recurrentes 24-26'!CJ124</f>
        <v/>
      </c>
      <c r="CN122" s="451">
        <f>'Recurrentes 24-26'!CK124</f>
        <v>1</v>
      </c>
      <c r="CO122" s="1062">
        <f>'Recurrentes 24-26'!CL124</f>
        <v>2.11</v>
      </c>
      <c r="CP122" s="451" t="str">
        <f>'Recurrentes 24-26'!CM124</f>
        <v/>
      </c>
    </row>
    <row r="123">
      <c r="A123" s="451" t="str">
        <f>'Recurrentes 24-26'!A125</f>
        <v>Repuestos Electromecánicos recurrentes</v>
      </c>
      <c r="B123" s="451">
        <f>'Recurrentes 24-26'!B125</f>
        <v>2</v>
      </c>
      <c r="C123" s="451" t="str">
        <f>'Recurrentes 24-26'!C125</f>
        <v>Torres</v>
      </c>
      <c r="D123" s="451" t="str">
        <f>'Recurrentes 24-26'!D125</f>
        <v>Reacondionamiento y cambio de Poleas de torre</v>
      </c>
      <c r="E123" s="451" t="str">
        <f>'Recurrentes 24-26'!E125</f>
        <v>Repuesto Mecánico</v>
      </c>
      <c r="F123" s="451" t="str">
        <f>'Recurrentes 24-26'!F125</f>
        <v>TDB</v>
      </c>
      <c r="G123" s="1025" t="str">
        <f>'Recurrentes 24-26'!G125</f>
        <v>39800</v>
      </c>
      <c r="H123" s="1061" t="str">
        <f>'Recurrentes 24-26'!H125</f>
        <v>2-01-00036</v>
      </c>
      <c r="I123" s="1061" t="str">
        <f>'Recurrentes 24-26'!I125</f>
        <v>10000409</v>
      </c>
      <c r="J123" s="1061" t="str">
        <f>'Recurrentes 24-26'!J125</f>
        <v>CIRCLIP INTER.  DIN 472 110X4  FOSFAT.</v>
      </c>
      <c r="K123" s="451" t="str">
        <f>'Recurrentes 24-26'!K125</f>
        <v>Pza</v>
      </c>
      <c r="L123" s="451">
        <f>'Recurrentes 24-26'!L125</f>
        <v>0</v>
      </c>
      <c r="M123" s="451">
        <f>'Recurrentes 24-26'!M125</f>
        <v>0</v>
      </c>
      <c r="N123" s="451">
        <f>'Recurrentes 24-26'!N125</f>
        <v>0</v>
      </c>
      <c r="O123" s="451">
        <f>'Recurrentes 24-26'!O125</f>
        <v>0</v>
      </c>
      <c r="P123" s="451">
        <f>'Recurrentes 24-26'!P125</f>
        <v>0</v>
      </c>
      <c r="Q123" s="451">
        <f>'Recurrentes 24-26'!Q125</f>
        <v>0</v>
      </c>
      <c r="R123" s="451">
        <f>'Recurrentes 24-26'!R125</f>
        <v>0</v>
      </c>
      <c r="S123" s="451">
        <f>'Recurrentes 24-26'!S125</f>
        <v>0</v>
      </c>
      <c r="T123" s="451">
        <f>'Recurrentes 24-26'!T125</f>
        <v>0</v>
      </c>
      <c r="U123" s="451">
        <f>'Recurrentes 24-26'!U125</f>
        <v>4</v>
      </c>
      <c r="V123" s="451">
        <f>'Recurrentes 24-26'!V125</f>
        <v>0</v>
      </c>
      <c r="W123" s="1062">
        <f>'Recurrentes 24-26'!W125</f>
        <v>4</v>
      </c>
      <c r="X123" s="451">
        <f>'Recurrentes 24-26'!X125</f>
        <v>0</v>
      </c>
      <c r="Y123" s="451">
        <f>'Recurrentes 24-26'!Y125</f>
        <v>0</v>
      </c>
      <c r="Z123" s="451">
        <f>'Recurrentes 24-26'!Z125</f>
        <v>0</v>
      </c>
      <c r="AA123" s="451">
        <f>'Recurrentes 24-26'!AA125</f>
        <v>6</v>
      </c>
      <c r="AB123" s="451">
        <f>'Recurrentes 24-26'!AB125</f>
        <v>6</v>
      </c>
      <c r="AC123" s="451">
        <f>'Recurrentes 24-26'!AC125</f>
        <v>6</v>
      </c>
      <c r="AD123" s="451">
        <f>'Recurrentes 24-26'!AD125</f>
        <v>2</v>
      </c>
      <c r="AE123" s="451">
        <f>'Recurrentes 24-26'!AE125</f>
        <v>2</v>
      </c>
      <c r="AF123" s="451">
        <f>'Recurrentes 24-26'!AF125</f>
        <v>0</v>
      </c>
      <c r="AG123" s="451">
        <f>'Recurrentes 24-26'!AG125</f>
        <v>4</v>
      </c>
      <c r="AH123" s="451">
        <f>'Recurrentes 24-26'!AH125</f>
        <v>0</v>
      </c>
      <c r="AI123" s="1062">
        <f>'Recurrentes 24-26'!AI125</f>
        <v>26</v>
      </c>
      <c r="AJ123" s="451">
        <f>'Recurrentes 24-26'!AJ125</f>
        <v>0</v>
      </c>
      <c r="AK123" s="451">
        <f>'Recurrentes 24-26'!AK125</f>
        <v>0</v>
      </c>
      <c r="AL123" s="451">
        <f>'Recurrentes 24-26'!AL125</f>
        <v>0</v>
      </c>
      <c r="AM123" s="451">
        <f>'Recurrentes 24-26'!AM125</f>
        <v>6</v>
      </c>
      <c r="AN123" s="451">
        <f>'Recurrentes 24-26'!AN125</f>
        <v>6</v>
      </c>
      <c r="AO123" s="451">
        <f>'Recurrentes 24-26'!AO125</f>
        <v>6</v>
      </c>
      <c r="AP123" s="451">
        <f>'Recurrentes 24-26'!AP125</f>
        <v>2</v>
      </c>
      <c r="AQ123" s="451">
        <f>'Recurrentes 24-26'!AQ125</f>
        <v>2</v>
      </c>
      <c r="AR123" s="451">
        <f>'Recurrentes 24-26'!AR125</f>
        <v>0</v>
      </c>
      <c r="AS123" s="451">
        <f>'Recurrentes 24-26'!AS125</f>
        <v>4</v>
      </c>
      <c r="AT123" s="451">
        <f>'Recurrentes 24-26'!AT125</f>
        <v>0</v>
      </c>
      <c r="AU123" s="1062">
        <f>'Recurrentes 24-26'!AU125</f>
        <v>26</v>
      </c>
      <c r="AV123" s="1063">
        <f>'Recurrentes 24-26'!AV125</f>
        <v>56</v>
      </c>
      <c r="AW123" s="451" t="str">
        <f>'Recurrentes 24-26'!AW125</f>
        <v/>
      </c>
      <c r="AX123" s="1062">
        <f>'Recurrentes 24-26'!AX125</f>
        <v>4.73</v>
      </c>
      <c r="AY123" s="1062">
        <f>'Recurrentes 24-26'!AY125</f>
        <v>32.9208</v>
      </c>
      <c r="AZ123" s="1064" t="str">
        <f>'Recurrentes 24-26'!AZ125</f>
        <v/>
      </c>
      <c r="BA123" s="1064">
        <f>'Recurrentes 24-26'!BA125</f>
        <v>0</v>
      </c>
      <c r="BB123" s="1064">
        <f>'Recurrentes 24-26'!BB125</f>
        <v>0</v>
      </c>
      <c r="BC123" s="1064">
        <f>'Recurrentes 24-26'!BC125</f>
        <v>0</v>
      </c>
      <c r="BD123" s="1064">
        <f>'Recurrentes 24-26'!BD125</f>
        <v>0</v>
      </c>
      <c r="BE123" s="1064">
        <f>'Recurrentes 24-26'!BE125</f>
        <v>0</v>
      </c>
      <c r="BF123" s="1064">
        <f>'Recurrentes 24-26'!BF125</f>
        <v>0</v>
      </c>
      <c r="BG123" s="1064">
        <f>'Recurrentes 24-26'!BG125</f>
        <v>0</v>
      </c>
      <c r="BH123" s="1064">
        <f>'Recurrentes 24-26'!BH125</f>
        <v>0</v>
      </c>
      <c r="BI123" s="1064">
        <f>'Recurrentes 24-26'!BI125</f>
        <v>0</v>
      </c>
      <c r="BJ123" s="1064">
        <f>'Recurrentes 24-26'!BJ125</f>
        <v>131.6832</v>
      </c>
      <c r="BK123" s="451"/>
      <c r="BL123" s="1062">
        <f>'Recurrentes 24-26'!BK125</f>
        <v>131.6832</v>
      </c>
      <c r="BM123" s="1064">
        <f>'Recurrentes 24-26'!BL125</f>
        <v>0</v>
      </c>
      <c r="BN123" s="1064">
        <f>'Recurrentes 24-26'!BM125</f>
        <v>0</v>
      </c>
      <c r="BO123" s="1064">
        <f>'Recurrentes 24-26'!BN125</f>
        <v>0</v>
      </c>
      <c r="BP123" s="1064">
        <f>'Recurrentes 24-26'!BO125</f>
        <v>197.5248</v>
      </c>
      <c r="BQ123" s="1064">
        <f>'Recurrentes 24-26'!BP125</f>
        <v>197.5248</v>
      </c>
      <c r="BR123" s="1064">
        <f>'Recurrentes 24-26'!BQ125</f>
        <v>197.5248</v>
      </c>
      <c r="BS123" s="1064">
        <f>'Recurrentes 24-26'!BR125</f>
        <v>65.8416</v>
      </c>
      <c r="BT123" s="1064">
        <f>'Recurrentes 24-26'!BS125</f>
        <v>65.8416</v>
      </c>
      <c r="BU123" s="1064">
        <f>'Recurrentes 24-26'!BT125</f>
        <v>0</v>
      </c>
      <c r="BV123" s="1064">
        <f>'Recurrentes 24-26'!BU125</f>
        <v>131.6832</v>
      </c>
      <c r="BW123" s="451"/>
      <c r="BX123" s="1062">
        <f>'Recurrentes 24-26'!BV125</f>
        <v>855.9408</v>
      </c>
      <c r="BY123" s="1064">
        <f>'Recurrentes 24-26'!BW125</f>
        <v>0</v>
      </c>
      <c r="BZ123" s="1064">
        <f>'Recurrentes 24-26'!BX125</f>
        <v>0</v>
      </c>
      <c r="CA123" s="1064">
        <f>'Recurrentes 24-26'!BY125</f>
        <v>0</v>
      </c>
      <c r="CB123" s="1064">
        <f>'Recurrentes 24-26'!BZ125</f>
        <v>197.5248</v>
      </c>
      <c r="CC123" s="1064">
        <f>'Recurrentes 24-26'!CA125</f>
        <v>197.5248</v>
      </c>
      <c r="CD123" s="1064">
        <f>'Recurrentes 24-26'!CB125</f>
        <v>197.5248</v>
      </c>
      <c r="CE123" s="1064">
        <f>'Recurrentes 24-26'!CC125</f>
        <v>65.8416</v>
      </c>
      <c r="CF123" s="1064">
        <f>'Recurrentes 24-26'!CD125</f>
        <v>65.8416</v>
      </c>
      <c r="CG123" s="1064">
        <f>'Recurrentes 24-26'!CE125</f>
        <v>0</v>
      </c>
      <c r="CH123" s="1064">
        <f>'Recurrentes 24-26'!CF125</f>
        <v>131.6832</v>
      </c>
      <c r="CI123" s="451"/>
      <c r="CJ123" s="1062">
        <f>'Recurrentes 24-26'!CG125</f>
        <v>855.9408</v>
      </c>
      <c r="CK123" s="1062">
        <f>'Recurrentes 24-26'!CH125</f>
        <v>1843.5648</v>
      </c>
      <c r="CL123" s="451" t="str">
        <f>'Recurrentes 24-26'!CI125</f>
        <v/>
      </c>
      <c r="CM123" s="1064" t="str">
        <f>'Recurrentes 24-26'!CJ125</f>
        <v/>
      </c>
      <c r="CN123" s="451">
        <f>'Recurrentes 24-26'!CK125</f>
        <v>1</v>
      </c>
      <c r="CO123" s="1062">
        <f>'Recurrentes 24-26'!CL125</f>
        <v>4.73</v>
      </c>
      <c r="CP123" s="451" t="str">
        <f>'Recurrentes 24-26'!CM125</f>
        <v/>
      </c>
    </row>
    <row r="124">
      <c r="A124" s="451" t="str">
        <f>'Recurrentes 24-26'!A126</f>
        <v>Repuestos Electromecánicos recurrentes</v>
      </c>
      <c r="B124" s="451">
        <f>'Recurrentes 24-26'!B126</f>
        <v>2</v>
      </c>
      <c r="C124" s="451" t="str">
        <f>'Recurrentes 24-26'!C126</f>
        <v>Torres</v>
      </c>
      <c r="D124" s="451" t="str">
        <f>'Recurrentes 24-26'!D126</f>
        <v>Sistema RPD</v>
      </c>
      <c r="E124" s="451" t="str">
        <f>'Recurrentes 24-26'!E126</f>
        <v>Repuesto Eléctrico</v>
      </c>
      <c r="F124" s="451" t="str">
        <f>'Recurrentes 24-26'!F126</f>
        <v>TDB</v>
      </c>
      <c r="G124" s="1025" t="str">
        <f>'Recurrentes 24-26'!G126</f>
        <v>39700</v>
      </c>
      <c r="H124" s="1061" t="str">
        <f>'Recurrentes 24-26'!H126</f>
        <v>2-02-00336</v>
      </c>
      <c r="I124" s="1061" t="str">
        <f>'Recurrentes 24-26'!I126</f>
        <v>10495358</v>
      </c>
      <c r="J124" s="1061" t="str">
        <f>'Recurrentes 24-26'!J126</f>
        <v>PLACA DISTANCIAD. T=1 PARA RPD </v>
      </c>
      <c r="K124" s="451" t="str">
        <f>'Recurrentes 24-26'!K126</f>
        <v>Pza</v>
      </c>
      <c r="L124" s="451">
        <f>'Recurrentes 24-26'!L126</f>
        <v>2</v>
      </c>
      <c r="M124" s="451">
        <f>'Recurrentes 24-26'!M126</f>
        <v>2</v>
      </c>
      <c r="N124" s="451">
        <f>'Recurrentes 24-26'!N126</f>
        <v>2</v>
      </c>
      <c r="O124" s="451">
        <f>'Recurrentes 24-26'!O126</f>
        <v>2</v>
      </c>
      <c r="P124" s="451">
        <f>'Recurrentes 24-26'!P126</f>
        <v>2</v>
      </c>
      <c r="Q124" s="451">
        <f>'Recurrentes 24-26'!Q126</f>
        <v>2</v>
      </c>
      <c r="R124" s="451">
        <f>'Recurrentes 24-26'!R126</f>
        <v>2</v>
      </c>
      <c r="S124" s="451">
        <f>'Recurrentes 24-26'!S126</f>
        <v>4</v>
      </c>
      <c r="T124" s="451">
        <f>'Recurrentes 24-26'!T126</f>
        <v>2</v>
      </c>
      <c r="U124" s="451">
        <f>'Recurrentes 24-26'!U126</f>
        <v>4</v>
      </c>
      <c r="V124" s="451">
        <f>'Recurrentes 24-26'!V126</f>
        <v>0</v>
      </c>
      <c r="W124" s="1062">
        <f>'Recurrentes 24-26'!W126</f>
        <v>24</v>
      </c>
      <c r="X124" s="451">
        <f>'Recurrentes 24-26'!X126</f>
        <v>2</v>
      </c>
      <c r="Y124" s="451">
        <f>'Recurrentes 24-26'!Y126</f>
        <v>2</v>
      </c>
      <c r="Z124" s="451">
        <f>'Recurrentes 24-26'!Z126</f>
        <v>2</v>
      </c>
      <c r="AA124" s="451">
        <f>'Recurrentes 24-26'!AA126</f>
        <v>2</v>
      </c>
      <c r="AB124" s="451">
        <f>'Recurrentes 24-26'!AB126</f>
        <v>2</v>
      </c>
      <c r="AC124" s="451">
        <f>'Recurrentes 24-26'!AC126</f>
        <v>2</v>
      </c>
      <c r="AD124" s="451">
        <f>'Recurrentes 24-26'!AD126</f>
        <v>2</v>
      </c>
      <c r="AE124" s="451">
        <f>'Recurrentes 24-26'!AE126</f>
        <v>4</v>
      </c>
      <c r="AF124" s="451">
        <f>'Recurrentes 24-26'!AF126</f>
        <v>2</v>
      </c>
      <c r="AG124" s="451">
        <f>'Recurrentes 24-26'!AG126</f>
        <v>4</v>
      </c>
      <c r="AH124" s="451">
        <f>'Recurrentes 24-26'!AH126</f>
        <v>0</v>
      </c>
      <c r="AI124" s="1062">
        <f>'Recurrentes 24-26'!AI126</f>
        <v>24</v>
      </c>
      <c r="AJ124" s="451">
        <f>'Recurrentes 24-26'!AJ126</f>
        <v>2</v>
      </c>
      <c r="AK124" s="451">
        <f>'Recurrentes 24-26'!AK126</f>
        <v>2</v>
      </c>
      <c r="AL124" s="451">
        <f>'Recurrentes 24-26'!AL126</f>
        <v>2</v>
      </c>
      <c r="AM124" s="451">
        <f>'Recurrentes 24-26'!AM126</f>
        <v>2</v>
      </c>
      <c r="AN124" s="451">
        <f>'Recurrentes 24-26'!AN126</f>
        <v>2</v>
      </c>
      <c r="AO124" s="451">
        <f>'Recurrentes 24-26'!AO126</f>
        <v>2</v>
      </c>
      <c r="AP124" s="451">
        <f>'Recurrentes 24-26'!AP126</f>
        <v>2</v>
      </c>
      <c r="AQ124" s="451">
        <f>'Recurrentes 24-26'!AQ126</f>
        <v>4</v>
      </c>
      <c r="AR124" s="451">
        <f>'Recurrentes 24-26'!AR126</f>
        <v>2</v>
      </c>
      <c r="AS124" s="451">
        <f>'Recurrentes 24-26'!AS126</f>
        <v>4</v>
      </c>
      <c r="AT124" s="451">
        <f>'Recurrentes 24-26'!AT126</f>
        <v>0</v>
      </c>
      <c r="AU124" s="1062">
        <f>'Recurrentes 24-26'!AU126</f>
        <v>24</v>
      </c>
      <c r="AV124" s="1062">
        <f>'Recurrentes 24-26'!AV126</f>
        <v>72</v>
      </c>
      <c r="AW124" s="451" t="str">
        <f>'Recurrentes 24-26'!AW126</f>
        <v/>
      </c>
      <c r="AX124" s="1062">
        <f>'Recurrentes 24-26'!AX126</f>
        <v>3.35</v>
      </c>
      <c r="AY124" s="1062">
        <f>'Recurrentes 24-26'!AY126</f>
        <v>23.316</v>
      </c>
      <c r="AZ124" s="1064" t="str">
        <f>'Recurrentes 24-26'!AZ126</f>
        <v/>
      </c>
      <c r="BA124" s="1064">
        <f>'Recurrentes 24-26'!BA126</f>
        <v>46.632</v>
      </c>
      <c r="BB124" s="1064">
        <f>'Recurrentes 24-26'!BB126</f>
        <v>46.632</v>
      </c>
      <c r="BC124" s="1064">
        <f>'Recurrentes 24-26'!BC126</f>
        <v>46.632</v>
      </c>
      <c r="BD124" s="1064">
        <f>'Recurrentes 24-26'!BD126</f>
        <v>46.632</v>
      </c>
      <c r="BE124" s="1064">
        <f>'Recurrentes 24-26'!BE126</f>
        <v>46.632</v>
      </c>
      <c r="BF124" s="1064">
        <f>'Recurrentes 24-26'!BF126</f>
        <v>46.632</v>
      </c>
      <c r="BG124" s="1064">
        <f>'Recurrentes 24-26'!BG126</f>
        <v>46.632</v>
      </c>
      <c r="BH124" s="1064">
        <f>'Recurrentes 24-26'!BH126</f>
        <v>93.264</v>
      </c>
      <c r="BI124" s="1064">
        <f>'Recurrentes 24-26'!BI126</f>
        <v>46.632</v>
      </c>
      <c r="BJ124" s="1064">
        <f>'Recurrentes 24-26'!BJ126</f>
        <v>93.264</v>
      </c>
      <c r="BK124" s="451"/>
      <c r="BL124" s="1062">
        <f>'Recurrentes 24-26'!BK126</f>
        <v>559.584</v>
      </c>
      <c r="BM124" s="1064">
        <f>'Recurrentes 24-26'!BL126</f>
        <v>46.632</v>
      </c>
      <c r="BN124" s="1064">
        <f>'Recurrentes 24-26'!BM126</f>
        <v>46.632</v>
      </c>
      <c r="BO124" s="1064">
        <f>'Recurrentes 24-26'!BN126</f>
        <v>46.632</v>
      </c>
      <c r="BP124" s="1064">
        <f>'Recurrentes 24-26'!BO126</f>
        <v>46.632</v>
      </c>
      <c r="BQ124" s="1064">
        <f>'Recurrentes 24-26'!BP126</f>
        <v>46.632</v>
      </c>
      <c r="BR124" s="1064">
        <f>'Recurrentes 24-26'!BQ126</f>
        <v>46.632</v>
      </c>
      <c r="BS124" s="1064">
        <f>'Recurrentes 24-26'!BR126</f>
        <v>46.632</v>
      </c>
      <c r="BT124" s="1064">
        <f>'Recurrentes 24-26'!BS126</f>
        <v>93.264</v>
      </c>
      <c r="BU124" s="1064">
        <f>'Recurrentes 24-26'!BT126</f>
        <v>46.632</v>
      </c>
      <c r="BV124" s="1064">
        <f>'Recurrentes 24-26'!BU126</f>
        <v>93.264</v>
      </c>
      <c r="BW124" s="451"/>
      <c r="BX124" s="1062">
        <f>'Recurrentes 24-26'!BV126</f>
        <v>559.584</v>
      </c>
      <c r="BY124" s="1064">
        <f>'Recurrentes 24-26'!BW126</f>
        <v>46.632</v>
      </c>
      <c r="BZ124" s="1064">
        <f>'Recurrentes 24-26'!BX126</f>
        <v>46.632</v>
      </c>
      <c r="CA124" s="1064">
        <f>'Recurrentes 24-26'!BY126</f>
        <v>46.632</v>
      </c>
      <c r="CB124" s="1064">
        <f>'Recurrentes 24-26'!BZ126</f>
        <v>46.632</v>
      </c>
      <c r="CC124" s="1064">
        <f>'Recurrentes 24-26'!CA126</f>
        <v>46.632</v>
      </c>
      <c r="CD124" s="1064">
        <f>'Recurrentes 24-26'!CB126</f>
        <v>46.632</v>
      </c>
      <c r="CE124" s="1064">
        <f>'Recurrentes 24-26'!CC126</f>
        <v>46.632</v>
      </c>
      <c r="CF124" s="1064">
        <f>'Recurrentes 24-26'!CD126</f>
        <v>93.264</v>
      </c>
      <c r="CG124" s="1064">
        <f>'Recurrentes 24-26'!CE126</f>
        <v>46.632</v>
      </c>
      <c r="CH124" s="1064">
        <f>'Recurrentes 24-26'!CF126</f>
        <v>93.264</v>
      </c>
      <c r="CI124" s="451"/>
      <c r="CJ124" s="1062">
        <f>'Recurrentes 24-26'!CG126</f>
        <v>559.584</v>
      </c>
      <c r="CK124" s="1062">
        <f>'Recurrentes 24-26'!CH126</f>
        <v>1678.752</v>
      </c>
      <c r="CL124" s="451" t="str">
        <f>'Recurrentes 24-26'!CI126</f>
        <v/>
      </c>
      <c r="CM124" s="1064" t="str">
        <f>'Recurrentes 24-26'!CJ126</f>
        <v/>
      </c>
      <c r="CN124" s="451">
        <f>'Recurrentes 24-26'!CK126</f>
        <v>1</v>
      </c>
      <c r="CO124" s="1062">
        <f>'Recurrentes 24-26'!CL126</f>
        <v>3.35</v>
      </c>
      <c r="CP124" s="451" t="str">
        <f>'Recurrentes 24-26'!CM126</f>
        <v/>
      </c>
    </row>
    <row r="125">
      <c r="A125" s="451" t="str">
        <f>'Recurrentes 24-26'!A127</f>
        <v/>
      </c>
      <c r="B125" s="451" t="str">
        <f>'Recurrentes 24-26'!B127</f>
        <v/>
      </c>
      <c r="C125" s="451" t="str">
        <f>'Recurrentes 24-26'!C127</f>
        <v/>
      </c>
      <c r="D125" s="451" t="str">
        <f>'Recurrentes 24-26'!D127</f>
        <v/>
      </c>
      <c r="E125" s="451" t="str">
        <f>'Recurrentes 24-26'!E127</f>
        <v/>
      </c>
      <c r="F125" s="451" t="str">
        <f>'Recurrentes 24-26'!F127</f>
        <v/>
      </c>
      <c r="G125" s="1061" t="str">
        <f>'Recurrentes 24-26'!G127</f>
        <v/>
      </c>
      <c r="H125" s="451" t="str">
        <f>'Recurrentes 24-26'!H127</f>
        <v/>
      </c>
      <c r="I125" s="1061" t="str">
        <f>'Recurrentes 24-26'!I127</f>
        <v/>
      </c>
      <c r="J125" s="1061" t="str">
        <f>'Recurrentes 24-26'!J127</f>
        <v/>
      </c>
      <c r="K125" s="451" t="str">
        <f>'Recurrentes 24-26'!K127</f>
        <v/>
      </c>
      <c r="L125" s="451" t="str">
        <f>'Recurrentes 24-26'!L127</f>
        <v/>
      </c>
      <c r="M125" s="451" t="str">
        <f>'Recurrentes 24-26'!M127</f>
        <v/>
      </c>
      <c r="N125" s="451" t="str">
        <f>'Recurrentes 24-26'!N127</f>
        <v/>
      </c>
      <c r="O125" s="451" t="str">
        <f>'Recurrentes 24-26'!O127</f>
        <v/>
      </c>
      <c r="P125" s="451" t="str">
        <f>'Recurrentes 24-26'!P127</f>
        <v/>
      </c>
      <c r="Q125" s="451" t="str">
        <f>'Recurrentes 24-26'!Q127</f>
        <v/>
      </c>
      <c r="R125" s="451" t="str">
        <f>'Recurrentes 24-26'!R127</f>
        <v/>
      </c>
      <c r="S125" s="451" t="str">
        <f>'Recurrentes 24-26'!S127</f>
        <v/>
      </c>
      <c r="T125" s="451" t="str">
        <f>'Recurrentes 24-26'!T127</f>
        <v/>
      </c>
      <c r="U125" s="451" t="str">
        <f>'Recurrentes 24-26'!U127</f>
        <v/>
      </c>
      <c r="V125" s="451" t="str">
        <f>'Recurrentes 24-26'!V127</f>
        <v/>
      </c>
      <c r="W125" s="451" t="str">
        <f>'Recurrentes 24-26'!W127</f>
        <v/>
      </c>
      <c r="X125" s="451" t="str">
        <f>'Recurrentes 24-26'!X127</f>
        <v/>
      </c>
      <c r="Y125" s="451" t="str">
        <f>'Recurrentes 24-26'!Y127</f>
        <v/>
      </c>
      <c r="Z125" s="451" t="str">
        <f>'Recurrentes 24-26'!Z127</f>
        <v/>
      </c>
      <c r="AA125" s="451" t="str">
        <f>'Recurrentes 24-26'!AA127</f>
        <v/>
      </c>
      <c r="AB125" s="451" t="str">
        <f>'Recurrentes 24-26'!AB127</f>
        <v/>
      </c>
      <c r="AC125" s="451" t="str">
        <f>'Recurrentes 24-26'!AC127</f>
        <v/>
      </c>
      <c r="AD125" s="451" t="str">
        <f>'Recurrentes 24-26'!AD127</f>
        <v/>
      </c>
      <c r="AE125" s="451" t="str">
        <f>'Recurrentes 24-26'!AE127</f>
        <v/>
      </c>
      <c r="AF125" s="451" t="str">
        <f>'Recurrentes 24-26'!AF127</f>
        <v/>
      </c>
      <c r="AG125" s="451" t="str">
        <f>'Recurrentes 24-26'!AG127</f>
        <v/>
      </c>
      <c r="AH125" s="451" t="str">
        <f>'Recurrentes 24-26'!AH127</f>
        <v/>
      </c>
      <c r="AI125" s="451" t="str">
        <f>'Recurrentes 24-26'!AI127</f>
        <v/>
      </c>
      <c r="AJ125" s="451" t="str">
        <f>'Recurrentes 24-26'!AJ127</f>
        <v/>
      </c>
      <c r="AK125" s="451" t="str">
        <f>'Recurrentes 24-26'!AK127</f>
        <v/>
      </c>
      <c r="AL125" s="451" t="str">
        <f>'Recurrentes 24-26'!AL127</f>
        <v/>
      </c>
      <c r="AM125" s="451" t="str">
        <f>'Recurrentes 24-26'!AM127</f>
        <v/>
      </c>
      <c r="AN125" s="451" t="str">
        <f>'Recurrentes 24-26'!AN127</f>
        <v/>
      </c>
      <c r="AO125" s="451" t="str">
        <f>'Recurrentes 24-26'!AO127</f>
        <v/>
      </c>
      <c r="AP125" s="451" t="str">
        <f>'Recurrentes 24-26'!AP127</f>
        <v/>
      </c>
      <c r="AQ125" s="451" t="str">
        <f>'Recurrentes 24-26'!AQ127</f>
        <v/>
      </c>
      <c r="AR125" s="451" t="str">
        <f>'Recurrentes 24-26'!AR127</f>
        <v/>
      </c>
      <c r="AS125" s="451" t="str">
        <f>'Recurrentes 24-26'!AS127</f>
        <v/>
      </c>
      <c r="AT125" s="451" t="str">
        <f>'Recurrentes 24-26'!AT127</f>
        <v/>
      </c>
      <c r="AU125" s="451" t="str">
        <f>'Recurrentes 24-26'!AU127</f>
        <v/>
      </c>
      <c r="AV125" s="1063" t="str">
        <f>'Recurrentes 24-26'!AV127</f>
        <v/>
      </c>
      <c r="AW125" s="451" t="str">
        <f>'Recurrentes 24-26'!AW127</f>
        <v/>
      </c>
      <c r="AX125" s="451" t="str">
        <f>'Recurrentes 24-26'!AX127</f>
        <v/>
      </c>
      <c r="AY125" s="451" t="str">
        <f>'Recurrentes 24-26'!AY127</f>
        <v/>
      </c>
      <c r="AZ125" s="1064" t="str">
        <f>'Recurrentes 24-26'!AZ127</f>
        <v/>
      </c>
      <c r="BA125" s="1064" t="str">
        <f>'Recurrentes 24-26'!BA127</f>
        <v/>
      </c>
      <c r="BB125" s="1064" t="str">
        <f>'Recurrentes 24-26'!BB127</f>
        <v/>
      </c>
      <c r="BC125" s="1064" t="str">
        <f>'Recurrentes 24-26'!BC127</f>
        <v/>
      </c>
      <c r="BD125" s="1064" t="str">
        <f>'Recurrentes 24-26'!BD127</f>
        <v/>
      </c>
      <c r="BE125" s="1064" t="str">
        <f>'Recurrentes 24-26'!BE127</f>
        <v/>
      </c>
      <c r="BF125" s="1064" t="str">
        <f>'Recurrentes 24-26'!BF127</f>
        <v/>
      </c>
      <c r="BG125" s="1064" t="str">
        <f>'Recurrentes 24-26'!BG127</f>
        <v/>
      </c>
      <c r="BH125" s="1064" t="str">
        <f>'Recurrentes 24-26'!BH127</f>
        <v/>
      </c>
      <c r="BI125" s="1064" t="str">
        <f>'Recurrentes 24-26'!BI127</f>
        <v/>
      </c>
      <c r="BJ125" s="1064" t="str">
        <f>'Recurrentes 24-26'!BJ127</f>
        <v/>
      </c>
      <c r="BK125" s="451"/>
      <c r="BL125" s="1064" t="str">
        <f>'Recurrentes 24-26'!BK127</f>
        <v/>
      </c>
      <c r="BM125" s="1064" t="str">
        <f>'Recurrentes 24-26'!BL127</f>
        <v/>
      </c>
      <c r="BN125" s="1064" t="str">
        <f>'Recurrentes 24-26'!BM127</f>
        <v/>
      </c>
      <c r="BO125" s="1064" t="str">
        <f>'Recurrentes 24-26'!BN127</f>
        <v/>
      </c>
      <c r="BP125" s="1064" t="str">
        <f>'Recurrentes 24-26'!BO127</f>
        <v/>
      </c>
      <c r="BQ125" s="1064" t="str">
        <f>'Recurrentes 24-26'!BP127</f>
        <v/>
      </c>
      <c r="BR125" s="1064" t="str">
        <f>'Recurrentes 24-26'!BQ127</f>
        <v/>
      </c>
      <c r="BS125" s="1064" t="str">
        <f>'Recurrentes 24-26'!BR127</f>
        <v/>
      </c>
      <c r="BT125" s="1064" t="str">
        <f>'Recurrentes 24-26'!BS127</f>
        <v/>
      </c>
      <c r="BU125" s="1064" t="str">
        <f>'Recurrentes 24-26'!BT127</f>
        <v/>
      </c>
      <c r="BV125" s="1064" t="str">
        <f>'Recurrentes 24-26'!BU127</f>
        <v/>
      </c>
      <c r="BW125" s="451"/>
      <c r="BX125" s="1064" t="str">
        <f>'Recurrentes 24-26'!BV127</f>
        <v/>
      </c>
      <c r="BY125" s="1064" t="str">
        <f>'Recurrentes 24-26'!BW127</f>
        <v/>
      </c>
      <c r="BZ125" s="1064" t="str">
        <f>'Recurrentes 24-26'!BX127</f>
        <v/>
      </c>
      <c r="CA125" s="1064" t="str">
        <f>'Recurrentes 24-26'!BY127</f>
        <v/>
      </c>
      <c r="CB125" s="1064" t="str">
        <f>'Recurrentes 24-26'!BZ127</f>
        <v/>
      </c>
      <c r="CC125" s="1064" t="str">
        <f>'Recurrentes 24-26'!CA127</f>
        <v/>
      </c>
      <c r="CD125" s="1064" t="str">
        <f>'Recurrentes 24-26'!CB127</f>
        <v/>
      </c>
      <c r="CE125" s="1064" t="str">
        <f>'Recurrentes 24-26'!CC127</f>
        <v/>
      </c>
      <c r="CF125" s="1064" t="str">
        <f>'Recurrentes 24-26'!CD127</f>
        <v/>
      </c>
      <c r="CG125" s="1064" t="str">
        <f>'Recurrentes 24-26'!CE127</f>
        <v/>
      </c>
      <c r="CH125" s="1064" t="str">
        <f>'Recurrentes 24-26'!CF127</f>
        <v/>
      </c>
      <c r="CI125" s="451"/>
      <c r="CJ125" s="1064" t="str">
        <f>'Recurrentes 24-26'!CG127</f>
        <v/>
      </c>
      <c r="CK125" s="1064" t="str">
        <f>'Recurrentes 24-26'!CH127</f>
        <v/>
      </c>
      <c r="CL125" s="451" t="str">
        <f>'Recurrentes 24-26'!CI127</f>
        <v/>
      </c>
      <c r="CM125" s="1064" t="str">
        <f>'Recurrentes 24-26'!CJ127</f>
        <v/>
      </c>
      <c r="CN125" s="451" t="str">
        <f>'Recurrentes 24-26'!CK127</f>
        <v/>
      </c>
      <c r="CO125" s="451" t="str">
        <f>'Recurrentes 24-26'!CL127</f>
        <v/>
      </c>
      <c r="CP125" s="451" t="str">
        <f>'Recurrentes 24-26'!CM127</f>
        <v/>
      </c>
    </row>
    <row r="126">
      <c r="A126" s="451" t="str">
        <f>'Recurrentes 24-26'!A128</f>
        <v>Repuestos Electromecánicos recurrentes</v>
      </c>
      <c r="B126" s="451">
        <f>'Recurrentes 24-26'!B128</f>
        <v>2</v>
      </c>
      <c r="C126" s="451" t="str">
        <f>'Recurrentes 24-26'!C128</f>
        <v>Torres</v>
      </c>
      <c r="D126" s="451" t="str">
        <f>'Recurrentes 24-26'!D128</f>
        <v>Reacondicionamiento de Poleas Palpadoras</v>
      </c>
      <c r="E126" s="451" t="str">
        <f>'Recurrentes 24-26'!E128</f>
        <v>Repuesto Mecánico</v>
      </c>
      <c r="F126" s="451" t="str">
        <f>'Recurrentes 24-26'!F128</f>
        <v>TDB</v>
      </c>
      <c r="G126" s="1025" t="str">
        <f>'Recurrentes 24-26'!G128</f>
        <v>39800</v>
      </c>
      <c r="H126" s="1061" t="str">
        <f>'Recurrentes 24-26'!H128</f>
        <v>2-01-00521</v>
      </c>
      <c r="I126" s="1061" t="str">
        <f>'Recurrentes 24-26'!I128</f>
        <v>11424677</v>
      </c>
      <c r="J126" s="1061" t="str">
        <f>'Recurrentes 24-26'!J128</f>
        <v>ARANDELA ISO 7092 M24 300HV, FLZNNC-720H-L, REV.LAM.ZN S. BI.</v>
      </c>
      <c r="K126" s="451" t="str">
        <f>'Recurrentes 24-26'!K128</f>
        <v>Pza</v>
      </c>
      <c r="L126" s="451">
        <f>'Recurrentes 24-26'!L128</f>
        <v>4</v>
      </c>
      <c r="M126" s="451">
        <f>'Recurrentes 24-26'!M128</f>
        <v>1</v>
      </c>
      <c r="N126" s="451">
        <f>'Recurrentes 24-26'!N128</f>
        <v>2</v>
      </c>
      <c r="O126" s="451">
        <f>'Recurrentes 24-26'!O128</f>
        <v>2</v>
      </c>
      <c r="P126" s="451">
        <f>'Recurrentes 24-26'!P128</f>
        <v>2</v>
      </c>
      <c r="Q126" s="451">
        <f>'Recurrentes 24-26'!Q128</f>
        <v>4</v>
      </c>
      <c r="R126" s="451">
        <f>'Recurrentes 24-26'!R128</f>
        <v>2</v>
      </c>
      <c r="S126" s="451">
        <f>'Recurrentes 24-26'!S128</f>
        <v>2</v>
      </c>
      <c r="T126" s="451">
        <f>'Recurrentes 24-26'!T128</f>
        <v>1</v>
      </c>
      <c r="U126" s="451">
        <f>'Recurrentes 24-26'!U128</f>
        <v>2</v>
      </c>
      <c r="V126" s="451">
        <f>'Recurrentes 24-26'!V128</f>
        <v>0</v>
      </c>
      <c r="W126" s="1062">
        <f>'Recurrentes 24-26'!W128</f>
        <v>22</v>
      </c>
      <c r="X126" s="451">
        <f>'Recurrentes 24-26'!X128</f>
        <v>2</v>
      </c>
      <c r="Y126" s="451">
        <f>'Recurrentes 24-26'!Y128</f>
        <v>1</v>
      </c>
      <c r="Z126" s="451">
        <f>'Recurrentes 24-26'!Z128</f>
        <v>2</v>
      </c>
      <c r="AA126" s="451">
        <f>'Recurrentes 24-26'!AA128</f>
        <v>2</v>
      </c>
      <c r="AB126" s="451">
        <f>'Recurrentes 24-26'!AB128</f>
        <v>2</v>
      </c>
      <c r="AC126" s="451">
        <f>'Recurrentes 24-26'!AC128</f>
        <v>4</v>
      </c>
      <c r="AD126" s="451">
        <f>'Recurrentes 24-26'!AD128</f>
        <v>2</v>
      </c>
      <c r="AE126" s="451">
        <f>'Recurrentes 24-26'!AE128</f>
        <v>2</v>
      </c>
      <c r="AF126" s="451">
        <f>'Recurrentes 24-26'!AF128</f>
        <v>1</v>
      </c>
      <c r="AG126" s="451">
        <f>'Recurrentes 24-26'!AG128</f>
        <v>2</v>
      </c>
      <c r="AH126" s="451">
        <f>'Recurrentes 24-26'!AH128</f>
        <v>0</v>
      </c>
      <c r="AI126" s="1062">
        <f>'Recurrentes 24-26'!AI128</f>
        <v>20</v>
      </c>
      <c r="AJ126" s="451">
        <f>'Recurrentes 24-26'!AJ128</f>
        <v>2</v>
      </c>
      <c r="AK126" s="451">
        <f>'Recurrentes 24-26'!AK128</f>
        <v>1</v>
      </c>
      <c r="AL126" s="451">
        <f>'Recurrentes 24-26'!AL128</f>
        <v>2</v>
      </c>
      <c r="AM126" s="451">
        <f>'Recurrentes 24-26'!AM128</f>
        <v>2</v>
      </c>
      <c r="AN126" s="451">
        <f>'Recurrentes 24-26'!AN128</f>
        <v>2</v>
      </c>
      <c r="AO126" s="451">
        <f>'Recurrentes 24-26'!AO128</f>
        <v>4</v>
      </c>
      <c r="AP126" s="451">
        <f>'Recurrentes 24-26'!AP128</f>
        <v>2</v>
      </c>
      <c r="AQ126" s="451">
        <f>'Recurrentes 24-26'!AQ128</f>
        <v>2</v>
      </c>
      <c r="AR126" s="451">
        <f>'Recurrentes 24-26'!AR128</f>
        <v>1</v>
      </c>
      <c r="AS126" s="451">
        <f>'Recurrentes 24-26'!AS128</f>
        <v>2</v>
      </c>
      <c r="AT126" s="451">
        <f>'Recurrentes 24-26'!AT128</f>
        <v>0</v>
      </c>
      <c r="AU126" s="1062">
        <f>'Recurrentes 24-26'!AU128</f>
        <v>20</v>
      </c>
      <c r="AV126" s="1063">
        <f>'Recurrentes 24-26'!AV128</f>
        <v>62</v>
      </c>
      <c r="AW126" s="451" t="str">
        <f>'Recurrentes 24-26'!AW128</f>
        <v/>
      </c>
      <c r="AX126" s="1062">
        <f>'Recurrentes 24-26'!AX128</f>
        <v>3.19</v>
      </c>
      <c r="AY126" s="1062">
        <f>'Recurrentes 24-26'!AY128</f>
        <v>22.2024</v>
      </c>
      <c r="AZ126" s="1064" t="str">
        <f>'Recurrentes 24-26'!AZ128</f>
        <v/>
      </c>
      <c r="BA126" s="1064">
        <f>'Recurrentes 24-26'!BA128</f>
        <v>88.8096</v>
      </c>
      <c r="BB126" s="1064">
        <f>'Recurrentes 24-26'!BB128</f>
        <v>22.2024</v>
      </c>
      <c r="BC126" s="1064">
        <f>'Recurrentes 24-26'!BC128</f>
        <v>44.4048</v>
      </c>
      <c r="BD126" s="1064">
        <f>'Recurrentes 24-26'!BD128</f>
        <v>44.4048</v>
      </c>
      <c r="BE126" s="1064">
        <f>'Recurrentes 24-26'!BE128</f>
        <v>44.4048</v>
      </c>
      <c r="BF126" s="1064">
        <f>'Recurrentes 24-26'!BF128</f>
        <v>88.8096</v>
      </c>
      <c r="BG126" s="1064">
        <f>'Recurrentes 24-26'!BG128</f>
        <v>44.4048</v>
      </c>
      <c r="BH126" s="1064">
        <f>'Recurrentes 24-26'!BH128</f>
        <v>44.4048</v>
      </c>
      <c r="BI126" s="1064">
        <f>'Recurrentes 24-26'!BI128</f>
        <v>22.2024</v>
      </c>
      <c r="BJ126" s="1064">
        <f>'Recurrentes 24-26'!BJ128</f>
        <v>44.4048</v>
      </c>
      <c r="BK126" s="451"/>
      <c r="BL126" s="1062">
        <f>'Recurrentes 24-26'!BK128</f>
        <v>488.4528</v>
      </c>
      <c r="BM126" s="1064">
        <f>'Recurrentes 24-26'!BL128</f>
        <v>44.4048</v>
      </c>
      <c r="BN126" s="1064">
        <f>'Recurrentes 24-26'!BM128</f>
        <v>22.2024</v>
      </c>
      <c r="BO126" s="1064">
        <f>'Recurrentes 24-26'!BN128</f>
        <v>44.4048</v>
      </c>
      <c r="BP126" s="1064">
        <f>'Recurrentes 24-26'!BO128</f>
        <v>44.4048</v>
      </c>
      <c r="BQ126" s="1064">
        <f>'Recurrentes 24-26'!BP128</f>
        <v>44.4048</v>
      </c>
      <c r="BR126" s="1064">
        <f>'Recurrentes 24-26'!BQ128</f>
        <v>88.8096</v>
      </c>
      <c r="BS126" s="1064">
        <f>'Recurrentes 24-26'!BR128</f>
        <v>44.4048</v>
      </c>
      <c r="BT126" s="1064">
        <f>'Recurrentes 24-26'!BS128</f>
        <v>44.4048</v>
      </c>
      <c r="BU126" s="1064">
        <f>'Recurrentes 24-26'!BT128</f>
        <v>22.2024</v>
      </c>
      <c r="BV126" s="1064">
        <f>'Recurrentes 24-26'!BU128</f>
        <v>44.4048</v>
      </c>
      <c r="BW126" s="451"/>
      <c r="BX126" s="1062">
        <f>'Recurrentes 24-26'!BV128</f>
        <v>444.048</v>
      </c>
      <c r="BY126" s="1064">
        <f>'Recurrentes 24-26'!BW128</f>
        <v>44.4048</v>
      </c>
      <c r="BZ126" s="1064">
        <f>'Recurrentes 24-26'!BX128</f>
        <v>22.2024</v>
      </c>
      <c r="CA126" s="1064">
        <f>'Recurrentes 24-26'!BY128</f>
        <v>44.4048</v>
      </c>
      <c r="CB126" s="1064">
        <f>'Recurrentes 24-26'!BZ128</f>
        <v>44.4048</v>
      </c>
      <c r="CC126" s="1064">
        <f>'Recurrentes 24-26'!CA128</f>
        <v>44.4048</v>
      </c>
      <c r="CD126" s="1064">
        <f>'Recurrentes 24-26'!CB128</f>
        <v>88.8096</v>
      </c>
      <c r="CE126" s="1064">
        <f>'Recurrentes 24-26'!CC128</f>
        <v>44.4048</v>
      </c>
      <c r="CF126" s="1064">
        <f>'Recurrentes 24-26'!CD128</f>
        <v>44.4048</v>
      </c>
      <c r="CG126" s="1064">
        <f>'Recurrentes 24-26'!CE128</f>
        <v>22.2024</v>
      </c>
      <c r="CH126" s="1064">
        <f>'Recurrentes 24-26'!CF128</f>
        <v>44.4048</v>
      </c>
      <c r="CI126" s="451"/>
      <c r="CJ126" s="1062">
        <f>'Recurrentes 24-26'!CG128</f>
        <v>444.048</v>
      </c>
      <c r="CK126" s="1062">
        <f>'Recurrentes 24-26'!CH128</f>
        <v>1376.5488</v>
      </c>
      <c r="CL126" s="451" t="str">
        <f>'Recurrentes 24-26'!CI128</f>
        <v/>
      </c>
      <c r="CM126" s="1064" t="str">
        <f>'Recurrentes 24-26'!CJ128</f>
        <v/>
      </c>
      <c r="CN126" s="451">
        <f>'Recurrentes 24-26'!CK128</f>
        <v>1</v>
      </c>
      <c r="CO126" s="1062">
        <f>'Recurrentes 24-26'!CL128</f>
        <v>3.19</v>
      </c>
      <c r="CP126" s="451" t="str">
        <f>'Recurrentes 24-26'!CM128</f>
        <v/>
      </c>
    </row>
    <row r="127">
      <c r="A127" s="451" t="str">
        <f>'Recurrentes 24-26'!A129</f>
        <v>Repuestos Electromecánicos recurrentes</v>
      </c>
      <c r="B127" s="451">
        <f>'Recurrentes 24-26'!B129</f>
        <v>2</v>
      </c>
      <c r="C127" s="451" t="str">
        <f>'Recurrentes 24-26'!C129</f>
        <v>Vehículo</v>
      </c>
      <c r="D127" s="451" t="str">
        <f>'Recurrentes 24-26'!D129</f>
        <v>10% Suspensiones de Cabinas </v>
      </c>
      <c r="E127" s="451" t="str">
        <f>'Recurrentes 24-26'!E129</f>
        <v>Repuesto Mecánico</v>
      </c>
      <c r="F127" s="451" t="str">
        <f>'Recurrentes 24-26'!F129</f>
        <v>TDB</v>
      </c>
      <c r="G127" s="1025" t="str">
        <f>'Recurrentes 24-26'!G129</f>
        <v>39800</v>
      </c>
      <c r="H127" s="1061" t="str">
        <f>'Recurrentes 24-26'!H129</f>
        <v>2-01-00341</v>
      </c>
      <c r="I127" s="1061" t="str">
        <f>'Recurrentes 24-26'!I129</f>
        <v>10000449</v>
      </c>
      <c r="J127" s="1061" t="str">
        <f>'Recurrentes 24-26'!J129</f>
        <v>CHAVETA     DIN 94  4  X 25 AC ZINCADA</v>
      </c>
      <c r="K127" s="451" t="str">
        <f>'Recurrentes 24-26'!K129</f>
        <v>Pza</v>
      </c>
      <c r="L127" s="451">
        <f>'Recurrentes 24-26'!L129</f>
        <v>202</v>
      </c>
      <c r="M127" s="451">
        <f>'Recurrentes 24-26'!M129</f>
        <v>151</v>
      </c>
      <c r="N127" s="451">
        <f>'Recurrentes 24-26'!N129</f>
        <v>182</v>
      </c>
      <c r="O127" s="451">
        <f>'Recurrentes 24-26'!O129</f>
        <v>0</v>
      </c>
      <c r="P127" s="451">
        <f>'Recurrentes 24-26'!P129</f>
        <v>0</v>
      </c>
      <c r="Q127" s="451">
        <f>'Recurrentes 24-26'!Q129</f>
        <v>0</v>
      </c>
      <c r="R127" s="451">
        <f>'Recurrentes 24-26'!R129</f>
        <v>0</v>
      </c>
      <c r="S127" s="451">
        <f>'Recurrentes 24-26'!S129</f>
        <v>0</v>
      </c>
      <c r="T127" s="451">
        <f>'Recurrentes 24-26'!T129</f>
        <v>30</v>
      </c>
      <c r="U127" s="451">
        <f>'Recurrentes 24-26'!U129</f>
        <v>0</v>
      </c>
      <c r="V127" s="451">
        <f>'Recurrentes 24-26'!V129</f>
        <v>0</v>
      </c>
      <c r="W127" s="1062">
        <f>'Recurrentes 24-26'!W129</f>
        <v>565</v>
      </c>
      <c r="X127" s="451">
        <f>'Recurrentes 24-26'!X129</f>
        <v>160</v>
      </c>
      <c r="Y127" s="451">
        <f>'Recurrentes 24-26'!Y129</f>
        <v>120</v>
      </c>
      <c r="Z127" s="451">
        <f>'Recurrentes 24-26'!Z129</f>
        <v>144</v>
      </c>
      <c r="AA127" s="451">
        <f>'Recurrentes 24-26'!AA129</f>
        <v>88</v>
      </c>
      <c r="AB127" s="451">
        <f>'Recurrentes 24-26'!AB129</f>
        <v>104</v>
      </c>
      <c r="AC127" s="451">
        <f>'Recurrentes 24-26'!AC129</f>
        <v>168</v>
      </c>
      <c r="AD127" s="451">
        <f>'Recurrentes 24-26'!AD129</f>
        <v>104</v>
      </c>
      <c r="AE127" s="451">
        <f>'Recurrentes 24-26'!AE129</f>
        <v>0</v>
      </c>
      <c r="AF127" s="451">
        <f>'Recurrentes 24-26'!AF129</f>
        <v>24</v>
      </c>
      <c r="AG127" s="451">
        <f>'Recurrentes 24-26'!AG129</f>
        <v>0</v>
      </c>
      <c r="AH127" s="451">
        <f>'Recurrentes 24-26'!AH129</f>
        <v>0</v>
      </c>
      <c r="AI127" s="1062">
        <f>'Recurrentes 24-26'!AI129</f>
        <v>912</v>
      </c>
      <c r="AJ127" s="451">
        <f>'Recurrentes 24-26'!AJ129</f>
        <v>160</v>
      </c>
      <c r="AK127" s="451">
        <f>'Recurrentes 24-26'!AK129</f>
        <v>120</v>
      </c>
      <c r="AL127" s="451">
        <f>'Recurrentes 24-26'!AL129</f>
        <v>144</v>
      </c>
      <c r="AM127" s="451">
        <f>'Recurrentes 24-26'!AM129</f>
        <v>88</v>
      </c>
      <c r="AN127" s="451">
        <f>'Recurrentes 24-26'!AN129</f>
        <v>104</v>
      </c>
      <c r="AO127" s="451">
        <f>'Recurrentes 24-26'!AO129</f>
        <v>168</v>
      </c>
      <c r="AP127" s="451">
        <f>'Recurrentes 24-26'!AP129</f>
        <v>104</v>
      </c>
      <c r="AQ127" s="451">
        <f>'Recurrentes 24-26'!AQ129</f>
        <v>0</v>
      </c>
      <c r="AR127" s="451">
        <f>'Recurrentes 24-26'!AR129</f>
        <v>24</v>
      </c>
      <c r="AS127" s="451">
        <f>'Recurrentes 24-26'!AS129</f>
        <v>0</v>
      </c>
      <c r="AT127" s="451">
        <f>'Recurrentes 24-26'!AT129</f>
        <v>0</v>
      </c>
      <c r="AU127" s="1062">
        <f>'Recurrentes 24-26'!AU129</f>
        <v>912</v>
      </c>
      <c r="AV127" s="1062">
        <f>'Recurrentes 24-26'!AV129</f>
        <v>2389</v>
      </c>
      <c r="AW127" s="451" t="str">
        <f>'Recurrentes 24-26'!AW129</f>
        <v/>
      </c>
      <c r="AX127" s="1062">
        <f>'Recurrentes 24-26'!AX129</f>
        <v>0.08</v>
      </c>
      <c r="AY127" s="1062">
        <f>'Recurrentes 24-26'!AY129</f>
        <v>0.5568</v>
      </c>
      <c r="AZ127" s="1064" t="str">
        <f>'Recurrentes 24-26'!AZ129</f>
        <v/>
      </c>
      <c r="BA127" s="1064">
        <f>'Recurrentes 24-26'!BA129</f>
        <v>112.4736</v>
      </c>
      <c r="BB127" s="1064">
        <f>'Recurrentes 24-26'!BB129</f>
        <v>84.0768</v>
      </c>
      <c r="BC127" s="1064">
        <f>'Recurrentes 24-26'!BC129</f>
        <v>101.3376</v>
      </c>
      <c r="BD127" s="1064">
        <f>'Recurrentes 24-26'!BD129</f>
        <v>0</v>
      </c>
      <c r="BE127" s="1064">
        <f>'Recurrentes 24-26'!BE129</f>
        <v>0</v>
      </c>
      <c r="BF127" s="1064">
        <f>'Recurrentes 24-26'!BF129</f>
        <v>0</v>
      </c>
      <c r="BG127" s="1064">
        <f>'Recurrentes 24-26'!BG129</f>
        <v>0</v>
      </c>
      <c r="BH127" s="1064">
        <f>'Recurrentes 24-26'!BH129</f>
        <v>0</v>
      </c>
      <c r="BI127" s="1064">
        <f>'Recurrentes 24-26'!BI129</f>
        <v>16.704</v>
      </c>
      <c r="BJ127" s="1064">
        <f>'Recurrentes 24-26'!BJ129</f>
        <v>0</v>
      </c>
      <c r="BK127" s="451"/>
      <c r="BL127" s="1062">
        <f>'Recurrentes 24-26'!BK129</f>
        <v>314.592</v>
      </c>
      <c r="BM127" s="1064">
        <f>'Recurrentes 24-26'!BL129</f>
        <v>89.088</v>
      </c>
      <c r="BN127" s="1064">
        <f>'Recurrentes 24-26'!BM129</f>
        <v>66.816</v>
      </c>
      <c r="BO127" s="1064">
        <f>'Recurrentes 24-26'!BN129</f>
        <v>80.1792</v>
      </c>
      <c r="BP127" s="1064">
        <f>'Recurrentes 24-26'!BO129</f>
        <v>48.9984</v>
      </c>
      <c r="BQ127" s="1064">
        <f>'Recurrentes 24-26'!BP129</f>
        <v>57.9072</v>
      </c>
      <c r="BR127" s="1064">
        <f>'Recurrentes 24-26'!BQ129</f>
        <v>93.5424</v>
      </c>
      <c r="BS127" s="1064">
        <f>'Recurrentes 24-26'!BR129</f>
        <v>57.9072</v>
      </c>
      <c r="BT127" s="1064">
        <f>'Recurrentes 24-26'!BS129</f>
        <v>0</v>
      </c>
      <c r="BU127" s="1064">
        <f>'Recurrentes 24-26'!BT129</f>
        <v>13.3632</v>
      </c>
      <c r="BV127" s="1064">
        <f>'Recurrentes 24-26'!BU129</f>
        <v>0</v>
      </c>
      <c r="BW127" s="451"/>
      <c r="BX127" s="1062">
        <f>'Recurrentes 24-26'!BV129</f>
        <v>507.8016</v>
      </c>
      <c r="BY127" s="1064">
        <f>'Recurrentes 24-26'!BW129</f>
        <v>89.088</v>
      </c>
      <c r="BZ127" s="1064">
        <f>'Recurrentes 24-26'!BX129</f>
        <v>66.816</v>
      </c>
      <c r="CA127" s="1064">
        <f>'Recurrentes 24-26'!BY129</f>
        <v>80.1792</v>
      </c>
      <c r="CB127" s="1064">
        <f>'Recurrentes 24-26'!BZ129</f>
        <v>48.9984</v>
      </c>
      <c r="CC127" s="1064">
        <f>'Recurrentes 24-26'!CA129</f>
        <v>57.9072</v>
      </c>
      <c r="CD127" s="1064">
        <f>'Recurrentes 24-26'!CB129</f>
        <v>93.5424</v>
      </c>
      <c r="CE127" s="1064">
        <f>'Recurrentes 24-26'!CC129</f>
        <v>57.9072</v>
      </c>
      <c r="CF127" s="1064">
        <f>'Recurrentes 24-26'!CD129</f>
        <v>0</v>
      </c>
      <c r="CG127" s="1064">
        <f>'Recurrentes 24-26'!CE129</f>
        <v>13.3632</v>
      </c>
      <c r="CH127" s="1064">
        <f>'Recurrentes 24-26'!CF129</f>
        <v>0</v>
      </c>
      <c r="CI127" s="451"/>
      <c r="CJ127" s="1062">
        <f>'Recurrentes 24-26'!CG129</f>
        <v>507.8016</v>
      </c>
      <c r="CK127" s="1062">
        <f>'Recurrentes 24-26'!CH129</f>
        <v>1330.1952</v>
      </c>
      <c r="CL127" s="451" t="str">
        <f>'Recurrentes 24-26'!CI129</f>
        <v/>
      </c>
      <c r="CM127" s="1064" t="str">
        <f>'Recurrentes 24-26'!CJ129</f>
        <v/>
      </c>
      <c r="CN127" s="451">
        <f>'Recurrentes 24-26'!CK129</f>
        <v>1</v>
      </c>
      <c r="CO127" s="1062">
        <f>'Recurrentes 24-26'!CL129</f>
        <v>0.08</v>
      </c>
      <c r="CP127" s="451" t="str">
        <f>'Recurrentes 24-26'!CM129</f>
        <v/>
      </c>
    </row>
    <row r="128">
      <c r="A128" s="451" t="str">
        <f>'Recurrentes 24-26'!A130</f>
        <v>Repuestos Electromecánicos recurrentes</v>
      </c>
      <c r="B128" s="451">
        <f>'Recurrentes 24-26'!B130</f>
        <v>2</v>
      </c>
      <c r="C128" s="451" t="str">
        <f>'Recurrentes 24-26'!C130</f>
        <v>Torres</v>
      </c>
      <c r="D128" s="451" t="str">
        <f>'Recurrentes 24-26'!D130</f>
        <v>Reacondicionamiento de Poleas Palpadoras</v>
      </c>
      <c r="E128" s="451" t="str">
        <f>'Recurrentes 24-26'!E130</f>
        <v>Repuesto Mecánico</v>
      </c>
      <c r="F128" s="451" t="str">
        <f>'Recurrentes 24-26'!F130</f>
        <v>TDB</v>
      </c>
      <c r="G128" s="1025" t="str">
        <f>'Recurrentes 24-26'!G130</f>
        <v>39800</v>
      </c>
      <c r="H128" s="1061" t="str">
        <f>'Recurrentes 24-26'!H130</f>
        <v>2-01-00516</v>
      </c>
      <c r="I128" s="1061" t="str">
        <f>'Recurrentes 24-26'!I130</f>
        <v>11185351</v>
      </c>
      <c r="J128" s="1061" t="str">
        <f>'Recurrentes 24-26'!J130</f>
        <v>TORNILLO ISO 4017-8.8U M16X75 GIC TORN. HEXAG.</v>
      </c>
      <c r="K128" s="451" t="str">
        <f>'Recurrentes 24-26'!K130</f>
        <v>Pza</v>
      </c>
      <c r="L128" s="451">
        <f>'Recurrentes 24-26'!L130</f>
        <v>4</v>
      </c>
      <c r="M128" s="451">
        <f>'Recurrentes 24-26'!M130</f>
        <v>2</v>
      </c>
      <c r="N128" s="451">
        <f>'Recurrentes 24-26'!N130</f>
        <v>4</v>
      </c>
      <c r="O128" s="451">
        <f>'Recurrentes 24-26'!O130</f>
        <v>4</v>
      </c>
      <c r="P128" s="451">
        <f>'Recurrentes 24-26'!P130</f>
        <v>6</v>
      </c>
      <c r="Q128" s="451">
        <f>'Recurrentes 24-26'!Q130</f>
        <v>4</v>
      </c>
      <c r="R128" s="451">
        <f>'Recurrentes 24-26'!R130</f>
        <v>0</v>
      </c>
      <c r="S128" s="451">
        <f>'Recurrentes 24-26'!S130</f>
        <v>0</v>
      </c>
      <c r="T128" s="451">
        <f>'Recurrentes 24-26'!T130</f>
        <v>0</v>
      </c>
      <c r="U128" s="451">
        <f>'Recurrentes 24-26'!U130</f>
        <v>4</v>
      </c>
      <c r="V128" s="451">
        <f>'Recurrentes 24-26'!V130</f>
        <v>0</v>
      </c>
      <c r="W128" s="1062">
        <f>'Recurrentes 24-26'!W130</f>
        <v>28</v>
      </c>
      <c r="X128" s="451">
        <f>'Recurrentes 24-26'!X130</f>
        <v>4</v>
      </c>
      <c r="Y128" s="451">
        <f>'Recurrentes 24-26'!Y130</f>
        <v>2</v>
      </c>
      <c r="Z128" s="451">
        <f>'Recurrentes 24-26'!Z130</f>
        <v>4</v>
      </c>
      <c r="AA128" s="451">
        <f>'Recurrentes 24-26'!AA130</f>
        <v>4</v>
      </c>
      <c r="AB128" s="451">
        <f>'Recurrentes 24-26'!AB130</f>
        <v>6</v>
      </c>
      <c r="AC128" s="451">
        <f>'Recurrentes 24-26'!AC130</f>
        <v>4</v>
      </c>
      <c r="AD128" s="451">
        <f>'Recurrentes 24-26'!AD130</f>
        <v>4</v>
      </c>
      <c r="AE128" s="451">
        <f>'Recurrentes 24-26'!AE130</f>
        <v>0</v>
      </c>
      <c r="AF128" s="451">
        <f>'Recurrentes 24-26'!AF130</f>
        <v>2</v>
      </c>
      <c r="AG128" s="451">
        <f>'Recurrentes 24-26'!AG130</f>
        <v>4</v>
      </c>
      <c r="AH128" s="451">
        <f>'Recurrentes 24-26'!AH130</f>
        <v>0</v>
      </c>
      <c r="AI128" s="1062">
        <f>'Recurrentes 24-26'!AI130</f>
        <v>34</v>
      </c>
      <c r="AJ128" s="451">
        <f>'Recurrentes 24-26'!AJ130</f>
        <v>4</v>
      </c>
      <c r="AK128" s="451">
        <f>'Recurrentes 24-26'!AK130</f>
        <v>2</v>
      </c>
      <c r="AL128" s="451">
        <f>'Recurrentes 24-26'!AL130</f>
        <v>4</v>
      </c>
      <c r="AM128" s="451">
        <f>'Recurrentes 24-26'!AM130</f>
        <v>4</v>
      </c>
      <c r="AN128" s="451">
        <f>'Recurrentes 24-26'!AN130</f>
        <v>6</v>
      </c>
      <c r="AO128" s="451">
        <f>'Recurrentes 24-26'!AO130</f>
        <v>4</v>
      </c>
      <c r="AP128" s="451">
        <f>'Recurrentes 24-26'!AP130</f>
        <v>4</v>
      </c>
      <c r="AQ128" s="451">
        <f>'Recurrentes 24-26'!AQ130</f>
        <v>0</v>
      </c>
      <c r="AR128" s="451">
        <f>'Recurrentes 24-26'!AR130</f>
        <v>2</v>
      </c>
      <c r="AS128" s="451">
        <f>'Recurrentes 24-26'!AS130</f>
        <v>4</v>
      </c>
      <c r="AT128" s="451">
        <f>'Recurrentes 24-26'!AT130</f>
        <v>0</v>
      </c>
      <c r="AU128" s="1062">
        <f>'Recurrentes 24-26'!AU130</f>
        <v>34</v>
      </c>
      <c r="AV128" s="1062">
        <f>'Recurrentes 24-26'!AV130</f>
        <v>96</v>
      </c>
      <c r="AW128" s="451" t="str">
        <f>'Recurrentes 24-26'!AW130</f>
        <v/>
      </c>
      <c r="AX128" s="1062">
        <f>'Recurrentes 24-26'!AX130</f>
        <v>1.96</v>
      </c>
      <c r="AY128" s="1062">
        <f>'Recurrentes 24-26'!AY130</f>
        <v>13.6416</v>
      </c>
      <c r="AZ128" s="1064" t="str">
        <f>'Recurrentes 24-26'!AZ130</f>
        <v/>
      </c>
      <c r="BA128" s="1064">
        <f>'Recurrentes 24-26'!BA130</f>
        <v>54.5664</v>
      </c>
      <c r="BB128" s="1064">
        <f>'Recurrentes 24-26'!BB130</f>
        <v>27.2832</v>
      </c>
      <c r="BC128" s="1064">
        <f>'Recurrentes 24-26'!BC130</f>
        <v>54.5664</v>
      </c>
      <c r="BD128" s="1064">
        <f>'Recurrentes 24-26'!BD130</f>
        <v>54.5664</v>
      </c>
      <c r="BE128" s="1064">
        <f>'Recurrentes 24-26'!BE130</f>
        <v>81.8496</v>
      </c>
      <c r="BF128" s="1064">
        <f>'Recurrentes 24-26'!BF130</f>
        <v>54.5664</v>
      </c>
      <c r="BG128" s="1064">
        <f>'Recurrentes 24-26'!BG130</f>
        <v>0</v>
      </c>
      <c r="BH128" s="1064">
        <f>'Recurrentes 24-26'!BH130</f>
        <v>0</v>
      </c>
      <c r="BI128" s="1064">
        <f>'Recurrentes 24-26'!BI130</f>
        <v>0</v>
      </c>
      <c r="BJ128" s="1064">
        <f>'Recurrentes 24-26'!BJ130</f>
        <v>54.5664</v>
      </c>
      <c r="BK128" s="451"/>
      <c r="BL128" s="1062">
        <f>'Recurrentes 24-26'!BK130</f>
        <v>381.9648</v>
      </c>
      <c r="BM128" s="1064">
        <f>'Recurrentes 24-26'!BL130</f>
        <v>54.5664</v>
      </c>
      <c r="BN128" s="1064">
        <f>'Recurrentes 24-26'!BM130</f>
        <v>27.2832</v>
      </c>
      <c r="BO128" s="1064">
        <f>'Recurrentes 24-26'!BN130</f>
        <v>54.5664</v>
      </c>
      <c r="BP128" s="1064">
        <f>'Recurrentes 24-26'!BO130</f>
        <v>54.5664</v>
      </c>
      <c r="BQ128" s="1064">
        <f>'Recurrentes 24-26'!BP130</f>
        <v>81.8496</v>
      </c>
      <c r="BR128" s="1064">
        <f>'Recurrentes 24-26'!BQ130</f>
        <v>54.5664</v>
      </c>
      <c r="BS128" s="1064">
        <f>'Recurrentes 24-26'!BR130</f>
        <v>54.5664</v>
      </c>
      <c r="BT128" s="1064">
        <f>'Recurrentes 24-26'!BS130</f>
        <v>0</v>
      </c>
      <c r="BU128" s="1064">
        <f>'Recurrentes 24-26'!BT130</f>
        <v>27.2832</v>
      </c>
      <c r="BV128" s="1064">
        <f>'Recurrentes 24-26'!BU130</f>
        <v>54.5664</v>
      </c>
      <c r="BW128" s="451"/>
      <c r="BX128" s="1062">
        <f>'Recurrentes 24-26'!BV130</f>
        <v>463.8144</v>
      </c>
      <c r="BY128" s="1064">
        <f>'Recurrentes 24-26'!BW130</f>
        <v>54.5664</v>
      </c>
      <c r="BZ128" s="1064">
        <f>'Recurrentes 24-26'!BX130</f>
        <v>27.2832</v>
      </c>
      <c r="CA128" s="1064">
        <f>'Recurrentes 24-26'!BY130</f>
        <v>54.5664</v>
      </c>
      <c r="CB128" s="1064">
        <f>'Recurrentes 24-26'!BZ130</f>
        <v>54.5664</v>
      </c>
      <c r="CC128" s="1064">
        <f>'Recurrentes 24-26'!CA130</f>
        <v>81.8496</v>
      </c>
      <c r="CD128" s="1064">
        <f>'Recurrentes 24-26'!CB130</f>
        <v>54.5664</v>
      </c>
      <c r="CE128" s="1064">
        <f>'Recurrentes 24-26'!CC130</f>
        <v>54.5664</v>
      </c>
      <c r="CF128" s="1064">
        <f>'Recurrentes 24-26'!CD130</f>
        <v>0</v>
      </c>
      <c r="CG128" s="1064">
        <f>'Recurrentes 24-26'!CE130</f>
        <v>27.2832</v>
      </c>
      <c r="CH128" s="1064">
        <f>'Recurrentes 24-26'!CF130</f>
        <v>54.5664</v>
      </c>
      <c r="CI128" s="451"/>
      <c r="CJ128" s="1062">
        <f>'Recurrentes 24-26'!CG130</f>
        <v>463.8144</v>
      </c>
      <c r="CK128" s="1062">
        <f>'Recurrentes 24-26'!CH130</f>
        <v>1309.5936</v>
      </c>
      <c r="CL128" s="451" t="str">
        <f>'Recurrentes 24-26'!CI130</f>
        <v/>
      </c>
      <c r="CM128" s="1064" t="str">
        <f>'Recurrentes 24-26'!CJ130</f>
        <v/>
      </c>
      <c r="CN128" s="451">
        <f>'Recurrentes 24-26'!CK130</f>
        <v>1</v>
      </c>
      <c r="CO128" s="1062">
        <f>'Recurrentes 24-26'!CL130</f>
        <v>1.96</v>
      </c>
      <c r="CP128" s="451" t="str">
        <f>'Recurrentes 24-26'!CM130</f>
        <v/>
      </c>
    </row>
    <row r="129">
      <c r="A129" s="451" t="str">
        <f>'Recurrentes 24-26'!A131</f>
        <v>Repuestos Electromecánicos recurrentes</v>
      </c>
      <c r="B129" s="451">
        <f>'Recurrentes 24-26'!B131</f>
        <v>2</v>
      </c>
      <c r="C129" s="451" t="str">
        <f>'Recurrentes 24-26'!C131</f>
        <v>Torres</v>
      </c>
      <c r="D129" s="451" t="str">
        <f>'Recurrentes 24-26'!D131</f>
        <v>Reacondionamiento y cambio de Poleas de torre</v>
      </c>
      <c r="E129" s="451" t="str">
        <f>'Recurrentes 24-26'!E131</f>
        <v>Repuesto Mecánico</v>
      </c>
      <c r="F129" s="451" t="str">
        <f>'Recurrentes 24-26'!F131</f>
        <v>TDB</v>
      </c>
      <c r="G129" s="1061" t="str">
        <f>'Recurrentes 24-26'!G131</f>
        <v>39800</v>
      </c>
      <c r="H129" s="1061" t="str">
        <f>'Recurrentes 24-26'!H131</f>
        <v>2-01-00035</v>
      </c>
      <c r="I129" s="1061" t="str">
        <f>'Recurrentes 24-26'!I131</f>
        <v>10000400</v>
      </c>
      <c r="J129" s="1061" t="str">
        <f>'Recurrentes 24-26'!J131</f>
        <v>CIRCLIP INTER. DIN 472  80X2,5 FOSFAT.</v>
      </c>
      <c r="K129" s="451" t="str">
        <f>'Recurrentes 24-26'!K131</f>
        <v>Pza</v>
      </c>
      <c r="L129" s="451">
        <f>'Recurrentes 24-26'!L131</f>
        <v>0</v>
      </c>
      <c r="M129" s="451">
        <f>'Recurrentes 24-26'!M131</f>
        <v>0</v>
      </c>
      <c r="N129" s="451">
        <f>'Recurrentes 24-26'!N131</f>
        <v>0</v>
      </c>
      <c r="O129" s="451">
        <f>'Recurrentes 24-26'!O131</f>
        <v>6</v>
      </c>
      <c r="P129" s="451">
        <f>'Recurrentes 24-26'!P131</f>
        <v>6</v>
      </c>
      <c r="Q129" s="451">
        <f>'Recurrentes 24-26'!Q131</f>
        <v>6</v>
      </c>
      <c r="R129" s="451">
        <f>'Recurrentes 24-26'!R131</f>
        <v>4</v>
      </c>
      <c r="S129" s="451">
        <f>'Recurrentes 24-26'!S131</f>
        <v>4</v>
      </c>
      <c r="T129" s="451">
        <f>'Recurrentes 24-26'!T131</f>
        <v>0</v>
      </c>
      <c r="U129" s="451">
        <f>'Recurrentes 24-26'!U131</f>
        <v>4</v>
      </c>
      <c r="V129" s="451">
        <f>'Recurrentes 24-26'!V131</f>
        <v>0</v>
      </c>
      <c r="W129" s="1062">
        <f>'Recurrentes 24-26'!W131</f>
        <v>30</v>
      </c>
      <c r="X129" s="451">
        <f>'Recurrentes 24-26'!X131</f>
        <v>0</v>
      </c>
      <c r="Y129" s="451">
        <f>'Recurrentes 24-26'!Y131</f>
        <v>0</v>
      </c>
      <c r="Z129" s="451">
        <f>'Recurrentes 24-26'!Z131</f>
        <v>0</v>
      </c>
      <c r="AA129" s="451">
        <f>'Recurrentes 24-26'!AA131</f>
        <v>6</v>
      </c>
      <c r="AB129" s="451">
        <f>'Recurrentes 24-26'!AB131</f>
        <v>6</v>
      </c>
      <c r="AC129" s="451">
        <f>'Recurrentes 24-26'!AC131</f>
        <v>6</v>
      </c>
      <c r="AD129" s="451">
        <f>'Recurrentes 24-26'!AD131</f>
        <v>4</v>
      </c>
      <c r="AE129" s="451">
        <f>'Recurrentes 24-26'!AE131</f>
        <v>4</v>
      </c>
      <c r="AF129" s="451">
        <f>'Recurrentes 24-26'!AF131</f>
        <v>0</v>
      </c>
      <c r="AG129" s="451">
        <f>'Recurrentes 24-26'!AG131</f>
        <v>4</v>
      </c>
      <c r="AH129" s="451">
        <f>'Recurrentes 24-26'!AH131</f>
        <v>0</v>
      </c>
      <c r="AI129" s="1062">
        <f>'Recurrentes 24-26'!AI131</f>
        <v>30</v>
      </c>
      <c r="AJ129" s="451">
        <f>'Recurrentes 24-26'!AJ131</f>
        <v>0</v>
      </c>
      <c r="AK129" s="451">
        <f>'Recurrentes 24-26'!AK131</f>
        <v>0</v>
      </c>
      <c r="AL129" s="451">
        <f>'Recurrentes 24-26'!AL131</f>
        <v>0</v>
      </c>
      <c r="AM129" s="451">
        <f>'Recurrentes 24-26'!AM131</f>
        <v>6</v>
      </c>
      <c r="AN129" s="451">
        <f>'Recurrentes 24-26'!AN131</f>
        <v>6</v>
      </c>
      <c r="AO129" s="451">
        <f>'Recurrentes 24-26'!AO131</f>
        <v>6</v>
      </c>
      <c r="AP129" s="451">
        <f>'Recurrentes 24-26'!AP131</f>
        <v>4</v>
      </c>
      <c r="AQ129" s="451">
        <f>'Recurrentes 24-26'!AQ131</f>
        <v>4</v>
      </c>
      <c r="AR129" s="451">
        <f>'Recurrentes 24-26'!AR131</f>
        <v>0</v>
      </c>
      <c r="AS129" s="451">
        <f>'Recurrentes 24-26'!AS131</f>
        <v>4</v>
      </c>
      <c r="AT129" s="451">
        <f>'Recurrentes 24-26'!AT131</f>
        <v>0</v>
      </c>
      <c r="AU129" s="1062">
        <f>'Recurrentes 24-26'!AU131</f>
        <v>30</v>
      </c>
      <c r="AV129" s="1063">
        <f>'Recurrentes 24-26'!AV131</f>
        <v>90</v>
      </c>
      <c r="AW129" s="451" t="str">
        <f>'Recurrentes 24-26'!AW131</f>
        <v/>
      </c>
      <c r="AX129" s="1062">
        <f>'Recurrentes 24-26'!AX131</f>
        <v>1.61</v>
      </c>
      <c r="AY129" s="1062">
        <f>'Recurrentes 24-26'!AY131</f>
        <v>11.2056</v>
      </c>
      <c r="AZ129" s="1064" t="str">
        <f>'Recurrentes 24-26'!AZ131</f>
        <v/>
      </c>
      <c r="BA129" s="1064">
        <f>'Recurrentes 24-26'!BA131</f>
        <v>0</v>
      </c>
      <c r="BB129" s="1064">
        <f>'Recurrentes 24-26'!BB131</f>
        <v>0</v>
      </c>
      <c r="BC129" s="1064">
        <f>'Recurrentes 24-26'!BC131</f>
        <v>0</v>
      </c>
      <c r="BD129" s="1064">
        <f>'Recurrentes 24-26'!BD131</f>
        <v>67.2336</v>
      </c>
      <c r="BE129" s="1064">
        <f>'Recurrentes 24-26'!BE131</f>
        <v>67.2336</v>
      </c>
      <c r="BF129" s="1064">
        <f>'Recurrentes 24-26'!BF131</f>
        <v>67.2336</v>
      </c>
      <c r="BG129" s="1064">
        <f>'Recurrentes 24-26'!BG131</f>
        <v>44.8224</v>
      </c>
      <c r="BH129" s="1064">
        <f>'Recurrentes 24-26'!BH131</f>
        <v>44.8224</v>
      </c>
      <c r="BI129" s="1064">
        <f>'Recurrentes 24-26'!BI131</f>
        <v>0</v>
      </c>
      <c r="BJ129" s="1064">
        <f>'Recurrentes 24-26'!BJ131</f>
        <v>44.8224</v>
      </c>
      <c r="BK129" s="451"/>
      <c r="BL129" s="1062">
        <f>'Recurrentes 24-26'!BK131</f>
        <v>336.168</v>
      </c>
      <c r="BM129" s="1064">
        <f>'Recurrentes 24-26'!BL131</f>
        <v>0</v>
      </c>
      <c r="BN129" s="1064">
        <f>'Recurrentes 24-26'!BM131</f>
        <v>0</v>
      </c>
      <c r="BO129" s="1064">
        <f>'Recurrentes 24-26'!BN131</f>
        <v>0</v>
      </c>
      <c r="BP129" s="1064">
        <f>'Recurrentes 24-26'!BO131</f>
        <v>67.2336</v>
      </c>
      <c r="BQ129" s="1064">
        <f>'Recurrentes 24-26'!BP131</f>
        <v>67.2336</v>
      </c>
      <c r="BR129" s="1064">
        <f>'Recurrentes 24-26'!BQ131</f>
        <v>67.2336</v>
      </c>
      <c r="BS129" s="1064">
        <f>'Recurrentes 24-26'!BR131</f>
        <v>44.8224</v>
      </c>
      <c r="BT129" s="1064">
        <f>'Recurrentes 24-26'!BS131</f>
        <v>44.8224</v>
      </c>
      <c r="BU129" s="1064">
        <f>'Recurrentes 24-26'!BT131</f>
        <v>0</v>
      </c>
      <c r="BV129" s="1064">
        <f>'Recurrentes 24-26'!BU131</f>
        <v>44.8224</v>
      </c>
      <c r="BW129" s="451"/>
      <c r="BX129" s="1062">
        <f>'Recurrentes 24-26'!BV131</f>
        <v>336.168</v>
      </c>
      <c r="BY129" s="1064">
        <f>'Recurrentes 24-26'!BW131</f>
        <v>0</v>
      </c>
      <c r="BZ129" s="1064">
        <f>'Recurrentes 24-26'!BX131</f>
        <v>0</v>
      </c>
      <c r="CA129" s="1064">
        <f>'Recurrentes 24-26'!BY131</f>
        <v>0</v>
      </c>
      <c r="CB129" s="1064">
        <f>'Recurrentes 24-26'!BZ131</f>
        <v>67.2336</v>
      </c>
      <c r="CC129" s="1064">
        <f>'Recurrentes 24-26'!CA131</f>
        <v>67.2336</v>
      </c>
      <c r="CD129" s="1064">
        <f>'Recurrentes 24-26'!CB131</f>
        <v>67.2336</v>
      </c>
      <c r="CE129" s="1064">
        <f>'Recurrentes 24-26'!CC131</f>
        <v>44.8224</v>
      </c>
      <c r="CF129" s="1064">
        <f>'Recurrentes 24-26'!CD131</f>
        <v>44.8224</v>
      </c>
      <c r="CG129" s="1064">
        <f>'Recurrentes 24-26'!CE131</f>
        <v>0</v>
      </c>
      <c r="CH129" s="1064">
        <f>'Recurrentes 24-26'!CF131</f>
        <v>44.8224</v>
      </c>
      <c r="CI129" s="451"/>
      <c r="CJ129" s="1062">
        <f>'Recurrentes 24-26'!CG131</f>
        <v>336.168</v>
      </c>
      <c r="CK129" s="1062">
        <f>'Recurrentes 24-26'!CH131</f>
        <v>1008.504</v>
      </c>
      <c r="CL129" s="451" t="str">
        <f>'Recurrentes 24-26'!CI131</f>
        <v/>
      </c>
      <c r="CM129" s="1064" t="str">
        <f>'Recurrentes 24-26'!CJ131</f>
        <v>Hay items que no se estan considerando</v>
      </c>
      <c r="CN129" s="451">
        <f>'Recurrentes 24-26'!CK131</f>
        <v>1</v>
      </c>
      <c r="CO129" s="1062">
        <f>'Recurrentes 24-26'!CL131</f>
        <v>1.61</v>
      </c>
      <c r="CP129" s="451" t="str">
        <f>'Recurrentes 24-26'!CM131</f>
        <v/>
      </c>
    </row>
    <row r="130">
      <c r="A130" s="451" t="str">
        <f>'Recurrentes 24-26'!A132</f>
        <v>Repuestos Electromecánicos recurrentes</v>
      </c>
      <c r="B130" s="451">
        <f>'Recurrentes 24-26'!B132</f>
        <v>2</v>
      </c>
      <c r="C130" s="451" t="str">
        <f>'Recurrentes 24-26'!C132</f>
        <v>Vehículo</v>
      </c>
      <c r="D130" s="451" t="str">
        <f>'Recurrentes 24-26'!D132</f>
        <v>Manto. Pinza</v>
      </c>
      <c r="E130" s="451" t="str">
        <f>'Recurrentes 24-26'!E132</f>
        <v>Repuesto Mecánico</v>
      </c>
      <c r="F130" s="451" t="str">
        <f>'Recurrentes 24-26'!F132</f>
        <v>TDB</v>
      </c>
      <c r="G130" s="1061" t="str">
        <f>'Recurrentes 24-26'!G132</f>
        <v>39800</v>
      </c>
      <c r="H130" s="1061" t="str">
        <f>'Recurrentes 24-26'!H132</f>
        <v>2-01-00282</v>
      </c>
      <c r="I130" s="1061" t="str">
        <f>'Recurrentes 24-26'!I132</f>
        <v>11304628</v>
      </c>
      <c r="J130" s="1061" t="str">
        <f>'Recurrentes 24-26'!J132</f>
        <v>NIPLE DE ENGRASE A 6X1,0 ~DIN71412 NIPLE CÓNICO (CIL.) RECTA</v>
      </c>
      <c r="K130" s="451" t="str">
        <f>'Recurrentes 24-26'!K132</f>
        <v>Pza</v>
      </c>
      <c r="L130" s="451">
        <f>'Recurrentes 24-26'!L132</f>
        <v>15</v>
      </c>
      <c r="M130" s="451">
        <f>'Recurrentes 24-26'!M132</f>
        <v>9</v>
      </c>
      <c r="N130" s="451">
        <f>'Recurrentes 24-26'!N132</f>
        <v>4</v>
      </c>
      <c r="O130" s="451">
        <f>'Recurrentes 24-26'!O132</f>
        <v>10</v>
      </c>
      <c r="P130" s="451">
        <f>'Recurrentes 24-26'!P132</f>
        <v>10</v>
      </c>
      <c r="Q130" s="451">
        <f>'Recurrentes 24-26'!Q132</f>
        <v>10</v>
      </c>
      <c r="R130" s="451">
        <f>'Recurrentes 24-26'!R132</f>
        <v>2</v>
      </c>
      <c r="S130" s="451">
        <f>'Recurrentes 24-26'!S132</f>
        <v>2</v>
      </c>
      <c r="T130" s="451">
        <f>'Recurrentes 24-26'!T132</f>
        <v>1</v>
      </c>
      <c r="U130" s="451">
        <f>'Recurrentes 24-26'!U132</f>
        <v>0</v>
      </c>
      <c r="V130" s="451">
        <f>'Recurrentes 24-26'!V132</f>
        <v>0</v>
      </c>
      <c r="W130" s="1062">
        <f>'Recurrentes 24-26'!W132</f>
        <v>63</v>
      </c>
      <c r="X130" s="451">
        <f>'Recurrentes 24-26'!X132</f>
        <v>15</v>
      </c>
      <c r="Y130" s="451">
        <f>'Recurrentes 24-26'!Y132</f>
        <v>9</v>
      </c>
      <c r="Z130" s="451">
        <f>'Recurrentes 24-26'!Z132</f>
        <v>4</v>
      </c>
      <c r="AA130" s="451">
        <f>'Recurrentes 24-26'!AA132</f>
        <v>10</v>
      </c>
      <c r="AB130" s="451">
        <f>'Recurrentes 24-26'!AB132</f>
        <v>10</v>
      </c>
      <c r="AC130" s="451">
        <f>'Recurrentes 24-26'!AC132</f>
        <v>10</v>
      </c>
      <c r="AD130" s="451">
        <f>'Recurrentes 24-26'!AD132</f>
        <v>2</v>
      </c>
      <c r="AE130" s="451">
        <f>'Recurrentes 24-26'!AE132</f>
        <v>2</v>
      </c>
      <c r="AF130" s="451">
        <f>'Recurrentes 24-26'!AF132</f>
        <v>1</v>
      </c>
      <c r="AG130" s="451">
        <f>'Recurrentes 24-26'!AG132</f>
        <v>0</v>
      </c>
      <c r="AH130" s="451">
        <f>'Recurrentes 24-26'!AH132</f>
        <v>0</v>
      </c>
      <c r="AI130" s="1062">
        <f>'Recurrentes 24-26'!AI132</f>
        <v>63</v>
      </c>
      <c r="AJ130" s="451">
        <f>'Recurrentes 24-26'!AJ132</f>
        <v>15</v>
      </c>
      <c r="AK130" s="451">
        <f>'Recurrentes 24-26'!AK132</f>
        <v>9</v>
      </c>
      <c r="AL130" s="451">
        <f>'Recurrentes 24-26'!AL132</f>
        <v>4</v>
      </c>
      <c r="AM130" s="451">
        <f>'Recurrentes 24-26'!AM132</f>
        <v>10</v>
      </c>
      <c r="AN130" s="451">
        <f>'Recurrentes 24-26'!AN132</f>
        <v>10</v>
      </c>
      <c r="AO130" s="451">
        <f>'Recurrentes 24-26'!AO132</f>
        <v>10</v>
      </c>
      <c r="AP130" s="451">
        <f>'Recurrentes 24-26'!AP132</f>
        <v>2</v>
      </c>
      <c r="AQ130" s="451">
        <f>'Recurrentes 24-26'!AQ132</f>
        <v>2</v>
      </c>
      <c r="AR130" s="451">
        <f>'Recurrentes 24-26'!AR132</f>
        <v>1</v>
      </c>
      <c r="AS130" s="451">
        <f>'Recurrentes 24-26'!AS132</f>
        <v>0</v>
      </c>
      <c r="AT130" s="451">
        <f>'Recurrentes 24-26'!AT132</f>
        <v>0</v>
      </c>
      <c r="AU130" s="1062">
        <f>'Recurrentes 24-26'!AU132</f>
        <v>63</v>
      </c>
      <c r="AV130" s="1063">
        <f>'Recurrentes 24-26'!AV132</f>
        <v>189</v>
      </c>
      <c r="AW130" s="451" t="str">
        <f>'Recurrentes 24-26'!AW132</f>
        <v/>
      </c>
      <c r="AX130" s="1062">
        <f>'Recurrentes 24-26'!AX132</f>
        <v>0.73</v>
      </c>
      <c r="AY130" s="1062">
        <f>'Recurrentes 24-26'!AY132</f>
        <v>5.0808</v>
      </c>
      <c r="AZ130" s="1064" t="str">
        <f>'Recurrentes 24-26'!AZ132</f>
        <v/>
      </c>
      <c r="BA130" s="1064">
        <f>'Recurrentes 24-26'!BA132</f>
        <v>76.212</v>
      </c>
      <c r="BB130" s="1064">
        <f>'Recurrentes 24-26'!BB132</f>
        <v>45.7272</v>
      </c>
      <c r="BC130" s="1064">
        <f>'Recurrentes 24-26'!BC132</f>
        <v>20.3232</v>
      </c>
      <c r="BD130" s="1064">
        <f>'Recurrentes 24-26'!BD132</f>
        <v>50.808</v>
      </c>
      <c r="BE130" s="1064">
        <f>'Recurrentes 24-26'!BE132</f>
        <v>50.808</v>
      </c>
      <c r="BF130" s="1064">
        <f>'Recurrentes 24-26'!BF132</f>
        <v>50.808</v>
      </c>
      <c r="BG130" s="1064">
        <f>'Recurrentes 24-26'!BG132</f>
        <v>10.1616</v>
      </c>
      <c r="BH130" s="1064">
        <f>'Recurrentes 24-26'!BH132</f>
        <v>10.1616</v>
      </c>
      <c r="BI130" s="1064">
        <f>'Recurrentes 24-26'!BI132</f>
        <v>5.0808</v>
      </c>
      <c r="BJ130" s="1064">
        <f>'Recurrentes 24-26'!BJ132</f>
        <v>0</v>
      </c>
      <c r="BK130" s="451"/>
      <c r="BL130" s="1062">
        <f>'Recurrentes 24-26'!BK132</f>
        <v>320.0904</v>
      </c>
      <c r="BM130" s="1064">
        <f>'Recurrentes 24-26'!BL132</f>
        <v>76.212</v>
      </c>
      <c r="BN130" s="1064">
        <f>'Recurrentes 24-26'!BM132</f>
        <v>45.7272</v>
      </c>
      <c r="BO130" s="1064">
        <f>'Recurrentes 24-26'!BN132</f>
        <v>20.3232</v>
      </c>
      <c r="BP130" s="1064">
        <f>'Recurrentes 24-26'!BO132</f>
        <v>50.808</v>
      </c>
      <c r="BQ130" s="1064">
        <f>'Recurrentes 24-26'!BP132</f>
        <v>50.808</v>
      </c>
      <c r="BR130" s="1064">
        <f>'Recurrentes 24-26'!BQ132</f>
        <v>50.808</v>
      </c>
      <c r="BS130" s="1064">
        <f>'Recurrentes 24-26'!BR132</f>
        <v>10.1616</v>
      </c>
      <c r="BT130" s="1064">
        <f>'Recurrentes 24-26'!BS132</f>
        <v>10.1616</v>
      </c>
      <c r="BU130" s="1064">
        <f>'Recurrentes 24-26'!BT132</f>
        <v>5.0808</v>
      </c>
      <c r="BV130" s="1064">
        <f>'Recurrentes 24-26'!BU132</f>
        <v>0</v>
      </c>
      <c r="BW130" s="451"/>
      <c r="BX130" s="1062">
        <f>'Recurrentes 24-26'!BV132</f>
        <v>320.0904</v>
      </c>
      <c r="BY130" s="1064">
        <f>'Recurrentes 24-26'!BW132</f>
        <v>76.212</v>
      </c>
      <c r="BZ130" s="1064">
        <f>'Recurrentes 24-26'!BX132</f>
        <v>45.7272</v>
      </c>
      <c r="CA130" s="1064">
        <f>'Recurrentes 24-26'!BY132</f>
        <v>20.3232</v>
      </c>
      <c r="CB130" s="1064">
        <f>'Recurrentes 24-26'!BZ132</f>
        <v>50.808</v>
      </c>
      <c r="CC130" s="1064">
        <f>'Recurrentes 24-26'!CA132</f>
        <v>50.808</v>
      </c>
      <c r="CD130" s="1064">
        <f>'Recurrentes 24-26'!CB132</f>
        <v>50.808</v>
      </c>
      <c r="CE130" s="1064">
        <f>'Recurrentes 24-26'!CC132</f>
        <v>10.1616</v>
      </c>
      <c r="CF130" s="1064">
        <f>'Recurrentes 24-26'!CD132</f>
        <v>10.1616</v>
      </c>
      <c r="CG130" s="1064">
        <f>'Recurrentes 24-26'!CE132</f>
        <v>5.0808</v>
      </c>
      <c r="CH130" s="1064">
        <f>'Recurrentes 24-26'!CF132</f>
        <v>0</v>
      </c>
      <c r="CI130" s="451"/>
      <c r="CJ130" s="1062">
        <f>'Recurrentes 24-26'!CG132</f>
        <v>320.0904</v>
      </c>
      <c r="CK130" s="1062">
        <f>'Recurrentes 24-26'!CH132</f>
        <v>960.2712</v>
      </c>
      <c r="CL130" s="451" t="str">
        <f>'Recurrentes 24-26'!CI132</f>
        <v/>
      </c>
      <c r="CM130" s="1064" t="str">
        <f>'Recurrentes 24-26'!CJ132</f>
        <v/>
      </c>
      <c r="CN130" s="451">
        <f>'Recurrentes 24-26'!CK132</f>
        <v>1</v>
      </c>
      <c r="CO130" s="1062">
        <f>'Recurrentes 24-26'!CL132</f>
        <v>0.73</v>
      </c>
      <c r="CP130" s="451" t="str">
        <f>'Recurrentes 24-26'!CM132</f>
        <v/>
      </c>
    </row>
    <row r="131">
      <c r="A131" s="451" t="str">
        <f>'Recurrentes 24-26'!A133</f>
        <v>Repuestos Electromecánicos recurrentes</v>
      </c>
      <c r="B131" s="451">
        <f>'Recurrentes 24-26'!B133</f>
        <v>2</v>
      </c>
      <c r="C131" s="451" t="str">
        <f>'Recurrentes 24-26'!C133</f>
        <v>Vehículo</v>
      </c>
      <c r="D131" s="451" t="str">
        <f>'Recurrentes 24-26'!D133</f>
        <v>10% Suspensiones de Cabinas </v>
      </c>
      <c r="E131" s="451" t="str">
        <f>'Recurrentes 24-26'!E133</f>
        <v>Repuesto Mecánico</v>
      </c>
      <c r="F131" s="451" t="str">
        <f>'Recurrentes 24-26'!F133</f>
        <v>TDB</v>
      </c>
      <c r="G131" s="1061" t="str">
        <f>'Recurrentes 24-26'!G133</f>
        <v>39800</v>
      </c>
      <c r="H131" s="1061" t="str">
        <f>'Recurrentes 24-26'!H133</f>
        <v>2-01-00332</v>
      </c>
      <c r="I131" s="1061" t="str">
        <f>'Recurrentes 24-26'!I133</f>
        <v>10000452</v>
      </c>
      <c r="J131" s="1061" t="str">
        <f>'Recurrentes 24-26'!J133</f>
        <v>CHAVETA     DIN 94  4  X 36 AC ZINCADA             (ISO-1234)</v>
      </c>
      <c r="K131" s="451" t="str">
        <f>'Recurrentes 24-26'!K133</f>
        <v>Pza</v>
      </c>
      <c r="L131" s="451">
        <f>'Recurrentes 24-26'!L133</f>
        <v>65</v>
      </c>
      <c r="M131" s="451">
        <f>'Recurrentes 24-26'!M133</f>
        <v>48</v>
      </c>
      <c r="N131" s="451">
        <f>'Recurrentes 24-26'!N133</f>
        <v>58</v>
      </c>
      <c r="O131" s="451">
        <f>'Recurrentes 24-26'!O133</f>
        <v>36</v>
      </c>
      <c r="P131" s="451">
        <f>'Recurrentes 24-26'!P133</f>
        <v>42</v>
      </c>
      <c r="Q131" s="451">
        <f>'Recurrentes 24-26'!Q133</f>
        <v>68</v>
      </c>
      <c r="R131" s="451">
        <f>'Recurrentes 24-26'!R133</f>
        <v>0</v>
      </c>
      <c r="S131" s="451">
        <f>'Recurrentes 24-26'!S133</f>
        <v>0</v>
      </c>
      <c r="T131" s="451">
        <f>'Recurrentes 24-26'!T133</f>
        <v>10</v>
      </c>
      <c r="U131" s="451">
        <f>'Recurrentes 24-26'!U133</f>
        <v>0</v>
      </c>
      <c r="V131" s="451">
        <f>'Recurrentes 24-26'!V133</f>
        <v>0</v>
      </c>
      <c r="W131" s="1062">
        <f>'Recurrentes 24-26'!W133</f>
        <v>327</v>
      </c>
      <c r="X131" s="451">
        <f>'Recurrentes 24-26'!X133</f>
        <v>80</v>
      </c>
      <c r="Y131" s="451">
        <f>'Recurrentes 24-26'!Y133</f>
        <v>60</v>
      </c>
      <c r="Z131" s="451">
        <f>'Recurrentes 24-26'!Z133</f>
        <v>72</v>
      </c>
      <c r="AA131" s="451">
        <f>'Recurrentes 24-26'!AA133</f>
        <v>44</v>
      </c>
      <c r="AB131" s="451">
        <f>'Recurrentes 24-26'!AB133</f>
        <v>52</v>
      </c>
      <c r="AC131" s="451">
        <f>'Recurrentes 24-26'!AC133</f>
        <v>84</v>
      </c>
      <c r="AD131" s="451">
        <f>'Recurrentes 24-26'!AD133</f>
        <v>52</v>
      </c>
      <c r="AE131" s="451">
        <f>'Recurrentes 24-26'!AE133</f>
        <v>0</v>
      </c>
      <c r="AF131" s="451">
        <f>'Recurrentes 24-26'!AF133</f>
        <v>12</v>
      </c>
      <c r="AG131" s="451">
        <f>'Recurrentes 24-26'!AG133</f>
        <v>0</v>
      </c>
      <c r="AH131" s="451">
        <f>'Recurrentes 24-26'!AH133</f>
        <v>0</v>
      </c>
      <c r="AI131" s="1062">
        <f>'Recurrentes 24-26'!AI133</f>
        <v>456</v>
      </c>
      <c r="AJ131" s="451">
        <f>'Recurrentes 24-26'!AJ133</f>
        <v>80</v>
      </c>
      <c r="AK131" s="451">
        <f>'Recurrentes 24-26'!AK133</f>
        <v>60</v>
      </c>
      <c r="AL131" s="451">
        <f>'Recurrentes 24-26'!AL133</f>
        <v>72</v>
      </c>
      <c r="AM131" s="451">
        <f>'Recurrentes 24-26'!AM133</f>
        <v>44</v>
      </c>
      <c r="AN131" s="451">
        <f>'Recurrentes 24-26'!AN133</f>
        <v>52</v>
      </c>
      <c r="AO131" s="451">
        <f>'Recurrentes 24-26'!AO133</f>
        <v>84</v>
      </c>
      <c r="AP131" s="451">
        <f>'Recurrentes 24-26'!AP133</f>
        <v>52</v>
      </c>
      <c r="AQ131" s="451">
        <f>'Recurrentes 24-26'!AQ133</f>
        <v>0</v>
      </c>
      <c r="AR131" s="451">
        <f>'Recurrentes 24-26'!AR133</f>
        <v>12</v>
      </c>
      <c r="AS131" s="451">
        <f>'Recurrentes 24-26'!AS133</f>
        <v>0</v>
      </c>
      <c r="AT131" s="451">
        <f>'Recurrentes 24-26'!AT133</f>
        <v>0</v>
      </c>
      <c r="AU131" s="1062">
        <f>'Recurrentes 24-26'!AU133</f>
        <v>456</v>
      </c>
      <c r="AV131" s="1063">
        <f>'Recurrentes 24-26'!AV133</f>
        <v>1239</v>
      </c>
      <c r="AW131" s="451" t="str">
        <f>'Recurrentes 24-26'!AW133</f>
        <v/>
      </c>
      <c r="AX131" s="1062">
        <f>'Recurrentes 24-26'!AX133</f>
        <v>0.11</v>
      </c>
      <c r="AY131" s="1062">
        <f>'Recurrentes 24-26'!AY133</f>
        <v>0.7656</v>
      </c>
      <c r="AZ131" s="1064" t="str">
        <f>'Recurrentes 24-26'!AZ133</f>
        <v/>
      </c>
      <c r="BA131" s="1064">
        <f>'Recurrentes 24-26'!BA133</f>
        <v>49.764</v>
      </c>
      <c r="BB131" s="1064">
        <f>'Recurrentes 24-26'!BB133</f>
        <v>36.7488</v>
      </c>
      <c r="BC131" s="1064">
        <f>'Recurrentes 24-26'!BC133</f>
        <v>44.4048</v>
      </c>
      <c r="BD131" s="1064">
        <f>'Recurrentes 24-26'!BD133</f>
        <v>27.5616</v>
      </c>
      <c r="BE131" s="1064">
        <f>'Recurrentes 24-26'!BE133</f>
        <v>32.1552</v>
      </c>
      <c r="BF131" s="1064">
        <f>'Recurrentes 24-26'!BF133</f>
        <v>52.0608</v>
      </c>
      <c r="BG131" s="1064">
        <f>'Recurrentes 24-26'!BG133</f>
        <v>0</v>
      </c>
      <c r="BH131" s="1064">
        <f>'Recurrentes 24-26'!BH133</f>
        <v>0</v>
      </c>
      <c r="BI131" s="1064">
        <f>'Recurrentes 24-26'!BI133</f>
        <v>7.656</v>
      </c>
      <c r="BJ131" s="1064">
        <f>'Recurrentes 24-26'!BJ133</f>
        <v>0</v>
      </c>
      <c r="BK131" s="451"/>
      <c r="BL131" s="1062">
        <f>'Recurrentes 24-26'!BK133</f>
        <v>250.3512</v>
      </c>
      <c r="BM131" s="1064">
        <f>'Recurrentes 24-26'!BL133</f>
        <v>61.248</v>
      </c>
      <c r="BN131" s="1064">
        <f>'Recurrentes 24-26'!BM133</f>
        <v>45.936</v>
      </c>
      <c r="BO131" s="1064">
        <f>'Recurrentes 24-26'!BN133</f>
        <v>55.1232</v>
      </c>
      <c r="BP131" s="1064">
        <f>'Recurrentes 24-26'!BO133</f>
        <v>33.6864</v>
      </c>
      <c r="BQ131" s="1064">
        <f>'Recurrentes 24-26'!BP133</f>
        <v>39.8112</v>
      </c>
      <c r="BR131" s="1064">
        <f>'Recurrentes 24-26'!BQ133</f>
        <v>64.3104</v>
      </c>
      <c r="BS131" s="1064">
        <f>'Recurrentes 24-26'!BR133</f>
        <v>39.8112</v>
      </c>
      <c r="BT131" s="1064">
        <f>'Recurrentes 24-26'!BS133</f>
        <v>0</v>
      </c>
      <c r="BU131" s="1064">
        <f>'Recurrentes 24-26'!BT133</f>
        <v>9.1872</v>
      </c>
      <c r="BV131" s="1064">
        <f>'Recurrentes 24-26'!BU133</f>
        <v>0</v>
      </c>
      <c r="BW131" s="451"/>
      <c r="BX131" s="1062">
        <f>'Recurrentes 24-26'!BV133</f>
        <v>349.1136</v>
      </c>
      <c r="BY131" s="1064">
        <f>'Recurrentes 24-26'!BW133</f>
        <v>61.248</v>
      </c>
      <c r="BZ131" s="1064">
        <f>'Recurrentes 24-26'!BX133</f>
        <v>45.936</v>
      </c>
      <c r="CA131" s="1064">
        <f>'Recurrentes 24-26'!BY133</f>
        <v>55.1232</v>
      </c>
      <c r="CB131" s="1064">
        <f>'Recurrentes 24-26'!BZ133</f>
        <v>33.6864</v>
      </c>
      <c r="CC131" s="1064">
        <f>'Recurrentes 24-26'!CA133</f>
        <v>39.8112</v>
      </c>
      <c r="CD131" s="1064">
        <f>'Recurrentes 24-26'!CB133</f>
        <v>64.3104</v>
      </c>
      <c r="CE131" s="1064">
        <f>'Recurrentes 24-26'!CC133</f>
        <v>39.8112</v>
      </c>
      <c r="CF131" s="1064">
        <f>'Recurrentes 24-26'!CD133</f>
        <v>0</v>
      </c>
      <c r="CG131" s="1064">
        <f>'Recurrentes 24-26'!CE133</f>
        <v>9.1872</v>
      </c>
      <c r="CH131" s="1064">
        <f>'Recurrentes 24-26'!CF133</f>
        <v>0</v>
      </c>
      <c r="CI131" s="451"/>
      <c r="CJ131" s="1062">
        <f>'Recurrentes 24-26'!CG133</f>
        <v>349.1136</v>
      </c>
      <c r="CK131" s="1062">
        <f>'Recurrentes 24-26'!CH133</f>
        <v>948.5784</v>
      </c>
      <c r="CL131" s="451" t="str">
        <f>'Recurrentes 24-26'!CI133</f>
        <v/>
      </c>
      <c r="CM131" s="1064" t="str">
        <f>'Recurrentes 24-26'!CJ133</f>
        <v/>
      </c>
      <c r="CN131" s="451">
        <f>'Recurrentes 24-26'!CK133</f>
        <v>1</v>
      </c>
      <c r="CO131" s="1062">
        <f>'Recurrentes 24-26'!CL133</f>
        <v>0.11</v>
      </c>
      <c r="CP131" s="451" t="str">
        <f>'Recurrentes 24-26'!CM133</f>
        <v/>
      </c>
    </row>
    <row r="132">
      <c r="A132" s="451" t="str">
        <f>'Recurrentes 24-26'!A134</f>
        <v>Repuestos Electromecánicos recurrentes</v>
      </c>
      <c r="B132" s="451">
        <f>'Recurrentes 24-26'!B134</f>
        <v>2</v>
      </c>
      <c r="C132" s="451" t="str">
        <f>'Recurrentes 24-26'!C134</f>
        <v>Torres</v>
      </c>
      <c r="D132" s="451" t="str">
        <f>'Recurrentes 24-26'!D134</f>
        <v>Reacondicionamiento de Poleas Palpadoras</v>
      </c>
      <c r="E132" s="451" t="str">
        <f>'Recurrentes 24-26'!E134</f>
        <v>Repuesto Mecánico</v>
      </c>
      <c r="F132" s="451" t="str">
        <f>'Recurrentes 24-26'!F134</f>
        <v>TDB</v>
      </c>
      <c r="G132" s="1061" t="str">
        <f>'Recurrentes 24-26'!G134</f>
        <v>39800</v>
      </c>
      <c r="H132" s="1061" t="str">
        <f>'Recurrentes 24-26'!H134</f>
        <v>2-01-00488</v>
      </c>
      <c r="I132" s="1061" t="str">
        <f>'Recurrentes 24-26'!I134</f>
        <v>10000381</v>
      </c>
      <c r="J132" s="1061" t="str">
        <f>'Recurrentes 24-26'!J134</f>
        <v>CIRCLIP INTER.  DIN 472  52X2  FOSFAT.</v>
      </c>
      <c r="K132" s="451" t="str">
        <f>'Recurrentes 24-26'!K134</f>
        <v>Pza</v>
      </c>
      <c r="L132" s="451">
        <f>'Recurrentes 24-26'!L134</f>
        <v>8</v>
      </c>
      <c r="M132" s="451">
        <f>'Recurrentes 24-26'!M134</f>
        <v>6</v>
      </c>
      <c r="N132" s="451">
        <f>'Recurrentes 24-26'!N134</f>
        <v>8</v>
      </c>
      <c r="O132" s="451">
        <f>'Recurrentes 24-26'!O134</f>
        <v>4</v>
      </c>
      <c r="P132" s="451">
        <f>'Recurrentes 24-26'!P134</f>
        <v>4</v>
      </c>
      <c r="Q132" s="451">
        <f>'Recurrentes 24-26'!Q134</f>
        <v>6</v>
      </c>
      <c r="R132" s="451">
        <f>'Recurrentes 24-26'!R134</f>
        <v>2</v>
      </c>
      <c r="S132" s="451">
        <f>'Recurrentes 24-26'!S134</f>
        <v>2</v>
      </c>
      <c r="T132" s="451">
        <f>'Recurrentes 24-26'!T134</f>
        <v>1</v>
      </c>
      <c r="U132" s="451">
        <f>'Recurrentes 24-26'!U134</f>
        <v>16</v>
      </c>
      <c r="V132" s="451">
        <f>'Recurrentes 24-26'!V134</f>
        <v>0</v>
      </c>
      <c r="W132" s="1062">
        <f>'Recurrentes 24-26'!W134</f>
        <v>57</v>
      </c>
      <c r="X132" s="451">
        <f>'Recurrentes 24-26'!X134</f>
        <v>8</v>
      </c>
      <c r="Y132" s="451">
        <f>'Recurrentes 24-26'!Y134</f>
        <v>6</v>
      </c>
      <c r="Z132" s="451">
        <f>'Recurrentes 24-26'!Z134</f>
        <v>8</v>
      </c>
      <c r="AA132" s="451">
        <f>'Recurrentes 24-26'!AA134</f>
        <v>4</v>
      </c>
      <c r="AB132" s="451">
        <f>'Recurrentes 24-26'!AB134</f>
        <v>4</v>
      </c>
      <c r="AC132" s="451">
        <f>'Recurrentes 24-26'!AC134</f>
        <v>6</v>
      </c>
      <c r="AD132" s="451">
        <f>'Recurrentes 24-26'!AD134</f>
        <v>2</v>
      </c>
      <c r="AE132" s="451">
        <f>'Recurrentes 24-26'!AE134</f>
        <v>2</v>
      </c>
      <c r="AF132" s="451">
        <f>'Recurrentes 24-26'!AF134</f>
        <v>1</v>
      </c>
      <c r="AG132" s="451">
        <f>'Recurrentes 24-26'!AG134</f>
        <v>16</v>
      </c>
      <c r="AH132" s="451">
        <f>'Recurrentes 24-26'!AH134</f>
        <v>0</v>
      </c>
      <c r="AI132" s="1062">
        <f>'Recurrentes 24-26'!AI134</f>
        <v>57</v>
      </c>
      <c r="AJ132" s="451">
        <f>'Recurrentes 24-26'!AJ134</f>
        <v>8</v>
      </c>
      <c r="AK132" s="451">
        <f>'Recurrentes 24-26'!AK134</f>
        <v>6</v>
      </c>
      <c r="AL132" s="451">
        <f>'Recurrentes 24-26'!AL134</f>
        <v>8</v>
      </c>
      <c r="AM132" s="451">
        <f>'Recurrentes 24-26'!AM134</f>
        <v>4</v>
      </c>
      <c r="AN132" s="451">
        <f>'Recurrentes 24-26'!AN134</f>
        <v>4</v>
      </c>
      <c r="AO132" s="451">
        <f>'Recurrentes 24-26'!AO134</f>
        <v>6</v>
      </c>
      <c r="AP132" s="451">
        <f>'Recurrentes 24-26'!AP134</f>
        <v>2</v>
      </c>
      <c r="AQ132" s="451">
        <f>'Recurrentes 24-26'!AQ134</f>
        <v>2</v>
      </c>
      <c r="AR132" s="451">
        <f>'Recurrentes 24-26'!AR134</f>
        <v>1</v>
      </c>
      <c r="AS132" s="451">
        <f>'Recurrentes 24-26'!AS134</f>
        <v>16</v>
      </c>
      <c r="AT132" s="451">
        <f>'Recurrentes 24-26'!AT134</f>
        <v>0</v>
      </c>
      <c r="AU132" s="1062">
        <f>'Recurrentes 24-26'!AU134</f>
        <v>57</v>
      </c>
      <c r="AV132" s="1063">
        <f>'Recurrentes 24-26'!AV134</f>
        <v>171</v>
      </c>
      <c r="AW132" s="451" t="str">
        <f>'Recurrentes 24-26'!AW134</f>
        <v/>
      </c>
      <c r="AX132" s="1062">
        <f>'Recurrentes 24-26'!AX134</f>
        <v>0.69</v>
      </c>
      <c r="AY132" s="1062">
        <f>'Recurrentes 24-26'!AY134</f>
        <v>4.8024</v>
      </c>
      <c r="AZ132" s="1064" t="str">
        <f>'Recurrentes 24-26'!AZ134</f>
        <v/>
      </c>
      <c r="BA132" s="1064">
        <f>'Recurrentes 24-26'!BA134</f>
        <v>38.4192</v>
      </c>
      <c r="BB132" s="1064">
        <f>'Recurrentes 24-26'!BB134</f>
        <v>28.8144</v>
      </c>
      <c r="BC132" s="1064">
        <f>'Recurrentes 24-26'!BC134</f>
        <v>38.4192</v>
      </c>
      <c r="BD132" s="1064">
        <f>'Recurrentes 24-26'!BD134</f>
        <v>19.2096</v>
      </c>
      <c r="BE132" s="1064">
        <f>'Recurrentes 24-26'!BE134</f>
        <v>19.2096</v>
      </c>
      <c r="BF132" s="1064">
        <f>'Recurrentes 24-26'!BF134</f>
        <v>28.8144</v>
      </c>
      <c r="BG132" s="1064">
        <f>'Recurrentes 24-26'!BG134</f>
        <v>9.6048</v>
      </c>
      <c r="BH132" s="1064">
        <f>'Recurrentes 24-26'!BH134</f>
        <v>9.6048</v>
      </c>
      <c r="BI132" s="1064">
        <f>'Recurrentes 24-26'!BI134</f>
        <v>4.8024</v>
      </c>
      <c r="BJ132" s="1064">
        <f>'Recurrentes 24-26'!BJ134</f>
        <v>76.8384</v>
      </c>
      <c r="BK132" s="451"/>
      <c r="BL132" s="1062">
        <f>'Recurrentes 24-26'!BK134</f>
        <v>273.7368</v>
      </c>
      <c r="BM132" s="1064">
        <f>'Recurrentes 24-26'!BL134</f>
        <v>38.4192</v>
      </c>
      <c r="BN132" s="1064">
        <f>'Recurrentes 24-26'!BM134</f>
        <v>28.8144</v>
      </c>
      <c r="BO132" s="1064">
        <f>'Recurrentes 24-26'!BN134</f>
        <v>38.4192</v>
      </c>
      <c r="BP132" s="1064">
        <f>'Recurrentes 24-26'!BO134</f>
        <v>19.2096</v>
      </c>
      <c r="BQ132" s="1064">
        <f>'Recurrentes 24-26'!BP134</f>
        <v>19.2096</v>
      </c>
      <c r="BR132" s="1064">
        <f>'Recurrentes 24-26'!BQ134</f>
        <v>28.8144</v>
      </c>
      <c r="BS132" s="1064">
        <f>'Recurrentes 24-26'!BR134</f>
        <v>9.6048</v>
      </c>
      <c r="BT132" s="1064">
        <f>'Recurrentes 24-26'!BS134</f>
        <v>9.6048</v>
      </c>
      <c r="BU132" s="1064">
        <f>'Recurrentes 24-26'!BT134</f>
        <v>4.8024</v>
      </c>
      <c r="BV132" s="1064">
        <f>'Recurrentes 24-26'!BU134</f>
        <v>76.8384</v>
      </c>
      <c r="BW132" s="451"/>
      <c r="BX132" s="1062">
        <f>'Recurrentes 24-26'!BV134</f>
        <v>273.7368</v>
      </c>
      <c r="BY132" s="1064">
        <f>'Recurrentes 24-26'!BW134</f>
        <v>38.4192</v>
      </c>
      <c r="BZ132" s="1064">
        <f>'Recurrentes 24-26'!BX134</f>
        <v>28.8144</v>
      </c>
      <c r="CA132" s="1064">
        <f>'Recurrentes 24-26'!BY134</f>
        <v>38.4192</v>
      </c>
      <c r="CB132" s="1064">
        <f>'Recurrentes 24-26'!BZ134</f>
        <v>19.2096</v>
      </c>
      <c r="CC132" s="1064">
        <f>'Recurrentes 24-26'!CA134</f>
        <v>19.2096</v>
      </c>
      <c r="CD132" s="1064">
        <f>'Recurrentes 24-26'!CB134</f>
        <v>28.8144</v>
      </c>
      <c r="CE132" s="1064">
        <f>'Recurrentes 24-26'!CC134</f>
        <v>9.6048</v>
      </c>
      <c r="CF132" s="1064">
        <f>'Recurrentes 24-26'!CD134</f>
        <v>9.6048</v>
      </c>
      <c r="CG132" s="1064">
        <f>'Recurrentes 24-26'!CE134</f>
        <v>4.8024</v>
      </c>
      <c r="CH132" s="1064">
        <f>'Recurrentes 24-26'!CF134</f>
        <v>76.8384</v>
      </c>
      <c r="CI132" s="451"/>
      <c r="CJ132" s="1062">
        <f>'Recurrentes 24-26'!CG134</f>
        <v>273.7368</v>
      </c>
      <c r="CK132" s="1062">
        <f>'Recurrentes 24-26'!CH134</f>
        <v>821.2104</v>
      </c>
      <c r="CL132" s="451" t="str">
        <f>'Recurrentes 24-26'!CI134</f>
        <v/>
      </c>
      <c r="CM132" s="1064" t="str">
        <f>'Recurrentes 24-26'!CJ134</f>
        <v/>
      </c>
      <c r="CN132" s="451">
        <f>'Recurrentes 24-26'!CK134</f>
        <v>1</v>
      </c>
      <c r="CO132" s="1062">
        <f>'Recurrentes 24-26'!CL134</f>
        <v>0.69</v>
      </c>
      <c r="CP132" s="451" t="str">
        <f>'Recurrentes 24-26'!CM134</f>
        <v/>
      </c>
    </row>
    <row r="133">
      <c r="A133" s="451" t="str">
        <f>'Recurrentes 24-26'!A135</f>
        <v>Repuestos Electromecánicos recurrentes</v>
      </c>
      <c r="B133" s="451">
        <f>'Recurrentes 24-26'!B135</f>
        <v>2</v>
      </c>
      <c r="C133" s="451" t="str">
        <f>'Recurrentes 24-26'!C135</f>
        <v>Torres</v>
      </c>
      <c r="D133" s="451" t="str">
        <f>'Recurrentes 24-26'!D135</f>
        <v>Reacondicionamiento de Poleas Palpadoras</v>
      </c>
      <c r="E133" s="451" t="str">
        <f>'Recurrentes 24-26'!E135</f>
        <v>Repuesto Mecánico</v>
      </c>
      <c r="F133" s="451" t="str">
        <f>'Recurrentes 24-26'!F135</f>
        <v>TDB</v>
      </c>
      <c r="G133" s="1061" t="str">
        <f>'Recurrentes 24-26'!G135</f>
        <v>39800</v>
      </c>
      <c r="H133" s="1061" t="str">
        <f>'Recurrentes 24-26'!H135</f>
        <v>2-01-00525</v>
      </c>
      <c r="I133" s="1061" t="str">
        <f>'Recurrentes 24-26'!I135</f>
        <v>11136880</v>
      </c>
      <c r="J133" s="1061" t="str">
        <f>'Recurrentes 24-26'!J135</f>
        <v>TUERCA HEXAG. ISO 4032-8 M16 GIC</v>
      </c>
      <c r="K133" s="451" t="str">
        <f>'Recurrentes 24-26'!K135</f>
        <v>Pza</v>
      </c>
      <c r="L133" s="451">
        <f>'Recurrentes 24-26'!L135</f>
        <v>4</v>
      </c>
      <c r="M133" s="451">
        <f>'Recurrentes 24-26'!M135</f>
        <v>2</v>
      </c>
      <c r="N133" s="451">
        <f>'Recurrentes 24-26'!N135</f>
        <v>4</v>
      </c>
      <c r="O133" s="451">
        <f>'Recurrentes 24-26'!O135</f>
        <v>4</v>
      </c>
      <c r="P133" s="451">
        <f>'Recurrentes 24-26'!P135</f>
        <v>6</v>
      </c>
      <c r="Q133" s="451">
        <f>'Recurrentes 24-26'!Q135</f>
        <v>4</v>
      </c>
      <c r="R133" s="451">
        <f>'Recurrentes 24-26'!R135</f>
        <v>0</v>
      </c>
      <c r="S133" s="451">
        <f>'Recurrentes 24-26'!S135</f>
        <v>0</v>
      </c>
      <c r="T133" s="451">
        <f>'Recurrentes 24-26'!T135</f>
        <v>0</v>
      </c>
      <c r="U133" s="451">
        <f>'Recurrentes 24-26'!U135</f>
        <v>2</v>
      </c>
      <c r="V133" s="451">
        <f>'Recurrentes 24-26'!V135</f>
        <v>0</v>
      </c>
      <c r="W133" s="1062">
        <f>'Recurrentes 24-26'!W135</f>
        <v>26</v>
      </c>
      <c r="X133" s="451">
        <f>'Recurrentes 24-26'!X135</f>
        <v>4</v>
      </c>
      <c r="Y133" s="451">
        <f>'Recurrentes 24-26'!Y135</f>
        <v>2</v>
      </c>
      <c r="Z133" s="451">
        <f>'Recurrentes 24-26'!Z135</f>
        <v>4</v>
      </c>
      <c r="AA133" s="451">
        <f>'Recurrentes 24-26'!AA135</f>
        <v>4</v>
      </c>
      <c r="AB133" s="451">
        <f>'Recurrentes 24-26'!AB135</f>
        <v>6</v>
      </c>
      <c r="AC133" s="451">
        <f>'Recurrentes 24-26'!AC135</f>
        <v>4</v>
      </c>
      <c r="AD133" s="451">
        <f>'Recurrentes 24-26'!AD135</f>
        <v>4</v>
      </c>
      <c r="AE133" s="451">
        <f>'Recurrentes 24-26'!AE135</f>
        <v>0</v>
      </c>
      <c r="AF133" s="451">
        <f>'Recurrentes 24-26'!AF135</f>
        <v>2</v>
      </c>
      <c r="AG133" s="451">
        <f>'Recurrentes 24-26'!AG135</f>
        <v>2</v>
      </c>
      <c r="AH133" s="451">
        <f>'Recurrentes 24-26'!AH135</f>
        <v>0</v>
      </c>
      <c r="AI133" s="1062">
        <f>'Recurrentes 24-26'!AI135</f>
        <v>32</v>
      </c>
      <c r="AJ133" s="451">
        <f>'Recurrentes 24-26'!AJ135</f>
        <v>4</v>
      </c>
      <c r="AK133" s="451">
        <f>'Recurrentes 24-26'!AK135</f>
        <v>2</v>
      </c>
      <c r="AL133" s="451">
        <f>'Recurrentes 24-26'!AL135</f>
        <v>4</v>
      </c>
      <c r="AM133" s="451">
        <f>'Recurrentes 24-26'!AM135</f>
        <v>4</v>
      </c>
      <c r="AN133" s="451">
        <f>'Recurrentes 24-26'!AN135</f>
        <v>6</v>
      </c>
      <c r="AO133" s="451">
        <f>'Recurrentes 24-26'!AO135</f>
        <v>4</v>
      </c>
      <c r="AP133" s="451">
        <f>'Recurrentes 24-26'!AP135</f>
        <v>4</v>
      </c>
      <c r="AQ133" s="451">
        <f>'Recurrentes 24-26'!AQ135</f>
        <v>0</v>
      </c>
      <c r="AR133" s="451">
        <f>'Recurrentes 24-26'!AR135</f>
        <v>2</v>
      </c>
      <c r="AS133" s="451">
        <f>'Recurrentes 24-26'!AS135</f>
        <v>2</v>
      </c>
      <c r="AT133" s="451">
        <f>'Recurrentes 24-26'!AT135</f>
        <v>0</v>
      </c>
      <c r="AU133" s="1062">
        <f>'Recurrentes 24-26'!AU135</f>
        <v>32</v>
      </c>
      <c r="AV133" s="1062">
        <f>'Recurrentes 24-26'!AV135</f>
        <v>90</v>
      </c>
      <c r="AW133" s="451" t="str">
        <f>'Recurrentes 24-26'!AW135</f>
        <v/>
      </c>
      <c r="AX133" s="1062">
        <f>'Recurrentes 24-26'!AX135</f>
        <v>1.31</v>
      </c>
      <c r="AY133" s="1062">
        <f>'Recurrentes 24-26'!AY135</f>
        <v>9.1176</v>
      </c>
      <c r="AZ133" s="1064" t="str">
        <f>'Recurrentes 24-26'!AZ135</f>
        <v/>
      </c>
      <c r="BA133" s="1064">
        <f>'Recurrentes 24-26'!BA135</f>
        <v>36.4704</v>
      </c>
      <c r="BB133" s="1064">
        <f>'Recurrentes 24-26'!BB135</f>
        <v>18.2352</v>
      </c>
      <c r="BC133" s="1064">
        <f>'Recurrentes 24-26'!BC135</f>
        <v>36.4704</v>
      </c>
      <c r="BD133" s="1064">
        <f>'Recurrentes 24-26'!BD135</f>
        <v>36.4704</v>
      </c>
      <c r="BE133" s="1064">
        <f>'Recurrentes 24-26'!BE135</f>
        <v>54.7056</v>
      </c>
      <c r="BF133" s="1064">
        <f>'Recurrentes 24-26'!BF135</f>
        <v>36.4704</v>
      </c>
      <c r="BG133" s="1064">
        <f>'Recurrentes 24-26'!BG135</f>
        <v>0</v>
      </c>
      <c r="BH133" s="1064">
        <f>'Recurrentes 24-26'!BH135</f>
        <v>0</v>
      </c>
      <c r="BI133" s="1064">
        <f>'Recurrentes 24-26'!BI135</f>
        <v>0</v>
      </c>
      <c r="BJ133" s="1064">
        <f>'Recurrentes 24-26'!BJ135</f>
        <v>18.2352</v>
      </c>
      <c r="BK133" s="451"/>
      <c r="BL133" s="1062">
        <f>'Recurrentes 24-26'!BK135</f>
        <v>237.0576</v>
      </c>
      <c r="BM133" s="1064">
        <f>'Recurrentes 24-26'!BL135</f>
        <v>36.4704</v>
      </c>
      <c r="BN133" s="1064">
        <f>'Recurrentes 24-26'!BM135</f>
        <v>18.2352</v>
      </c>
      <c r="BO133" s="1064">
        <f>'Recurrentes 24-26'!BN135</f>
        <v>36.4704</v>
      </c>
      <c r="BP133" s="1064">
        <f>'Recurrentes 24-26'!BO135</f>
        <v>36.4704</v>
      </c>
      <c r="BQ133" s="1064">
        <f>'Recurrentes 24-26'!BP135</f>
        <v>54.7056</v>
      </c>
      <c r="BR133" s="1064">
        <f>'Recurrentes 24-26'!BQ135</f>
        <v>36.4704</v>
      </c>
      <c r="BS133" s="1064">
        <f>'Recurrentes 24-26'!BR135</f>
        <v>36.4704</v>
      </c>
      <c r="BT133" s="1064">
        <f>'Recurrentes 24-26'!BS135</f>
        <v>0</v>
      </c>
      <c r="BU133" s="1064">
        <f>'Recurrentes 24-26'!BT135</f>
        <v>18.2352</v>
      </c>
      <c r="BV133" s="1064">
        <f>'Recurrentes 24-26'!BU135</f>
        <v>18.2352</v>
      </c>
      <c r="BW133" s="451"/>
      <c r="BX133" s="1062">
        <f>'Recurrentes 24-26'!BV135</f>
        <v>291.7632</v>
      </c>
      <c r="BY133" s="1064">
        <f>'Recurrentes 24-26'!BW135</f>
        <v>36.4704</v>
      </c>
      <c r="BZ133" s="1064">
        <f>'Recurrentes 24-26'!BX135</f>
        <v>18.2352</v>
      </c>
      <c r="CA133" s="1064">
        <f>'Recurrentes 24-26'!BY135</f>
        <v>36.4704</v>
      </c>
      <c r="CB133" s="1064">
        <f>'Recurrentes 24-26'!BZ135</f>
        <v>36.4704</v>
      </c>
      <c r="CC133" s="1064">
        <f>'Recurrentes 24-26'!CA135</f>
        <v>54.7056</v>
      </c>
      <c r="CD133" s="1064">
        <f>'Recurrentes 24-26'!CB135</f>
        <v>36.4704</v>
      </c>
      <c r="CE133" s="1064">
        <f>'Recurrentes 24-26'!CC135</f>
        <v>36.4704</v>
      </c>
      <c r="CF133" s="1064">
        <f>'Recurrentes 24-26'!CD135</f>
        <v>0</v>
      </c>
      <c r="CG133" s="1064">
        <f>'Recurrentes 24-26'!CE135</f>
        <v>18.2352</v>
      </c>
      <c r="CH133" s="1064">
        <f>'Recurrentes 24-26'!CF135</f>
        <v>18.2352</v>
      </c>
      <c r="CI133" s="451"/>
      <c r="CJ133" s="1062">
        <f>'Recurrentes 24-26'!CG135</f>
        <v>291.7632</v>
      </c>
      <c r="CK133" s="1062">
        <f>'Recurrentes 24-26'!CH135</f>
        <v>820.584</v>
      </c>
      <c r="CL133" s="451" t="str">
        <f>'Recurrentes 24-26'!CI135</f>
        <v/>
      </c>
      <c r="CM133" s="1064" t="str">
        <f>'Recurrentes 24-26'!CJ135</f>
        <v/>
      </c>
      <c r="CN133" s="451">
        <f>'Recurrentes 24-26'!CK135</f>
        <v>1</v>
      </c>
      <c r="CO133" s="1062">
        <f>'Recurrentes 24-26'!CL135</f>
        <v>1.31</v>
      </c>
      <c r="CP133" s="451" t="str">
        <f>'Recurrentes 24-26'!CM135</f>
        <v/>
      </c>
    </row>
    <row r="134">
      <c r="A134" s="451" t="str">
        <f>'Recurrentes 24-26'!A136</f>
        <v>Repuestos Electromecánicos recurrentes</v>
      </c>
      <c r="B134" s="451">
        <f>'Recurrentes 24-26'!B136</f>
        <v>2</v>
      </c>
      <c r="C134" s="451" t="str">
        <f>'Recurrentes 24-26'!C136</f>
        <v>Vehículo</v>
      </c>
      <c r="D134" s="451" t="str">
        <f>'Recurrentes 24-26'!D136</f>
        <v>10% Suspensiones de Cabinas </v>
      </c>
      <c r="E134" s="451" t="str">
        <f>'Recurrentes 24-26'!E136</f>
        <v>Repuesto Mecánico</v>
      </c>
      <c r="F134" s="451" t="str">
        <f>'Recurrentes 24-26'!F136</f>
        <v>TDB</v>
      </c>
      <c r="G134" s="1061" t="str">
        <f>'Recurrentes 24-26'!G136</f>
        <v>39800</v>
      </c>
      <c r="H134" s="1061" t="str">
        <f>'Recurrentes 24-26'!H136</f>
        <v>2-01-00569</v>
      </c>
      <c r="I134" s="1061" t="str">
        <f>'Recurrentes 24-26'!I136</f>
        <v>10000078</v>
      </c>
      <c r="J134" s="1061" t="str">
        <f>'Recurrentes 24-26'!J136</f>
        <v>TUERCA HEXAG. DIN 985- 8 M 8  GALVANIZ. (CON PIEZA DE APRIETE</v>
      </c>
      <c r="K134" s="451" t="str">
        <f>'Recurrentes 24-26'!K136</f>
        <v>Pza</v>
      </c>
      <c r="L134" s="451">
        <f>'Recurrentes 24-26'!L136</f>
        <v>24</v>
      </c>
      <c r="M134" s="451">
        <f>'Recurrentes 24-26'!M136</f>
        <v>18</v>
      </c>
      <c r="N134" s="451">
        <f>'Recurrentes 24-26'!N136</f>
        <v>21</v>
      </c>
      <c r="O134" s="451">
        <f>'Recurrentes 24-26'!O136</f>
        <v>13</v>
      </c>
      <c r="P134" s="451">
        <f>'Recurrentes 24-26'!P136</f>
        <v>15</v>
      </c>
      <c r="Q134" s="451">
        <f>'Recurrentes 24-26'!Q136</f>
        <v>25</v>
      </c>
      <c r="R134" s="451">
        <f>'Recurrentes 24-26'!R136</f>
        <v>20</v>
      </c>
      <c r="S134" s="451">
        <f>'Recurrentes 24-26'!S136</f>
        <v>24</v>
      </c>
      <c r="T134" s="451">
        <f>'Recurrentes 24-26'!T136</f>
        <v>4</v>
      </c>
      <c r="U134" s="451">
        <f>'Recurrentes 24-26'!U136</f>
        <v>0</v>
      </c>
      <c r="V134" s="451">
        <f>'Recurrentes 24-26'!V136</f>
        <v>0</v>
      </c>
      <c r="W134" s="1062">
        <f>'Recurrentes 24-26'!W136</f>
        <v>164</v>
      </c>
      <c r="X134" s="451">
        <f>'Recurrentes 24-26'!X136</f>
        <v>80</v>
      </c>
      <c r="Y134" s="451">
        <f>'Recurrentes 24-26'!Y136</f>
        <v>60</v>
      </c>
      <c r="Z134" s="451">
        <f>'Recurrentes 24-26'!Z136</f>
        <v>72</v>
      </c>
      <c r="AA134" s="451">
        <f>'Recurrentes 24-26'!AA136</f>
        <v>44</v>
      </c>
      <c r="AB134" s="451">
        <f>'Recurrentes 24-26'!AB136</f>
        <v>52</v>
      </c>
      <c r="AC134" s="451">
        <f>'Recurrentes 24-26'!AC136</f>
        <v>84</v>
      </c>
      <c r="AD134" s="451">
        <f>'Recurrentes 24-26'!AD136</f>
        <v>65</v>
      </c>
      <c r="AE134" s="451">
        <f>'Recurrentes 24-26'!AE136</f>
        <v>80</v>
      </c>
      <c r="AF134" s="451">
        <f>'Recurrentes 24-26'!AF136</f>
        <v>15</v>
      </c>
      <c r="AG134" s="451">
        <f>'Recurrentes 24-26'!AG136</f>
        <v>0</v>
      </c>
      <c r="AH134" s="451">
        <f>'Recurrentes 24-26'!AH136</f>
        <v>0</v>
      </c>
      <c r="AI134" s="1062">
        <f>'Recurrentes 24-26'!AI136</f>
        <v>552</v>
      </c>
      <c r="AJ134" s="451">
        <f>'Recurrentes 24-26'!AJ136</f>
        <v>80</v>
      </c>
      <c r="AK134" s="451">
        <f>'Recurrentes 24-26'!AK136</f>
        <v>60</v>
      </c>
      <c r="AL134" s="451">
        <f>'Recurrentes 24-26'!AL136</f>
        <v>72</v>
      </c>
      <c r="AM134" s="451">
        <f>'Recurrentes 24-26'!AM136</f>
        <v>44</v>
      </c>
      <c r="AN134" s="451">
        <f>'Recurrentes 24-26'!AN136</f>
        <v>52</v>
      </c>
      <c r="AO134" s="451">
        <f>'Recurrentes 24-26'!AO136</f>
        <v>84</v>
      </c>
      <c r="AP134" s="451">
        <f>'Recurrentes 24-26'!AP136</f>
        <v>65</v>
      </c>
      <c r="AQ134" s="451">
        <f>'Recurrentes 24-26'!AQ136</f>
        <v>80</v>
      </c>
      <c r="AR134" s="451">
        <f>'Recurrentes 24-26'!AR136</f>
        <v>15</v>
      </c>
      <c r="AS134" s="451">
        <f>'Recurrentes 24-26'!AS136</f>
        <v>0</v>
      </c>
      <c r="AT134" s="451">
        <f>'Recurrentes 24-26'!AT136</f>
        <v>0</v>
      </c>
      <c r="AU134" s="1062">
        <f>'Recurrentes 24-26'!AU136</f>
        <v>552</v>
      </c>
      <c r="AV134" s="1062">
        <f>'Recurrentes 24-26'!AV136</f>
        <v>1268</v>
      </c>
      <c r="AW134" s="451" t="str">
        <f>'Recurrentes 24-26'!AW136</f>
        <v/>
      </c>
      <c r="AX134" s="1062">
        <f>'Recurrentes 24-26'!AX136</f>
        <v>0.08</v>
      </c>
      <c r="AY134" s="1062">
        <f>'Recurrentes 24-26'!AY136</f>
        <v>0.5568</v>
      </c>
      <c r="AZ134" s="1064" t="str">
        <f>'Recurrentes 24-26'!AZ136</f>
        <v/>
      </c>
      <c r="BA134" s="1064">
        <f>'Recurrentes 24-26'!BA136</f>
        <v>13.3632</v>
      </c>
      <c r="BB134" s="1064">
        <f>'Recurrentes 24-26'!BB136</f>
        <v>10.0224</v>
      </c>
      <c r="BC134" s="1064">
        <f>'Recurrentes 24-26'!BC136</f>
        <v>11.6928</v>
      </c>
      <c r="BD134" s="1064">
        <f>'Recurrentes 24-26'!BD136</f>
        <v>7.2384</v>
      </c>
      <c r="BE134" s="1064">
        <f>'Recurrentes 24-26'!BE136</f>
        <v>8.352</v>
      </c>
      <c r="BF134" s="1064">
        <f>'Recurrentes 24-26'!BF136</f>
        <v>13.92</v>
      </c>
      <c r="BG134" s="1064">
        <f>'Recurrentes 24-26'!BG136</f>
        <v>11.136</v>
      </c>
      <c r="BH134" s="1064">
        <f>'Recurrentes 24-26'!BH136</f>
        <v>13.3632</v>
      </c>
      <c r="BI134" s="1064">
        <f>'Recurrentes 24-26'!BI136</f>
        <v>2.2272</v>
      </c>
      <c r="BJ134" s="1064">
        <f>'Recurrentes 24-26'!BJ136</f>
        <v>0</v>
      </c>
      <c r="BK134" s="451"/>
      <c r="BL134" s="1062">
        <f>'Recurrentes 24-26'!BK136</f>
        <v>91.3152</v>
      </c>
      <c r="BM134" s="1064">
        <f>'Recurrentes 24-26'!BL136</f>
        <v>44.544</v>
      </c>
      <c r="BN134" s="1064">
        <f>'Recurrentes 24-26'!BM136</f>
        <v>33.408</v>
      </c>
      <c r="BO134" s="1064">
        <f>'Recurrentes 24-26'!BN136</f>
        <v>40.0896</v>
      </c>
      <c r="BP134" s="1064">
        <f>'Recurrentes 24-26'!BO136</f>
        <v>24.4992</v>
      </c>
      <c r="BQ134" s="1064">
        <f>'Recurrentes 24-26'!BP136</f>
        <v>28.9536</v>
      </c>
      <c r="BR134" s="1064">
        <f>'Recurrentes 24-26'!BQ136</f>
        <v>46.7712</v>
      </c>
      <c r="BS134" s="1064">
        <f>'Recurrentes 24-26'!BR136</f>
        <v>36.192</v>
      </c>
      <c r="BT134" s="1064">
        <f>'Recurrentes 24-26'!BS136</f>
        <v>44.544</v>
      </c>
      <c r="BU134" s="1064">
        <f>'Recurrentes 24-26'!BT136</f>
        <v>8.352</v>
      </c>
      <c r="BV134" s="1064">
        <f>'Recurrentes 24-26'!BU136</f>
        <v>0</v>
      </c>
      <c r="BW134" s="451"/>
      <c r="BX134" s="1062">
        <f>'Recurrentes 24-26'!BV136</f>
        <v>307.3536</v>
      </c>
      <c r="BY134" s="1064">
        <f>'Recurrentes 24-26'!BW136</f>
        <v>44.544</v>
      </c>
      <c r="BZ134" s="1064">
        <f>'Recurrentes 24-26'!BX136</f>
        <v>33.408</v>
      </c>
      <c r="CA134" s="1064">
        <f>'Recurrentes 24-26'!BY136</f>
        <v>40.0896</v>
      </c>
      <c r="CB134" s="1064">
        <f>'Recurrentes 24-26'!BZ136</f>
        <v>24.4992</v>
      </c>
      <c r="CC134" s="1064">
        <f>'Recurrentes 24-26'!CA136</f>
        <v>28.9536</v>
      </c>
      <c r="CD134" s="1064">
        <f>'Recurrentes 24-26'!CB136</f>
        <v>46.7712</v>
      </c>
      <c r="CE134" s="1064">
        <f>'Recurrentes 24-26'!CC136</f>
        <v>36.192</v>
      </c>
      <c r="CF134" s="1064">
        <f>'Recurrentes 24-26'!CD136</f>
        <v>44.544</v>
      </c>
      <c r="CG134" s="1064">
        <f>'Recurrentes 24-26'!CE136</f>
        <v>8.352</v>
      </c>
      <c r="CH134" s="1064">
        <f>'Recurrentes 24-26'!CF136</f>
        <v>0</v>
      </c>
      <c r="CI134" s="451"/>
      <c r="CJ134" s="1062">
        <f>'Recurrentes 24-26'!CG136</f>
        <v>307.3536</v>
      </c>
      <c r="CK134" s="1062">
        <f>'Recurrentes 24-26'!CH136</f>
        <v>706.0224</v>
      </c>
      <c r="CL134" s="451" t="str">
        <f>'Recurrentes 24-26'!CI136</f>
        <v/>
      </c>
      <c r="CM134" s="1064" t="str">
        <f>'Recurrentes 24-26'!CJ136</f>
        <v/>
      </c>
      <c r="CN134" s="451">
        <f>'Recurrentes 24-26'!CK136</f>
        <v>1</v>
      </c>
      <c r="CO134" s="1062">
        <f>'Recurrentes 24-26'!CL136</f>
        <v>0.08</v>
      </c>
      <c r="CP134" s="451" t="str">
        <f>'Recurrentes 24-26'!CM136</f>
        <v/>
      </c>
    </row>
    <row r="135">
      <c r="A135" s="451" t="str">
        <f>'Recurrentes 24-26'!A137</f>
        <v>Repuestos Electromecánicos recurrentes</v>
      </c>
      <c r="B135" s="451">
        <f>'Recurrentes 24-26'!B137</f>
        <v>2</v>
      </c>
      <c r="C135" s="451" t="str">
        <f>'Recurrentes 24-26'!C137</f>
        <v>Vehículo</v>
      </c>
      <c r="D135" s="451" t="str">
        <f>'Recurrentes 24-26'!D137</f>
        <v>Manto. Pinza</v>
      </c>
      <c r="E135" s="451" t="str">
        <f>'Recurrentes 24-26'!E137</f>
        <v>Repuesto Mecánico</v>
      </c>
      <c r="F135" s="451" t="str">
        <f>'Recurrentes 24-26'!F137</f>
        <v>TDB</v>
      </c>
      <c r="G135" s="1061" t="str">
        <f>'Recurrentes 24-26'!G137</f>
        <v>39800</v>
      </c>
      <c r="H135" s="1061" t="str">
        <f>'Recurrentes 24-26'!H137</f>
        <v>2-01-00349</v>
      </c>
      <c r="I135" s="1061" t="str">
        <f>'Recurrentes 24-26'!I137</f>
        <v>11125072</v>
      </c>
      <c r="J135" s="1061" t="str">
        <f>'Recurrentes 24-26'!J137</f>
        <v>TUERCA HEX.ISO4035- 8 M18       GALVANIZADA         (DIN439B)</v>
      </c>
      <c r="K135" s="451" t="str">
        <f>'Recurrentes 24-26'!K137</f>
        <v>Pza</v>
      </c>
      <c r="L135" s="451">
        <f>'Recurrentes 24-26'!L137</f>
        <v>20</v>
      </c>
      <c r="M135" s="451">
        <f>'Recurrentes 24-26'!M137</f>
        <v>12</v>
      </c>
      <c r="N135" s="451">
        <f>'Recurrentes 24-26'!N137</f>
        <v>17</v>
      </c>
      <c r="O135" s="451">
        <f>'Recurrentes 24-26'!O137</f>
        <v>0</v>
      </c>
      <c r="P135" s="451">
        <f>'Recurrentes 24-26'!P137</f>
        <v>0</v>
      </c>
      <c r="Q135" s="451">
        <f>'Recurrentes 24-26'!Q137</f>
        <v>0</v>
      </c>
      <c r="R135" s="451">
        <f>'Recurrentes 24-26'!R137</f>
        <v>6</v>
      </c>
      <c r="S135" s="451">
        <f>'Recurrentes 24-26'!S137</f>
        <v>2</v>
      </c>
      <c r="T135" s="451">
        <f>'Recurrentes 24-26'!T137</f>
        <v>3</v>
      </c>
      <c r="U135" s="451">
        <f>'Recurrentes 24-26'!U137</f>
        <v>0</v>
      </c>
      <c r="V135" s="451">
        <f>'Recurrentes 24-26'!V137</f>
        <v>0</v>
      </c>
      <c r="W135" s="1062">
        <f>'Recurrentes 24-26'!W137</f>
        <v>60</v>
      </c>
      <c r="X135" s="451">
        <f>'Recurrentes 24-26'!X137</f>
        <v>30</v>
      </c>
      <c r="Y135" s="451">
        <f>'Recurrentes 24-26'!Y137</f>
        <v>18</v>
      </c>
      <c r="Z135" s="451">
        <f>'Recurrentes 24-26'!Z137</f>
        <v>26</v>
      </c>
      <c r="AA135" s="451">
        <f>'Recurrentes 24-26'!AA137</f>
        <v>0</v>
      </c>
      <c r="AB135" s="451">
        <f>'Recurrentes 24-26'!AB137</f>
        <v>0</v>
      </c>
      <c r="AC135" s="451">
        <f>'Recurrentes 24-26'!AC137</f>
        <v>0</v>
      </c>
      <c r="AD135" s="451">
        <f>'Recurrentes 24-26'!AD137</f>
        <v>10</v>
      </c>
      <c r="AE135" s="451">
        <f>'Recurrentes 24-26'!AE137</f>
        <v>10</v>
      </c>
      <c r="AF135" s="451">
        <f>'Recurrentes 24-26'!AF137</f>
        <v>5</v>
      </c>
      <c r="AG135" s="451">
        <f>'Recurrentes 24-26'!AG137</f>
        <v>0</v>
      </c>
      <c r="AH135" s="451">
        <f>'Recurrentes 24-26'!AH137</f>
        <v>0</v>
      </c>
      <c r="AI135" s="1062">
        <f>'Recurrentes 24-26'!AI137</f>
        <v>99</v>
      </c>
      <c r="AJ135" s="451">
        <f>'Recurrentes 24-26'!AJ137</f>
        <v>30</v>
      </c>
      <c r="AK135" s="451">
        <f>'Recurrentes 24-26'!AK137</f>
        <v>18</v>
      </c>
      <c r="AL135" s="451">
        <f>'Recurrentes 24-26'!AL137</f>
        <v>26</v>
      </c>
      <c r="AM135" s="451">
        <f>'Recurrentes 24-26'!AM137</f>
        <v>0</v>
      </c>
      <c r="AN135" s="451">
        <f>'Recurrentes 24-26'!AN137</f>
        <v>0</v>
      </c>
      <c r="AO135" s="451">
        <f>'Recurrentes 24-26'!AO137</f>
        <v>0</v>
      </c>
      <c r="AP135" s="451">
        <f>'Recurrentes 24-26'!AP137</f>
        <v>10</v>
      </c>
      <c r="AQ135" s="451">
        <f>'Recurrentes 24-26'!AQ137</f>
        <v>10</v>
      </c>
      <c r="AR135" s="451">
        <f>'Recurrentes 24-26'!AR137</f>
        <v>5</v>
      </c>
      <c r="AS135" s="451">
        <f>'Recurrentes 24-26'!AS137</f>
        <v>0</v>
      </c>
      <c r="AT135" s="451">
        <f>'Recurrentes 24-26'!AT137</f>
        <v>0</v>
      </c>
      <c r="AU135" s="1062">
        <f>'Recurrentes 24-26'!AU137</f>
        <v>99</v>
      </c>
      <c r="AV135" s="1063">
        <f>'Recurrentes 24-26'!AV137</f>
        <v>258</v>
      </c>
      <c r="AW135" s="451" t="str">
        <f>'Recurrentes 24-26'!AW137</f>
        <v/>
      </c>
      <c r="AX135" s="1062">
        <f>'Recurrentes 24-26'!AX137</f>
        <v>0.39</v>
      </c>
      <c r="AY135" s="1062">
        <f>'Recurrentes 24-26'!AY137</f>
        <v>2.7144</v>
      </c>
      <c r="AZ135" s="1064" t="str">
        <f>'Recurrentes 24-26'!AZ137</f>
        <v/>
      </c>
      <c r="BA135" s="1064">
        <f>'Recurrentes 24-26'!BA137</f>
        <v>54.288</v>
      </c>
      <c r="BB135" s="1064">
        <f>'Recurrentes 24-26'!BB137</f>
        <v>32.5728</v>
      </c>
      <c r="BC135" s="1064">
        <f>'Recurrentes 24-26'!BC137</f>
        <v>46.1448</v>
      </c>
      <c r="BD135" s="1064">
        <f>'Recurrentes 24-26'!BD137</f>
        <v>0</v>
      </c>
      <c r="BE135" s="1064">
        <f>'Recurrentes 24-26'!BE137</f>
        <v>0</v>
      </c>
      <c r="BF135" s="1064">
        <f>'Recurrentes 24-26'!BF137</f>
        <v>0</v>
      </c>
      <c r="BG135" s="1064">
        <f>'Recurrentes 24-26'!BG137</f>
        <v>16.2864</v>
      </c>
      <c r="BH135" s="1064">
        <f>'Recurrentes 24-26'!BH137</f>
        <v>5.4288</v>
      </c>
      <c r="BI135" s="1064">
        <f>'Recurrentes 24-26'!BI137</f>
        <v>8.1432</v>
      </c>
      <c r="BJ135" s="1064">
        <f>'Recurrentes 24-26'!BJ137</f>
        <v>0</v>
      </c>
      <c r="BK135" s="451"/>
      <c r="BL135" s="1062">
        <f>'Recurrentes 24-26'!BK137</f>
        <v>162.864</v>
      </c>
      <c r="BM135" s="1064">
        <f>'Recurrentes 24-26'!BL137</f>
        <v>81.432</v>
      </c>
      <c r="BN135" s="1064">
        <f>'Recurrentes 24-26'!BM137</f>
        <v>48.8592</v>
      </c>
      <c r="BO135" s="1064">
        <f>'Recurrentes 24-26'!BN137</f>
        <v>70.5744</v>
      </c>
      <c r="BP135" s="1064">
        <f>'Recurrentes 24-26'!BO137</f>
        <v>0</v>
      </c>
      <c r="BQ135" s="1064">
        <f>'Recurrentes 24-26'!BP137</f>
        <v>0</v>
      </c>
      <c r="BR135" s="1064">
        <f>'Recurrentes 24-26'!BQ137</f>
        <v>0</v>
      </c>
      <c r="BS135" s="1064">
        <f>'Recurrentes 24-26'!BR137</f>
        <v>27.144</v>
      </c>
      <c r="BT135" s="1064">
        <f>'Recurrentes 24-26'!BS137</f>
        <v>27.144</v>
      </c>
      <c r="BU135" s="1064">
        <f>'Recurrentes 24-26'!BT137</f>
        <v>13.572</v>
      </c>
      <c r="BV135" s="1064">
        <f>'Recurrentes 24-26'!BU137</f>
        <v>0</v>
      </c>
      <c r="BW135" s="451"/>
      <c r="BX135" s="1062">
        <f>'Recurrentes 24-26'!BV137</f>
        <v>268.7256</v>
      </c>
      <c r="BY135" s="1064">
        <f>'Recurrentes 24-26'!BW137</f>
        <v>81.432</v>
      </c>
      <c r="BZ135" s="1064">
        <f>'Recurrentes 24-26'!BX137</f>
        <v>48.8592</v>
      </c>
      <c r="CA135" s="1064">
        <f>'Recurrentes 24-26'!BY137</f>
        <v>70.5744</v>
      </c>
      <c r="CB135" s="1064">
        <f>'Recurrentes 24-26'!BZ137</f>
        <v>0</v>
      </c>
      <c r="CC135" s="1064">
        <f>'Recurrentes 24-26'!CA137</f>
        <v>0</v>
      </c>
      <c r="CD135" s="1064">
        <f>'Recurrentes 24-26'!CB137</f>
        <v>0</v>
      </c>
      <c r="CE135" s="1064">
        <f>'Recurrentes 24-26'!CC137</f>
        <v>27.144</v>
      </c>
      <c r="CF135" s="1064">
        <f>'Recurrentes 24-26'!CD137</f>
        <v>27.144</v>
      </c>
      <c r="CG135" s="1064">
        <f>'Recurrentes 24-26'!CE137</f>
        <v>13.572</v>
      </c>
      <c r="CH135" s="1064">
        <f>'Recurrentes 24-26'!CF137</f>
        <v>0</v>
      </c>
      <c r="CI135" s="451"/>
      <c r="CJ135" s="1062">
        <f>'Recurrentes 24-26'!CG137</f>
        <v>268.7256</v>
      </c>
      <c r="CK135" s="1062">
        <f>'Recurrentes 24-26'!CH137</f>
        <v>700.3152</v>
      </c>
      <c r="CL135" s="451" t="str">
        <f>'Recurrentes 24-26'!CI137</f>
        <v/>
      </c>
      <c r="CM135" s="1064" t="str">
        <f>'Recurrentes 24-26'!CJ137</f>
        <v/>
      </c>
      <c r="CN135" s="451">
        <f>'Recurrentes 24-26'!CK137</f>
        <v>1</v>
      </c>
      <c r="CO135" s="1062">
        <f>'Recurrentes 24-26'!CL137</f>
        <v>0.39</v>
      </c>
      <c r="CP135" s="451" t="str">
        <f>'Recurrentes 24-26'!CM137</f>
        <v/>
      </c>
    </row>
    <row r="136">
      <c r="A136" s="451" t="str">
        <f>'Recurrentes 24-26'!A138</f>
        <v>Repuestos Electromecánicos recurrentes</v>
      </c>
      <c r="B136" s="451">
        <f>'Recurrentes 24-26'!B138</f>
        <v>2</v>
      </c>
      <c r="C136" s="451" t="str">
        <f>'Recurrentes 24-26'!C138</f>
        <v>Vehículo</v>
      </c>
      <c r="D136" s="451" t="str">
        <f>'Recurrentes 24-26'!D138</f>
        <v>10% Suspensiones de Cabinas </v>
      </c>
      <c r="E136" s="451" t="str">
        <f>'Recurrentes 24-26'!E138</f>
        <v>Repuesto Mecánico</v>
      </c>
      <c r="F136" s="451" t="str">
        <f>'Recurrentes 24-26'!F138</f>
        <v>TDB</v>
      </c>
      <c r="G136" s="1061" t="str">
        <f>'Recurrentes 24-26'!G138</f>
        <v>39800</v>
      </c>
      <c r="H136" s="1061" t="str">
        <f>'Recurrentes 24-26'!H138</f>
        <v>2-01-00286</v>
      </c>
      <c r="I136" s="1061" t="str">
        <f>'Recurrentes 24-26'!I138</f>
        <v>10000079</v>
      </c>
      <c r="J136" s="1061" t="str">
        <f>'Recurrentes 24-26'!J138</f>
        <v>TUERCA HEXAG. DIN 985-8 M10 ELECTROGALV. (C.ELEM.DE FIJAC.)</v>
      </c>
      <c r="K136" s="451" t="str">
        <f>'Recurrentes 24-26'!K138</f>
        <v>Pza</v>
      </c>
      <c r="L136" s="451">
        <f>'Recurrentes 24-26'!L138</f>
        <v>0</v>
      </c>
      <c r="M136" s="451">
        <f>'Recurrentes 24-26'!M138</f>
        <v>0</v>
      </c>
      <c r="N136" s="451">
        <f>'Recurrentes 24-26'!N138</f>
        <v>0</v>
      </c>
      <c r="O136" s="451">
        <f>'Recurrentes 24-26'!O138</f>
        <v>0</v>
      </c>
      <c r="P136" s="451">
        <f>'Recurrentes 24-26'!P138</f>
        <v>0</v>
      </c>
      <c r="Q136" s="451">
        <f>'Recurrentes 24-26'!Q138</f>
        <v>0</v>
      </c>
      <c r="R136" s="451">
        <f>'Recurrentes 24-26'!R138</f>
        <v>0</v>
      </c>
      <c r="S136" s="451">
        <f>'Recurrentes 24-26'!S138</f>
        <v>0</v>
      </c>
      <c r="T136" s="451">
        <f>'Recurrentes 24-26'!T138</f>
        <v>0</v>
      </c>
      <c r="U136" s="451">
        <f>'Recurrentes 24-26'!U138</f>
        <v>0</v>
      </c>
      <c r="V136" s="451">
        <f>'Recurrentes 24-26'!V138</f>
        <v>0</v>
      </c>
      <c r="W136" s="1062">
        <f>'Recurrentes 24-26'!W138</f>
        <v>0</v>
      </c>
      <c r="X136" s="451">
        <f>'Recurrentes 24-26'!X138</f>
        <v>20</v>
      </c>
      <c r="Y136" s="451">
        <f>'Recurrentes 24-26'!Y138</f>
        <v>15</v>
      </c>
      <c r="Z136" s="451">
        <f>'Recurrentes 24-26'!Z138</f>
        <v>18</v>
      </c>
      <c r="AA136" s="451">
        <f>'Recurrentes 24-26'!AA138</f>
        <v>11</v>
      </c>
      <c r="AB136" s="451">
        <f>'Recurrentes 24-26'!AB138</f>
        <v>13</v>
      </c>
      <c r="AC136" s="451">
        <f>'Recurrentes 24-26'!AC138</f>
        <v>21</v>
      </c>
      <c r="AD136" s="451">
        <f>'Recurrentes 24-26'!AD138</f>
        <v>13</v>
      </c>
      <c r="AE136" s="451">
        <f>'Recurrentes 24-26'!AE138</f>
        <v>16</v>
      </c>
      <c r="AF136" s="451">
        <f>'Recurrentes 24-26'!AF138</f>
        <v>3</v>
      </c>
      <c r="AG136" s="451">
        <f>'Recurrentes 24-26'!AG138</f>
        <v>0</v>
      </c>
      <c r="AH136" s="451">
        <f>'Recurrentes 24-26'!AH138</f>
        <v>0</v>
      </c>
      <c r="AI136" s="1062">
        <f>'Recurrentes 24-26'!AI138</f>
        <v>130</v>
      </c>
      <c r="AJ136" s="451">
        <f>'Recurrentes 24-26'!AJ138</f>
        <v>20</v>
      </c>
      <c r="AK136" s="451">
        <f>'Recurrentes 24-26'!AK138</f>
        <v>15</v>
      </c>
      <c r="AL136" s="451">
        <f>'Recurrentes 24-26'!AL138</f>
        <v>18</v>
      </c>
      <c r="AM136" s="451">
        <f>'Recurrentes 24-26'!AM138</f>
        <v>11</v>
      </c>
      <c r="AN136" s="451">
        <f>'Recurrentes 24-26'!AN138</f>
        <v>13</v>
      </c>
      <c r="AO136" s="451">
        <f>'Recurrentes 24-26'!AO138</f>
        <v>21</v>
      </c>
      <c r="AP136" s="451">
        <f>'Recurrentes 24-26'!AP138</f>
        <v>13</v>
      </c>
      <c r="AQ136" s="451">
        <f>'Recurrentes 24-26'!AQ138</f>
        <v>16</v>
      </c>
      <c r="AR136" s="451">
        <f>'Recurrentes 24-26'!AR138</f>
        <v>3</v>
      </c>
      <c r="AS136" s="451">
        <f>'Recurrentes 24-26'!AS138</f>
        <v>0</v>
      </c>
      <c r="AT136" s="451">
        <f>'Recurrentes 24-26'!AT138</f>
        <v>0</v>
      </c>
      <c r="AU136" s="1062">
        <f>'Recurrentes 24-26'!AU138</f>
        <v>130</v>
      </c>
      <c r="AV136" s="1063">
        <f>'Recurrentes 24-26'!AV138</f>
        <v>260</v>
      </c>
      <c r="AW136" s="451" t="str">
        <f>'Recurrentes 24-26'!AW138</f>
        <v/>
      </c>
      <c r="AX136" s="1062">
        <f>'Recurrentes 24-26'!AX138</f>
        <v>0.23</v>
      </c>
      <c r="AY136" s="1062">
        <f>'Recurrentes 24-26'!AY138</f>
        <v>1.6008</v>
      </c>
      <c r="AZ136" s="1064" t="str">
        <f>'Recurrentes 24-26'!AZ138</f>
        <v/>
      </c>
      <c r="BA136" s="1064">
        <f>'Recurrentes 24-26'!BA138</f>
        <v>0</v>
      </c>
      <c r="BB136" s="1064">
        <f>'Recurrentes 24-26'!BB138</f>
        <v>0</v>
      </c>
      <c r="BC136" s="1064">
        <f>'Recurrentes 24-26'!BC138</f>
        <v>0</v>
      </c>
      <c r="BD136" s="1064">
        <f>'Recurrentes 24-26'!BD138</f>
        <v>0</v>
      </c>
      <c r="BE136" s="1064">
        <f>'Recurrentes 24-26'!BE138</f>
        <v>0</v>
      </c>
      <c r="BF136" s="1064">
        <f>'Recurrentes 24-26'!BF138</f>
        <v>0</v>
      </c>
      <c r="BG136" s="1064">
        <f>'Recurrentes 24-26'!BG138</f>
        <v>0</v>
      </c>
      <c r="BH136" s="1064">
        <f>'Recurrentes 24-26'!BH138</f>
        <v>0</v>
      </c>
      <c r="BI136" s="1064">
        <f>'Recurrentes 24-26'!BI138</f>
        <v>0</v>
      </c>
      <c r="BJ136" s="1064">
        <f>'Recurrentes 24-26'!BJ138</f>
        <v>0</v>
      </c>
      <c r="BK136" s="451"/>
      <c r="BL136" s="1062">
        <f>'Recurrentes 24-26'!BK138</f>
        <v>0</v>
      </c>
      <c r="BM136" s="1064">
        <f>'Recurrentes 24-26'!BL138</f>
        <v>32.016</v>
      </c>
      <c r="BN136" s="1064">
        <f>'Recurrentes 24-26'!BM138</f>
        <v>24.012</v>
      </c>
      <c r="BO136" s="1064">
        <f>'Recurrentes 24-26'!BN138</f>
        <v>28.8144</v>
      </c>
      <c r="BP136" s="1064">
        <f>'Recurrentes 24-26'!BO138</f>
        <v>17.6088</v>
      </c>
      <c r="BQ136" s="1064">
        <f>'Recurrentes 24-26'!BP138</f>
        <v>20.8104</v>
      </c>
      <c r="BR136" s="1064">
        <f>'Recurrentes 24-26'!BQ138</f>
        <v>33.6168</v>
      </c>
      <c r="BS136" s="1064">
        <f>'Recurrentes 24-26'!BR138</f>
        <v>20.8104</v>
      </c>
      <c r="BT136" s="1064">
        <f>'Recurrentes 24-26'!BS138</f>
        <v>25.6128</v>
      </c>
      <c r="BU136" s="1064">
        <f>'Recurrentes 24-26'!BT138</f>
        <v>4.8024</v>
      </c>
      <c r="BV136" s="1064">
        <f>'Recurrentes 24-26'!BU138</f>
        <v>0</v>
      </c>
      <c r="BW136" s="451"/>
      <c r="BX136" s="1062">
        <f>'Recurrentes 24-26'!BV138</f>
        <v>208.104</v>
      </c>
      <c r="BY136" s="1064">
        <f>'Recurrentes 24-26'!BW138</f>
        <v>32.016</v>
      </c>
      <c r="BZ136" s="1064">
        <f>'Recurrentes 24-26'!BX138</f>
        <v>24.012</v>
      </c>
      <c r="CA136" s="1064">
        <f>'Recurrentes 24-26'!BY138</f>
        <v>28.8144</v>
      </c>
      <c r="CB136" s="1064">
        <f>'Recurrentes 24-26'!BZ138</f>
        <v>17.6088</v>
      </c>
      <c r="CC136" s="1064">
        <f>'Recurrentes 24-26'!CA138</f>
        <v>20.8104</v>
      </c>
      <c r="CD136" s="1064">
        <f>'Recurrentes 24-26'!CB138</f>
        <v>33.6168</v>
      </c>
      <c r="CE136" s="1064">
        <f>'Recurrentes 24-26'!CC138</f>
        <v>20.8104</v>
      </c>
      <c r="CF136" s="1064">
        <f>'Recurrentes 24-26'!CD138</f>
        <v>25.6128</v>
      </c>
      <c r="CG136" s="1064">
        <f>'Recurrentes 24-26'!CE138</f>
        <v>4.8024</v>
      </c>
      <c r="CH136" s="1064">
        <f>'Recurrentes 24-26'!CF138</f>
        <v>0</v>
      </c>
      <c r="CI136" s="451"/>
      <c r="CJ136" s="1062">
        <f>'Recurrentes 24-26'!CG138</f>
        <v>208.104</v>
      </c>
      <c r="CK136" s="1062">
        <f>'Recurrentes 24-26'!CH138</f>
        <v>416.208</v>
      </c>
      <c r="CL136" s="451" t="str">
        <f>'Recurrentes 24-26'!CI138</f>
        <v/>
      </c>
      <c r="CM136" s="1064" t="str">
        <f>'Recurrentes 24-26'!CJ138</f>
        <v/>
      </c>
      <c r="CN136" s="451">
        <f>'Recurrentes 24-26'!CK138</f>
        <v>1</v>
      </c>
      <c r="CO136" s="1062">
        <f>'Recurrentes 24-26'!CL138</f>
        <v>0.23</v>
      </c>
      <c r="CP136" s="451" t="str">
        <f>'Recurrentes 24-26'!CM138</f>
        <v/>
      </c>
    </row>
    <row r="137">
      <c r="A137" s="451" t="str">
        <f>'Recurrentes 24-26'!A139</f>
        <v>Repuestos Electromecánicos recurrentes</v>
      </c>
      <c r="B137" s="451">
        <f>'Recurrentes 24-26'!B139</f>
        <v>2</v>
      </c>
      <c r="C137" s="451" t="str">
        <f>'Recurrentes 24-26'!C139</f>
        <v>Torres</v>
      </c>
      <c r="D137" s="451" t="str">
        <f>'Recurrentes 24-26'!D139</f>
        <v>Reacondicionamiento de Poleas Palpadoras</v>
      </c>
      <c r="E137" s="451" t="str">
        <f>'Recurrentes 24-26'!E139</f>
        <v>Repuesto Mecánico</v>
      </c>
      <c r="F137" s="451" t="str">
        <f>'Recurrentes 24-26'!F139</f>
        <v>TDB</v>
      </c>
      <c r="G137" s="1061" t="str">
        <f>'Recurrentes 24-26'!G139</f>
        <v>39800</v>
      </c>
      <c r="H137" s="1061" t="str">
        <f>'Recurrentes 24-26'!H139</f>
        <v>2-01-00835</v>
      </c>
      <c r="I137" s="1061" t="str">
        <f>'Recurrentes 24-26'!I139</f>
        <v>10006287</v>
      </c>
      <c r="J137" s="1061" t="str">
        <f>'Recurrentes 24-26'!J139</f>
        <v>RES.C. A=1,00/DIA.7,0/LSC=20,0 EE=  7,5; RES.DE COMPR.DIN2095</v>
      </c>
      <c r="K137" s="451" t="str">
        <f>'Recurrentes 24-26'!K139</f>
        <v>Pza</v>
      </c>
      <c r="L137" s="451">
        <f>'Recurrentes 24-26'!L139</f>
        <v>8</v>
      </c>
      <c r="M137" s="451">
        <f>'Recurrentes 24-26'!M139</f>
        <v>3</v>
      </c>
      <c r="N137" s="451">
        <f>'Recurrentes 24-26'!N139</f>
        <v>8</v>
      </c>
      <c r="O137" s="451">
        <f>'Recurrentes 24-26'!O139</f>
        <v>15</v>
      </c>
      <c r="P137" s="451">
        <f>'Recurrentes 24-26'!P139</f>
        <v>15</v>
      </c>
      <c r="Q137" s="451">
        <f>'Recurrentes 24-26'!Q139</f>
        <v>15</v>
      </c>
      <c r="R137" s="451">
        <f>'Recurrentes 24-26'!R139</f>
        <v>0</v>
      </c>
      <c r="S137" s="451">
        <f>'Recurrentes 24-26'!S139</f>
        <v>0</v>
      </c>
      <c r="T137" s="451">
        <f>'Recurrentes 24-26'!T139</f>
        <v>0</v>
      </c>
      <c r="U137" s="451">
        <f>'Recurrentes 24-26'!U139</f>
        <v>8</v>
      </c>
      <c r="V137" s="451">
        <f>'Recurrentes 24-26'!V139</f>
        <v>0</v>
      </c>
      <c r="W137" s="1062">
        <f>'Recurrentes 24-26'!W139</f>
        <v>72</v>
      </c>
      <c r="X137" s="451">
        <f>'Recurrentes 24-26'!X139</f>
        <v>8</v>
      </c>
      <c r="Y137" s="451">
        <f>'Recurrentes 24-26'!Y139</f>
        <v>3</v>
      </c>
      <c r="Z137" s="451">
        <f>'Recurrentes 24-26'!Z139</f>
        <v>8</v>
      </c>
      <c r="AA137" s="451">
        <f>'Recurrentes 24-26'!AA139</f>
        <v>15</v>
      </c>
      <c r="AB137" s="451">
        <f>'Recurrentes 24-26'!AB139</f>
        <v>15</v>
      </c>
      <c r="AC137" s="451">
        <f>'Recurrentes 24-26'!AC139</f>
        <v>15</v>
      </c>
      <c r="AD137" s="451">
        <f>'Recurrentes 24-26'!AD139</f>
        <v>0</v>
      </c>
      <c r="AE137" s="451">
        <f>'Recurrentes 24-26'!AE139</f>
        <v>0</v>
      </c>
      <c r="AF137" s="451">
        <f>'Recurrentes 24-26'!AF139</f>
        <v>0</v>
      </c>
      <c r="AG137" s="451">
        <f>'Recurrentes 24-26'!AG139</f>
        <v>8</v>
      </c>
      <c r="AH137" s="451">
        <f>'Recurrentes 24-26'!AH139</f>
        <v>0</v>
      </c>
      <c r="AI137" s="1062">
        <f>'Recurrentes 24-26'!AI139</f>
        <v>72</v>
      </c>
      <c r="AJ137" s="451">
        <f>'Recurrentes 24-26'!AJ139</f>
        <v>8</v>
      </c>
      <c r="AK137" s="451">
        <f>'Recurrentes 24-26'!AK139</f>
        <v>3</v>
      </c>
      <c r="AL137" s="451">
        <f>'Recurrentes 24-26'!AL139</f>
        <v>8</v>
      </c>
      <c r="AM137" s="451">
        <f>'Recurrentes 24-26'!AM139</f>
        <v>15</v>
      </c>
      <c r="AN137" s="451">
        <f>'Recurrentes 24-26'!AN139</f>
        <v>15</v>
      </c>
      <c r="AO137" s="451">
        <f>'Recurrentes 24-26'!AO139</f>
        <v>15</v>
      </c>
      <c r="AP137" s="451">
        <f>'Recurrentes 24-26'!AP139</f>
        <v>0</v>
      </c>
      <c r="AQ137" s="451">
        <f>'Recurrentes 24-26'!AQ139</f>
        <v>0</v>
      </c>
      <c r="AR137" s="451">
        <f>'Recurrentes 24-26'!AR139</f>
        <v>0</v>
      </c>
      <c r="AS137" s="451">
        <f>'Recurrentes 24-26'!AS139</f>
        <v>8</v>
      </c>
      <c r="AT137" s="451">
        <f>'Recurrentes 24-26'!AT139</f>
        <v>0</v>
      </c>
      <c r="AU137" s="1062">
        <f>'Recurrentes 24-26'!AU139</f>
        <v>72</v>
      </c>
      <c r="AV137" s="1063">
        <f>'Recurrentes 24-26'!AV139</f>
        <v>216</v>
      </c>
      <c r="AW137" s="451" t="str">
        <f>'Recurrentes 24-26'!AW139</f>
        <v/>
      </c>
      <c r="AX137" s="1062">
        <f>'Recurrentes 24-26'!AX139</f>
        <v>0.27</v>
      </c>
      <c r="AY137" s="1062">
        <f>'Recurrentes 24-26'!AY139</f>
        <v>1.8792</v>
      </c>
      <c r="AZ137" s="1064" t="str">
        <f>'Recurrentes 24-26'!AZ139</f>
        <v/>
      </c>
      <c r="BA137" s="1064">
        <f>'Recurrentes 24-26'!BA139</f>
        <v>15.0336</v>
      </c>
      <c r="BB137" s="1064">
        <f>'Recurrentes 24-26'!BB139</f>
        <v>5.6376</v>
      </c>
      <c r="BC137" s="1064">
        <f>'Recurrentes 24-26'!BC139</f>
        <v>15.0336</v>
      </c>
      <c r="BD137" s="1064">
        <f>'Recurrentes 24-26'!BD139</f>
        <v>28.188</v>
      </c>
      <c r="BE137" s="1064">
        <f>'Recurrentes 24-26'!BE139</f>
        <v>28.188</v>
      </c>
      <c r="BF137" s="1064">
        <f>'Recurrentes 24-26'!BF139</f>
        <v>28.188</v>
      </c>
      <c r="BG137" s="1064">
        <f>'Recurrentes 24-26'!BG139</f>
        <v>0</v>
      </c>
      <c r="BH137" s="1064">
        <f>'Recurrentes 24-26'!BH139</f>
        <v>0</v>
      </c>
      <c r="BI137" s="1064">
        <f>'Recurrentes 24-26'!BI139</f>
        <v>0</v>
      </c>
      <c r="BJ137" s="1064">
        <f>'Recurrentes 24-26'!BJ139</f>
        <v>15.0336</v>
      </c>
      <c r="BK137" s="451"/>
      <c r="BL137" s="1062">
        <f>'Recurrentes 24-26'!BK139</f>
        <v>135.3024</v>
      </c>
      <c r="BM137" s="1064">
        <f>'Recurrentes 24-26'!BL139</f>
        <v>15.0336</v>
      </c>
      <c r="BN137" s="1064">
        <f>'Recurrentes 24-26'!BM139</f>
        <v>5.6376</v>
      </c>
      <c r="BO137" s="1064">
        <f>'Recurrentes 24-26'!BN139</f>
        <v>15.0336</v>
      </c>
      <c r="BP137" s="1064">
        <f>'Recurrentes 24-26'!BO139</f>
        <v>28.188</v>
      </c>
      <c r="BQ137" s="1064">
        <f>'Recurrentes 24-26'!BP139</f>
        <v>28.188</v>
      </c>
      <c r="BR137" s="1064">
        <f>'Recurrentes 24-26'!BQ139</f>
        <v>28.188</v>
      </c>
      <c r="BS137" s="1064">
        <f>'Recurrentes 24-26'!BR139</f>
        <v>0</v>
      </c>
      <c r="BT137" s="1064">
        <f>'Recurrentes 24-26'!BS139</f>
        <v>0</v>
      </c>
      <c r="BU137" s="1064">
        <f>'Recurrentes 24-26'!BT139</f>
        <v>0</v>
      </c>
      <c r="BV137" s="1064">
        <f>'Recurrentes 24-26'!BU139</f>
        <v>15.0336</v>
      </c>
      <c r="BW137" s="451"/>
      <c r="BX137" s="1062">
        <f>'Recurrentes 24-26'!BV139</f>
        <v>135.3024</v>
      </c>
      <c r="BY137" s="1064">
        <f>'Recurrentes 24-26'!BW139</f>
        <v>15.0336</v>
      </c>
      <c r="BZ137" s="1064">
        <f>'Recurrentes 24-26'!BX139</f>
        <v>5.6376</v>
      </c>
      <c r="CA137" s="1064">
        <f>'Recurrentes 24-26'!BY139</f>
        <v>15.0336</v>
      </c>
      <c r="CB137" s="1064">
        <f>'Recurrentes 24-26'!BZ139</f>
        <v>28.188</v>
      </c>
      <c r="CC137" s="1064">
        <f>'Recurrentes 24-26'!CA139</f>
        <v>28.188</v>
      </c>
      <c r="CD137" s="1064">
        <f>'Recurrentes 24-26'!CB139</f>
        <v>28.188</v>
      </c>
      <c r="CE137" s="1064">
        <f>'Recurrentes 24-26'!CC139</f>
        <v>0</v>
      </c>
      <c r="CF137" s="1064">
        <f>'Recurrentes 24-26'!CD139</f>
        <v>0</v>
      </c>
      <c r="CG137" s="1064">
        <f>'Recurrentes 24-26'!CE139</f>
        <v>0</v>
      </c>
      <c r="CH137" s="1064">
        <f>'Recurrentes 24-26'!CF139</f>
        <v>15.0336</v>
      </c>
      <c r="CI137" s="451"/>
      <c r="CJ137" s="1062">
        <f>'Recurrentes 24-26'!CG139</f>
        <v>135.3024</v>
      </c>
      <c r="CK137" s="1062">
        <f>'Recurrentes 24-26'!CH139</f>
        <v>405.9072</v>
      </c>
      <c r="CL137" s="451" t="str">
        <f>'Recurrentes 24-26'!CI139</f>
        <v/>
      </c>
      <c r="CM137" s="1064" t="str">
        <f>'Recurrentes 24-26'!CJ139</f>
        <v/>
      </c>
      <c r="CN137" s="451">
        <f>'Recurrentes 24-26'!CK139</f>
        <v>1</v>
      </c>
      <c r="CO137" s="1062">
        <f>'Recurrentes 24-26'!CL139</f>
        <v>0.27</v>
      </c>
      <c r="CP137" s="451" t="str">
        <f>'Recurrentes 24-26'!CM139</f>
        <v/>
      </c>
    </row>
    <row r="138">
      <c r="A138" s="451" t="str">
        <f>'Recurrentes 24-26'!A140</f>
        <v>Repuestos Electromecánicos recurrentes</v>
      </c>
      <c r="B138" s="451">
        <f>'Recurrentes 24-26'!B140</f>
        <v>2</v>
      </c>
      <c r="C138" s="451" t="str">
        <f>'Recurrentes 24-26'!C140</f>
        <v>Torres</v>
      </c>
      <c r="D138" s="451" t="str">
        <f>'Recurrentes 24-26'!D140</f>
        <v>Reacondicionamiento de Poleas Palpadoras</v>
      </c>
      <c r="E138" s="451" t="str">
        <f>'Recurrentes 24-26'!E140</f>
        <v>Repuesto Mecánico</v>
      </c>
      <c r="F138" s="451" t="str">
        <f>'Recurrentes 24-26'!F140</f>
        <v>TDB</v>
      </c>
      <c r="G138" s="1061" t="str">
        <f>'Recurrentes 24-26'!G140</f>
        <v>39800</v>
      </c>
      <c r="H138" s="1061" t="str">
        <f>'Recurrentes 24-26'!H140</f>
        <v>2-01-00840</v>
      </c>
      <c r="I138" s="1061" t="str">
        <f>'Recurrentes 24-26'!I140</f>
        <v>10873673</v>
      </c>
      <c r="J138" s="1061" t="str">
        <f>'Recurrentes 24-26'!J140</f>
        <v>ARANDELA ISO 7089 M20 300HV, FLZNNC-720H-L, REV.L.ZINC SIN CH</v>
      </c>
      <c r="K138" s="451" t="str">
        <f>'Recurrentes 24-26'!K140</f>
        <v>Pza</v>
      </c>
      <c r="L138" s="451">
        <f>'Recurrentes 24-26'!L140</f>
        <v>2</v>
      </c>
      <c r="M138" s="451">
        <f>'Recurrentes 24-26'!M140</f>
        <v>1</v>
      </c>
      <c r="N138" s="451">
        <f>'Recurrentes 24-26'!N140</f>
        <v>2</v>
      </c>
      <c r="O138" s="451">
        <f>'Recurrentes 24-26'!O140</f>
        <v>0</v>
      </c>
      <c r="P138" s="451">
        <f>'Recurrentes 24-26'!P140</f>
        <v>0</v>
      </c>
      <c r="Q138" s="451">
        <f>'Recurrentes 24-26'!Q140</f>
        <v>0</v>
      </c>
      <c r="R138" s="451">
        <f>'Recurrentes 24-26'!R140</f>
        <v>2</v>
      </c>
      <c r="S138" s="451">
        <f>'Recurrentes 24-26'!S140</f>
        <v>2</v>
      </c>
      <c r="T138" s="451">
        <f>'Recurrentes 24-26'!T140</f>
        <v>1</v>
      </c>
      <c r="U138" s="451">
        <f>'Recurrentes 24-26'!U140</f>
        <v>2</v>
      </c>
      <c r="V138" s="451">
        <f>'Recurrentes 24-26'!V140</f>
        <v>0</v>
      </c>
      <c r="W138" s="1062">
        <f>'Recurrentes 24-26'!W140</f>
        <v>12</v>
      </c>
      <c r="X138" s="451">
        <f>'Recurrentes 24-26'!X140</f>
        <v>2</v>
      </c>
      <c r="Y138" s="451">
        <f>'Recurrentes 24-26'!Y140</f>
        <v>1</v>
      </c>
      <c r="Z138" s="451">
        <f>'Recurrentes 24-26'!Z140</f>
        <v>2</v>
      </c>
      <c r="AA138" s="451">
        <f>'Recurrentes 24-26'!AA140</f>
        <v>0</v>
      </c>
      <c r="AB138" s="451">
        <f>'Recurrentes 24-26'!AB140</f>
        <v>0</v>
      </c>
      <c r="AC138" s="451">
        <f>'Recurrentes 24-26'!AC140</f>
        <v>0</v>
      </c>
      <c r="AD138" s="451">
        <f>'Recurrentes 24-26'!AD140</f>
        <v>2</v>
      </c>
      <c r="AE138" s="451">
        <f>'Recurrentes 24-26'!AE140</f>
        <v>2</v>
      </c>
      <c r="AF138" s="451">
        <f>'Recurrentes 24-26'!AF140</f>
        <v>1</v>
      </c>
      <c r="AG138" s="451">
        <f>'Recurrentes 24-26'!AG140</f>
        <v>2</v>
      </c>
      <c r="AH138" s="451">
        <f>'Recurrentes 24-26'!AH140</f>
        <v>0</v>
      </c>
      <c r="AI138" s="1062">
        <f>'Recurrentes 24-26'!AI140</f>
        <v>12</v>
      </c>
      <c r="AJ138" s="451">
        <f>'Recurrentes 24-26'!AJ140</f>
        <v>2</v>
      </c>
      <c r="AK138" s="451">
        <f>'Recurrentes 24-26'!AK140</f>
        <v>1</v>
      </c>
      <c r="AL138" s="451">
        <f>'Recurrentes 24-26'!AL140</f>
        <v>2</v>
      </c>
      <c r="AM138" s="451">
        <f>'Recurrentes 24-26'!AM140</f>
        <v>0</v>
      </c>
      <c r="AN138" s="451">
        <f>'Recurrentes 24-26'!AN140</f>
        <v>0</v>
      </c>
      <c r="AO138" s="451">
        <f>'Recurrentes 24-26'!AO140</f>
        <v>0</v>
      </c>
      <c r="AP138" s="451">
        <f>'Recurrentes 24-26'!AP140</f>
        <v>2</v>
      </c>
      <c r="AQ138" s="451">
        <f>'Recurrentes 24-26'!AQ140</f>
        <v>2</v>
      </c>
      <c r="AR138" s="451">
        <f>'Recurrentes 24-26'!AR140</f>
        <v>1</v>
      </c>
      <c r="AS138" s="451">
        <f>'Recurrentes 24-26'!AS140</f>
        <v>2</v>
      </c>
      <c r="AT138" s="451">
        <f>'Recurrentes 24-26'!AT140</f>
        <v>0</v>
      </c>
      <c r="AU138" s="1062">
        <f>'Recurrentes 24-26'!AU140</f>
        <v>12</v>
      </c>
      <c r="AV138" s="1063">
        <f>'Recurrentes 24-26'!AV140</f>
        <v>36</v>
      </c>
      <c r="AW138" s="451" t="str">
        <f>'Recurrentes 24-26'!AW140</f>
        <v/>
      </c>
      <c r="AX138" s="1062">
        <f>'Recurrentes 24-26'!AX140</f>
        <v>0.65</v>
      </c>
      <c r="AY138" s="1062">
        <f>'Recurrentes 24-26'!AY140</f>
        <v>4.524</v>
      </c>
      <c r="AZ138" s="1064" t="str">
        <f>'Recurrentes 24-26'!AZ140</f>
        <v/>
      </c>
      <c r="BA138" s="1064">
        <f>'Recurrentes 24-26'!BA140</f>
        <v>9.048</v>
      </c>
      <c r="BB138" s="1064">
        <f>'Recurrentes 24-26'!BB140</f>
        <v>4.524</v>
      </c>
      <c r="BC138" s="1064">
        <f>'Recurrentes 24-26'!BC140</f>
        <v>9.048</v>
      </c>
      <c r="BD138" s="1064">
        <f>'Recurrentes 24-26'!BD140</f>
        <v>0</v>
      </c>
      <c r="BE138" s="1064">
        <f>'Recurrentes 24-26'!BE140</f>
        <v>0</v>
      </c>
      <c r="BF138" s="1064">
        <f>'Recurrentes 24-26'!BF140</f>
        <v>0</v>
      </c>
      <c r="BG138" s="1064">
        <f>'Recurrentes 24-26'!BG140</f>
        <v>9.048</v>
      </c>
      <c r="BH138" s="1064">
        <f>'Recurrentes 24-26'!BH140</f>
        <v>9.048</v>
      </c>
      <c r="BI138" s="1064">
        <f>'Recurrentes 24-26'!BI140</f>
        <v>4.524</v>
      </c>
      <c r="BJ138" s="1064">
        <f>'Recurrentes 24-26'!BJ140</f>
        <v>9.048</v>
      </c>
      <c r="BK138" s="451"/>
      <c r="BL138" s="1062">
        <f>'Recurrentes 24-26'!BK140</f>
        <v>54.288</v>
      </c>
      <c r="BM138" s="1064">
        <f>'Recurrentes 24-26'!BL140</f>
        <v>9.048</v>
      </c>
      <c r="BN138" s="1064">
        <f>'Recurrentes 24-26'!BM140</f>
        <v>4.524</v>
      </c>
      <c r="BO138" s="1064">
        <f>'Recurrentes 24-26'!BN140</f>
        <v>9.048</v>
      </c>
      <c r="BP138" s="1064">
        <f>'Recurrentes 24-26'!BO140</f>
        <v>0</v>
      </c>
      <c r="BQ138" s="1064">
        <f>'Recurrentes 24-26'!BP140</f>
        <v>0</v>
      </c>
      <c r="BR138" s="1064">
        <f>'Recurrentes 24-26'!BQ140</f>
        <v>0</v>
      </c>
      <c r="BS138" s="1064">
        <f>'Recurrentes 24-26'!BR140</f>
        <v>9.048</v>
      </c>
      <c r="BT138" s="1064">
        <f>'Recurrentes 24-26'!BS140</f>
        <v>9.048</v>
      </c>
      <c r="BU138" s="1064">
        <f>'Recurrentes 24-26'!BT140</f>
        <v>4.524</v>
      </c>
      <c r="BV138" s="1064">
        <f>'Recurrentes 24-26'!BU140</f>
        <v>9.048</v>
      </c>
      <c r="BW138" s="451"/>
      <c r="BX138" s="1062">
        <f>'Recurrentes 24-26'!BV140</f>
        <v>54.288</v>
      </c>
      <c r="BY138" s="1064">
        <f>'Recurrentes 24-26'!BW140</f>
        <v>9.048</v>
      </c>
      <c r="BZ138" s="1064">
        <f>'Recurrentes 24-26'!BX140</f>
        <v>4.524</v>
      </c>
      <c r="CA138" s="1064">
        <f>'Recurrentes 24-26'!BY140</f>
        <v>9.048</v>
      </c>
      <c r="CB138" s="1064">
        <f>'Recurrentes 24-26'!BZ140</f>
        <v>0</v>
      </c>
      <c r="CC138" s="1064">
        <f>'Recurrentes 24-26'!CA140</f>
        <v>0</v>
      </c>
      <c r="CD138" s="1064">
        <f>'Recurrentes 24-26'!CB140</f>
        <v>0</v>
      </c>
      <c r="CE138" s="1064">
        <f>'Recurrentes 24-26'!CC140</f>
        <v>9.048</v>
      </c>
      <c r="CF138" s="1064">
        <f>'Recurrentes 24-26'!CD140</f>
        <v>9.048</v>
      </c>
      <c r="CG138" s="1064">
        <f>'Recurrentes 24-26'!CE140</f>
        <v>4.524</v>
      </c>
      <c r="CH138" s="1064">
        <f>'Recurrentes 24-26'!CF140</f>
        <v>9.048</v>
      </c>
      <c r="CI138" s="451"/>
      <c r="CJ138" s="1062">
        <f>'Recurrentes 24-26'!CG140</f>
        <v>54.288</v>
      </c>
      <c r="CK138" s="1062">
        <f>'Recurrentes 24-26'!CH140</f>
        <v>162.864</v>
      </c>
      <c r="CL138" s="451" t="str">
        <f>'Recurrentes 24-26'!CI140</f>
        <v/>
      </c>
      <c r="CM138" s="1064" t="str">
        <f>'Recurrentes 24-26'!CJ140</f>
        <v/>
      </c>
      <c r="CN138" s="451">
        <f>'Recurrentes 24-26'!CK140</f>
        <v>1</v>
      </c>
      <c r="CO138" s="1062">
        <f>'Recurrentes 24-26'!CL140</f>
        <v>0.65</v>
      </c>
      <c r="CP138" s="451" t="str">
        <f>'Recurrentes 24-26'!CM140</f>
        <v/>
      </c>
    </row>
    <row r="139">
      <c r="A139" s="451" t="str">
        <f>'Recurrentes 24-26'!A141</f>
        <v/>
      </c>
      <c r="B139" s="451" t="str">
        <f>'Recurrentes 24-26'!B141</f>
        <v/>
      </c>
      <c r="C139" s="451" t="str">
        <f>'Recurrentes 24-26'!C141</f>
        <v/>
      </c>
      <c r="D139" s="451" t="str">
        <f>'Recurrentes 24-26'!D141</f>
        <v/>
      </c>
      <c r="E139" s="451" t="str">
        <f>'Recurrentes 24-26'!E141</f>
        <v/>
      </c>
      <c r="F139" s="451" t="str">
        <f>'Recurrentes 24-26'!F141</f>
        <v/>
      </c>
      <c r="G139" s="1061" t="str">
        <f>'Recurrentes 24-26'!G141</f>
        <v/>
      </c>
      <c r="H139" s="1061" t="str">
        <f>'Recurrentes 24-26'!H141</f>
        <v/>
      </c>
      <c r="I139" s="1061" t="str">
        <f>'Recurrentes 24-26'!I141</f>
        <v/>
      </c>
      <c r="J139" s="1061" t="str">
        <f>'Recurrentes 24-26'!J141</f>
        <v/>
      </c>
      <c r="K139" s="451" t="str">
        <f>'Recurrentes 24-26'!K141</f>
        <v/>
      </c>
      <c r="L139" s="451" t="str">
        <f>'Recurrentes 24-26'!L141</f>
        <v/>
      </c>
      <c r="M139" s="451" t="str">
        <f>'Recurrentes 24-26'!M141</f>
        <v/>
      </c>
      <c r="N139" s="451" t="str">
        <f>'Recurrentes 24-26'!N141</f>
        <v/>
      </c>
      <c r="O139" s="451" t="str">
        <f>'Recurrentes 24-26'!O141</f>
        <v/>
      </c>
      <c r="P139" s="451" t="str">
        <f>'Recurrentes 24-26'!P141</f>
        <v/>
      </c>
      <c r="Q139" s="451" t="str">
        <f>'Recurrentes 24-26'!Q141</f>
        <v/>
      </c>
      <c r="R139" s="451" t="str">
        <f>'Recurrentes 24-26'!R141</f>
        <v/>
      </c>
      <c r="S139" s="451" t="str">
        <f>'Recurrentes 24-26'!S141</f>
        <v/>
      </c>
      <c r="T139" s="451" t="str">
        <f>'Recurrentes 24-26'!T141</f>
        <v/>
      </c>
      <c r="U139" s="451" t="str">
        <f>'Recurrentes 24-26'!U141</f>
        <v/>
      </c>
      <c r="V139" s="451" t="str">
        <f>'Recurrentes 24-26'!V141</f>
        <v/>
      </c>
      <c r="W139" s="1062" t="str">
        <f>'Recurrentes 24-26'!W141</f>
        <v/>
      </c>
      <c r="X139" s="451" t="str">
        <f>'Recurrentes 24-26'!X141</f>
        <v/>
      </c>
      <c r="Y139" s="451" t="str">
        <f>'Recurrentes 24-26'!Y141</f>
        <v/>
      </c>
      <c r="Z139" s="451" t="str">
        <f>'Recurrentes 24-26'!Z141</f>
        <v/>
      </c>
      <c r="AA139" s="451" t="str">
        <f>'Recurrentes 24-26'!AA141</f>
        <v/>
      </c>
      <c r="AB139" s="451" t="str">
        <f>'Recurrentes 24-26'!AB141</f>
        <v/>
      </c>
      <c r="AC139" s="451" t="str">
        <f>'Recurrentes 24-26'!AC141</f>
        <v/>
      </c>
      <c r="AD139" s="451" t="str">
        <f>'Recurrentes 24-26'!AD141</f>
        <v/>
      </c>
      <c r="AE139" s="451" t="str">
        <f>'Recurrentes 24-26'!AE141</f>
        <v/>
      </c>
      <c r="AF139" s="451" t="str">
        <f>'Recurrentes 24-26'!AF141</f>
        <v/>
      </c>
      <c r="AG139" s="451" t="str">
        <f>'Recurrentes 24-26'!AG141</f>
        <v/>
      </c>
      <c r="AH139" s="451" t="str">
        <f>'Recurrentes 24-26'!AH141</f>
        <v/>
      </c>
      <c r="AI139" s="1062" t="str">
        <f>'Recurrentes 24-26'!AI141</f>
        <v/>
      </c>
      <c r="AJ139" s="451" t="str">
        <f>'Recurrentes 24-26'!AJ141</f>
        <v/>
      </c>
      <c r="AK139" s="451" t="str">
        <f>'Recurrentes 24-26'!AK141</f>
        <v/>
      </c>
      <c r="AL139" s="451" t="str">
        <f>'Recurrentes 24-26'!AL141</f>
        <v/>
      </c>
      <c r="AM139" s="451" t="str">
        <f>'Recurrentes 24-26'!AM141</f>
        <v/>
      </c>
      <c r="AN139" s="451" t="str">
        <f>'Recurrentes 24-26'!AN141</f>
        <v/>
      </c>
      <c r="AO139" s="451" t="str">
        <f>'Recurrentes 24-26'!AO141</f>
        <v/>
      </c>
      <c r="AP139" s="451" t="str">
        <f>'Recurrentes 24-26'!AP141</f>
        <v/>
      </c>
      <c r="AQ139" s="451" t="str">
        <f>'Recurrentes 24-26'!AQ141</f>
        <v/>
      </c>
      <c r="AR139" s="451" t="str">
        <f>'Recurrentes 24-26'!AR141</f>
        <v/>
      </c>
      <c r="AS139" s="451" t="str">
        <f>'Recurrentes 24-26'!AS141</f>
        <v/>
      </c>
      <c r="AT139" s="451" t="str">
        <f>'Recurrentes 24-26'!AT141</f>
        <v/>
      </c>
      <c r="AU139" s="1062" t="str">
        <f>'Recurrentes 24-26'!AU141</f>
        <v/>
      </c>
      <c r="AV139" s="1063" t="str">
        <f>'Recurrentes 24-26'!AV141</f>
        <v/>
      </c>
      <c r="AW139" s="451" t="str">
        <f>'Recurrentes 24-26'!AW141</f>
        <v/>
      </c>
      <c r="AX139" s="1062" t="str">
        <f>'Recurrentes 24-26'!AX141</f>
        <v/>
      </c>
      <c r="AY139" s="1062" t="str">
        <f>'Recurrentes 24-26'!AY141</f>
        <v/>
      </c>
      <c r="AZ139" s="1064" t="str">
        <f>'Recurrentes 24-26'!AZ141</f>
        <v/>
      </c>
      <c r="BA139" s="1064" t="str">
        <f>'Recurrentes 24-26'!BA141</f>
        <v/>
      </c>
      <c r="BB139" s="1064" t="str">
        <f>'Recurrentes 24-26'!BB141</f>
        <v/>
      </c>
      <c r="BC139" s="1064" t="str">
        <f>'Recurrentes 24-26'!BC141</f>
        <v/>
      </c>
      <c r="BD139" s="1064" t="str">
        <f>'Recurrentes 24-26'!BD141</f>
        <v/>
      </c>
      <c r="BE139" s="1064" t="str">
        <f>'Recurrentes 24-26'!BE141</f>
        <v/>
      </c>
      <c r="BF139" s="1064" t="str">
        <f>'Recurrentes 24-26'!BF141</f>
        <v/>
      </c>
      <c r="BG139" s="1064" t="str">
        <f>'Recurrentes 24-26'!BG141</f>
        <v/>
      </c>
      <c r="BH139" s="1064" t="str">
        <f>'Recurrentes 24-26'!BH141</f>
        <v/>
      </c>
      <c r="BI139" s="1064" t="str">
        <f>'Recurrentes 24-26'!BI141</f>
        <v/>
      </c>
      <c r="BJ139" s="1064" t="str">
        <f>'Recurrentes 24-26'!BJ141</f>
        <v/>
      </c>
      <c r="BK139" s="451"/>
      <c r="BL139" s="1062" t="str">
        <f>'Recurrentes 24-26'!BK141</f>
        <v/>
      </c>
      <c r="BM139" s="1064" t="str">
        <f>'Recurrentes 24-26'!BL141</f>
        <v/>
      </c>
      <c r="BN139" s="1064" t="str">
        <f>'Recurrentes 24-26'!BM141</f>
        <v/>
      </c>
      <c r="BO139" s="1064" t="str">
        <f>'Recurrentes 24-26'!BN141</f>
        <v/>
      </c>
      <c r="BP139" s="1064" t="str">
        <f>'Recurrentes 24-26'!BO141</f>
        <v/>
      </c>
      <c r="BQ139" s="1064" t="str">
        <f>'Recurrentes 24-26'!BP141</f>
        <v/>
      </c>
      <c r="BR139" s="1064" t="str">
        <f>'Recurrentes 24-26'!BQ141</f>
        <v/>
      </c>
      <c r="BS139" s="1064" t="str">
        <f>'Recurrentes 24-26'!BR141</f>
        <v/>
      </c>
      <c r="BT139" s="1064" t="str">
        <f>'Recurrentes 24-26'!BS141</f>
        <v/>
      </c>
      <c r="BU139" s="1064" t="str">
        <f>'Recurrentes 24-26'!BT141</f>
        <v/>
      </c>
      <c r="BV139" s="1064" t="str">
        <f>'Recurrentes 24-26'!BU141</f>
        <v/>
      </c>
      <c r="BW139" s="451"/>
      <c r="BX139" s="1062" t="str">
        <f>'Recurrentes 24-26'!BV141</f>
        <v/>
      </c>
      <c r="BY139" s="1064" t="str">
        <f>'Recurrentes 24-26'!BW141</f>
        <v/>
      </c>
      <c r="BZ139" s="1064" t="str">
        <f>'Recurrentes 24-26'!BX141</f>
        <v/>
      </c>
      <c r="CA139" s="1064" t="str">
        <f>'Recurrentes 24-26'!BY141</f>
        <v/>
      </c>
      <c r="CB139" s="1064" t="str">
        <f>'Recurrentes 24-26'!BZ141</f>
        <v/>
      </c>
      <c r="CC139" s="1064" t="str">
        <f>'Recurrentes 24-26'!CA141</f>
        <v/>
      </c>
      <c r="CD139" s="1064" t="str">
        <f>'Recurrentes 24-26'!CB141</f>
        <v/>
      </c>
      <c r="CE139" s="1064" t="str">
        <f>'Recurrentes 24-26'!CC141</f>
        <v/>
      </c>
      <c r="CF139" s="1064" t="str">
        <f>'Recurrentes 24-26'!CD141</f>
        <v/>
      </c>
      <c r="CG139" s="1064" t="str">
        <f>'Recurrentes 24-26'!CE141</f>
        <v/>
      </c>
      <c r="CH139" s="1064" t="str">
        <f>'Recurrentes 24-26'!CF141</f>
        <v/>
      </c>
      <c r="CI139" s="451"/>
      <c r="CJ139" s="1062" t="str">
        <f>'Recurrentes 24-26'!CG141</f>
        <v/>
      </c>
      <c r="CK139" s="1062" t="str">
        <f>'Recurrentes 24-26'!CH141</f>
        <v/>
      </c>
      <c r="CL139" s="451" t="str">
        <f>'Recurrentes 24-26'!CI141</f>
        <v/>
      </c>
      <c r="CM139" s="1064" t="str">
        <f>'Recurrentes 24-26'!CJ141</f>
        <v/>
      </c>
      <c r="CN139" s="451" t="str">
        <f>'Recurrentes 24-26'!CK141</f>
        <v/>
      </c>
      <c r="CO139" s="451" t="str">
        <f>'Recurrentes 24-26'!CL141</f>
        <v/>
      </c>
      <c r="CP139" s="451" t="str">
        <f>'Recurrentes 24-26'!CM141</f>
        <v/>
      </c>
    </row>
    <row r="140">
      <c r="A140" s="451" t="str">
        <f>'Recurrentes 24-26'!A142</f>
        <v>Repuestos Electromecánicos recurrentes</v>
      </c>
      <c r="B140" s="451" t="str">
        <f>'Recurrentes 24-26'!B142</f>
        <v/>
      </c>
      <c r="C140" s="451" t="str">
        <f>'Recurrentes 24-26'!C142</f>
        <v>Torres</v>
      </c>
      <c r="D140" s="451" t="str">
        <f>'Recurrentes 24-26'!D142</f>
        <v>Sistema RPD</v>
      </c>
      <c r="E140" s="451" t="str">
        <f>'Recurrentes 24-26'!E142</f>
        <v>Repuesto Eléctrico</v>
      </c>
      <c r="F140" s="451" t="str">
        <f>'Recurrentes 24-26'!F142</f>
        <v>TDB</v>
      </c>
      <c r="G140" s="1061" t="str">
        <f>'Recurrentes 24-26'!G142</f>
        <v>39700</v>
      </c>
      <c r="H140" s="1061" t="str">
        <f>'Recurrentes 24-26'!H142</f>
        <v>2-02-00672</v>
      </c>
      <c r="I140" s="1061">
        <f>'Recurrentes 24-26'!I142</f>
        <v>11822382</v>
      </c>
      <c r="J140" s="1061" t="str">
        <f>'Recurrentes 24-26'!J142</f>
        <v>Filtros de proteccion en puente</v>
      </c>
      <c r="K140" s="451" t="str">
        <f>'Recurrentes 24-26'!K142</f>
        <v>Pza</v>
      </c>
      <c r="L140" s="451">
        <f>'Recurrentes 24-26'!L142</f>
        <v>0</v>
      </c>
      <c r="M140" s="451">
        <f>'Recurrentes 24-26'!M142</f>
        <v>0</v>
      </c>
      <c r="N140" s="451">
        <f>'Recurrentes 24-26'!N142</f>
        <v>0</v>
      </c>
      <c r="O140" s="451">
        <f>'Recurrentes 24-26'!O142</f>
        <v>0</v>
      </c>
      <c r="P140" s="451">
        <f>'Recurrentes 24-26'!P142</f>
        <v>0</v>
      </c>
      <c r="Q140" s="451">
        <f>'Recurrentes 24-26'!Q142</f>
        <v>0</v>
      </c>
      <c r="R140" s="451">
        <f>'Recurrentes 24-26'!R142</f>
        <v>0</v>
      </c>
      <c r="S140" s="451">
        <f>'Recurrentes 24-26'!S142</f>
        <v>0</v>
      </c>
      <c r="T140" s="451">
        <f>'Recurrentes 24-26'!T142</f>
        <v>0</v>
      </c>
      <c r="U140" s="451">
        <f>'Recurrentes 24-26'!U142</f>
        <v>0</v>
      </c>
      <c r="V140" s="451">
        <f>'Recurrentes 24-26'!V142</f>
        <v>0</v>
      </c>
      <c r="W140" s="1062">
        <f>'Recurrentes 24-26'!W142</f>
        <v>0</v>
      </c>
      <c r="X140" s="451">
        <f>'Recurrentes 24-26'!X142</f>
        <v>0</v>
      </c>
      <c r="Y140" s="451">
        <f>'Recurrentes 24-26'!Y142</f>
        <v>0</v>
      </c>
      <c r="Z140" s="451">
        <f>'Recurrentes 24-26'!Z142</f>
        <v>0</v>
      </c>
      <c r="AA140" s="451">
        <f>'Recurrentes 24-26'!AA142</f>
        <v>0</v>
      </c>
      <c r="AB140" s="451">
        <f>'Recurrentes 24-26'!AB142</f>
        <v>0</v>
      </c>
      <c r="AC140" s="451">
        <f>'Recurrentes 24-26'!AC142</f>
        <v>0</v>
      </c>
      <c r="AD140" s="451" t="str">
        <f>'Recurrentes 24-26'!AD142</f>
        <v/>
      </c>
      <c r="AE140" s="451" t="str">
        <f>'Recurrentes 24-26'!AE142</f>
        <v/>
      </c>
      <c r="AF140" s="451">
        <f>'Recurrentes 24-26'!AF142</f>
        <v>0</v>
      </c>
      <c r="AG140" s="451" t="str">
        <f>'Recurrentes 24-26'!AG142</f>
        <v/>
      </c>
      <c r="AH140" s="451">
        <f>'Recurrentes 24-26'!AH142</f>
        <v>0</v>
      </c>
      <c r="AI140" s="1062">
        <f>'Recurrentes 24-26'!AI142</f>
        <v>0</v>
      </c>
      <c r="AJ140" s="451">
        <f>'Recurrentes 24-26'!AJ142</f>
        <v>0</v>
      </c>
      <c r="AK140" s="451">
        <f>'Recurrentes 24-26'!AK142</f>
        <v>0</v>
      </c>
      <c r="AL140" s="451">
        <f>'Recurrentes 24-26'!AL142</f>
        <v>0</v>
      </c>
      <c r="AM140" s="451">
        <f>'Recurrentes 24-26'!AM142</f>
        <v>0</v>
      </c>
      <c r="AN140" s="451">
        <f>'Recurrentes 24-26'!AN142</f>
        <v>0</v>
      </c>
      <c r="AO140" s="451">
        <f>'Recurrentes 24-26'!AO142</f>
        <v>0</v>
      </c>
      <c r="AP140" s="451" t="str">
        <f>'Recurrentes 24-26'!AP142</f>
        <v/>
      </c>
      <c r="AQ140" s="451" t="str">
        <f>'Recurrentes 24-26'!AQ142</f>
        <v/>
      </c>
      <c r="AR140" s="451">
        <f>'Recurrentes 24-26'!AR142</f>
        <v>0</v>
      </c>
      <c r="AS140" s="451" t="str">
        <f>'Recurrentes 24-26'!AS142</f>
        <v/>
      </c>
      <c r="AT140" s="451">
        <f>'Recurrentes 24-26'!AT142</f>
        <v>0</v>
      </c>
      <c r="AU140" s="1062">
        <f>'Recurrentes 24-26'!AU142</f>
        <v>0</v>
      </c>
      <c r="AV140" s="1062">
        <f>'Recurrentes 24-26'!AV142</f>
        <v>0</v>
      </c>
      <c r="AW140" s="451" t="str">
        <f>'Recurrentes 24-26'!AW142</f>
        <v/>
      </c>
      <c r="AX140" s="1062">
        <f>'Recurrentes 24-26'!AX142</f>
        <v>282.77</v>
      </c>
      <c r="AY140" s="1062">
        <f>'Recurrentes 24-26'!AY142</f>
        <v>1970.9069</v>
      </c>
      <c r="AZ140" s="1064" t="str">
        <f>'Recurrentes 24-26'!AZ142</f>
        <v/>
      </c>
      <c r="BA140" s="1064">
        <f>'Recurrentes 24-26'!BA142</f>
        <v>0</v>
      </c>
      <c r="BB140" s="1064">
        <f>'Recurrentes 24-26'!BB142</f>
        <v>0</v>
      </c>
      <c r="BC140" s="1064">
        <f>'Recurrentes 24-26'!BC142</f>
        <v>0</v>
      </c>
      <c r="BD140" s="1064">
        <f>'Recurrentes 24-26'!BD142</f>
        <v>0</v>
      </c>
      <c r="BE140" s="1064">
        <f>'Recurrentes 24-26'!BE142</f>
        <v>0</v>
      </c>
      <c r="BF140" s="1064">
        <f>'Recurrentes 24-26'!BF142</f>
        <v>0</v>
      </c>
      <c r="BG140" s="1064">
        <f>'Recurrentes 24-26'!BG142</f>
        <v>0</v>
      </c>
      <c r="BH140" s="1064">
        <f>'Recurrentes 24-26'!BH142</f>
        <v>0</v>
      </c>
      <c r="BI140" s="1064">
        <f>'Recurrentes 24-26'!BI142</f>
        <v>0</v>
      </c>
      <c r="BJ140" s="1064">
        <f>'Recurrentes 24-26'!BJ142</f>
        <v>0</v>
      </c>
      <c r="BK140" s="451"/>
      <c r="BL140" s="1062">
        <f>'Recurrentes 24-26'!BK142</f>
        <v>0</v>
      </c>
      <c r="BM140" s="1064">
        <f>'Recurrentes 24-26'!BL142</f>
        <v>0</v>
      </c>
      <c r="BN140" s="1064">
        <f>'Recurrentes 24-26'!BM142</f>
        <v>0</v>
      </c>
      <c r="BO140" s="1064">
        <f>'Recurrentes 24-26'!BN142</f>
        <v>0</v>
      </c>
      <c r="BP140" s="1064">
        <f>'Recurrentes 24-26'!BO142</f>
        <v>0</v>
      </c>
      <c r="BQ140" s="1064">
        <f>'Recurrentes 24-26'!BP142</f>
        <v>0</v>
      </c>
      <c r="BR140" s="1064">
        <f>'Recurrentes 24-26'!BQ142</f>
        <v>0</v>
      </c>
      <c r="BS140" s="1064">
        <f>'Recurrentes 24-26'!BR142</f>
        <v>0</v>
      </c>
      <c r="BT140" s="1064">
        <f>'Recurrentes 24-26'!BS142</f>
        <v>0</v>
      </c>
      <c r="BU140" s="1064">
        <f>'Recurrentes 24-26'!BT142</f>
        <v>0</v>
      </c>
      <c r="BV140" s="1064">
        <f>'Recurrentes 24-26'!BU142</f>
        <v>0</v>
      </c>
      <c r="BW140" s="451"/>
      <c r="BX140" s="1062">
        <f>'Recurrentes 24-26'!BV142</f>
        <v>0</v>
      </c>
      <c r="BY140" s="1064">
        <f>'Recurrentes 24-26'!BW142</f>
        <v>0</v>
      </c>
      <c r="BZ140" s="1064">
        <f>'Recurrentes 24-26'!BX142</f>
        <v>0</v>
      </c>
      <c r="CA140" s="1064">
        <f>'Recurrentes 24-26'!BY142</f>
        <v>0</v>
      </c>
      <c r="CB140" s="1064">
        <f>'Recurrentes 24-26'!BZ142</f>
        <v>0</v>
      </c>
      <c r="CC140" s="1064">
        <f>'Recurrentes 24-26'!CA142</f>
        <v>0</v>
      </c>
      <c r="CD140" s="1064">
        <f>'Recurrentes 24-26'!CB142</f>
        <v>0</v>
      </c>
      <c r="CE140" s="1064">
        <f>'Recurrentes 24-26'!CC142</f>
        <v>0</v>
      </c>
      <c r="CF140" s="1064">
        <f>'Recurrentes 24-26'!CD142</f>
        <v>0</v>
      </c>
      <c r="CG140" s="1064">
        <f>'Recurrentes 24-26'!CE142</f>
        <v>0</v>
      </c>
      <c r="CH140" s="1064">
        <f>'Recurrentes 24-26'!CF142</f>
        <v>0</v>
      </c>
      <c r="CI140" s="451"/>
      <c r="CJ140" s="1062">
        <f>'Recurrentes 24-26'!CG142</f>
        <v>0</v>
      </c>
      <c r="CK140" s="1062">
        <f>'Recurrentes 24-26'!CH142</f>
        <v>0</v>
      </c>
      <c r="CL140" s="451" t="str">
        <f>'Recurrentes 24-26'!CI142</f>
        <v/>
      </c>
      <c r="CM140" s="1064" t="str">
        <f>'Recurrentes 24-26'!CJ142</f>
        <v/>
      </c>
      <c r="CN140" s="451">
        <f>'Recurrentes 24-26'!CK142</f>
        <v>1</v>
      </c>
      <c r="CO140" s="451" t="str">
        <f>'Recurrentes 24-26'!CL142</f>
        <v/>
      </c>
      <c r="CP140" s="451" t="str">
        <f>'Recurrentes 24-26'!CM142</f>
        <v/>
      </c>
    </row>
    <row r="141">
      <c r="A141" s="451" t="str">
        <f>'Recurrentes 24-26'!A143</f>
        <v/>
      </c>
      <c r="B141" s="451" t="str">
        <f>'Recurrentes 24-26'!B143</f>
        <v/>
      </c>
      <c r="C141" s="451" t="str">
        <f>'Recurrentes 24-26'!C143</f>
        <v/>
      </c>
      <c r="D141" s="451" t="str">
        <f>'Recurrentes 24-26'!D143</f>
        <v/>
      </c>
      <c r="E141" s="451" t="str">
        <f>'Recurrentes 24-26'!E143</f>
        <v/>
      </c>
      <c r="F141" s="451" t="str">
        <f>'Recurrentes 24-26'!F143</f>
        <v/>
      </c>
      <c r="G141" s="1061" t="str">
        <f>'Recurrentes 24-26'!G143</f>
        <v/>
      </c>
      <c r="H141" s="451" t="str">
        <f>'Recurrentes 24-26'!H143</f>
        <v/>
      </c>
      <c r="I141" s="1061" t="str">
        <f>'Recurrentes 24-26'!I143</f>
        <v/>
      </c>
      <c r="J141" s="1061" t="str">
        <f>'Recurrentes 24-26'!J143</f>
        <v/>
      </c>
      <c r="K141" s="451" t="str">
        <f>'Recurrentes 24-26'!K143</f>
        <v/>
      </c>
      <c r="L141" s="451" t="str">
        <f>'Recurrentes 24-26'!L143</f>
        <v/>
      </c>
      <c r="M141" s="451" t="str">
        <f>'Recurrentes 24-26'!M143</f>
        <v/>
      </c>
      <c r="N141" s="451" t="str">
        <f>'Recurrentes 24-26'!N143</f>
        <v/>
      </c>
      <c r="O141" s="451" t="str">
        <f>'Recurrentes 24-26'!O143</f>
        <v/>
      </c>
      <c r="P141" s="451" t="str">
        <f>'Recurrentes 24-26'!P143</f>
        <v/>
      </c>
      <c r="Q141" s="451" t="str">
        <f>'Recurrentes 24-26'!Q143</f>
        <v/>
      </c>
      <c r="R141" s="451" t="str">
        <f>'Recurrentes 24-26'!R143</f>
        <v/>
      </c>
      <c r="S141" s="451" t="str">
        <f>'Recurrentes 24-26'!S143</f>
        <v/>
      </c>
      <c r="T141" s="451" t="str">
        <f>'Recurrentes 24-26'!T143</f>
        <v/>
      </c>
      <c r="U141" s="451" t="str">
        <f>'Recurrentes 24-26'!U143</f>
        <v/>
      </c>
      <c r="V141" s="451" t="str">
        <f>'Recurrentes 24-26'!V143</f>
        <v/>
      </c>
      <c r="W141" s="451" t="str">
        <f>'Recurrentes 24-26'!W143</f>
        <v/>
      </c>
      <c r="X141" s="451" t="str">
        <f>'Recurrentes 24-26'!X143</f>
        <v/>
      </c>
      <c r="Y141" s="451" t="str">
        <f>'Recurrentes 24-26'!Y143</f>
        <v/>
      </c>
      <c r="Z141" s="451" t="str">
        <f>'Recurrentes 24-26'!Z143</f>
        <v/>
      </c>
      <c r="AA141" s="451" t="str">
        <f>'Recurrentes 24-26'!AA143</f>
        <v/>
      </c>
      <c r="AB141" s="451" t="str">
        <f>'Recurrentes 24-26'!AB143</f>
        <v/>
      </c>
      <c r="AC141" s="451" t="str">
        <f>'Recurrentes 24-26'!AC143</f>
        <v/>
      </c>
      <c r="AD141" s="451" t="str">
        <f>'Recurrentes 24-26'!AD143</f>
        <v/>
      </c>
      <c r="AE141" s="451" t="str">
        <f>'Recurrentes 24-26'!AE143</f>
        <v/>
      </c>
      <c r="AF141" s="451" t="str">
        <f>'Recurrentes 24-26'!AF143</f>
        <v/>
      </c>
      <c r="AG141" s="451" t="str">
        <f>'Recurrentes 24-26'!AG143</f>
        <v/>
      </c>
      <c r="AH141" s="451" t="str">
        <f>'Recurrentes 24-26'!AH143</f>
        <v/>
      </c>
      <c r="AI141" s="451" t="str">
        <f>'Recurrentes 24-26'!AI143</f>
        <v/>
      </c>
      <c r="AJ141" s="451" t="str">
        <f>'Recurrentes 24-26'!AJ143</f>
        <v/>
      </c>
      <c r="AK141" s="451" t="str">
        <f>'Recurrentes 24-26'!AK143</f>
        <v/>
      </c>
      <c r="AL141" s="451" t="str">
        <f>'Recurrentes 24-26'!AL143</f>
        <v/>
      </c>
      <c r="AM141" s="451" t="str">
        <f>'Recurrentes 24-26'!AM143</f>
        <v/>
      </c>
      <c r="AN141" s="451" t="str">
        <f>'Recurrentes 24-26'!AN143</f>
        <v/>
      </c>
      <c r="AO141" s="451" t="str">
        <f>'Recurrentes 24-26'!AO143</f>
        <v/>
      </c>
      <c r="AP141" s="451" t="str">
        <f>'Recurrentes 24-26'!AP143</f>
        <v/>
      </c>
      <c r="AQ141" s="451" t="str">
        <f>'Recurrentes 24-26'!AQ143</f>
        <v/>
      </c>
      <c r="AR141" s="451" t="str">
        <f>'Recurrentes 24-26'!AR143</f>
        <v/>
      </c>
      <c r="AS141" s="451" t="str">
        <f>'Recurrentes 24-26'!AS143</f>
        <v/>
      </c>
      <c r="AT141" s="451" t="str">
        <f>'Recurrentes 24-26'!AT143</f>
        <v/>
      </c>
      <c r="AU141" s="451" t="str">
        <f>'Recurrentes 24-26'!AU143</f>
        <v/>
      </c>
      <c r="AV141" s="1063" t="str">
        <f>'Recurrentes 24-26'!AV143</f>
        <v/>
      </c>
      <c r="AW141" s="451" t="str">
        <f>'Recurrentes 24-26'!AW143</f>
        <v/>
      </c>
      <c r="AX141" s="451" t="str">
        <f>'Recurrentes 24-26'!AX143</f>
        <v/>
      </c>
      <c r="AY141" s="451" t="str">
        <f>'Recurrentes 24-26'!AY143</f>
        <v/>
      </c>
      <c r="AZ141" s="1064" t="str">
        <f>'Recurrentes 24-26'!AZ143</f>
        <v/>
      </c>
      <c r="BA141" s="1064" t="str">
        <f>'Recurrentes 24-26'!BA143</f>
        <v/>
      </c>
      <c r="BB141" s="1064" t="str">
        <f>'Recurrentes 24-26'!BB143</f>
        <v/>
      </c>
      <c r="BC141" s="1064" t="str">
        <f>'Recurrentes 24-26'!BC143</f>
        <v/>
      </c>
      <c r="BD141" s="1064" t="str">
        <f>'Recurrentes 24-26'!BD143</f>
        <v/>
      </c>
      <c r="BE141" s="1064" t="str">
        <f>'Recurrentes 24-26'!BE143</f>
        <v/>
      </c>
      <c r="BF141" s="1064" t="str">
        <f>'Recurrentes 24-26'!BF143</f>
        <v/>
      </c>
      <c r="BG141" s="1064" t="str">
        <f>'Recurrentes 24-26'!BG143</f>
        <v/>
      </c>
      <c r="BH141" s="1064" t="str">
        <f>'Recurrentes 24-26'!BH143</f>
        <v/>
      </c>
      <c r="BI141" s="1064" t="str">
        <f>'Recurrentes 24-26'!BI143</f>
        <v/>
      </c>
      <c r="BJ141" s="1064" t="str">
        <f>'Recurrentes 24-26'!BJ143</f>
        <v/>
      </c>
      <c r="BK141" s="451"/>
      <c r="BL141" s="1064" t="str">
        <f>'Recurrentes 24-26'!BK143</f>
        <v/>
      </c>
      <c r="BM141" s="1064" t="str">
        <f>'Recurrentes 24-26'!BL143</f>
        <v/>
      </c>
      <c r="BN141" s="1064" t="str">
        <f>'Recurrentes 24-26'!BM143</f>
        <v/>
      </c>
      <c r="BO141" s="1064" t="str">
        <f>'Recurrentes 24-26'!BN143</f>
        <v/>
      </c>
      <c r="BP141" s="1064" t="str">
        <f>'Recurrentes 24-26'!BO143</f>
        <v/>
      </c>
      <c r="BQ141" s="1064" t="str">
        <f>'Recurrentes 24-26'!BP143</f>
        <v/>
      </c>
      <c r="BR141" s="1064" t="str">
        <f>'Recurrentes 24-26'!BQ143</f>
        <v/>
      </c>
      <c r="BS141" s="1064" t="str">
        <f>'Recurrentes 24-26'!BR143</f>
        <v/>
      </c>
      <c r="BT141" s="1064" t="str">
        <f>'Recurrentes 24-26'!BS143</f>
        <v/>
      </c>
      <c r="BU141" s="1064" t="str">
        <f>'Recurrentes 24-26'!BT143</f>
        <v/>
      </c>
      <c r="BV141" s="1064" t="str">
        <f>'Recurrentes 24-26'!BU143</f>
        <v/>
      </c>
      <c r="BW141" s="451"/>
      <c r="BX141" s="1064" t="str">
        <f>'Recurrentes 24-26'!BV143</f>
        <v/>
      </c>
      <c r="BY141" s="1064" t="str">
        <f>'Recurrentes 24-26'!BW143</f>
        <v/>
      </c>
      <c r="BZ141" s="1064" t="str">
        <f>'Recurrentes 24-26'!BX143</f>
        <v/>
      </c>
      <c r="CA141" s="1064" t="str">
        <f>'Recurrentes 24-26'!BY143</f>
        <v/>
      </c>
      <c r="CB141" s="1064" t="str">
        <f>'Recurrentes 24-26'!BZ143</f>
        <v/>
      </c>
      <c r="CC141" s="1064" t="str">
        <f>'Recurrentes 24-26'!CA143</f>
        <v/>
      </c>
      <c r="CD141" s="1064" t="str">
        <f>'Recurrentes 24-26'!CB143</f>
        <v/>
      </c>
      <c r="CE141" s="1064" t="str">
        <f>'Recurrentes 24-26'!CC143</f>
        <v/>
      </c>
      <c r="CF141" s="1064" t="str">
        <f>'Recurrentes 24-26'!CD143</f>
        <v/>
      </c>
      <c r="CG141" s="1064" t="str">
        <f>'Recurrentes 24-26'!CE143</f>
        <v/>
      </c>
      <c r="CH141" s="1064" t="str">
        <f>'Recurrentes 24-26'!CF143</f>
        <v/>
      </c>
      <c r="CI141" s="451"/>
      <c r="CJ141" s="1064" t="str">
        <f>'Recurrentes 24-26'!CG143</f>
        <v/>
      </c>
      <c r="CK141" s="1064" t="str">
        <f>'Recurrentes 24-26'!CH143</f>
        <v/>
      </c>
      <c r="CL141" s="451" t="str">
        <f>'Recurrentes 24-26'!CI143</f>
        <v/>
      </c>
      <c r="CM141" s="1064" t="str">
        <f>'Recurrentes 24-26'!CJ143</f>
        <v/>
      </c>
      <c r="CN141" s="451" t="str">
        <f>'Recurrentes 24-26'!CK143</f>
        <v/>
      </c>
      <c r="CO141" s="451" t="str">
        <f>'Recurrentes 24-26'!CL143</f>
        <v/>
      </c>
      <c r="CP141" s="451" t="str">
        <f>'Recurrentes 24-26'!CM143</f>
        <v/>
      </c>
    </row>
    <row r="142">
      <c r="A142" s="451" t="str">
        <f>'Recurrentes 24-26'!A144</f>
        <v/>
      </c>
      <c r="B142" s="451" t="str">
        <f>'Recurrentes 24-26'!B144</f>
        <v/>
      </c>
      <c r="C142" s="451" t="str">
        <f>'Recurrentes 24-26'!C144</f>
        <v/>
      </c>
      <c r="D142" s="451" t="str">
        <f>'Recurrentes 24-26'!D144</f>
        <v/>
      </c>
      <c r="E142" s="451" t="str">
        <f>'Recurrentes 24-26'!E144</f>
        <v/>
      </c>
      <c r="F142" s="451" t="str">
        <f>'Recurrentes 24-26'!F144</f>
        <v/>
      </c>
      <c r="G142" s="1061" t="str">
        <f>'Recurrentes 24-26'!G144</f>
        <v/>
      </c>
      <c r="H142" s="1061" t="str">
        <f>'Recurrentes 24-26'!H144</f>
        <v/>
      </c>
      <c r="I142" s="1061" t="str">
        <f>'Recurrentes 24-26'!I144</f>
        <v/>
      </c>
      <c r="J142" s="1061" t="str">
        <f>'Recurrentes 24-26'!J144</f>
        <v/>
      </c>
      <c r="K142" s="451" t="str">
        <f>'Recurrentes 24-26'!K144</f>
        <v/>
      </c>
      <c r="L142" s="451" t="str">
        <f>'Recurrentes 24-26'!L144</f>
        <v/>
      </c>
      <c r="M142" s="451" t="str">
        <f>'Recurrentes 24-26'!M144</f>
        <v/>
      </c>
      <c r="N142" s="451" t="str">
        <f>'Recurrentes 24-26'!N144</f>
        <v/>
      </c>
      <c r="O142" s="451" t="str">
        <f>'Recurrentes 24-26'!O144</f>
        <v/>
      </c>
      <c r="P142" s="451" t="str">
        <f>'Recurrentes 24-26'!P144</f>
        <v/>
      </c>
      <c r="Q142" s="451" t="str">
        <f>'Recurrentes 24-26'!Q144</f>
        <v/>
      </c>
      <c r="R142" s="451" t="str">
        <f>'Recurrentes 24-26'!R144</f>
        <v/>
      </c>
      <c r="S142" s="451" t="str">
        <f>'Recurrentes 24-26'!S144</f>
        <v/>
      </c>
      <c r="T142" s="451" t="str">
        <f>'Recurrentes 24-26'!T144</f>
        <v/>
      </c>
      <c r="U142" s="451" t="str">
        <f>'Recurrentes 24-26'!U144</f>
        <v/>
      </c>
      <c r="V142" s="451" t="str">
        <f>'Recurrentes 24-26'!V144</f>
        <v/>
      </c>
      <c r="W142" s="1062" t="str">
        <f>'Recurrentes 24-26'!W144</f>
        <v/>
      </c>
      <c r="X142" s="451" t="str">
        <f>'Recurrentes 24-26'!X144</f>
        <v/>
      </c>
      <c r="Y142" s="451" t="str">
        <f>'Recurrentes 24-26'!Y144</f>
        <v/>
      </c>
      <c r="Z142" s="451" t="str">
        <f>'Recurrentes 24-26'!Z144</f>
        <v/>
      </c>
      <c r="AA142" s="451" t="str">
        <f>'Recurrentes 24-26'!AA144</f>
        <v/>
      </c>
      <c r="AB142" s="451" t="str">
        <f>'Recurrentes 24-26'!AB144</f>
        <v/>
      </c>
      <c r="AC142" s="451" t="str">
        <f>'Recurrentes 24-26'!AC144</f>
        <v/>
      </c>
      <c r="AD142" s="451" t="str">
        <f>'Recurrentes 24-26'!AD144</f>
        <v/>
      </c>
      <c r="AE142" s="451" t="str">
        <f>'Recurrentes 24-26'!AE144</f>
        <v/>
      </c>
      <c r="AF142" s="451" t="str">
        <f>'Recurrentes 24-26'!AF144</f>
        <v/>
      </c>
      <c r="AG142" s="451" t="str">
        <f>'Recurrentes 24-26'!AG144</f>
        <v/>
      </c>
      <c r="AH142" s="451" t="str">
        <f>'Recurrentes 24-26'!AH144</f>
        <v/>
      </c>
      <c r="AI142" s="1062" t="str">
        <f>'Recurrentes 24-26'!AI144</f>
        <v/>
      </c>
      <c r="AJ142" s="451" t="str">
        <f>'Recurrentes 24-26'!AJ144</f>
        <v/>
      </c>
      <c r="AK142" s="451" t="str">
        <f>'Recurrentes 24-26'!AK144</f>
        <v/>
      </c>
      <c r="AL142" s="451" t="str">
        <f>'Recurrentes 24-26'!AL144</f>
        <v/>
      </c>
      <c r="AM142" s="451" t="str">
        <f>'Recurrentes 24-26'!AM144</f>
        <v/>
      </c>
      <c r="AN142" s="451" t="str">
        <f>'Recurrentes 24-26'!AN144</f>
        <v/>
      </c>
      <c r="AO142" s="451" t="str">
        <f>'Recurrentes 24-26'!AO144</f>
        <v/>
      </c>
      <c r="AP142" s="451" t="str">
        <f>'Recurrentes 24-26'!AP144</f>
        <v/>
      </c>
      <c r="AQ142" s="451" t="str">
        <f>'Recurrentes 24-26'!AQ144</f>
        <v/>
      </c>
      <c r="AR142" s="451" t="str">
        <f>'Recurrentes 24-26'!AR144</f>
        <v/>
      </c>
      <c r="AS142" s="451" t="str">
        <f>'Recurrentes 24-26'!AS144</f>
        <v/>
      </c>
      <c r="AT142" s="451" t="str">
        <f>'Recurrentes 24-26'!AT144</f>
        <v/>
      </c>
      <c r="AU142" s="1062" t="str">
        <f>'Recurrentes 24-26'!AU144</f>
        <v/>
      </c>
      <c r="AV142" s="1063" t="str">
        <f>'Recurrentes 24-26'!AV144</f>
        <v/>
      </c>
      <c r="AW142" s="451" t="str">
        <f>'Recurrentes 24-26'!AW144</f>
        <v/>
      </c>
      <c r="AX142" s="1062" t="str">
        <f>'Recurrentes 24-26'!AX144</f>
        <v/>
      </c>
      <c r="AY142" s="1062" t="str">
        <f>'Recurrentes 24-26'!AY144</f>
        <v/>
      </c>
      <c r="AZ142" s="1064" t="str">
        <f>'Recurrentes 24-26'!AZ144</f>
        <v/>
      </c>
      <c r="BA142" s="1064" t="str">
        <f>'Recurrentes 24-26'!BA144</f>
        <v/>
      </c>
      <c r="BB142" s="1064" t="str">
        <f>'Recurrentes 24-26'!BB144</f>
        <v/>
      </c>
      <c r="BC142" s="1064" t="str">
        <f>'Recurrentes 24-26'!BC144</f>
        <v/>
      </c>
      <c r="BD142" s="1064" t="str">
        <f>'Recurrentes 24-26'!BD144</f>
        <v/>
      </c>
      <c r="BE142" s="1064" t="str">
        <f>'Recurrentes 24-26'!BE144</f>
        <v/>
      </c>
      <c r="BF142" s="1064" t="str">
        <f>'Recurrentes 24-26'!BF144</f>
        <v/>
      </c>
      <c r="BG142" s="1064" t="str">
        <f>'Recurrentes 24-26'!BG144</f>
        <v/>
      </c>
      <c r="BH142" s="1064" t="str">
        <f>'Recurrentes 24-26'!BH144</f>
        <v/>
      </c>
      <c r="BI142" s="1064" t="str">
        <f>'Recurrentes 24-26'!BI144</f>
        <v/>
      </c>
      <c r="BJ142" s="1064" t="str">
        <f>'Recurrentes 24-26'!BJ144</f>
        <v/>
      </c>
      <c r="BK142" s="451"/>
      <c r="BL142" s="1062" t="str">
        <f>'Recurrentes 24-26'!BK144</f>
        <v/>
      </c>
      <c r="BM142" s="1064" t="str">
        <f>'Recurrentes 24-26'!BL144</f>
        <v/>
      </c>
      <c r="BN142" s="1064" t="str">
        <f>'Recurrentes 24-26'!BM144</f>
        <v/>
      </c>
      <c r="BO142" s="1064" t="str">
        <f>'Recurrentes 24-26'!BN144</f>
        <v/>
      </c>
      <c r="BP142" s="1064" t="str">
        <f>'Recurrentes 24-26'!BO144</f>
        <v/>
      </c>
      <c r="BQ142" s="1064" t="str">
        <f>'Recurrentes 24-26'!BP144</f>
        <v/>
      </c>
      <c r="BR142" s="1064" t="str">
        <f>'Recurrentes 24-26'!BQ144</f>
        <v/>
      </c>
      <c r="BS142" s="1064" t="str">
        <f>'Recurrentes 24-26'!BR144</f>
        <v/>
      </c>
      <c r="BT142" s="1064" t="str">
        <f>'Recurrentes 24-26'!BS144</f>
        <v/>
      </c>
      <c r="BU142" s="1064" t="str">
        <f>'Recurrentes 24-26'!BT144</f>
        <v/>
      </c>
      <c r="BV142" s="1064" t="str">
        <f>'Recurrentes 24-26'!BU144</f>
        <v/>
      </c>
      <c r="BW142" s="451"/>
      <c r="BX142" s="1062" t="str">
        <f>'Recurrentes 24-26'!BV144</f>
        <v/>
      </c>
      <c r="BY142" s="1064" t="str">
        <f>'Recurrentes 24-26'!BW144</f>
        <v/>
      </c>
      <c r="BZ142" s="1064" t="str">
        <f>'Recurrentes 24-26'!BX144</f>
        <v/>
      </c>
      <c r="CA142" s="1064" t="str">
        <f>'Recurrentes 24-26'!BY144</f>
        <v/>
      </c>
      <c r="CB142" s="1064" t="str">
        <f>'Recurrentes 24-26'!BZ144</f>
        <v/>
      </c>
      <c r="CC142" s="1064" t="str">
        <f>'Recurrentes 24-26'!CA144</f>
        <v/>
      </c>
      <c r="CD142" s="1064" t="str">
        <f>'Recurrentes 24-26'!CB144</f>
        <v/>
      </c>
      <c r="CE142" s="1064" t="str">
        <f>'Recurrentes 24-26'!CC144</f>
        <v/>
      </c>
      <c r="CF142" s="1064" t="str">
        <f>'Recurrentes 24-26'!CD144</f>
        <v/>
      </c>
      <c r="CG142" s="1064" t="str">
        <f>'Recurrentes 24-26'!CE144</f>
        <v/>
      </c>
      <c r="CH142" s="1064" t="str">
        <f>'Recurrentes 24-26'!CF144</f>
        <v/>
      </c>
      <c r="CI142" s="451"/>
      <c r="CJ142" s="1062" t="str">
        <f>'Recurrentes 24-26'!CG144</f>
        <v/>
      </c>
      <c r="CK142" s="1062" t="str">
        <f>'Recurrentes 24-26'!CH144</f>
        <v/>
      </c>
      <c r="CL142" s="451" t="str">
        <f>'Recurrentes 24-26'!CI144</f>
        <v/>
      </c>
      <c r="CM142" s="1064" t="str">
        <f>'Recurrentes 24-26'!CJ144</f>
        <v/>
      </c>
      <c r="CN142" s="451" t="str">
        <f>'Recurrentes 24-26'!CK144</f>
        <v/>
      </c>
      <c r="CO142" s="451" t="str">
        <f>'Recurrentes 24-26'!CL144</f>
        <v/>
      </c>
      <c r="CP142" s="451" t="str">
        <f>'Recurrentes 24-26'!CM144</f>
        <v/>
      </c>
    </row>
    <row r="143">
      <c r="A143" s="451" t="str">
        <f>'Recurrentes 24-26'!A145</f>
        <v/>
      </c>
      <c r="B143" s="451" t="str">
        <f>'Recurrentes 24-26'!B145</f>
        <v/>
      </c>
      <c r="C143" s="451" t="str">
        <f>'Recurrentes 24-26'!C145</f>
        <v/>
      </c>
      <c r="D143" s="451" t="str">
        <f>'Recurrentes 24-26'!D145</f>
        <v/>
      </c>
      <c r="E143" s="451" t="str">
        <f>'Recurrentes 24-26'!E145</f>
        <v/>
      </c>
      <c r="F143" s="451" t="str">
        <f>'Recurrentes 24-26'!F145</f>
        <v/>
      </c>
      <c r="G143" s="1061" t="str">
        <f>'Recurrentes 24-26'!G145</f>
        <v/>
      </c>
      <c r="H143" s="451" t="str">
        <f>'Recurrentes 24-26'!H145</f>
        <v/>
      </c>
      <c r="I143" s="1061" t="str">
        <f>'Recurrentes 24-26'!I145</f>
        <v/>
      </c>
      <c r="J143" s="1061" t="str">
        <f>'Recurrentes 24-26'!J145</f>
        <v/>
      </c>
      <c r="K143" s="451" t="str">
        <f>'Recurrentes 24-26'!K145</f>
        <v/>
      </c>
      <c r="L143" s="451" t="str">
        <f>'Recurrentes 24-26'!L145</f>
        <v/>
      </c>
      <c r="M143" s="451" t="str">
        <f>'Recurrentes 24-26'!M145</f>
        <v/>
      </c>
      <c r="N143" s="451" t="str">
        <f>'Recurrentes 24-26'!N145</f>
        <v/>
      </c>
      <c r="O143" s="451" t="str">
        <f>'Recurrentes 24-26'!O145</f>
        <v/>
      </c>
      <c r="P143" s="451" t="str">
        <f>'Recurrentes 24-26'!P145</f>
        <v/>
      </c>
      <c r="Q143" s="451" t="str">
        <f>'Recurrentes 24-26'!Q145</f>
        <v/>
      </c>
      <c r="R143" s="451" t="str">
        <f>'Recurrentes 24-26'!R145</f>
        <v/>
      </c>
      <c r="S143" s="451" t="str">
        <f>'Recurrentes 24-26'!S145</f>
        <v/>
      </c>
      <c r="T143" s="451" t="str">
        <f>'Recurrentes 24-26'!T145</f>
        <v/>
      </c>
      <c r="U143" s="451" t="str">
        <f>'Recurrentes 24-26'!U145</f>
        <v/>
      </c>
      <c r="V143" s="451" t="str">
        <f>'Recurrentes 24-26'!V145</f>
        <v/>
      </c>
      <c r="W143" s="451" t="str">
        <f>'Recurrentes 24-26'!W145</f>
        <v/>
      </c>
      <c r="X143" s="451" t="str">
        <f>'Recurrentes 24-26'!X145</f>
        <v/>
      </c>
      <c r="Y143" s="451" t="str">
        <f>'Recurrentes 24-26'!Y145</f>
        <v/>
      </c>
      <c r="Z143" s="451" t="str">
        <f>'Recurrentes 24-26'!Z145</f>
        <v/>
      </c>
      <c r="AA143" s="451" t="str">
        <f>'Recurrentes 24-26'!AA145</f>
        <v/>
      </c>
      <c r="AB143" s="451" t="str">
        <f>'Recurrentes 24-26'!AB145</f>
        <v/>
      </c>
      <c r="AC143" s="451" t="str">
        <f>'Recurrentes 24-26'!AC145</f>
        <v/>
      </c>
      <c r="AD143" s="451" t="str">
        <f>'Recurrentes 24-26'!AD145</f>
        <v/>
      </c>
      <c r="AE143" s="451" t="str">
        <f>'Recurrentes 24-26'!AE145</f>
        <v/>
      </c>
      <c r="AF143" s="451" t="str">
        <f>'Recurrentes 24-26'!AF145</f>
        <v/>
      </c>
      <c r="AG143" s="451" t="str">
        <f>'Recurrentes 24-26'!AG145</f>
        <v/>
      </c>
      <c r="AH143" s="451" t="str">
        <f>'Recurrentes 24-26'!AH145</f>
        <v/>
      </c>
      <c r="AI143" s="451" t="str">
        <f>'Recurrentes 24-26'!AI145</f>
        <v/>
      </c>
      <c r="AJ143" s="451" t="str">
        <f>'Recurrentes 24-26'!AJ145</f>
        <v/>
      </c>
      <c r="AK143" s="451" t="str">
        <f>'Recurrentes 24-26'!AK145</f>
        <v/>
      </c>
      <c r="AL143" s="451" t="str">
        <f>'Recurrentes 24-26'!AL145</f>
        <v/>
      </c>
      <c r="AM143" s="451" t="str">
        <f>'Recurrentes 24-26'!AM145</f>
        <v/>
      </c>
      <c r="AN143" s="451" t="str">
        <f>'Recurrentes 24-26'!AN145</f>
        <v/>
      </c>
      <c r="AO143" s="451" t="str">
        <f>'Recurrentes 24-26'!AO145</f>
        <v/>
      </c>
      <c r="AP143" s="451" t="str">
        <f>'Recurrentes 24-26'!AP145</f>
        <v/>
      </c>
      <c r="AQ143" s="451" t="str">
        <f>'Recurrentes 24-26'!AQ145</f>
        <v/>
      </c>
      <c r="AR143" s="451" t="str">
        <f>'Recurrentes 24-26'!AR145</f>
        <v/>
      </c>
      <c r="AS143" s="451" t="str">
        <f>'Recurrentes 24-26'!AS145</f>
        <v/>
      </c>
      <c r="AT143" s="451" t="str">
        <f>'Recurrentes 24-26'!AT145</f>
        <v/>
      </c>
      <c r="AU143" s="451" t="str">
        <f>'Recurrentes 24-26'!AU145</f>
        <v/>
      </c>
      <c r="AV143" s="1063" t="str">
        <f>'Recurrentes 24-26'!AV145</f>
        <v/>
      </c>
      <c r="AW143" s="451" t="str">
        <f>'Recurrentes 24-26'!AW145</f>
        <v/>
      </c>
      <c r="AX143" s="451" t="str">
        <f>'Recurrentes 24-26'!AX145</f>
        <v/>
      </c>
      <c r="AY143" s="451" t="str">
        <f>'Recurrentes 24-26'!AY145</f>
        <v/>
      </c>
      <c r="AZ143" s="1064" t="str">
        <f>'Recurrentes 24-26'!AZ145</f>
        <v/>
      </c>
      <c r="BA143" s="1064">
        <f>'Recurrentes 24-26'!BA145</f>
        <v>0</v>
      </c>
      <c r="BB143" s="1064">
        <f>'Recurrentes 24-26'!BB145</f>
        <v>0</v>
      </c>
      <c r="BC143" s="1064">
        <f>'Recurrentes 24-26'!BC145</f>
        <v>0</v>
      </c>
      <c r="BD143" s="1064">
        <f>'Recurrentes 24-26'!BD145</f>
        <v>0</v>
      </c>
      <c r="BE143" s="1064">
        <f>'Recurrentes 24-26'!BE145</f>
        <v>0</v>
      </c>
      <c r="BF143" s="1064">
        <f>'Recurrentes 24-26'!BF145</f>
        <v>0</v>
      </c>
      <c r="BG143" s="1064">
        <f>'Recurrentes 24-26'!BG145</f>
        <v>0</v>
      </c>
      <c r="BH143" s="1064">
        <f>'Recurrentes 24-26'!BH145</f>
        <v>0</v>
      </c>
      <c r="BI143" s="1064">
        <f>'Recurrentes 24-26'!BI145</f>
        <v>0</v>
      </c>
      <c r="BJ143" s="1064">
        <f>'Recurrentes 24-26'!BJ145</f>
        <v>0</v>
      </c>
      <c r="BK143" s="451"/>
      <c r="BL143" s="1064">
        <f>'Recurrentes 24-26'!BK145</f>
        <v>0</v>
      </c>
      <c r="BM143" s="1064">
        <f>'Recurrentes 24-26'!BL145</f>
        <v>0</v>
      </c>
      <c r="BN143" s="1064">
        <f>'Recurrentes 24-26'!BM145</f>
        <v>0</v>
      </c>
      <c r="BO143" s="1064">
        <f>'Recurrentes 24-26'!BN145</f>
        <v>0</v>
      </c>
      <c r="BP143" s="1064">
        <f>'Recurrentes 24-26'!BO145</f>
        <v>0</v>
      </c>
      <c r="BQ143" s="1064">
        <f>'Recurrentes 24-26'!BP145</f>
        <v>0</v>
      </c>
      <c r="BR143" s="1064">
        <f>'Recurrentes 24-26'!BQ145</f>
        <v>0</v>
      </c>
      <c r="BS143" s="1064">
        <f>'Recurrentes 24-26'!BR145</f>
        <v>0</v>
      </c>
      <c r="BT143" s="1064">
        <f>'Recurrentes 24-26'!BS145</f>
        <v>0</v>
      </c>
      <c r="BU143" s="1064">
        <f>'Recurrentes 24-26'!BT145</f>
        <v>0</v>
      </c>
      <c r="BV143" s="1064">
        <f>'Recurrentes 24-26'!BU145</f>
        <v>0</v>
      </c>
      <c r="BW143" s="451"/>
      <c r="BX143" s="1064">
        <f>'Recurrentes 24-26'!BV145</f>
        <v>0</v>
      </c>
      <c r="BY143" s="1064">
        <f>'Recurrentes 24-26'!BW145</f>
        <v>0</v>
      </c>
      <c r="BZ143" s="1064">
        <f>'Recurrentes 24-26'!BX145</f>
        <v>0</v>
      </c>
      <c r="CA143" s="1064">
        <f>'Recurrentes 24-26'!BY145</f>
        <v>0</v>
      </c>
      <c r="CB143" s="1064">
        <f>'Recurrentes 24-26'!BZ145</f>
        <v>0</v>
      </c>
      <c r="CC143" s="1064">
        <f>'Recurrentes 24-26'!CA145</f>
        <v>0</v>
      </c>
      <c r="CD143" s="1064">
        <f>'Recurrentes 24-26'!CB145</f>
        <v>0</v>
      </c>
      <c r="CE143" s="1064">
        <f>'Recurrentes 24-26'!CC145</f>
        <v>0</v>
      </c>
      <c r="CF143" s="1064">
        <f>'Recurrentes 24-26'!CD145</f>
        <v>0</v>
      </c>
      <c r="CG143" s="1064">
        <f>'Recurrentes 24-26'!CE145</f>
        <v>0</v>
      </c>
      <c r="CH143" s="1064">
        <f>'Recurrentes 24-26'!CF145</f>
        <v>0</v>
      </c>
      <c r="CI143" s="451"/>
      <c r="CJ143" s="1064">
        <f>'Recurrentes 24-26'!CG145</f>
        <v>0</v>
      </c>
      <c r="CK143" s="1064">
        <f>'Recurrentes 24-26'!CH145</f>
        <v>0</v>
      </c>
      <c r="CL143" s="451" t="str">
        <f>'Recurrentes 24-26'!CI145</f>
        <v/>
      </c>
      <c r="CM143" s="1064" t="str">
        <f>'Recurrentes 24-26'!CJ145</f>
        <v/>
      </c>
      <c r="CN143" s="451">
        <f>'Recurrentes 24-26'!CK145</f>
        <v>1</v>
      </c>
      <c r="CO143" s="451" t="str">
        <f>'Recurrentes 24-26'!CL145</f>
        <v/>
      </c>
      <c r="CP143" s="451" t="str">
        <f>'Recurrentes 24-26'!CM145</f>
        <v/>
      </c>
    </row>
    <row r="144">
      <c r="A144" s="451" t="str">
        <f>'Recurrentes 24-26'!A146</f>
        <v/>
      </c>
      <c r="B144" s="451" t="str">
        <f>'Recurrentes 24-26'!B146</f>
        <v/>
      </c>
      <c r="C144" s="451" t="str">
        <f>'Recurrentes 24-26'!C146</f>
        <v/>
      </c>
      <c r="D144" s="451" t="str">
        <f>'Recurrentes 24-26'!D146</f>
        <v/>
      </c>
      <c r="E144" s="451" t="str">
        <f>'Recurrentes 24-26'!E146</f>
        <v/>
      </c>
      <c r="F144" s="451" t="str">
        <f>'Recurrentes 24-26'!F146</f>
        <v/>
      </c>
      <c r="G144" s="1061" t="str">
        <f>'Recurrentes 24-26'!G146</f>
        <v/>
      </c>
      <c r="H144" s="451" t="str">
        <f>'Recurrentes 24-26'!H146</f>
        <v/>
      </c>
      <c r="I144" s="1061" t="str">
        <f>'Recurrentes 24-26'!I146</f>
        <v/>
      </c>
      <c r="J144" s="1061" t="str">
        <f>'Recurrentes 24-26'!J146</f>
        <v/>
      </c>
      <c r="K144" s="451" t="str">
        <f>'Recurrentes 24-26'!K146</f>
        <v/>
      </c>
      <c r="L144" s="451" t="str">
        <f>'Recurrentes 24-26'!L146</f>
        <v/>
      </c>
      <c r="M144" s="451" t="str">
        <f>'Recurrentes 24-26'!M146</f>
        <v/>
      </c>
      <c r="N144" s="451" t="str">
        <f>'Recurrentes 24-26'!N146</f>
        <v/>
      </c>
      <c r="O144" s="451" t="str">
        <f>'Recurrentes 24-26'!O146</f>
        <v/>
      </c>
      <c r="P144" s="451" t="str">
        <f>'Recurrentes 24-26'!P146</f>
        <v/>
      </c>
      <c r="Q144" s="451" t="str">
        <f>'Recurrentes 24-26'!Q146</f>
        <v/>
      </c>
      <c r="R144" s="451" t="str">
        <f>'Recurrentes 24-26'!R146</f>
        <v/>
      </c>
      <c r="S144" s="451" t="str">
        <f>'Recurrentes 24-26'!S146</f>
        <v/>
      </c>
      <c r="T144" s="451" t="str">
        <f>'Recurrentes 24-26'!T146</f>
        <v/>
      </c>
      <c r="U144" s="451" t="str">
        <f>'Recurrentes 24-26'!U146</f>
        <v/>
      </c>
      <c r="V144" s="451" t="str">
        <f>'Recurrentes 24-26'!V146</f>
        <v/>
      </c>
      <c r="W144" s="451" t="str">
        <f>'Recurrentes 24-26'!W146</f>
        <v/>
      </c>
      <c r="X144" s="451" t="str">
        <f>'Recurrentes 24-26'!X146</f>
        <v/>
      </c>
      <c r="Y144" s="451" t="str">
        <f>'Recurrentes 24-26'!Y146</f>
        <v/>
      </c>
      <c r="Z144" s="451" t="str">
        <f>'Recurrentes 24-26'!Z146</f>
        <v/>
      </c>
      <c r="AA144" s="451" t="str">
        <f>'Recurrentes 24-26'!AA146</f>
        <v/>
      </c>
      <c r="AB144" s="451" t="str">
        <f>'Recurrentes 24-26'!AB146</f>
        <v/>
      </c>
      <c r="AC144" s="451" t="str">
        <f>'Recurrentes 24-26'!AC146</f>
        <v/>
      </c>
      <c r="AD144" s="451" t="str">
        <f>'Recurrentes 24-26'!AD146</f>
        <v/>
      </c>
      <c r="AE144" s="451" t="str">
        <f>'Recurrentes 24-26'!AE146</f>
        <v/>
      </c>
      <c r="AF144" s="451" t="str">
        <f>'Recurrentes 24-26'!AF146</f>
        <v/>
      </c>
      <c r="AG144" s="451" t="str">
        <f>'Recurrentes 24-26'!AG146</f>
        <v/>
      </c>
      <c r="AH144" s="451" t="str">
        <f>'Recurrentes 24-26'!AH146</f>
        <v/>
      </c>
      <c r="AI144" s="451" t="str">
        <f>'Recurrentes 24-26'!AI146</f>
        <v/>
      </c>
      <c r="AJ144" s="451" t="str">
        <f>'Recurrentes 24-26'!AJ146</f>
        <v/>
      </c>
      <c r="AK144" s="451" t="str">
        <f>'Recurrentes 24-26'!AK146</f>
        <v/>
      </c>
      <c r="AL144" s="451" t="str">
        <f>'Recurrentes 24-26'!AL146</f>
        <v/>
      </c>
      <c r="AM144" s="451" t="str">
        <f>'Recurrentes 24-26'!AM146</f>
        <v/>
      </c>
      <c r="AN144" s="451" t="str">
        <f>'Recurrentes 24-26'!AN146</f>
        <v/>
      </c>
      <c r="AO144" s="451" t="str">
        <f>'Recurrentes 24-26'!AO146</f>
        <v/>
      </c>
      <c r="AP144" s="451" t="str">
        <f>'Recurrentes 24-26'!AP146</f>
        <v/>
      </c>
      <c r="AQ144" s="451" t="str">
        <f>'Recurrentes 24-26'!AQ146</f>
        <v/>
      </c>
      <c r="AR144" s="451" t="str">
        <f>'Recurrentes 24-26'!AR146</f>
        <v/>
      </c>
      <c r="AS144" s="451" t="str">
        <f>'Recurrentes 24-26'!AS146</f>
        <v/>
      </c>
      <c r="AT144" s="451" t="str">
        <f>'Recurrentes 24-26'!AT146</f>
        <v/>
      </c>
      <c r="AU144" s="451" t="str">
        <f>'Recurrentes 24-26'!AU146</f>
        <v/>
      </c>
      <c r="AV144" s="451" t="str">
        <f>'Recurrentes 24-26'!AV146</f>
        <v/>
      </c>
      <c r="AW144" s="451" t="str">
        <f>'Recurrentes 24-26'!AW146</f>
        <v/>
      </c>
      <c r="AX144" s="451" t="str">
        <f>'Recurrentes 24-26'!AX146</f>
        <v/>
      </c>
      <c r="AY144" s="451" t="str">
        <f>'Recurrentes 24-26'!AY146</f>
        <v/>
      </c>
      <c r="AZ144" s="1064" t="str">
        <f>'Recurrentes 24-26'!AZ146</f>
        <v/>
      </c>
      <c r="BA144" s="1064">
        <f>'Recurrentes 24-26'!BA146</f>
        <v>0</v>
      </c>
      <c r="BB144" s="1064">
        <f>'Recurrentes 24-26'!BB146</f>
        <v>0</v>
      </c>
      <c r="BC144" s="1064">
        <f>'Recurrentes 24-26'!BC146</f>
        <v>0</v>
      </c>
      <c r="BD144" s="1064">
        <f>'Recurrentes 24-26'!BD146</f>
        <v>0</v>
      </c>
      <c r="BE144" s="1064">
        <f>'Recurrentes 24-26'!BE146</f>
        <v>0</v>
      </c>
      <c r="BF144" s="1064">
        <f>'Recurrentes 24-26'!BF146</f>
        <v>0</v>
      </c>
      <c r="BG144" s="1064">
        <f>'Recurrentes 24-26'!BG146</f>
        <v>0</v>
      </c>
      <c r="BH144" s="1064">
        <f>'Recurrentes 24-26'!BH146</f>
        <v>0</v>
      </c>
      <c r="BI144" s="1064">
        <f>'Recurrentes 24-26'!BI146</f>
        <v>0</v>
      </c>
      <c r="BJ144" s="1064">
        <f>'Recurrentes 24-26'!BJ146</f>
        <v>0</v>
      </c>
      <c r="BK144" s="451"/>
      <c r="BL144" s="1064">
        <f>'Recurrentes 24-26'!BK146</f>
        <v>0</v>
      </c>
      <c r="BM144" s="1064">
        <f>'Recurrentes 24-26'!BL146</f>
        <v>0</v>
      </c>
      <c r="BN144" s="1064">
        <f>'Recurrentes 24-26'!BM146</f>
        <v>0</v>
      </c>
      <c r="BO144" s="1064">
        <f>'Recurrentes 24-26'!BN146</f>
        <v>0</v>
      </c>
      <c r="BP144" s="1064">
        <f>'Recurrentes 24-26'!BO146</f>
        <v>0</v>
      </c>
      <c r="BQ144" s="1064">
        <f>'Recurrentes 24-26'!BP146</f>
        <v>0</v>
      </c>
      <c r="BR144" s="1064">
        <f>'Recurrentes 24-26'!BQ146</f>
        <v>0</v>
      </c>
      <c r="BS144" s="1064">
        <f>'Recurrentes 24-26'!BR146</f>
        <v>0</v>
      </c>
      <c r="BT144" s="1064">
        <f>'Recurrentes 24-26'!BS146</f>
        <v>0</v>
      </c>
      <c r="BU144" s="1064">
        <f>'Recurrentes 24-26'!BT146</f>
        <v>0</v>
      </c>
      <c r="BV144" s="1064">
        <f>'Recurrentes 24-26'!BU146</f>
        <v>0</v>
      </c>
      <c r="BW144" s="451"/>
      <c r="BX144" s="1064">
        <f>'Recurrentes 24-26'!BV146</f>
        <v>0</v>
      </c>
      <c r="BY144" s="1064">
        <f>'Recurrentes 24-26'!BW146</f>
        <v>0</v>
      </c>
      <c r="BZ144" s="1064">
        <f>'Recurrentes 24-26'!BX146</f>
        <v>0</v>
      </c>
      <c r="CA144" s="1064">
        <f>'Recurrentes 24-26'!BY146</f>
        <v>0</v>
      </c>
      <c r="CB144" s="1064">
        <f>'Recurrentes 24-26'!BZ146</f>
        <v>0</v>
      </c>
      <c r="CC144" s="1064">
        <f>'Recurrentes 24-26'!CA146</f>
        <v>0</v>
      </c>
      <c r="CD144" s="1064">
        <f>'Recurrentes 24-26'!CB146</f>
        <v>0</v>
      </c>
      <c r="CE144" s="1064">
        <f>'Recurrentes 24-26'!CC146</f>
        <v>0</v>
      </c>
      <c r="CF144" s="1064">
        <f>'Recurrentes 24-26'!CD146</f>
        <v>0</v>
      </c>
      <c r="CG144" s="1064">
        <f>'Recurrentes 24-26'!CE146</f>
        <v>0</v>
      </c>
      <c r="CH144" s="1064">
        <f>'Recurrentes 24-26'!CF146</f>
        <v>0</v>
      </c>
      <c r="CI144" s="451"/>
      <c r="CJ144" s="1064">
        <f>'Recurrentes 24-26'!CG146</f>
        <v>0</v>
      </c>
      <c r="CK144" s="1064">
        <f>'Recurrentes 24-26'!CH146</f>
        <v>0</v>
      </c>
      <c r="CL144" s="451" t="str">
        <f>'Recurrentes 24-26'!CI146</f>
        <v/>
      </c>
      <c r="CM144" s="1064" t="str">
        <f>'Recurrentes 24-26'!CJ146</f>
        <v/>
      </c>
      <c r="CN144" s="451">
        <f>'Recurrentes 24-26'!CK146</f>
        <v>1</v>
      </c>
      <c r="CO144" s="451">
        <f>'Recurrentes 24-26'!CL146</f>
        <v>1</v>
      </c>
      <c r="CP144" s="451">
        <f>'Recurrentes 24-26'!CM146</f>
        <v>1</v>
      </c>
    </row>
    <row r="145">
      <c r="A145" s="451"/>
      <c r="B145" s="451"/>
      <c r="C145" s="451"/>
      <c r="D145" s="451"/>
      <c r="E145" s="451"/>
      <c r="F145" s="451"/>
      <c r="G145" s="1061"/>
      <c r="H145" s="451"/>
      <c r="I145" s="1061"/>
      <c r="J145" s="1061"/>
      <c r="K145" s="451"/>
      <c r="L145" s="451"/>
      <c r="M145" s="451"/>
      <c r="N145" s="451"/>
      <c r="O145" s="451"/>
      <c r="P145" s="451"/>
      <c r="Q145" s="451"/>
      <c r="R145" s="451"/>
      <c r="S145" s="451"/>
      <c r="T145" s="451"/>
      <c r="U145" s="451"/>
      <c r="V145" s="1068"/>
      <c r="W145" s="451"/>
      <c r="X145" s="451"/>
      <c r="Y145" s="451"/>
      <c r="Z145" s="451"/>
      <c r="AA145" s="451"/>
      <c r="AB145" s="451"/>
      <c r="AC145" s="451"/>
      <c r="AD145" s="451"/>
      <c r="AE145" s="451"/>
      <c r="AF145" s="451"/>
      <c r="AG145" s="451"/>
      <c r="AH145" s="1068"/>
      <c r="AI145" s="451"/>
      <c r="AJ145" s="451"/>
      <c r="AK145" s="451"/>
      <c r="AL145" s="451"/>
      <c r="AM145" s="451"/>
      <c r="AN145" s="451"/>
      <c r="AO145" s="451"/>
      <c r="AP145" s="451"/>
      <c r="AQ145" s="451"/>
      <c r="AR145" s="451"/>
      <c r="AS145" s="451"/>
      <c r="AT145" s="1068"/>
      <c r="AU145" s="451"/>
      <c r="AV145" s="1063"/>
      <c r="AW145" s="1068"/>
      <c r="AX145" s="451"/>
      <c r="AY145" s="451"/>
      <c r="AZ145" s="1068"/>
      <c r="BA145" s="451"/>
      <c r="BB145" s="451"/>
      <c r="BC145" s="451"/>
      <c r="BD145" s="451"/>
      <c r="BE145" s="451"/>
      <c r="BF145" s="451"/>
      <c r="BG145" s="451"/>
      <c r="BH145" s="451"/>
      <c r="BI145" s="451"/>
      <c r="BJ145" s="451"/>
      <c r="BK145" s="1068"/>
      <c r="BL145" s="451"/>
      <c r="BM145" s="451"/>
      <c r="BN145" s="451"/>
      <c r="BO145" s="451"/>
      <c r="BP145" s="451"/>
      <c r="BQ145" s="451"/>
      <c r="BR145" s="451"/>
      <c r="BS145" s="451"/>
      <c r="BT145" s="451"/>
      <c r="BU145" s="451"/>
      <c r="BV145" s="451"/>
      <c r="BW145" s="1068"/>
      <c r="BX145" s="451"/>
      <c r="BY145" s="451"/>
      <c r="BZ145" s="451"/>
      <c r="CA145" s="451"/>
      <c r="CB145" s="451"/>
      <c r="CC145" s="451"/>
      <c r="CD145" s="451"/>
      <c r="CE145" s="451"/>
      <c r="CF145" s="451"/>
      <c r="CG145" s="451"/>
      <c r="CH145" s="451"/>
      <c r="CI145" s="1068"/>
      <c r="CJ145" s="451"/>
      <c r="CK145" s="451"/>
      <c r="CL145" s="451"/>
      <c r="CM145" s="451"/>
      <c r="CN145" s="451"/>
      <c r="CO145" s="451"/>
      <c r="CP145" s="451"/>
    </row>
    <row r="146">
      <c r="A146" s="451" t="str">
        <f>'No Recurrentes 24-26'!A4</f>
        <v>Repuestos Electromecánicos no recurrentes</v>
      </c>
      <c r="B146" s="451" t="str">
        <f>'No Recurrentes 24-26'!B4</f>
        <v/>
      </c>
      <c r="C146" s="451" t="str">
        <f>'No Recurrentes 24-26'!C4</f>
        <v>Estación</v>
      </c>
      <c r="D146" s="451" t="str">
        <f>'No Recurrentes 24-26'!D4</f>
        <v>Apoyos de par transportador de vehiculos </v>
      </c>
      <c r="E146" s="451" t="str">
        <f>'No Recurrentes 24-26'!E4</f>
        <v>Lubricante</v>
      </c>
      <c r="F146" s="451" t="str">
        <f>'No Recurrentes 24-26'!F4</f>
        <v>TDB</v>
      </c>
      <c r="G146" s="1061" t="str">
        <f>'No Recurrentes 24-26'!G4</f>
        <v>34110</v>
      </c>
      <c r="H146" s="1061" t="str">
        <f>'No Recurrentes 24-26'!H4</f>
        <v/>
      </c>
      <c r="I146" s="1061">
        <f>'No Recurrentes 24-26'!I4</f>
        <v>12157993</v>
      </c>
      <c r="J146" s="1061" t="str">
        <f>'No Recurrentes 24-26'!J4</f>
        <v>Aceite lubricantes ISO220 (GETRIEBEOEL  ALPHASYN EP 220   FASS ZU A 208,0LTR     CASTROL)</v>
      </c>
      <c r="K146" s="451" t="str">
        <f>'No Recurrentes 24-26'!K4</f>
        <v>Turril</v>
      </c>
      <c r="L146" s="1065" t="str">
        <f>'No Recurrentes 24-26'!BC4</f>
        <v/>
      </c>
      <c r="M146" s="1065" t="str">
        <f>'No Recurrentes 24-26'!BD4</f>
        <v/>
      </c>
      <c r="N146" s="1065" t="str">
        <f>'No Recurrentes 24-26'!BE4</f>
        <v/>
      </c>
      <c r="O146" s="1065" t="str">
        <f>'No Recurrentes 24-26'!BF4</f>
        <v/>
      </c>
      <c r="P146" s="1065" t="str">
        <f>'No Recurrentes 24-26'!BG4</f>
        <v/>
      </c>
      <c r="Q146" s="1065" t="str">
        <f>'No Recurrentes 24-26'!BH4</f>
        <v/>
      </c>
      <c r="R146" s="1065" t="str">
        <f>'No Recurrentes 24-26'!BI4</f>
        <v/>
      </c>
      <c r="S146" s="1065" t="str">
        <f>'No Recurrentes 24-26'!BJ4</f>
        <v/>
      </c>
      <c r="T146" s="1065" t="str">
        <f>'No Recurrentes 24-26'!BK4</f>
        <v/>
      </c>
      <c r="U146" s="1065" t="str">
        <f>'No Recurrentes 24-26'!BL4</f>
        <v/>
      </c>
      <c r="V146" s="1068"/>
      <c r="W146" s="1062">
        <f>'No Recurrentes 24-26'!BM4</f>
        <v>0</v>
      </c>
      <c r="X146" s="1062" t="str">
        <f>'No Recurrentes 24-26'!BN4</f>
        <v/>
      </c>
      <c r="Y146" s="1062" t="str">
        <f>'No Recurrentes 24-26'!BO4</f>
        <v/>
      </c>
      <c r="Z146" s="1062" t="str">
        <f>'No Recurrentes 24-26'!BP4</f>
        <v/>
      </c>
      <c r="AA146" s="1062" t="str">
        <f>'No Recurrentes 24-26'!BQ4</f>
        <v/>
      </c>
      <c r="AB146" s="1062" t="str">
        <f>'No Recurrentes 24-26'!BR4</f>
        <v/>
      </c>
      <c r="AC146" s="1062" t="str">
        <f>'No Recurrentes 24-26'!BS4</f>
        <v/>
      </c>
      <c r="AD146" s="1062" t="str">
        <f>'No Recurrentes 24-26'!BT4</f>
        <v/>
      </c>
      <c r="AE146" s="1062" t="str">
        <f>'No Recurrentes 24-26'!BU4</f>
        <v/>
      </c>
      <c r="AF146" s="1062" t="str">
        <f>'No Recurrentes 24-26'!BV4</f>
        <v/>
      </c>
      <c r="AG146" s="1062" t="str">
        <f>'No Recurrentes 24-26'!BW4</f>
        <v/>
      </c>
      <c r="AH146" s="1068"/>
      <c r="AI146" s="1062">
        <f>'No Recurrentes 24-26'!BX4</f>
        <v>0</v>
      </c>
      <c r="AJ146" s="1062">
        <f>'No Recurrentes 24-26'!BY4</f>
        <v>0</v>
      </c>
      <c r="AK146" s="1062">
        <f>'No Recurrentes 24-26'!BZ4</f>
        <v>0</v>
      </c>
      <c r="AL146" s="1062">
        <f>'No Recurrentes 24-26'!CA4</f>
        <v>0</v>
      </c>
      <c r="AM146" s="1062" t="str">
        <f>'No Recurrentes 24-26'!CB4</f>
        <v/>
      </c>
      <c r="AN146" s="1062">
        <f>'No Recurrentes 24-26'!CC4</f>
        <v>0</v>
      </c>
      <c r="AO146" s="1062" t="str">
        <f>'No Recurrentes 24-26'!CD4</f>
        <v/>
      </c>
      <c r="AP146" s="1062">
        <f>'No Recurrentes 24-26'!CE4</f>
        <v>0</v>
      </c>
      <c r="AQ146" s="1062" t="str">
        <f>'No Recurrentes 24-26'!CF4</f>
        <v/>
      </c>
      <c r="AR146" s="1062">
        <f>'No Recurrentes 24-26'!CG4</f>
        <v>0</v>
      </c>
      <c r="AS146" s="1062" t="str">
        <f>'No Recurrentes 24-26'!CH4</f>
        <v/>
      </c>
      <c r="AT146" s="1068"/>
      <c r="AU146" s="1062">
        <f>'No Recurrentes 24-26'!CI4</f>
        <v>0</v>
      </c>
      <c r="AV146" s="1063">
        <f>'No Recurrentes 24-26'!CJ4</f>
        <v>0</v>
      </c>
      <c r="AW146" s="1068"/>
      <c r="AX146" s="1062">
        <f>'No Recurrentes 24-26'!CK4</f>
        <v>9446.55</v>
      </c>
      <c r="AY146" s="1062">
        <f>'No Recurrentes 24-26'!CL4</f>
        <v>65842.4535</v>
      </c>
      <c r="AZ146" s="1068"/>
      <c r="BA146" s="1062" t="str">
        <f>'No Recurrentes 24-26'!CM4</f>
        <v/>
      </c>
      <c r="BB146" s="1062" t="str">
        <f>'No Recurrentes 24-26'!CN4</f>
        <v/>
      </c>
      <c r="BC146" s="1062" t="str">
        <f>'No Recurrentes 24-26'!CO4</f>
        <v/>
      </c>
      <c r="BD146" s="1062" t="str">
        <f>'No Recurrentes 24-26'!CP4</f>
        <v/>
      </c>
      <c r="BE146" s="1062" t="str">
        <f>'No Recurrentes 24-26'!CQ4</f>
        <v/>
      </c>
      <c r="BF146" s="1062" t="str">
        <f>'No Recurrentes 24-26'!CR4</f>
        <v/>
      </c>
      <c r="BG146" s="1062" t="str">
        <f>'No Recurrentes 24-26'!CS4</f>
        <v/>
      </c>
      <c r="BH146" s="1062" t="str">
        <f>'No Recurrentes 24-26'!CT4</f>
        <v/>
      </c>
      <c r="BI146" s="1062" t="str">
        <f>'No Recurrentes 24-26'!CU4</f>
        <v/>
      </c>
      <c r="BJ146" s="1062" t="str">
        <f>'No Recurrentes 24-26'!CV4</f>
        <v/>
      </c>
      <c r="BK146" s="1068"/>
      <c r="BL146" s="1062">
        <f>'No Recurrentes 24-26'!CW4</f>
        <v>0</v>
      </c>
      <c r="BM146" s="1062" t="str">
        <f>'No Recurrentes 24-26'!CX4</f>
        <v/>
      </c>
      <c r="BN146" s="1062" t="str">
        <f>'No Recurrentes 24-26'!CY4</f>
        <v/>
      </c>
      <c r="BO146" s="1062" t="str">
        <f>'No Recurrentes 24-26'!CZ4</f>
        <v/>
      </c>
      <c r="BP146" s="1062" t="str">
        <f>'No Recurrentes 24-26'!DA4</f>
        <v/>
      </c>
      <c r="BQ146" s="1062" t="str">
        <f>'No Recurrentes 24-26'!DB4</f>
        <v/>
      </c>
      <c r="BR146" s="1062" t="str">
        <f>'No Recurrentes 24-26'!DC4</f>
        <v/>
      </c>
      <c r="BS146" s="1062" t="str">
        <f>'No Recurrentes 24-26'!DD4</f>
        <v/>
      </c>
      <c r="BT146" s="1062" t="str">
        <f>'No Recurrentes 24-26'!DE4</f>
        <v/>
      </c>
      <c r="BU146" s="1062" t="str">
        <f>'No Recurrentes 24-26'!DF4</f>
        <v/>
      </c>
      <c r="BV146" s="1062" t="str">
        <f>'No Recurrentes 24-26'!DG4</f>
        <v/>
      </c>
      <c r="BW146" s="1068"/>
      <c r="BX146" s="1062">
        <f>'No Recurrentes 24-26'!DH4</f>
        <v>0</v>
      </c>
      <c r="BY146" s="1062" t="str">
        <f>'No Recurrentes 24-26'!DI4</f>
        <v/>
      </c>
      <c r="BZ146" s="1062" t="str">
        <f>'No Recurrentes 24-26'!DJ4</f>
        <v/>
      </c>
      <c r="CA146" s="1062" t="str">
        <f>'No Recurrentes 24-26'!DK4</f>
        <v/>
      </c>
      <c r="CB146" s="1062" t="str">
        <f>'No Recurrentes 24-26'!DL4</f>
        <v/>
      </c>
      <c r="CC146" s="1062" t="str">
        <f>'No Recurrentes 24-26'!DM4</f>
        <v/>
      </c>
      <c r="CD146" s="1062" t="str">
        <f>'No Recurrentes 24-26'!DN4</f>
        <v/>
      </c>
      <c r="CE146" s="1062" t="str">
        <f>'No Recurrentes 24-26'!DO4</f>
        <v/>
      </c>
      <c r="CF146" s="1062" t="str">
        <f>'No Recurrentes 24-26'!DP4</f>
        <v/>
      </c>
      <c r="CG146" s="1062" t="str">
        <f>'No Recurrentes 24-26'!DQ4</f>
        <v/>
      </c>
      <c r="CH146" s="1062" t="str">
        <f>'No Recurrentes 24-26'!DR4</f>
        <v/>
      </c>
      <c r="CI146" s="1068"/>
      <c r="CJ146" s="1062">
        <f>'No Recurrentes 24-26'!DS4</f>
        <v>0</v>
      </c>
      <c r="CK146" s="1062">
        <f>'No Recurrentes 24-26'!DT4</f>
        <v>0</v>
      </c>
      <c r="CL146" s="1064" t="str">
        <f>'No Recurrentes 24-26'!DU4</f>
        <v/>
      </c>
      <c r="CM146" s="1064" t="str">
        <f>'No Recurrentes 24-26'!DV4</f>
        <v/>
      </c>
      <c r="CN146" s="1060">
        <f>'No Recurrentes 24-26'!EI4</f>
        <v>1</v>
      </c>
      <c r="CO146" s="1060">
        <f>'No Recurrentes 24-26'!EJ4</f>
        <v>1</v>
      </c>
      <c r="CP146" s="1060">
        <f>'No Recurrentes 24-26'!EK4</f>
        <v>1</v>
      </c>
    </row>
    <row r="147">
      <c r="A147" s="451" t="str">
        <f>'No Recurrentes 24-26'!A5</f>
        <v>Repuestos Electromecánicos no recurrentes</v>
      </c>
      <c r="B147" s="451" t="str">
        <f>'No Recurrentes 24-26'!B5</f>
        <v/>
      </c>
      <c r="C147" s="451" t="str">
        <f>'No Recurrentes 24-26'!C5</f>
        <v>Torre</v>
      </c>
      <c r="D147" s="451" t="str">
        <f>'No Recurrentes 24-26'!D5</f>
        <v>Cambio de amortiguadores</v>
      </c>
      <c r="E147" s="451" t="str">
        <f>'No Recurrentes 24-26'!E5</f>
        <v>Repuesto Mecánico</v>
      </c>
      <c r="F147" s="451" t="str">
        <f>'No Recurrentes 24-26'!F5</f>
        <v>TDB</v>
      </c>
      <c r="G147" s="1061" t="str">
        <f>'No Recurrentes 24-26'!G5</f>
        <v>39800</v>
      </c>
      <c r="H147" s="1061" t="str">
        <f>'No Recurrentes 24-26'!H5</f>
        <v>2-01-01265</v>
      </c>
      <c r="I147" s="1061">
        <f>'No Recurrentes 24-26'!I5</f>
        <v>11805532</v>
      </c>
      <c r="J147" s="1061" t="str">
        <f>'No Recurrentes 24-26'!J5</f>
        <v>AMORTIGUADOR TOURING EM835002 (AMORTIGUADOR TURING 316 975 Nº PEDIDO: 81 4901 003 608)</v>
      </c>
      <c r="K147" s="451" t="str">
        <f>'No Recurrentes 24-26'!K5</f>
        <v>Pza</v>
      </c>
      <c r="L147" s="451">
        <f>'No Recurrentes 24-26'!BC5</f>
        <v>0</v>
      </c>
      <c r="M147" s="451" t="str">
        <f>'No Recurrentes 24-26'!BD5</f>
        <v/>
      </c>
      <c r="N147" s="451">
        <f>'No Recurrentes 24-26'!BE5</f>
        <v>0</v>
      </c>
      <c r="O147" s="451" t="str">
        <f>'No Recurrentes 24-26'!BF5</f>
        <v/>
      </c>
      <c r="P147" s="451" t="str">
        <f>'No Recurrentes 24-26'!BG5</f>
        <v/>
      </c>
      <c r="Q147" s="451" t="str">
        <f>'No Recurrentes 24-26'!BH5</f>
        <v/>
      </c>
      <c r="R147" s="451" t="str">
        <f>'No Recurrentes 24-26'!BI5</f>
        <v/>
      </c>
      <c r="S147" s="451" t="str">
        <f>'No Recurrentes 24-26'!BJ5</f>
        <v/>
      </c>
      <c r="T147" s="451" t="str">
        <f>'No Recurrentes 24-26'!BK5</f>
        <v/>
      </c>
      <c r="U147" s="451" t="str">
        <f>'No Recurrentes 24-26'!BL5</f>
        <v/>
      </c>
      <c r="V147" s="1068"/>
      <c r="W147" s="1062">
        <f>'No Recurrentes 24-26'!BM5</f>
        <v>0</v>
      </c>
      <c r="X147" s="1062" t="str">
        <f>'No Recurrentes 24-26'!BN5</f>
        <v/>
      </c>
      <c r="Y147" s="1062" t="str">
        <f>'No Recurrentes 24-26'!BO5</f>
        <v/>
      </c>
      <c r="Z147" s="1062" t="str">
        <f>'No Recurrentes 24-26'!BP5</f>
        <v/>
      </c>
      <c r="AA147" s="1062">
        <f>'No Recurrentes 24-26'!BQ5</f>
        <v>0</v>
      </c>
      <c r="AB147" s="1062">
        <f>'No Recurrentes 24-26'!BR5</f>
        <v>0</v>
      </c>
      <c r="AC147" s="1062">
        <f>'No Recurrentes 24-26'!BS5</f>
        <v>0</v>
      </c>
      <c r="AD147" s="1062" t="str">
        <f>'No Recurrentes 24-26'!BT5</f>
        <v/>
      </c>
      <c r="AE147" s="1062" t="str">
        <f>'No Recurrentes 24-26'!BU5</f>
        <v/>
      </c>
      <c r="AF147" s="1062" t="str">
        <f>'No Recurrentes 24-26'!BV5</f>
        <v/>
      </c>
      <c r="AG147" s="1062">
        <f>'No Recurrentes 24-26'!BW5</f>
        <v>0</v>
      </c>
      <c r="AH147" s="1068"/>
      <c r="AI147" s="1062">
        <f>'No Recurrentes 24-26'!BX5</f>
        <v>0</v>
      </c>
      <c r="AJ147" s="1062">
        <f>'No Recurrentes 24-26'!BY5</f>
        <v>0</v>
      </c>
      <c r="AK147" s="1062">
        <f>'No Recurrentes 24-26'!BZ5</f>
        <v>0</v>
      </c>
      <c r="AL147" s="1062">
        <f>'No Recurrentes 24-26'!CA5</f>
        <v>0</v>
      </c>
      <c r="AM147" s="1062">
        <f>'No Recurrentes 24-26'!CB5</f>
        <v>0</v>
      </c>
      <c r="AN147" s="1062">
        <f>'No Recurrentes 24-26'!CC5</f>
        <v>0</v>
      </c>
      <c r="AO147" s="1062">
        <f>'No Recurrentes 24-26'!CD5</f>
        <v>0</v>
      </c>
      <c r="AP147" s="1062">
        <f>'No Recurrentes 24-26'!CE5</f>
        <v>0</v>
      </c>
      <c r="AQ147" s="1062">
        <f>'No Recurrentes 24-26'!CF5</f>
        <v>0</v>
      </c>
      <c r="AR147" s="1062">
        <f>'No Recurrentes 24-26'!CG5</f>
        <v>0</v>
      </c>
      <c r="AS147" s="1062">
        <f>'No Recurrentes 24-26'!CH5</f>
        <v>0</v>
      </c>
      <c r="AT147" s="1068"/>
      <c r="AU147" s="1062">
        <f>'No Recurrentes 24-26'!CI5</f>
        <v>0</v>
      </c>
      <c r="AV147" s="1063">
        <f>'No Recurrentes 24-26'!CJ5</f>
        <v>0</v>
      </c>
      <c r="AW147" s="1068"/>
      <c r="AX147" s="1062">
        <f>'No Recurrentes 24-26'!CK5</f>
        <v>325.03</v>
      </c>
      <c r="AY147" s="1062">
        <f>'No Recurrentes 24-26'!CL5</f>
        <v>2265.4591</v>
      </c>
      <c r="AZ147" s="1068"/>
      <c r="BA147" s="1062">
        <f>'No Recurrentes 24-26'!CM5</f>
        <v>0</v>
      </c>
      <c r="BB147" s="1062">
        <f>'No Recurrentes 24-26'!CN5</f>
        <v>0</v>
      </c>
      <c r="BC147" s="1062">
        <f>'No Recurrentes 24-26'!CO5</f>
        <v>0</v>
      </c>
      <c r="BD147" s="1062">
        <f>'No Recurrentes 24-26'!CP5</f>
        <v>0</v>
      </c>
      <c r="BE147" s="1062">
        <f>'No Recurrentes 24-26'!CQ5</f>
        <v>0</v>
      </c>
      <c r="BF147" s="1062">
        <f>'No Recurrentes 24-26'!CR5</f>
        <v>0</v>
      </c>
      <c r="BG147" s="1062">
        <f>'No Recurrentes 24-26'!CS5</f>
        <v>0</v>
      </c>
      <c r="BH147" s="1062">
        <f>'No Recurrentes 24-26'!CT5</f>
        <v>0</v>
      </c>
      <c r="BI147" s="1062">
        <f>'No Recurrentes 24-26'!CU5</f>
        <v>0</v>
      </c>
      <c r="BJ147" s="1062">
        <f>'No Recurrentes 24-26'!CV5</f>
        <v>0</v>
      </c>
      <c r="BK147" s="1068"/>
      <c r="BL147" s="1062">
        <f>'No Recurrentes 24-26'!CW5</f>
        <v>0</v>
      </c>
      <c r="BM147" s="1062">
        <f>'No Recurrentes 24-26'!CX5</f>
        <v>0</v>
      </c>
      <c r="BN147" s="1062">
        <f>'No Recurrentes 24-26'!CY5</f>
        <v>0</v>
      </c>
      <c r="BO147" s="1062">
        <f>'No Recurrentes 24-26'!CZ5</f>
        <v>0</v>
      </c>
      <c r="BP147" s="1062">
        <f>'No Recurrentes 24-26'!DA5</f>
        <v>0</v>
      </c>
      <c r="BQ147" s="1062">
        <f>'No Recurrentes 24-26'!DB5</f>
        <v>0</v>
      </c>
      <c r="BR147" s="1062">
        <f>'No Recurrentes 24-26'!DC5</f>
        <v>0</v>
      </c>
      <c r="BS147" s="1062">
        <f>'No Recurrentes 24-26'!DD5</f>
        <v>0</v>
      </c>
      <c r="BT147" s="1062">
        <f>'No Recurrentes 24-26'!DE5</f>
        <v>0</v>
      </c>
      <c r="BU147" s="1062">
        <f>'No Recurrentes 24-26'!DF5</f>
        <v>0</v>
      </c>
      <c r="BV147" s="1062">
        <f>'No Recurrentes 24-26'!DG5</f>
        <v>0</v>
      </c>
      <c r="BW147" s="1068"/>
      <c r="BX147" s="1062">
        <f>'No Recurrentes 24-26'!DH5</f>
        <v>0</v>
      </c>
      <c r="BY147" s="1062">
        <f>'No Recurrentes 24-26'!DI5</f>
        <v>0</v>
      </c>
      <c r="BZ147" s="1062">
        <f>'No Recurrentes 24-26'!DJ5</f>
        <v>0</v>
      </c>
      <c r="CA147" s="1062">
        <f>'No Recurrentes 24-26'!DK5</f>
        <v>0</v>
      </c>
      <c r="CB147" s="1062">
        <f>'No Recurrentes 24-26'!DL5</f>
        <v>0</v>
      </c>
      <c r="CC147" s="1062">
        <f>'No Recurrentes 24-26'!DM5</f>
        <v>0</v>
      </c>
      <c r="CD147" s="1062">
        <f>'No Recurrentes 24-26'!DN5</f>
        <v>0</v>
      </c>
      <c r="CE147" s="1062">
        <f>'No Recurrentes 24-26'!DO5</f>
        <v>0</v>
      </c>
      <c r="CF147" s="1062">
        <f>'No Recurrentes 24-26'!DP5</f>
        <v>0</v>
      </c>
      <c r="CG147" s="1062">
        <f>'No Recurrentes 24-26'!DQ5</f>
        <v>0</v>
      </c>
      <c r="CH147" s="1062">
        <f>'No Recurrentes 24-26'!DR5</f>
        <v>0</v>
      </c>
      <c r="CI147" s="1068"/>
      <c r="CJ147" s="1062">
        <f>'No Recurrentes 24-26'!DS5</f>
        <v>0</v>
      </c>
      <c r="CK147" s="1062">
        <f>'No Recurrentes 24-26'!DT5</f>
        <v>0</v>
      </c>
      <c r="CL147" s="1064" t="str">
        <f>'No Recurrentes 24-26'!DU5</f>
        <v/>
      </c>
      <c r="CM147" s="1064" t="str">
        <f>'No Recurrentes 24-26'!DV5</f>
        <v/>
      </c>
      <c r="CN147" s="1060">
        <f>'No Recurrentes 24-26'!EI5</f>
        <v>1</v>
      </c>
      <c r="CO147" s="1060" t="str">
        <f>'No Recurrentes 24-26'!EJ5</f>
        <v/>
      </c>
      <c r="CP147" s="1060" t="str">
        <f>'No Recurrentes 24-26'!EK5</f>
        <v/>
      </c>
    </row>
    <row r="148">
      <c r="A148" s="451" t="str">
        <f>'No Recurrentes 24-26'!A6</f>
        <v>Repuestos Electromecánicos no recurrentes</v>
      </c>
      <c r="B148" s="451" t="str">
        <f>'No Recurrentes 24-26'!B6</f>
        <v/>
      </c>
      <c r="C148" s="451" t="str">
        <f>'No Recurrentes 24-26'!C6</f>
        <v>Vehiculo</v>
      </c>
      <c r="D148" s="451" t="str">
        <f>'No Recurrentes 24-26'!D6</f>
        <v>Cambio de baterías </v>
      </c>
      <c r="E148" s="451" t="str">
        <f>'No Recurrentes 24-26'!E6</f>
        <v>Repuesto Eléctrico</v>
      </c>
      <c r="F148" s="451" t="str">
        <f>'No Recurrentes 24-26'!F6</f>
        <v>LOCAL</v>
      </c>
      <c r="G148" s="1061" t="str">
        <f>'No Recurrentes 24-26'!G6</f>
        <v>39700</v>
      </c>
      <c r="H148" s="1061" t="str">
        <f>'No Recurrentes 24-26'!H6</f>
        <v/>
      </c>
      <c r="I148" s="1061" t="str">
        <f>'No Recurrentes 24-26'!I6</f>
        <v/>
      </c>
      <c r="J148" s="1061" t="str">
        <f>'No Recurrentes 24-26'!J6</f>
        <v>BATERIA PARA SISTEMA LOOP 21 EN CABINAS 12V 55 Ah (22,3x10x27,3) (DISP.DE COMUNICACIÓN P. CABINA SEG. OFERTA 1603 HOLZKNECHT)</v>
      </c>
      <c r="K148" s="451" t="str">
        <f>'No Recurrentes 24-26'!K6</f>
        <v>Pza</v>
      </c>
      <c r="L148" s="451">
        <f>'No Recurrentes 24-26'!BC6</f>
        <v>0</v>
      </c>
      <c r="M148" s="451">
        <f>'No Recurrentes 24-26'!BD6</f>
        <v>0</v>
      </c>
      <c r="N148" s="451" t="str">
        <f>'No Recurrentes 24-26'!BE6</f>
        <v/>
      </c>
      <c r="O148" s="451" t="str">
        <f>'No Recurrentes 24-26'!BF6</f>
        <v/>
      </c>
      <c r="P148" s="451" t="str">
        <f>'No Recurrentes 24-26'!BG6</f>
        <v/>
      </c>
      <c r="Q148" s="451" t="str">
        <f>'No Recurrentes 24-26'!BH6</f>
        <v/>
      </c>
      <c r="R148" s="451">
        <f>'No Recurrentes 24-26'!BI6</f>
        <v>0</v>
      </c>
      <c r="S148" s="451">
        <f>'No Recurrentes 24-26'!BJ6</f>
        <v>0</v>
      </c>
      <c r="T148" s="451">
        <f>'No Recurrentes 24-26'!BK6</f>
        <v>0</v>
      </c>
      <c r="U148" s="451" t="str">
        <f>'No Recurrentes 24-26'!BL6</f>
        <v/>
      </c>
      <c r="V148" s="1068"/>
      <c r="W148" s="1062">
        <f>'No Recurrentes 24-26'!BM6</f>
        <v>0</v>
      </c>
      <c r="X148" s="1062" t="str">
        <f>'No Recurrentes 24-26'!BN6</f>
        <v/>
      </c>
      <c r="Y148" s="1062" t="str">
        <f>'No Recurrentes 24-26'!BO6</f>
        <v/>
      </c>
      <c r="Z148" s="1062" t="str">
        <f>'No Recurrentes 24-26'!BP6</f>
        <v/>
      </c>
      <c r="AA148" s="1062" t="str">
        <f>'No Recurrentes 24-26'!BQ6</f>
        <v/>
      </c>
      <c r="AB148" s="1062" t="str">
        <f>'No Recurrentes 24-26'!BR6</f>
        <v/>
      </c>
      <c r="AC148" s="1062" t="str">
        <f>'No Recurrentes 24-26'!BS6</f>
        <v/>
      </c>
      <c r="AD148" s="1062" t="str">
        <f>'No Recurrentes 24-26'!BT6</f>
        <v/>
      </c>
      <c r="AE148" s="1062" t="str">
        <f>'No Recurrentes 24-26'!BU6</f>
        <v/>
      </c>
      <c r="AF148" s="1062" t="str">
        <f>'No Recurrentes 24-26'!BV6</f>
        <v/>
      </c>
      <c r="AG148" s="1062" t="str">
        <f>'No Recurrentes 24-26'!BW6</f>
        <v/>
      </c>
      <c r="AH148" s="1068"/>
      <c r="AI148" s="1062">
        <f>'No Recurrentes 24-26'!BX6</f>
        <v>0</v>
      </c>
      <c r="AJ148" s="1062">
        <f>'No Recurrentes 24-26'!BY6</f>
        <v>0</v>
      </c>
      <c r="AK148" s="1062">
        <f>'No Recurrentes 24-26'!BZ6</f>
        <v>0</v>
      </c>
      <c r="AL148" s="1062">
        <f>'No Recurrentes 24-26'!CA6</f>
        <v>0</v>
      </c>
      <c r="AM148" s="1062">
        <f>'No Recurrentes 24-26'!CB6</f>
        <v>0</v>
      </c>
      <c r="AN148" s="1062">
        <f>'No Recurrentes 24-26'!CC6</f>
        <v>0</v>
      </c>
      <c r="AO148" s="1062">
        <f>'No Recurrentes 24-26'!CD6</f>
        <v>0</v>
      </c>
      <c r="AP148" s="1062">
        <f>'No Recurrentes 24-26'!CE6</f>
        <v>0</v>
      </c>
      <c r="AQ148" s="1062">
        <f>'No Recurrentes 24-26'!CF6</f>
        <v>0</v>
      </c>
      <c r="AR148" s="1062">
        <f>'No Recurrentes 24-26'!CG6</f>
        <v>0</v>
      </c>
      <c r="AS148" s="1062">
        <f>'No Recurrentes 24-26'!CH6</f>
        <v>0</v>
      </c>
      <c r="AT148" s="1068"/>
      <c r="AU148" s="1062">
        <f>'No Recurrentes 24-26'!CI6</f>
        <v>0</v>
      </c>
      <c r="AV148" s="1063">
        <f>'No Recurrentes 24-26'!CJ6</f>
        <v>0</v>
      </c>
      <c r="AW148" s="1068"/>
      <c r="AX148" s="1062" t="str">
        <f>'No Recurrentes 24-26'!CK6</f>
        <v/>
      </c>
      <c r="AY148" s="1062">
        <f>'No Recurrentes 24-26'!CL6</f>
        <v>0</v>
      </c>
      <c r="AZ148" s="1068"/>
      <c r="BA148" s="1062">
        <f>'No Recurrentes 24-26'!CM6</f>
        <v>0</v>
      </c>
      <c r="BB148" s="1062">
        <f>'No Recurrentes 24-26'!CN6</f>
        <v>0</v>
      </c>
      <c r="BC148" s="1062">
        <f>'No Recurrentes 24-26'!CO6</f>
        <v>0</v>
      </c>
      <c r="BD148" s="1062">
        <f>'No Recurrentes 24-26'!CP6</f>
        <v>0</v>
      </c>
      <c r="BE148" s="1062">
        <f>'No Recurrentes 24-26'!CQ6</f>
        <v>0</v>
      </c>
      <c r="BF148" s="1062">
        <f>'No Recurrentes 24-26'!CR6</f>
        <v>0</v>
      </c>
      <c r="BG148" s="1062">
        <f>'No Recurrentes 24-26'!CS6</f>
        <v>0</v>
      </c>
      <c r="BH148" s="1062">
        <f>'No Recurrentes 24-26'!CT6</f>
        <v>0</v>
      </c>
      <c r="BI148" s="1062">
        <f>'No Recurrentes 24-26'!CU6</f>
        <v>0</v>
      </c>
      <c r="BJ148" s="1062">
        <f>'No Recurrentes 24-26'!CV6</f>
        <v>0</v>
      </c>
      <c r="BK148" s="1068"/>
      <c r="BL148" s="1062">
        <f>'No Recurrentes 24-26'!CW6</f>
        <v>0</v>
      </c>
      <c r="BM148" s="1062">
        <f>'No Recurrentes 24-26'!CX6</f>
        <v>0</v>
      </c>
      <c r="BN148" s="1062">
        <f>'No Recurrentes 24-26'!CY6</f>
        <v>0</v>
      </c>
      <c r="BO148" s="1062">
        <f>'No Recurrentes 24-26'!CZ6</f>
        <v>0</v>
      </c>
      <c r="BP148" s="1062">
        <f>'No Recurrentes 24-26'!DA6</f>
        <v>0</v>
      </c>
      <c r="BQ148" s="1062">
        <f>'No Recurrentes 24-26'!DB6</f>
        <v>0</v>
      </c>
      <c r="BR148" s="1062">
        <f>'No Recurrentes 24-26'!DC6</f>
        <v>0</v>
      </c>
      <c r="BS148" s="1062">
        <f>'No Recurrentes 24-26'!DD6</f>
        <v>0</v>
      </c>
      <c r="BT148" s="1062">
        <f>'No Recurrentes 24-26'!DE6</f>
        <v>0</v>
      </c>
      <c r="BU148" s="1062">
        <f>'No Recurrentes 24-26'!DF6</f>
        <v>0</v>
      </c>
      <c r="BV148" s="1062">
        <f>'No Recurrentes 24-26'!DG6</f>
        <v>0</v>
      </c>
      <c r="BW148" s="1068"/>
      <c r="BX148" s="1062">
        <f>'No Recurrentes 24-26'!DH6</f>
        <v>0</v>
      </c>
      <c r="BY148" s="1062">
        <f>'No Recurrentes 24-26'!DI6</f>
        <v>0</v>
      </c>
      <c r="BZ148" s="1062">
        <f>'No Recurrentes 24-26'!DJ6</f>
        <v>0</v>
      </c>
      <c r="CA148" s="1062">
        <f>'No Recurrentes 24-26'!DK6</f>
        <v>0</v>
      </c>
      <c r="CB148" s="1062">
        <f>'No Recurrentes 24-26'!DL6</f>
        <v>0</v>
      </c>
      <c r="CC148" s="1062">
        <f>'No Recurrentes 24-26'!DM6</f>
        <v>0</v>
      </c>
      <c r="CD148" s="1062">
        <f>'No Recurrentes 24-26'!DN6</f>
        <v>0</v>
      </c>
      <c r="CE148" s="1062">
        <f>'No Recurrentes 24-26'!DO6</f>
        <v>0</v>
      </c>
      <c r="CF148" s="1062">
        <f>'No Recurrentes 24-26'!DP6</f>
        <v>0</v>
      </c>
      <c r="CG148" s="1062">
        <f>'No Recurrentes 24-26'!DQ6</f>
        <v>0</v>
      </c>
      <c r="CH148" s="1062">
        <f>'No Recurrentes 24-26'!DR6</f>
        <v>0</v>
      </c>
      <c r="CI148" s="1068"/>
      <c r="CJ148" s="1062">
        <f>'No Recurrentes 24-26'!DS6</f>
        <v>0</v>
      </c>
      <c r="CK148" s="1062">
        <f>'No Recurrentes 24-26'!DT6</f>
        <v>0</v>
      </c>
      <c r="CL148" s="1064" t="str">
        <f>'No Recurrentes 24-26'!DU6</f>
        <v/>
      </c>
      <c r="CM148" s="1064" t="str">
        <f>'No Recurrentes 24-26'!DV6</f>
        <v/>
      </c>
      <c r="CN148" s="1060">
        <f>'No Recurrentes 24-26'!EI6</f>
        <v>1</v>
      </c>
      <c r="CO148" s="1060" t="str">
        <f>'No Recurrentes 24-26'!EJ6</f>
        <v/>
      </c>
      <c r="CP148" s="1060" t="str">
        <f>'No Recurrentes 24-26'!EK6</f>
        <v/>
      </c>
    </row>
    <row r="149">
      <c r="A149" s="451" t="str">
        <f>'No Recurrentes 24-26'!A7</f>
        <v>Repuestos Electromecánicos no recurrentes</v>
      </c>
      <c r="B149" s="451">
        <f>'No Recurrentes 24-26'!B7</f>
        <v>2</v>
      </c>
      <c r="C149" s="451" t="str">
        <f>'No Recurrentes 24-26'!C7</f>
        <v>Estación</v>
      </c>
      <c r="D149" s="451" t="str">
        <f>'No Recurrentes 24-26'!D7</f>
        <v>Dinamo y polea impulsos</v>
      </c>
      <c r="E149" s="451" t="str">
        <f>'No Recurrentes 24-26'!E7</f>
        <v>Repuesto Mecánico</v>
      </c>
      <c r="F149" s="451" t="str">
        <f>'No Recurrentes 24-26'!F7</f>
        <v>TDB</v>
      </c>
      <c r="G149" s="1025" t="str">
        <f>'No Recurrentes 24-26'!G7</f>
        <v>39800</v>
      </c>
      <c r="H149" s="1061" t="str">
        <f>'No Recurrentes 24-26'!H7</f>
        <v>2-02-00107</v>
      </c>
      <c r="I149" s="1061" t="str">
        <f>'No Recurrentes 24-26'!I7</f>
        <v>10011103</v>
      </c>
      <c r="J149" s="1061" t="str">
        <f>'No Recurrentes 24-26'!J7</f>
        <v>DÍNAMO TACOM.REO444 R1B 0,06EG JT-IP56 CON MAX.10000RPM-0,18A</v>
      </c>
      <c r="K149" s="451" t="str">
        <f>'No Recurrentes 24-26'!K7</f>
        <v>Pza</v>
      </c>
      <c r="L149" s="451" t="str">
        <f>'No Recurrentes 24-26'!BC7</f>
        <v/>
      </c>
      <c r="M149" s="451" t="str">
        <f>'No Recurrentes 24-26'!BD7</f>
        <v/>
      </c>
      <c r="N149" s="451">
        <f>'No Recurrentes 24-26'!BE7</f>
        <v>0</v>
      </c>
      <c r="O149" s="451" t="str">
        <f>'No Recurrentes 24-26'!BF7</f>
        <v/>
      </c>
      <c r="P149" s="451" t="str">
        <f>'No Recurrentes 24-26'!BG7</f>
        <v/>
      </c>
      <c r="Q149" s="451" t="str">
        <f>'No Recurrentes 24-26'!BH7</f>
        <v/>
      </c>
      <c r="R149" s="451" t="str">
        <f>'No Recurrentes 24-26'!BI7</f>
        <v/>
      </c>
      <c r="S149" s="451" t="str">
        <f>'No Recurrentes 24-26'!BJ7</f>
        <v/>
      </c>
      <c r="T149" s="451" t="str">
        <f>'No Recurrentes 24-26'!BK7</f>
        <v/>
      </c>
      <c r="U149" s="451" t="str">
        <f>'No Recurrentes 24-26'!BL7</f>
        <v/>
      </c>
      <c r="V149" s="1068"/>
      <c r="W149" s="1062">
        <f>'No Recurrentes 24-26'!BM7</f>
        <v>0</v>
      </c>
      <c r="X149" s="1062" t="str">
        <f>'No Recurrentes 24-26'!BN7</f>
        <v/>
      </c>
      <c r="Y149" s="1062" t="str">
        <f>'No Recurrentes 24-26'!BO7</f>
        <v/>
      </c>
      <c r="Z149" s="1062">
        <f>'No Recurrentes 24-26'!BP7</f>
        <v>4</v>
      </c>
      <c r="AA149" s="1062" t="str">
        <f>'No Recurrentes 24-26'!BQ7</f>
        <v/>
      </c>
      <c r="AB149" s="1062" t="str">
        <f>'No Recurrentes 24-26'!BR7</f>
        <v/>
      </c>
      <c r="AC149" s="1062" t="str">
        <f>'No Recurrentes 24-26'!BS7</f>
        <v/>
      </c>
      <c r="AD149" s="1062" t="str">
        <f>'No Recurrentes 24-26'!BT7</f>
        <v/>
      </c>
      <c r="AE149" s="1062" t="str">
        <f>'No Recurrentes 24-26'!BU7</f>
        <v/>
      </c>
      <c r="AF149" s="1062" t="str">
        <f>'No Recurrentes 24-26'!BV7</f>
        <v/>
      </c>
      <c r="AG149" s="1062">
        <f>'No Recurrentes 24-26'!BW7</f>
        <v>4</v>
      </c>
      <c r="AH149" s="1068"/>
      <c r="AI149" s="1062">
        <f>'No Recurrentes 24-26'!BX7</f>
        <v>8</v>
      </c>
      <c r="AJ149" s="1062">
        <f>'No Recurrentes 24-26'!BY7</f>
        <v>0</v>
      </c>
      <c r="AK149" s="1062">
        <f>'No Recurrentes 24-26'!BZ7</f>
        <v>0</v>
      </c>
      <c r="AL149" s="1062">
        <f>'No Recurrentes 24-26'!CA7</f>
        <v>4</v>
      </c>
      <c r="AM149" s="1062">
        <f>'No Recurrentes 24-26'!CB7</f>
        <v>0</v>
      </c>
      <c r="AN149" s="1062">
        <f>'No Recurrentes 24-26'!CC7</f>
        <v>0</v>
      </c>
      <c r="AO149" s="1062">
        <f>'No Recurrentes 24-26'!CD7</f>
        <v>0</v>
      </c>
      <c r="AP149" s="1062">
        <f>'No Recurrentes 24-26'!CE7</f>
        <v>0</v>
      </c>
      <c r="AQ149" s="1062">
        <f>'No Recurrentes 24-26'!CF7</f>
        <v>0</v>
      </c>
      <c r="AR149" s="1062">
        <f>'No Recurrentes 24-26'!CG7</f>
        <v>0</v>
      </c>
      <c r="AS149" s="1062">
        <f>'No Recurrentes 24-26'!CH7</f>
        <v>0</v>
      </c>
      <c r="AT149" s="1068"/>
      <c r="AU149" s="1062">
        <f>'No Recurrentes 24-26'!CI7</f>
        <v>4</v>
      </c>
      <c r="AV149" s="1063">
        <f>'No Recurrentes 24-26'!CJ7</f>
        <v>12</v>
      </c>
      <c r="AW149" s="1068"/>
      <c r="AX149" s="1065">
        <f>'No Recurrentes 24-26'!CK7</f>
        <v>2388.56</v>
      </c>
      <c r="AY149" s="1062">
        <f>'No Recurrentes 24-26'!CL7</f>
        <v>16624.3776</v>
      </c>
      <c r="AZ149" s="1068"/>
      <c r="BA149" s="1062">
        <f>'No Recurrentes 24-26'!CM7</f>
        <v>0</v>
      </c>
      <c r="BB149" s="1062">
        <f>'No Recurrentes 24-26'!CN7</f>
        <v>0</v>
      </c>
      <c r="BC149" s="1062">
        <f>'No Recurrentes 24-26'!CO7</f>
        <v>0</v>
      </c>
      <c r="BD149" s="1062">
        <f>'No Recurrentes 24-26'!CP7</f>
        <v>0</v>
      </c>
      <c r="BE149" s="1062">
        <f>'No Recurrentes 24-26'!CQ7</f>
        <v>0</v>
      </c>
      <c r="BF149" s="1062">
        <f>'No Recurrentes 24-26'!CR7</f>
        <v>0</v>
      </c>
      <c r="BG149" s="1062">
        <f>'No Recurrentes 24-26'!CS7</f>
        <v>0</v>
      </c>
      <c r="BH149" s="1062">
        <f>'No Recurrentes 24-26'!CT7</f>
        <v>0</v>
      </c>
      <c r="BI149" s="1062">
        <f>'No Recurrentes 24-26'!CU7</f>
        <v>0</v>
      </c>
      <c r="BJ149" s="1062">
        <f>'No Recurrentes 24-26'!CV7</f>
        <v>0</v>
      </c>
      <c r="BK149" s="1068"/>
      <c r="BL149" s="1062">
        <f>'No Recurrentes 24-26'!CW7</f>
        <v>0</v>
      </c>
      <c r="BM149" s="1062">
        <f>'No Recurrentes 24-26'!CX7</f>
        <v>0</v>
      </c>
      <c r="BN149" s="1062">
        <f>'No Recurrentes 24-26'!CY7</f>
        <v>0</v>
      </c>
      <c r="BO149" s="1062">
        <f>'No Recurrentes 24-26'!CZ7</f>
        <v>66497.5104</v>
      </c>
      <c r="BP149" s="1062">
        <f>'No Recurrentes 24-26'!DA7</f>
        <v>0</v>
      </c>
      <c r="BQ149" s="1062">
        <f>'No Recurrentes 24-26'!DB7</f>
        <v>0</v>
      </c>
      <c r="BR149" s="1062">
        <f>'No Recurrentes 24-26'!DC7</f>
        <v>0</v>
      </c>
      <c r="BS149" s="1062">
        <f>'No Recurrentes 24-26'!DD7</f>
        <v>0</v>
      </c>
      <c r="BT149" s="1062">
        <f>'No Recurrentes 24-26'!DE7</f>
        <v>0</v>
      </c>
      <c r="BU149" s="1062">
        <f>'No Recurrentes 24-26'!DF7</f>
        <v>0</v>
      </c>
      <c r="BV149" s="1062">
        <f>'No Recurrentes 24-26'!DG7</f>
        <v>66497.5104</v>
      </c>
      <c r="BW149" s="1068"/>
      <c r="BX149" s="1062">
        <f>'No Recurrentes 24-26'!DH7</f>
        <v>132995.0208</v>
      </c>
      <c r="BY149" s="1062">
        <f>'No Recurrentes 24-26'!DI7</f>
        <v>0</v>
      </c>
      <c r="BZ149" s="1062">
        <f>'No Recurrentes 24-26'!DJ7</f>
        <v>0</v>
      </c>
      <c r="CA149" s="1062">
        <f>'No Recurrentes 24-26'!DK7</f>
        <v>66497.5104</v>
      </c>
      <c r="CB149" s="1062">
        <f>'No Recurrentes 24-26'!DL7</f>
        <v>0</v>
      </c>
      <c r="CC149" s="1062">
        <f>'No Recurrentes 24-26'!DM7</f>
        <v>0</v>
      </c>
      <c r="CD149" s="1062">
        <f>'No Recurrentes 24-26'!DN7</f>
        <v>0</v>
      </c>
      <c r="CE149" s="1062">
        <f>'No Recurrentes 24-26'!DO7</f>
        <v>0</v>
      </c>
      <c r="CF149" s="1062">
        <f>'No Recurrentes 24-26'!DP7</f>
        <v>0</v>
      </c>
      <c r="CG149" s="1062">
        <f>'No Recurrentes 24-26'!DQ7</f>
        <v>0</v>
      </c>
      <c r="CH149" s="1062">
        <f>'No Recurrentes 24-26'!DR7</f>
        <v>0</v>
      </c>
      <c r="CI149" s="1068"/>
      <c r="CJ149" s="1062">
        <f>'No Recurrentes 24-26'!DS7</f>
        <v>66497.5104</v>
      </c>
      <c r="CK149" s="1062">
        <f>'No Recurrentes 24-26'!DT7</f>
        <v>199492.5312</v>
      </c>
      <c r="CL149" s="1064" t="str">
        <f>'No Recurrentes 24-26'!DU7</f>
        <v/>
      </c>
      <c r="CM149" s="1064" t="str">
        <f>'No Recurrentes 24-26'!DV7</f>
        <v/>
      </c>
      <c r="CN149" s="1065">
        <f>'No Recurrentes 24-26'!EI7</f>
        <v>2388.56</v>
      </c>
      <c r="CO149" s="1065">
        <f>'No Recurrentes 24-26'!EJ7</f>
        <v>2030.28</v>
      </c>
      <c r="CP149" s="1060" t="str">
        <f>'No Recurrentes 24-26'!EK7</f>
        <v/>
      </c>
    </row>
    <row r="150">
      <c r="A150" s="451" t="str">
        <f>'No Recurrentes 24-26'!A8</f>
        <v>Repuestos Electromecánicos no recurrentes</v>
      </c>
      <c r="B150" s="451">
        <f>'No Recurrentes 24-26'!B8</f>
        <v>2</v>
      </c>
      <c r="C150" s="451" t="str">
        <f>'No Recurrentes 24-26'!C8</f>
        <v>Estación</v>
      </c>
      <c r="D150" s="451" t="str">
        <f>'No Recurrentes 24-26'!D8</f>
        <v>Dinamo y polea impulsos</v>
      </c>
      <c r="E150" s="451" t="str">
        <f>'No Recurrentes 24-26'!E8</f>
        <v>Repuesto Mecánico</v>
      </c>
      <c r="F150" s="451" t="str">
        <f>'No Recurrentes 24-26'!F8</f>
        <v>TDB</v>
      </c>
      <c r="G150" s="1025" t="str">
        <f>'No Recurrentes 24-26'!G8</f>
        <v>39800</v>
      </c>
      <c r="H150" s="1061" t="str">
        <f>'No Recurrentes 24-26'!H8</f>
        <v/>
      </c>
      <c r="I150" s="1061" t="str">
        <f>'No Recurrentes 24-26'!I8</f>
        <v>10363851</v>
      </c>
      <c r="J150" s="1061" t="str">
        <f>'No Recurrentes 24-26'!J8</f>
        <v>POLEA +COJIN. P.POL.CONT.DIA29 PARA POLEA CONTADORA</v>
      </c>
      <c r="K150" s="451" t="str">
        <f>'No Recurrentes 24-26'!K8</f>
        <v>Pza</v>
      </c>
      <c r="L150" s="451" t="str">
        <f>'No Recurrentes 24-26'!BC8</f>
        <v/>
      </c>
      <c r="M150" s="451" t="str">
        <f>'No Recurrentes 24-26'!BD8</f>
        <v/>
      </c>
      <c r="N150" s="451" t="str">
        <f>'No Recurrentes 24-26'!BE8</f>
        <v/>
      </c>
      <c r="O150" s="451" t="str">
        <f>'No Recurrentes 24-26'!BF8</f>
        <v/>
      </c>
      <c r="P150" s="451" t="str">
        <f>'No Recurrentes 24-26'!BG8</f>
        <v/>
      </c>
      <c r="Q150" s="451" t="str">
        <f>'No Recurrentes 24-26'!BH8</f>
        <v/>
      </c>
      <c r="R150" s="451">
        <f>'No Recurrentes 24-26'!BI8</f>
        <v>0</v>
      </c>
      <c r="S150" s="451">
        <f>'No Recurrentes 24-26'!BJ8</f>
        <v>0</v>
      </c>
      <c r="T150" s="451" t="str">
        <f>'No Recurrentes 24-26'!BK8</f>
        <v/>
      </c>
      <c r="U150" s="451">
        <f>'No Recurrentes 24-26'!BL8</f>
        <v>0</v>
      </c>
      <c r="V150" s="1068"/>
      <c r="W150" s="1062">
        <f>'No Recurrentes 24-26'!BM8</f>
        <v>0</v>
      </c>
      <c r="X150" s="1062" t="str">
        <f>'No Recurrentes 24-26'!BN8</f>
        <v/>
      </c>
      <c r="Y150" s="1062" t="str">
        <f>'No Recurrentes 24-26'!BO8</f>
        <v/>
      </c>
      <c r="Z150" s="1062" t="str">
        <f>'No Recurrentes 24-26'!BP8</f>
        <v/>
      </c>
      <c r="AA150" s="1062" t="str">
        <f>'No Recurrentes 24-26'!BQ8</f>
        <v/>
      </c>
      <c r="AB150" s="1062" t="str">
        <f>'No Recurrentes 24-26'!BR8</f>
        <v/>
      </c>
      <c r="AC150" s="1062" t="str">
        <f>'No Recurrentes 24-26'!BS8</f>
        <v/>
      </c>
      <c r="AD150" s="1062">
        <f>'No Recurrentes 24-26'!BT8</f>
        <v>2</v>
      </c>
      <c r="AE150" s="1062">
        <f>'No Recurrentes 24-26'!BU8</f>
        <v>2</v>
      </c>
      <c r="AF150" s="1062" t="str">
        <f>'No Recurrentes 24-26'!BV8</f>
        <v/>
      </c>
      <c r="AG150" s="1062">
        <f>'No Recurrentes 24-26'!BW8</f>
        <v>2</v>
      </c>
      <c r="AH150" s="1068"/>
      <c r="AI150" s="1062">
        <f>'No Recurrentes 24-26'!BX8</f>
        <v>6</v>
      </c>
      <c r="AJ150" s="1062">
        <f>'No Recurrentes 24-26'!BY8</f>
        <v>0</v>
      </c>
      <c r="AK150" s="1062">
        <f>'No Recurrentes 24-26'!BZ8</f>
        <v>0</v>
      </c>
      <c r="AL150" s="1062">
        <f>'No Recurrentes 24-26'!CA8</f>
        <v>0</v>
      </c>
      <c r="AM150" s="1062">
        <f>'No Recurrentes 24-26'!CB8</f>
        <v>0</v>
      </c>
      <c r="AN150" s="1062">
        <f>'No Recurrentes 24-26'!CC8</f>
        <v>0</v>
      </c>
      <c r="AO150" s="1062">
        <f>'No Recurrentes 24-26'!CD8</f>
        <v>0</v>
      </c>
      <c r="AP150" s="1062">
        <f>'No Recurrentes 24-26'!CE8</f>
        <v>2</v>
      </c>
      <c r="AQ150" s="1062">
        <f>'No Recurrentes 24-26'!CF8</f>
        <v>2</v>
      </c>
      <c r="AR150" s="1062">
        <f>'No Recurrentes 24-26'!CG8</f>
        <v>0</v>
      </c>
      <c r="AS150" s="1062">
        <f>'No Recurrentes 24-26'!CH8</f>
        <v>0</v>
      </c>
      <c r="AT150" s="1068"/>
      <c r="AU150" s="1062">
        <f>'No Recurrentes 24-26'!CI8</f>
        <v>4</v>
      </c>
      <c r="AV150" s="1063">
        <f>'No Recurrentes 24-26'!CJ8</f>
        <v>10</v>
      </c>
      <c r="AW150" s="1068"/>
      <c r="AX150" s="1065">
        <f>'No Recurrentes 24-26'!CK8</f>
        <v>754.93</v>
      </c>
      <c r="AY150" s="1062">
        <f>'No Recurrentes 24-26'!CL8</f>
        <v>5254.3128</v>
      </c>
      <c r="AZ150" s="1068"/>
      <c r="BA150" s="1062">
        <f>'No Recurrentes 24-26'!CM8</f>
        <v>0</v>
      </c>
      <c r="BB150" s="1062">
        <f>'No Recurrentes 24-26'!CN8</f>
        <v>0</v>
      </c>
      <c r="BC150" s="1062">
        <f>'No Recurrentes 24-26'!CO8</f>
        <v>0</v>
      </c>
      <c r="BD150" s="1062">
        <f>'No Recurrentes 24-26'!CP8</f>
        <v>0</v>
      </c>
      <c r="BE150" s="1062">
        <f>'No Recurrentes 24-26'!CQ8</f>
        <v>0</v>
      </c>
      <c r="BF150" s="1062">
        <f>'No Recurrentes 24-26'!CR8</f>
        <v>0</v>
      </c>
      <c r="BG150" s="1062">
        <f>'No Recurrentes 24-26'!CS8</f>
        <v>0</v>
      </c>
      <c r="BH150" s="1062">
        <f>'No Recurrentes 24-26'!CT8</f>
        <v>0</v>
      </c>
      <c r="BI150" s="1062">
        <f>'No Recurrentes 24-26'!CU8</f>
        <v>0</v>
      </c>
      <c r="BJ150" s="1062">
        <f>'No Recurrentes 24-26'!CV8</f>
        <v>0</v>
      </c>
      <c r="BK150" s="1068"/>
      <c r="BL150" s="1062">
        <f>'No Recurrentes 24-26'!CW8</f>
        <v>0</v>
      </c>
      <c r="BM150" s="1062">
        <f>'No Recurrentes 24-26'!CX8</f>
        <v>0</v>
      </c>
      <c r="BN150" s="1062">
        <f>'No Recurrentes 24-26'!CY8</f>
        <v>0</v>
      </c>
      <c r="BO150" s="1062">
        <f>'No Recurrentes 24-26'!CZ8</f>
        <v>0</v>
      </c>
      <c r="BP150" s="1062">
        <f>'No Recurrentes 24-26'!DA8</f>
        <v>0</v>
      </c>
      <c r="BQ150" s="1062">
        <f>'No Recurrentes 24-26'!DB8</f>
        <v>0</v>
      </c>
      <c r="BR150" s="1062">
        <f>'No Recurrentes 24-26'!DC8</f>
        <v>0</v>
      </c>
      <c r="BS150" s="1062">
        <f>'No Recurrentes 24-26'!DD8</f>
        <v>10508.6256</v>
      </c>
      <c r="BT150" s="1062">
        <f>'No Recurrentes 24-26'!DE8</f>
        <v>10508.6256</v>
      </c>
      <c r="BU150" s="1062">
        <f>'No Recurrentes 24-26'!DF8</f>
        <v>0</v>
      </c>
      <c r="BV150" s="1062">
        <f>'No Recurrentes 24-26'!DG8</f>
        <v>10508.6256</v>
      </c>
      <c r="BW150" s="1068"/>
      <c r="BX150" s="1062">
        <f>'No Recurrentes 24-26'!DH8</f>
        <v>31525.8768</v>
      </c>
      <c r="BY150" s="1062">
        <f>'No Recurrentes 24-26'!DI8</f>
        <v>0</v>
      </c>
      <c r="BZ150" s="1062">
        <f>'No Recurrentes 24-26'!DJ8</f>
        <v>0</v>
      </c>
      <c r="CA150" s="1062">
        <f>'No Recurrentes 24-26'!DK8</f>
        <v>0</v>
      </c>
      <c r="CB150" s="1062">
        <f>'No Recurrentes 24-26'!DL8</f>
        <v>0</v>
      </c>
      <c r="CC150" s="1062">
        <f>'No Recurrentes 24-26'!DM8</f>
        <v>0</v>
      </c>
      <c r="CD150" s="1062">
        <f>'No Recurrentes 24-26'!DN8</f>
        <v>0</v>
      </c>
      <c r="CE150" s="1062">
        <f>'No Recurrentes 24-26'!DO8</f>
        <v>10508.6256</v>
      </c>
      <c r="CF150" s="1062">
        <f>'No Recurrentes 24-26'!DP8</f>
        <v>10508.6256</v>
      </c>
      <c r="CG150" s="1062">
        <f>'No Recurrentes 24-26'!DQ8</f>
        <v>0</v>
      </c>
      <c r="CH150" s="1062">
        <f>'No Recurrentes 24-26'!DR8</f>
        <v>0</v>
      </c>
      <c r="CI150" s="1068"/>
      <c r="CJ150" s="1062">
        <f>'No Recurrentes 24-26'!DS8</f>
        <v>21017.2512</v>
      </c>
      <c r="CK150" s="1062">
        <f>'No Recurrentes 24-26'!DT8</f>
        <v>52543.128</v>
      </c>
      <c r="CL150" s="1064" t="str">
        <f>'No Recurrentes 24-26'!DU8</f>
        <v/>
      </c>
      <c r="CM150" s="1064" t="str">
        <f>'No Recurrentes 24-26'!DV8</f>
        <v/>
      </c>
      <c r="CN150" s="1065">
        <f>'No Recurrentes 24-26'!EI8</f>
        <v>754.93</v>
      </c>
      <c r="CO150" s="1065">
        <f>'No Recurrentes 24-26'!EJ8</f>
        <v>641.69</v>
      </c>
      <c r="CP150" s="1060" t="str">
        <f>'No Recurrentes 24-26'!EK8</f>
        <v/>
      </c>
    </row>
    <row r="151">
      <c r="A151" s="451" t="str">
        <f>'No Recurrentes 24-26'!A9</f>
        <v>Repuestos Electromecánicos no recurrentes</v>
      </c>
      <c r="B151" s="451">
        <f>'No Recurrentes 24-26'!B9</f>
        <v>2</v>
      </c>
      <c r="C151" s="451" t="str">
        <f>'No Recurrentes 24-26'!C9</f>
        <v>Estación</v>
      </c>
      <c r="D151" s="451" t="str">
        <f>'No Recurrentes 24-26'!D9</f>
        <v>Dinamo y polea impulsos</v>
      </c>
      <c r="E151" s="451" t="str">
        <f>'No Recurrentes 24-26'!E9</f>
        <v>Repuesto Mecánico</v>
      </c>
      <c r="F151" s="451" t="str">
        <f>'No Recurrentes 24-26'!F9</f>
        <v>TDB</v>
      </c>
      <c r="G151" s="1025" t="str">
        <f>'No Recurrentes 24-26'!G9</f>
        <v>39800</v>
      </c>
      <c r="H151" s="1061" t="str">
        <f>'No Recurrentes 24-26'!H9</f>
        <v>2-01-00567</v>
      </c>
      <c r="I151" s="1061" t="str">
        <f>'No Recurrentes 24-26'!I9</f>
        <v>10317357</v>
      </c>
      <c r="J151" s="1061" t="str">
        <f>'No Recurrentes 24-26'!J9</f>
        <v>ARO DE GOMA  290X44 SIN RANURA PARA POLEA</v>
      </c>
      <c r="K151" s="451" t="str">
        <f>'No Recurrentes 24-26'!K9</f>
        <v>Pza</v>
      </c>
      <c r="L151" s="451" t="str">
        <f>'No Recurrentes 24-26'!BC9</f>
        <v/>
      </c>
      <c r="M151" s="451" t="str">
        <f>'No Recurrentes 24-26'!BD9</f>
        <v/>
      </c>
      <c r="N151" s="451" t="str">
        <f>'No Recurrentes 24-26'!BE9</f>
        <v/>
      </c>
      <c r="O151" s="451">
        <f>'No Recurrentes 24-26'!BF9</f>
        <v>0</v>
      </c>
      <c r="P151" s="451">
        <f>'No Recurrentes 24-26'!BG9</f>
        <v>0</v>
      </c>
      <c r="Q151" s="451">
        <f>'No Recurrentes 24-26'!BH9</f>
        <v>0</v>
      </c>
      <c r="R151" s="451" t="str">
        <f>'No Recurrentes 24-26'!BI9</f>
        <v/>
      </c>
      <c r="S151" s="451" t="str">
        <f>'No Recurrentes 24-26'!BJ9</f>
        <v/>
      </c>
      <c r="T151" s="451" t="str">
        <f>'No Recurrentes 24-26'!BK9</f>
        <v/>
      </c>
      <c r="U151" s="451" t="str">
        <f>'No Recurrentes 24-26'!BL9</f>
        <v/>
      </c>
      <c r="V151" s="1068"/>
      <c r="W151" s="1062">
        <f>'No Recurrentes 24-26'!BM9</f>
        <v>0</v>
      </c>
      <c r="X151" s="1062" t="str">
        <f>'No Recurrentes 24-26'!BN9</f>
        <v/>
      </c>
      <c r="Y151" s="1062" t="str">
        <f>'No Recurrentes 24-26'!BO9</f>
        <v/>
      </c>
      <c r="Z151" s="1062" t="str">
        <f>'No Recurrentes 24-26'!BP9</f>
        <v/>
      </c>
      <c r="AA151" s="1062">
        <f>'No Recurrentes 24-26'!BQ9</f>
        <v>4</v>
      </c>
      <c r="AB151" s="1062">
        <f>'No Recurrentes 24-26'!BR9</f>
        <v>9</v>
      </c>
      <c r="AC151" s="1062">
        <f>'No Recurrentes 24-26'!BS9</f>
        <v>10</v>
      </c>
      <c r="AD151" s="1062">
        <f>'No Recurrentes 24-26'!BT9</f>
        <v>1</v>
      </c>
      <c r="AE151" s="1062">
        <f>'No Recurrentes 24-26'!BU9</f>
        <v>1</v>
      </c>
      <c r="AF151" s="1062">
        <f>'No Recurrentes 24-26'!BV9</f>
        <v>1</v>
      </c>
      <c r="AG151" s="1062">
        <f>'No Recurrentes 24-26'!BW9</f>
        <v>1</v>
      </c>
      <c r="AH151" s="1068"/>
      <c r="AI151" s="1062">
        <f>'No Recurrentes 24-26'!BX9</f>
        <v>27</v>
      </c>
      <c r="AJ151" s="1062">
        <f>'No Recurrentes 24-26'!BY9</f>
        <v>0</v>
      </c>
      <c r="AK151" s="1062">
        <f>'No Recurrentes 24-26'!BZ9</f>
        <v>0</v>
      </c>
      <c r="AL151" s="1062">
        <f>'No Recurrentes 24-26'!CA9</f>
        <v>0</v>
      </c>
      <c r="AM151" s="1062">
        <f>'No Recurrentes 24-26'!CB9</f>
        <v>4</v>
      </c>
      <c r="AN151" s="1062">
        <f>'No Recurrentes 24-26'!CC9</f>
        <v>9</v>
      </c>
      <c r="AO151" s="1062">
        <f>'No Recurrentes 24-26'!CD9</f>
        <v>10</v>
      </c>
      <c r="AP151" s="1062">
        <f>'No Recurrentes 24-26'!CE9</f>
        <v>0</v>
      </c>
      <c r="AQ151" s="1062">
        <f>'No Recurrentes 24-26'!CF9</f>
        <v>0</v>
      </c>
      <c r="AR151" s="1062">
        <f>'No Recurrentes 24-26'!CG9</f>
        <v>0</v>
      </c>
      <c r="AS151" s="1062">
        <f>'No Recurrentes 24-26'!CH9</f>
        <v>0</v>
      </c>
      <c r="AT151" s="1068"/>
      <c r="AU151" s="1062">
        <f>'No Recurrentes 24-26'!CI9</f>
        <v>23</v>
      </c>
      <c r="AV151" s="1063">
        <f>'No Recurrentes 24-26'!CJ9</f>
        <v>50</v>
      </c>
      <c r="AW151" s="1068"/>
      <c r="AX151" s="1065">
        <f>'No Recurrentes 24-26'!CK9</f>
        <v>145.09</v>
      </c>
      <c r="AY151" s="1062">
        <f>'No Recurrentes 24-26'!CL9</f>
        <v>1009.8264</v>
      </c>
      <c r="AZ151" s="1068"/>
      <c r="BA151" s="1062">
        <f>'No Recurrentes 24-26'!CM9</f>
        <v>0</v>
      </c>
      <c r="BB151" s="1062">
        <f>'No Recurrentes 24-26'!CN9</f>
        <v>0</v>
      </c>
      <c r="BC151" s="1062">
        <f>'No Recurrentes 24-26'!CO9</f>
        <v>0</v>
      </c>
      <c r="BD151" s="1062">
        <f>'No Recurrentes 24-26'!CP9</f>
        <v>0</v>
      </c>
      <c r="BE151" s="1062">
        <f>'No Recurrentes 24-26'!CQ9</f>
        <v>0</v>
      </c>
      <c r="BF151" s="1062">
        <f>'No Recurrentes 24-26'!CR9</f>
        <v>0</v>
      </c>
      <c r="BG151" s="1062">
        <f>'No Recurrentes 24-26'!CS9</f>
        <v>0</v>
      </c>
      <c r="BH151" s="1062">
        <f>'No Recurrentes 24-26'!CT9</f>
        <v>0</v>
      </c>
      <c r="BI151" s="1062">
        <f>'No Recurrentes 24-26'!CU9</f>
        <v>0</v>
      </c>
      <c r="BJ151" s="1062">
        <f>'No Recurrentes 24-26'!CV9</f>
        <v>0</v>
      </c>
      <c r="BK151" s="1068"/>
      <c r="BL151" s="1062">
        <f>'No Recurrentes 24-26'!CW9</f>
        <v>0</v>
      </c>
      <c r="BM151" s="1062">
        <f>'No Recurrentes 24-26'!CX9</f>
        <v>0</v>
      </c>
      <c r="BN151" s="1062">
        <f>'No Recurrentes 24-26'!CY9</f>
        <v>0</v>
      </c>
      <c r="BO151" s="1062">
        <f>'No Recurrentes 24-26'!CZ9</f>
        <v>0</v>
      </c>
      <c r="BP151" s="1062">
        <f>'No Recurrentes 24-26'!DA9</f>
        <v>4039.3056</v>
      </c>
      <c r="BQ151" s="1062">
        <f>'No Recurrentes 24-26'!DB9</f>
        <v>9088.4376</v>
      </c>
      <c r="BR151" s="1062">
        <f>'No Recurrentes 24-26'!DC9</f>
        <v>10098.264</v>
      </c>
      <c r="BS151" s="1062">
        <f>'No Recurrentes 24-26'!DD9</f>
        <v>1009.8264</v>
      </c>
      <c r="BT151" s="1062">
        <f>'No Recurrentes 24-26'!DE9</f>
        <v>1009.8264</v>
      </c>
      <c r="BU151" s="1062">
        <f>'No Recurrentes 24-26'!DF9</f>
        <v>1009.8264</v>
      </c>
      <c r="BV151" s="1062">
        <f>'No Recurrentes 24-26'!DG9</f>
        <v>1009.8264</v>
      </c>
      <c r="BW151" s="1068"/>
      <c r="BX151" s="1062">
        <f>'No Recurrentes 24-26'!DH9</f>
        <v>27265.3128</v>
      </c>
      <c r="BY151" s="1062">
        <f>'No Recurrentes 24-26'!DI9</f>
        <v>0</v>
      </c>
      <c r="BZ151" s="1062">
        <f>'No Recurrentes 24-26'!DJ9</f>
        <v>0</v>
      </c>
      <c r="CA151" s="1062">
        <f>'No Recurrentes 24-26'!DK9</f>
        <v>0</v>
      </c>
      <c r="CB151" s="1062">
        <f>'No Recurrentes 24-26'!DL9</f>
        <v>4039.3056</v>
      </c>
      <c r="CC151" s="1062">
        <f>'No Recurrentes 24-26'!DM9</f>
        <v>9088.4376</v>
      </c>
      <c r="CD151" s="1062">
        <f>'No Recurrentes 24-26'!DN9</f>
        <v>10098.264</v>
      </c>
      <c r="CE151" s="1062">
        <f>'No Recurrentes 24-26'!DO9</f>
        <v>0</v>
      </c>
      <c r="CF151" s="1062">
        <f>'No Recurrentes 24-26'!DP9</f>
        <v>0</v>
      </c>
      <c r="CG151" s="1062">
        <f>'No Recurrentes 24-26'!DQ9</f>
        <v>0</v>
      </c>
      <c r="CH151" s="1062">
        <f>'No Recurrentes 24-26'!DR9</f>
        <v>0</v>
      </c>
      <c r="CI151" s="1068"/>
      <c r="CJ151" s="1062">
        <f>'No Recurrentes 24-26'!DS9</f>
        <v>23226.0072</v>
      </c>
      <c r="CK151" s="1062">
        <f>'No Recurrentes 24-26'!DT9</f>
        <v>50491.32</v>
      </c>
      <c r="CL151" s="1064" t="str">
        <f>'No Recurrentes 24-26'!DU9</f>
        <v/>
      </c>
      <c r="CM151" s="1064" t="str">
        <f>'No Recurrentes 24-26'!DV9</f>
        <v/>
      </c>
      <c r="CN151" s="1065">
        <f>'No Recurrentes 24-26'!EI9</f>
        <v>145.09</v>
      </c>
      <c r="CO151" s="1065">
        <f>'No Recurrentes 24-26'!EJ9</f>
        <v>123.33</v>
      </c>
      <c r="CP151" s="1060" t="str">
        <f>'No Recurrentes 24-26'!EK9</f>
        <v/>
      </c>
    </row>
    <row r="152">
      <c r="A152" s="451" t="str">
        <f>'No Recurrentes 24-26'!A10</f>
        <v>Repuestos Electromecánicos no recurrentes</v>
      </c>
      <c r="B152" s="451">
        <f>'No Recurrentes 24-26'!B10</f>
        <v>2</v>
      </c>
      <c r="C152" s="451" t="str">
        <f>'No Recurrentes 24-26'!C10</f>
        <v>Estación</v>
      </c>
      <c r="D152" s="451" t="str">
        <f>'No Recurrentes 24-26'!D10</f>
        <v>Dinamo y polea impulsos</v>
      </c>
      <c r="E152" s="451" t="str">
        <f>'No Recurrentes 24-26'!E10</f>
        <v>Repuesto Mecánico</v>
      </c>
      <c r="F152" s="451" t="str">
        <f>'No Recurrentes 24-26'!F10</f>
        <v>TDB</v>
      </c>
      <c r="G152" s="1025" t="str">
        <f>'No Recurrentes 24-26'!G10</f>
        <v>39800</v>
      </c>
      <c r="H152" s="1061" t="str">
        <f>'No Recurrentes 24-26'!H10</f>
        <v>2-01-00636</v>
      </c>
      <c r="I152" s="1061" t="str">
        <f>'No Recurrentes 24-26'!I10</f>
        <v>10607522</v>
      </c>
      <c r="J152" s="1061" t="str">
        <f>'No Recurrentes 24-26'!J10</f>
        <v>BULÓN DIA.30 H8 - L= 120       PARA POLEA CONTADORA</v>
      </c>
      <c r="K152" s="451" t="str">
        <f>'No Recurrentes 24-26'!K10</f>
        <v>Pza</v>
      </c>
      <c r="L152" s="451">
        <f>'No Recurrentes 24-26'!BC10</f>
        <v>8</v>
      </c>
      <c r="M152" s="451">
        <f>'No Recurrentes 24-26'!BD10</f>
        <v>6</v>
      </c>
      <c r="N152" s="451">
        <f>'No Recurrentes 24-26'!BE10</f>
        <v>8</v>
      </c>
      <c r="O152" s="451">
        <f>'No Recurrentes 24-26'!BF10</f>
        <v>4</v>
      </c>
      <c r="P152" s="451">
        <f>'No Recurrentes 24-26'!BG10</f>
        <v>4</v>
      </c>
      <c r="Q152" s="451">
        <f>'No Recurrentes 24-26'!BH10</f>
        <v>4</v>
      </c>
      <c r="R152" s="451">
        <f>'No Recurrentes 24-26'!BI10</f>
        <v>4</v>
      </c>
      <c r="S152" s="451">
        <f>'No Recurrentes 24-26'!BJ10</f>
        <v>5</v>
      </c>
      <c r="T152" s="451">
        <f>'No Recurrentes 24-26'!BK10</f>
        <v>4</v>
      </c>
      <c r="U152" s="451">
        <f>'No Recurrentes 24-26'!BL10</f>
        <v>0</v>
      </c>
      <c r="V152" s="1068"/>
      <c r="W152" s="1062">
        <f>'No Recurrentes 24-26'!BM10</f>
        <v>47</v>
      </c>
      <c r="X152" s="1062" t="str">
        <f>'No Recurrentes 24-26'!BN10</f>
        <v/>
      </c>
      <c r="Y152" s="1062" t="str">
        <f>'No Recurrentes 24-26'!BO10</f>
        <v/>
      </c>
      <c r="Z152" s="1062" t="str">
        <f>'No Recurrentes 24-26'!BP10</f>
        <v/>
      </c>
      <c r="AA152" s="1062" t="str">
        <f>'No Recurrentes 24-26'!BQ10</f>
        <v/>
      </c>
      <c r="AB152" s="1062" t="str">
        <f>'No Recurrentes 24-26'!BR10</f>
        <v/>
      </c>
      <c r="AC152" s="1062" t="str">
        <f>'No Recurrentes 24-26'!BS10</f>
        <v/>
      </c>
      <c r="AD152" s="1062" t="str">
        <f>'No Recurrentes 24-26'!BT10</f>
        <v/>
      </c>
      <c r="AE152" s="1062" t="str">
        <f>'No Recurrentes 24-26'!BU10</f>
        <v/>
      </c>
      <c r="AF152" s="1062" t="str">
        <f>'No Recurrentes 24-26'!BV10</f>
        <v/>
      </c>
      <c r="AG152" s="1062">
        <f>'No Recurrentes 24-26'!BW10</f>
        <v>9</v>
      </c>
      <c r="AH152" s="1068"/>
      <c r="AI152" s="1062">
        <f>'No Recurrentes 24-26'!BX10</f>
        <v>9</v>
      </c>
      <c r="AJ152" s="1062">
        <f>'No Recurrentes 24-26'!BY10</f>
        <v>0</v>
      </c>
      <c r="AK152" s="1062">
        <f>'No Recurrentes 24-26'!BZ10</f>
        <v>0</v>
      </c>
      <c r="AL152" s="1062">
        <f>'No Recurrentes 24-26'!CA10</f>
        <v>0</v>
      </c>
      <c r="AM152" s="1062">
        <f>'No Recurrentes 24-26'!CB10</f>
        <v>0</v>
      </c>
      <c r="AN152" s="1062">
        <f>'No Recurrentes 24-26'!CC10</f>
        <v>0</v>
      </c>
      <c r="AO152" s="1062">
        <f>'No Recurrentes 24-26'!CD10</f>
        <v>0</v>
      </c>
      <c r="AP152" s="1062">
        <f>'No Recurrentes 24-26'!CE10</f>
        <v>0</v>
      </c>
      <c r="AQ152" s="1062">
        <f>'No Recurrentes 24-26'!CF10</f>
        <v>0</v>
      </c>
      <c r="AR152" s="1062">
        <f>'No Recurrentes 24-26'!CG10</f>
        <v>0</v>
      </c>
      <c r="AS152" s="1062">
        <f>'No Recurrentes 24-26'!CH10</f>
        <v>0</v>
      </c>
      <c r="AT152" s="1068"/>
      <c r="AU152" s="1062">
        <f>'No Recurrentes 24-26'!CI10</f>
        <v>0</v>
      </c>
      <c r="AV152" s="1063">
        <f>'No Recurrentes 24-26'!CJ10</f>
        <v>56</v>
      </c>
      <c r="AW152" s="1068"/>
      <c r="AX152" s="1065">
        <f>'No Recurrentes 24-26'!CK10</f>
        <v>45.03</v>
      </c>
      <c r="AY152" s="1062">
        <f>'No Recurrentes 24-26'!CL10</f>
        <v>313.4088</v>
      </c>
      <c r="AZ152" s="1068"/>
      <c r="BA152" s="1062">
        <f>'No Recurrentes 24-26'!CM10</f>
        <v>2507.2704</v>
      </c>
      <c r="BB152" s="1062">
        <f>'No Recurrentes 24-26'!CN10</f>
        <v>1880.4528</v>
      </c>
      <c r="BC152" s="1062">
        <f>'No Recurrentes 24-26'!CO10</f>
        <v>2507.2704</v>
      </c>
      <c r="BD152" s="1062">
        <f>'No Recurrentes 24-26'!CP10</f>
        <v>1253.6352</v>
      </c>
      <c r="BE152" s="1062">
        <f>'No Recurrentes 24-26'!CQ10</f>
        <v>1253.6352</v>
      </c>
      <c r="BF152" s="1062">
        <f>'No Recurrentes 24-26'!CR10</f>
        <v>1253.6352</v>
      </c>
      <c r="BG152" s="1062">
        <f>'No Recurrentes 24-26'!CS10</f>
        <v>1253.6352</v>
      </c>
      <c r="BH152" s="1062">
        <f>'No Recurrentes 24-26'!CT10</f>
        <v>1567.044</v>
      </c>
      <c r="BI152" s="1062">
        <f>'No Recurrentes 24-26'!CU10</f>
        <v>1253.6352</v>
      </c>
      <c r="BJ152" s="1062">
        <f>'No Recurrentes 24-26'!CV10</f>
        <v>0</v>
      </c>
      <c r="BK152" s="1068"/>
      <c r="BL152" s="1062">
        <f>'No Recurrentes 24-26'!CW10</f>
        <v>14730.2136</v>
      </c>
      <c r="BM152" s="1062">
        <f>'No Recurrentes 24-26'!CX10</f>
        <v>0</v>
      </c>
      <c r="BN152" s="1062">
        <f>'No Recurrentes 24-26'!CY10</f>
        <v>0</v>
      </c>
      <c r="BO152" s="1062">
        <f>'No Recurrentes 24-26'!CZ10</f>
        <v>0</v>
      </c>
      <c r="BP152" s="1062">
        <f>'No Recurrentes 24-26'!DA10</f>
        <v>0</v>
      </c>
      <c r="BQ152" s="1062">
        <f>'No Recurrentes 24-26'!DB10</f>
        <v>0</v>
      </c>
      <c r="BR152" s="1062">
        <f>'No Recurrentes 24-26'!DC10</f>
        <v>0</v>
      </c>
      <c r="BS152" s="1062">
        <f>'No Recurrentes 24-26'!DD10</f>
        <v>0</v>
      </c>
      <c r="BT152" s="1062">
        <f>'No Recurrentes 24-26'!DE10</f>
        <v>0</v>
      </c>
      <c r="BU152" s="1062">
        <f>'No Recurrentes 24-26'!DF10</f>
        <v>0</v>
      </c>
      <c r="BV152" s="1062">
        <f>'No Recurrentes 24-26'!DG10</f>
        <v>2820.6792</v>
      </c>
      <c r="BW152" s="1068"/>
      <c r="BX152" s="1062">
        <f>'No Recurrentes 24-26'!DH10</f>
        <v>2820.6792</v>
      </c>
      <c r="BY152" s="1062">
        <f>'No Recurrentes 24-26'!DI10</f>
        <v>0</v>
      </c>
      <c r="BZ152" s="1062">
        <f>'No Recurrentes 24-26'!DJ10</f>
        <v>0</v>
      </c>
      <c r="CA152" s="1062">
        <f>'No Recurrentes 24-26'!DK10</f>
        <v>0</v>
      </c>
      <c r="CB152" s="1062">
        <f>'No Recurrentes 24-26'!DL10</f>
        <v>0</v>
      </c>
      <c r="CC152" s="1062">
        <f>'No Recurrentes 24-26'!DM10</f>
        <v>0</v>
      </c>
      <c r="CD152" s="1062">
        <f>'No Recurrentes 24-26'!DN10</f>
        <v>0</v>
      </c>
      <c r="CE152" s="1062">
        <f>'No Recurrentes 24-26'!DO10</f>
        <v>0</v>
      </c>
      <c r="CF152" s="1062">
        <f>'No Recurrentes 24-26'!DP10</f>
        <v>0</v>
      </c>
      <c r="CG152" s="1062">
        <f>'No Recurrentes 24-26'!DQ10</f>
        <v>0</v>
      </c>
      <c r="CH152" s="1062">
        <f>'No Recurrentes 24-26'!DR10</f>
        <v>0</v>
      </c>
      <c r="CI152" s="1068"/>
      <c r="CJ152" s="1062">
        <f>'No Recurrentes 24-26'!DS10</f>
        <v>0</v>
      </c>
      <c r="CK152" s="1062">
        <f>'No Recurrentes 24-26'!DT10</f>
        <v>17550.8928</v>
      </c>
      <c r="CL152" s="1064" t="str">
        <f>'No Recurrentes 24-26'!DU10</f>
        <v/>
      </c>
      <c r="CM152" s="1064" t="str">
        <f>'No Recurrentes 24-26'!DV10</f>
        <v/>
      </c>
      <c r="CN152" s="1065">
        <f>'No Recurrentes 24-26'!EI10</f>
        <v>45.03</v>
      </c>
      <c r="CO152" s="1065">
        <f>'No Recurrentes 24-26'!EJ10</f>
        <v>38.28</v>
      </c>
      <c r="CP152" s="1060" t="str">
        <f>'No Recurrentes 24-26'!EK10</f>
        <v/>
      </c>
    </row>
    <row r="153">
      <c r="A153" s="451" t="str">
        <f>'No Recurrentes 24-26'!A11</f>
        <v>Repuestos Electromecánicos no recurrentes</v>
      </c>
      <c r="B153" s="451">
        <f>'No Recurrentes 24-26'!B11</f>
        <v>2</v>
      </c>
      <c r="C153" s="451" t="str">
        <f>'No Recurrentes 24-26'!C11</f>
        <v>Estación</v>
      </c>
      <c r="D153" s="451" t="str">
        <f>'No Recurrentes 24-26'!D11</f>
        <v>Dinamo y polea impulsos</v>
      </c>
      <c r="E153" s="451" t="str">
        <f>'No Recurrentes 24-26'!E11</f>
        <v>Repuesto Mecánico</v>
      </c>
      <c r="F153" s="451" t="str">
        <f>'No Recurrentes 24-26'!F11</f>
        <v>TDB</v>
      </c>
      <c r="G153" s="1025" t="str">
        <f>'No Recurrentes 24-26'!G11</f>
        <v>39800</v>
      </c>
      <c r="H153" s="1061" t="str">
        <f>'No Recurrentes 24-26'!H11</f>
        <v>2-02-00050</v>
      </c>
      <c r="I153" s="1061" t="str">
        <f>'No Recurrentes 24-26'!I11</f>
        <v>10031327</v>
      </c>
      <c r="J153" s="1061" t="str">
        <f>'No Recurrentes 24-26'!J11</f>
        <v>ESCOBILLA STAND. 31-41-EG 600V P. DÍNAMO TACOM. REO 444 R</v>
      </c>
      <c r="K153" s="451" t="str">
        <f>'No Recurrentes 24-26'!K11</f>
        <v>Pza</v>
      </c>
      <c r="L153" s="451" t="str">
        <f>'No Recurrentes 24-26'!BC11</f>
        <v/>
      </c>
      <c r="M153" s="451" t="str">
        <f>'No Recurrentes 24-26'!BD11</f>
        <v/>
      </c>
      <c r="N153" s="451">
        <f>'No Recurrentes 24-26'!BE11</f>
        <v>16</v>
      </c>
      <c r="O153" s="451" t="str">
        <f>'No Recurrentes 24-26'!BF11</f>
        <v/>
      </c>
      <c r="P153" s="451" t="str">
        <f>'No Recurrentes 24-26'!BG11</f>
        <v/>
      </c>
      <c r="Q153" s="451" t="str">
        <f>'No Recurrentes 24-26'!BH11</f>
        <v/>
      </c>
      <c r="R153" s="451" t="str">
        <f>'No Recurrentes 24-26'!BI11</f>
        <v/>
      </c>
      <c r="S153" s="451" t="str">
        <f>'No Recurrentes 24-26'!BJ11</f>
        <v/>
      </c>
      <c r="T153" s="451" t="str">
        <f>'No Recurrentes 24-26'!BK11</f>
        <v/>
      </c>
      <c r="U153" s="451">
        <f>'No Recurrentes 24-26'!BL11</f>
        <v>0</v>
      </c>
      <c r="V153" s="1068"/>
      <c r="W153" s="1062">
        <f>'No Recurrentes 24-26'!BM11</f>
        <v>16</v>
      </c>
      <c r="X153" s="1062" t="str">
        <f>'No Recurrentes 24-26'!BN11</f>
        <v/>
      </c>
      <c r="Y153" s="1062" t="str">
        <f>'No Recurrentes 24-26'!BO11</f>
        <v/>
      </c>
      <c r="Z153" s="1062" t="str">
        <f>'No Recurrentes 24-26'!BP11</f>
        <v/>
      </c>
      <c r="AA153" s="1062" t="str">
        <f>'No Recurrentes 24-26'!BQ11</f>
        <v/>
      </c>
      <c r="AB153" s="1062" t="str">
        <f>'No Recurrentes 24-26'!BR11</f>
        <v/>
      </c>
      <c r="AC153" s="1062" t="str">
        <f>'No Recurrentes 24-26'!BS11</f>
        <v/>
      </c>
      <c r="AD153" s="1062" t="str">
        <f>'No Recurrentes 24-26'!BT11</f>
        <v/>
      </c>
      <c r="AE153" s="1062" t="str">
        <f>'No Recurrentes 24-26'!BU11</f>
        <v/>
      </c>
      <c r="AF153" s="1062" t="str">
        <f>'No Recurrentes 24-26'!BV11</f>
        <v/>
      </c>
      <c r="AG153" s="1062">
        <f>'No Recurrentes 24-26'!BW11</f>
        <v>16</v>
      </c>
      <c r="AH153" s="1068"/>
      <c r="AI153" s="1062">
        <f>'No Recurrentes 24-26'!BX11</f>
        <v>16</v>
      </c>
      <c r="AJ153" s="1062">
        <f>'No Recurrentes 24-26'!BY11</f>
        <v>0</v>
      </c>
      <c r="AK153" s="1062">
        <f>'No Recurrentes 24-26'!BZ11</f>
        <v>0</v>
      </c>
      <c r="AL153" s="1062">
        <f>'No Recurrentes 24-26'!CA11</f>
        <v>0</v>
      </c>
      <c r="AM153" s="1062">
        <f>'No Recurrentes 24-26'!CB11</f>
        <v>0</v>
      </c>
      <c r="AN153" s="1062">
        <f>'No Recurrentes 24-26'!CC11</f>
        <v>0</v>
      </c>
      <c r="AO153" s="1062">
        <f>'No Recurrentes 24-26'!CD11</f>
        <v>0</v>
      </c>
      <c r="AP153" s="1062">
        <f>'No Recurrentes 24-26'!CE11</f>
        <v>0</v>
      </c>
      <c r="AQ153" s="1062">
        <f>'No Recurrentes 24-26'!CF11</f>
        <v>0</v>
      </c>
      <c r="AR153" s="1062">
        <f>'No Recurrentes 24-26'!CG11</f>
        <v>0</v>
      </c>
      <c r="AS153" s="1062" t="str">
        <f>'No Recurrentes 24-26'!CH11</f>
        <v/>
      </c>
      <c r="AT153" s="1068"/>
      <c r="AU153" s="1062">
        <f>'No Recurrentes 24-26'!CI11</f>
        <v>0</v>
      </c>
      <c r="AV153" s="1063">
        <f>'No Recurrentes 24-26'!CJ11</f>
        <v>32</v>
      </c>
      <c r="AW153" s="1068"/>
      <c r="AX153" s="1065">
        <f>'No Recurrentes 24-26'!CK11</f>
        <v>61.68</v>
      </c>
      <c r="AY153" s="1062">
        <f>'No Recurrentes 24-26'!CL11</f>
        <v>429.2928</v>
      </c>
      <c r="AZ153" s="1068"/>
      <c r="BA153" s="1062">
        <f>'No Recurrentes 24-26'!CM11</f>
        <v>0</v>
      </c>
      <c r="BB153" s="1062">
        <f>'No Recurrentes 24-26'!CN11</f>
        <v>0</v>
      </c>
      <c r="BC153" s="1062">
        <f>'No Recurrentes 24-26'!CO11</f>
        <v>6868.6848</v>
      </c>
      <c r="BD153" s="1062">
        <f>'No Recurrentes 24-26'!CP11</f>
        <v>0</v>
      </c>
      <c r="BE153" s="1062">
        <f>'No Recurrentes 24-26'!CQ11</f>
        <v>0</v>
      </c>
      <c r="BF153" s="1062">
        <f>'No Recurrentes 24-26'!CR11</f>
        <v>0</v>
      </c>
      <c r="BG153" s="1062">
        <f>'No Recurrentes 24-26'!CS11</f>
        <v>0</v>
      </c>
      <c r="BH153" s="1062">
        <f>'No Recurrentes 24-26'!CT11</f>
        <v>0</v>
      </c>
      <c r="BI153" s="1062">
        <f>'No Recurrentes 24-26'!CU11</f>
        <v>0</v>
      </c>
      <c r="BJ153" s="1062">
        <f>'No Recurrentes 24-26'!CV11</f>
        <v>0</v>
      </c>
      <c r="BK153" s="1068"/>
      <c r="BL153" s="1062">
        <f>'No Recurrentes 24-26'!CW11</f>
        <v>6868.6848</v>
      </c>
      <c r="BM153" s="1062">
        <f>'No Recurrentes 24-26'!CX11</f>
        <v>0</v>
      </c>
      <c r="BN153" s="1062">
        <f>'No Recurrentes 24-26'!CY11</f>
        <v>0</v>
      </c>
      <c r="BO153" s="1062">
        <f>'No Recurrentes 24-26'!CZ11</f>
        <v>0</v>
      </c>
      <c r="BP153" s="1062">
        <f>'No Recurrentes 24-26'!DA11</f>
        <v>0</v>
      </c>
      <c r="BQ153" s="1062">
        <f>'No Recurrentes 24-26'!DB11</f>
        <v>0</v>
      </c>
      <c r="BR153" s="1062">
        <f>'No Recurrentes 24-26'!DC11</f>
        <v>0</v>
      </c>
      <c r="BS153" s="1062">
        <f>'No Recurrentes 24-26'!DD11</f>
        <v>0</v>
      </c>
      <c r="BT153" s="1062">
        <f>'No Recurrentes 24-26'!DE11</f>
        <v>0</v>
      </c>
      <c r="BU153" s="1062">
        <f>'No Recurrentes 24-26'!DF11</f>
        <v>0</v>
      </c>
      <c r="BV153" s="1062">
        <f>'No Recurrentes 24-26'!DG11</f>
        <v>6868.6848</v>
      </c>
      <c r="BW153" s="1068"/>
      <c r="BX153" s="1062">
        <f>'No Recurrentes 24-26'!DH11</f>
        <v>6868.6848</v>
      </c>
      <c r="BY153" s="1062">
        <f>'No Recurrentes 24-26'!DI11</f>
        <v>0</v>
      </c>
      <c r="BZ153" s="1062">
        <f>'No Recurrentes 24-26'!DJ11</f>
        <v>0</v>
      </c>
      <c r="CA153" s="1062">
        <f>'No Recurrentes 24-26'!DK11</f>
        <v>0</v>
      </c>
      <c r="CB153" s="1062">
        <f>'No Recurrentes 24-26'!DL11</f>
        <v>0</v>
      </c>
      <c r="CC153" s="1062">
        <f>'No Recurrentes 24-26'!DM11</f>
        <v>0</v>
      </c>
      <c r="CD153" s="1062">
        <f>'No Recurrentes 24-26'!DN11</f>
        <v>0</v>
      </c>
      <c r="CE153" s="1062">
        <f>'No Recurrentes 24-26'!DO11</f>
        <v>0</v>
      </c>
      <c r="CF153" s="1062">
        <f>'No Recurrentes 24-26'!DP11</f>
        <v>0</v>
      </c>
      <c r="CG153" s="1062">
        <f>'No Recurrentes 24-26'!DQ11</f>
        <v>0</v>
      </c>
      <c r="CH153" s="1062">
        <f>'No Recurrentes 24-26'!DR11</f>
        <v>0</v>
      </c>
      <c r="CI153" s="1068"/>
      <c r="CJ153" s="1062">
        <f>'No Recurrentes 24-26'!DS11</f>
        <v>0</v>
      </c>
      <c r="CK153" s="1062">
        <f>'No Recurrentes 24-26'!DT11</f>
        <v>13737.3696</v>
      </c>
      <c r="CL153" s="1064" t="str">
        <f>'No Recurrentes 24-26'!DU11</f>
        <v/>
      </c>
      <c r="CM153" s="1064" t="str">
        <f>'No Recurrentes 24-26'!DV11</f>
        <v/>
      </c>
      <c r="CN153" s="1065">
        <f>'No Recurrentes 24-26'!EI11</f>
        <v>61.68</v>
      </c>
      <c r="CO153" s="1065">
        <f>'No Recurrentes 24-26'!EJ11</f>
        <v>52.43</v>
      </c>
      <c r="CP153" s="1060" t="str">
        <f>'No Recurrentes 24-26'!EK11</f>
        <v/>
      </c>
    </row>
    <row r="154">
      <c r="A154" s="451" t="str">
        <f>'No Recurrentes 24-26'!A12</f>
        <v>Repuestos Electromecánicos no recurrentes</v>
      </c>
      <c r="B154" s="451">
        <f>'No Recurrentes 24-26'!B12</f>
        <v>2</v>
      </c>
      <c r="C154" s="451" t="str">
        <f>'No Recurrentes 24-26'!C12</f>
        <v>Estación</v>
      </c>
      <c r="D154" s="451" t="str">
        <f>'No Recurrentes 24-26'!D12</f>
        <v>Dinamo y polea impulsos</v>
      </c>
      <c r="E154" s="451" t="str">
        <f>'No Recurrentes 24-26'!E12</f>
        <v>Repuesto Mecánico</v>
      </c>
      <c r="F154" s="451" t="str">
        <f>'No Recurrentes 24-26'!F12</f>
        <v>TDB</v>
      </c>
      <c r="G154" s="1025" t="str">
        <f>'No Recurrentes 24-26'!G12</f>
        <v>39800</v>
      </c>
      <c r="H154" s="1061" t="str">
        <f>'No Recurrentes 24-26'!H12</f>
        <v>2-02-00599</v>
      </c>
      <c r="I154" s="1061" t="str">
        <f>'No Recurrentes 24-26'!I12</f>
        <v>10876923</v>
      </c>
      <c r="J154" s="1061" t="str">
        <f>'No Recurrentes 24-26'!J12</f>
        <v>ESCOBILLA DE CARBÓN 5/4/8.5 P. TACOM. HUEBNER Nº ID 10875889</v>
      </c>
      <c r="K154" s="451" t="str">
        <f>'No Recurrentes 24-26'!K12</f>
        <v>Pza</v>
      </c>
      <c r="L154" s="451">
        <f>'No Recurrentes 24-26'!BC12</f>
        <v>4</v>
      </c>
      <c r="M154" s="451">
        <f>'No Recurrentes 24-26'!BD12</f>
        <v>4</v>
      </c>
      <c r="N154" s="451" t="str">
        <f>'No Recurrentes 24-26'!BE12</f>
        <v/>
      </c>
      <c r="O154" s="451" t="str">
        <f>'No Recurrentes 24-26'!BF12</f>
        <v/>
      </c>
      <c r="P154" s="451" t="str">
        <f>'No Recurrentes 24-26'!BG12</f>
        <v/>
      </c>
      <c r="Q154" s="451" t="str">
        <f>'No Recurrentes 24-26'!BH12</f>
        <v/>
      </c>
      <c r="R154" s="451">
        <f>'No Recurrentes 24-26'!BI12</f>
        <v>2</v>
      </c>
      <c r="S154" s="451">
        <f>'No Recurrentes 24-26'!BJ12</f>
        <v>2</v>
      </c>
      <c r="T154" s="451">
        <f>'No Recurrentes 24-26'!BK12</f>
        <v>1</v>
      </c>
      <c r="U154" s="451" t="str">
        <f>'No Recurrentes 24-26'!BL12</f>
        <v/>
      </c>
      <c r="V154" s="1068"/>
      <c r="W154" s="1062">
        <f>'No Recurrentes 24-26'!BM12</f>
        <v>13</v>
      </c>
      <c r="X154" s="1062" t="str">
        <f>'No Recurrentes 24-26'!BN12</f>
        <v/>
      </c>
      <c r="Y154" s="1062" t="str">
        <f>'No Recurrentes 24-26'!BO12</f>
        <v/>
      </c>
      <c r="Z154" s="1062" t="str">
        <f>'No Recurrentes 24-26'!BP12</f>
        <v/>
      </c>
      <c r="AA154" s="1062" t="str">
        <f>'No Recurrentes 24-26'!BQ12</f>
        <v/>
      </c>
      <c r="AB154" s="1062" t="str">
        <f>'No Recurrentes 24-26'!BR12</f>
        <v/>
      </c>
      <c r="AC154" s="1062" t="str">
        <f>'No Recurrentes 24-26'!BS12</f>
        <v/>
      </c>
      <c r="AD154" s="1062" t="str">
        <f>'No Recurrentes 24-26'!BT12</f>
        <v/>
      </c>
      <c r="AE154" s="1062" t="str">
        <f>'No Recurrentes 24-26'!BU12</f>
        <v/>
      </c>
      <c r="AF154" s="1062" t="str">
        <f>'No Recurrentes 24-26'!BV12</f>
        <v/>
      </c>
      <c r="AG154" s="1062" t="str">
        <f>'No Recurrentes 24-26'!BW12</f>
        <v/>
      </c>
      <c r="AH154" s="1068"/>
      <c r="AI154" s="1062">
        <f>'No Recurrentes 24-26'!BX12</f>
        <v>0</v>
      </c>
      <c r="AJ154" s="1062">
        <f>'No Recurrentes 24-26'!BY12</f>
        <v>0</v>
      </c>
      <c r="AK154" s="1062">
        <f>'No Recurrentes 24-26'!BZ12</f>
        <v>0</v>
      </c>
      <c r="AL154" s="1062">
        <f>'No Recurrentes 24-26'!CA12</f>
        <v>0</v>
      </c>
      <c r="AM154" s="1062">
        <f>'No Recurrentes 24-26'!CB12</f>
        <v>0</v>
      </c>
      <c r="AN154" s="1062">
        <f>'No Recurrentes 24-26'!CC12</f>
        <v>0</v>
      </c>
      <c r="AO154" s="1062">
        <f>'No Recurrentes 24-26'!CD12</f>
        <v>0</v>
      </c>
      <c r="AP154" s="1062">
        <f>'No Recurrentes 24-26'!CE12</f>
        <v>0</v>
      </c>
      <c r="AQ154" s="1062">
        <f>'No Recurrentes 24-26'!CF12</f>
        <v>0</v>
      </c>
      <c r="AR154" s="1062">
        <f>'No Recurrentes 24-26'!CG12</f>
        <v>0</v>
      </c>
      <c r="AS154" s="1062">
        <f>'No Recurrentes 24-26'!CH12</f>
        <v>0</v>
      </c>
      <c r="AT154" s="1068"/>
      <c r="AU154" s="1062">
        <f>'No Recurrentes 24-26'!CI12</f>
        <v>0</v>
      </c>
      <c r="AV154" s="1063">
        <f>'No Recurrentes 24-26'!CJ12</f>
        <v>13</v>
      </c>
      <c r="AW154" s="1068"/>
      <c r="AX154" s="1065">
        <f>'No Recurrentes 24-26'!CK12</f>
        <v>132.6</v>
      </c>
      <c r="AY154" s="1062">
        <f>'No Recurrentes 24-26'!CL12</f>
        <v>922.896</v>
      </c>
      <c r="AZ154" s="1068"/>
      <c r="BA154" s="1062">
        <f>'No Recurrentes 24-26'!CM12</f>
        <v>3691.584</v>
      </c>
      <c r="BB154" s="1062">
        <f>'No Recurrentes 24-26'!CN12</f>
        <v>3691.584</v>
      </c>
      <c r="BC154" s="1062">
        <f>'No Recurrentes 24-26'!CO12</f>
        <v>0</v>
      </c>
      <c r="BD154" s="1062">
        <f>'No Recurrentes 24-26'!CP12</f>
        <v>0</v>
      </c>
      <c r="BE154" s="1062">
        <f>'No Recurrentes 24-26'!CQ12</f>
        <v>0</v>
      </c>
      <c r="BF154" s="1062">
        <f>'No Recurrentes 24-26'!CR12</f>
        <v>0</v>
      </c>
      <c r="BG154" s="1062">
        <f>'No Recurrentes 24-26'!CS12</f>
        <v>1845.792</v>
      </c>
      <c r="BH154" s="1062">
        <f>'No Recurrentes 24-26'!CT12</f>
        <v>1845.792</v>
      </c>
      <c r="BI154" s="1062">
        <f>'No Recurrentes 24-26'!CU12</f>
        <v>922.896</v>
      </c>
      <c r="BJ154" s="1062">
        <f>'No Recurrentes 24-26'!CV12</f>
        <v>0</v>
      </c>
      <c r="BK154" s="1068"/>
      <c r="BL154" s="1062">
        <f>'No Recurrentes 24-26'!CW12</f>
        <v>11997.648</v>
      </c>
      <c r="BM154" s="1062">
        <f>'No Recurrentes 24-26'!CX12</f>
        <v>0</v>
      </c>
      <c r="BN154" s="1062">
        <f>'No Recurrentes 24-26'!CY12</f>
        <v>0</v>
      </c>
      <c r="BO154" s="1062">
        <f>'No Recurrentes 24-26'!CZ12</f>
        <v>0</v>
      </c>
      <c r="BP154" s="1062">
        <f>'No Recurrentes 24-26'!DA12</f>
        <v>0</v>
      </c>
      <c r="BQ154" s="1062">
        <f>'No Recurrentes 24-26'!DB12</f>
        <v>0</v>
      </c>
      <c r="BR154" s="1062">
        <f>'No Recurrentes 24-26'!DC12</f>
        <v>0</v>
      </c>
      <c r="BS154" s="1062">
        <f>'No Recurrentes 24-26'!DD12</f>
        <v>0</v>
      </c>
      <c r="BT154" s="1062">
        <f>'No Recurrentes 24-26'!DE12</f>
        <v>0</v>
      </c>
      <c r="BU154" s="1062">
        <f>'No Recurrentes 24-26'!DF12</f>
        <v>0</v>
      </c>
      <c r="BV154" s="1062">
        <f>'No Recurrentes 24-26'!DG12</f>
        <v>0</v>
      </c>
      <c r="BW154" s="1068"/>
      <c r="BX154" s="1062">
        <f>'No Recurrentes 24-26'!DH12</f>
        <v>0</v>
      </c>
      <c r="BY154" s="1062">
        <f>'No Recurrentes 24-26'!DI12</f>
        <v>0</v>
      </c>
      <c r="BZ154" s="1062">
        <f>'No Recurrentes 24-26'!DJ12</f>
        <v>0</v>
      </c>
      <c r="CA154" s="1062">
        <f>'No Recurrentes 24-26'!DK12</f>
        <v>0</v>
      </c>
      <c r="CB154" s="1062">
        <f>'No Recurrentes 24-26'!DL12</f>
        <v>0</v>
      </c>
      <c r="CC154" s="1062">
        <f>'No Recurrentes 24-26'!DM12</f>
        <v>0</v>
      </c>
      <c r="CD154" s="1062">
        <f>'No Recurrentes 24-26'!DN12</f>
        <v>0</v>
      </c>
      <c r="CE154" s="1062">
        <f>'No Recurrentes 24-26'!DO12</f>
        <v>0</v>
      </c>
      <c r="CF154" s="1062">
        <f>'No Recurrentes 24-26'!DP12</f>
        <v>0</v>
      </c>
      <c r="CG154" s="1062">
        <f>'No Recurrentes 24-26'!DQ12</f>
        <v>0</v>
      </c>
      <c r="CH154" s="1062">
        <f>'No Recurrentes 24-26'!DR12</f>
        <v>0</v>
      </c>
      <c r="CI154" s="1068"/>
      <c r="CJ154" s="1062">
        <f>'No Recurrentes 24-26'!DS12</f>
        <v>0</v>
      </c>
      <c r="CK154" s="1062">
        <f>'No Recurrentes 24-26'!DT12</f>
        <v>11997.648</v>
      </c>
      <c r="CL154" s="1064" t="str">
        <f>'No Recurrentes 24-26'!DU12</f>
        <v/>
      </c>
      <c r="CM154" s="1064" t="str">
        <f>'No Recurrentes 24-26'!DV12</f>
        <v/>
      </c>
      <c r="CN154" s="1065">
        <f>'No Recurrentes 24-26'!EI12</f>
        <v>132.6</v>
      </c>
      <c r="CO154" s="1065">
        <f>'No Recurrentes 24-26'!EJ12</f>
        <v>112.71</v>
      </c>
      <c r="CP154" s="1060" t="str">
        <f>'No Recurrentes 24-26'!EK12</f>
        <v/>
      </c>
    </row>
    <row r="155">
      <c r="A155" s="451" t="str">
        <f>'No Recurrentes 24-26'!A13</f>
        <v>Repuestos Electromecánicos no recurrentes</v>
      </c>
      <c r="B155" s="451">
        <f>'No Recurrentes 24-26'!B13</f>
        <v>2</v>
      </c>
      <c r="C155" s="451" t="str">
        <f>'No Recurrentes 24-26'!C13</f>
        <v>Estación</v>
      </c>
      <c r="D155" s="451" t="str">
        <f>'No Recurrentes 24-26'!D13</f>
        <v>Dinamo y polea impulsos</v>
      </c>
      <c r="E155" s="451" t="str">
        <f>'No Recurrentes 24-26'!E13</f>
        <v>Repuesto Mecánico</v>
      </c>
      <c r="F155" s="451" t="str">
        <f>'No Recurrentes 24-26'!F13</f>
        <v>TDB</v>
      </c>
      <c r="G155" s="1025" t="str">
        <f>'No Recurrentes 24-26'!G13</f>
        <v>39800</v>
      </c>
      <c r="H155" s="1061" t="str">
        <f>'No Recurrentes 24-26'!H13</f>
        <v>2-01-00289</v>
      </c>
      <c r="I155" s="1061" t="str">
        <f>'No Recurrentes 24-26'!I13</f>
        <v>10083913</v>
      </c>
      <c r="J155" s="1061" t="str">
        <f>'No Recurrentes 24-26'!J13</f>
        <v>CASQUILLO PM 3030 DS  TIPO: KW SIN AGUJ.DE ENGRASE    GLACIER</v>
      </c>
      <c r="K155" s="451" t="str">
        <f>'No Recurrentes 24-26'!K13</f>
        <v>Pza</v>
      </c>
      <c r="L155" s="451">
        <f>'No Recurrentes 24-26'!BC13</f>
        <v>16</v>
      </c>
      <c r="M155" s="451">
        <f>'No Recurrentes 24-26'!BD13</f>
        <v>12</v>
      </c>
      <c r="N155" s="451">
        <f>'No Recurrentes 24-26'!BE13</f>
        <v>16</v>
      </c>
      <c r="O155" s="451">
        <f>'No Recurrentes 24-26'!BF13</f>
        <v>16</v>
      </c>
      <c r="P155" s="451">
        <f>'No Recurrentes 24-26'!BG13</f>
        <v>18</v>
      </c>
      <c r="Q155" s="451">
        <f>'No Recurrentes 24-26'!BH13</f>
        <v>20</v>
      </c>
      <c r="R155" s="451">
        <f>'No Recurrentes 24-26'!BI13</f>
        <v>16</v>
      </c>
      <c r="S155" s="451">
        <f>'No Recurrentes 24-26'!BJ13</f>
        <v>16</v>
      </c>
      <c r="T155" s="451">
        <f>'No Recurrentes 24-26'!BK13</f>
        <v>8</v>
      </c>
      <c r="U155" s="451">
        <f>'No Recurrentes 24-26'!BL13</f>
        <v>0</v>
      </c>
      <c r="V155" s="1068"/>
      <c r="W155" s="1062">
        <f>'No Recurrentes 24-26'!BM13</f>
        <v>138</v>
      </c>
      <c r="X155" s="1062" t="str">
        <f>'No Recurrentes 24-26'!BN13</f>
        <v/>
      </c>
      <c r="Y155" s="1062" t="str">
        <f>'No Recurrentes 24-26'!BO13</f>
        <v/>
      </c>
      <c r="Z155" s="1062" t="str">
        <f>'No Recurrentes 24-26'!BP13</f>
        <v/>
      </c>
      <c r="AA155" s="1062" t="str">
        <f>'No Recurrentes 24-26'!BQ13</f>
        <v/>
      </c>
      <c r="AB155" s="1062" t="str">
        <f>'No Recurrentes 24-26'!BR13</f>
        <v/>
      </c>
      <c r="AC155" s="1062" t="str">
        <f>'No Recurrentes 24-26'!BS13</f>
        <v/>
      </c>
      <c r="AD155" s="1062" t="str">
        <f>'No Recurrentes 24-26'!BT13</f>
        <v/>
      </c>
      <c r="AE155" s="1062" t="str">
        <f>'No Recurrentes 24-26'!BU13</f>
        <v/>
      </c>
      <c r="AF155" s="1062" t="str">
        <f>'No Recurrentes 24-26'!BV13</f>
        <v/>
      </c>
      <c r="AG155" s="1062">
        <f>'No Recurrentes 24-26'!BW13</f>
        <v>14</v>
      </c>
      <c r="AH155" s="1068"/>
      <c r="AI155" s="1062">
        <f>'No Recurrentes 24-26'!BX13</f>
        <v>14</v>
      </c>
      <c r="AJ155" s="1062">
        <f>'No Recurrentes 24-26'!BY13</f>
        <v>0</v>
      </c>
      <c r="AK155" s="1062">
        <f>'No Recurrentes 24-26'!BZ13</f>
        <v>0</v>
      </c>
      <c r="AL155" s="1062">
        <f>'No Recurrentes 24-26'!CA13</f>
        <v>0</v>
      </c>
      <c r="AM155" s="1062">
        <f>'No Recurrentes 24-26'!CB13</f>
        <v>16</v>
      </c>
      <c r="AN155" s="1062">
        <f>'No Recurrentes 24-26'!CC13</f>
        <v>18</v>
      </c>
      <c r="AO155" s="1062">
        <f>'No Recurrentes 24-26'!CD13</f>
        <v>20</v>
      </c>
      <c r="AP155" s="1062">
        <f>'No Recurrentes 24-26'!CE13</f>
        <v>16</v>
      </c>
      <c r="AQ155" s="1062">
        <f>'No Recurrentes 24-26'!CF13</f>
        <v>16</v>
      </c>
      <c r="AR155" s="1062">
        <f>'No Recurrentes 24-26'!CG13</f>
        <v>8</v>
      </c>
      <c r="AS155" s="1062">
        <f>'No Recurrentes 24-26'!CH13</f>
        <v>0</v>
      </c>
      <c r="AT155" s="1068"/>
      <c r="AU155" s="1062">
        <f>'No Recurrentes 24-26'!CI13</f>
        <v>94</v>
      </c>
      <c r="AV155" s="1063">
        <f>'No Recurrentes 24-26'!CJ13</f>
        <v>246</v>
      </c>
      <c r="AW155" s="1068"/>
      <c r="AX155" s="1065">
        <f>'No Recurrentes 24-26'!CK13</f>
        <v>8.11</v>
      </c>
      <c r="AY155" s="1062">
        <f>'No Recurrentes 24-26'!CL13</f>
        <v>56.4456</v>
      </c>
      <c r="AZ155" s="1068"/>
      <c r="BA155" s="1062">
        <f>'No Recurrentes 24-26'!CM13</f>
        <v>903.1296</v>
      </c>
      <c r="BB155" s="1062">
        <f>'No Recurrentes 24-26'!CN13</f>
        <v>677.3472</v>
      </c>
      <c r="BC155" s="1062">
        <f>'No Recurrentes 24-26'!CO13</f>
        <v>903.1296</v>
      </c>
      <c r="BD155" s="1062">
        <f>'No Recurrentes 24-26'!CP13</f>
        <v>903.1296</v>
      </c>
      <c r="BE155" s="1062">
        <f>'No Recurrentes 24-26'!CQ13</f>
        <v>1016.0208</v>
      </c>
      <c r="BF155" s="1062">
        <f>'No Recurrentes 24-26'!CR13</f>
        <v>1128.912</v>
      </c>
      <c r="BG155" s="1062">
        <f>'No Recurrentes 24-26'!CS13</f>
        <v>903.1296</v>
      </c>
      <c r="BH155" s="1062">
        <f>'No Recurrentes 24-26'!CT13</f>
        <v>903.1296</v>
      </c>
      <c r="BI155" s="1062">
        <f>'No Recurrentes 24-26'!CU13</f>
        <v>451.5648</v>
      </c>
      <c r="BJ155" s="1062">
        <f>'No Recurrentes 24-26'!CV13</f>
        <v>0</v>
      </c>
      <c r="BK155" s="1068"/>
      <c r="BL155" s="1062">
        <f>'No Recurrentes 24-26'!CW13</f>
        <v>7789.4928</v>
      </c>
      <c r="BM155" s="1062">
        <f>'No Recurrentes 24-26'!CX13</f>
        <v>0</v>
      </c>
      <c r="BN155" s="1062">
        <f>'No Recurrentes 24-26'!CY13</f>
        <v>0</v>
      </c>
      <c r="BO155" s="1062">
        <f>'No Recurrentes 24-26'!CZ13</f>
        <v>0</v>
      </c>
      <c r="BP155" s="1062">
        <f>'No Recurrentes 24-26'!DA13</f>
        <v>0</v>
      </c>
      <c r="BQ155" s="1062">
        <f>'No Recurrentes 24-26'!DB13</f>
        <v>0</v>
      </c>
      <c r="BR155" s="1062">
        <f>'No Recurrentes 24-26'!DC13</f>
        <v>0</v>
      </c>
      <c r="BS155" s="1062">
        <f>'No Recurrentes 24-26'!DD13</f>
        <v>0</v>
      </c>
      <c r="BT155" s="1062">
        <f>'No Recurrentes 24-26'!DE13</f>
        <v>0</v>
      </c>
      <c r="BU155" s="1062">
        <f>'No Recurrentes 24-26'!DF13</f>
        <v>0</v>
      </c>
      <c r="BV155" s="1062">
        <f>'No Recurrentes 24-26'!DG13</f>
        <v>790.2384</v>
      </c>
      <c r="BW155" s="1068"/>
      <c r="BX155" s="1062">
        <f>'No Recurrentes 24-26'!DH13</f>
        <v>790.2384</v>
      </c>
      <c r="BY155" s="1062">
        <f>'No Recurrentes 24-26'!DI13</f>
        <v>0</v>
      </c>
      <c r="BZ155" s="1062">
        <f>'No Recurrentes 24-26'!DJ13</f>
        <v>0</v>
      </c>
      <c r="CA155" s="1062">
        <f>'No Recurrentes 24-26'!DK13</f>
        <v>0</v>
      </c>
      <c r="CB155" s="1062">
        <f>'No Recurrentes 24-26'!DL13</f>
        <v>903.1296</v>
      </c>
      <c r="CC155" s="1062">
        <f>'No Recurrentes 24-26'!DM13</f>
        <v>1016.0208</v>
      </c>
      <c r="CD155" s="1062">
        <f>'No Recurrentes 24-26'!DN13</f>
        <v>1128.912</v>
      </c>
      <c r="CE155" s="1062">
        <f>'No Recurrentes 24-26'!DO13</f>
        <v>903.1296</v>
      </c>
      <c r="CF155" s="1062">
        <f>'No Recurrentes 24-26'!DP13</f>
        <v>903.1296</v>
      </c>
      <c r="CG155" s="1062">
        <f>'No Recurrentes 24-26'!DQ13</f>
        <v>451.5648</v>
      </c>
      <c r="CH155" s="1062">
        <f>'No Recurrentes 24-26'!DR13</f>
        <v>0</v>
      </c>
      <c r="CI155" s="1068"/>
      <c r="CJ155" s="1062">
        <f>'No Recurrentes 24-26'!DS13</f>
        <v>5305.8864</v>
      </c>
      <c r="CK155" s="1062">
        <f>'No Recurrentes 24-26'!DT13</f>
        <v>13885.6176</v>
      </c>
      <c r="CL155" s="1064" t="str">
        <f>'No Recurrentes 24-26'!DU13</f>
        <v/>
      </c>
      <c r="CM155" s="1064" t="str">
        <f>'No Recurrentes 24-26'!DV13</f>
        <v/>
      </c>
      <c r="CN155" s="1065">
        <f>'No Recurrentes 24-26'!EI13</f>
        <v>8.11</v>
      </c>
      <c r="CO155" s="1065">
        <f>'No Recurrentes 24-26'!EJ13</f>
        <v>6.89</v>
      </c>
      <c r="CP155" s="1060" t="str">
        <f>'No Recurrentes 24-26'!EK13</f>
        <v/>
      </c>
    </row>
    <row r="156">
      <c r="A156" s="451" t="str">
        <f>'No Recurrentes 24-26'!A14</f>
        <v>Repuestos Electromecánicos no recurrentes</v>
      </c>
      <c r="B156" s="451">
        <f>'No Recurrentes 24-26'!B14</f>
        <v>2</v>
      </c>
      <c r="C156" s="451" t="str">
        <f>'No Recurrentes 24-26'!C14</f>
        <v>Estación</v>
      </c>
      <c r="D156" s="451" t="str">
        <f>'No Recurrentes 24-26'!D14</f>
        <v>Dinamo y polea impulsos</v>
      </c>
      <c r="E156" s="451" t="str">
        <f>'No Recurrentes 24-26'!E14</f>
        <v>Repuesto Mecánico</v>
      </c>
      <c r="F156" s="451" t="str">
        <f>'No Recurrentes 24-26'!F14</f>
        <v>TDB</v>
      </c>
      <c r="G156" s="1025" t="str">
        <f>'No Recurrentes 24-26'!G14</f>
        <v>39800</v>
      </c>
      <c r="H156" s="1061" t="str">
        <f>'No Recurrentes 24-26'!H14</f>
        <v>2-01-00086</v>
      </c>
      <c r="I156" s="1061" t="str">
        <f>'No Recurrentes 24-26'!I14</f>
        <v>10134472</v>
      </c>
      <c r="J156" s="1061" t="str">
        <f>'No Recurrentes 24-26'!J14</f>
        <v>RODAM.R.B. DIN 625/1- 6008-2RS RODAMIENTO RANURADO DE BOLAS</v>
      </c>
      <c r="K156" s="451" t="str">
        <f>'No Recurrentes 24-26'!K14</f>
        <v>Pza</v>
      </c>
      <c r="L156" s="451" t="str">
        <f>'No Recurrentes 24-26'!BC14</f>
        <v/>
      </c>
      <c r="M156" s="451">
        <f>'No Recurrentes 24-26'!BD14</f>
        <v>8</v>
      </c>
      <c r="N156" s="451">
        <f>'No Recurrentes 24-26'!BE14</f>
        <v>10</v>
      </c>
      <c r="O156" s="451" t="str">
        <f>'No Recurrentes 24-26'!BF14</f>
        <v/>
      </c>
      <c r="P156" s="451" t="str">
        <f>'No Recurrentes 24-26'!BG14</f>
        <v/>
      </c>
      <c r="Q156" s="451" t="str">
        <f>'No Recurrentes 24-26'!BH14</f>
        <v/>
      </c>
      <c r="R156" s="451">
        <f>'No Recurrentes 24-26'!BI14</f>
        <v>8</v>
      </c>
      <c r="S156" s="451">
        <f>'No Recurrentes 24-26'!BJ14</f>
        <v>8</v>
      </c>
      <c r="T156" s="451">
        <f>'No Recurrentes 24-26'!BK14</f>
        <v>0</v>
      </c>
      <c r="U156" s="451" t="str">
        <f>'No Recurrentes 24-26'!BL14</f>
        <v/>
      </c>
      <c r="V156" s="1068"/>
      <c r="W156" s="1062">
        <f>'No Recurrentes 24-26'!BM14</f>
        <v>34</v>
      </c>
      <c r="X156" s="1062">
        <f>'No Recurrentes 24-26'!BN14</f>
        <v>8</v>
      </c>
      <c r="Y156" s="1062" t="str">
        <f>'No Recurrentes 24-26'!BO14</f>
        <v/>
      </c>
      <c r="Z156" s="1062" t="str">
        <f>'No Recurrentes 24-26'!BP14</f>
        <v/>
      </c>
      <c r="AA156" s="1062" t="str">
        <f>'No Recurrentes 24-26'!BS14</f>
        <v/>
      </c>
      <c r="AB156" s="1062" t="str">
        <f>'No Recurrentes 24-26'!BR14</f>
        <v/>
      </c>
      <c r="AC156" s="1062" t="str">
        <f>'No Recurrentes 24-26'!BS14</f>
        <v/>
      </c>
      <c r="AD156" s="1062" t="str">
        <f>'No Recurrentes 24-26'!BT14</f>
        <v/>
      </c>
      <c r="AE156" s="1062" t="str">
        <f>'No Recurrentes 24-26'!BU14</f>
        <v/>
      </c>
      <c r="AF156" s="1062">
        <f>'No Recurrentes 24-26'!BV14</f>
        <v>8</v>
      </c>
      <c r="AG156" s="1062">
        <f>'No Recurrentes 24-26'!BW14</f>
        <v>10</v>
      </c>
      <c r="AH156" s="1068"/>
      <c r="AI156" s="1062">
        <f>'No Recurrentes 24-26'!BX14</f>
        <v>26</v>
      </c>
      <c r="AJ156" s="1062">
        <f>'No Recurrentes 24-26'!BY14</f>
        <v>0</v>
      </c>
      <c r="AK156" s="1062">
        <f>'No Recurrentes 24-26'!BZ14</f>
        <v>8</v>
      </c>
      <c r="AL156" s="1062">
        <f>'No Recurrentes 24-26'!CA14</f>
        <v>0</v>
      </c>
      <c r="AM156" s="1062">
        <f>'No Recurrentes 24-26'!CB14</f>
        <v>0</v>
      </c>
      <c r="AN156" s="1062">
        <f>'No Recurrentes 24-26'!CC14</f>
        <v>0</v>
      </c>
      <c r="AO156" s="1062">
        <f>'No Recurrentes 24-26'!CD14</f>
        <v>0</v>
      </c>
      <c r="AP156" s="1062">
        <f>'No Recurrentes 24-26'!CE14</f>
        <v>0</v>
      </c>
      <c r="AQ156" s="1062">
        <f>'No Recurrentes 24-26'!CF14</f>
        <v>0</v>
      </c>
      <c r="AR156" s="1062">
        <f>'No Recurrentes 24-26'!CG14</f>
        <v>0</v>
      </c>
      <c r="AS156" s="1062">
        <f>'No Recurrentes 24-26'!CH14</f>
        <v>0</v>
      </c>
      <c r="AT156" s="1068"/>
      <c r="AU156" s="1062">
        <f>'No Recurrentes 24-26'!CI14</f>
        <v>8</v>
      </c>
      <c r="AV156" s="1063">
        <f>'No Recurrentes 24-26'!CJ14</f>
        <v>68</v>
      </c>
      <c r="AW156" s="1068"/>
      <c r="AX156" s="1065">
        <f>'No Recurrentes 24-26'!CK14</f>
        <v>22.04</v>
      </c>
      <c r="AY156" s="1062">
        <f>'No Recurrentes 24-26'!CL14</f>
        <v>153.3984</v>
      </c>
      <c r="AZ156" s="1068"/>
      <c r="BA156" s="1062">
        <f>'No Recurrentes 24-26'!CM14</f>
        <v>0</v>
      </c>
      <c r="BB156" s="1062">
        <f>'No Recurrentes 24-26'!CN14</f>
        <v>1227.1872</v>
      </c>
      <c r="BC156" s="1062">
        <f>'No Recurrentes 24-26'!CO14</f>
        <v>1533.984</v>
      </c>
      <c r="BD156" s="1062">
        <f>'No Recurrentes 24-26'!CP14</f>
        <v>0</v>
      </c>
      <c r="BE156" s="1062">
        <f>'No Recurrentes 24-26'!CQ14</f>
        <v>0</v>
      </c>
      <c r="BF156" s="1062">
        <f>'No Recurrentes 24-26'!CR14</f>
        <v>0</v>
      </c>
      <c r="BG156" s="1062">
        <f>'No Recurrentes 24-26'!CS14</f>
        <v>1227.1872</v>
      </c>
      <c r="BH156" s="1062">
        <f>'No Recurrentes 24-26'!CT14</f>
        <v>1227.1872</v>
      </c>
      <c r="BI156" s="1062">
        <f>'No Recurrentes 24-26'!CU14</f>
        <v>0</v>
      </c>
      <c r="BJ156" s="1062">
        <f>'No Recurrentes 24-26'!CV14</f>
        <v>0</v>
      </c>
      <c r="BK156" s="1068"/>
      <c r="BL156" s="1062">
        <f>'No Recurrentes 24-26'!CW14</f>
        <v>5215.5456</v>
      </c>
      <c r="BM156" s="1062">
        <f>'No Recurrentes 24-26'!CX14</f>
        <v>1227.1872</v>
      </c>
      <c r="BN156" s="1062">
        <f>'No Recurrentes 24-26'!CY14</f>
        <v>0</v>
      </c>
      <c r="BO156" s="1062">
        <f>'No Recurrentes 24-26'!CZ14</f>
        <v>0</v>
      </c>
      <c r="BP156" s="1062">
        <f>'No Recurrentes 24-26'!DA14</f>
        <v>0</v>
      </c>
      <c r="BQ156" s="1062">
        <f>'No Recurrentes 24-26'!DB14</f>
        <v>0</v>
      </c>
      <c r="BR156" s="1062">
        <f>'No Recurrentes 24-26'!DC14</f>
        <v>0</v>
      </c>
      <c r="BS156" s="1062">
        <f>'No Recurrentes 24-26'!DD14</f>
        <v>0</v>
      </c>
      <c r="BT156" s="1062">
        <f>'No Recurrentes 24-26'!DE14</f>
        <v>0</v>
      </c>
      <c r="BU156" s="1062">
        <f>'No Recurrentes 24-26'!DF14</f>
        <v>1227.1872</v>
      </c>
      <c r="BV156" s="1062">
        <f>'No Recurrentes 24-26'!DG14</f>
        <v>1533.984</v>
      </c>
      <c r="BW156" s="1068"/>
      <c r="BX156" s="1062">
        <f>'No Recurrentes 24-26'!DH14</f>
        <v>3988.3584</v>
      </c>
      <c r="BY156" s="1062">
        <f>'No Recurrentes 24-26'!DI14</f>
        <v>0</v>
      </c>
      <c r="BZ156" s="1062">
        <f>'No Recurrentes 24-26'!DJ14</f>
        <v>1227.1872</v>
      </c>
      <c r="CA156" s="1062">
        <f>'No Recurrentes 24-26'!DK14</f>
        <v>0</v>
      </c>
      <c r="CB156" s="1062">
        <f>'No Recurrentes 24-26'!DL14</f>
        <v>0</v>
      </c>
      <c r="CC156" s="1062">
        <f>'No Recurrentes 24-26'!DM14</f>
        <v>0</v>
      </c>
      <c r="CD156" s="1062">
        <f>'No Recurrentes 24-26'!DN14</f>
        <v>0</v>
      </c>
      <c r="CE156" s="1062">
        <f>'No Recurrentes 24-26'!DO14</f>
        <v>0</v>
      </c>
      <c r="CF156" s="1062">
        <f>'No Recurrentes 24-26'!DP14</f>
        <v>0</v>
      </c>
      <c r="CG156" s="1062">
        <f>'No Recurrentes 24-26'!DQ14</f>
        <v>0</v>
      </c>
      <c r="CH156" s="1062">
        <f>'No Recurrentes 24-26'!DR14</f>
        <v>0</v>
      </c>
      <c r="CI156" s="1068"/>
      <c r="CJ156" s="1062">
        <f>'No Recurrentes 24-26'!DS14</f>
        <v>1227.1872</v>
      </c>
      <c r="CK156" s="1062">
        <f>'No Recurrentes 24-26'!DT14</f>
        <v>10431.0912</v>
      </c>
      <c r="CL156" s="1064" t="str">
        <f>'No Recurrentes 24-26'!DU14</f>
        <v/>
      </c>
      <c r="CM156" s="1064" t="str">
        <f>'No Recurrentes 24-26'!DV14</f>
        <v/>
      </c>
      <c r="CN156" s="1065">
        <f>'No Recurrentes 24-26'!EI14</f>
        <v>22.04</v>
      </c>
      <c r="CO156" s="1065">
        <f>'No Recurrentes 24-26'!EJ14</f>
        <v>18.73</v>
      </c>
      <c r="CP156" s="1060" t="str">
        <f>'No Recurrentes 24-26'!EK14</f>
        <v/>
      </c>
    </row>
    <row r="157">
      <c r="A157" s="451" t="str">
        <f>'No Recurrentes 24-26'!A15</f>
        <v>Repuestos Electromecánicos no recurrentes</v>
      </c>
      <c r="B157" s="451">
        <f>'No Recurrentes 24-26'!B15</f>
        <v>2</v>
      </c>
      <c r="C157" s="451" t="str">
        <f>'No Recurrentes 24-26'!C15</f>
        <v>Estación</v>
      </c>
      <c r="D157" s="451" t="str">
        <f>'No Recurrentes 24-26'!D15</f>
        <v>Dinamo y polea impulsos</v>
      </c>
      <c r="E157" s="451" t="str">
        <f>'No Recurrentes 24-26'!E15</f>
        <v>Repuesto Mecánico</v>
      </c>
      <c r="F157" s="451" t="str">
        <f>'No Recurrentes 24-26'!F15</f>
        <v>TDB</v>
      </c>
      <c r="G157" s="1025" t="str">
        <f>'No Recurrentes 24-26'!G15</f>
        <v>39800</v>
      </c>
      <c r="H157" s="1061" t="str">
        <f>'No Recurrentes 24-26'!H15</f>
        <v>2-01-00085</v>
      </c>
      <c r="I157" s="1061" t="str">
        <f>'No Recurrentes 24-26'!I15</f>
        <v>10420184</v>
      </c>
      <c r="J157" s="1061" t="str">
        <f>'No Recurrentes 24-26'!J15</f>
        <v>ROD.RB DIN625/1-6204-2RS1-C3LT VT210  TTF90% +/-5% RODAM.RAN.</v>
      </c>
      <c r="K157" s="451" t="str">
        <f>'No Recurrentes 24-26'!K15</f>
        <v>Pza</v>
      </c>
      <c r="L157" s="451" t="str">
        <f>'No Recurrentes 24-26'!BC15</f>
        <v/>
      </c>
      <c r="M157" s="451" t="str">
        <f>'No Recurrentes 24-26'!BD15</f>
        <v/>
      </c>
      <c r="N157" s="451" t="str">
        <f>'No Recurrentes 24-26'!BE15</f>
        <v/>
      </c>
      <c r="O157" s="451" t="str">
        <f>'No Recurrentes 24-26'!BF15</f>
        <v/>
      </c>
      <c r="P157" s="451" t="str">
        <f>'No Recurrentes 24-26'!BG15</f>
        <v/>
      </c>
      <c r="Q157" s="451" t="str">
        <f>'No Recurrentes 24-26'!BH15</f>
        <v/>
      </c>
      <c r="R157" s="451" t="str">
        <f>'No Recurrentes 24-26'!BI15</f>
        <v/>
      </c>
      <c r="S157" s="451" t="str">
        <f>'No Recurrentes 24-26'!BJ15</f>
        <v/>
      </c>
      <c r="T157" s="451" t="str">
        <f>'No Recurrentes 24-26'!BK15</f>
        <v/>
      </c>
      <c r="U157" s="451" t="str">
        <f>'No Recurrentes 24-26'!BL15</f>
        <v/>
      </c>
      <c r="V157" s="1068"/>
      <c r="W157" s="1062">
        <f>'No Recurrentes 24-26'!BM15</f>
        <v>0</v>
      </c>
      <c r="X157" s="1062">
        <f>'No Recurrentes 24-26'!BN15</f>
        <v>8</v>
      </c>
      <c r="Y157" s="1062">
        <f>'No Recurrentes 24-26'!BO15</f>
        <v>6</v>
      </c>
      <c r="Z157" s="1062">
        <f>'No Recurrentes 24-26'!BP15</f>
        <v>8</v>
      </c>
      <c r="AA157" s="1062">
        <f>'No Recurrentes 24-26'!BQ15</f>
        <v>4</v>
      </c>
      <c r="AB157" s="1062">
        <f>'No Recurrentes 24-26'!BR15</f>
        <v>10</v>
      </c>
      <c r="AC157" s="1062">
        <f>'No Recurrentes 24-26'!BS15</f>
        <v>12</v>
      </c>
      <c r="AD157" s="1062">
        <f>'No Recurrentes 24-26'!BT15</f>
        <v>8</v>
      </c>
      <c r="AE157" s="1062">
        <f>'No Recurrentes 24-26'!BU15</f>
        <v>8</v>
      </c>
      <c r="AF157" s="1062">
        <f>'No Recurrentes 24-26'!BV15</f>
        <v>4</v>
      </c>
      <c r="AG157" s="1062">
        <f>'No Recurrentes 24-26'!BW15</f>
        <v>8</v>
      </c>
      <c r="AH157" s="1068"/>
      <c r="AI157" s="1062">
        <f>'No Recurrentes 24-26'!BX15</f>
        <v>76</v>
      </c>
      <c r="AJ157" s="1062">
        <f>'No Recurrentes 24-26'!BY15</f>
        <v>8</v>
      </c>
      <c r="AK157" s="1062">
        <f>'No Recurrentes 24-26'!BZ15</f>
        <v>6</v>
      </c>
      <c r="AL157" s="1062">
        <f>'No Recurrentes 24-26'!CA15</f>
        <v>8</v>
      </c>
      <c r="AM157" s="1062">
        <f>'No Recurrentes 24-26'!CB15</f>
        <v>4</v>
      </c>
      <c r="AN157" s="1062">
        <f>'No Recurrentes 24-26'!CC15</f>
        <v>10</v>
      </c>
      <c r="AO157" s="1062">
        <f>'No Recurrentes 24-26'!CD15</f>
        <v>12</v>
      </c>
      <c r="AP157" s="1062">
        <f>'No Recurrentes 24-26'!CE15</f>
        <v>0</v>
      </c>
      <c r="AQ157" s="1062">
        <f>'No Recurrentes 24-26'!CF15</f>
        <v>0</v>
      </c>
      <c r="AR157" s="1062">
        <f>'No Recurrentes 24-26'!CG15</f>
        <v>0</v>
      </c>
      <c r="AS157" s="1062">
        <f>'No Recurrentes 24-26'!CH15</f>
        <v>0</v>
      </c>
      <c r="AT157" s="1068"/>
      <c r="AU157" s="1062">
        <f>'No Recurrentes 24-26'!CI15</f>
        <v>48</v>
      </c>
      <c r="AV157" s="1063">
        <f>'No Recurrentes 24-26'!CJ15</f>
        <v>124</v>
      </c>
      <c r="AW157" s="1068"/>
      <c r="AX157" s="1065">
        <f>'No Recurrentes 24-26'!CK15</f>
        <v>7.92</v>
      </c>
      <c r="AY157" s="1062">
        <f>'No Recurrentes 24-26'!CL15</f>
        <v>55.1232</v>
      </c>
      <c r="AZ157" s="1068"/>
      <c r="BA157" s="1062">
        <f>'No Recurrentes 24-26'!CM15</f>
        <v>0</v>
      </c>
      <c r="BB157" s="1062">
        <f>'No Recurrentes 24-26'!CN15</f>
        <v>0</v>
      </c>
      <c r="BC157" s="1062">
        <f>'No Recurrentes 24-26'!CO15</f>
        <v>0</v>
      </c>
      <c r="BD157" s="1062">
        <f>'No Recurrentes 24-26'!CP15</f>
        <v>0</v>
      </c>
      <c r="BE157" s="1062">
        <f>'No Recurrentes 24-26'!CQ15</f>
        <v>0</v>
      </c>
      <c r="BF157" s="1062">
        <f>'No Recurrentes 24-26'!CR15</f>
        <v>0</v>
      </c>
      <c r="BG157" s="1062">
        <f>'No Recurrentes 24-26'!CS15</f>
        <v>0</v>
      </c>
      <c r="BH157" s="1062">
        <f>'No Recurrentes 24-26'!CT15</f>
        <v>0</v>
      </c>
      <c r="BI157" s="1062">
        <f>'No Recurrentes 24-26'!CU15</f>
        <v>0</v>
      </c>
      <c r="BJ157" s="1062">
        <f>'No Recurrentes 24-26'!CV15</f>
        <v>0</v>
      </c>
      <c r="BK157" s="1068"/>
      <c r="BL157" s="1062">
        <f>'No Recurrentes 24-26'!CW15</f>
        <v>0</v>
      </c>
      <c r="BM157" s="1062">
        <f>'No Recurrentes 24-26'!CX15</f>
        <v>440.9856</v>
      </c>
      <c r="BN157" s="1062">
        <f>'No Recurrentes 24-26'!CY15</f>
        <v>330.7392</v>
      </c>
      <c r="BO157" s="1062">
        <f>'No Recurrentes 24-26'!CZ15</f>
        <v>440.9856</v>
      </c>
      <c r="BP157" s="1062">
        <f>'No Recurrentes 24-26'!DA15</f>
        <v>220.4928</v>
      </c>
      <c r="BQ157" s="1062">
        <f>'No Recurrentes 24-26'!DB15</f>
        <v>551.232</v>
      </c>
      <c r="BR157" s="1062">
        <f>'No Recurrentes 24-26'!DC15</f>
        <v>661.4784</v>
      </c>
      <c r="BS157" s="1062">
        <f>'No Recurrentes 24-26'!DD15</f>
        <v>440.9856</v>
      </c>
      <c r="BT157" s="1062">
        <f>'No Recurrentes 24-26'!DE15</f>
        <v>440.9856</v>
      </c>
      <c r="BU157" s="1062">
        <f>'No Recurrentes 24-26'!DF15</f>
        <v>220.4928</v>
      </c>
      <c r="BV157" s="1062">
        <f>'No Recurrentes 24-26'!DG15</f>
        <v>440.9856</v>
      </c>
      <c r="BW157" s="1068"/>
      <c r="BX157" s="1062">
        <f>'No Recurrentes 24-26'!DH15</f>
        <v>4189.3632</v>
      </c>
      <c r="BY157" s="1062">
        <f>'No Recurrentes 24-26'!DI15</f>
        <v>440.9856</v>
      </c>
      <c r="BZ157" s="1062">
        <f>'No Recurrentes 24-26'!DJ15</f>
        <v>330.7392</v>
      </c>
      <c r="CA157" s="1062">
        <f>'No Recurrentes 24-26'!DK15</f>
        <v>440.9856</v>
      </c>
      <c r="CB157" s="1062">
        <f>'No Recurrentes 24-26'!DL15</f>
        <v>220.4928</v>
      </c>
      <c r="CC157" s="1062">
        <f>'No Recurrentes 24-26'!DM15</f>
        <v>551.232</v>
      </c>
      <c r="CD157" s="1062">
        <f>'No Recurrentes 24-26'!DN15</f>
        <v>661.4784</v>
      </c>
      <c r="CE157" s="1062">
        <f>'No Recurrentes 24-26'!DO15</f>
        <v>0</v>
      </c>
      <c r="CF157" s="1062">
        <f>'No Recurrentes 24-26'!DP15</f>
        <v>0</v>
      </c>
      <c r="CG157" s="1062">
        <f>'No Recurrentes 24-26'!DQ15</f>
        <v>0</v>
      </c>
      <c r="CH157" s="1062">
        <f>'No Recurrentes 24-26'!DR15</f>
        <v>0</v>
      </c>
      <c r="CI157" s="1068"/>
      <c r="CJ157" s="1062">
        <f>'No Recurrentes 24-26'!DS15</f>
        <v>2645.9136</v>
      </c>
      <c r="CK157" s="1062">
        <f>'No Recurrentes 24-26'!DT15</f>
        <v>6835.2768</v>
      </c>
      <c r="CL157" s="1064" t="str">
        <f>'No Recurrentes 24-26'!DU15</f>
        <v/>
      </c>
      <c r="CM157" s="1064" t="str">
        <f>'No Recurrentes 24-26'!DV15</f>
        <v/>
      </c>
      <c r="CN157" s="1065">
        <f>'No Recurrentes 24-26'!EI15</f>
        <v>7.92</v>
      </c>
      <c r="CO157" s="1065">
        <f>'No Recurrentes 24-26'!EJ15</f>
        <v>6.73</v>
      </c>
      <c r="CP157" s="1060" t="str">
        <f>'No Recurrentes 24-26'!EK15</f>
        <v/>
      </c>
    </row>
    <row r="158">
      <c r="A158" s="451" t="str">
        <f>'No Recurrentes 24-26'!A16</f>
        <v>Repuestos Electromecánicos no recurrentes</v>
      </c>
      <c r="B158" s="451">
        <f>'No Recurrentes 24-26'!B16</f>
        <v>2</v>
      </c>
      <c r="C158" s="451" t="str">
        <f>'No Recurrentes 24-26'!C16</f>
        <v>Estación</v>
      </c>
      <c r="D158" s="451" t="str">
        <f>'No Recurrentes 24-26'!D16</f>
        <v>Dinamo y polea impulsos</v>
      </c>
      <c r="E158" s="451" t="str">
        <f>'No Recurrentes 24-26'!E16</f>
        <v>Repuesto Mecánico</v>
      </c>
      <c r="F158" s="451" t="str">
        <f>'No Recurrentes 24-26'!F16</f>
        <v>TDB</v>
      </c>
      <c r="G158" s="1025" t="str">
        <f>'No Recurrentes 24-26'!G16</f>
        <v>39800</v>
      </c>
      <c r="H158" s="1061" t="str">
        <f>'No Recurrentes 24-26'!H16</f>
        <v>2-01-00037</v>
      </c>
      <c r="I158" s="1061" t="str">
        <f>'No Recurrentes 24-26'!I16</f>
        <v>10012363</v>
      </c>
      <c r="J158" s="1061" t="str">
        <f>'No Recurrentes 24-26'!J16</f>
        <v>ARO DE GOMA  254X44 SIN RANURA </v>
      </c>
      <c r="K158" s="451" t="str">
        <f>'No Recurrentes 24-26'!K16</f>
        <v>Pza</v>
      </c>
      <c r="L158" s="451" t="str">
        <f>'No Recurrentes 24-26'!BC16</f>
        <v/>
      </c>
      <c r="M158" s="451" t="str">
        <f>'No Recurrentes 24-26'!BD16</f>
        <v/>
      </c>
      <c r="N158" s="451" t="str">
        <f>'No Recurrentes 24-26'!BE16</f>
        <v/>
      </c>
      <c r="O158" s="451" t="str">
        <f>'No Recurrentes 24-26'!BF16</f>
        <v/>
      </c>
      <c r="P158" s="451" t="str">
        <f>'No Recurrentes 24-26'!BG16</f>
        <v/>
      </c>
      <c r="Q158" s="451" t="str">
        <f>'No Recurrentes 24-26'!BH16</f>
        <v/>
      </c>
      <c r="R158" s="451" t="str">
        <f>'No Recurrentes 24-26'!BI16</f>
        <v/>
      </c>
      <c r="S158" s="451" t="str">
        <f>'No Recurrentes 24-26'!BJ16</f>
        <v/>
      </c>
      <c r="T158" s="451" t="str">
        <f>'No Recurrentes 24-26'!BK16</f>
        <v/>
      </c>
      <c r="U158" s="451" t="str">
        <f>'No Recurrentes 24-26'!BL16</f>
        <v/>
      </c>
      <c r="V158" s="1068"/>
      <c r="W158" s="1062">
        <f>'No Recurrentes 24-26'!BM16</f>
        <v>0</v>
      </c>
      <c r="X158" s="1062" t="str">
        <f>'No Recurrentes 24-26'!BN16</f>
        <v/>
      </c>
      <c r="Y158" s="1062" t="str">
        <f>'No Recurrentes 24-26'!BO16</f>
        <v/>
      </c>
      <c r="Z158" s="1062" t="str">
        <f>'No Recurrentes 24-26'!BP16</f>
        <v/>
      </c>
      <c r="AA158" s="1062">
        <f>'No Recurrentes 24-26'!BQ16</f>
        <v>4</v>
      </c>
      <c r="AB158" s="1062" t="str">
        <f>'No Recurrentes 24-26'!BR16</f>
        <v/>
      </c>
      <c r="AC158" s="1062" t="str">
        <f>'No Recurrentes 24-26'!BS16</f>
        <v/>
      </c>
      <c r="AD158" s="1062" t="str">
        <f>'No Recurrentes 24-26'!BT16</f>
        <v/>
      </c>
      <c r="AE158" s="1062" t="str">
        <f>'No Recurrentes 24-26'!BU16</f>
        <v/>
      </c>
      <c r="AF158" s="1062" t="str">
        <f>'No Recurrentes 24-26'!BV16</f>
        <v/>
      </c>
      <c r="AG158" s="1062" t="str">
        <f>'No Recurrentes 24-26'!BW16</f>
        <v/>
      </c>
      <c r="AH158" s="1068"/>
      <c r="AI158" s="1062">
        <f>'No Recurrentes 24-26'!BX16</f>
        <v>4</v>
      </c>
      <c r="AJ158" s="1062">
        <f>'No Recurrentes 24-26'!BY16</f>
        <v>0</v>
      </c>
      <c r="AK158" s="1062">
        <f>'No Recurrentes 24-26'!BZ16</f>
        <v>0</v>
      </c>
      <c r="AL158" s="1062">
        <f>'No Recurrentes 24-26'!CA16</f>
        <v>0</v>
      </c>
      <c r="AM158" s="1062">
        <f>'No Recurrentes 24-26'!CB16</f>
        <v>4</v>
      </c>
      <c r="AN158" s="1062">
        <f>'No Recurrentes 24-26'!CC16</f>
        <v>0</v>
      </c>
      <c r="AO158" s="1062">
        <f>'No Recurrentes 24-26'!CD16</f>
        <v>0</v>
      </c>
      <c r="AP158" s="1062">
        <f>'No Recurrentes 24-26'!CE16</f>
        <v>0</v>
      </c>
      <c r="AQ158" s="1062">
        <f>'No Recurrentes 24-26'!CF16</f>
        <v>0</v>
      </c>
      <c r="AR158" s="1062">
        <f>'No Recurrentes 24-26'!CG16</f>
        <v>0</v>
      </c>
      <c r="AS158" s="1062">
        <f>'No Recurrentes 24-26'!CH16</f>
        <v>0</v>
      </c>
      <c r="AT158" s="1068"/>
      <c r="AU158" s="1062">
        <f>'No Recurrentes 24-26'!CI16</f>
        <v>4</v>
      </c>
      <c r="AV158" s="1063">
        <f>'No Recurrentes 24-26'!CJ16</f>
        <v>8</v>
      </c>
      <c r="AW158" s="1068"/>
      <c r="AX158" s="1065">
        <f>'No Recurrentes 24-26'!CK16</f>
        <v>93.56</v>
      </c>
      <c r="AY158" s="1062">
        <f>'No Recurrentes 24-26'!CL16</f>
        <v>651.1776</v>
      </c>
      <c r="AZ158" s="1068"/>
      <c r="BA158" s="1062">
        <f>'No Recurrentes 24-26'!CM16</f>
        <v>0</v>
      </c>
      <c r="BB158" s="1062">
        <f>'No Recurrentes 24-26'!CN16</f>
        <v>0</v>
      </c>
      <c r="BC158" s="1062">
        <f>'No Recurrentes 24-26'!CO16</f>
        <v>0</v>
      </c>
      <c r="BD158" s="1062">
        <f>'No Recurrentes 24-26'!CP16</f>
        <v>0</v>
      </c>
      <c r="BE158" s="1062">
        <f>'No Recurrentes 24-26'!CQ16</f>
        <v>0</v>
      </c>
      <c r="BF158" s="1062">
        <f>'No Recurrentes 24-26'!CR16</f>
        <v>0</v>
      </c>
      <c r="BG158" s="1062">
        <f>'No Recurrentes 24-26'!CS16</f>
        <v>0</v>
      </c>
      <c r="BH158" s="1062">
        <f>'No Recurrentes 24-26'!CT16</f>
        <v>0</v>
      </c>
      <c r="BI158" s="1062">
        <f>'No Recurrentes 24-26'!CU16</f>
        <v>0</v>
      </c>
      <c r="BJ158" s="1062">
        <f>'No Recurrentes 24-26'!CV16</f>
        <v>0</v>
      </c>
      <c r="BK158" s="1068"/>
      <c r="BL158" s="1062">
        <f>'No Recurrentes 24-26'!CW16</f>
        <v>0</v>
      </c>
      <c r="BM158" s="1062">
        <f>'No Recurrentes 24-26'!CX16</f>
        <v>0</v>
      </c>
      <c r="BN158" s="1062">
        <f>'No Recurrentes 24-26'!CY16</f>
        <v>0</v>
      </c>
      <c r="BO158" s="1062">
        <f>'No Recurrentes 24-26'!CZ16</f>
        <v>0</v>
      </c>
      <c r="BP158" s="1062">
        <f>'No Recurrentes 24-26'!DA16</f>
        <v>2604.7104</v>
      </c>
      <c r="BQ158" s="1062">
        <f>'No Recurrentes 24-26'!DB16</f>
        <v>0</v>
      </c>
      <c r="BR158" s="1062">
        <f>'No Recurrentes 24-26'!DC16</f>
        <v>0</v>
      </c>
      <c r="BS158" s="1062">
        <f>'No Recurrentes 24-26'!DD16</f>
        <v>0</v>
      </c>
      <c r="BT158" s="1062">
        <f>'No Recurrentes 24-26'!DE16</f>
        <v>0</v>
      </c>
      <c r="BU158" s="1062">
        <f>'No Recurrentes 24-26'!DF16</f>
        <v>0</v>
      </c>
      <c r="BV158" s="1062">
        <f>'No Recurrentes 24-26'!DG16</f>
        <v>0</v>
      </c>
      <c r="BW158" s="1068"/>
      <c r="BX158" s="1062">
        <f>'No Recurrentes 24-26'!DH16</f>
        <v>2604.7104</v>
      </c>
      <c r="BY158" s="1062">
        <f>'No Recurrentes 24-26'!DI16</f>
        <v>0</v>
      </c>
      <c r="BZ158" s="1062">
        <f>'No Recurrentes 24-26'!DJ16</f>
        <v>0</v>
      </c>
      <c r="CA158" s="1062">
        <f>'No Recurrentes 24-26'!DK16</f>
        <v>0</v>
      </c>
      <c r="CB158" s="1062">
        <f>'No Recurrentes 24-26'!DL16</f>
        <v>2604.7104</v>
      </c>
      <c r="CC158" s="1062">
        <f>'No Recurrentes 24-26'!DM16</f>
        <v>0</v>
      </c>
      <c r="CD158" s="1062">
        <f>'No Recurrentes 24-26'!DN16</f>
        <v>0</v>
      </c>
      <c r="CE158" s="1062">
        <f>'No Recurrentes 24-26'!DO16</f>
        <v>0</v>
      </c>
      <c r="CF158" s="1062">
        <f>'No Recurrentes 24-26'!DP16</f>
        <v>0</v>
      </c>
      <c r="CG158" s="1062">
        <f>'No Recurrentes 24-26'!DQ16</f>
        <v>0</v>
      </c>
      <c r="CH158" s="1062">
        <f>'No Recurrentes 24-26'!DR16</f>
        <v>0</v>
      </c>
      <c r="CI158" s="1068"/>
      <c r="CJ158" s="1062">
        <f>'No Recurrentes 24-26'!DS16</f>
        <v>2604.7104</v>
      </c>
      <c r="CK158" s="1062">
        <f>'No Recurrentes 24-26'!DT16</f>
        <v>5209.4208</v>
      </c>
      <c r="CL158" s="1064" t="str">
        <f>'No Recurrentes 24-26'!DU16</f>
        <v/>
      </c>
      <c r="CM158" s="1064" t="str">
        <f>'No Recurrentes 24-26'!DV16</f>
        <v/>
      </c>
      <c r="CN158" s="1065">
        <f>'No Recurrentes 24-26'!EI16</f>
        <v>93.56</v>
      </c>
      <c r="CO158" s="1065">
        <f>'No Recurrentes 24-26'!EJ16</f>
        <v>79.53</v>
      </c>
      <c r="CP158" s="1060" t="str">
        <f>'No Recurrentes 24-26'!EK16</f>
        <v/>
      </c>
    </row>
    <row r="159">
      <c r="A159" s="451" t="str">
        <f>'No Recurrentes 24-26'!A17</f>
        <v>Repuestos Electromecánicos no recurrentes</v>
      </c>
      <c r="B159" s="451">
        <f>'No Recurrentes 24-26'!B17</f>
        <v>2</v>
      </c>
      <c r="C159" s="451" t="str">
        <f>'No Recurrentes 24-26'!C17</f>
        <v>Estación</v>
      </c>
      <c r="D159" s="451" t="str">
        <f>'No Recurrentes 24-26'!D17</f>
        <v>Dinamo y polea impulsos</v>
      </c>
      <c r="E159" s="451" t="str">
        <f>'No Recurrentes 24-26'!E17</f>
        <v>Repuesto Mecánico</v>
      </c>
      <c r="F159" s="451" t="str">
        <f>'No Recurrentes 24-26'!F17</f>
        <v>TDB</v>
      </c>
      <c r="G159" s="1025" t="str">
        <f>'No Recurrentes 24-26'!G17</f>
        <v>39800</v>
      </c>
      <c r="H159" s="1061" t="str">
        <f>'No Recurrentes 24-26'!H17</f>
        <v>2-01-01049</v>
      </c>
      <c r="I159" s="1061" t="str">
        <f>'No Recurrentes 24-26'!I17</f>
        <v>10986283</v>
      </c>
      <c r="J159" s="1061" t="str">
        <f>'No Recurrentes 24-26'!J17</f>
        <v>RESORTE DE COMPRESIÓN D=7,50/DIÁ=47,5/AG=94,0 IF=4,95 DIN2095</v>
      </c>
      <c r="K159" s="451" t="str">
        <f>'No Recurrentes 24-26'!K17</f>
        <v>Pza</v>
      </c>
      <c r="L159" s="451" t="str">
        <f>'No Recurrentes 24-26'!BC17</f>
        <v/>
      </c>
      <c r="M159" s="451" t="str">
        <f>'No Recurrentes 24-26'!BD17</f>
        <v/>
      </c>
      <c r="N159" s="451" t="str">
        <f>'No Recurrentes 24-26'!BE17</f>
        <v/>
      </c>
      <c r="O159" s="451" t="str">
        <f>'No Recurrentes 24-26'!BF17</f>
        <v/>
      </c>
      <c r="P159" s="451" t="str">
        <f>'No Recurrentes 24-26'!BG17</f>
        <v/>
      </c>
      <c r="Q159" s="451" t="str">
        <f>'No Recurrentes 24-26'!BH17</f>
        <v/>
      </c>
      <c r="R159" s="451" t="str">
        <f>'No Recurrentes 24-26'!BI17</f>
        <v/>
      </c>
      <c r="S159" s="451" t="str">
        <f>'No Recurrentes 24-26'!BJ17</f>
        <v/>
      </c>
      <c r="T159" s="451" t="str">
        <f>'No Recurrentes 24-26'!BK17</f>
        <v/>
      </c>
      <c r="U159" s="451">
        <f>'No Recurrentes 24-26'!BL17</f>
        <v>0</v>
      </c>
      <c r="V159" s="1068"/>
      <c r="W159" s="1062">
        <f>'No Recurrentes 24-26'!BM17</f>
        <v>0</v>
      </c>
      <c r="X159" s="1062">
        <f>'No Recurrentes 24-26'!BN17</f>
        <v>4</v>
      </c>
      <c r="Y159" s="1062">
        <f>'No Recurrentes 24-26'!BO17</f>
        <v>2</v>
      </c>
      <c r="Z159" s="1062">
        <f>'No Recurrentes 24-26'!BP17</f>
        <v>8</v>
      </c>
      <c r="AA159" s="1062">
        <f>'No Recurrentes 24-26'!BQ17</f>
        <v>8</v>
      </c>
      <c r="AB159" s="1062">
        <f>'No Recurrentes 24-26'!BR17</f>
        <v>9</v>
      </c>
      <c r="AC159" s="1062">
        <f>'No Recurrentes 24-26'!BS17</f>
        <v>10</v>
      </c>
      <c r="AD159" s="1062" t="str">
        <f>'No Recurrentes 24-26'!BT17</f>
        <v/>
      </c>
      <c r="AE159" s="1062" t="str">
        <f>'No Recurrentes 24-26'!BU17</f>
        <v/>
      </c>
      <c r="AF159" s="1062" t="str">
        <f>'No Recurrentes 24-26'!BV17</f>
        <v/>
      </c>
      <c r="AG159" s="1062">
        <f>'No Recurrentes 24-26'!BW17</f>
        <v>2</v>
      </c>
      <c r="AH159" s="1068"/>
      <c r="AI159" s="1062">
        <f>'No Recurrentes 24-26'!BX17</f>
        <v>43</v>
      </c>
      <c r="AJ159" s="1062">
        <f>'No Recurrentes 24-26'!BY17</f>
        <v>0</v>
      </c>
      <c r="AK159" s="1062" t="str">
        <f>'No Recurrentes 24-26'!BZ17</f>
        <v/>
      </c>
      <c r="AL159" s="1062">
        <f>'No Recurrentes 24-26'!CA17</f>
        <v>0</v>
      </c>
      <c r="AM159" s="1062">
        <f>'No Recurrentes 24-26'!CB17</f>
        <v>0</v>
      </c>
      <c r="AN159" s="1062">
        <f>'No Recurrentes 24-26'!CC17</f>
        <v>0</v>
      </c>
      <c r="AO159" s="1062">
        <f>'No Recurrentes 24-26'!CD17</f>
        <v>0</v>
      </c>
      <c r="AP159" s="1062">
        <f>'No Recurrentes 24-26'!CE17</f>
        <v>0</v>
      </c>
      <c r="AQ159" s="1062">
        <f>'No Recurrentes 24-26'!CF17</f>
        <v>0</v>
      </c>
      <c r="AR159" s="1062">
        <f>'No Recurrentes 24-26'!CG17</f>
        <v>0</v>
      </c>
      <c r="AS159" s="1062">
        <f>'No Recurrentes 24-26'!CH17</f>
        <v>0</v>
      </c>
      <c r="AT159" s="1068"/>
      <c r="AU159" s="1062">
        <f>'No Recurrentes 24-26'!CI17</f>
        <v>0</v>
      </c>
      <c r="AV159" s="1063">
        <f>'No Recurrentes 24-26'!CJ17</f>
        <v>43</v>
      </c>
      <c r="AW159" s="1068"/>
      <c r="AX159" s="1065">
        <f>'No Recurrentes 24-26'!CK17</f>
        <v>25.92</v>
      </c>
      <c r="AY159" s="1062">
        <f>'No Recurrentes 24-26'!CL17</f>
        <v>180.4032</v>
      </c>
      <c r="AZ159" s="1068"/>
      <c r="BA159" s="1062">
        <f>'No Recurrentes 24-26'!CM17</f>
        <v>0</v>
      </c>
      <c r="BB159" s="1062">
        <f>'No Recurrentes 24-26'!CN17</f>
        <v>0</v>
      </c>
      <c r="BC159" s="1062">
        <f>'No Recurrentes 24-26'!CO17</f>
        <v>0</v>
      </c>
      <c r="BD159" s="1062">
        <f>'No Recurrentes 24-26'!CP17</f>
        <v>0</v>
      </c>
      <c r="BE159" s="1062">
        <f>'No Recurrentes 24-26'!CQ17</f>
        <v>0</v>
      </c>
      <c r="BF159" s="1062">
        <f>'No Recurrentes 24-26'!CR17</f>
        <v>0</v>
      </c>
      <c r="BG159" s="1062">
        <f>'No Recurrentes 24-26'!CS17</f>
        <v>0</v>
      </c>
      <c r="BH159" s="1062">
        <f>'No Recurrentes 24-26'!CT17</f>
        <v>0</v>
      </c>
      <c r="BI159" s="1062">
        <f>'No Recurrentes 24-26'!CU17</f>
        <v>0</v>
      </c>
      <c r="BJ159" s="1062">
        <f>'No Recurrentes 24-26'!CV17</f>
        <v>0</v>
      </c>
      <c r="BK159" s="1068"/>
      <c r="BL159" s="1062">
        <f>'No Recurrentes 24-26'!CW17</f>
        <v>0</v>
      </c>
      <c r="BM159" s="1062">
        <f>'No Recurrentes 24-26'!CX17</f>
        <v>721.6128</v>
      </c>
      <c r="BN159" s="1062">
        <f>'No Recurrentes 24-26'!CY17</f>
        <v>360.8064</v>
      </c>
      <c r="BO159" s="1062">
        <f>'No Recurrentes 24-26'!CZ17</f>
        <v>1443.2256</v>
      </c>
      <c r="BP159" s="1062">
        <f>'No Recurrentes 24-26'!DA17</f>
        <v>1443.2256</v>
      </c>
      <c r="BQ159" s="1062">
        <f>'No Recurrentes 24-26'!DB17</f>
        <v>1623.6288</v>
      </c>
      <c r="BR159" s="1062">
        <f>'No Recurrentes 24-26'!DC17</f>
        <v>1804.032</v>
      </c>
      <c r="BS159" s="1062">
        <f>'No Recurrentes 24-26'!DD17</f>
        <v>0</v>
      </c>
      <c r="BT159" s="1062">
        <f>'No Recurrentes 24-26'!DE17</f>
        <v>0</v>
      </c>
      <c r="BU159" s="1062">
        <f>'No Recurrentes 24-26'!DF17</f>
        <v>0</v>
      </c>
      <c r="BV159" s="1062">
        <f>'No Recurrentes 24-26'!DG17</f>
        <v>360.8064</v>
      </c>
      <c r="BW159" s="1068"/>
      <c r="BX159" s="1062">
        <f>'No Recurrentes 24-26'!DH17</f>
        <v>7757.3376</v>
      </c>
      <c r="BY159" s="1062">
        <f>'No Recurrentes 24-26'!DI17</f>
        <v>0</v>
      </c>
      <c r="BZ159" s="1062">
        <f>'No Recurrentes 24-26'!DJ17</f>
        <v>0</v>
      </c>
      <c r="CA159" s="1062">
        <f>'No Recurrentes 24-26'!DK17</f>
        <v>0</v>
      </c>
      <c r="CB159" s="1062">
        <f>'No Recurrentes 24-26'!DL17</f>
        <v>0</v>
      </c>
      <c r="CC159" s="1062">
        <f>'No Recurrentes 24-26'!DM17</f>
        <v>0</v>
      </c>
      <c r="CD159" s="1062">
        <f>'No Recurrentes 24-26'!DN17</f>
        <v>0</v>
      </c>
      <c r="CE159" s="1062">
        <f>'No Recurrentes 24-26'!DO17</f>
        <v>0</v>
      </c>
      <c r="CF159" s="1062">
        <f>'No Recurrentes 24-26'!DP17</f>
        <v>0</v>
      </c>
      <c r="CG159" s="1062">
        <f>'No Recurrentes 24-26'!DQ17</f>
        <v>0</v>
      </c>
      <c r="CH159" s="1062">
        <f>'No Recurrentes 24-26'!DR17</f>
        <v>0</v>
      </c>
      <c r="CI159" s="1068"/>
      <c r="CJ159" s="1062">
        <f>'No Recurrentes 24-26'!DS17</f>
        <v>0</v>
      </c>
      <c r="CK159" s="1062">
        <f>'No Recurrentes 24-26'!DT17</f>
        <v>7757.3376</v>
      </c>
      <c r="CL159" s="1064" t="str">
        <f>'No Recurrentes 24-26'!DU17</f>
        <v/>
      </c>
      <c r="CM159" s="1064" t="str">
        <f>'No Recurrentes 24-26'!DV17</f>
        <v/>
      </c>
      <c r="CN159" s="1065">
        <f>'No Recurrentes 24-26'!EI17</f>
        <v>25.92</v>
      </c>
      <c r="CO159" s="1065">
        <f>'No Recurrentes 24-26'!EJ17</f>
        <v>22.03</v>
      </c>
      <c r="CP159" s="1060" t="str">
        <f>'No Recurrentes 24-26'!EK17</f>
        <v/>
      </c>
    </row>
    <row r="160">
      <c r="A160" s="451" t="str">
        <f>'No Recurrentes 24-26'!A18</f>
        <v>Repuestos Electromecánicos no recurrentes</v>
      </c>
      <c r="B160" s="451">
        <f>'No Recurrentes 24-26'!B18</f>
        <v>2</v>
      </c>
      <c r="C160" s="451" t="str">
        <f>'No Recurrentes 24-26'!C18</f>
        <v>Estación</v>
      </c>
      <c r="D160" s="451" t="str">
        <f>'No Recurrentes 24-26'!D18</f>
        <v>Dinamo y polea impulsos</v>
      </c>
      <c r="E160" s="451" t="str">
        <f>'No Recurrentes 24-26'!E18</f>
        <v>Repuesto Mecánico</v>
      </c>
      <c r="F160" s="451" t="str">
        <f>'No Recurrentes 24-26'!F18</f>
        <v>TDB</v>
      </c>
      <c r="G160" s="1025" t="str">
        <f>'No Recurrentes 24-26'!G18</f>
        <v>39800</v>
      </c>
      <c r="H160" s="1061" t="str">
        <f>'No Recurrentes 24-26'!H18</f>
        <v/>
      </c>
      <c r="I160" s="1061" t="str">
        <f>'No Recurrentes 24-26'!I18</f>
        <v>10030309</v>
      </c>
      <c r="J160" s="1061" t="str">
        <f>'No Recurrentes 24-26'!J18</f>
        <v>BULÓN DIA.19,9 LN 127 M16      PARA POLEA DE PRESIÓN TIPO 0/A</v>
      </c>
      <c r="K160" s="451" t="str">
        <f>'No Recurrentes 24-26'!K18</f>
        <v>Pza</v>
      </c>
      <c r="L160" s="451" t="str">
        <f>'No Recurrentes 24-26'!BC18</f>
        <v/>
      </c>
      <c r="M160" s="451" t="str">
        <f>'No Recurrentes 24-26'!BD18</f>
        <v/>
      </c>
      <c r="N160" s="451" t="str">
        <f>'No Recurrentes 24-26'!BE18</f>
        <v/>
      </c>
      <c r="O160" s="451" t="str">
        <f>'No Recurrentes 24-26'!BF18</f>
        <v/>
      </c>
      <c r="P160" s="451" t="str">
        <f>'No Recurrentes 24-26'!BG18</f>
        <v/>
      </c>
      <c r="Q160" s="451" t="str">
        <f>'No Recurrentes 24-26'!BH18</f>
        <v/>
      </c>
      <c r="R160" s="451" t="str">
        <f>'No Recurrentes 24-26'!BI18</f>
        <v/>
      </c>
      <c r="S160" s="451" t="str">
        <f>'No Recurrentes 24-26'!BJ18</f>
        <v/>
      </c>
      <c r="T160" s="451" t="str">
        <f>'No Recurrentes 24-26'!BK18</f>
        <v/>
      </c>
      <c r="U160" s="451" t="str">
        <f>'No Recurrentes 24-26'!BL18</f>
        <v/>
      </c>
      <c r="V160" s="1068"/>
      <c r="W160" s="1062">
        <f>'No Recurrentes 24-26'!BM18</f>
        <v>0</v>
      </c>
      <c r="X160" s="1062">
        <f>'No Recurrentes 24-26'!BN18</f>
        <v>2</v>
      </c>
      <c r="Y160" s="1062">
        <f>'No Recurrentes 24-26'!BO18</f>
        <v>2</v>
      </c>
      <c r="Z160" s="1062">
        <f>'No Recurrentes 24-26'!BP18</f>
        <v>2</v>
      </c>
      <c r="AA160" s="1062">
        <f>'No Recurrentes 24-26'!BQ18</f>
        <v>2</v>
      </c>
      <c r="AB160" s="1062">
        <f>'No Recurrentes 24-26'!BR18</f>
        <v>2</v>
      </c>
      <c r="AC160" s="1062">
        <f>'No Recurrentes 24-26'!BS18</f>
        <v>2</v>
      </c>
      <c r="AD160" s="1062">
        <f>'No Recurrentes 24-26'!BT18</f>
        <v>2</v>
      </c>
      <c r="AE160" s="1062" t="str">
        <f>'No Recurrentes 24-26'!BU18</f>
        <v/>
      </c>
      <c r="AF160" s="1062" t="str">
        <f>'No Recurrentes 24-26'!BV18</f>
        <v/>
      </c>
      <c r="AG160" s="1062">
        <f>'No Recurrentes 24-26'!BW18</f>
        <v>2</v>
      </c>
      <c r="AH160" s="1068"/>
      <c r="AI160" s="1062">
        <f>'No Recurrentes 24-26'!BX18</f>
        <v>16</v>
      </c>
      <c r="AJ160" s="1062">
        <f>'No Recurrentes 24-26'!BY18</f>
        <v>2</v>
      </c>
      <c r="AK160" s="1062">
        <f>'No Recurrentes 24-26'!BZ18</f>
        <v>0</v>
      </c>
      <c r="AL160" s="1062">
        <f>'No Recurrentes 24-26'!CA18</f>
        <v>2</v>
      </c>
      <c r="AM160" s="1062">
        <f>'No Recurrentes 24-26'!CB18</f>
        <v>2</v>
      </c>
      <c r="AN160" s="1062">
        <f>'No Recurrentes 24-26'!CC18</f>
        <v>2</v>
      </c>
      <c r="AO160" s="1062">
        <f>'No Recurrentes 24-26'!CD18</f>
        <v>2</v>
      </c>
      <c r="AP160" s="1062">
        <f>'No Recurrentes 24-26'!CE18</f>
        <v>0</v>
      </c>
      <c r="AQ160" s="1062">
        <f>'No Recurrentes 24-26'!CF18</f>
        <v>0</v>
      </c>
      <c r="AR160" s="1062">
        <f>'No Recurrentes 24-26'!CG18</f>
        <v>0</v>
      </c>
      <c r="AS160" s="1062">
        <f>'No Recurrentes 24-26'!CH18</f>
        <v>0</v>
      </c>
      <c r="AT160" s="1068"/>
      <c r="AU160" s="1062">
        <f>'No Recurrentes 24-26'!CI18</f>
        <v>10</v>
      </c>
      <c r="AV160" s="1063">
        <f>'No Recurrentes 24-26'!CJ18</f>
        <v>26</v>
      </c>
      <c r="AW160" s="1068"/>
      <c r="AX160" s="1065">
        <f>'No Recurrentes 24-26'!CK18</f>
        <v>20.42</v>
      </c>
      <c r="AY160" s="1062">
        <f>'No Recurrentes 24-26'!CL18</f>
        <v>142.1232</v>
      </c>
      <c r="AZ160" s="1068"/>
      <c r="BA160" s="1062">
        <f>'No Recurrentes 24-26'!CM18</f>
        <v>0</v>
      </c>
      <c r="BB160" s="1062">
        <f>'No Recurrentes 24-26'!CN18</f>
        <v>0</v>
      </c>
      <c r="BC160" s="1062">
        <f>'No Recurrentes 24-26'!CO18</f>
        <v>0</v>
      </c>
      <c r="BD160" s="1062">
        <f>'No Recurrentes 24-26'!CP18</f>
        <v>0</v>
      </c>
      <c r="BE160" s="1062">
        <f>'No Recurrentes 24-26'!CQ18</f>
        <v>0</v>
      </c>
      <c r="BF160" s="1062">
        <f>'No Recurrentes 24-26'!CR18</f>
        <v>0</v>
      </c>
      <c r="BG160" s="1062">
        <f>'No Recurrentes 24-26'!CS18</f>
        <v>0</v>
      </c>
      <c r="BH160" s="1062">
        <f>'No Recurrentes 24-26'!CT18</f>
        <v>0</v>
      </c>
      <c r="BI160" s="1062">
        <f>'No Recurrentes 24-26'!CU18</f>
        <v>0</v>
      </c>
      <c r="BJ160" s="1062">
        <f>'No Recurrentes 24-26'!CV18</f>
        <v>0</v>
      </c>
      <c r="BK160" s="1068"/>
      <c r="BL160" s="1062">
        <f>'No Recurrentes 24-26'!CW18</f>
        <v>0</v>
      </c>
      <c r="BM160" s="1062">
        <f>'No Recurrentes 24-26'!CX18</f>
        <v>284.2464</v>
      </c>
      <c r="BN160" s="1062">
        <f>'No Recurrentes 24-26'!CY18</f>
        <v>284.2464</v>
      </c>
      <c r="BO160" s="1062">
        <f>'No Recurrentes 24-26'!CZ18</f>
        <v>284.2464</v>
      </c>
      <c r="BP160" s="1062">
        <f>'No Recurrentes 24-26'!DA18</f>
        <v>284.2464</v>
      </c>
      <c r="BQ160" s="1062">
        <f>'No Recurrentes 24-26'!DB18</f>
        <v>284.2464</v>
      </c>
      <c r="BR160" s="1062">
        <f>'No Recurrentes 24-26'!DC18</f>
        <v>284.2464</v>
      </c>
      <c r="BS160" s="1062">
        <f>'No Recurrentes 24-26'!DD18</f>
        <v>284.2464</v>
      </c>
      <c r="BT160" s="1062">
        <f>'No Recurrentes 24-26'!DE18</f>
        <v>0</v>
      </c>
      <c r="BU160" s="1062">
        <f>'No Recurrentes 24-26'!DF18</f>
        <v>0</v>
      </c>
      <c r="BV160" s="1062">
        <f>'No Recurrentes 24-26'!DG18</f>
        <v>284.2464</v>
      </c>
      <c r="BW160" s="1068"/>
      <c r="BX160" s="1062">
        <f>'No Recurrentes 24-26'!DH18</f>
        <v>2273.9712</v>
      </c>
      <c r="BY160" s="1062">
        <f>'No Recurrentes 24-26'!DI18</f>
        <v>284.2464</v>
      </c>
      <c r="BZ160" s="1062">
        <f>'No Recurrentes 24-26'!DJ18</f>
        <v>0</v>
      </c>
      <c r="CA160" s="1062">
        <f>'No Recurrentes 24-26'!DK18</f>
        <v>284.2464</v>
      </c>
      <c r="CB160" s="1062">
        <f>'No Recurrentes 24-26'!DL18</f>
        <v>284.2464</v>
      </c>
      <c r="CC160" s="1062">
        <f>'No Recurrentes 24-26'!DM18</f>
        <v>284.2464</v>
      </c>
      <c r="CD160" s="1062">
        <f>'No Recurrentes 24-26'!DN18</f>
        <v>284.2464</v>
      </c>
      <c r="CE160" s="1062">
        <f>'No Recurrentes 24-26'!DO18</f>
        <v>0</v>
      </c>
      <c r="CF160" s="1062">
        <f>'No Recurrentes 24-26'!DP18</f>
        <v>0</v>
      </c>
      <c r="CG160" s="1062">
        <f>'No Recurrentes 24-26'!DQ18</f>
        <v>0</v>
      </c>
      <c r="CH160" s="1062">
        <f>'No Recurrentes 24-26'!DR18</f>
        <v>0</v>
      </c>
      <c r="CI160" s="1068"/>
      <c r="CJ160" s="1062">
        <f>'No Recurrentes 24-26'!DS18</f>
        <v>1421.232</v>
      </c>
      <c r="CK160" s="1062">
        <f>'No Recurrentes 24-26'!DT18</f>
        <v>3695.2032</v>
      </c>
      <c r="CL160" s="1064" t="str">
        <f>'No Recurrentes 24-26'!DU18</f>
        <v/>
      </c>
      <c r="CM160" s="1064" t="str">
        <f>'No Recurrentes 24-26'!DV18</f>
        <v/>
      </c>
      <c r="CN160" s="1065">
        <f>'No Recurrentes 24-26'!EI18</f>
        <v>20.42</v>
      </c>
      <c r="CO160" s="1065">
        <f>'No Recurrentes 24-26'!EJ18</f>
        <v>17.36</v>
      </c>
      <c r="CP160" s="1060" t="str">
        <f>'No Recurrentes 24-26'!EK18</f>
        <v/>
      </c>
    </row>
    <row r="161">
      <c r="A161" s="451" t="str">
        <f>'No Recurrentes 24-26'!A19</f>
        <v>Repuestos Electromecánicos no recurrentes</v>
      </c>
      <c r="B161" s="451">
        <f>'No Recurrentes 24-26'!B19</f>
        <v>2</v>
      </c>
      <c r="C161" s="451" t="str">
        <f>'No Recurrentes 24-26'!C19</f>
        <v>Estación</v>
      </c>
      <c r="D161" s="451" t="str">
        <f>'No Recurrentes 24-26'!D19</f>
        <v>Dinamo y polea impulsos</v>
      </c>
      <c r="E161" s="451" t="str">
        <f>'No Recurrentes 24-26'!E19</f>
        <v>Repuesto Mecánico</v>
      </c>
      <c r="F161" s="451" t="str">
        <f>'No Recurrentes 24-26'!F19</f>
        <v>TDB</v>
      </c>
      <c r="G161" s="1025" t="str">
        <f>'No Recurrentes 24-26'!G19</f>
        <v>39800</v>
      </c>
      <c r="H161" s="1061" t="str">
        <f>'No Recurrentes 24-26'!H19</f>
        <v/>
      </c>
      <c r="I161" s="1061" t="str">
        <f>'No Recurrentes 24-26'!I19</f>
        <v>10075740</v>
      </c>
      <c r="J161" s="1061" t="str">
        <f>'No Recurrentes 24-26'!J19</f>
        <v>ARANDELA DIST. DM 46,6/20 S=10 P.POLEA TIPO OE/A</v>
      </c>
      <c r="K161" s="451" t="str">
        <f>'No Recurrentes 24-26'!K19</f>
        <v>Pza</v>
      </c>
      <c r="L161" s="451" t="str">
        <f>'No Recurrentes 24-26'!BC19</f>
        <v/>
      </c>
      <c r="M161" s="451" t="str">
        <f>'No Recurrentes 24-26'!BD19</f>
        <v/>
      </c>
      <c r="N161" s="451" t="str">
        <f>'No Recurrentes 24-26'!BE19</f>
        <v/>
      </c>
      <c r="O161" s="451" t="str">
        <f>'No Recurrentes 24-26'!BF19</f>
        <v/>
      </c>
      <c r="P161" s="451" t="str">
        <f>'No Recurrentes 24-26'!BG19</f>
        <v/>
      </c>
      <c r="Q161" s="451" t="str">
        <f>'No Recurrentes 24-26'!BH19</f>
        <v/>
      </c>
      <c r="R161" s="451" t="str">
        <f>'No Recurrentes 24-26'!BI19</f>
        <v/>
      </c>
      <c r="S161" s="451" t="str">
        <f>'No Recurrentes 24-26'!BJ19</f>
        <v/>
      </c>
      <c r="T161" s="451" t="str">
        <f>'No Recurrentes 24-26'!BK19</f>
        <v/>
      </c>
      <c r="U161" s="451" t="str">
        <f>'No Recurrentes 24-26'!BL19</f>
        <v/>
      </c>
      <c r="V161" s="1068"/>
      <c r="W161" s="1062">
        <f>'No Recurrentes 24-26'!BM19</f>
        <v>0</v>
      </c>
      <c r="X161" s="1062">
        <f>'No Recurrentes 24-26'!BN19</f>
        <v>4</v>
      </c>
      <c r="Y161" s="1062">
        <f>'No Recurrentes 24-26'!BO19</f>
        <v>4</v>
      </c>
      <c r="Z161" s="1062">
        <f>'No Recurrentes 24-26'!BP19</f>
        <v>4</v>
      </c>
      <c r="AA161" s="1062">
        <f>'No Recurrentes 24-26'!BQ19</f>
        <v>6</v>
      </c>
      <c r="AB161" s="1062">
        <f>'No Recurrentes 24-26'!BR19</f>
        <v>6</v>
      </c>
      <c r="AC161" s="1062">
        <f>'No Recurrentes 24-26'!BS19</f>
        <v>8</v>
      </c>
      <c r="AD161" s="1062" t="str">
        <f>'No Recurrentes 24-26'!BT19</f>
        <v/>
      </c>
      <c r="AE161" s="1062" t="str">
        <f>'No Recurrentes 24-26'!BU19</f>
        <v/>
      </c>
      <c r="AF161" s="1062" t="str">
        <f>'No Recurrentes 24-26'!BV19</f>
        <v/>
      </c>
      <c r="AG161" s="1062" t="str">
        <f>'No Recurrentes 24-26'!BW19</f>
        <v/>
      </c>
      <c r="AH161" s="1068"/>
      <c r="AI161" s="1062">
        <f>'No Recurrentes 24-26'!BX19</f>
        <v>32</v>
      </c>
      <c r="AJ161" s="1062">
        <f>'No Recurrentes 24-26'!BY19</f>
        <v>0</v>
      </c>
      <c r="AK161" s="1062">
        <f>'No Recurrentes 24-26'!BZ19</f>
        <v>0</v>
      </c>
      <c r="AL161" s="1062">
        <f>'No Recurrentes 24-26'!CA19</f>
        <v>0</v>
      </c>
      <c r="AM161" s="1062">
        <f>'No Recurrentes 24-26'!CB19</f>
        <v>6</v>
      </c>
      <c r="AN161" s="1062">
        <f>'No Recurrentes 24-26'!CC19</f>
        <v>6</v>
      </c>
      <c r="AO161" s="1062">
        <f>'No Recurrentes 24-26'!CD19</f>
        <v>8</v>
      </c>
      <c r="AP161" s="1062">
        <f>'No Recurrentes 24-26'!CE19</f>
        <v>0</v>
      </c>
      <c r="AQ161" s="1062">
        <f>'No Recurrentes 24-26'!CF19</f>
        <v>0</v>
      </c>
      <c r="AR161" s="1062">
        <f>'No Recurrentes 24-26'!CG19</f>
        <v>0</v>
      </c>
      <c r="AS161" s="1062">
        <f>'No Recurrentes 24-26'!CH19</f>
        <v>0</v>
      </c>
      <c r="AT161" s="1068"/>
      <c r="AU161" s="1062">
        <f>'No Recurrentes 24-26'!CI19</f>
        <v>20</v>
      </c>
      <c r="AV161" s="1063">
        <f>'No Recurrentes 24-26'!CJ19</f>
        <v>52</v>
      </c>
      <c r="AW161" s="1068"/>
      <c r="AX161" s="1065">
        <f>'No Recurrentes 24-26'!CK19</f>
        <v>10.04</v>
      </c>
      <c r="AY161" s="1062">
        <f>'No Recurrentes 24-26'!CL19</f>
        <v>69.8784</v>
      </c>
      <c r="AZ161" s="1068"/>
      <c r="BA161" s="1062">
        <f>'No Recurrentes 24-26'!CM19</f>
        <v>0</v>
      </c>
      <c r="BB161" s="1062">
        <f>'No Recurrentes 24-26'!CN19</f>
        <v>0</v>
      </c>
      <c r="BC161" s="1062">
        <f>'No Recurrentes 24-26'!CO19</f>
        <v>0</v>
      </c>
      <c r="BD161" s="1062">
        <f>'No Recurrentes 24-26'!CP19</f>
        <v>0</v>
      </c>
      <c r="BE161" s="1062">
        <f>'No Recurrentes 24-26'!CQ19</f>
        <v>0</v>
      </c>
      <c r="BF161" s="1062">
        <f>'No Recurrentes 24-26'!CR19</f>
        <v>0</v>
      </c>
      <c r="BG161" s="1062">
        <f>'No Recurrentes 24-26'!CS19</f>
        <v>0</v>
      </c>
      <c r="BH161" s="1062">
        <f>'No Recurrentes 24-26'!CT19</f>
        <v>0</v>
      </c>
      <c r="BI161" s="1062">
        <f>'No Recurrentes 24-26'!CU19</f>
        <v>0</v>
      </c>
      <c r="BJ161" s="1062">
        <f>'No Recurrentes 24-26'!CV19</f>
        <v>0</v>
      </c>
      <c r="BK161" s="1068"/>
      <c r="BL161" s="1062">
        <f>'No Recurrentes 24-26'!CW19</f>
        <v>0</v>
      </c>
      <c r="BM161" s="1062">
        <f>'No Recurrentes 24-26'!CX19</f>
        <v>279.5136</v>
      </c>
      <c r="BN161" s="1062">
        <f>'No Recurrentes 24-26'!CY19</f>
        <v>279.5136</v>
      </c>
      <c r="BO161" s="1062">
        <f>'No Recurrentes 24-26'!CZ19</f>
        <v>279.5136</v>
      </c>
      <c r="BP161" s="1062">
        <f>'No Recurrentes 24-26'!DA19</f>
        <v>419.2704</v>
      </c>
      <c r="BQ161" s="1062">
        <f>'No Recurrentes 24-26'!DB19</f>
        <v>419.2704</v>
      </c>
      <c r="BR161" s="1062">
        <f>'No Recurrentes 24-26'!DC19</f>
        <v>559.0272</v>
      </c>
      <c r="BS161" s="1062">
        <f>'No Recurrentes 24-26'!DD19</f>
        <v>0</v>
      </c>
      <c r="BT161" s="1062">
        <f>'No Recurrentes 24-26'!DE19</f>
        <v>0</v>
      </c>
      <c r="BU161" s="1062">
        <f>'No Recurrentes 24-26'!DF19</f>
        <v>0</v>
      </c>
      <c r="BV161" s="1062">
        <f>'No Recurrentes 24-26'!DG19</f>
        <v>0</v>
      </c>
      <c r="BW161" s="1068"/>
      <c r="BX161" s="1062">
        <f>'No Recurrentes 24-26'!DH19</f>
        <v>2236.1088</v>
      </c>
      <c r="BY161" s="1062">
        <f>'No Recurrentes 24-26'!DI19</f>
        <v>0</v>
      </c>
      <c r="BZ161" s="1062">
        <f>'No Recurrentes 24-26'!DJ19</f>
        <v>0</v>
      </c>
      <c r="CA161" s="1062">
        <f>'No Recurrentes 24-26'!DK19</f>
        <v>0</v>
      </c>
      <c r="CB161" s="1062">
        <f>'No Recurrentes 24-26'!DL19</f>
        <v>419.2704</v>
      </c>
      <c r="CC161" s="1062">
        <f>'No Recurrentes 24-26'!DM19</f>
        <v>419.2704</v>
      </c>
      <c r="CD161" s="1062">
        <f>'No Recurrentes 24-26'!DN19</f>
        <v>559.0272</v>
      </c>
      <c r="CE161" s="1062">
        <f>'No Recurrentes 24-26'!DO19</f>
        <v>0</v>
      </c>
      <c r="CF161" s="1062">
        <f>'No Recurrentes 24-26'!DP19</f>
        <v>0</v>
      </c>
      <c r="CG161" s="1062">
        <f>'No Recurrentes 24-26'!DQ19</f>
        <v>0</v>
      </c>
      <c r="CH161" s="1062">
        <f>'No Recurrentes 24-26'!DR19</f>
        <v>0</v>
      </c>
      <c r="CI161" s="1068"/>
      <c r="CJ161" s="1062">
        <f>'No Recurrentes 24-26'!DS19</f>
        <v>1397.568</v>
      </c>
      <c r="CK161" s="1062">
        <f>'No Recurrentes 24-26'!DT19</f>
        <v>3633.6768</v>
      </c>
      <c r="CL161" s="1064" t="str">
        <f>'No Recurrentes 24-26'!DU19</f>
        <v/>
      </c>
      <c r="CM161" s="1064" t="str">
        <f>'No Recurrentes 24-26'!DV19</f>
        <v/>
      </c>
      <c r="CN161" s="1065">
        <f>'No Recurrentes 24-26'!EI19</f>
        <v>10.04</v>
      </c>
      <c r="CO161" s="1065">
        <f>'No Recurrentes 24-26'!EJ19</f>
        <v>8.53</v>
      </c>
      <c r="CP161" s="1060" t="str">
        <f>'No Recurrentes 24-26'!EK19</f>
        <v/>
      </c>
    </row>
    <row r="162">
      <c r="A162" s="451" t="str">
        <f>'No Recurrentes 24-26'!A20</f>
        <v>Repuestos Electromecánicos no recurrentes</v>
      </c>
      <c r="B162" s="451">
        <f>'No Recurrentes 24-26'!B20</f>
        <v>2</v>
      </c>
      <c r="C162" s="451" t="str">
        <f>'No Recurrentes 24-26'!C20</f>
        <v>Estación</v>
      </c>
      <c r="D162" s="451" t="str">
        <f>'No Recurrentes 24-26'!D20</f>
        <v>Dinamo y polea impulsos</v>
      </c>
      <c r="E162" s="451" t="str">
        <f>'No Recurrentes 24-26'!E20</f>
        <v>Repuesto Mecánico</v>
      </c>
      <c r="F162" s="451" t="str">
        <f>'No Recurrentes 24-26'!F20</f>
        <v>TDB</v>
      </c>
      <c r="G162" s="1025" t="str">
        <f>'No Recurrentes 24-26'!G20</f>
        <v>39800</v>
      </c>
      <c r="H162" s="1061" t="str">
        <f>'No Recurrentes 24-26'!H20</f>
        <v>2-01-00416</v>
      </c>
      <c r="I162" s="1061" t="str">
        <f>'No Recurrentes 24-26'!I20</f>
        <v>10312021</v>
      </c>
      <c r="J162" s="1061" t="str">
        <f>'No Recurrentes 24-26'!J20</f>
        <v>TUERCA AUTOBLOC. BILOC - 8 M16 GALVAN.           WOLTERS GMBH</v>
      </c>
      <c r="K162" s="451" t="str">
        <f>'No Recurrentes 24-26'!K20</f>
        <v>Pza</v>
      </c>
      <c r="L162" s="451" t="str">
        <f>'No Recurrentes 24-26'!BC20</f>
        <v/>
      </c>
      <c r="M162" s="451" t="str">
        <f>'No Recurrentes 24-26'!BD20</f>
        <v/>
      </c>
      <c r="N162" s="451" t="str">
        <f>'No Recurrentes 24-26'!BE20</f>
        <v/>
      </c>
      <c r="O162" s="451" t="str">
        <f>'No Recurrentes 24-26'!BF20</f>
        <v/>
      </c>
      <c r="P162" s="451" t="str">
        <f>'No Recurrentes 24-26'!BG20</f>
        <v/>
      </c>
      <c r="Q162" s="451" t="str">
        <f>'No Recurrentes 24-26'!BH20</f>
        <v/>
      </c>
      <c r="R162" s="451" t="str">
        <f>'No Recurrentes 24-26'!BI20</f>
        <v/>
      </c>
      <c r="S162" s="451" t="str">
        <f>'No Recurrentes 24-26'!BJ20</f>
        <v/>
      </c>
      <c r="T162" s="451" t="str">
        <f>'No Recurrentes 24-26'!BK20</f>
        <v/>
      </c>
      <c r="U162" s="451" t="str">
        <f>'No Recurrentes 24-26'!BL20</f>
        <v/>
      </c>
      <c r="V162" s="1068"/>
      <c r="W162" s="1062">
        <f>'No Recurrentes 24-26'!BM20</f>
        <v>0</v>
      </c>
      <c r="X162" s="1062">
        <f>'No Recurrentes 24-26'!BN20</f>
        <v>8</v>
      </c>
      <c r="Y162" s="1062">
        <f>'No Recurrentes 24-26'!BO20</f>
        <v>6</v>
      </c>
      <c r="Z162" s="1062">
        <f>'No Recurrentes 24-26'!BP20</f>
        <v>8</v>
      </c>
      <c r="AA162" s="1062">
        <f>'No Recurrentes 24-26'!BQ20</f>
        <v>8</v>
      </c>
      <c r="AB162" s="1062">
        <f>'No Recurrentes 24-26'!BR20</f>
        <v>9</v>
      </c>
      <c r="AC162" s="1062">
        <f>'No Recurrentes 24-26'!BS20</f>
        <v>10</v>
      </c>
      <c r="AD162" s="1062" t="str">
        <f>'No Recurrentes 24-26'!BT20</f>
        <v/>
      </c>
      <c r="AE162" s="1062" t="str">
        <f>'No Recurrentes 24-26'!BU20</f>
        <v/>
      </c>
      <c r="AF162" s="1062" t="str">
        <f>'No Recurrentes 24-26'!BV20</f>
        <v/>
      </c>
      <c r="AG162" s="1062" t="str">
        <f>'No Recurrentes 24-26'!BW20</f>
        <v/>
      </c>
      <c r="AH162" s="1068"/>
      <c r="AI162" s="1062">
        <f>'No Recurrentes 24-26'!BX20</f>
        <v>49</v>
      </c>
      <c r="AJ162" s="1062">
        <f>'No Recurrentes 24-26'!BY20</f>
        <v>0</v>
      </c>
      <c r="AK162" s="1062">
        <f>'No Recurrentes 24-26'!BZ20</f>
        <v>0</v>
      </c>
      <c r="AL162" s="1062">
        <f>'No Recurrentes 24-26'!CA20</f>
        <v>0</v>
      </c>
      <c r="AM162" s="1062">
        <f>'No Recurrentes 24-26'!CB20</f>
        <v>8</v>
      </c>
      <c r="AN162" s="1062">
        <f>'No Recurrentes 24-26'!CC20</f>
        <v>9</v>
      </c>
      <c r="AO162" s="1062">
        <f>'No Recurrentes 24-26'!CD20</f>
        <v>10</v>
      </c>
      <c r="AP162" s="1062">
        <f>'No Recurrentes 24-26'!CE20</f>
        <v>0</v>
      </c>
      <c r="AQ162" s="1062">
        <f>'No Recurrentes 24-26'!CF20</f>
        <v>0</v>
      </c>
      <c r="AR162" s="1062">
        <f>'No Recurrentes 24-26'!CG20</f>
        <v>0</v>
      </c>
      <c r="AS162" s="1062">
        <f>'No Recurrentes 24-26'!CH20</f>
        <v>0</v>
      </c>
      <c r="AT162" s="1068"/>
      <c r="AU162" s="1062">
        <f>'No Recurrentes 24-26'!CI20</f>
        <v>27</v>
      </c>
      <c r="AV162" s="1063">
        <f>'No Recurrentes 24-26'!CJ20</f>
        <v>76</v>
      </c>
      <c r="AW162" s="1068"/>
      <c r="AX162" s="1065">
        <f>'No Recurrentes 24-26'!CK20</f>
        <v>0.69</v>
      </c>
      <c r="AY162" s="1062">
        <f>'No Recurrentes 24-26'!CL20</f>
        <v>4.8024</v>
      </c>
      <c r="AZ162" s="1068"/>
      <c r="BA162" s="1062">
        <f>'No Recurrentes 24-26'!CM20</f>
        <v>0</v>
      </c>
      <c r="BB162" s="1062">
        <f>'No Recurrentes 24-26'!CN20</f>
        <v>0</v>
      </c>
      <c r="BC162" s="1062">
        <f>'No Recurrentes 24-26'!CO20</f>
        <v>0</v>
      </c>
      <c r="BD162" s="1062">
        <f>'No Recurrentes 24-26'!CP20</f>
        <v>0</v>
      </c>
      <c r="BE162" s="1062">
        <f>'No Recurrentes 24-26'!CQ20</f>
        <v>0</v>
      </c>
      <c r="BF162" s="1062">
        <f>'No Recurrentes 24-26'!CR20</f>
        <v>0</v>
      </c>
      <c r="BG162" s="1062">
        <f>'No Recurrentes 24-26'!CS20</f>
        <v>0</v>
      </c>
      <c r="BH162" s="1062">
        <f>'No Recurrentes 24-26'!CT20</f>
        <v>0</v>
      </c>
      <c r="BI162" s="1062">
        <f>'No Recurrentes 24-26'!CU20</f>
        <v>0</v>
      </c>
      <c r="BJ162" s="1062">
        <f>'No Recurrentes 24-26'!CV20</f>
        <v>0</v>
      </c>
      <c r="BK162" s="1068"/>
      <c r="BL162" s="1062">
        <f>'No Recurrentes 24-26'!CW20</f>
        <v>0</v>
      </c>
      <c r="BM162" s="1062">
        <f>'No Recurrentes 24-26'!CX20</f>
        <v>38.4192</v>
      </c>
      <c r="BN162" s="1062">
        <f>'No Recurrentes 24-26'!CY20</f>
        <v>28.8144</v>
      </c>
      <c r="BO162" s="1062">
        <f>'No Recurrentes 24-26'!CZ20</f>
        <v>38.4192</v>
      </c>
      <c r="BP162" s="1062">
        <f>'No Recurrentes 24-26'!DA20</f>
        <v>38.4192</v>
      </c>
      <c r="BQ162" s="1062">
        <f>'No Recurrentes 24-26'!DB20</f>
        <v>43.2216</v>
      </c>
      <c r="BR162" s="1062">
        <f>'No Recurrentes 24-26'!DC20</f>
        <v>48.024</v>
      </c>
      <c r="BS162" s="1062">
        <f>'No Recurrentes 24-26'!DD20</f>
        <v>0</v>
      </c>
      <c r="BT162" s="1062">
        <f>'No Recurrentes 24-26'!DE20</f>
        <v>0</v>
      </c>
      <c r="BU162" s="1062">
        <f>'No Recurrentes 24-26'!DF20</f>
        <v>0</v>
      </c>
      <c r="BV162" s="1062">
        <f>'No Recurrentes 24-26'!DG20</f>
        <v>0</v>
      </c>
      <c r="BW162" s="1068"/>
      <c r="BX162" s="1062">
        <f>'No Recurrentes 24-26'!DH20</f>
        <v>235.3176</v>
      </c>
      <c r="BY162" s="1062">
        <f>'No Recurrentes 24-26'!DI20</f>
        <v>0</v>
      </c>
      <c r="BZ162" s="1062">
        <f>'No Recurrentes 24-26'!DJ20</f>
        <v>0</v>
      </c>
      <c r="CA162" s="1062">
        <f>'No Recurrentes 24-26'!DK20</f>
        <v>0</v>
      </c>
      <c r="CB162" s="1062">
        <f>'No Recurrentes 24-26'!DL20</f>
        <v>38.4192</v>
      </c>
      <c r="CC162" s="1062">
        <f>'No Recurrentes 24-26'!DM20</f>
        <v>43.2216</v>
      </c>
      <c r="CD162" s="1062">
        <f>'No Recurrentes 24-26'!DN20</f>
        <v>48.024</v>
      </c>
      <c r="CE162" s="1062">
        <f>'No Recurrentes 24-26'!DO20</f>
        <v>0</v>
      </c>
      <c r="CF162" s="1062">
        <f>'No Recurrentes 24-26'!DP20</f>
        <v>0</v>
      </c>
      <c r="CG162" s="1062">
        <f>'No Recurrentes 24-26'!DQ20</f>
        <v>0</v>
      </c>
      <c r="CH162" s="1062">
        <f>'No Recurrentes 24-26'!DR20</f>
        <v>0</v>
      </c>
      <c r="CI162" s="1068"/>
      <c r="CJ162" s="1062">
        <f>'No Recurrentes 24-26'!DS20</f>
        <v>129.6648</v>
      </c>
      <c r="CK162" s="1062">
        <f>'No Recurrentes 24-26'!DT20</f>
        <v>364.9824</v>
      </c>
      <c r="CL162" s="1064" t="str">
        <f>'No Recurrentes 24-26'!DU20</f>
        <v/>
      </c>
      <c r="CM162" s="1064" t="str">
        <f>'No Recurrentes 24-26'!DV20</f>
        <v/>
      </c>
      <c r="CN162" s="1065">
        <f>'No Recurrentes 24-26'!EI20</f>
        <v>0.69</v>
      </c>
      <c r="CO162" s="1065">
        <f>'No Recurrentes 24-26'!EJ20</f>
        <v>0.59</v>
      </c>
      <c r="CP162" s="1060" t="str">
        <f>'No Recurrentes 24-26'!EK20</f>
        <v/>
      </c>
    </row>
    <row r="163">
      <c r="A163" s="451" t="str">
        <f>'No Recurrentes 24-26'!A21</f>
        <v>Repuestos Electromecánicos no recurrentes</v>
      </c>
      <c r="B163" s="451">
        <f>'No Recurrentes 24-26'!B21</f>
        <v>2</v>
      </c>
      <c r="C163" s="451" t="str">
        <f>'No Recurrentes 24-26'!C21</f>
        <v>Torre</v>
      </c>
      <c r="D163" s="451" t="str">
        <f>'No Recurrentes 24-26'!D21</f>
        <v>Estructura</v>
      </c>
      <c r="E163" s="451" t="str">
        <f>'No Recurrentes 24-26'!E21</f>
        <v>Repuesto Mecánico</v>
      </c>
      <c r="F163" s="451" t="str">
        <f>'No Recurrentes 24-26'!F21</f>
        <v>TDB</v>
      </c>
      <c r="G163" s="1025" t="str">
        <f>'No Recurrentes 24-26'!G21</f>
        <v>39800</v>
      </c>
      <c r="H163" s="1061" t="str">
        <f>'No Recurrentes 24-26'!H21</f>
        <v>2-01-00264</v>
      </c>
      <c r="I163" s="1061" t="str">
        <f>'No Recurrentes 24-26'!I21</f>
        <v>10752990</v>
      </c>
      <c r="J163" s="1061" t="str">
        <f>'No Recurrentes 24-26'!J21</f>
        <v>NIPLE ENGRASE M10X1 H1 RES.RESF. NIPLE CÓNICO DE ENGRASE 0°</v>
      </c>
      <c r="K163" s="451" t="str">
        <f>'No Recurrentes 24-26'!K21</f>
        <v>Pza</v>
      </c>
      <c r="L163" s="451" t="str">
        <f>'No Recurrentes 24-26'!BC21</f>
        <v/>
      </c>
      <c r="M163" s="451" t="str">
        <f>'No Recurrentes 24-26'!BD21</f>
        <v/>
      </c>
      <c r="N163" s="451" t="str">
        <f>'No Recurrentes 24-26'!BE21</f>
        <v/>
      </c>
      <c r="O163" s="451">
        <f>'No Recurrentes 24-26'!BF21</f>
        <v>172</v>
      </c>
      <c r="P163" s="451">
        <f>'No Recurrentes 24-26'!BG21</f>
        <v>252</v>
      </c>
      <c r="Q163" s="451">
        <f>'No Recurrentes 24-26'!BH21</f>
        <v>364</v>
      </c>
      <c r="R163" s="451">
        <f>'No Recurrentes 24-26'!BI21</f>
        <v>20</v>
      </c>
      <c r="S163" s="451" t="str">
        <f>'No Recurrentes 24-26'!BJ21</f>
        <v/>
      </c>
      <c r="T163" s="451">
        <f>'No Recurrentes 24-26'!BK21</f>
        <v>10</v>
      </c>
      <c r="U163" s="451" t="str">
        <f>'No Recurrentes 24-26'!BL21</f>
        <v/>
      </c>
      <c r="V163" s="1068"/>
      <c r="W163" s="1062">
        <f>'No Recurrentes 24-26'!BM21</f>
        <v>818</v>
      </c>
      <c r="X163" s="1062" t="str">
        <f>'No Recurrentes 24-26'!BN21</f>
        <v/>
      </c>
      <c r="Y163" s="1062" t="str">
        <f>'No Recurrentes 24-26'!BO21</f>
        <v/>
      </c>
      <c r="Z163" s="1062" t="str">
        <f>'No Recurrentes 24-26'!BP21</f>
        <v/>
      </c>
      <c r="AA163" s="1062" t="str">
        <f>'No Recurrentes 24-26'!BQ21</f>
        <v/>
      </c>
      <c r="AB163" s="1062" t="str">
        <f>'No Recurrentes 24-26'!BR21</f>
        <v/>
      </c>
      <c r="AC163" s="1062" t="str">
        <f>'No Recurrentes 24-26'!BS21</f>
        <v/>
      </c>
      <c r="AD163" s="1062" t="str">
        <f>'No Recurrentes 24-26'!BT21</f>
        <v/>
      </c>
      <c r="AE163" s="1062" t="str">
        <f>'No Recurrentes 24-26'!BU21</f>
        <v/>
      </c>
      <c r="AF163" s="1062" t="str">
        <f>'No Recurrentes 24-26'!BV21</f>
        <v/>
      </c>
      <c r="AG163" s="1062" t="str">
        <f>'No Recurrentes 24-26'!BW21</f>
        <v/>
      </c>
      <c r="AH163" s="1068"/>
      <c r="AI163" s="1062">
        <f>'No Recurrentes 24-26'!BX21</f>
        <v>0</v>
      </c>
      <c r="AJ163" s="1062">
        <f>'No Recurrentes 24-26'!BY21</f>
        <v>0</v>
      </c>
      <c r="AK163" s="1062">
        <f>'No Recurrentes 24-26'!BZ21</f>
        <v>0</v>
      </c>
      <c r="AL163" s="1062">
        <f>'No Recurrentes 24-26'!CA21</f>
        <v>0</v>
      </c>
      <c r="AM163" s="1062">
        <f>'No Recurrentes 24-26'!CB21</f>
        <v>0</v>
      </c>
      <c r="AN163" s="1062">
        <f>'No Recurrentes 24-26'!CC21</f>
        <v>0</v>
      </c>
      <c r="AO163" s="1062">
        <f>'No Recurrentes 24-26'!CD21</f>
        <v>0</v>
      </c>
      <c r="AP163" s="1062">
        <f>'No Recurrentes 24-26'!CE21</f>
        <v>0</v>
      </c>
      <c r="AQ163" s="1062">
        <f>'No Recurrentes 24-26'!CF21</f>
        <v>0</v>
      </c>
      <c r="AR163" s="1062">
        <f>'No Recurrentes 24-26'!CG21</f>
        <v>0</v>
      </c>
      <c r="AS163" s="1062">
        <f>'No Recurrentes 24-26'!CH21</f>
        <v>0</v>
      </c>
      <c r="AT163" s="1068"/>
      <c r="AU163" s="1062">
        <f>'No Recurrentes 24-26'!CI21</f>
        <v>0</v>
      </c>
      <c r="AV163" s="1063">
        <f>'No Recurrentes 24-26'!CJ21</f>
        <v>818</v>
      </c>
      <c r="AW163" s="1068"/>
      <c r="AX163" s="1065">
        <f>'No Recurrentes 24-26'!CK21</f>
        <v>2.11</v>
      </c>
      <c r="AY163" s="1062">
        <f>'No Recurrentes 24-26'!CL21</f>
        <v>14.6856</v>
      </c>
      <c r="AZ163" s="1068"/>
      <c r="BA163" s="1062">
        <f>'No Recurrentes 24-26'!CM21</f>
        <v>0</v>
      </c>
      <c r="BB163" s="1062">
        <f>'No Recurrentes 24-26'!CN21</f>
        <v>0</v>
      </c>
      <c r="BC163" s="1062">
        <f>'No Recurrentes 24-26'!CO21</f>
        <v>0</v>
      </c>
      <c r="BD163" s="1062">
        <f>'No Recurrentes 24-26'!CP21</f>
        <v>2525.9232</v>
      </c>
      <c r="BE163" s="1062">
        <f>'No Recurrentes 24-26'!CQ21</f>
        <v>3700.7712</v>
      </c>
      <c r="BF163" s="1062">
        <f>'No Recurrentes 24-26'!CR21</f>
        <v>5345.5584</v>
      </c>
      <c r="BG163" s="1062">
        <f>'No Recurrentes 24-26'!CS21</f>
        <v>293.712</v>
      </c>
      <c r="BH163" s="1062">
        <f>'No Recurrentes 24-26'!CT21</f>
        <v>0</v>
      </c>
      <c r="BI163" s="1062">
        <f>'No Recurrentes 24-26'!CU21</f>
        <v>146.856</v>
      </c>
      <c r="BJ163" s="1062">
        <f>'No Recurrentes 24-26'!CV21</f>
        <v>0</v>
      </c>
      <c r="BK163" s="1068"/>
      <c r="BL163" s="1062">
        <f>'No Recurrentes 24-26'!CW21</f>
        <v>12012.8208</v>
      </c>
      <c r="BM163" s="1062">
        <f>'No Recurrentes 24-26'!CX21</f>
        <v>0</v>
      </c>
      <c r="BN163" s="1062">
        <f>'No Recurrentes 24-26'!CY21</f>
        <v>0</v>
      </c>
      <c r="BO163" s="1062">
        <f>'No Recurrentes 24-26'!CZ21</f>
        <v>0</v>
      </c>
      <c r="BP163" s="1062">
        <f>'No Recurrentes 24-26'!DA21</f>
        <v>0</v>
      </c>
      <c r="BQ163" s="1062">
        <f>'No Recurrentes 24-26'!DB21</f>
        <v>0</v>
      </c>
      <c r="BR163" s="1062">
        <f>'No Recurrentes 24-26'!DC21</f>
        <v>0</v>
      </c>
      <c r="BS163" s="1062">
        <f>'No Recurrentes 24-26'!DD21</f>
        <v>0</v>
      </c>
      <c r="BT163" s="1062">
        <f>'No Recurrentes 24-26'!DE21</f>
        <v>0</v>
      </c>
      <c r="BU163" s="1062">
        <f>'No Recurrentes 24-26'!DF21</f>
        <v>0</v>
      </c>
      <c r="BV163" s="1062">
        <f>'No Recurrentes 24-26'!DG21</f>
        <v>0</v>
      </c>
      <c r="BW163" s="1068"/>
      <c r="BX163" s="1062">
        <f>'No Recurrentes 24-26'!DH21</f>
        <v>0</v>
      </c>
      <c r="BY163" s="1062">
        <f>'No Recurrentes 24-26'!DI21</f>
        <v>0</v>
      </c>
      <c r="BZ163" s="1062">
        <f>'No Recurrentes 24-26'!DJ21</f>
        <v>0</v>
      </c>
      <c r="CA163" s="1062">
        <f>'No Recurrentes 24-26'!DK21</f>
        <v>0</v>
      </c>
      <c r="CB163" s="1062">
        <f>'No Recurrentes 24-26'!DL21</f>
        <v>0</v>
      </c>
      <c r="CC163" s="1062">
        <f>'No Recurrentes 24-26'!DM21</f>
        <v>0</v>
      </c>
      <c r="CD163" s="1062">
        <f>'No Recurrentes 24-26'!DN21</f>
        <v>0</v>
      </c>
      <c r="CE163" s="1062">
        <f>'No Recurrentes 24-26'!DO21</f>
        <v>0</v>
      </c>
      <c r="CF163" s="1062">
        <f>'No Recurrentes 24-26'!DP21</f>
        <v>0</v>
      </c>
      <c r="CG163" s="1062">
        <f>'No Recurrentes 24-26'!DQ21</f>
        <v>0</v>
      </c>
      <c r="CH163" s="1062">
        <f>'No Recurrentes 24-26'!DR21</f>
        <v>0</v>
      </c>
      <c r="CI163" s="1068"/>
      <c r="CJ163" s="1062">
        <f>'No Recurrentes 24-26'!DS21</f>
        <v>0</v>
      </c>
      <c r="CK163" s="1062">
        <f>'No Recurrentes 24-26'!DT21</f>
        <v>12012.8208</v>
      </c>
      <c r="CL163" s="1064" t="str">
        <f>'No Recurrentes 24-26'!DU21</f>
        <v/>
      </c>
      <c r="CM163" s="1064" t="str">
        <f>'No Recurrentes 24-26'!DV21</f>
        <v/>
      </c>
      <c r="CN163" s="1065">
        <f>'No Recurrentes 24-26'!EI21</f>
        <v>2.11</v>
      </c>
      <c r="CO163" s="1065">
        <f>'No Recurrentes 24-26'!EJ21</f>
        <v>1.79</v>
      </c>
      <c r="CP163" s="1060" t="str">
        <f>'No Recurrentes 24-26'!EK21</f>
        <v/>
      </c>
    </row>
    <row r="164">
      <c r="A164" s="451" t="str">
        <f>'No Recurrentes 24-26'!A22</f>
        <v>Repuestos Electromecánicos no recurrentes</v>
      </c>
      <c r="B164" s="451">
        <f>'No Recurrentes 24-26'!B22</f>
        <v>2</v>
      </c>
      <c r="C164" s="451" t="str">
        <f>'No Recurrentes 24-26'!C22</f>
        <v>Torre</v>
      </c>
      <c r="D164" s="451" t="str">
        <f>'No Recurrentes 24-26'!D22</f>
        <v>Estructura</v>
      </c>
      <c r="E164" s="451" t="str">
        <f>'No Recurrentes 24-26'!E22</f>
        <v>Repuesto Mecánico</v>
      </c>
      <c r="F164" s="451" t="str">
        <f>'No Recurrentes 24-26'!F22</f>
        <v>TDB</v>
      </c>
      <c r="G164" s="1025" t="str">
        <f>'No Recurrentes 24-26'!G22</f>
        <v>39800</v>
      </c>
      <c r="H164" s="1061" t="str">
        <f>'No Recurrentes 24-26'!H22</f>
        <v>2-01-00849</v>
      </c>
      <c r="I164" s="1061" t="str">
        <f>'No Recurrentes 24-26'!I22</f>
        <v>10004462</v>
      </c>
      <c r="J164" s="1061" t="str">
        <f>'No Recurrentes 24-26'!J22</f>
        <v>NIPLE ENGRASE B  M10X1 DIN71412 RACOR CÓNICO ENGRASE 45 GRAD</v>
      </c>
      <c r="K164" s="451" t="str">
        <f>'No Recurrentes 24-26'!K22</f>
        <v>Pza</v>
      </c>
      <c r="L164" s="451" t="str">
        <f>'No Recurrentes 24-26'!BC22</f>
        <v/>
      </c>
      <c r="M164" s="451" t="str">
        <f>'No Recurrentes 24-26'!BD22</f>
        <v/>
      </c>
      <c r="N164" s="451" t="str">
        <f>'No Recurrentes 24-26'!BE22</f>
        <v/>
      </c>
      <c r="O164" s="451">
        <f>'No Recurrentes 24-26'!BF22</f>
        <v>38</v>
      </c>
      <c r="P164" s="451">
        <f>'No Recurrentes 24-26'!BG22</f>
        <v>56</v>
      </c>
      <c r="Q164" s="451">
        <f>'No Recurrentes 24-26'!BH22</f>
        <v>80</v>
      </c>
      <c r="R164" s="451" t="str">
        <f>'No Recurrentes 24-26'!BI22</f>
        <v/>
      </c>
      <c r="S164" s="451" t="str">
        <f>'No Recurrentes 24-26'!BJ22</f>
        <v/>
      </c>
      <c r="T164" s="451" t="str">
        <f>'No Recurrentes 24-26'!BK22</f>
        <v/>
      </c>
      <c r="U164" s="451" t="str">
        <f>'No Recurrentes 24-26'!BL22</f>
        <v/>
      </c>
      <c r="V164" s="1068"/>
      <c r="W164" s="1062">
        <f>'No Recurrentes 24-26'!BM22</f>
        <v>174</v>
      </c>
      <c r="X164" s="1062" t="str">
        <f>'No Recurrentes 24-26'!BN22</f>
        <v/>
      </c>
      <c r="Y164" s="1062" t="str">
        <f>'No Recurrentes 24-26'!BO22</f>
        <v/>
      </c>
      <c r="Z164" s="1062" t="str">
        <f>'No Recurrentes 24-26'!BP22</f>
        <v/>
      </c>
      <c r="AA164" s="1062" t="str">
        <f>'No Recurrentes 24-26'!BQ22</f>
        <v/>
      </c>
      <c r="AB164" s="1062" t="str">
        <f>'No Recurrentes 24-26'!BR22</f>
        <v/>
      </c>
      <c r="AC164" s="1062" t="str">
        <f>'No Recurrentes 24-26'!BS22</f>
        <v/>
      </c>
      <c r="AD164" s="1062" t="str">
        <f>'No Recurrentes 24-26'!BT22</f>
        <v/>
      </c>
      <c r="AE164" s="1062" t="str">
        <f>'No Recurrentes 24-26'!BU22</f>
        <v/>
      </c>
      <c r="AF164" s="1062" t="str">
        <f>'No Recurrentes 24-26'!BV22</f>
        <v/>
      </c>
      <c r="AG164" s="1062">
        <f>'No Recurrentes 24-26'!BW22</f>
        <v>4</v>
      </c>
      <c r="AH164" s="1068"/>
      <c r="AI164" s="1062">
        <f>'No Recurrentes 24-26'!BX22</f>
        <v>4</v>
      </c>
      <c r="AJ164" s="1062">
        <f>'No Recurrentes 24-26'!BY22</f>
        <v>0</v>
      </c>
      <c r="AK164" s="1062">
        <f>'No Recurrentes 24-26'!BZ22</f>
        <v>0</v>
      </c>
      <c r="AL164" s="1062">
        <f>'No Recurrentes 24-26'!CA22</f>
        <v>0</v>
      </c>
      <c r="AM164" s="1062">
        <f>'No Recurrentes 24-26'!CB22</f>
        <v>38</v>
      </c>
      <c r="AN164" s="1062">
        <f>'No Recurrentes 24-26'!CC22</f>
        <v>56</v>
      </c>
      <c r="AO164" s="1062">
        <f>'No Recurrentes 24-26'!CD22</f>
        <v>80</v>
      </c>
      <c r="AP164" s="1062">
        <f>'No Recurrentes 24-26'!CE22</f>
        <v>0</v>
      </c>
      <c r="AQ164" s="1062">
        <f>'No Recurrentes 24-26'!CF22</f>
        <v>0</v>
      </c>
      <c r="AR164" s="1062">
        <f>'No Recurrentes 24-26'!CG22</f>
        <v>0</v>
      </c>
      <c r="AS164" s="1062">
        <f>'No Recurrentes 24-26'!CH22</f>
        <v>0</v>
      </c>
      <c r="AT164" s="1068"/>
      <c r="AU164" s="1062">
        <f>'No Recurrentes 24-26'!CI22</f>
        <v>174</v>
      </c>
      <c r="AV164" s="1063">
        <f>'No Recurrentes 24-26'!CJ22</f>
        <v>352</v>
      </c>
      <c r="AW164" s="1068"/>
      <c r="AX164" s="1065">
        <f>'No Recurrentes 24-26'!CK22</f>
        <v>1.15</v>
      </c>
      <c r="AY164" s="1062">
        <f>'No Recurrentes 24-26'!CL22</f>
        <v>8.004</v>
      </c>
      <c r="AZ164" s="1068"/>
      <c r="BA164" s="1062">
        <f>'No Recurrentes 24-26'!CM22</f>
        <v>0</v>
      </c>
      <c r="BB164" s="1062">
        <f>'No Recurrentes 24-26'!CN22</f>
        <v>0</v>
      </c>
      <c r="BC164" s="1062">
        <f>'No Recurrentes 24-26'!CO22</f>
        <v>0</v>
      </c>
      <c r="BD164" s="1062">
        <f>'No Recurrentes 24-26'!CP22</f>
        <v>304.152</v>
      </c>
      <c r="BE164" s="1062">
        <f>'No Recurrentes 24-26'!CQ22</f>
        <v>448.224</v>
      </c>
      <c r="BF164" s="1062">
        <f>'No Recurrentes 24-26'!CR22</f>
        <v>640.32</v>
      </c>
      <c r="BG164" s="1062">
        <f>'No Recurrentes 24-26'!CS22</f>
        <v>0</v>
      </c>
      <c r="BH164" s="1062">
        <f>'No Recurrentes 24-26'!CT22</f>
        <v>0</v>
      </c>
      <c r="BI164" s="1062">
        <f>'No Recurrentes 24-26'!CU22</f>
        <v>0</v>
      </c>
      <c r="BJ164" s="1062">
        <f>'No Recurrentes 24-26'!CV22</f>
        <v>0</v>
      </c>
      <c r="BK164" s="1068"/>
      <c r="BL164" s="1062">
        <f>'No Recurrentes 24-26'!CW22</f>
        <v>1392.696</v>
      </c>
      <c r="BM164" s="1062">
        <f>'No Recurrentes 24-26'!CX22</f>
        <v>0</v>
      </c>
      <c r="BN164" s="1062">
        <f>'No Recurrentes 24-26'!CY22</f>
        <v>0</v>
      </c>
      <c r="BO164" s="1062">
        <f>'No Recurrentes 24-26'!CZ22</f>
        <v>0</v>
      </c>
      <c r="BP164" s="1062">
        <f>'No Recurrentes 24-26'!DA22</f>
        <v>0</v>
      </c>
      <c r="BQ164" s="1062">
        <f>'No Recurrentes 24-26'!DB22</f>
        <v>0</v>
      </c>
      <c r="BR164" s="1062">
        <f>'No Recurrentes 24-26'!DC22</f>
        <v>0</v>
      </c>
      <c r="BS164" s="1062">
        <f>'No Recurrentes 24-26'!DD22</f>
        <v>0</v>
      </c>
      <c r="BT164" s="1062">
        <f>'No Recurrentes 24-26'!DE22</f>
        <v>0</v>
      </c>
      <c r="BU164" s="1062">
        <f>'No Recurrentes 24-26'!DF22</f>
        <v>0</v>
      </c>
      <c r="BV164" s="1062">
        <f>'No Recurrentes 24-26'!DG22</f>
        <v>32.016</v>
      </c>
      <c r="BW164" s="1068"/>
      <c r="BX164" s="1062">
        <f>'No Recurrentes 24-26'!DH22</f>
        <v>32.016</v>
      </c>
      <c r="BY164" s="1062">
        <f>'No Recurrentes 24-26'!DI22</f>
        <v>0</v>
      </c>
      <c r="BZ164" s="1062">
        <f>'No Recurrentes 24-26'!DJ22</f>
        <v>0</v>
      </c>
      <c r="CA164" s="1062">
        <f>'No Recurrentes 24-26'!DK22</f>
        <v>0</v>
      </c>
      <c r="CB164" s="1062">
        <f>'No Recurrentes 24-26'!DL22</f>
        <v>304.152</v>
      </c>
      <c r="CC164" s="1062">
        <f>'No Recurrentes 24-26'!DM22</f>
        <v>448.224</v>
      </c>
      <c r="CD164" s="1062">
        <f>'No Recurrentes 24-26'!DN22</f>
        <v>640.32</v>
      </c>
      <c r="CE164" s="1062">
        <f>'No Recurrentes 24-26'!DO22</f>
        <v>0</v>
      </c>
      <c r="CF164" s="1062">
        <f>'No Recurrentes 24-26'!DP22</f>
        <v>0</v>
      </c>
      <c r="CG164" s="1062">
        <f>'No Recurrentes 24-26'!DQ22</f>
        <v>0</v>
      </c>
      <c r="CH164" s="1062">
        <f>'No Recurrentes 24-26'!DR22</f>
        <v>0</v>
      </c>
      <c r="CI164" s="1068"/>
      <c r="CJ164" s="1062">
        <f>'No Recurrentes 24-26'!DS22</f>
        <v>1392.696</v>
      </c>
      <c r="CK164" s="1062">
        <f>'No Recurrentes 24-26'!DT22</f>
        <v>2817.408</v>
      </c>
      <c r="CL164" s="1064" t="str">
        <f>'No Recurrentes 24-26'!DU22</f>
        <v/>
      </c>
      <c r="CM164" s="1064" t="str">
        <f>'No Recurrentes 24-26'!DV22</f>
        <v/>
      </c>
      <c r="CN164" s="1065">
        <f>'No Recurrentes 24-26'!EI22</f>
        <v>1.15</v>
      </c>
      <c r="CO164" s="1065">
        <f>'No Recurrentes 24-26'!EJ22</f>
        <v>0.98</v>
      </c>
      <c r="CP164" s="1060" t="str">
        <f>'No Recurrentes 24-26'!EK22</f>
        <v/>
      </c>
    </row>
    <row r="165">
      <c r="A165" s="451" t="str">
        <f>'No Recurrentes 24-26'!A23</f>
        <v>Repuestos Electromecánicos no recurrentes</v>
      </c>
      <c r="B165" s="451">
        <f>'No Recurrentes 24-26'!B23</f>
        <v>2</v>
      </c>
      <c r="C165" s="451" t="str">
        <f>'No Recurrentes 24-26'!C23</f>
        <v>Torre</v>
      </c>
      <c r="D165" s="451" t="str">
        <f>'No Recurrentes 24-26'!D23</f>
        <v>Estructura</v>
      </c>
      <c r="E165" s="451" t="str">
        <f>'No Recurrentes 24-26'!E23</f>
        <v>Repuesto Mecánico</v>
      </c>
      <c r="F165" s="451" t="str">
        <f>'No Recurrentes 24-26'!F23</f>
        <v>TDB</v>
      </c>
      <c r="G165" s="1025" t="str">
        <f>'No Recurrentes 24-26'!G23</f>
        <v>39800</v>
      </c>
      <c r="H165" s="1061" t="str">
        <f>'No Recurrentes 24-26'!H23</f>
        <v>2-01-00835</v>
      </c>
      <c r="I165" s="1061" t="str">
        <f>'No Recurrentes 24-26'!I23</f>
        <v>10006287</v>
      </c>
      <c r="J165" s="1061" t="str">
        <f>'No Recurrentes 24-26'!J23</f>
        <v>RES.C. A=1,00/DIA.7,0/LSC=20,0 EE=  7,5; RES.DE COMPR.DIN2095</v>
      </c>
      <c r="K165" s="451" t="str">
        <f>'No Recurrentes 24-26'!K23</f>
        <v>Pza</v>
      </c>
      <c r="L165" s="451" t="str">
        <f>'No Recurrentes 24-26'!BC23</f>
        <v/>
      </c>
      <c r="M165" s="451" t="str">
        <f>'No Recurrentes 24-26'!BD23</f>
        <v/>
      </c>
      <c r="N165" s="451" t="str">
        <f>'No Recurrentes 24-26'!BE23</f>
        <v/>
      </c>
      <c r="O165" s="451">
        <f>'No Recurrentes 24-26'!BF23</f>
        <v>20</v>
      </c>
      <c r="P165" s="451">
        <f>'No Recurrentes 24-26'!BG23</f>
        <v>28</v>
      </c>
      <c r="Q165" s="451">
        <f>'No Recurrentes 24-26'!BH23</f>
        <v>44</v>
      </c>
      <c r="R165" s="451" t="str">
        <f>'No Recurrentes 24-26'!BI23</f>
        <v/>
      </c>
      <c r="S165" s="451" t="str">
        <f>'No Recurrentes 24-26'!BJ23</f>
        <v/>
      </c>
      <c r="T165" s="451" t="str">
        <f>'No Recurrentes 24-26'!BK23</f>
        <v/>
      </c>
      <c r="U165" s="451" t="str">
        <f>'No Recurrentes 24-26'!BL23</f>
        <v/>
      </c>
      <c r="V165" s="1068"/>
      <c r="W165" s="1062">
        <f>'No Recurrentes 24-26'!BM23</f>
        <v>92</v>
      </c>
      <c r="X165" s="1062" t="str">
        <f>'No Recurrentes 24-26'!BN23</f>
        <v/>
      </c>
      <c r="Y165" s="1062" t="str">
        <f>'No Recurrentes 24-26'!BO23</f>
        <v/>
      </c>
      <c r="Z165" s="1062" t="str">
        <f>'No Recurrentes 24-26'!BP23</f>
        <v/>
      </c>
      <c r="AA165" s="1062" t="str">
        <f>'No Recurrentes 24-26'!BQ23</f>
        <v/>
      </c>
      <c r="AB165" s="1062" t="str">
        <f>'No Recurrentes 24-26'!BR23</f>
        <v/>
      </c>
      <c r="AC165" s="1062" t="str">
        <f>'No Recurrentes 24-26'!BS23</f>
        <v/>
      </c>
      <c r="AD165" s="1062" t="str">
        <f>'No Recurrentes 24-26'!BT23</f>
        <v/>
      </c>
      <c r="AE165" s="1062" t="str">
        <f>'No Recurrentes 24-26'!BU23</f>
        <v/>
      </c>
      <c r="AF165" s="1062" t="str">
        <f>'No Recurrentes 24-26'!BV23</f>
        <v/>
      </c>
      <c r="AG165" s="1062">
        <f>'No Recurrentes 24-26'!BW23</f>
        <v>10</v>
      </c>
      <c r="AH165" s="1068"/>
      <c r="AI165" s="1062">
        <f>'No Recurrentes 24-26'!BX23</f>
        <v>10</v>
      </c>
      <c r="AJ165" s="1062">
        <f>'No Recurrentes 24-26'!BY23</f>
        <v>0</v>
      </c>
      <c r="AK165" s="1062">
        <f>'No Recurrentes 24-26'!BZ23</f>
        <v>0</v>
      </c>
      <c r="AL165" s="1062">
        <f>'No Recurrentes 24-26'!CA23</f>
        <v>0</v>
      </c>
      <c r="AM165" s="1062">
        <f>'No Recurrentes 24-26'!CB23</f>
        <v>0</v>
      </c>
      <c r="AN165" s="1062">
        <f>'No Recurrentes 24-26'!CC23</f>
        <v>0</v>
      </c>
      <c r="AO165" s="1062">
        <f>'No Recurrentes 24-26'!CD23</f>
        <v>0</v>
      </c>
      <c r="AP165" s="1062">
        <f>'No Recurrentes 24-26'!CE23</f>
        <v>0</v>
      </c>
      <c r="AQ165" s="1062">
        <f>'No Recurrentes 24-26'!CF23</f>
        <v>0</v>
      </c>
      <c r="AR165" s="1062">
        <f>'No Recurrentes 24-26'!CG23</f>
        <v>0</v>
      </c>
      <c r="AS165" s="1062">
        <f>'No Recurrentes 24-26'!CH23</f>
        <v>0</v>
      </c>
      <c r="AT165" s="1068"/>
      <c r="AU165" s="1062">
        <f>'No Recurrentes 24-26'!CI23</f>
        <v>0</v>
      </c>
      <c r="AV165" s="1063">
        <f>'No Recurrentes 24-26'!CJ23</f>
        <v>102</v>
      </c>
      <c r="AW165" s="1068"/>
      <c r="AX165" s="1065">
        <f>'No Recurrentes 24-26'!CK23</f>
        <v>0.27</v>
      </c>
      <c r="AY165" s="1062">
        <f>'No Recurrentes 24-26'!CL23</f>
        <v>1.8792</v>
      </c>
      <c r="AZ165" s="1068"/>
      <c r="BA165" s="1062">
        <f>'No Recurrentes 24-26'!CM23</f>
        <v>0</v>
      </c>
      <c r="BB165" s="1062">
        <f>'No Recurrentes 24-26'!CN23</f>
        <v>0</v>
      </c>
      <c r="BC165" s="1062">
        <f>'No Recurrentes 24-26'!CO23</f>
        <v>0</v>
      </c>
      <c r="BD165" s="1062">
        <f>'No Recurrentes 24-26'!CP23</f>
        <v>37.584</v>
      </c>
      <c r="BE165" s="1062">
        <f>'No Recurrentes 24-26'!CQ23</f>
        <v>52.6176</v>
      </c>
      <c r="BF165" s="1062">
        <f>'No Recurrentes 24-26'!CR23</f>
        <v>82.6848</v>
      </c>
      <c r="BG165" s="1062">
        <f>'No Recurrentes 24-26'!CS23</f>
        <v>0</v>
      </c>
      <c r="BH165" s="1062">
        <f>'No Recurrentes 24-26'!CT23</f>
        <v>0</v>
      </c>
      <c r="BI165" s="1062">
        <f>'No Recurrentes 24-26'!CU23</f>
        <v>0</v>
      </c>
      <c r="BJ165" s="1062">
        <f>'No Recurrentes 24-26'!CV23</f>
        <v>0</v>
      </c>
      <c r="BK165" s="1068"/>
      <c r="BL165" s="1062">
        <f>'No Recurrentes 24-26'!CW23</f>
        <v>172.8864</v>
      </c>
      <c r="BM165" s="1062">
        <f>'No Recurrentes 24-26'!CX23</f>
        <v>0</v>
      </c>
      <c r="BN165" s="1062">
        <f>'No Recurrentes 24-26'!CY23</f>
        <v>0</v>
      </c>
      <c r="BO165" s="1062">
        <f>'No Recurrentes 24-26'!CZ23</f>
        <v>0</v>
      </c>
      <c r="BP165" s="1062">
        <f>'No Recurrentes 24-26'!DA23</f>
        <v>0</v>
      </c>
      <c r="BQ165" s="1062">
        <f>'No Recurrentes 24-26'!DB23</f>
        <v>0</v>
      </c>
      <c r="BR165" s="1062">
        <f>'No Recurrentes 24-26'!DC23</f>
        <v>0</v>
      </c>
      <c r="BS165" s="1062">
        <f>'No Recurrentes 24-26'!DD23</f>
        <v>0</v>
      </c>
      <c r="BT165" s="1062">
        <f>'No Recurrentes 24-26'!DE23</f>
        <v>0</v>
      </c>
      <c r="BU165" s="1062">
        <f>'No Recurrentes 24-26'!DF23</f>
        <v>0</v>
      </c>
      <c r="BV165" s="1062">
        <f>'No Recurrentes 24-26'!DG23</f>
        <v>18.792</v>
      </c>
      <c r="BW165" s="1068"/>
      <c r="BX165" s="1062">
        <f>'No Recurrentes 24-26'!DH23</f>
        <v>18.792</v>
      </c>
      <c r="BY165" s="1062">
        <f>'No Recurrentes 24-26'!DI23</f>
        <v>0</v>
      </c>
      <c r="BZ165" s="1062">
        <f>'No Recurrentes 24-26'!DJ23</f>
        <v>0</v>
      </c>
      <c r="CA165" s="1062">
        <f>'No Recurrentes 24-26'!DK23</f>
        <v>0</v>
      </c>
      <c r="CB165" s="1062">
        <f>'No Recurrentes 24-26'!DL23</f>
        <v>0</v>
      </c>
      <c r="CC165" s="1062">
        <f>'No Recurrentes 24-26'!DM23</f>
        <v>0</v>
      </c>
      <c r="CD165" s="1062">
        <f>'No Recurrentes 24-26'!DN23</f>
        <v>0</v>
      </c>
      <c r="CE165" s="1062">
        <f>'No Recurrentes 24-26'!DO23</f>
        <v>0</v>
      </c>
      <c r="CF165" s="1062">
        <f>'No Recurrentes 24-26'!DP23</f>
        <v>0</v>
      </c>
      <c r="CG165" s="1062">
        <f>'No Recurrentes 24-26'!DQ23</f>
        <v>0</v>
      </c>
      <c r="CH165" s="1062">
        <f>'No Recurrentes 24-26'!DR23</f>
        <v>0</v>
      </c>
      <c r="CI165" s="1068"/>
      <c r="CJ165" s="1062">
        <f>'No Recurrentes 24-26'!DS23</f>
        <v>0</v>
      </c>
      <c r="CK165" s="1062">
        <f>'No Recurrentes 24-26'!DT23</f>
        <v>191.6784</v>
      </c>
      <c r="CL165" s="1064" t="str">
        <f>'No Recurrentes 24-26'!DU23</f>
        <v/>
      </c>
      <c r="CM165" s="1064" t="str">
        <f>'No Recurrentes 24-26'!DV23</f>
        <v/>
      </c>
      <c r="CN165" s="1065">
        <f>'No Recurrentes 24-26'!EI23</f>
        <v>0.27</v>
      </c>
      <c r="CO165" s="1065">
        <f>'No Recurrentes 24-26'!EJ23</f>
        <v>0.23</v>
      </c>
      <c r="CP165" s="1060" t="str">
        <f>'No Recurrentes 24-26'!EK23</f>
        <v/>
      </c>
    </row>
    <row r="166">
      <c r="A166" s="451" t="str">
        <f>'No Recurrentes 24-26'!A24</f>
        <v>Repuestos Electromecánicos no recurrentes</v>
      </c>
      <c r="B166" s="451">
        <f>'No Recurrentes 24-26'!B24</f>
        <v>2</v>
      </c>
      <c r="C166" s="451" t="str">
        <f>'No Recurrentes 24-26'!C24</f>
        <v>Estación</v>
      </c>
      <c r="D166" s="451" t="str">
        <f>'No Recurrentes 24-26'!D24</f>
        <v>Herramienta Cable</v>
      </c>
      <c r="E166" s="451" t="str">
        <f>'No Recurrentes 24-26'!E24</f>
        <v>Herramienta</v>
      </c>
      <c r="F166" s="451" t="str">
        <f>'No Recurrentes 24-26'!F24</f>
        <v>TDB</v>
      </c>
      <c r="G166" s="1061" t="str">
        <f>'No Recurrentes 24-26'!G24</f>
        <v>34800</v>
      </c>
      <c r="H166" s="1061" t="str">
        <f>'No Recurrentes 24-26'!H24</f>
        <v>1-05-00042</v>
      </c>
      <c r="I166" s="1061" t="str">
        <f>'No Recurrentes 24-26'!I24</f>
        <v>10108623</v>
      </c>
      <c r="J166" s="1061" t="str">
        <f>'No Recurrentes 24-26'!J24</f>
        <v>LEVANTACABLE P.CON.POL.DEFL.F. P.POLEAS D.APOYO EN AMBOS LAD.</v>
      </c>
      <c r="K166" s="451" t="str">
        <f>'No Recurrentes 24-26'!K24</f>
        <v>Pza</v>
      </c>
      <c r="L166" s="451" t="str">
        <f>'No Recurrentes 24-26'!BC24</f>
        <v/>
      </c>
      <c r="M166" s="451" t="str">
        <f>'No Recurrentes 24-26'!BD24</f>
        <v/>
      </c>
      <c r="N166" s="451">
        <f>'No Recurrentes 24-26'!BE24</f>
        <v>1</v>
      </c>
      <c r="O166" s="451" t="str">
        <f>'No Recurrentes 24-26'!BF24</f>
        <v/>
      </c>
      <c r="P166" s="451" t="str">
        <f>'No Recurrentes 24-26'!BG24</f>
        <v/>
      </c>
      <c r="Q166" s="451" t="str">
        <f>'No Recurrentes 24-26'!BH24</f>
        <v/>
      </c>
      <c r="R166" s="451" t="str">
        <f>'No Recurrentes 24-26'!BI24</f>
        <v/>
      </c>
      <c r="S166" s="451" t="str">
        <f>'No Recurrentes 24-26'!BJ24</f>
        <v/>
      </c>
      <c r="T166" s="451" t="str">
        <f>'No Recurrentes 24-26'!BK24</f>
        <v/>
      </c>
      <c r="U166" s="451" t="str">
        <f>'No Recurrentes 24-26'!BL24</f>
        <v/>
      </c>
      <c r="V166" s="1068"/>
      <c r="W166" s="1062">
        <f>'No Recurrentes 24-26'!BM24</f>
        <v>1</v>
      </c>
      <c r="X166" s="1062" t="str">
        <f>'No Recurrentes 24-26'!BN24</f>
        <v/>
      </c>
      <c r="Y166" s="1062" t="str">
        <f>'No Recurrentes 24-26'!BO24</f>
        <v/>
      </c>
      <c r="Z166" s="1062" t="str">
        <f>'No Recurrentes 24-26'!BP24</f>
        <v/>
      </c>
      <c r="AA166" s="1062" t="str">
        <f>'No Recurrentes 24-26'!BQ24</f>
        <v/>
      </c>
      <c r="AB166" s="1062" t="str">
        <f>'No Recurrentes 24-26'!BR24</f>
        <v/>
      </c>
      <c r="AC166" s="1062" t="str">
        <f>'No Recurrentes 24-26'!BS24</f>
        <v/>
      </c>
      <c r="AD166" s="1062" t="str">
        <f>'No Recurrentes 24-26'!BT24</f>
        <v/>
      </c>
      <c r="AE166" s="1062" t="str">
        <f>'No Recurrentes 24-26'!BU24</f>
        <v/>
      </c>
      <c r="AF166" s="1062" t="str">
        <f>'No Recurrentes 24-26'!BV24</f>
        <v/>
      </c>
      <c r="AG166" s="1062" t="str">
        <f>'No Recurrentes 24-26'!BW24</f>
        <v/>
      </c>
      <c r="AH166" s="1068"/>
      <c r="AI166" s="1062">
        <f>'No Recurrentes 24-26'!BX24</f>
        <v>0</v>
      </c>
      <c r="AJ166" s="1062">
        <f>'No Recurrentes 24-26'!BY24</f>
        <v>0</v>
      </c>
      <c r="AK166" s="1062">
        <f>'No Recurrentes 24-26'!BZ24</f>
        <v>0</v>
      </c>
      <c r="AL166" s="1062">
        <f>'No Recurrentes 24-26'!CA24</f>
        <v>0</v>
      </c>
      <c r="AM166" s="1062">
        <f>'No Recurrentes 24-26'!CB24</f>
        <v>0</v>
      </c>
      <c r="AN166" s="1062">
        <f>'No Recurrentes 24-26'!CC24</f>
        <v>0</v>
      </c>
      <c r="AO166" s="1062">
        <f>'No Recurrentes 24-26'!CD24</f>
        <v>0</v>
      </c>
      <c r="AP166" s="1062">
        <f>'No Recurrentes 24-26'!CE24</f>
        <v>0</v>
      </c>
      <c r="AQ166" s="1062">
        <f>'No Recurrentes 24-26'!CF24</f>
        <v>0</v>
      </c>
      <c r="AR166" s="1062">
        <f>'No Recurrentes 24-26'!CG24</f>
        <v>0</v>
      </c>
      <c r="AS166" s="1062">
        <f>'No Recurrentes 24-26'!CH24</f>
        <v>0</v>
      </c>
      <c r="AT166" s="1068"/>
      <c r="AU166" s="1062">
        <f>'No Recurrentes 24-26'!CI24</f>
        <v>0</v>
      </c>
      <c r="AV166" s="1063">
        <f>'No Recurrentes 24-26'!CJ24</f>
        <v>1</v>
      </c>
      <c r="AW166" s="1068"/>
      <c r="AX166" s="1065">
        <f>'No Recurrentes 24-26'!CK24</f>
        <v>692.48</v>
      </c>
      <c r="AY166" s="1062">
        <f>'No Recurrentes 24-26'!CL24</f>
        <v>4819.6608</v>
      </c>
      <c r="AZ166" s="1068"/>
      <c r="BA166" s="1062">
        <f>'No Recurrentes 24-26'!CM24</f>
        <v>0</v>
      </c>
      <c r="BB166" s="1062">
        <f>'No Recurrentes 24-26'!CN24</f>
        <v>0</v>
      </c>
      <c r="BC166" s="1062">
        <f>'No Recurrentes 24-26'!CO24</f>
        <v>4819.6608</v>
      </c>
      <c r="BD166" s="1062">
        <f>'No Recurrentes 24-26'!CP24</f>
        <v>0</v>
      </c>
      <c r="BE166" s="1062">
        <f>'No Recurrentes 24-26'!CQ24</f>
        <v>0</v>
      </c>
      <c r="BF166" s="1062">
        <f>'No Recurrentes 24-26'!CR24</f>
        <v>0</v>
      </c>
      <c r="BG166" s="1062">
        <f>'No Recurrentes 24-26'!CS24</f>
        <v>0</v>
      </c>
      <c r="BH166" s="1062">
        <f>'No Recurrentes 24-26'!CT24</f>
        <v>0</v>
      </c>
      <c r="BI166" s="1062">
        <f>'No Recurrentes 24-26'!CU24</f>
        <v>0</v>
      </c>
      <c r="BJ166" s="1062">
        <f>'No Recurrentes 24-26'!CV24</f>
        <v>0</v>
      </c>
      <c r="BK166" s="1068"/>
      <c r="BL166" s="1062">
        <f>'No Recurrentes 24-26'!CW24</f>
        <v>4819.6608</v>
      </c>
      <c r="BM166" s="1062">
        <f>'No Recurrentes 24-26'!CX24</f>
        <v>0</v>
      </c>
      <c r="BN166" s="1062">
        <f>'No Recurrentes 24-26'!CY24</f>
        <v>0</v>
      </c>
      <c r="BO166" s="1062">
        <f>'No Recurrentes 24-26'!CZ24</f>
        <v>0</v>
      </c>
      <c r="BP166" s="1062">
        <f>'No Recurrentes 24-26'!DA24</f>
        <v>0</v>
      </c>
      <c r="BQ166" s="1062">
        <f>'No Recurrentes 24-26'!DB24</f>
        <v>0</v>
      </c>
      <c r="BR166" s="1062">
        <f>'No Recurrentes 24-26'!DC24</f>
        <v>0</v>
      </c>
      <c r="BS166" s="1062">
        <f>'No Recurrentes 24-26'!DD24</f>
        <v>0</v>
      </c>
      <c r="BT166" s="1062">
        <f>'No Recurrentes 24-26'!DE24</f>
        <v>0</v>
      </c>
      <c r="BU166" s="1062">
        <f>'No Recurrentes 24-26'!DF24</f>
        <v>0</v>
      </c>
      <c r="BV166" s="1062">
        <f>'No Recurrentes 24-26'!DG24</f>
        <v>0</v>
      </c>
      <c r="BW166" s="1068"/>
      <c r="BX166" s="1062">
        <f>'No Recurrentes 24-26'!DH24</f>
        <v>0</v>
      </c>
      <c r="BY166" s="1062">
        <f>'No Recurrentes 24-26'!DI24</f>
        <v>0</v>
      </c>
      <c r="BZ166" s="1062">
        <f>'No Recurrentes 24-26'!DJ24</f>
        <v>0</v>
      </c>
      <c r="CA166" s="1062">
        <f>'No Recurrentes 24-26'!DK24</f>
        <v>0</v>
      </c>
      <c r="CB166" s="1062">
        <f>'No Recurrentes 24-26'!DL24</f>
        <v>0</v>
      </c>
      <c r="CC166" s="1062">
        <f>'No Recurrentes 24-26'!DM24</f>
        <v>0</v>
      </c>
      <c r="CD166" s="1062">
        <f>'No Recurrentes 24-26'!DN24</f>
        <v>0</v>
      </c>
      <c r="CE166" s="1062">
        <f>'No Recurrentes 24-26'!DO24</f>
        <v>0</v>
      </c>
      <c r="CF166" s="1062">
        <f>'No Recurrentes 24-26'!DP24</f>
        <v>0</v>
      </c>
      <c r="CG166" s="1062">
        <f>'No Recurrentes 24-26'!DQ24</f>
        <v>0</v>
      </c>
      <c r="CH166" s="1062">
        <f>'No Recurrentes 24-26'!DR24</f>
        <v>0</v>
      </c>
      <c r="CI166" s="1068"/>
      <c r="CJ166" s="1062">
        <f>'No Recurrentes 24-26'!DS24</f>
        <v>0</v>
      </c>
      <c r="CK166" s="1062">
        <f>'No Recurrentes 24-26'!DT24</f>
        <v>4819.6608</v>
      </c>
      <c r="CL166" s="1064" t="str">
        <f>'No Recurrentes 24-26'!DU24</f>
        <v/>
      </c>
      <c r="CM166" s="1064" t="str">
        <f>'No Recurrentes 24-26'!DV24</f>
        <v/>
      </c>
      <c r="CN166" s="1065">
        <f>'No Recurrentes 24-26'!EI24</f>
        <v>692.48</v>
      </c>
      <c r="CO166" s="1065">
        <f>'No Recurrentes 24-26'!EJ24</f>
        <v>588.61</v>
      </c>
      <c r="CP166" s="1060" t="str">
        <f>'No Recurrentes 24-26'!EK24</f>
        <v/>
      </c>
    </row>
    <row r="167">
      <c r="A167" s="451" t="str">
        <f>'No Recurrentes 24-26'!A25</f>
        <v>Repuestos Electromecánicos no recurrentes</v>
      </c>
      <c r="B167" s="451">
        <f>'No Recurrentes 24-26'!B25</f>
        <v>2</v>
      </c>
      <c r="C167" s="451" t="str">
        <f>'No Recurrentes 24-26'!C25</f>
        <v>Estación</v>
      </c>
      <c r="D167" s="451" t="str">
        <f>'No Recurrentes 24-26'!D25</f>
        <v>Lubricacion</v>
      </c>
      <c r="E167" s="451" t="str">
        <f>'No Recurrentes 24-26'!E25</f>
        <v>Repuesto Mecánico</v>
      </c>
      <c r="F167" s="451" t="str">
        <f>'No Recurrentes 24-26'!F25</f>
        <v>TDB</v>
      </c>
      <c r="G167" s="1025" t="str">
        <f>'No Recurrentes 24-26'!G25</f>
        <v>39800</v>
      </c>
      <c r="H167" s="1061" t="str">
        <f>'No Recurrentes 24-26'!H25</f>
        <v>2-01-00650</v>
      </c>
      <c r="I167" s="1061" t="str">
        <f>'No Recurrentes 24-26'!I25</f>
        <v>10863213</v>
      </c>
      <c r="J167" s="1061" t="str">
        <f>'No Recurrentes 24-26'!J25</f>
        <v>CEPILLO P. LUBRCAR PERMA 40X30 G1/4I, A101397</v>
      </c>
      <c r="K167" s="451" t="str">
        <f>'No Recurrentes 24-26'!K25</f>
        <v>Pza</v>
      </c>
      <c r="L167" s="451">
        <f>'No Recurrentes 24-26'!BC25</f>
        <v>2</v>
      </c>
      <c r="M167" s="451">
        <f>'No Recurrentes 24-26'!BD25</f>
        <v>2</v>
      </c>
      <c r="N167" s="451">
        <f>'No Recurrentes 24-26'!BE25</f>
        <v>2</v>
      </c>
      <c r="O167" s="451">
        <f>'No Recurrentes 24-26'!BF25</f>
        <v>2</v>
      </c>
      <c r="P167" s="451">
        <f>'No Recurrentes 24-26'!BG25</f>
        <v>4</v>
      </c>
      <c r="Q167" s="451">
        <f>'No Recurrentes 24-26'!BH25</f>
        <v>2</v>
      </c>
      <c r="R167" s="451">
        <f>'No Recurrentes 24-26'!BI25</f>
        <v>2</v>
      </c>
      <c r="S167" s="451">
        <f>'No Recurrentes 24-26'!BJ25</f>
        <v>2</v>
      </c>
      <c r="T167" s="451">
        <f>'No Recurrentes 24-26'!BK25</f>
        <v>1</v>
      </c>
      <c r="U167" s="451">
        <f>'No Recurrentes 24-26'!BL25</f>
        <v>2</v>
      </c>
      <c r="V167" s="1068"/>
      <c r="W167" s="1062">
        <f>'No Recurrentes 24-26'!BM25</f>
        <v>21</v>
      </c>
      <c r="X167" s="1062" t="str">
        <f>'No Recurrentes 24-26'!BN25</f>
        <v/>
      </c>
      <c r="Y167" s="1062" t="str">
        <f>'No Recurrentes 24-26'!BO25</f>
        <v/>
      </c>
      <c r="Z167" s="1062" t="str">
        <f>'No Recurrentes 24-26'!BP25</f>
        <v/>
      </c>
      <c r="AA167" s="1062" t="str">
        <f>'No Recurrentes 24-26'!BQ25</f>
        <v/>
      </c>
      <c r="AB167" s="1062" t="str">
        <f>'No Recurrentes 24-26'!BR25</f>
        <v/>
      </c>
      <c r="AC167" s="1062" t="str">
        <f>'No Recurrentes 24-26'!BS25</f>
        <v/>
      </c>
      <c r="AD167" s="1062">
        <f>'No Recurrentes 24-26'!BT25</f>
        <v>2</v>
      </c>
      <c r="AE167" s="1062" t="str">
        <f>'No Recurrentes 24-26'!BU25</f>
        <v/>
      </c>
      <c r="AF167" s="1062">
        <f>'No Recurrentes 24-26'!BV25</f>
        <v>1</v>
      </c>
      <c r="AG167" s="1062" t="str">
        <f>'No Recurrentes 24-26'!BW25</f>
        <v/>
      </c>
      <c r="AH167" s="1068"/>
      <c r="AI167" s="1062">
        <f>'No Recurrentes 24-26'!BX25</f>
        <v>3</v>
      </c>
      <c r="AJ167" s="1062">
        <f>'No Recurrentes 24-26'!BY25</f>
        <v>2</v>
      </c>
      <c r="AK167" s="1062">
        <f>'No Recurrentes 24-26'!BZ25</f>
        <v>2</v>
      </c>
      <c r="AL167" s="1062">
        <f>'No Recurrentes 24-26'!CA25</f>
        <v>2</v>
      </c>
      <c r="AM167" s="1062">
        <f>'No Recurrentes 24-26'!CB25</f>
        <v>2</v>
      </c>
      <c r="AN167" s="1062">
        <f>'No Recurrentes 24-26'!CC25</f>
        <v>4</v>
      </c>
      <c r="AO167" s="1062">
        <f>'No Recurrentes 24-26'!CD25</f>
        <v>2</v>
      </c>
      <c r="AP167" s="1062">
        <f>'No Recurrentes 24-26'!CE25</f>
        <v>0</v>
      </c>
      <c r="AQ167" s="1062">
        <f>'No Recurrentes 24-26'!CF25</f>
        <v>2</v>
      </c>
      <c r="AR167" s="1062">
        <f>'No Recurrentes 24-26'!CG25</f>
        <v>0</v>
      </c>
      <c r="AS167" s="1062">
        <f>'No Recurrentes 24-26'!CH25</f>
        <v>2</v>
      </c>
      <c r="AT167" s="1068"/>
      <c r="AU167" s="1062">
        <f>'No Recurrentes 24-26'!CI25</f>
        <v>18</v>
      </c>
      <c r="AV167" s="1063">
        <f>'No Recurrentes 24-26'!CJ25</f>
        <v>42</v>
      </c>
      <c r="AW167" s="1068"/>
      <c r="AX167" s="1065">
        <f>'No Recurrentes 24-26'!CK25</f>
        <v>35.57</v>
      </c>
      <c r="AY167" s="1062">
        <f>'No Recurrentes 24-26'!CL25</f>
        <v>247.5672</v>
      </c>
      <c r="AZ167" s="1068"/>
      <c r="BA167" s="1062">
        <f>'No Recurrentes 24-26'!CM25</f>
        <v>495.1344</v>
      </c>
      <c r="BB167" s="1062">
        <f>'No Recurrentes 24-26'!CN25</f>
        <v>495.1344</v>
      </c>
      <c r="BC167" s="1062">
        <f>'No Recurrentes 24-26'!CO25</f>
        <v>495.1344</v>
      </c>
      <c r="BD167" s="1062">
        <f>'No Recurrentes 24-26'!CP25</f>
        <v>495.1344</v>
      </c>
      <c r="BE167" s="1062">
        <f>'No Recurrentes 24-26'!CQ25</f>
        <v>990.2688</v>
      </c>
      <c r="BF167" s="1062">
        <f>'No Recurrentes 24-26'!CR25</f>
        <v>495.1344</v>
      </c>
      <c r="BG167" s="1062">
        <f>'No Recurrentes 24-26'!CS25</f>
        <v>495.1344</v>
      </c>
      <c r="BH167" s="1062">
        <f>'No Recurrentes 24-26'!CT25</f>
        <v>495.1344</v>
      </c>
      <c r="BI167" s="1062">
        <f>'No Recurrentes 24-26'!CU25</f>
        <v>247.5672</v>
      </c>
      <c r="BJ167" s="1062">
        <f>'No Recurrentes 24-26'!CV25</f>
        <v>495.1344</v>
      </c>
      <c r="BK167" s="1068"/>
      <c r="BL167" s="1062">
        <f>'No Recurrentes 24-26'!CW25</f>
        <v>5198.9112</v>
      </c>
      <c r="BM167" s="1062">
        <f>'No Recurrentes 24-26'!CX25</f>
        <v>0</v>
      </c>
      <c r="BN167" s="1062">
        <f>'No Recurrentes 24-26'!CY25</f>
        <v>0</v>
      </c>
      <c r="BO167" s="1062">
        <f>'No Recurrentes 24-26'!CZ25</f>
        <v>0</v>
      </c>
      <c r="BP167" s="1062">
        <f>'No Recurrentes 24-26'!DA25</f>
        <v>0</v>
      </c>
      <c r="BQ167" s="1062">
        <f>'No Recurrentes 24-26'!DB25</f>
        <v>0</v>
      </c>
      <c r="BR167" s="1062">
        <f>'No Recurrentes 24-26'!DC25</f>
        <v>0</v>
      </c>
      <c r="BS167" s="1062">
        <f>'No Recurrentes 24-26'!DD25</f>
        <v>495.1344</v>
      </c>
      <c r="BT167" s="1062">
        <f>'No Recurrentes 24-26'!DE25</f>
        <v>0</v>
      </c>
      <c r="BU167" s="1062">
        <f>'No Recurrentes 24-26'!DF25</f>
        <v>247.5672</v>
      </c>
      <c r="BV167" s="1062">
        <f>'No Recurrentes 24-26'!DG25</f>
        <v>0</v>
      </c>
      <c r="BW167" s="1068"/>
      <c r="BX167" s="1062">
        <f>'No Recurrentes 24-26'!DH25</f>
        <v>742.7016</v>
      </c>
      <c r="BY167" s="1062">
        <f>'No Recurrentes 24-26'!DI25</f>
        <v>495.1344</v>
      </c>
      <c r="BZ167" s="1062">
        <f>'No Recurrentes 24-26'!DJ25</f>
        <v>495.1344</v>
      </c>
      <c r="CA167" s="1062">
        <f>'No Recurrentes 24-26'!DK25</f>
        <v>495.1344</v>
      </c>
      <c r="CB167" s="1062">
        <f>'No Recurrentes 24-26'!DL25</f>
        <v>495.1344</v>
      </c>
      <c r="CC167" s="1062">
        <f>'No Recurrentes 24-26'!DM25</f>
        <v>990.2688</v>
      </c>
      <c r="CD167" s="1062">
        <f>'No Recurrentes 24-26'!DN25</f>
        <v>495.1344</v>
      </c>
      <c r="CE167" s="1062">
        <f>'No Recurrentes 24-26'!DO25</f>
        <v>0</v>
      </c>
      <c r="CF167" s="1062">
        <f>'No Recurrentes 24-26'!DP25</f>
        <v>495.1344</v>
      </c>
      <c r="CG167" s="1062">
        <f>'No Recurrentes 24-26'!DQ25</f>
        <v>0</v>
      </c>
      <c r="CH167" s="1062">
        <f>'No Recurrentes 24-26'!DR25</f>
        <v>495.1344</v>
      </c>
      <c r="CI167" s="1068"/>
      <c r="CJ167" s="1062">
        <f>'No Recurrentes 24-26'!DS25</f>
        <v>4456.2096</v>
      </c>
      <c r="CK167" s="1062">
        <f>'No Recurrentes 24-26'!DT25</f>
        <v>10397.8224</v>
      </c>
      <c r="CL167" s="1064" t="str">
        <f>'No Recurrentes 24-26'!DU25</f>
        <v/>
      </c>
      <c r="CM167" s="1064" t="str">
        <f>'No Recurrentes 24-26'!DV25</f>
        <v/>
      </c>
      <c r="CN167" s="1065">
        <f>'No Recurrentes 24-26'!EI25</f>
        <v>35.57</v>
      </c>
      <c r="CO167" s="1065">
        <f>'No Recurrentes 24-26'!EJ25</f>
        <v>30.23</v>
      </c>
      <c r="CP167" s="1060" t="str">
        <f>'No Recurrentes 24-26'!EK25</f>
        <v/>
      </c>
    </row>
    <row r="168">
      <c r="A168" s="451" t="str">
        <f>'No Recurrentes 24-26'!A26</f>
        <v>Repuestos Electromecánicos no recurrentes</v>
      </c>
      <c r="B168" s="451">
        <f>'No Recurrentes 24-26'!B26</f>
        <v>2</v>
      </c>
      <c r="C168" s="451" t="str">
        <f>'No Recurrentes 24-26'!C26</f>
        <v>Estación</v>
      </c>
      <c r="D168" s="451" t="str">
        <f>'No Recurrentes 24-26'!D26</f>
        <v>Lubricacion</v>
      </c>
      <c r="E168" s="451" t="str">
        <f>'No Recurrentes 24-26'!E26</f>
        <v>Repuesto Mecánico</v>
      </c>
      <c r="F168" s="451" t="str">
        <f>'No Recurrentes 24-26'!F26</f>
        <v>TDB</v>
      </c>
      <c r="G168" s="1025" t="str">
        <f>'No Recurrentes 24-26'!G26</f>
        <v>39800</v>
      </c>
      <c r="H168" s="1061" t="str">
        <f>'No Recurrentes 24-26'!H26</f>
        <v/>
      </c>
      <c r="I168" s="1061" t="str">
        <f>'No Recurrentes 24-26'!I26</f>
        <v>11825539</v>
      </c>
      <c r="J168" s="1061" t="str">
        <f>'No Recurrentes 24-26'!J26</f>
        <v>MANGUERA PTFE      6,00 / 8,00 COLOR: NATURAL</v>
      </c>
      <c r="K168" s="451" t="str">
        <f>'No Recurrentes 24-26'!K26</f>
        <v>Pza</v>
      </c>
      <c r="L168" s="451">
        <f>'No Recurrentes 24-26'!BC26</f>
        <v>1</v>
      </c>
      <c r="M168" s="451">
        <f>'No Recurrentes 24-26'!BD26</f>
        <v>1</v>
      </c>
      <c r="N168" s="451">
        <f>'No Recurrentes 24-26'!BE26</f>
        <v>1</v>
      </c>
      <c r="O168" s="451">
        <f>'No Recurrentes 24-26'!BF26</f>
        <v>1</v>
      </c>
      <c r="P168" s="451">
        <f>'No Recurrentes 24-26'!BG26</f>
        <v>1</v>
      </c>
      <c r="Q168" s="451">
        <f>'No Recurrentes 24-26'!BH26</f>
        <v>1</v>
      </c>
      <c r="R168" s="451" t="str">
        <f>'No Recurrentes 24-26'!BI26</f>
        <v/>
      </c>
      <c r="S168" s="451" t="str">
        <f>'No Recurrentes 24-26'!BJ26</f>
        <v/>
      </c>
      <c r="T168" s="451" t="str">
        <f>'No Recurrentes 24-26'!BK26</f>
        <v/>
      </c>
      <c r="U168" s="451" t="str">
        <f>'No Recurrentes 24-26'!BL26</f>
        <v/>
      </c>
      <c r="V168" s="1068"/>
      <c r="W168" s="1062">
        <f>'No Recurrentes 24-26'!BM26</f>
        <v>6</v>
      </c>
      <c r="X168" s="1062" t="str">
        <f>'No Recurrentes 24-26'!BN26</f>
        <v/>
      </c>
      <c r="Y168" s="1062" t="str">
        <f>'No Recurrentes 24-26'!BO26</f>
        <v/>
      </c>
      <c r="Z168" s="1062" t="str">
        <f>'No Recurrentes 24-26'!BP26</f>
        <v/>
      </c>
      <c r="AA168" s="1062" t="str">
        <f>'No Recurrentes 24-26'!BQ26</f>
        <v/>
      </c>
      <c r="AB168" s="1062" t="str">
        <f>'No Recurrentes 24-26'!BR26</f>
        <v/>
      </c>
      <c r="AC168" s="1062" t="str">
        <f>'No Recurrentes 24-26'!BS26</f>
        <v/>
      </c>
      <c r="AD168" s="1062" t="str">
        <f>'No Recurrentes 24-26'!BT26</f>
        <v/>
      </c>
      <c r="AE168" s="1062" t="str">
        <f>'No Recurrentes 24-26'!BU26</f>
        <v/>
      </c>
      <c r="AF168" s="1062" t="str">
        <f>'No Recurrentes 24-26'!BV26</f>
        <v/>
      </c>
      <c r="AG168" s="1062" t="str">
        <f>'No Recurrentes 24-26'!BW26</f>
        <v/>
      </c>
      <c r="AH168" s="1068"/>
      <c r="AI168" s="1062">
        <f>'No Recurrentes 24-26'!BX26</f>
        <v>0</v>
      </c>
      <c r="AJ168" s="1062">
        <f>'No Recurrentes 24-26'!BY26</f>
        <v>0</v>
      </c>
      <c r="AK168" s="1062">
        <f>'No Recurrentes 24-26'!BZ26</f>
        <v>0</v>
      </c>
      <c r="AL168" s="1062">
        <f>'No Recurrentes 24-26'!CA26</f>
        <v>0</v>
      </c>
      <c r="AM168" s="1062">
        <f>'No Recurrentes 24-26'!CB26</f>
        <v>1</v>
      </c>
      <c r="AN168" s="1062">
        <f>'No Recurrentes 24-26'!CC26</f>
        <v>1</v>
      </c>
      <c r="AO168" s="1062">
        <f>'No Recurrentes 24-26'!CD26</f>
        <v>1</v>
      </c>
      <c r="AP168" s="1062">
        <f>'No Recurrentes 24-26'!CE26</f>
        <v>0</v>
      </c>
      <c r="AQ168" s="1062">
        <f>'No Recurrentes 24-26'!CF26</f>
        <v>0</v>
      </c>
      <c r="AR168" s="1062">
        <f>'No Recurrentes 24-26'!CG26</f>
        <v>0</v>
      </c>
      <c r="AS168" s="1062">
        <f>'No Recurrentes 24-26'!CH26</f>
        <v>0</v>
      </c>
      <c r="AT168" s="1068"/>
      <c r="AU168" s="1062">
        <f>'No Recurrentes 24-26'!CI26</f>
        <v>3</v>
      </c>
      <c r="AV168" s="1063">
        <f>'No Recurrentes 24-26'!CJ26</f>
        <v>9</v>
      </c>
      <c r="AW168" s="1068"/>
      <c r="AX168" s="1065">
        <f>'No Recurrentes 24-26'!CK26</f>
        <v>34.19</v>
      </c>
      <c r="AY168" s="1062">
        <f>'No Recurrentes 24-26'!CL26</f>
        <v>237.9624</v>
      </c>
      <c r="AZ168" s="1068"/>
      <c r="BA168" s="1062">
        <f>'No Recurrentes 24-26'!CM26</f>
        <v>237.9624</v>
      </c>
      <c r="BB168" s="1062">
        <f>'No Recurrentes 24-26'!CN26</f>
        <v>237.9624</v>
      </c>
      <c r="BC168" s="1062">
        <f>'No Recurrentes 24-26'!CO26</f>
        <v>237.9624</v>
      </c>
      <c r="BD168" s="1062">
        <f>'No Recurrentes 24-26'!CP26</f>
        <v>237.9624</v>
      </c>
      <c r="BE168" s="1062">
        <f>'No Recurrentes 24-26'!CQ26</f>
        <v>237.9624</v>
      </c>
      <c r="BF168" s="1062">
        <f>'No Recurrentes 24-26'!CR26</f>
        <v>237.9624</v>
      </c>
      <c r="BG168" s="1062">
        <f>'No Recurrentes 24-26'!CS26</f>
        <v>0</v>
      </c>
      <c r="BH168" s="1062">
        <f>'No Recurrentes 24-26'!CT26</f>
        <v>0</v>
      </c>
      <c r="BI168" s="1062">
        <f>'No Recurrentes 24-26'!CU26</f>
        <v>0</v>
      </c>
      <c r="BJ168" s="1062">
        <f>'No Recurrentes 24-26'!CV26</f>
        <v>0</v>
      </c>
      <c r="BK168" s="1068"/>
      <c r="BL168" s="1062">
        <f>'No Recurrentes 24-26'!CW26</f>
        <v>1427.7744</v>
      </c>
      <c r="BM168" s="1062">
        <f>'No Recurrentes 24-26'!CX26</f>
        <v>0</v>
      </c>
      <c r="BN168" s="1062">
        <f>'No Recurrentes 24-26'!CY26</f>
        <v>0</v>
      </c>
      <c r="BO168" s="1062">
        <f>'No Recurrentes 24-26'!CZ26</f>
        <v>0</v>
      </c>
      <c r="BP168" s="1062">
        <f>'No Recurrentes 24-26'!DA26</f>
        <v>0</v>
      </c>
      <c r="BQ168" s="1062">
        <f>'No Recurrentes 24-26'!DB26</f>
        <v>0</v>
      </c>
      <c r="BR168" s="1062">
        <f>'No Recurrentes 24-26'!DC26</f>
        <v>0</v>
      </c>
      <c r="BS168" s="1062">
        <f>'No Recurrentes 24-26'!DD26</f>
        <v>0</v>
      </c>
      <c r="BT168" s="1062">
        <f>'No Recurrentes 24-26'!DE26</f>
        <v>0</v>
      </c>
      <c r="BU168" s="1062">
        <f>'No Recurrentes 24-26'!DF26</f>
        <v>0</v>
      </c>
      <c r="BV168" s="1062">
        <f>'No Recurrentes 24-26'!DG26</f>
        <v>0</v>
      </c>
      <c r="BW168" s="1068"/>
      <c r="BX168" s="1062">
        <f>'No Recurrentes 24-26'!DH26</f>
        <v>0</v>
      </c>
      <c r="BY168" s="1062">
        <f>'No Recurrentes 24-26'!DI26</f>
        <v>0</v>
      </c>
      <c r="BZ168" s="1062">
        <f>'No Recurrentes 24-26'!DJ26</f>
        <v>0</v>
      </c>
      <c r="CA168" s="1062">
        <f>'No Recurrentes 24-26'!DK26</f>
        <v>0</v>
      </c>
      <c r="CB168" s="1062">
        <f>'No Recurrentes 24-26'!DL26</f>
        <v>237.9624</v>
      </c>
      <c r="CC168" s="1062">
        <f>'No Recurrentes 24-26'!DM26</f>
        <v>237.9624</v>
      </c>
      <c r="CD168" s="1062">
        <f>'No Recurrentes 24-26'!DN26</f>
        <v>237.9624</v>
      </c>
      <c r="CE168" s="1062">
        <f>'No Recurrentes 24-26'!DO26</f>
        <v>0</v>
      </c>
      <c r="CF168" s="1062">
        <f>'No Recurrentes 24-26'!DP26</f>
        <v>0</v>
      </c>
      <c r="CG168" s="1062">
        <f>'No Recurrentes 24-26'!DQ26</f>
        <v>0</v>
      </c>
      <c r="CH168" s="1062">
        <f>'No Recurrentes 24-26'!DR26</f>
        <v>0</v>
      </c>
      <c r="CI168" s="1068"/>
      <c r="CJ168" s="1062">
        <f>'No Recurrentes 24-26'!DS26</f>
        <v>713.8872</v>
      </c>
      <c r="CK168" s="1062">
        <f>'No Recurrentes 24-26'!DT26</f>
        <v>2141.6616</v>
      </c>
      <c r="CL168" s="1064" t="str">
        <f>'No Recurrentes 24-26'!DU26</f>
        <v/>
      </c>
      <c r="CM168" s="1064" t="str">
        <f>'No Recurrentes 24-26'!DV26</f>
        <v/>
      </c>
      <c r="CN168" s="1065">
        <f>'No Recurrentes 24-26'!EI26</f>
        <v>34.19</v>
      </c>
      <c r="CO168" s="1065">
        <f>'No Recurrentes 24-26'!EJ26</f>
        <v>29.06</v>
      </c>
      <c r="CP168" s="1060" t="str">
        <f>'No Recurrentes 24-26'!EK26</f>
        <v/>
      </c>
    </row>
    <row r="169">
      <c r="A169" s="451" t="str">
        <f>'No Recurrentes 24-26'!A27</f>
        <v>Repuestos Electromecánicos no recurrentes</v>
      </c>
      <c r="B169" s="451">
        <f>'No Recurrentes 24-26'!B27</f>
        <v>2</v>
      </c>
      <c r="C169" s="451" t="str">
        <f>'No Recurrentes 24-26'!C27</f>
        <v>Estación</v>
      </c>
      <c r="D169" s="451" t="str">
        <f>'No Recurrentes 24-26'!D27</f>
        <v>Lubricacion</v>
      </c>
      <c r="E169" s="451" t="str">
        <f>'No Recurrentes 24-26'!E27</f>
        <v>Repuesto Mecánico</v>
      </c>
      <c r="F169" s="451" t="str">
        <f>'No Recurrentes 24-26'!F27</f>
        <v>TDB</v>
      </c>
      <c r="G169" s="1025" t="str">
        <f>'No Recurrentes 24-26'!G27</f>
        <v>39800</v>
      </c>
      <c r="H169" s="1061" t="str">
        <f>'No Recurrentes 24-26'!H27</f>
        <v/>
      </c>
      <c r="I169" s="1061" t="str">
        <f>'No Recurrentes 24-26'!I27</f>
        <v>10863210</v>
      </c>
      <c r="J169" s="1061" t="str">
        <f>'No Recurrentes 24-26'!J27</f>
        <v>VÁLVULA DE RETENCIÓN DE ACEITE PERMA         A 104862</v>
      </c>
      <c r="K169" s="451" t="str">
        <f>'No Recurrentes 24-26'!K27</f>
        <v>Pza</v>
      </c>
      <c r="L169" s="451" t="str">
        <f>'No Recurrentes 24-26'!BC27</f>
        <v/>
      </c>
      <c r="M169" s="451" t="str">
        <f>'No Recurrentes 24-26'!BD27</f>
        <v/>
      </c>
      <c r="N169" s="451">
        <f>'No Recurrentes 24-26'!BE27</f>
        <v>2</v>
      </c>
      <c r="O169" s="451">
        <f>'No Recurrentes 24-26'!BF27</f>
        <v>2</v>
      </c>
      <c r="P169" s="451">
        <f>'No Recurrentes 24-26'!BG27</f>
        <v>1</v>
      </c>
      <c r="Q169" s="451">
        <f>'No Recurrentes 24-26'!BH27</f>
        <v>1</v>
      </c>
      <c r="R169" s="451" t="str">
        <f>'No Recurrentes 24-26'!BI27</f>
        <v/>
      </c>
      <c r="S169" s="451" t="str">
        <f>'No Recurrentes 24-26'!BJ27</f>
        <v/>
      </c>
      <c r="T169" s="451" t="str">
        <f>'No Recurrentes 24-26'!BK27</f>
        <v/>
      </c>
      <c r="U169" s="451" t="str">
        <f>'No Recurrentes 24-26'!BL27</f>
        <v/>
      </c>
      <c r="V169" s="1068"/>
      <c r="W169" s="1062">
        <f>'No Recurrentes 24-26'!BM27</f>
        <v>6</v>
      </c>
      <c r="X169" s="1062">
        <f>'No Recurrentes 24-26'!BN27</f>
        <v>2</v>
      </c>
      <c r="Y169" s="1062" t="str">
        <f>'No Recurrentes 24-26'!BO27</f>
        <v/>
      </c>
      <c r="Z169" s="1062" t="str">
        <f>'No Recurrentes 24-26'!BP27</f>
        <v/>
      </c>
      <c r="AA169" s="1062" t="str">
        <f>'No Recurrentes 24-26'!BQ27</f>
        <v/>
      </c>
      <c r="AB169" s="1062" t="str">
        <f>'No Recurrentes 24-26'!BR27</f>
        <v/>
      </c>
      <c r="AC169" s="1062" t="str">
        <f>'No Recurrentes 24-26'!BS27</f>
        <v/>
      </c>
      <c r="AD169" s="1062" t="str">
        <f>'No Recurrentes 24-26'!BT27</f>
        <v/>
      </c>
      <c r="AE169" s="1062" t="str">
        <f>'No Recurrentes 24-26'!BU27</f>
        <v/>
      </c>
      <c r="AF169" s="1062" t="str">
        <f>'No Recurrentes 24-26'!BV27</f>
        <v/>
      </c>
      <c r="AG169" s="1062" t="str">
        <f>'No Recurrentes 24-26'!BW27</f>
        <v/>
      </c>
      <c r="AH169" s="1068"/>
      <c r="AI169" s="1062">
        <f>'No Recurrentes 24-26'!BX27</f>
        <v>2</v>
      </c>
      <c r="AJ169" s="1062">
        <f>'No Recurrentes 24-26'!BY27</f>
        <v>0</v>
      </c>
      <c r="AK169" s="1062">
        <f>'No Recurrentes 24-26'!BZ27</f>
        <v>0</v>
      </c>
      <c r="AL169" s="1062">
        <f>'No Recurrentes 24-26'!CA27</f>
        <v>0</v>
      </c>
      <c r="AM169" s="1062">
        <f>'No Recurrentes 24-26'!CB27</f>
        <v>2</v>
      </c>
      <c r="AN169" s="1062">
        <f>'No Recurrentes 24-26'!CC27</f>
        <v>1</v>
      </c>
      <c r="AO169" s="1062">
        <f>'No Recurrentes 24-26'!CD27</f>
        <v>1</v>
      </c>
      <c r="AP169" s="1062">
        <f>'No Recurrentes 24-26'!CE27</f>
        <v>0</v>
      </c>
      <c r="AQ169" s="1062">
        <f>'No Recurrentes 24-26'!CF27</f>
        <v>0</v>
      </c>
      <c r="AR169" s="1062">
        <f>'No Recurrentes 24-26'!CG27</f>
        <v>0</v>
      </c>
      <c r="AS169" s="1062">
        <f>'No Recurrentes 24-26'!CH27</f>
        <v>0</v>
      </c>
      <c r="AT169" s="1068"/>
      <c r="AU169" s="1062">
        <f>'No Recurrentes 24-26'!CI27</f>
        <v>4</v>
      </c>
      <c r="AV169" s="1063">
        <f>'No Recurrentes 24-26'!CJ27</f>
        <v>12</v>
      </c>
      <c r="AW169" s="1068"/>
      <c r="AX169" s="1065">
        <f>'No Recurrentes 24-26'!CK27</f>
        <v>32.26</v>
      </c>
      <c r="AY169" s="1062">
        <f>'No Recurrentes 24-26'!CL27</f>
        <v>224.5296</v>
      </c>
      <c r="AZ169" s="1068"/>
      <c r="BA169" s="1062">
        <f>'No Recurrentes 24-26'!CM27</f>
        <v>0</v>
      </c>
      <c r="BB169" s="1062">
        <f>'No Recurrentes 24-26'!CN27</f>
        <v>0</v>
      </c>
      <c r="BC169" s="1062">
        <f>'No Recurrentes 24-26'!CO27</f>
        <v>449.0592</v>
      </c>
      <c r="BD169" s="1062">
        <f>'No Recurrentes 24-26'!CP27</f>
        <v>449.0592</v>
      </c>
      <c r="BE169" s="1062">
        <f>'No Recurrentes 24-26'!CQ27</f>
        <v>224.5296</v>
      </c>
      <c r="BF169" s="1062">
        <f>'No Recurrentes 24-26'!CR27</f>
        <v>224.5296</v>
      </c>
      <c r="BG169" s="1062">
        <f>'No Recurrentes 24-26'!CS27</f>
        <v>0</v>
      </c>
      <c r="BH169" s="1062">
        <f>'No Recurrentes 24-26'!CT27</f>
        <v>0</v>
      </c>
      <c r="BI169" s="1062">
        <f>'No Recurrentes 24-26'!CU27</f>
        <v>0</v>
      </c>
      <c r="BJ169" s="1062">
        <f>'No Recurrentes 24-26'!CV27</f>
        <v>0</v>
      </c>
      <c r="BK169" s="1068"/>
      <c r="BL169" s="1062">
        <f>'No Recurrentes 24-26'!CW27</f>
        <v>1347.1776</v>
      </c>
      <c r="BM169" s="1062">
        <f>'No Recurrentes 24-26'!CX27</f>
        <v>449.0592</v>
      </c>
      <c r="BN169" s="1062">
        <f>'No Recurrentes 24-26'!CY27</f>
        <v>0</v>
      </c>
      <c r="BO169" s="1062">
        <f>'No Recurrentes 24-26'!CZ27</f>
        <v>0</v>
      </c>
      <c r="BP169" s="1062">
        <f>'No Recurrentes 24-26'!DA27</f>
        <v>0</v>
      </c>
      <c r="BQ169" s="1062">
        <f>'No Recurrentes 24-26'!DB27</f>
        <v>0</v>
      </c>
      <c r="BR169" s="1062">
        <f>'No Recurrentes 24-26'!DC27</f>
        <v>0</v>
      </c>
      <c r="BS169" s="1062">
        <f>'No Recurrentes 24-26'!DD27</f>
        <v>0</v>
      </c>
      <c r="BT169" s="1062">
        <f>'No Recurrentes 24-26'!DE27</f>
        <v>0</v>
      </c>
      <c r="BU169" s="1062">
        <f>'No Recurrentes 24-26'!DF27</f>
        <v>0</v>
      </c>
      <c r="BV169" s="1062">
        <f>'No Recurrentes 24-26'!DG27</f>
        <v>0</v>
      </c>
      <c r="BW169" s="1068"/>
      <c r="BX169" s="1062">
        <f>'No Recurrentes 24-26'!DH27</f>
        <v>449.0592</v>
      </c>
      <c r="BY169" s="1062">
        <f>'No Recurrentes 24-26'!DI27</f>
        <v>0</v>
      </c>
      <c r="BZ169" s="1062">
        <f>'No Recurrentes 24-26'!DJ27</f>
        <v>0</v>
      </c>
      <c r="CA169" s="1062">
        <f>'No Recurrentes 24-26'!DK27</f>
        <v>0</v>
      </c>
      <c r="CB169" s="1062">
        <f>'No Recurrentes 24-26'!DL27</f>
        <v>449.0592</v>
      </c>
      <c r="CC169" s="1062">
        <f>'No Recurrentes 24-26'!DM27</f>
        <v>224.5296</v>
      </c>
      <c r="CD169" s="1062">
        <f>'No Recurrentes 24-26'!DN27</f>
        <v>224.5296</v>
      </c>
      <c r="CE169" s="1062">
        <f>'No Recurrentes 24-26'!DO27</f>
        <v>0</v>
      </c>
      <c r="CF169" s="1062">
        <f>'No Recurrentes 24-26'!DP27</f>
        <v>0</v>
      </c>
      <c r="CG169" s="1062">
        <f>'No Recurrentes 24-26'!DQ27</f>
        <v>0</v>
      </c>
      <c r="CH169" s="1062">
        <f>'No Recurrentes 24-26'!DR27</f>
        <v>0</v>
      </c>
      <c r="CI169" s="1068"/>
      <c r="CJ169" s="1062">
        <f>'No Recurrentes 24-26'!DS27</f>
        <v>898.1184</v>
      </c>
      <c r="CK169" s="1062">
        <f>'No Recurrentes 24-26'!DT27</f>
        <v>2694.3552</v>
      </c>
      <c r="CL169" s="1064" t="str">
        <f>'No Recurrentes 24-26'!DU27</f>
        <v/>
      </c>
      <c r="CM169" s="1064" t="str">
        <f>'No Recurrentes 24-26'!DV27</f>
        <v/>
      </c>
      <c r="CN169" s="1065">
        <f>'No Recurrentes 24-26'!EI27</f>
        <v>32.26</v>
      </c>
      <c r="CO169" s="1065">
        <f>'No Recurrentes 24-26'!EJ27</f>
        <v>27.42</v>
      </c>
      <c r="CP169" s="1060" t="str">
        <f>'No Recurrentes 24-26'!EK27</f>
        <v/>
      </c>
    </row>
    <row r="170">
      <c r="A170" s="451" t="str">
        <f>'No Recurrentes 24-26'!A28</f>
        <v>Repuestos Electromecánicos no recurrentes</v>
      </c>
      <c r="B170" s="451">
        <f>'No Recurrentes 24-26'!B28</f>
        <v>2</v>
      </c>
      <c r="C170" s="451" t="str">
        <f>'No Recurrentes 24-26'!C28</f>
        <v>Estación</v>
      </c>
      <c r="D170" s="451" t="str">
        <f>'No Recurrentes 24-26'!D28</f>
        <v>Lubricacion</v>
      </c>
      <c r="E170" s="451" t="str">
        <f>'No Recurrentes 24-26'!E28</f>
        <v>Repuesto Mecánico</v>
      </c>
      <c r="F170" s="451" t="str">
        <f>'No Recurrentes 24-26'!F28</f>
        <v>TDB</v>
      </c>
      <c r="G170" s="1025" t="str">
        <f>'No Recurrentes 24-26'!G28</f>
        <v>39800</v>
      </c>
      <c r="H170" s="1061" t="str">
        <f>'No Recurrentes 24-26'!H28</f>
        <v/>
      </c>
      <c r="I170" s="1061" t="str">
        <f>'No Recurrentes 24-26'!I28</f>
        <v>10863212</v>
      </c>
      <c r="J170" s="1061" t="str">
        <f>'No Recurrentes 24-26'!J28</f>
        <v>EMPALME DE MANGUERA PERMA G1/4A                     A104822</v>
      </c>
      <c r="K170" s="451" t="str">
        <f>'No Recurrentes 24-26'!K28</f>
        <v>Pza</v>
      </c>
      <c r="L170" s="451">
        <f>'No Recurrentes 24-26'!BC28</f>
        <v>2</v>
      </c>
      <c r="M170" s="451" t="str">
        <f>'No Recurrentes 24-26'!BD28</f>
        <v/>
      </c>
      <c r="N170" s="451">
        <f>'No Recurrentes 24-26'!BE28</f>
        <v>2</v>
      </c>
      <c r="O170" s="451">
        <f>'No Recurrentes 24-26'!BF28</f>
        <v>2</v>
      </c>
      <c r="P170" s="451">
        <f>'No Recurrentes 24-26'!BG28</f>
        <v>1</v>
      </c>
      <c r="Q170" s="451">
        <f>'No Recurrentes 24-26'!BH28</f>
        <v>1</v>
      </c>
      <c r="R170" s="451" t="str">
        <f>'No Recurrentes 24-26'!BI28</f>
        <v/>
      </c>
      <c r="S170" s="451" t="str">
        <f>'No Recurrentes 24-26'!BJ28</f>
        <v/>
      </c>
      <c r="T170" s="451" t="str">
        <f>'No Recurrentes 24-26'!BK28</f>
        <v/>
      </c>
      <c r="U170" s="451" t="str">
        <f>'No Recurrentes 24-26'!BL28</f>
        <v/>
      </c>
      <c r="V170" s="1068"/>
      <c r="W170" s="1062">
        <f>'No Recurrentes 24-26'!BM28</f>
        <v>8</v>
      </c>
      <c r="X170" s="1062" t="str">
        <f>'No Recurrentes 24-26'!BN28</f>
        <v/>
      </c>
      <c r="Y170" s="1062" t="str">
        <f>'No Recurrentes 24-26'!BO28</f>
        <v/>
      </c>
      <c r="Z170" s="1062" t="str">
        <f>'No Recurrentes 24-26'!BP28</f>
        <v/>
      </c>
      <c r="AA170" s="1062" t="str">
        <f>'No Recurrentes 24-26'!BQ28</f>
        <v/>
      </c>
      <c r="AB170" s="1062" t="str">
        <f>'No Recurrentes 24-26'!BR28</f>
        <v/>
      </c>
      <c r="AC170" s="1062" t="str">
        <f>'No Recurrentes 24-26'!BS28</f>
        <v/>
      </c>
      <c r="AD170" s="1062" t="str">
        <f>'No Recurrentes 24-26'!BT28</f>
        <v/>
      </c>
      <c r="AE170" s="1062" t="str">
        <f>'No Recurrentes 24-26'!BU28</f>
        <v/>
      </c>
      <c r="AF170" s="1062" t="str">
        <f>'No Recurrentes 24-26'!BV28</f>
        <v/>
      </c>
      <c r="AG170" s="1062">
        <f>'No Recurrentes 24-26'!BW28</f>
        <v>2</v>
      </c>
      <c r="AH170" s="1068"/>
      <c r="AI170" s="1062">
        <f>'No Recurrentes 24-26'!BX28</f>
        <v>2</v>
      </c>
      <c r="AJ170" s="1062">
        <f>'No Recurrentes 24-26'!BY28</f>
        <v>0</v>
      </c>
      <c r="AK170" s="1062">
        <f>'No Recurrentes 24-26'!BZ28</f>
        <v>0</v>
      </c>
      <c r="AL170" s="1062">
        <f>'No Recurrentes 24-26'!CA28</f>
        <v>0</v>
      </c>
      <c r="AM170" s="1062">
        <f>'No Recurrentes 24-26'!CB28</f>
        <v>2</v>
      </c>
      <c r="AN170" s="1062">
        <f>'No Recurrentes 24-26'!CC28</f>
        <v>1</v>
      </c>
      <c r="AO170" s="1062">
        <f>'No Recurrentes 24-26'!CD28</f>
        <v>1</v>
      </c>
      <c r="AP170" s="1062">
        <f>'No Recurrentes 24-26'!CE28</f>
        <v>0</v>
      </c>
      <c r="AQ170" s="1062">
        <f>'No Recurrentes 24-26'!CF28</f>
        <v>0</v>
      </c>
      <c r="AR170" s="1062">
        <f>'No Recurrentes 24-26'!CG28</f>
        <v>0</v>
      </c>
      <c r="AS170" s="1062">
        <f>'No Recurrentes 24-26'!CH28</f>
        <v>0</v>
      </c>
      <c r="AT170" s="1068"/>
      <c r="AU170" s="1062">
        <f>'No Recurrentes 24-26'!CI28</f>
        <v>4</v>
      </c>
      <c r="AV170" s="1063">
        <f>'No Recurrentes 24-26'!CJ28</f>
        <v>14</v>
      </c>
      <c r="AW170" s="1068"/>
      <c r="AX170" s="1065">
        <f>'No Recurrentes 24-26'!CK28</f>
        <v>15</v>
      </c>
      <c r="AY170" s="1062">
        <f>'No Recurrentes 24-26'!CL28</f>
        <v>104.4</v>
      </c>
      <c r="AZ170" s="1068"/>
      <c r="BA170" s="1062">
        <f>'No Recurrentes 24-26'!CM28</f>
        <v>208.8</v>
      </c>
      <c r="BB170" s="1062">
        <f>'No Recurrentes 24-26'!CN28</f>
        <v>0</v>
      </c>
      <c r="BC170" s="1062">
        <f>'No Recurrentes 24-26'!CO28</f>
        <v>208.8</v>
      </c>
      <c r="BD170" s="1062">
        <f>'No Recurrentes 24-26'!CP28</f>
        <v>208.8</v>
      </c>
      <c r="BE170" s="1062">
        <f>'No Recurrentes 24-26'!CQ28</f>
        <v>104.4</v>
      </c>
      <c r="BF170" s="1062">
        <f>'No Recurrentes 24-26'!CR28</f>
        <v>104.4</v>
      </c>
      <c r="BG170" s="1062">
        <f>'No Recurrentes 24-26'!CS28</f>
        <v>0</v>
      </c>
      <c r="BH170" s="1062">
        <f>'No Recurrentes 24-26'!CT28</f>
        <v>0</v>
      </c>
      <c r="BI170" s="1062">
        <f>'No Recurrentes 24-26'!CU28</f>
        <v>0</v>
      </c>
      <c r="BJ170" s="1062">
        <f>'No Recurrentes 24-26'!CV28</f>
        <v>0</v>
      </c>
      <c r="BK170" s="1068"/>
      <c r="BL170" s="1062">
        <f>'No Recurrentes 24-26'!CW28</f>
        <v>835.2</v>
      </c>
      <c r="BM170" s="1062">
        <f>'No Recurrentes 24-26'!CX28</f>
        <v>0</v>
      </c>
      <c r="BN170" s="1062">
        <f>'No Recurrentes 24-26'!CY28</f>
        <v>0</v>
      </c>
      <c r="BO170" s="1062">
        <f>'No Recurrentes 24-26'!CZ28</f>
        <v>0</v>
      </c>
      <c r="BP170" s="1062">
        <f>'No Recurrentes 24-26'!DA28</f>
        <v>0</v>
      </c>
      <c r="BQ170" s="1062">
        <f>'No Recurrentes 24-26'!DB28</f>
        <v>0</v>
      </c>
      <c r="BR170" s="1062">
        <f>'No Recurrentes 24-26'!DC28</f>
        <v>0</v>
      </c>
      <c r="BS170" s="1062">
        <f>'No Recurrentes 24-26'!DD28</f>
        <v>0</v>
      </c>
      <c r="BT170" s="1062">
        <f>'No Recurrentes 24-26'!DE28</f>
        <v>0</v>
      </c>
      <c r="BU170" s="1062">
        <f>'No Recurrentes 24-26'!DF28</f>
        <v>0</v>
      </c>
      <c r="BV170" s="1062">
        <f>'No Recurrentes 24-26'!DG28</f>
        <v>208.8</v>
      </c>
      <c r="BW170" s="1068"/>
      <c r="BX170" s="1062">
        <f>'No Recurrentes 24-26'!DH28</f>
        <v>208.8</v>
      </c>
      <c r="BY170" s="1062">
        <f>'No Recurrentes 24-26'!DI28</f>
        <v>0</v>
      </c>
      <c r="BZ170" s="1062">
        <f>'No Recurrentes 24-26'!DJ28</f>
        <v>0</v>
      </c>
      <c r="CA170" s="1062">
        <f>'No Recurrentes 24-26'!DK28</f>
        <v>0</v>
      </c>
      <c r="CB170" s="1062">
        <f>'No Recurrentes 24-26'!DL28</f>
        <v>208.8</v>
      </c>
      <c r="CC170" s="1062">
        <f>'No Recurrentes 24-26'!DM28</f>
        <v>104.4</v>
      </c>
      <c r="CD170" s="1062">
        <f>'No Recurrentes 24-26'!DN28</f>
        <v>104.4</v>
      </c>
      <c r="CE170" s="1062">
        <f>'No Recurrentes 24-26'!DO28</f>
        <v>0</v>
      </c>
      <c r="CF170" s="1062">
        <f>'No Recurrentes 24-26'!DP28</f>
        <v>0</v>
      </c>
      <c r="CG170" s="1062">
        <f>'No Recurrentes 24-26'!DQ28</f>
        <v>0</v>
      </c>
      <c r="CH170" s="1062">
        <f>'No Recurrentes 24-26'!DR28</f>
        <v>0</v>
      </c>
      <c r="CI170" s="1068"/>
      <c r="CJ170" s="1062">
        <f>'No Recurrentes 24-26'!DS28</f>
        <v>417.6</v>
      </c>
      <c r="CK170" s="1062">
        <f>'No Recurrentes 24-26'!DT28</f>
        <v>1461.6</v>
      </c>
      <c r="CL170" s="1064" t="str">
        <f>'No Recurrentes 24-26'!DU28</f>
        <v/>
      </c>
      <c r="CM170" s="1064" t="str">
        <f>'No Recurrentes 24-26'!DV28</f>
        <v/>
      </c>
      <c r="CN170" s="1065">
        <f>'No Recurrentes 24-26'!EI28</f>
        <v>15</v>
      </c>
      <c r="CO170" s="1065">
        <f>'No Recurrentes 24-26'!EJ28</f>
        <v>12.75</v>
      </c>
      <c r="CP170" s="1060" t="str">
        <f>'No Recurrentes 24-26'!EK28</f>
        <v/>
      </c>
    </row>
    <row r="171">
      <c r="A171" s="451" t="str">
        <f>'No Recurrentes 24-26'!A29</f>
        <v>Repuestos Electromecánicos no recurrentes</v>
      </c>
      <c r="B171" s="451">
        <f>'No Recurrentes 24-26'!B29</f>
        <v>2</v>
      </c>
      <c r="C171" s="451" t="str">
        <f>'No Recurrentes 24-26'!C29</f>
        <v>Estación</v>
      </c>
      <c r="D171" s="451" t="str">
        <f>'No Recurrentes 24-26'!D29</f>
        <v>Lubricacion</v>
      </c>
      <c r="E171" s="451" t="str">
        <f>'No Recurrentes 24-26'!E29</f>
        <v>Repuesto Mecánico</v>
      </c>
      <c r="F171" s="451" t="str">
        <f>'No Recurrentes 24-26'!F29</f>
        <v>TDB</v>
      </c>
      <c r="G171" s="1025" t="str">
        <f>'No Recurrentes 24-26'!G29</f>
        <v>39800</v>
      </c>
      <c r="H171" s="1061" t="str">
        <f>'No Recurrentes 24-26'!H29</f>
        <v>1-01-00300</v>
      </c>
      <c r="I171" s="1061" t="str">
        <f>'No Recurrentes 24-26'!I29</f>
        <v>10895074</v>
      </c>
      <c r="J171" s="1061" t="str">
        <f>'No Recurrentes 24-26'!J29</f>
        <v>REDUCTOR PERMA M6                                    A 104837</v>
      </c>
      <c r="K171" s="451" t="str">
        <f>'No Recurrentes 24-26'!K29</f>
        <v>Pza</v>
      </c>
      <c r="L171" s="451">
        <f>'No Recurrentes 24-26'!BC29</f>
        <v>2</v>
      </c>
      <c r="M171" s="451" t="str">
        <f>'No Recurrentes 24-26'!BD29</f>
        <v/>
      </c>
      <c r="N171" s="451">
        <f>'No Recurrentes 24-26'!BE29</f>
        <v>2</v>
      </c>
      <c r="O171" s="451">
        <f>'No Recurrentes 24-26'!BF29</f>
        <v>3</v>
      </c>
      <c r="P171" s="451">
        <f>'No Recurrentes 24-26'!BG29</f>
        <v>1</v>
      </c>
      <c r="Q171" s="451">
        <f>'No Recurrentes 24-26'!BH29</f>
        <v>1</v>
      </c>
      <c r="R171" s="451" t="str">
        <f>'No Recurrentes 24-26'!BI29</f>
        <v/>
      </c>
      <c r="S171" s="451" t="str">
        <f>'No Recurrentes 24-26'!BJ29</f>
        <v/>
      </c>
      <c r="T171" s="451" t="str">
        <f>'No Recurrentes 24-26'!BK29</f>
        <v/>
      </c>
      <c r="U171" s="451" t="str">
        <f>'No Recurrentes 24-26'!BL29</f>
        <v/>
      </c>
      <c r="V171" s="1068"/>
      <c r="W171" s="1062">
        <f>'No Recurrentes 24-26'!BM29</f>
        <v>9</v>
      </c>
      <c r="X171" s="1062" t="str">
        <f>'No Recurrentes 24-26'!BN29</f>
        <v/>
      </c>
      <c r="Y171" s="1062" t="str">
        <f>'No Recurrentes 24-26'!BO29</f>
        <v/>
      </c>
      <c r="Z171" s="1062" t="str">
        <f>'No Recurrentes 24-26'!BP29</f>
        <v/>
      </c>
      <c r="AA171" s="1062" t="str">
        <f>'No Recurrentes 24-26'!BQ29</f>
        <v/>
      </c>
      <c r="AB171" s="1062" t="str">
        <f>'No Recurrentes 24-26'!BR29</f>
        <v/>
      </c>
      <c r="AC171" s="1062" t="str">
        <f>'No Recurrentes 24-26'!BS29</f>
        <v/>
      </c>
      <c r="AD171" s="1062" t="str">
        <f>'No Recurrentes 24-26'!BT29</f>
        <v/>
      </c>
      <c r="AE171" s="1062">
        <f>'No Recurrentes 24-26'!BU29</f>
        <v>2</v>
      </c>
      <c r="AF171" s="1062" t="str">
        <f>'No Recurrentes 24-26'!BV29</f>
        <v/>
      </c>
      <c r="AG171" s="1062">
        <f>'No Recurrentes 24-26'!BW29</f>
        <v>2</v>
      </c>
      <c r="AH171" s="1068"/>
      <c r="AI171" s="1062">
        <f>'No Recurrentes 24-26'!BX29</f>
        <v>4</v>
      </c>
      <c r="AJ171" s="1062">
        <f>'No Recurrentes 24-26'!BY29</f>
        <v>0</v>
      </c>
      <c r="AK171" s="1062">
        <f>'No Recurrentes 24-26'!BZ29</f>
        <v>0</v>
      </c>
      <c r="AL171" s="1062">
        <f>'No Recurrentes 24-26'!CA29</f>
        <v>0</v>
      </c>
      <c r="AM171" s="1062">
        <f>'No Recurrentes 24-26'!CB29</f>
        <v>3</v>
      </c>
      <c r="AN171" s="1062">
        <f>'No Recurrentes 24-26'!CC29</f>
        <v>1</v>
      </c>
      <c r="AO171" s="1062">
        <f>'No Recurrentes 24-26'!CD29</f>
        <v>1</v>
      </c>
      <c r="AP171" s="1062">
        <f>'No Recurrentes 24-26'!CE29</f>
        <v>0</v>
      </c>
      <c r="AQ171" s="1062">
        <f>'No Recurrentes 24-26'!CF29</f>
        <v>0</v>
      </c>
      <c r="AR171" s="1062">
        <f>'No Recurrentes 24-26'!CG29</f>
        <v>0</v>
      </c>
      <c r="AS171" s="1062">
        <f>'No Recurrentes 24-26'!CH29</f>
        <v>0</v>
      </c>
      <c r="AT171" s="1068"/>
      <c r="AU171" s="1062">
        <f>'No Recurrentes 24-26'!CI29</f>
        <v>5</v>
      </c>
      <c r="AV171" s="1063">
        <f>'No Recurrentes 24-26'!CJ29</f>
        <v>18</v>
      </c>
      <c r="AW171" s="1068"/>
      <c r="AX171" s="1065">
        <f>'No Recurrentes 24-26'!CK29</f>
        <v>10.69</v>
      </c>
      <c r="AY171" s="1062">
        <f>'No Recurrentes 24-26'!CL29</f>
        <v>74.4024</v>
      </c>
      <c r="AZ171" s="1068"/>
      <c r="BA171" s="1062">
        <f>'No Recurrentes 24-26'!CM29</f>
        <v>148.8048</v>
      </c>
      <c r="BB171" s="1062">
        <f>'No Recurrentes 24-26'!CN29</f>
        <v>0</v>
      </c>
      <c r="BC171" s="1062">
        <f>'No Recurrentes 24-26'!CO29</f>
        <v>148.8048</v>
      </c>
      <c r="BD171" s="1062">
        <f>'No Recurrentes 24-26'!CP29</f>
        <v>223.2072</v>
      </c>
      <c r="BE171" s="1062">
        <f>'No Recurrentes 24-26'!CQ29</f>
        <v>74.4024</v>
      </c>
      <c r="BF171" s="1062">
        <f>'No Recurrentes 24-26'!CR29</f>
        <v>74.4024</v>
      </c>
      <c r="BG171" s="1062">
        <f>'No Recurrentes 24-26'!CS29</f>
        <v>0</v>
      </c>
      <c r="BH171" s="1062">
        <f>'No Recurrentes 24-26'!CT29</f>
        <v>0</v>
      </c>
      <c r="BI171" s="1062">
        <f>'No Recurrentes 24-26'!CU29</f>
        <v>0</v>
      </c>
      <c r="BJ171" s="1062">
        <f>'No Recurrentes 24-26'!CV29</f>
        <v>0</v>
      </c>
      <c r="BK171" s="1068"/>
      <c r="BL171" s="1062">
        <f>'No Recurrentes 24-26'!CW29</f>
        <v>669.6216</v>
      </c>
      <c r="BM171" s="1062">
        <f>'No Recurrentes 24-26'!CX29</f>
        <v>0</v>
      </c>
      <c r="BN171" s="1062">
        <f>'No Recurrentes 24-26'!CY29</f>
        <v>0</v>
      </c>
      <c r="BO171" s="1062">
        <f>'No Recurrentes 24-26'!CZ29</f>
        <v>0</v>
      </c>
      <c r="BP171" s="1062">
        <f>'No Recurrentes 24-26'!DA29</f>
        <v>0</v>
      </c>
      <c r="BQ171" s="1062">
        <f>'No Recurrentes 24-26'!DB29</f>
        <v>0</v>
      </c>
      <c r="BR171" s="1062">
        <f>'No Recurrentes 24-26'!DC29</f>
        <v>0</v>
      </c>
      <c r="BS171" s="1062">
        <f>'No Recurrentes 24-26'!DD29</f>
        <v>0</v>
      </c>
      <c r="BT171" s="1062">
        <f>'No Recurrentes 24-26'!DE29</f>
        <v>148.8048</v>
      </c>
      <c r="BU171" s="1062">
        <f>'No Recurrentes 24-26'!DF29</f>
        <v>0</v>
      </c>
      <c r="BV171" s="1062">
        <f>'No Recurrentes 24-26'!DG29</f>
        <v>148.8048</v>
      </c>
      <c r="BW171" s="1068"/>
      <c r="BX171" s="1062">
        <f>'No Recurrentes 24-26'!DH29</f>
        <v>297.6096</v>
      </c>
      <c r="BY171" s="1062">
        <f>'No Recurrentes 24-26'!DI29</f>
        <v>0</v>
      </c>
      <c r="BZ171" s="1062">
        <f>'No Recurrentes 24-26'!DJ29</f>
        <v>0</v>
      </c>
      <c r="CA171" s="1062">
        <f>'No Recurrentes 24-26'!DK29</f>
        <v>0</v>
      </c>
      <c r="CB171" s="1062">
        <f>'No Recurrentes 24-26'!DL29</f>
        <v>223.2072</v>
      </c>
      <c r="CC171" s="1062">
        <f>'No Recurrentes 24-26'!DM29</f>
        <v>74.4024</v>
      </c>
      <c r="CD171" s="1062">
        <f>'No Recurrentes 24-26'!DN29</f>
        <v>74.4024</v>
      </c>
      <c r="CE171" s="1062">
        <f>'No Recurrentes 24-26'!DO29</f>
        <v>0</v>
      </c>
      <c r="CF171" s="1062">
        <f>'No Recurrentes 24-26'!DP29</f>
        <v>0</v>
      </c>
      <c r="CG171" s="1062">
        <f>'No Recurrentes 24-26'!DQ29</f>
        <v>0</v>
      </c>
      <c r="CH171" s="1062">
        <f>'No Recurrentes 24-26'!DR29</f>
        <v>0</v>
      </c>
      <c r="CI171" s="1068"/>
      <c r="CJ171" s="1062">
        <f>'No Recurrentes 24-26'!DS29</f>
        <v>372.012</v>
      </c>
      <c r="CK171" s="1062">
        <f>'No Recurrentes 24-26'!DT29</f>
        <v>1339.2432</v>
      </c>
      <c r="CL171" s="1064" t="str">
        <f>'No Recurrentes 24-26'!DU29</f>
        <v/>
      </c>
      <c r="CM171" s="1064" t="str">
        <f>'No Recurrentes 24-26'!DV29</f>
        <v/>
      </c>
      <c r="CN171" s="1065">
        <f>'No Recurrentes 24-26'!EI29</f>
        <v>10.69</v>
      </c>
      <c r="CO171" s="1065">
        <f>'No Recurrentes 24-26'!EJ29</f>
        <v>9.09</v>
      </c>
      <c r="CP171" s="1060" t="str">
        <f>'No Recurrentes 24-26'!EK29</f>
        <v/>
      </c>
    </row>
    <row r="172">
      <c r="A172" s="451" t="str">
        <f>'No Recurrentes 24-26'!A30</f>
        <v>Repuestos Electromecánicos no recurrentes</v>
      </c>
      <c r="B172" s="451">
        <f>'No Recurrentes 24-26'!B30</f>
        <v>2</v>
      </c>
      <c r="C172" s="451" t="str">
        <f>'No Recurrentes 24-26'!C30</f>
        <v>Estación</v>
      </c>
      <c r="D172" s="451" t="str">
        <f>'No Recurrentes 24-26'!D30</f>
        <v>Mantenimiento Cadenas Transportadoras</v>
      </c>
      <c r="E172" s="451" t="str">
        <f>'No Recurrentes 24-26'!E30</f>
        <v>Repuesto Mecánico</v>
      </c>
      <c r="F172" s="451" t="str">
        <f>'No Recurrentes 24-26'!F30</f>
        <v>TDB</v>
      </c>
      <c r="G172" s="1025" t="str">
        <f>'No Recurrentes 24-26'!G30</f>
        <v>39800</v>
      </c>
      <c r="H172" s="1061" t="str">
        <f>'No Recurrentes 24-26'!H30</f>
        <v/>
      </c>
      <c r="I172" s="1061" t="str">
        <f>'No Recurrentes 24-26'!I30</f>
        <v>10999021</v>
      </c>
      <c r="J172" s="1061" t="str">
        <f>'No Recurrentes 24-26'!J30</f>
        <v>RODILLO DE PLÁSTICO DIÁ. 80/ 17   B= 50</v>
      </c>
      <c r="K172" s="451" t="str">
        <f>'No Recurrentes 24-26'!K30</f>
        <v>Pza</v>
      </c>
      <c r="L172" s="451" t="str">
        <f>'No Recurrentes 24-26'!BC30</f>
        <v/>
      </c>
      <c r="M172" s="451" t="str">
        <f>'No Recurrentes 24-26'!BD30</f>
        <v/>
      </c>
      <c r="N172" s="451" t="str">
        <f>'No Recurrentes 24-26'!BE30</f>
        <v/>
      </c>
      <c r="O172" s="451" t="str">
        <f>'No Recurrentes 24-26'!BF30</f>
        <v/>
      </c>
      <c r="P172" s="451" t="str">
        <f>'No Recurrentes 24-26'!BG30</f>
        <v/>
      </c>
      <c r="Q172" s="451" t="str">
        <f>'No Recurrentes 24-26'!BH30</f>
        <v/>
      </c>
      <c r="R172" s="451" t="str">
        <f>'No Recurrentes 24-26'!BI30</f>
        <v/>
      </c>
      <c r="S172" s="451" t="str">
        <f>'No Recurrentes 24-26'!BJ30</f>
        <v/>
      </c>
      <c r="T172" s="451" t="str">
        <f>'No Recurrentes 24-26'!BK30</f>
        <v/>
      </c>
      <c r="U172" s="451" t="str">
        <f>'No Recurrentes 24-26'!BL30</f>
        <v/>
      </c>
      <c r="V172" s="1068"/>
      <c r="W172" s="1062">
        <f>'No Recurrentes 24-26'!BM30</f>
        <v>0</v>
      </c>
      <c r="X172" s="1062" t="str">
        <f>'No Recurrentes 24-26'!BN30</f>
        <v/>
      </c>
      <c r="Y172" s="1062" t="str">
        <f>'No Recurrentes 24-26'!BO30</f>
        <v/>
      </c>
      <c r="Z172" s="1062" t="str">
        <f>'No Recurrentes 24-26'!BP30</f>
        <v/>
      </c>
      <c r="AA172" s="1062" t="str">
        <f>'No Recurrentes 24-26'!BQ30</f>
        <v/>
      </c>
      <c r="AB172" s="1062" t="str">
        <f>'No Recurrentes 24-26'!BR30</f>
        <v/>
      </c>
      <c r="AC172" s="1062" t="str">
        <f>'No Recurrentes 24-26'!BS30</f>
        <v/>
      </c>
      <c r="AD172" s="1062" t="str">
        <f>'No Recurrentes 24-26'!BT30</f>
        <v/>
      </c>
      <c r="AE172" s="1062" t="str">
        <f>'No Recurrentes 24-26'!BU30</f>
        <v/>
      </c>
      <c r="AF172" s="1062" t="str">
        <f>'No Recurrentes 24-26'!BV30</f>
        <v/>
      </c>
      <c r="AG172" s="1062" t="str">
        <f>'No Recurrentes 24-26'!BW30</f>
        <v/>
      </c>
      <c r="AH172" s="1068"/>
      <c r="AI172" s="1062">
        <f>'No Recurrentes 24-26'!BX30</f>
        <v>0</v>
      </c>
      <c r="AJ172" s="1062">
        <f>'No Recurrentes 24-26'!BY30</f>
        <v>0</v>
      </c>
      <c r="AK172" s="1062">
        <f>'No Recurrentes 24-26'!BZ30</f>
        <v>0</v>
      </c>
      <c r="AL172" s="1062">
        <f>'No Recurrentes 24-26'!CA30</f>
        <v>0</v>
      </c>
      <c r="AM172" s="1062">
        <f>'No Recurrentes 24-26'!CB30</f>
        <v>0</v>
      </c>
      <c r="AN172" s="1062">
        <f>'No Recurrentes 24-26'!CC30</f>
        <v>0</v>
      </c>
      <c r="AO172" s="1062">
        <f>'No Recurrentes 24-26'!CD30</f>
        <v>0</v>
      </c>
      <c r="AP172" s="1062">
        <f>'No Recurrentes 24-26'!CE30</f>
        <v>0</v>
      </c>
      <c r="AQ172" s="1062">
        <f>'No Recurrentes 24-26'!CF30</f>
        <v>60</v>
      </c>
      <c r="AR172" s="1062">
        <f>'No Recurrentes 24-26'!CG30</f>
        <v>0</v>
      </c>
      <c r="AS172" s="1062">
        <f>'No Recurrentes 24-26'!CH30</f>
        <v>0</v>
      </c>
      <c r="AT172" s="1068"/>
      <c r="AU172" s="1062">
        <f>'No Recurrentes 24-26'!CI30</f>
        <v>60</v>
      </c>
      <c r="AV172" s="1063">
        <f>'No Recurrentes 24-26'!CJ30</f>
        <v>60</v>
      </c>
      <c r="AW172" s="1068"/>
      <c r="AX172" s="1065">
        <f>'No Recurrentes 24-26'!CK30</f>
        <v>23</v>
      </c>
      <c r="AY172" s="1062">
        <f>'No Recurrentes 24-26'!CL30</f>
        <v>160.08</v>
      </c>
      <c r="AZ172" s="1068"/>
      <c r="BA172" s="1062">
        <f>'No Recurrentes 24-26'!CM30</f>
        <v>0</v>
      </c>
      <c r="BB172" s="1062">
        <f>'No Recurrentes 24-26'!CN30</f>
        <v>0</v>
      </c>
      <c r="BC172" s="1062">
        <f>'No Recurrentes 24-26'!CO30</f>
        <v>0</v>
      </c>
      <c r="BD172" s="1062">
        <f>'No Recurrentes 24-26'!CP30</f>
        <v>0</v>
      </c>
      <c r="BE172" s="1062">
        <f>'No Recurrentes 24-26'!CQ30</f>
        <v>0</v>
      </c>
      <c r="BF172" s="1062">
        <f>'No Recurrentes 24-26'!CR30</f>
        <v>0</v>
      </c>
      <c r="BG172" s="1062">
        <f>'No Recurrentes 24-26'!CS30</f>
        <v>0</v>
      </c>
      <c r="BH172" s="1062">
        <f>'No Recurrentes 24-26'!CT30</f>
        <v>0</v>
      </c>
      <c r="BI172" s="1062">
        <f>'No Recurrentes 24-26'!CU30</f>
        <v>0</v>
      </c>
      <c r="BJ172" s="1062">
        <f>'No Recurrentes 24-26'!CV30</f>
        <v>0</v>
      </c>
      <c r="BK172" s="1068"/>
      <c r="BL172" s="1062">
        <f>'No Recurrentes 24-26'!CW30</f>
        <v>0</v>
      </c>
      <c r="BM172" s="1062">
        <f>'No Recurrentes 24-26'!CX30</f>
        <v>0</v>
      </c>
      <c r="BN172" s="1062">
        <f>'No Recurrentes 24-26'!CY30</f>
        <v>0</v>
      </c>
      <c r="BO172" s="1062">
        <f>'No Recurrentes 24-26'!CZ30</f>
        <v>0</v>
      </c>
      <c r="BP172" s="1062">
        <f>'No Recurrentes 24-26'!DA30</f>
        <v>0</v>
      </c>
      <c r="BQ172" s="1062">
        <f>'No Recurrentes 24-26'!DB30</f>
        <v>0</v>
      </c>
      <c r="BR172" s="1062">
        <f>'No Recurrentes 24-26'!DC30</f>
        <v>0</v>
      </c>
      <c r="BS172" s="1062">
        <f>'No Recurrentes 24-26'!DD30</f>
        <v>0</v>
      </c>
      <c r="BT172" s="1062">
        <f>'No Recurrentes 24-26'!DE30</f>
        <v>0</v>
      </c>
      <c r="BU172" s="1062">
        <f>'No Recurrentes 24-26'!DF30</f>
        <v>0</v>
      </c>
      <c r="BV172" s="1062">
        <f>'No Recurrentes 24-26'!DG30</f>
        <v>0</v>
      </c>
      <c r="BW172" s="1068"/>
      <c r="BX172" s="1062">
        <f>'No Recurrentes 24-26'!DH30</f>
        <v>0</v>
      </c>
      <c r="BY172" s="1062">
        <f>'No Recurrentes 24-26'!DI30</f>
        <v>0</v>
      </c>
      <c r="BZ172" s="1062">
        <f>'No Recurrentes 24-26'!DJ30</f>
        <v>0</v>
      </c>
      <c r="CA172" s="1062">
        <f>'No Recurrentes 24-26'!DK30</f>
        <v>0</v>
      </c>
      <c r="CB172" s="1062">
        <f>'No Recurrentes 24-26'!DL30</f>
        <v>0</v>
      </c>
      <c r="CC172" s="1062">
        <f>'No Recurrentes 24-26'!DM30</f>
        <v>0</v>
      </c>
      <c r="CD172" s="1062">
        <f>'No Recurrentes 24-26'!DN30</f>
        <v>0</v>
      </c>
      <c r="CE172" s="1062">
        <f>'No Recurrentes 24-26'!DO30</f>
        <v>0</v>
      </c>
      <c r="CF172" s="1062">
        <f>'No Recurrentes 24-26'!DP30</f>
        <v>9604.8</v>
      </c>
      <c r="CG172" s="1062">
        <f>'No Recurrentes 24-26'!DQ30</f>
        <v>0</v>
      </c>
      <c r="CH172" s="1062">
        <f>'No Recurrentes 24-26'!DR30</f>
        <v>0</v>
      </c>
      <c r="CI172" s="1068"/>
      <c r="CJ172" s="1062">
        <f>'No Recurrentes 24-26'!DS30</f>
        <v>9604.8</v>
      </c>
      <c r="CK172" s="1062">
        <f>'No Recurrentes 24-26'!DT30</f>
        <v>9604.8</v>
      </c>
      <c r="CL172" s="1064" t="str">
        <f>'No Recurrentes 24-26'!DU30</f>
        <v/>
      </c>
      <c r="CM172" s="1064" t="str">
        <f>'No Recurrentes 24-26'!DV30</f>
        <v/>
      </c>
      <c r="CN172" s="1065">
        <f>'No Recurrentes 24-26'!EI30</f>
        <v>23</v>
      </c>
      <c r="CO172" s="1065">
        <f>'No Recurrentes 24-26'!EJ30</f>
        <v>19.55</v>
      </c>
      <c r="CP172" s="1060" t="str">
        <f>'No Recurrentes 24-26'!EK30</f>
        <v/>
      </c>
    </row>
    <row r="173">
      <c r="A173" s="451" t="str">
        <f>'No Recurrentes 24-26'!A31</f>
        <v>Repuestos Electromecánicos no recurrentes</v>
      </c>
      <c r="B173" s="451">
        <f>'No Recurrentes 24-26'!B31</f>
        <v>2</v>
      </c>
      <c r="C173" s="451" t="str">
        <f>'No Recurrentes 24-26'!C31</f>
        <v>Estación</v>
      </c>
      <c r="D173" s="451" t="str">
        <f>'No Recurrentes 24-26'!D31</f>
        <v>Mantenimiento Cadenas Transportadoras</v>
      </c>
      <c r="E173" s="451" t="str">
        <f>'No Recurrentes 24-26'!E31</f>
        <v>Repuesto Mecánico</v>
      </c>
      <c r="F173" s="451" t="str">
        <f>'No Recurrentes 24-26'!F31</f>
        <v>TDB</v>
      </c>
      <c r="G173" s="1025" t="str">
        <f>'No Recurrentes 24-26'!G31</f>
        <v>39800</v>
      </c>
      <c r="H173" s="1061" t="str">
        <f>'No Recurrentes 24-26'!H31</f>
        <v/>
      </c>
      <c r="I173" s="1061" t="str">
        <f>'No Recurrentes 24-26'!I31</f>
        <v>10942167</v>
      </c>
      <c r="J173" s="1061" t="str">
        <f>'No Recurrentes 24-26'!J31</f>
        <v>ACHSE   DM 14.8 LG  80                                    GVZ</v>
      </c>
      <c r="K173" s="451" t="str">
        <f>'No Recurrentes 24-26'!K31</f>
        <v>Pza</v>
      </c>
      <c r="L173" s="451" t="str">
        <f>'No Recurrentes 24-26'!BC31</f>
        <v/>
      </c>
      <c r="M173" s="451" t="str">
        <f>'No Recurrentes 24-26'!BD31</f>
        <v/>
      </c>
      <c r="N173" s="451" t="str">
        <f>'No Recurrentes 24-26'!BE31</f>
        <v/>
      </c>
      <c r="O173" s="451" t="str">
        <f>'No Recurrentes 24-26'!BF31</f>
        <v/>
      </c>
      <c r="P173" s="451" t="str">
        <f>'No Recurrentes 24-26'!BG31</f>
        <v/>
      </c>
      <c r="Q173" s="451" t="str">
        <f>'No Recurrentes 24-26'!BH31</f>
        <v/>
      </c>
      <c r="R173" s="451" t="str">
        <f>'No Recurrentes 24-26'!BI31</f>
        <v/>
      </c>
      <c r="S173" s="451" t="str">
        <f>'No Recurrentes 24-26'!BJ31</f>
        <v/>
      </c>
      <c r="T173" s="451" t="str">
        <f>'No Recurrentes 24-26'!BK31</f>
        <v/>
      </c>
      <c r="U173" s="451" t="str">
        <f>'No Recurrentes 24-26'!BL31</f>
        <v/>
      </c>
      <c r="V173" s="1068"/>
      <c r="W173" s="1062">
        <f>'No Recurrentes 24-26'!BM31</f>
        <v>0</v>
      </c>
      <c r="X173" s="1062" t="str">
        <f>'No Recurrentes 24-26'!BN31</f>
        <v/>
      </c>
      <c r="Y173" s="1062" t="str">
        <f>'No Recurrentes 24-26'!BO31</f>
        <v/>
      </c>
      <c r="Z173" s="1062" t="str">
        <f>'No Recurrentes 24-26'!BP31</f>
        <v/>
      </c>
      <c r="AA173" s="1062" t="str">
        <f>'No Recurrentes 24-26'!BQ31</f>
        <v/>
      </c>
      <c r="AB173" s="1062" t="str">
        <f>'No Recurrentes 24-26'!BR31</f>
        <v/>
      </c>
      <c r="AC173" s="1062" t="str">
        <f>'No Recurrentes 24-26'!BS31</f>
        <v/>
      </c>
      <c r="AD173" s="1062" t="str">
        <f>'No Recurrentes 24-26'!BT31</f>
        <v/>
      </c>
      <c r="AE173" s="1062">
        <f>'No Recurrentes 24-26'!BU31</f>
        <v>50</v>
      </c>
      <c r="AF173" s="1062" t="str">
        <f>'No Recurrentes 24-26'!BV31</f>
        <v/>
      </c>
      <c r="AG173" s="1062" t="str">
        <f>'No Recurrentes 24-26'!BW31</f>
        <v/>
      </c>
      <c r="AH173" s="1068"/>
      <c r="AI173" s="1062">
        <f>'No Recurrentes 24-26'!BX31</f>
        <v>50</v>
      </c>
      <c r="AJ173" s="1062">
        <f>'No Recurrentes 24-26'!BY31</f>
        <v>0</v>
      </c>
      <c r="AK173" s="1062">
        <f>'No Recurrentes 24-26'!BZ31</f>
        <v>0</v>
      </c>
      <c r="AL173" s="1062">
        <f>'No Recurrentes 24-26'!CA31</f>
        <v>0</v>
      </c>
      <c r="AM173" s="1062">
        <f>'No Recurrentes 24-26'!CB31</f>
        <v>0</v>
      </c>
      <c r="AN173" s="1062">
        <f>'No Recurrentes 24-26'!CC31</f>
        <v>0</v>
      </c>
      <c r="AO173" s="1062">
        <f>'No Recurrentes 24-26'!CD31</f>
        <v>0</v>
      </c>
      <c r="AP173" s="1062">
        <f>'No Recurrentes 24-26'!CE31</f>
        <v>0</v>
      </c>
      <c r="AQ173" s="1062">
        <f>'No Recurrentes 24-26'!CF31</f>
        <v>50</v>
      </c>
      <c r="AR173" s="1062">
        <f>'No Recurrentes 24-26'!CG31</f>
        <v>0</v>
      </c>
      <c r="AS173" s="1062">
        <f>'No Recurrentes 24-26'!CH31</f>
        <v>0</v>
      </c>
      <c r="AT173" s="1068"/>
      <c r="AU173" s="1062">
        <f>'No Recurrentes 24-26'!CI31</f>
        <v>50</v>
      </c>
      <c r="AV173" s="1063">
        <f>'No Recurrentes 24-26'!CJ31</f>
        <v>100</v>
      </c>
      <c r="AW173" s="1068"/>
      <c r="AX173" s="1065">
        <f>'No Recurrentes 24-26'!CK31</f>
        <v>57.11</v>
      </c>
      <c r="AY173" s="1062">
        <f>'No Recurrentes 24-26'!CL31</f>
        <v>397.4856</v>
      </c>
      <c r="AZ173" s="1068"/>
      <c r="BA173" s="1062">
        <f>'No Recurrentes 24-26'!CM31</f>
        <v>0</v>
      </c>
      <c r="BB173" s="1062">
        <f>'No Recurrentes 24-26'!CN31</f>
        <v>0</v>
      </c>
      <c r="BC173" s="1062">
        <f>'No Recurrentes 24-26'!CO31</f>
        <v>0</v>
      </c>
      <c r="BD173" s="1062">
        <f>'No Recurrentes 24-26'!CP31</f>
        <v>0</v>
      </c>
      <c r="BE173" s="1062">
        <f>'No Recurrentes 24-26'!CQ31</f>
        <v>0</v>
      </c>
      <c r="BF173" s="1062">
        <f>'No Recurrentes 24-26'!CR31</f>
        <v>0</v>
      </c>
      <c r="BG173" s="1062">
        <f>'No Recurrentes 24-26'!CS31</f>
        <v>0</v>
      </c>
      <c r="BH173" s="1062">
        <f>'No Recurrentes 24-26'!CT31</f>
        <v>0</v>
      </c>
      <c r="BI173" s="1062">
        <f>'No Recurrentes 24-26'!CU31</f>
        <v>0</v>
      </c>
      <c r="BJ173" s="1062">
        <f>'No Recurrentes 24-26'!CV31</f>
        <v>0</v>
      </c>
      <c r="BK173" s="1068"/>
      <c r="BL173" s="1062">
        <f>'No Recurrentes 24-26'!CW31</f>
        <v>0</v>
      </c>
      <c r="BM173" s="1062">
        <f>'No Recurrentes 24-26'!CX31</f>
        <v>0</v>
      </c>
      <c r="BN173" s="1062">
        <f>'No Recurrentes 24-26'!CY31</f>
        <v>0</v>
      </c>
      <c r="BO173" s="1062">
        <f>'No Recurrentes 24-26'!CZ31</f>
        <v>0</v>
      </c>
      <c r="BP173" s="1062">
        <f>'No Recurrentes 24-26'!DA31</f>
        <v>0</v>
      </c>
      <c r="BQ173" s="1062">
        <f>'No Recurrentes 24-26'!DB31</f>
        <v>0</v>
      </c>
      <c r="BR173" s="1062">
        <f>'No Recurrentes 24-26'!DC31</f>
        <v>0</v>
      </c>
      <c r="BS173" s="1062">
        <f>'No Recurrentes 24-26'!DD31</f>
        <v>0</v>
      </c>
      <c r="BT173" s="1062">
        <f>'No Recurrentes 24-26'!DE31</f>
        <v>19874.28</v>
      </c>
      <c r="BU173" s="1062">
        <f>'No Recurrentes 24-26'!DF31</f>
        <v>0</v>
      </c>
      <c r="BV173" s="1062">
        <f>'No Recurrentes 24-26'!DG31</f>
        <v>0</v>
      </c>
      <c r="BW173" s="1068"/>
      <c r="BX173" s="1062">
        <f>'No Recurrentes 24-26'!DH31</f>
        <v>19874.28</v>
      </c>
      <c r="BY173" s="1062">
        <f>'No Recurrentes 24-26'!DI31</f>
        <v>0</v>
      </c>
      <c r="BZ173" s="1062">
        <f>'No Recurrentes 24-26'!DJ31</f>
        <v>0</v>
      </c>
      <c r="CA173" s="1062">
        <f>'No Recurrentes 24-26'!DK31</f>
        <v>0</v>
      </c>
      <c r="CB173" s="1062">
        <f>'No Recurrentes 24-26'!DL31</f>
        <v>0</v>
      </c>
      <c r="CC173" s="1062">
        <f>'No Recurrentes 24-26'!DM31</f>
        <v>0</v>
      </c>
      <c r="CD173" s="1062">
        <f>'No Recurrentes 24-26'!DN31</f>
        <v>0</v>
      </c>
      <c r="CE173" s="1062">
        <f>'No Recurrentes 24-26'!DO31</f>
        <v>0</v>
      </c>
      <c r="CF173" s="1062">
        <f>'No Recurrentes 24-26'!DP31</f>
        <v>19874.28</v>
      </c>
      <c r="CG173" s="1062">
        <f>'No Recurrentes 24-26'!DQ31</f>
        <v>0</v>
      </c>
      <c r="CH173" s="1062">
        <f>'No Recurrentes 24-26'!DR31</f>
        <v>0</v>
      </c>
      <c r="CI173" s="1068"/>
      <c r="CJ173" s="1062">
        <f>'No Recurrentes 24-26'!DS31</f>
        <v>19874.28</v>
      </c>
      <c r="CK173" s="1062">
        <f>'No Recurrentes 24-26'!DT31</f>
        <v>39748.56</v>
      </c>
      <c r="CL173" s="1064" t="str">
        <f>'No Recurrentes 24-26'!DU31</f>
        <v/>
      </c>
      <c r="CM173" s="1064" t="str">
        <f>'No Recurrentes 24-26'!DV31</f>
        <v/>
      </c>
      <c r="CN173" s="1065">
        <f>'No Recurrentes 24-26'!EI31</f>
        <v>57.11</v>
      </c>
      <c r="CO173" s="1065">
        <f>'No Recurrentes 24-26'!EJ31</f>
        <v>48.54</v>
      </c>
      <c r="CP173" s="1060" t="str">
        <f>'No Recurrentes 24-26'!EK31</f>
        <v/>
      </c>
    </row>
    <row r="174">
      <c r="A174" s="451" t="str">
        <f>'No Recurrentes 24-26'!A32</f>
        <v>Repuestos Electromecánicos no recurrentes</v>
      </c>
      <c r="B174" s="451">
        <f>'No Recurrentes 24-26'!B32</f>
        <v>2</v>
      </c>
      <c r="C174" s="451" t="str">
        <f>'No Recurrentes 24-26'!C32</f>
        <v>Estación</v>
      </c>
      <c r="D174" s="451" t="str">
        <f>'No Recurrentes 24-26'!D32</f>
        <v>Mantenimiento Cadenas Transportadoras</v>
      </c>
      <c r="E174" s="451" t="str">
        <f>'No Recurrentes 24-26'!E32</f>
        <v>Repuesto Mecánico</v>
      </c>
      <c r="F174" s="451" t="str">
        <f>'No Recurrentes 24-26'!F32</f>
        <v>TDB</v>
      </c>
      <c r="G174" s="1025" t="str">
        <f>'No Recurrentes 24-26'!G32</f>
        <v>39800</v>
      </c>
      <c r="H174" s="1061" t="str">
        <f>'No Recurrentes 24-26'!H32</f>
        <v>2-01-00103</v>
      </c>
      <c r="I174" s="1061" t="str">
        <f>'No Recurrentes 24-26'!I32</f>
        <v>10589800</v>
      </c>
      <c r="J174" s="1061" t="str">
        <f>'No Recurrentes 24-26'!J32</f>
        <v>POLEA DIÁ.47/12,0  B=20,0 PARA CADENA TRANSPORTADORA 4"</v>
      </c>
      <c r="K174" s="451" t="str">
        <f>'No Recurrentes 24-26'!K32</f>
        <v>Pza</v>
      </c>
      <c r="L174" s="451" t="str">
        <f>'No Recurrentes 24-26'!BC32</f>
        <v/>
      </c>
      <c r="M174" s="451" t="str">
        <f>'No Recurrentes 24-26'!BD32</f>
        <v/>
      </c>
      <c r="N174" s="451" t="str">
        <f>'No Recurrentes 24-26'!BE32</f>
        <v/>
      </c>
      <c r="O174" s="451" t="str">
        <f>'No Recurrentes 24-26'!BF32</f>
        <v/>
      </c>
      <c r="P174" s="451" t="str">
        <f>'No Recurrentes 24-26'!BG32</f>
        <v/>
      </c>
      <c r="Q174" s="451" t="str">
        <f>'No Recurrentes 24-26'!BH32</f>
        <v/>
      </c>
      <c r="R174" s="451" t="str">
        <f>'No Recurrentes 24-26'!BI32</f>
        <v/>
      </c>
      <c r="S174" s="451" t="str">
        <f>'No Recurrentes 24-26'!BJ32</f>
        <v/>
      </c>
      <c r="T174" s="451" t="str">
        <f>'No Recurrentes 24-26'!BK32</f>
        <v/>
      </c>
      <c r="U174" s="451" t="str">
        <f>'No Recurrentes 24-26'!BL32</f>
        <v/>
      </c>
      <c r="V174" s="1068"/>
      <c r="W174" s="1062">
        <f>'No Recurrentes 24-26'!BM32</f>
        <v>0</v>
      </c>
      <c r="X174" s="1062" t="str">
        <f>'No Recurrentes 24-26'!BN32</f>
        <v/>
      </c>
      <c r="Y174" s="1062" t="str">
        <f>'No Recurrentes 24-26'!BO32</f>
        <v/>
      </c>
      <c r="Z174" s="1062">
        <f>'No Recurrentes 24-26'!BP32</f>
        <v>60</v>
      </c>
      <c r="AA174" s="1062" t="str">
        <f>'No Recurrentes 24-26'!BQ32</f>
        <v/>
      </c>
      <c r="AB174" s="1062" t="str">
        <f>'No Recurrentes 24-26'!BR32</f>
        <v/>
      </c>
      <c r="AC174" s="1062" t="str">
        <f>'No Recurrentes 24-26'!BS32</f>
        <v/>
      </c>
      <c r="AD174" s="1062">
        <f>'No Recurrentes 24-26'!BT32</f>
        <v>4</v>
      </c>
      <c r="AE174" s="1062">
        <f>'No Recurrentes 24-26'!BU32</f>
        <v>4</v>
      </c>
      <c r="AF174" s="1062" t="str">
        <f>'No Recurrentes 24-26'!BV32</f>
        <v/>
      </c>
      <c r="AG174" s="1062">
        <f>'No Recurrentes 24-26'!BW32</f>
        <v>4</v>
      </c>
      <c r="AH174" s="1068"/>
      <c r="AI174" s="1062">
        <f>'No Recurrentes 24-26'!BX32</f>
        <v>72</v>
      </c>
      <c r="AJ174" s="1062">
        <f>'No Recurrentes 24-26'!BY32</f>
        <v>0</v>
      </c>
      <c r="AK174" s="1062">
        <f>'No Recurrentes 24-26'!BZ32</f>
        <v>0</v>
      </c>
      <c r="AL174" s="1062">
        <f>'No Recurrentes 24-26'!CA32</f>
        <v>0</v>
      </c>
      <c r="AM174" s="1062">
        <f>'No Recurrentes 24-26'!CB32</f>
        <v>0</v>
      </c>
      <c r="AN174" s="1062">
        <f>'No Recurrentes 24-26'!CC32</f>
        <v>20</v>
      </c>
      <c r="AO174" s="1062">
        <f>'No Recurrentes 24-26'!CD32</f>
        <v>0</v>
      </c>
      <c r="AP174" s="1062" t="str">
        <f>'No Recurrentes 24-26'!CE32</f>
        <v/>
      </c>
      <c r="AQ174" s="1062" t="str">
        <f>'No Recurrentes 24-26'!CF32</f>
        <v/>
      </c>
      <c r="AR174" s="1062" t="str">
        <f>'No Recurrentes 24-26'!CG32</f>
        <v/>
      </c>
      <c r="AS174" s="1062" t="str">
        <f>'No Recurrentes 24-26'!CH32</f>
        <v/>
      </c>
      <c r="AT174" s="1068"/>
      <c r="AU174" s="1062">
        <f>'No Recurrentes 24-26'!CI32</f>
        <v>20</v>
      </c>
      <c r="AV174" s="1063">
        <f>'No Recurrentes 24-26'!CJ32</f>
        <v>92</v>
      </c>
      <c r="AW174" s="1068"/>
      <c r="AX174" s="1065">
        <f>'No Recurrentes 24-26'!CK32</f>
        <v>27.03</v>
      </c>
      <c r="AY174" s="1062">
        <f>'No Recurrentes 24-26'!CL32</f>
        <v>188.1288</v>
      </c>
      <c r="AZ174" s="1068"/>
      <c r="BA174" s="1062">
        <f>'No Recurrentes 24-26'!CM32</f>
        <v>0</v>
      </c>
      <c r="BB174" s="1062">
        <f>'No Recurrentes 24-26'!CN32</f>
        <v>0</v>
      </c>
      <c r="BC174" s="1062">
        <f>'No Recurrentes 24-26'!CO32</f>
        <v>0</v>
      </c>
      <c r="BD174" s="1062">
        <f>'No Recurrentes 24-26'!CP32</f>
        <v>0</v>
      </c>
      <c r="BE174" s="1062">
        <f>'No Recurrentes 24-26'!CQ32</f>
        <v>0</v>
      </c>
      <c r="BF174" s="1062">
        <f>'No Recurrentes 24-26'!CR32</f>
        <v>0</v>
      </c>
      <c r="BG174" s="1062">
        <f>'No Recurrentes 24-26'!CS32</f>
        <v>0</v>
      </c>
      <c r="BH174" s="1062">
        <f>'No Recurrentes 24-26'!CT32</f>
        <v>0</v>
      </c>
      <c r="BI174" s="1062">
        <f>'No Recurrentes 24-26'!CU32</f>
        <v>0</v>
      </c>
      <c r="BJ174" s="1062">
        <f>'No Recurrentes 24-26'!CV32</f>
        <v>0</v>
      </c>
      <c r="BK174" s="1068"/>
      <c r="BL174" s="1062">
        <f>'No Recurrentes 24-26'!CW32</f>
        <v>0</v>
      </c>
      <c r="BM174" s="1062">
        <f>'No Recurrentes 24-26'!CX32</f>
        <v>0</v>
      </c>
      <c r="BN174" s="1062">
        <f>'No Recurrentes 24-26'!CY32</f>
        <v>0</v>
      </c>
      <c r="BO174" s="1062">
        <f>'No Recurrentes 24-26'!CZ32</f>
        <v>11287.728</v>
      </c>
      <c r="BP174" s="1062">
        <f>'No Recurrentes 24-26'!DA32</f>
        <v>0</v>
      </c>
      <c r="BQ174" s="1062">
        <f>'No Recurrentes 24-26'!DB32</f>
        <v>0</v>
      </c>
      <c r="BR174" s="1062">
        <f>'No Recurrentes 24-26'!DC32</f>
        <v>0</v>
      </c>
      <c r="BS174" s="1062">
        <f>'No Recurrentes 24-26'!DD32</f>
        <v>752.5152</v>
      </c>
      <c r="BT174" s="1062">
        <f>'No Recurrentes 24-26'!DE32</f>
        <v>752.5152</v>
      </c>
      <c r="BU174" s="1062">
        <f>'No Recurrentes 24-26'!DF32</f>
        <v>0</v>
      </c>
      <c r="BV174" s="1062">
        <f>'No Recurrentes 24-26'!DG32</f>
        <v>752.5152</v>
      </c>
      <c r="BW174" s="1068"/>
      <c r="BX174" s="1062">
        <f>'No Recurrentes 24-26'!DH32</f>
        <v>13545.2736</v>
      </c>
      <c r="BY174" s="1062">
        <f>'No Recurrentes 24-26'!DI32</f>
        <v>0</v>
      </c>
      <c r="BZ174" s="1062">
        <f>'No Recurrentes 24-26'!DJ32</f>
        <v>0</v>
      </c>
      <c r="CA174" s="1062">
        <f>'No Recurrentes 24-26'!DK32</f>
        <v>0</v>
      </c>
      <c r="CB174" s="1062">
        <f>'No Recurrentes 24-26'!DL32</f>
        <v>0</v>
      </c>
      <c r="CC174" s="1062">
        <f>'No Recurrentes 24-26'!DM32</f>
        <v>3762.576</v>
      </c>
      <c r="CD174" s="1062">
        <f>'No Recurrentes 24-26'!DN32</f>
        <v>0</v>
      </c>
      <c r="CE174" s="1062">
        <f>'No Recurrentes 24-26'!DO32</f>
        <v>0</v>
      </c>
      <c r="CF174" s="1062">
        <f>'No Recurrentes 24-26'!DP32</f>
        <v>0</v>
      </c>
      <c r="CG174" s="1062">
        <f>'No Recurrentes 24-26'!DQ32</f>
        <v>0</v>
      </c>
      <c r="CH174" s="1062">
        <f>'No Recurrentes 24-26'!DR32</f>
        <v>0</v>
      </c>
      <c r="CI174" s="1068"/>
      <c r="CJ174" s="1062">
        <f>'No Recurrentes 24-26'!DS32</f>
        <v>3762.576</v>
      </c>
      <c r="CK174" s="1062">
        <f>'No Recurrentes 24-26'!DT32</f>
        <v>17307.8496</v>
      </c>
      <c r="CL174" s="1064" t="str">
        <f>'No Recurrentes 24-26'!DU32</f>
        <v/>
      </c>
      <c r="CM174" s="1064" t="str">
        <f>'No Recurrentes 24-26'!DV32</f>
        <v/>
      </c>
      <c r="CN174" s="1065">
        <f>'No Recurrentes 24-26'!EI32</f>
        <v>27.03</v>
      </c>
      <c r="CO174" s="1065">
        <f>'No Recurrentes 24-26'!EJ32</f>
        <v>22.98</v>
      </c>
      <c r="CP174" s="1060" t="str">
        <f>'No Recurrentes 24-26'!EK32</f>
        <v/>
      </c>
    </row>
    <row r="175">
      <c r="A175" s="451" t="str">
        <f>'No Recurrentes 24-26'!A33</f>
        <v>Repuestos Electromecánicos no recurrentes</v>
      </c>
      <c r="B175" s="451">
        <f>'No Recurrentes 24-26'!B33</f>
        <v>2</v>
      </c>
      <c r="C175" s="451" t="str">
        <f>'No Recurrentes 24-26'!C33</f>
        <v>Estación</v>
      </c>
      <c r="D175" s="451" t="str">
        <f>'No Recurrentes 24-26'!D33</f>
        <v>Mantenimiento Cadenas Transportadoras</v>
      </c>
      <c r="E175" s="451" t="str">
        <f>'No Recurrentes 24-26'!E33</f>
        <v>Repuesto Mecánico</v>
      </c>
      <c r="F175" s="451" t="str">
        <f>'No Recurrentes 24-26'!F33</f>
        <v>TDB</v>
      </c>
      <c r="G175" s="1025" t="str">
        <f>'No Recurrentes 24-26'!G33</f>
        <v>39800</v>
      </c>
      <c r="H175" s="1061" t="str">
        <f>'No Recurrentes 24-26'!H33</f>
        <v>2-01-00104</v>
      </c>
      <c r="I175" s="1061" t="str">
        <f>'No Recurrentes 24-26'!I33</f>
        <v>10014917</v>
      </c>
      <c r="J175" s="1061" t="str">
        <f>'No Recurrentes 24-26'!J33</f>
        <v>POLEA DIA. 30/ 6,2  A= 20,0    PARA CADENA TRANSPORTADORA</v>
      </c>
      <c r="K175" s="451" t="str">
        <f>'No Recurrentes 24-26'!K33</f>
        <v>Pza</v>
      </c>
      <c r="L175" s="451" t="str">
        <f>'No Recurrentes 24-26'!BC33</f>
        <v/>
      </c>
      <c r="M175" s="451" t="str">
        <f>'No Recurrentes 24-26'!BD33</f>
        <v/>
      </c>
      <c r="N175" s="451" t="str">
        <f>'No Recurrentes 24-26'!BE33</f>
        <v/>
      </c>
      <c r="O175" s="451" t="str">
        <f>'No Recurrentes 24-26'!BF33</f>
        <v/>
      </c>
      <c r="P175" s="451" t="str">
        <f>'No Recurrentes 24-26'!BG33</f>
        <v/>
      </c>
      <c r="Q175" s="451" t="str">
        <f>'No Recurrentes 24-26'!BH33</f>
        <v/>
      </c>
      <c r="R175" s="451" t="str">
        <f>'No Recurrentes 24-26'!BI33</f>
        <v/>
      </c>
      <c r="S175" s="451" t="str">
        <f>'No Recurrentes 24-26'!BJ33</f>
        <v/>
      </c>
      <c r="T175" s="451" t="str">
        <f>'No Recurrentes 24-26'!BK33</f>
        <v/>
      </c>
      <c r="U175" s="451" t="str">
        <f>'No Recurrentes 24-26'!BL33</f>
        <v/>
      </c>
      <c r="V175" s="1068"/>
      <c r="W175" s="1062">
        <f>'No Recurrentes 24-26'!BM33</f>
        <v>0</v>
      </c>
      <c r="X175" s="1062" t="str">
        <f>'No Recurrentes 24-26'!BN33</f>
        <v/>
      </c>
      <c r="Y175" s="1062" t="str">
        <f>'No Recurrentes 24-26'!BO33</f>
        <v/>
      </c>
      <c r="Z175" s="1062">
        <f>'No Recurrentes 24-26'!BP33</f>
        <v>250</v>
      </c>
      <c r="AA175" s="1062" t="str">
        <f>'No Recurrentes 24-26'!BQ33</f>
        <v/>
      </c>
      <c r="AB175" s="1062" t="str">
        <f>'No Recurrentes 24-26'!BR33</f>
        <v/>
      </c>
      <c r="AC175" s="1062" t="str">
        <f>'No Recurrentes 24-26'!BS33</f>
        <v/>
      </c>
      <c r="AD175" s="1062">
        <f>'No Recurrentes 24-26'!BT33</f>
        <v>4</v>
      </c>
      <c r="AE175" s="1062">
        <f>'No Recurrentes 24-26'!BU33</f>
        <v>90</v>
      </c>
      <c r="AF175" s="1062" t="str">
        <f>'No Recurrentes 24-26'!BV33</f>
        <v/>
      </c>
      <c r="AG175" s="1062" t="str">
        <f>'No Recurrentes 24-26'!BW33</f>
        <v/>
      </c>
      <c r="AH175" s="1068"/>
      <c r="AI175" s="1062">
        <f>'No Recurrentes 24-26'!BX33</f>
        <v>344</v>
      </c>
      <c r="AJ175" s="1062">
        <f>'No Recurrentes 24-26'!BY33</f>
        <v>0</v>
      </c>
      <c r="AK175" s="1062">
        <f>'No Recurrentes 24-26'!BZ33</f>
        <v>0</v>
      </c>
      <c r="AL175" s="1062">
        <f>'No Recurrentes 24-26'!CA33</f>
        <v>0</v>
      </c>
      <c r="AM175" s="1062">
        <f>'No Recurrentes 24-26'!CB33</f>
        <v>280</v>
      </c>
      <c r="AN175" s="1062">
        <f>'No Recurrentes 24-26'!CC33</f>
        <v>220</v>
      </c>
      <c r="AO175" s="1062">
        <f>'No Recurrentes 24-26'!CD33</f>
        <v>250</v>
      </c>
      <c r="AP175" s="1062" t="str">
        <f>'No Recurrentes 24-26'!CE33</f>
        <v/>
      </c>
      <c r="AQ175" s="1062" t="str">
        <f>'No Recurrentes 24-26'!CF33</f>
        <v/>
      </c>
      <c r="AR175" s="1062" t="str">
        <f>'No Recurrentes 24-26'!CG33</f>
        <v/>
      </c>
      <c r="AS175" s="1062">
        <f>'No Recurrentes 24-26'!CH33</f>
        <v>4</v>
      </c>
      <c r="AT175" s="1068"/>
      <c r="AU175" s="1062">
        <f>'No Recurrentes 24-26'!CI33</f>
        <v>754</v>
      </c>
      <c r="AV175" s="1063">
        <f>'No Recurrentes 24-26'!CJ33</f>
        <v>1098</v>
      </c>
      <c r="AW175" s="1068"/>
      <c r="AX175" s="1065">
        <f>'No Recurrentes 24-26'!CK33</f>
        <v>5.34</v>
      </c>
      <c r="AY175" s="1062">
        <f>'No Recurrentes 24-26'!CL33</f>
        <v>37.1664</v>
      </c>
      <c r="AZ175" s="1068"/>
      <c r="BA175" s="1062">
        <f>'No Recurrentes 24-26'!CM33</f>
        <v>0</v>
      </c>
      <c r="BB175" s="1062">
        <f>'No Recurrentes 24-26'!CN33</f>
        <v>0</v>
      </c>
      <c r="BC175" s="1062">
        <f>'No Recurrentes 24-26'!CO33</f>
        <v>0</v>
      </c>
      <c r="BD175" s="1062">
        <f>'No Recurrentes 24-26'!CP33</f>
        <v>0</v>
      </c>
      <c r="BE175" s="1062">
        <f>'No Recurrentes 24-26'!CQ33</f>
        <v>0</v>
      </c>
      <c r="BF175" s="1062">
        <f>'No Recurrentes 24-26'!CR33</f>
        <v>0</v>
      </c>
      <c r="BG175" s="1062">
        <f>'No Recurrentes 24-26'!CS33</f>
        <v>0</v>
      </c>
      <c r="BH175" s="1062">
        <f>'No Recurrentes 24-26'!CT33</f>
        <v>0</v>
      </c>
      <c r="BI175" s="1062">
        <f>'No Recurrentes 24-26'!CU33</f>
        <v>0</v>
      </c>
      <c r="BJ175" s="1062">
        <f>'No Recurrentes 24-26'!CV33</f>
        <v>0</v>
      </c>
      <c r="BK175" s="1068"/>
      <c r="BL175" s="1062">
        <f>'No Recurrentes 24-26'!CW33</f>
        <v>0</v>
      </c>
      <c r="BM175" s="1062">
        <f>'No Recurrentes 24-26'!CX33</f>
        <v>0</v>
      </c>
      <c r="BN175" s="1062">
        <f>'No Recurrentes 24-26'!CY33</f>
        <v>0</v>
      </c>
      <c r="BO175" s="1062">
        <f>'No Recurrentes 24-26'!CZ33</f>
        <v>9291.6</v>
      </c>
      <c r="BP175" s="1062">
        <f>'No Recurrentes 24-26'!DA33</f>
        <v>0</v>
      </c>
      <c r="BQ175" s="1062">
        <f>'No Recurrentes 24-26'!DB33</f>
        <v>0</v>
      </c>
      <c r="BR175" s="1062">
        <f>'No Recurrentes 24-26'!DC33</f>
        <v>0</v>
      </c>
      <c r="BS175" s="1062">
        <f>'No Recurrentes 24-26'!DD33</f>
        <v>148.6656</v>
      </c>
      <c r="BT175" s="1062">
        <f>'No Recurrentes 24-26'!DE33</f>
        <v>3344.976</v>
      </c>
      <c r="BU175" s="1062">
        <f>'No Recurrentes 24-26'!DF33</f>
        <v>0</v>
      </c>
      <c r="BV175" s="1062">
        <f>'No Recurrentes 24-26'!DG33</f>
        <v>0</v>
      </c>
      <c r="BW175" s="1068"/>
      <c r="BX175" s="1062">
        <f>'No Recurrentes 24-26'!DH33</f>
        <v>12785.2416</v>
      </c>
      <c r="BY175" s="1062">
        <f>'No Recurrentes 24-26'!DI33</f>
        <v>0</v>
      </c>
      <c r="BZ175" s="1062">
        <f>'No Recurrentes 24-26'!DJ33</f>
        <v>0</v>
      </c>
      <c r="CA175" s="1062">
        <f>'No Recurrentes 24-26'!DK33</f>
        <v>0</v>
      </c>
      <c r="CB175" s="1062">
        <f>'No Recurrentes 24-26'!DL33</f>
        <v>10406.592</v>
      </c>
      <c r="CC175" s="1062">
        <f>'No Recurrentes 24-26'!DM33</f>
        <v>8176.608</v>
      </c>
      <c r="CD175" s="1062">
        <f>'No Recurrentes 24-26'!DN33</f>
        <v>9291.6</v>
      </c>
      <c r="CE175" s="1062">
        <f>'No Recurrentes 24-26'!DO33</f>
        <v>0</v>
      </c>
      <c r="CF175" s="1062">
        <f>'No Recurrentes 24-26'!DP33</f>
        <v>0</v>
      </c>
      <c r="CG175" s="1062">
        <f>'No Recurrentes 24-26'!DQ33</f>
        <v>0</v>
      </c>
      <c r="CH175" s="1062">
        <f>'No Recurrentes 24-26'!DR33</f>
        <v>148.6656</v>
      </c>
      <c r="CI175" s="1068"/>
      <c r="CJ175" s="1062">
        <f>'No Recurrentes 24-26'!DS33</f>
        <v>28023.4656</v>
      </c>
      <c r="CK175" s="1062">
        <f>'No Recurrentes 24-26'!DT33</f>
        <v>40808.7072</v>
      </c>
      <c r="CL175" s="1064" t="str">
        <f>'No Recurrentes 24-26'!DU33</f>
        <v/>
      </c>
      <c r="CM175" s="1064" t="str">
        <f>'No Recurrentes 24-26'!DV33</f>
        <v/>
      </c>
      <c r="CN175" s="1065">
        <f>'No Recurrentes 24-26'!EI33</f>
        <v>5.34</v>
      </c>
      <c r="CO175" s="1065">
        <f>'No Recurrentes 24-26'!EJ33</f>
        <v>4.54</v>
      </c>
      <c r="CP175" s="1060" t="str">
        <f>'No Recurrentes 24-26'!EK33</f>
        <v/>
      </c>
    </row>
    <row r="176">
      <c r="A176" s="451" t="str">
        <f>'No Recurrentes 24-26'!A34</f>
        <v>Repuestos Electromecánicos no recurrentes</v>
      </c>
      <c r="B176" s="451">
        <f>'No Recurrentes 24-26'!B34</f>
        <v>2</v>
      </c>
      <c r="C176" s="451" t="str">
        <f>'No Recurrentes 24-26'!C34</f>
        <v>Estación</v>
      </c>
      <c r="D176" s="451" t="str">
        <f>'No Recurrentes 24-26'!D34</f>
        <v>Mantenimiento Cadenas Transportadoras</v>
      </c>
      <c r="E176" s="451" t="str">
        <f>'No Recurrentes 24-26'!E34</f>
        <v>Repuesto Mecánico</v>
      </c>
      <c r="F176" s="451" t="str">
        <f>'No Recurrentes 24-26'!F34</f>
        <v>TDB</v>
      </c>
      <c r="G176" s="1025" t="str">
        <f>'No Recurrentes 24-26'!G34</f>
        <v>39800</v>
      </c>
      <c r="H176" s="1061" t="str">
        <f>'No Recurrentes 24-26'!H34</f>
        <v>2-01-00217</v>
      </c>
      <c r="I176" s="1061" t="str">
        <f>'No Recurrentes 24-26'!I34</f>
        <v>10022092</v>
      </c>
      <c r="J176" s="1061" t="str">
        <f>'No Recurrentes 24-26'!J34</f>
        <v>RODAM.R.BOL.DIN625/1- 6016-2RS RODAMIENTO RANURADO DE BOLAS</v>
      </c>
      <c r="K176" s="451" t="str">
        <f>'No Recurrentes 24-26'!K34</f>
        <v>Pza</v>
      </c>
      <c r="L176" s="451" t="str">
        <f>'No Recurrentes 24-26'!BC34</f>
        <v/>
      </c>
      <c r="M176" s="451" t="str">
        <f>'No Recurrentes 24-26'!BD34</f>
        <v/>
      </c>
      <c r="N176" s="451" t="str">
        <f>'No Recurrentes 24-26'!BE34</f>
        <v/>
      </c>
      <c r="O176" s="451" t="str">
        <f>'No Recurrentes 24-26'!BF34</f>
        <v/>
      </c>
      <c r="P176" s="451" t="str">
        <f>'No Recurrentes 24-26'!BG34</f>
        <v/>
      </c>
      <c r="Q176" s="451" t="str">
        <f>'No Recurrentes 24-26'!BH34</f>
        <v/>
      </c>
      <c r="R176" s="451" t="str">
        <f>'No Recurrentes 24-26'!BI34</f>
        <v/>
      </c>
      <c r="S176" s="451" t="str">
        <f>'No Recurrentes 24-26'!BJ34</f>
        <v/>
      </c>
      <c r="T176" s="451" t="str">
        <f>'No Recurrentes 24-26'!BK34</f>
        <v/>
      </c>
      <c r="U176" s="451" t="str">
        <f>'No Recurrentes 24-26'!BL34</f>
        <v/>
      </c>
      <c r="V176" s="1068"/>
      <c r="W176" s="1062">
        <f>'No Recurrentes 24-26'!BM34</f>
        <v>0</v>
      </c>
      <c r="X176" s="1062" t="str">
        <f>'No Recurrentes 24-26'!BN34</f>
        <v/>
      </c>
      <c r="Y176" s="1062" t="str">
        <f>'No Recurrentes 24-26'!BO34</f>
        <v/>
      </c>
      <c r="Z176" s="1062">
        <f>'No Recurrentes 24-26'!BP34</f>
        <v>10</v>
      </c>
      <c r="AA176" s="1062" t="str">
        <f>'No Recurrentes 24-26'!BQ34</f>
        <v/>
      </c>
      <c r="AB176" s="1062">
        <f>'No Recurrentes 24-26'!BR34</f>
        <v>8</v>
      </c>
      <c r="AC176" s="1062" t="str">
        <f>'No Recurrentes 24-26'!BS34</f>
        <v/>
      </c>
      <c r="AD176" s="1062" t="str">
        <f>'No Recurrentes 24-26'!BT34</f>
        <v/>
      </c>
      <c r="AE176" s="1062" t="str">
        <f>'No Recurrentes 24-26'!BU34</f>
        <v/>
      </c>
      <c r="AF176" s="1062" t="str">
        <f>'No Recurrentes 24-26'!BV34</f>
        <v/>
      </c>
      <c r="AG176" s="1062" t="str">
        <f>'No Recurrentes 24-26'!BW34</f>
        <v/>
      </c>
      <c r="AH176" s="1068"/>
      <c r="AI176" s="1062">
        <f>'No Recurrentes 24-26'!BX34</f>
        <v>18</v>
      </c>
      <c r="AJ176" s="1062">
        <f>'No Recurrentes 24-26'!BY34</f>
        <v>0</v>
      </c>
      <c r="AK176" s="1062">
        <f>'No Recurrentes 24-26'!BZ34</f>
        <v>0</v>
      </c>
      <c r="AL176" s="1062">
        <f>'No Recurrentes 24-26'!CA34</f>
        <v>10</v>
      </c>
      <c r="AM176" s="1062" t="str">
        <f>'No Recurrentes 24-26'!CB34</f>
        <v/>
      </c>
      <c r="AN176" s="1062">
        <f>'No Recurrentes 24-26'!CC34</f>
        <v>8</v>
      </c>
      <c r="AO176" s="1062" t="str">
        <f>'No Recurrentes 24-26'!CD34</f>
        <v/>
      </c>
      <c r="AP176" s="1062" t="str">
        <f>'No Recurrentes 24-26'!CE34</f>
        <v/>
      </c>
      <c r="AQ176" s="1062" t="str">
        <f>'No Recurrentes 24-26'!CF34</f>
        <v/>
      </c>
      <c r="AR176" s="1062" t="str">
        <f>'No Recurrentes 24-26'!CG34</f>
        <v/>
      </c>
      <c r="AS176" s="1062" t="str">
        <f>'No Recurrentes 24-26'!CH34</f>
        <v/>
      </c>
      <c r="AT176" s="1068"/>
      <c r="AU176" s="1062">
        <f>'No Recurrentes 24-26'!CI34</f>
        <v>18</v>
      </c>
      <c r="AV176" s="1063">
        <f>'No Recurrentes 24-26'!CJ34</f>
        <v>36</v>
      </c>
      <c r="AW176" s="1068"/>
      <c r="AX176" s="1065">
        <f>'No Recurrentes 24-26'!CK34</f>
        <v>91.06</v>
      </c>
      <c r="AY176" s="1062">
        <f>'No Recurrentes 24-26'!CL34</f>
        <v>633.7776</v>
      </c>
      <c r="AZ176" s="1068"/>
      <c r="BA176" s="1062">
        <f>'No Recurrentes 24-26'!CM34</f>
        <v>0</v>
      </c>
      <c r="BB176" s="1062">
        <f>'No Recurrentes 24-26'!CN34</f>
        <v>0</v>
      </c>
      <c r="BC176" s="1062">
        <f>'No Recurrentes 24-26'!CO34</f>
        <v>0</v>
      </c>
      <c r="BD176" s="1062">
        <f>'No Recurrentes 24-26'!CP34</f>
        <v>0</v>
      </c>
      <c r="BE176" s="1062">
        <f>'No Recurrentes 24-26'!CQ34</f>
        <v>0</v>
      </c>
      <c r="BF176" s="1062">
        <f>'No Recurrentes 24-26'!CR34</f>
        <v>0</v>
      </c>
      <c r="BG176" s="1062">
        <f>'No Recurrentes 24-26'!CS34</f>
        <v>0</v>
      </c>
      <c r="BH176" s="1062">
        <f>'No Recurrentes 24-26'!CT34</f>
        <v>0</v>
      </c>
      <c r="BI176" s="1062">
        <f>'No Recurrentes 24-26'!CU34</f>
        <v>0</v>
      </c>
      <c r="BJ176" s="1062">
        <f>'No Recurrentes 24-26'!CV34</f>
        <v>0</v>
      </c>
      <c r="BK176" s="1068"/>
      <c r="BL176" s="1062">
        <f>'No Recurrentes 24-26'!CW34</f>
        <v>0</v>
      </c>
      <c r="BM176" s="1062">
        <f>'No Recurrentes 24-26'!CX34</f>
        <v>0</v>
      </c>
      <c r="BN176" s="1062">
        <f>'No Recurrentes 24-26'!CY34</f>
        <v>0</v>
      </c>
      <c r="BO176" s="1062">
        <f>'No Recurrentes 24-26'!CZ34</f>
        <v>6337.776</v>
      </c>
      <c r="BP176" s="1062">
        <f>'No Recurrentes 24-26'!DA34</f>
        <v>0</v>
      </c>
      <c r="BQ176" s="1062">
        <f>'No Recurrentes 24-26'!DB34</f>
        <v>5070.2208</v>
      </c>
      <c r="BR176" s="1062">
        <f>'No Recurrentes 24-26'!DC34</f>
        <v>0</v>
      </c>
      <c r="BS176" s="1062">
        <f>'No Recurrentes 24-26'!DD34</f>
        <v>0</v>
      </c>
      <c r="BT176" s="1062">
        <f>'No Recurrentes 24-26'!DE34</f>
        <v>0</v>
      </c>
      <c r="BU176" s="1062">
        <f>'No Recurrentes 24-26'!DF34</f>
        <v>0</v>
      </c>
      <c r="BV176" s="1062">
        <f>'No Recurrentes 24-26'!DG34</f>
        <v>0</v>
      </c>
      <c r="BW176" s="1068"/>
      <c r="BX176" s="1062">
        <f>'No Recurrentes 24-26'!DH34</f>
        <v>11407.9968</v>
      </c>
      <c r="BY176" s="1062">
        <f>'No Recurrentes 24-26'!DI34</f>
        <v>0</v>
      </c>
      <c r="BZ176" s="1062">
        <f>'No Recurrentes 24-26'!DJ34</f>
        <v>0</v>
      </c>
      <c r="CA176" s="1062">
        <f>'No Recurrentes 24-26'!DK34</f>
        <v>6337.776</v>
      </c>
      <c r="CB176" s="1062">
        <f>'No Recurrentes 24-26'!DL34</f>
        <v>0</v>
      </c>
      <c r="CC176" s="1062">
        <f>'No Recurrentes 24-26'!DM34</f>
        <v>5070.2208</v>
      </c>
      <c r="CD176" s="1062">
        <f>'No Recurrentes 24-26'!DN34</f>
        <v>0</v>
      </c>
      <c r="CE176" s="1062">
        <f>'No Recurrentes 24-26'!DO34</f>
        <v>0</v>
      </c>
      <c r="CF176" s="1062">
        <f>'No Recurrentes 24-26'!DP34</f>
        <v>0</v>
      </c>
      <c r="CG176" s="1062">
        <f>'No Recurrentes 24-26'!DQ34</f>
        <v>0</v>
      </c>
      <c r="CH176" s="1062">
        <f>'No Recurrentes 24-26'!DR34</f>
        <v>0</v>
      </c>
      <c r="CI176" s="1068"/>
      <c r="CJ176" s="1062">
        <f>'No Recurrentes 24-26'!DS34</f>
        <v>11407.9968</v>
      </c>
      <c r="CK176" s="1062">
        <f>'No Recurrentes 24-26'!DT34</f>
        <v>22815.9936</v>
      </c>
      <c r="CL176" s="1064" t="str">
        <f>'No Recurrentes 24-26'!DU34</f>
        <v/>
      </c>
      <c r="CM176" s="1064" t="str">
        <f>'No Recurrentes 24-26'!DV34</f>
        <v/>
      </c>
      <c r="CN176" s="1065">
        <f>'No Recurrentes 24-26'!EI34</f>
        <v>91.06</v>
      </c>
      <c r="CO176" s="1065">
        <f>'No Recurrentes 24-26'!EJ34</f>
        <v>77.4</v>
      </c>
      <c r="CP176" s="1060" t="str">
        <f>'No Recurrentes 24-26'!EK34</f>
        <v/>
      </c>
    </row>
    <row r="177">
      <c r="A177" s="451" t="str">
        <f>'No Recurrentes 24-26'!A35</f>
        <v>Repuestos Electromecánicos no recurrentes</v>
      </c>
      <c r="B177" s="451">
        <f>'No Recurrentes 24-26'!B35</f>
        <v>2</v>
      </c>
      <c r="C177" s="451" t="str">
        <f>'No Recurrentes 24-26'!C35</f>
        <v>Estación</v>
      </c>
      <c r="D177" s="451" t="str">
        <f>'No Recurrentes 24-26'!D35</f>
        <v>Mantenimiento Cadenas Transportadoras</v>
      </c>
      <c r="E177" s="451" t="str">
        <f>'No Recurrentes 24-26'!E35</f>
        <v>Repuesto Mecánico</v>
      </c>
      <c r="F177" s="451" t="str">
        <f>'No Recurrentes 24-26'!F35</f>
        <v>TDB</v>
      </c>
      <c r="G177" s="1025" t="str">
        <f>'No Recurrentes 24-26'!G35</f>
        <v>39800</v>
      </c>
      <c r="H177" s="1061" t="str">
        <f>'No Recurrentes 24-26'!H35</f>
        <v/>
      </c>
      <c r="I177" s="1061" t="str">
        <f>'No Recurrentes 24-26'!I35</f>
        <v>10591867</v>
      </c>
      <c r="J177" s="1061" t="str">
        <f>'No Recurrentes 24-26'!J35</f>
        <v>DI-BU    DM  20,0/ 12.5 L=  16 </v>
      </c>
      <c r="K177" s="451" t="str">
        <f>'No Recurrentes 24-26'!K35</f>
        <v>Pza</v>
      </c>
      <c r="L177" s="451" t="str">
        <f>'No Recurrentes 24-26'!BC35</f>
        <v/>
      </c>
      <c r="M177" s="451" t="str">
        <f>'No Recurrentes 24-26'!BD35</f>
        <v/>
      </c>
      <c r="N177" s="451" t="str">
        <f>'No Recurrentes 24-26'!BE35</f>
        <v/>
      </c>
      <c r="O177" s="451" t="str">
        <f>'No Recurrentes 24-26'!BF35</f>
        <v/>
      </c>
      <c r="P177" s="451" t="str">
        <f>'No Recurrentes 24-26'!BG35</f>
        <v/>
      </c>
      <c r="Q177" s="451" t="str">
        <f>'No Recurrentes 24-26'!BH35</f>
        <v/>
      </c>
      <c r="R177" s="451" t="str">
        <f>'No Recurrentes 24-26'!BI35</f>
        <v/>
      </c>
      <c r="S177" s="451" t="str">
        <f>'No Recurrentes 24-26'!BJ35</f>
        <v/>
      </c>
      <c r="T177" s="451" t="str">
        <f>'No Recurrentes 24-26'!BK35</f>
        <v/>
      </c>
      <c r="U177" s="451" t="str">
        <f>'No Recurrentes 24-26'!BL35</f>
        <v/>
      </c>
      <c r="V177" s="1068"/>
      <c r="W177" s="1062">
        <f>'No Recurrentes 24-26'!BM35</f>
        <v>0</v>
      </c>
      <c r="X177" s="1062" t="str">
        <f>'No Recurrentes 24-26'!BN35</f>
        <v/>
      </c>
      <c r="Y177" s="1062" t="str">
        <f>'No Recurrentes 24-26'!BO35</f>
        <v/>
      </c>
      <c r="Z177" s="1062" t="str">
        <f>'No Recurrentes 24-26'!BP35</f>
        <v/>
      </c>
      <c r="AA177" s="1062" t="str">
        <f>'No Recurrentes 24-26'!BQ35</f>
        <v/>
      </c>
      <c r="AB177" s="1062">
        <f>'No Recurrentes 24-26'!BR35</f>
        <v>100</v>
      </c>
      <c r="AC177" s="1062">
        <f>'No Recurrentes 24-26'!BS35</f>
        <v>100</v>
      </c>
      <c r="AD177" s="1062" t="str">
        <f>'No Recurrentes 24-26'!BT35</f>
        <v/>
      </c>
      <c r="AE177" s="1062" t="str">
        <f>'No Recurrentes 24-26'!BU35</f>
        <v/>
      </c>
      <c r="AF177" s="1062" t="str">
        <f>'No Recurrentes 24-26'!BV35</f>
        <v/>
      </c>
      <c r="AG177" s="1062" t="str">
        <f>'No Recurrentes 24-26'!BW35</f>
        <v/>
      </c>
      <c r="AH177" s="1068"/>
      <c r="AI177" s="1062">
        <f>'No Recurrentes 24-26'!BX35</f>
        <v>200</v>
      </c>
      <c r="AJ177" s="1062">
        <f>'No Recurrentes 24-26'!BY35</f>
        <v>0</v>
      </c>
      <c r="AK177" s="1062">
        <f>'No Recurrentes 24-26'!BZ35</f>
        <v>0</v>
      </c>
      <c r="AL177" s="1062">
        <f>'No Recurrentes 24-26'!CA35</f>
        <v>0</v>
      </c>
      <c r="AM177" s="1062">
        <f>'No Recurrentes 24-26'!CB35</f>
        <v>100</v>
      </c>
      <c r="AN177" s="1062">
        <f>'No Recurrentes 24-26'!CC35</f>
        <v>0</v>
      </c>
      <c r="AO177" s="1062">
        <f>'No Recurrentes 24-26'!CD35</f>
        <v>0</v>
      </c>
      <c r="AP177" s="1062">
        <f>'No Recurrentes 24-26'!CE35</f>
        <v>0</v>
      </c>
      <c r="AQ177" s="1062">
        <f>'No Recurrentes 24-26'!CF35</f>
        <v>0</v>
      </c>
      <c r="AR177" s="1062">
        <f>'No Recurrentes 24-26'!CG35</f>
        <v>0</v>
      </c>
      <c r="AS177" s="1062">
        <f>'No Recurrentes 24-26'!CH35</f>
        <v>0</v>
      </c>
      <c r="AT177" s="1068"/>
      <c r="AU177" s="1062">
        <f>'No Recurrentes 24-26'!CI35</f>
        <v>100</v>
      </c>
      <c r="AV177" s="1063">
        <f>'No Recurrentes 24-26'!CJ35</f>
        <v>300</v>
      </c>
      <c r="AW177" s="1068"/>
      <c r="AX177" s="1065">
        <f>'No Recurrentes 24-26'!CK35</f>
        <v>5.61</v>
      </c>
      <c r="AY177" s="1062">
        <f>'No Recurrentes 24-26'!CL35</f>
        <v>39.0456</v>
      </c>
      <c r="AZ177" s="1068"/>
      <c r="BA177" s="1062">
        <f>'No Recurrentes 24-26'!CM35</f>
        <v>0</v>
      </c>
      <c r="BB177" s="1062">
        <f>'No Recurrentes 24-26'!CN35</f>
        <v>0</v>
      </c>
      <c r="BC177" s="1062">
        <f>'No Recurrentes 24-26'!CO35</f>
        <v>0</v>
      </c>
      <c r="BD177" s="1062">
        <f>'No Recurrentes 24-26'!CP35</f>
        <v>0</v>
      </c>
      <c r="BE177" s="1062">
        <f>'No Recurrentes 24-26'!CQ35</f>
        <v>0</v>
      </c>
      <c r="BF177" s="1062">
        <f>'No Recurrentes 24-26'!CR35</f>
        <v>0</v>
      </c>
      <c r="BG177" s="1062">
        <f>'No Recurrentes 24-26'!CS35</f>
        <v>0</v>
      </c>
      <c r="BH177" s="1062">
        <f>'No Recurrentes 24-26'!CT35</f>
        <v>0</v>
      </c>
      <c r="BI177" s="1062">
        <f>'No Recurrentes 24-26'!CU35</f>
        <v>0</v>
      </c>
      <c r="BJ177" s="1062">
        <f>'No Recurrentes 24-26'!CV35</f>
        <v>0</v>
      </c>
      <c r="BK177" s="1068"/>
      <c r="BL177" s="1062">
        <f>'No Recurrentes 24-26'!CW35</f>
        <v>0</v>
      </c>
      <c r="BM177" s="1062">
        <f>'No Recurrentes 24-26'!CX35</f>
        <v>0</v>
      </c>
      <c r="BN177" s="1062">
        <f>'No Recurrentes 24-26'!CY35</f>
        <v>0</v>
      </c>
      <c r="BO177" s="1062">
        <f>'No Recurrentes 24-26'!CZ35</f>
        <v>0</v>
      </c>
      <c r="BP177" s="1062">
        <f>'No Recurrentes 24-26'!DA35</f>
        <v>0</v>
      </c>
      <c r="BQ177" s="1062">
        <f>'No Recurrentes 24-26'!DB35</f>
        <v>3904.56</v>
      </c>
      <c r="BR177" s="1062">
        <f>'No Recurrentes 24-26'!DC35</f>
        <v>3904.56</v>
      </c>
      <c r="BS177" s="1062">
        <f>'No Recurrentes 24-26'!DD35</f>
        <v>0</v>
      </c>
      <c r="BT177" s="1062">
        <f>'No Recurrentes 24-26'!DE35</f>
        <v>0</v>
      </c>
      <c r="BU177" s="1062">
        <f>'No Recurrentes 24-26'!DF35</f>
        <v>0</v>
      </c>
      <c r="BV177" s="1062">
        <f>'No Recurrentes 24-26'!DG35</f>
        <v>0</v>
      </c>
      <c r="BW177" s="1068"/>
      <c r="BX177" s="1062">
        <f>'No Recurrentes 24-26'!DH35</f>
        <v>7809.12</v>
      </c>
      <c r="BY177" s="1062">
        <f>'No Recurrentes 24-26'!DI35</f>
        <v>0</v>
      </c>
      <c r="BZ177" s="1062">
        <f>'No Recurrentes 24-26'!DJ35</f>
        <v>0</v>
      </c>
      <c r="CA177" s="1062">
        <f>'No Recurrentes 24-26'!DK35</f>
        <v>0</v>
      </c>
      <c r="CB177" s="1062">
        <f>'No Recurrentes 24-26'!DL35</f>
        <v>3904.56</v>
      </c>
      <c r="CC177" s="1062">
        <f>'No Recurrentes 24-26'!DM35</f>
        <v>0</v>
      </c>
      <c r="CD177" s="1062">
        <f>'No Recurrentes 24-26'!DN35</f>
        <v>0</v>
      </c>
      <c r="CE177" s="1062">
        <f>'No Recurrentes 24-26'!DO35</f>
        <v>0</v>
      </c>
      <c r="CF177" s="1062">
        <f>'No Recurrentes 24-26'!DP35</f>
        <v>0</v>
      </c>
      <c r="CG177" s="1062">
        <f>'No Recurrentes 24-26'!DQ35</f>
        <v>0</v>
      </c>
      <c r="CH177" s="1062">
        <f>'No Recurrentes 24-26'!DR35</f>
        <v>0</v>
      </c>
      <c r="CI177" s="1068"/>
      <c r="CJ177" s="1062">
        <f>'No Recurrentes 24-26'!DS35</f>
        <v>3904.56</v>
      </c>
      <c r="CK177" s="1062">
        <f>'No Recurrentes 24-26'!DT35</f>
        <v>11713.68</v>
      </c>
      <c r="CL177" s="1064" t="str">
        <f>'No Recurrentes 24-26'!DU35</f>
        <v/>
      </c>
      <c r="CM177" s="1064" t="str">
        <f>'No Recurrentes 24-26'!DV35</f>
        <v/>
      </c>
      <c r="CN177" s="1065">
        <f>'No Recurrentes 24-26'!EI35</f>
        <v>5.61</v>
      </c>
      <c r="CO177" s="1065">
        <f>'No Recurrentes 24-26'!EJ35</f>
        <v>4.77</v>
      </c>
      <c r="CP177" s="1060" t="str">
        <f>'No Recurrentes 24-26'!EK35</f>
        <v/>
      </c>
    </row>
    <row r="178">
      <c r="A178" s="451" t="str">
        <f>'No Recurrentes 24-26'!A36</f>
        <v>Repuestos Electromecánicos no recurrentes</v>
      </c>
      <c r="B178" s="451">
        <f>'No Recurrentes 24-26'!B36</f>
        <v>2</v>
      </c>
      <c r="C178" s="451" t="str">
        <f>'No Recurrentes 24-26'!C36</f>
        <v>Estación</v>
      </c>
      <c r="D178" s="451" t="str">
        <f>'No Recurrentes 24-26'!D36</f>
        <v>Mantenimiento Cadenas Transportadoras</v>
      </c>
      <c r="E178" s="451" t="str">
        <f>'No Recurrentes 24-26'!E36</f>
        <v>Repuesto Mecánico</v>
      </c>
      <c r="F178" s="451" t="str">
        <f>'No Recurrentes 24-26'!F36</f>
        <v>TDB</v>
      </c>
      <c r="G178" s="1025" t="str">
        <f>'No Recurrentes 24-26'!G36</f>
        <v>39800</v>
      </c>
      <c r="H178" s="1061" t="str">
        <f>'No Recurrentes 24-26'!H36</f>
        <v>2-01-00102</v>
      </c>
      <c r="I178" s="1061" t="str">
        <f>'No Recurrentes 24-26'!I36</f>
        <v>10286649</v>
      </c>
      <c r="J178" s="1061" t="str">
        <f>'No Recurrentes 24-26'!J36</f>
        <v>EMPUJADOR P.CAD.TRANSP.148X203 S=13,5 TRANSF.CORTA, C. CASQU.</v>
      </c>
      <c r="K178" s="451" t="str">
        <f>'No Recurrentes 24-26'!K36</f>
        <v>Pza</v>
      </c>
      <c r="L178" s="451" t="str">
        <f>'No Recurrentes 24-26'!BC36</f>
        <v/>
      </c>
      <c r="M178" s="451" t="str">
        <f>'No Recurrentes 24-26'!BD36</f>
        <v/>
      </c>
      <c r="N178" s="451" t="str">
        <f>'No Recurrentes 24-26'!BE36</f>
        <v/>
      </c>
      <c r="O178" s="451" t="str">
        <f>'No Recurrentes 24-26'!BF36</f>
        <v/>
      </c>
      <c r="P178" s="451" t="str">
        <f>'No Recurrentes 24-26'!BG36</f>
        <v/>
      </c>
      <c r="Q178" s="451" t="str">
        <f>'No Recurrentes 24-26'!BH36</f>
        <v/>
      </c>
      <c r="R178" s="451" t="str">
        <f>'No Recurrentes 24-26'!BI36</f>
        <v/>
      </c>
      <c r="S178" s="451" t="str">
        <f>'No Recurrentes 24-26'!BJ36</f>
        <v/>
      </c>
      <c r="T178" s="451" t="str">
        <f>'No Recurrentes 24-26'!BK36</f>
        <v/>
      </c>
      <c r="U178" s="451" t="str">
        <f>'No Recurrentes 24-26'!BL36</f>
        <v/>
      </c>
      <c r="V178" s="1068"/>
      <c r="W178" s="1062">
        <f>'No Recurrentes 24-26'!BM36</f>
        <v>0</v>
      </c>
      <c r="X178" s="1062">
        <f>'No Recurrentes 24-26'!BN36</f>
        <v>20</v>
      </c>
      <c r="Y178" s="1062" t="str">
        <f>'No Recurrentes 24-26'!BO36</f>
        <v/>
      </c>
      <c r="Z178" s="1062" t="str">
        <f>'No Recurrentes 24-26'!BP36</f>
        <v/>
      </c>
      <c r="AA178" s="1062" t="str">
        <f>'No Recurrentes 24-26'!BQ36</f>
        <v/>
      </c>
      <c r="AB178" s="1062" t="str">
        <f>'No Recurrentes 24-26'!BR36</f>
        <v/>
      </c>
      <c r="AC178" s="1062" t="str">
        <f>'No Recurrentes 24-26'!BS36</f>
        <v/>
      </c>
      <c r="AD178" s="1062" t="str">
        <f>'No Recurrentes 24-26'!BT36</f>
        <v/>
      </c>
      <c r="AE178" s="1062" t="str">
        <f>'No Recurrentes 24-26'!BU36</f>
        <v/>
      </c>
      <c r="AF178" s="1062" t="str">
        <f>'No Recurrentes 24-26'!BV36</f>
        <v/>
      </c>
      <c r="AG178" s="1062" t="str">
        <f>'No Recurrentes 24-26'!BW36</f>
        <v/>
      </c>
      <c r="AH178" s="1068"/>
      <c r="AI178" s="1062">
        <f>'No Recurrentes 24-26'!BX36</f>
        <v>20</v>
      </c>
      <c r="AJ178" s="1062">
        <f>'No Recurrentes 24-26'!BY36</f>
        <v>0</v>
      </c>
      <c r="AK178" s="1062">
        <f>'No Recurrentes 24-26'!BZ36</f>
        <v>15</v>
      </c>
      <c r="AL178" s="1062">
        <f>'No Recurrentes 24-26'!CA36</f>
        <v>0</v>
      </c>
      <c r="AM178" s="1062">
        <f>'No Recurrentes 24-26'!CB36</f>
        <v>0</v>
      </c>
      <c r="AN178" s="1062">
        <f>'No Recurrentes 24-26'!CC36</f>
        <v>0</v>
      </c>
      <c r="AO178" s="1062">
        <f>'No Recurrentes 24-26'!CD36</f>
        <v>0</v>
      </c>
      <c r="AP178" s="1062">
        <f>'No Recurrentes 24-26'!CE36</f>
        <v>0</v>
      </c>
      <c r="AQ178" s="1062">
        <f>'No Recurrentes 24-26'!CF36</f>
        <v>0</v>
      </c>
      <c r="AR178" s="1062">
        <f>'No Recurrentes 24-26'!CG36</f>
        <v>0</v>
      </c>
      <c r="AS178" s="1062">
        <f>'No Recurrentes 24-26'!CH36</f>
        <v>0</v>
      </c>
      <c r="AT178" s="1068"/>
      <c r="AU178" s="1062">
        <f>'No Recurrentes 24-26'!CI36</f>
        <v>15</v>
      </c>
      <c r="AV178" s="1063">
        <f>'No Recurrentes 24-26'!CJ36</f>
        <v>35</v>
      </c>
      <c r="AW178" s="1068"/>
      <c r="AX178" s="1065">
        <f>'No Recurrentes 24-26'!CK36</f>
        <v>16</v>
      </c>
      <c r="AY178" s="1062">
        <f>'No Recurrentes 24-26'!CL36</f>
        <v>111.36</v>
      </c>
      <c r="AZ178" s="1068"/>
      <c r="BA178" s="1062">
        <f>'No Recurrentes 24-26'!CM36</f>
        <v>0</v>
      </c>
      <c r="BB178" s="1062">
        <f>'No Recurrentes 24-26'!CN36</f>
        <v>0</v>
      </c>
      <c r="BC178" s="1062">
        <f>'No Recurrentes 24-26'!CO36</f>
        <v>0</v>
      </c>
      <c r="BD178" s="1062">
        <f>'No Recurrentes 24-26'!CP36</f>
        <v>0</v>
      </c>
      <c r="BE178" s="1062">
        <f>'No Recurrentes 24-26'!CQ36</f>
        <v>0</v>
      </c>
      <c r="BF178" s="1062">
        <f>'No Recurrentes 24-26'!CR36</f>
        <v>0</v>
      </c>
      <c r="BG178" s="1062">
        <f>'No Recurrentes 24-26'!CS36</f>
        <v>0</v>
      </c>
      <c r="BH178" s="1062">
        <f>'No Recurrentes 24-26'!CT36</f>
        <v>0</v>
      </c>
      <c r="BI178" s="1062">
        <f>'No Recurrentes 24-26'!CU36</f>
        <v>0</v>
      </c>
      <c r="BJ178" s="1062">
        <f>'No Recurrentes 24-26'!CV36</f>
        <v>0</v>
      </c>
      <c r="BK178" s="1068"/>
      <c r="BL178" s="1062">
        <f>'No Recurrentes 24-26'!CW36</f>
        <v>0</v>
      </c>
      <c r="BM178" s="1062">
        <f>'No Recurrentes 24-26'!CX36</f>
        <v>2227.2</v>
      </c>
      <c r="BN178" s="1062">
        <f>'No Recurrentes 24-26'!CY36</f>
        <v>0</v>
      </c>
      <c r="BO178" s="1062">
        <f>'No Recurrentes 24-26'!CZ36</f>
        <v>0</v>
      </c>
      <c r="BP178" s="1062">
        <f>'No Recurrentes 24-26'!DA36</f>
        <v>0</v>
      </c>
      <c r="BQ178" s="1062">
        <f>'No Recurrentes 24-26'!DB36</f>
        <v>0</v>
      </c>
      <c r="BR178" s="1062">
        <f>'No Recurrentes 24-26'!DC36</f>
        <v>0</v>
      </c>
      <c r="BS178" s="1062">
        <f>'No Recurrentes 24-26'!DD36</f>
        <v>0</v>
      </c>
      <c r="BT178" s="1062">
        <f>'No Recurrentes 24-26'!DE36</f>
        <v>0</v>
      </c>
      <c r="BU178" s="1062">
        <f>'No Recurrentes 24-26'!DF36</f>
        <v>0</v>
      </c>
      <c r="BV178" s="1062">
        <f>'No Recurrentes 24-26'!DG36</f>
        <v>0</v>
      </c>
      <c r="BW178" s="1068"/>
      <c r="BX178" s="1062">
        <f>'No Recurrentes 24-26'!DH36</f>
        <v>2227.2</v>
      </c>
      <c r="BY178" s="1062">
        <f>'No Recurrentes 24-26'!DI36</f>
        <v>0</v>
      </c>
      <c r="BZ178" s="1062">
        <f>'No Recurrentes 24-26'!DJ36</f>
        <v>1670.4</v>
      </c>
      <c r="CA178" s="1062">
        <f>'No Recurrentes 24-26'!DK36</f>
        <v>0</v>
      </c>
      <c r="CB178" s="1062">
        <f>'No Recurrentes 24-26'!DL36</f>
        <v>0</v>
      </c>
      <c r="CC178" s="1062">
        <f>'No Recurrentes 24-26'!DM36</f>
        <v>0</v>
      </c>
      <c r="CD178" s="1062">
        <f>'No Recurrentes 24-26'!DN36</f>
        <v>0</v>
      </c>
      <c r="CE178" s="1062">
        <f>'No Recurrentes 24-26'!DO36</f>
        <v>0</v>
      </c>
      <c r="CF178" s="1062">
        <f>'No Recurrentes 24-26'!DP36</f>
        <v>0</v>
      </c>
      <c r="CG178" s="1062">
        <f>'No Recurrentes 24-26'!DQ36</f>
        <v>0</v>
      </c>
      <c r="CH178" s="1062">
        <f>'No Recurrentes 24-26'!DR36</f>
        <v>0</v>
      </c>
      <c r="CI178" s="1068"/>
      <c r="CJ178" s="1062">
        <f>'No Recurrentes 24-26'!DS36</f>
        <v>1670.4</v>
      </c>
      <c r="CK178" s="1062">
        <f>'No Recurrentes 24-26'!DT36</f>
        <v>3897.6</v>
      </c>
      <c r="CL178" s="1064" t="str">
        <f>'No Recurrentes 24-26'!DU36</f>
        <v/>
      </c>
      <c r="CM178" s="1064" t="str">
        <f>'No Recurrentes 24-26'!DV36</f>
        <v/>
      </c>
      <c r="CN178" s="1065">
        <f>'No Recurrentes 24-26'!EI36</f>
        <v>16</v>
      </c>
      <c r="CO178" s="1065">
        <f>'No Recurrentes 24-26'!EJ36</f>
        <v>13.6</v>
      </c>
      <c r="CP178" s="1060" t="str">
        <f>'No Recurrentes 24-26'!EK36</f>
        <v/>
      </c>
    </row>
    <row r="179">
      <c r="A179" s="451" t="str">
        <f>'No Recurrentes 24-26'!A37</f>
        <v>Repuestos Electromecánicos no recurrentes</v>
      </c>
      <c r="B179" s="451">
        <f>'No Recurrentes 24-26'!B37</f>
        <v>2</v>
      </c>
      <c r="C179" s="451" t="str">
        <f>'No Recurrentes 24-26'!C37</f>
        <v>Estación</v>
      </c>
      <c r="D179" s="451" t="str">
        <f>'No Recurrentes 24-26'!D37</f>
        <v>Mantenimiento Cadenas Transportadoras</v>
      </c>
      <c r="E179" s="451" t="str">
        <f>'No Recurrentes 24-26'!E37</f>
        <v>Repuesto Mecánico</v>
      </c>
      <c r="F179" s="451" t="str">
        <f>'No Recurrentes 24-26'!F37</f>
        <v>TDB</v>
      </c>
      <c r="G179" s="1025" t="str">
        <f>'No Recurrentes 24-26'!G37</f>
        <v>39800</v>
      </c>
      <c r="H179" s="1061" t="str">
        <f>'No Recurrentes 24-26'!H37</f>
        <v>2-01-00844</v>
      </c>
      <c r="I179" s="1061" t="str">
        <f>'No Recurrentes 24-26'!I37</f>
        <v>10000080</v>
      </c>
      <c r="J179" s="1061" t="str">
        <f>'No Recurrentes 24-26'!J37</f>
        <v>TUERCA HEXAGONAL DIN 985-8 M12, GALVANIZADA (C.ELEM.DE FIJ.)</v>
      </c>
      <c r="K179" s="451" t="str">
        <f>'No Recurrentes 24-26'!K37</f>
        <v>Pza</v>
      </c>
      <c r="L179" s="451" t="str">
        <f>'No Recurrentes 24-26'!BC37</f>
        <v/>
      </c>
      <c r="M179" s="451" t="str">
        <f>'No Recurrentes 24-26'!BD37</f>
        <v/>
      </c>
      <c r="N179" s="451" t="str">
        <f>'No Recurrentes 24-26'!BE37</f>
        <v/>
      </c>
      <c r="O179" s="451" t="str">
        <f>'No Recurrentes 24-26'!BF37</f>
        <v/>
      </c>
      <c r="P179" s="451" t="str">
        <f>'No Recurrentes 24-26'!BG37</f>
        <v/>
      </c>
      <c r="Q179" s="451" t="str">
        <f>'No Recurrentes 24-26'!BH37</f>
        <v/>
      </c>
      <c r="R179" s="451" t="str">
        <f>'No Recurrentes 24-26'!BI37</f>
        <v/>
      </c>
      <c r="S179" s="451" t="str">
        <f>'No Recurrentes 24-26'!BJ37</f>
        <v/>
      </c>
      <c r="T179" s="451" t="str">
        <f>'No Recurrentes 24-26'!BK37</f>
        <v/>
      </c>
      <c r="U179" s="451" t="str">
        <f>'No Recurrentes 24-26'!BL37</f>
        <v/>
      </c>
      <c r="V179" s="1068"/>
      <c r="W179" s="1062">
        <f>'No Recurrentes 24-26'!BM37</f>
        <v>0</v>
      </c>
      <c r="X179" s="1062" t="str">
        <f>'No Recurrentes 24-26'!BN37</f>
        <v/>
      </c>
      <c r="Y179" s="1062" t="str">
        <f>'No Recurrentes 24-26'!BO37</f>
        <v/>
      </c>
      <c r="Z179" s="1062">
        <f>'No Recurrentes 24-26'!BP37</f>
        <v>500</v>
      </c>
      <c r="AA179" s="1062" t="str">
        <f>'No Recurrentes 24-26'!BQ37</f>
        <v/>
      </c>
      <c r="AB179" s="1062" t="str">
        <f>'No Recurrentes 24-26'!BR37</f>
        <v/>
      </c>
      <c r="AC179" s="1062" t="str">
        <f>'No Recurrentes 24-26'!BS37</f>
        <v/>
      </c>
      <c r="AD179" s="1062">
        <f>'No Recurrentes 24-26'!BT37</f>
        <v>40</v>
      </c>
      <c r="AE179" s="1062">
        <f>'No Recurrentes 24-26'!BU37</f>
        <v>40</v>
      </c>
      <c r="AF179" s="1062" t="str">
        <f>'No Recurrentes 24-26'!BV37</f>
        <v/>
      </c>
      <c r="AG179" s="1062" t="str">
        <f>'No Recurrentes 24-26'!BW37</f>
        <v/>
      </c>
      <c r="AH179" s="1068"/>
      <c r="AI179" s="1062">
        <f>'No Recurrentes 24-26'!BX37</f>
        <v>580</v>
      </c>
      <c r="AJ179" s="1062">
        <f>'No Recurrentes 24-26'!BY37</f>
        <v>0</v>
      </c>
      <c r="AK179" s="1062">
        <f>'No Recurrentes 24-26'!BZ37</f>
        <v>0</v>
      </c>
      <c r="AL179" s="1062">
        <f>'No Recurrentes 24-26'!CA37</f>
        <v>0</v>
      </c>
      <c r="AM179" s="1062">
        <f>'No Recurrentes 24-26'!CB37</f>
        <v>1120</v>
      </c>
      <c r="AN179" s="1062">
        <f>'No Recurrentes 24-26'!CC37</f>
        <v>50</v>
      </c>
      <c r="AO179" s="1062">
        <f>'No Recurrentes 24-26'!CD37</f>
        <v>50</v>
      </c>
      <c r="AP179" s="1062">
        <f>'No Recurrentes 24-26'!CE37</f>
        <v>40</v>
      </c>
      <c r="AQ179" s="1062">
        <f>'No Recurrentes 24-26'!CF37</f>
        <v>40</v>
      </c>
      <c r="AR179" s="1062">
        <f>'No Recurrentes 24-26'!CG37</f>
        <v>0</v>
      </c>
      <c r="AS179" s="1062">
        <f>'No Recurrentes 24-26'!CH37</f>
        <v>50</v>
      </c>
      <c r="AT179" s="1068"/>
      <c r="AU179" s="1062">
        <f>'No Recurrentes 24-26'!CI37</f>
        <v>1350</v>
      </c>
      <c r="AV179" s="1063">
        <f>'No Recurrentes 24-26'!CJ37</f>
        <v>1930</v>
      </c>
      <c r="AW179" s="1068"/>
      <c r="AX179" s="1065">
        <f>'No Recurrentes 24-26'!CK37</f>
        <v>0.39</v>
      </c>
      <c r="AY179" s="1062">
        <f>'No Recurrentes 24-26'!CL37</f>
        <v>2.7144</v>
      </c>
      <c r="AZ179" s="1068"/>
      <c r="BA179" s="1062">
        <f>'No Recurrentes 24-26'!CM37</f>
        <v>0</v>
      </c>
      <c r="BB179" s="1062">
        <f>'No Recurrentes 24-26'!CN37</f>
        <v>0</v>
      </c>
      <c r="BC179" s="1062">
        <f>'No Recurrentes 24-26'!CO37</f>
        <v>0</v>
      </c>
      <c r="BD179" s="1062">
        <f>'No Recurrentes 24-26'!CP37</f>
        <v>0</v>
      </c>
      <c r="BE179" s="1062">
        <f>'No Recurrentes 24-26'!CQ37</f>
        <v>0</v>
      </c>
      <c r="BF179" s="1062">
        <f>'No Recurrentes 24-26'!CR37</f>
        <v>0</v>
      </c>
      <c r="BG179" s="1062">
        <f>'No Recurrentes 24-26'!CS37</f>
        <v>0</v>
      </c>
      <c r="BH179" s="1062">
        <f>'No Recurrentes 24-26'!CT37</f>
        <v>0</v>
      </c>
      <c r="BI179" s="1062">
        <f>'No Recurrentes 24-26'!CU37</f>
        <v>0</v>
      </c>
      <c r="BJ179" s="1062">
        <f>'No Recurrentes 24-26'!CV37</f>
        <v>0</v>
      </c>
      <c r="BK179" s="1068"/>
      <c r="BL179" s="1062">
        <f>'No Recurrentes 24-26'!CW37</f>
        <v>0</v>
      </c>
      <c r="BM179" s="1062">
        <f>'No Recurrentes 24-26'!CX37</f>
        <v>0</v>
      </c>
      <c r="BN179" s="1062">
        <f>'No Recurrentes 24-26'!CY37</f>
        <v>0</v>
      </c>
      <c r="BO179" s="1062">
        <f>'No Recurrentes 24-26'!CZ37</f>
        <v>1357.2</v>
      </c>
      <c r="BP179" s="1062">
        <f>'No Recurrentes 24-26'!DA37</f>
        <v>0</v>
      </c>
      <c r="BQ179" s="1062">
        <f>'No Recurrentes 24-26'!DB37</f>
        <v>0</v>
      </c>
      <c r="BR179" s="1062">
        <f>'No Recurrentes 24-26'!DC37</f>
        <v>0</v>
      </c>
      <c r="BS179" s="1062">
        <f>'No Recurrentes 24-26'!DD37</f>
        <v>108.576</v>
      </c>
      <c r="BT179" s="1062">
        <f>'No Recurrentes 24-26'!DE37</f>
        <v>108.576</v>
      </c>
      <c r="BU179" s="1062">
        <f>'No Recurrentes 24-26'!DF37</f>
        <v>0</v>
      </c>
      <c r="BV179" s="1062">
        <f>'No Recurrentes 24-26'!DG37</f>
        <v>0</v>
      </c>
      <c r="BW179" s="1068"/>
      <c r="BX179" s="1062">
        <f>'No Recurrentes 24-26'!DH37</f>
        <v>1574.352</v>
      </c>
      <c r="BY179" s="1062">
        <f>'No Recurrentes 24-26'!DI37</f>
        <v>0</v>
      </c>
      <c r="BZ179" s="1062">
        <f>'No Recurrentes 24-26'!DJ37</f>
        <v>0</v>
      </c>
      <c r="CA179" s="1062">
        <f>'No Recurrentes 24-26'!DK37</f>
        <v>0</v>
      </c>
      <c r="CB179" s="1062">
        <f>'No Recurrentes 24-26'!DL37</f>
        <v>3040.128</v>
      </c>
      <c r="CC179" s="1062">
        <f>'No Recurrentes 24-26'!DM37</f>
        <v>135.72</v>
      </c>
      <c r="CD179" s="1062">
        <f>'No Recurrentes 24-26'!DN37</f>
        <v>135.72</v>
      </c>
      <c r="CE179" s="1062">
        <f>'No Recurrentes 24-26'!DO37</f>
        <v>108.576</v>
      </c>
      <c r="CF179" s="1062">
        <f>'No Recurrentes 24-26'!DP37</f>
        <v>108.576</v>
      </c>
      <c r="CG179" s="1062">
        <f>'No Recurrentes 24-26'!DQ37</f>
        <v>0</v>
      </c>
      <c r="CH179" s="1062">
        <f>'No Recurrentes 24-26'!DR37</f>
        <v>135.72</v>
      </c>
      <c r="CI179" s="1068"/>
      <c r="CJ179" s="1062">
        <f>'No Recurrentes 24-26'!DS37</f>
        <v>3664.44</v>
      </c>
      <c r="CK179" s="1062">
        <f>'No Recurrentes 24-26'!DT37</f>
        <v>5238.792</v>
      </c>
      <c r="CL179" s="1064" t="str">
        <f>'No Recurrentes 24-26'!DU37</f>
        <v/>
      </c>
      <c r="CM179" s="1064" t="str">
        <f>'No Recurrentes 24-26'!DV37</f>
        <v/>
      </c>
      <c r="CN179" s="1065">
        <f>'No Recurrentes 24-26'!EI37</f>
        <v>0.39</v>
      </c>
      <c r="CO179" s="1065">
        <f>'No Recurrentes 24-26'!EJ37</f>
        <v>0.33</v>
      </c>
      <c r="CP179" s="1060" t="str">
        <f>'No Recurrentes 24-26'!EK37</f>
        <v/>
      </c>
    </row>
    <row r="180">
      <c r="A180" s="451" t="str">
        <f>'No Recurrentes 24-26'!A38</f>
        <v>Repuestos Electromecánicos no recurrentes</v>
      </c>
      <c r="B180" s="451">
        <f>'No Recurrentes 24-26'!B38</f>
        <v>2</v>
      </c>
      <c r="C180" s="451" t="str">
        <f>'No Recurrentes 24-26'!C38</f>
        <v>Estación</v>
      </c>
      <c r="D180" s="451" t="str">
        <f>'No Recurrentes 24-26'!D38</f>
        <v>Mantenimiento Cadenas Transportadoras</v>
      </c>
      <c r="E180" s="451" t="str">
        <f>'No Recurrentes 24-26'!E38</f>
        <v>Repuesto Mecánico</v>
      </c>
      <c r="F180" s="451" t="str">
        <f>'No Recurrentes 24-26'!F38</f>
        <v>TDB</v>
      </c>
      <c r="G180" s="1025" t="str">
        <f>'No Recurrentes 24-26'!G38</f>
        <v>39800</v>
      </c>
      <c r="H180" s="1061" t="str">
        <f>'No Recurrentes 24-26'!H38</f>
        <v/>
      </c>
      <c r="I180" s="1061" t="str">
        <f>'No Recurrentes 24-26'!I38</f>
        <v>11459709</v>
      </c>
      <c r="J180" s="1061" t="str">
        <f>'No Recurrentes 24-26'!J38</f>
        <v>ESLABÓN P. CADENA TRANSP. 2"X17,02 DISTANCIA 8X2"</v>
      </c>
      <c r="K180" s="451" t="str">
        <f>'No Recurrentes 24-26'!K38</f>
        <v>Pza</v>
      </c>
      <c r="L180" s="451" t="str">
        <f>'No Recurrentes 24-26'!BC38</f>
        <v/>
      </c>
      <c r="M180" s="451" t="str">
        <f>'No Recurrentes 24-26'!BD38</f>
        <v/>
      </c>
      <c r="N180" s="451" t="str">
        <f>'No Recurrentes 24-26'!BE38</f>
        <v/>
      </c>
      <c r="O180" s="451" t="str">
        <f>'No Recurrentes 24-26'!BF38</f>
        <v/>
      </c>
      <c r="P180" s="451" t="str">
        <f>'No Recurrentes 24-26'!BG38</f>
        <v/>
      </c>
      <c r="Q180" s="451" t="str">
        <f>'No Recurrentes 24-26'!BH38</f>
        <v/>
      </c>
      <c r="R180" s="451" t="str">
        <f>'No Recurrentes 24-26'!BI38</f>
        <v/>
      </c>
      <c r="S180" s="451" t="str">
        <f>'No Recurrentes 24-26'!BJ38</f>
        <v/>
      </c>
      <c r="T180" s="451" t="str">
        <f>'No Recurrentes 24-26'!BK38</f>
        <v/>
      </c>
      <c r="U180" s="451" t="str">
        <f>'No Recurrentes 24-26'!BL38</f>
        <v/>
      </c>
      <c r="V180" s="1068"/>
      <c r="W180" s="1062">
        <f>'No Recurrentes 24-26'!BM38</f>
        <v>0</v>
      </c>
      <c r="X180" s="1062">
        <f>'No Recurrentes 24-26'!BN38</f>
        <v>8</v>
      </c>
      <c r="Y180" s="1062">
        <f>'No Recurrentes 24-26'!BO38</f>
        <v>8</v>
      </c>
      <c r="Z180" s="1062" t="str">
        <f>'No Recurrentes 24-26'!BP38</f>
        <v/>
      </c>
      <c r="AA180" s="1062" t="str">
        <f>'No Recurrentes 24-26'!BQ38</f>
        <v/>
      </c>
      <c r="AB180" s="1062" t="str">
        <f>'No Recurrentes 24-26'!BR38</f>
        <v/>
      </c>
      <c r="AC180" s="1062" t="str">
        <f>'No Recurrentes 24-26'!BS38</f>
        <v/>
      </c>
      <c r="AD180" s="1062" t="str">
        <f>'No Recurrentes 24-26'!BT38</f>
        <v/>
      </c>
      <c r="AE180" s="1062" t="str">
        <f>'No Recurrentes 24-26'!BU38</f>
        <v/>
      </c>
      <c r="AF180" s="1062" t="str">
        <f>'No Recurrentes 24-26'!BV38</f>
        <v/>
      </c>
      <c r="AG180" s="1062" t="str">
        <f>'No Recurrentes 24-26'!BW38</f>
        <v/>
      </c>
      <c r="AH180" s="1068"/>
      <c r="AI180" s="1062">
        <f>'No Recurrentes 24-26'!BX38</f>
        <v>16</v>
      </c>
      <c r="AJ180" s="1062">
        <f>'No Recurrentes 24-26'!BY38</f>
        <v>0</v>
      </c>
      <c r="AK180" s="1062">
        <f>'No Recurrentes 24-26'!BZ38</f>
        <v>0</v>
      </c>
      <c r="AL180" s="1062">
        <f>'No Recurrentes 24-26'!CA38</f>
        <v>0</v>
      </c>
      <c r="AM180" s="1062">
        <f>'No Recurrentes 24-26'!CB38</f>
        <v>0</v>
      </c>
      <c r="AN180" s="1062">
        <f>'No Recurrentes 24-26'!CC38</f>
        <v>0</v>
      </c>
      <c r="AO180" s="1062">
        <f>'No Recurrentes 24-26'!CD38</f>
        <v>0</v>
      </c>
      <c r="AP180" s="1062">
        <f>'No Recurrentes 24-26'!CE38</f>
        <v>0</v>
      </c>
      <c r="AQ180" s="1062">
        <f>'No Recurrentes 24-26'!CF38</f>
        <v>0</v>
      </c>
      <c r="AR180" s="1062">
        <f>'No Recurrentes 24-26'!CG38</f>
        <v>0</v>
      </c>
      <c r="AS180" s="1062">
        <f>'No Recurrentes 24-26'!CH38</f>
        <v>0</v>
      </c>
      <c r="AT180" s="1068"/>
      <c r="AU180" s="1062">
        <f>'No Recurrentes 24-26'!CI38</f>
        <v>0</v>
      </c>
      <c r="AV180" s="1063">
        <f>'No Recurrentes 24-26'!CJ38</f>
        <v>16</v>
      </c>
      <c r="AW180" s="1068"/>
      <c r="AX180" s="1065">
        <f>'No Recurrentes 24-26'!CK38</f>
        <v>18.23</v>
      </c>
      <c r="AY180" s="1062">
        <f>'No Recurrentes 24-26'!CL38</f>
        <v>126.8808</v>
      </c>
      <c r="AZ180" s="1068"/>
      <c r="BA180" s="1062">
        <f>'No Recurrentes 24-26'!CM38</f>
        <v>0</v>
      </c>
      <c r="BB180" s="1062">
        <f>'No Recurrentes 24-26'!CN38</f>
        <v>0</v>
      </c>
      <c r="BC180" s="1062">
        <f>'No Recurrentes 24-26'!CO38</f>
        <v>0</v>
      </c>
      <c r="BD180" s="1062">
        <f>'No Recurrentes 24-26'!CP38</f>
        <v>0</v>
      </c>
      <c r="BE180" s="1062">
        <f>'No Recurrentes 24-26'!CQ38</f>
        <v>0</v>
      </c>
      <c r="BF180" s="1062">
        <f>'No Recurrentes 24-26'!CR38</f>
        <v>0</v>
      </c>
      <c r="BG180" s="1062">
        <f>'No Recurrentes 24-26'!CS38</f>
        <v>0</v>
      </c>
      <c r="BH180" s="1062">
        <f>'No Recurrentes 24-26'!CT38</f>
        <v>0</v>
      </c>
      <c r="BI180" s="1062">
        <f>'No Recurrentes 24-26'!CU38</f>
        <v>0</v>
      </c>
      <c r="BJ180" s="1062">
        <f>'No Recurrentes 24-26'!CV38</f>
        <v>0</v>
      </c>
      <c r="BK180" s="1068"/>
      <c r="BL180" s="1062">
        <f>'No Recurrentes 24-26'!CW38</f>
        <v>0</v>
      </c>
      <c r="BM180" s="1062">
        <f>'No Recurrentes 24-26'!CX38</f>
        <v>1015.0464</v>
      </c>
      <c r="BN180" s="1062">
        <f>'No Recurrentes 24-26'!CY38</f>
        <v>1015.0464</v>
      </c>
      <c r="BO180" s="1062">
        <f>'No Recurrentes 24-26'!CZ38</f>
        <v>0</v>
      </c>
      <c r="BP180" s="1062">
        <f>'No Recurrentes 24-26'!DA38</f>
        <v>0</v>
      </c>
      <c r="BQ180" s="1062">
        <f>'No Recurrentes 24-26'!DB38</f>
        <v>0</v>
      </c>
      <c r="BR180" s="1062">
        <f>'No Recurrentes 24-26'!DC38</f>
        <v>0</v>
      </c>
      <c r="BS180" s="1062">
        <f>'No Recurrentes 24-26'!DD38</f>
        <v>0</v>
      </c>
      <c r="BT180" s="1062">
        <f>'No Recurrentes 24-26'!DE38</f>
        <v>0</v>
      </c>
      <c r="BU180" s="1062">
        <f>'No Recurrentes 24-26'!DF38</f>
        <v>0</v>
      </c>
      <c r="BV180" s="1062">
        <f>'No Recurrentes 24-26'!DG38</f>
        <v>0</v>
      </c>
      <c r="BW180" s="1068"/>
      <c r="BX180" s="1062">
        <f>'No Recurrentes 24-26'!DH38</f>
        <v>2030.0928</v>
      </c>
      <c r="BY180" s="1062">
        <f>'No Recurrentes 24-26'!DI38</f>
        <v>0</v>
      </c>
      <c r="BZ180" s="1062">
        <f>'No Recurrentes 24-26'!DJ38</f>
        <v>0</v>
      </c>
      <c r="CA180" s="1062">
        <f>'No Recurrentes 24-26'!DK38</f>
        <v>0</v>
      </c>
      <c r="CB180" s="1062">
        <f>'No Recurrentes 24-26'!DL38</f>
        <v>0</v>
      </c>
      <c r="CC180" s="1062">
        <f>'No Recurrentes 24-26'!DM38</f>
        <v>0</v>
      </c>
      <c r="CD180" s="1062">
        <f>'No Recurrentes 24-26'!DN38</f>
        <v>0</v>
      </c>
      <c r="CE180" s="1062">
        <f>'No Recurrentes 24-26'!DO38</f>
        <v>0</v>
      </c>
      <c r="CF180" s="1062">
        <f>'No Recurrentes 24-26'!DP38</f>
        <v>0</v>
      </c>
      <c r="CG180" s="1062">
        <f>'No Recurrentes 24-26'!DQ38</f>
        <v>0</v>
      </c>
      <c r="CH180" s="1062">
        <f>'No Recurrentes 24-26'!DR38</f>
        <v>0</v>
      </c>
      <c r="CI180" s="1068"/>
      <c r="CJ180" s="1062">
        <f>'No Recurrentes 24-26'!DS38</f>
        <v>0</v>
      </c>
      <c r="CK180" s="1062">
        <f>'No Recurrentes 24-26'!DT38</f>
        <v>2030.0928</v>
      </c>
      <c r="CL180" s="1064" t="str">
        <f>'No Recurrentes 24-26'!DU38</f>
        <v/>
      </c>
      <c r="CM180" s="1064" t="str">
        <f>'No Recurrentes 24-26'!DV38</f>
        <v/>
      </c>
      <c r="CN180" s="1065">
        <f>'No Recurrentes 24-26'!EI38</f>
        <v>18.23</v>
      </c>
      <c r="CO180" s="1065">
        <f>'No Recurrentes 24-26'!EJ38</f>
        <v>15.5</v>
      </c>
      <c r="CP180" s="1060" t="str">
        <f>'No Recurrentes 24-26'!EK38</f>
        <v/>
      </c>
    </row>
    <row r="181">
      <c r="A181" s="451" t="str">
        <f>'No Recurrentes 24-26'!A39</f>
        <v>Repuestos Electromecánicos no recurrentes</v>
      </c>
      <c r="B181" s="451">
        <f>'No Recurrentes 24-26'!B39</f>
        <v>2</v>
      </c>
      <c r="C181" s="451" t="str">
        <f>'No Recurrentes 24-26'!C39</f>
        <v>Estación</v>
      </c>
      <c r="D181" s="451" t="str">
        <f>'No Recurrentes 24-26'!D39</f>
        <v>Mantenimiento Cadenas Transportadoras</v>
      </c>
      <c r="E181" s="451" t="str">
        <f>'No Recurrentes 24-26'!E39</f>
        <v>Repuesto Mecánico</v>
      </c>
      <c r="F181" s="451" t="str">
        <f>'No Recurrentes 24-26'!F39</f>
        <v>TDB</v>
      </c>
      <c r="G181" s="1025" t="str">
        <f>'No Recurrentes 24-26'!G39</f>
        <v>39800</v>
      </c>
      <c r="H181" s="1061" t="str">
        <f>'No Recurrentes 24-26'!H39</f>
        <v>2-01-00185</v>
      </c>
      <c r="I181" s="1061" t="str">
        <f>'No Recurrentes 24-26'!I39</f>
        <v>10014372</v>
      </c>
      <c r="J181" s="1061" t="str">
        <f>'No Recurrentes 24-26'!J39</f>
        <v>RESORTE TORS.2,00X19,0/15,0X10 DIN 2088</v>
      </c>
      <c r="K181" s="451" t="str">
        <f>'No Recurrentes 24-26'!K39</f>
        <v>Pza</v>
      </c>
      <c r="L181" s="451" t="str">
        <f>'No Recurrentes 24-26'!BC39</f>
        <v/>
      </c>
      <c r="M181" s="451" t="str">
        <f>'No Recurrentes 24-26'!BD39</f>
        <v/>
      </c>
      <c r="N181" s="451" t="str">
        <f>'No Recurrentes 24-26'!BE39</f>
        <v/>
      </c>
      <c r="O181" s="451" t="str">
        <f>'No Recurrentes 24-26'!BF39</f>
        <v/>
      </c>
      <c r="P181" s="451" t="str">
        <f>'No Recurrentes 24-26'!BG39</f>
        <v/>
      </c>
      <c r="Q181" s="451" t="str">
        <f>'No Recurrentes 24-26'!BH39</f>
        <v/>
      </c>
      <c r="R181" s="451" t="str">
        <f>'No Recurrentes 24-26'!BI39</f>
        <v/>
      </c>
      <c r="S181" s="451" t="str">
        <f>'No Recurrentes 24-26'!BJ39</f>
        <v/>
      </c>
      <c r="T181" s="451" t="str">
        <f>'No Recurrentes 24-26'!BK39</f>
        <v/>
      </c>
      <c r="U181" s="451" t="str">
        <f>'No Recurrentes 24-26'!BL39</f>
        <v/>
      </c>
      <c r="V181" s="1068"/>
      <c r="W181" s="1062">
        <f>'No Recurrentes 24-26'!BM39</f>
        <v>0</v>
      </c>
      <c r="X181" s="1062" t="str">
        <f>'No Recurrentes 24-26'!BN39</f>
        <v/>
      </c>
      <c r="Y181" s="1062" t="str">
        <f>'No Recurrentes 24-26'!BO39</f>
        <v/>
      </c>
      <c r="Z181" s="1062">
        <f>'No Recurrentes 24-26'!BP39</f>
        <v>50</v>
      </c>
      <c r="AA181" s="1062" t="str">
        <f>'No Recurrentes 24-26'!BQ39</f>
        <v/>
      </c>
      <c r="AB181" s="1062" t="str">
        <f>'No Recurrentes 24-26'!BR39</f>
        <v/>
      </c>
      <c r="AC181" s="1062" t="str">
        <f>'No Recurrentes 24-26'!BS39</f>
        <v/>
      </c>
      <c r="AD181" s="1062">
        <f>'No Recurrentes 24-26'!BT39</f>
        <v>10</v>
      </c>
      <c r="AE181" s="1062">
        <f>'No Recurrentes 24-26'!BU39</f>
        <v>10</v>
      </c>
      <c r="AF181" s="1062" t="str">
        <f>'No Recurrentes 24-26'!BV39</f>
        <v/>
      </c>
      <c r="AG181" s="1062">
        <f>'No Recurrentes 24-26'!BW39</f>
        <v>0</v>
      </c>
      <c r="AH181" s="1068"/>
      <c r="AI181" s="1062">
        <f>'No Recurrentes 24-26'!BX39</f>
        <v>70</v>
      </c>
      <c r="AJ181" s="1062">
        <f>'No Recurrentes 24-26'!BY39</f>
        <v>0</v>
      </c>
      <c r="AK181" s="1062">
        <f>'No Recurrentes 24-26'!BZ39</f>
        <v>0</v>
      </c>
      <c r="AL181" s="1062">
        <f>'No Recurrentes 24-26'!CA39</f>
        <v>0</v>
      </c>
      <c r="AM181" s="1062">
        <f>'No Recurrentes 24-26'!CB39</f>
        <v>15</v>
      </c>
      <c r="AN181" s="1062">
        <f>'No Recurrentes 24-26'!CC39</f>
        <v>15</v>
      </c>
      <c r="AO181" s="1062">
        <f>'No Recurrentes 24-26'!CD39</f>
        <v>20</v>
      </c>
      <c r="AP181" s="1062">
        <f>'No Recurrentes 24-26'!CE39</f>
        <v>10</v>
      </c>
      <c r="AQ181" s="1062">
        <f>'No Recurrentes 24-26'!CF39</f>
        <v>10</v>
      </c>
      <c r="AR181" s="1062">
        <f>'No Recurrentes 24-26'!CG39</f>
        <v>0</v>
      </c>
      <c r="AS181" s="1062">
        <f>'No Recurrentes 24-26'!CH39</f>
        <v>0</v>
      </c>
      <c r="AT181" s="1068"/>
      <c r="AU181" s="1062">
        <f>'No Recurrentes 24-26'!CI39</f>
        <v>70</v>
      </c>
      <c r="AV181" s="1063">
        <f>'No Recurrentes 24-26'!CJ39</f>
        <v>140</v>
      </c>
      <c r="AW181" s="1068"/>
      <c r="AX181" s="1065">
        <f>'No Recurrentes 24-26'!CK39</f>
        <v>1.73</v>
      </c>
      <c r="AY181" s="1062">
        <f>'No Recurrentes 24-26'!CL39</f>
        <v>12.0408</v>
      </c>
      <c r="AZ181" s="1068"/>
      <c r="BA181" s="1062">
        <f>'No Recurrentes 24-26'!CM39</f>
        <v>0</v>
      </c>
      <c r="BB181" s="1062">
        <f>'No Recurrentes 24-26'!CN39</f>
        <v>0</v>
      </c>
      <c r="BC181" s="1062">
        <f>'No Recurrentes 24-26'!CO39</f>
        <v>0</v>
      </c>
      <c r="BD181" s="1062">
        <f>'No Recurrentes 24-26'!CP39</f>
        <v>0</v>
      </c>
      <c r="BE181" s="1062">
        <f>'No Recurrentes 24-26'!CQ39</f>
        <v>0</v>
      </c>
      <c r="BF181" s="1062">
        <f>'No Recurrentes 24-26'!CR39</f>
        <v>0</v>
      </c>
      <c r="BG181" s="1062">
        <f>'No Recurrentes 24-26'!CS39</f>
        <v>0</v>
      </c>
      <c r="BH181" s="1062">
        <f>'No Recurrentes 24-26'!CT39</f>
        <v>0</v>
      </c>
      <c r="BI181" s="1062">
        <f>'No Recurrentes 24-26'!CU39</f>
        <v>0</v>
      </c>
      <c r="BJ181" s="1062">
        <f>'No Recurrentes 24-26'!CV39</f>
        <v>0</v>
      </c>
      <c r="BK181" s="1068"/>
      <c r="BL181" s="1062">
        <f>'No Recurrentes 24-26'!CW39</f>
        <v>0</v>
      </c>
      <c r="BM181" s="1062">
        <f>'No Recurrentes 24-26'!CX39</f>
        <v>0</v>
      </c>
      <c r="BN181" s="1062">
        <f>'No Recurrentes 24-26'!CY39</f>
        <v>0</v>
      </c>
      <c r="BO181" s="1062">
        <f>'No Recurrentes 24-26'!CZ39</f>
        <v>602.04</v>
      </c>
      <c r="BP181" s="1062">
        <f>'No Recurrentes 24-26'!DA39</f>
        <v>0</v>
      </c>
      <c r="BQ181" s="1062">
        <f>'No Recurrentes 24-26'!DB39</f>
        <v>0</v>
      </c>
      <c r="BR181" s="1062">
        <f>'No Recurrentes 24-26'!DC39</f>
        <v>0</v>
      </c>
      <c r="BS181" s="1062">
        <f>'No Recurrentes 24-26'!DD39</f>
        <v>120.408</v>
      </c>
      <c r="BT181" s="1062">
        <f>'No Recurrentes 24-26'!DE39</f>
        <v>120.408</v>
      </c>
      <c r="BU181" s="1062">
        <f>'No Recurrentes 24-26'!DF39</f>
        <v>0</v>
      </c>
      <c r="BV181" s="1062">
        <f>'No Recurrentes 24-26'!DG39</f>
        <v>0</v>
      </c>
      <c r="BW181" s="1068"/>
      <c r="BX181" s="1062">
        <f>'No Recurrentes 24-26'!DH39</f>
        <v>842.856</v>
      </c>
      <c r="BY181" s="1062">
        <f>'No Recurrentes 24-26'!DI39</f>
        <v>0</v>
      </c>
      <c r="BZ181" s="1062">
        <f>'No Recurrentes 24-26'!DJ39</f>
        <v>0</v>
      </c>
      <c r="CA181" s="1062">
        <f>'No Recurrentes 24-26'!DK39</f>
        <v>0</v>
      </c>
      <c r="CB181" s="1062">
        <f>'No Recurrentes 24-26'!DL39</f>
        <v>180.612</v>
      </c>
      <c r="CC181" s="1062">
        <f>'No Recurrentes 24-26'!DM39</f>
        <v>180.612</v>
      </c>
      <c r="CD181" s="1062">
        <f>'No Recurrentes 24-26'!DN39</f>
        <v>240.816</v>
      </c>
      <c r="CE181" s="1062">
        <f>'No Recurrentes 24-26'!DO39</f>
        <v>120.408</v>
      </c>
      <c r="CF181" s="1062">
        <f>'No Recurrentes 24-26'!DP39</f>
        <v>120.408</v>
      </c>
      <c r="CG181" s="1062">
        <f>'No Recurrentes 24-26'!DQ39</f>
        <v>0</v>
      </c>
      <c r="CH181" s="1062">
        <f>'No Recurrentes 24-26'!DR39</f>
        <v>0</v>
      </c>
      <c r="CI181" s="1068"/>
      <c r="CJ181" s="1062">
        <f>'No Recurrentes 24-26'!DS39</f>
        <v>842.856</v>
      </c>
      <c r="CK181" s="1062">
        <f>'No Recurrentes 24-26'!DT39</f>
        <v>1685.712</v>
      </c>
      <c r="CL181" s="1064" t="str">
        <f>'No Recurrentes 24-26'!DU39</f>
        <v/>
      </c>
      <c r="CM181" s="1064" t="str">
        <f>'No Recurrentes 24-26'!DV39</f>
        <v/>
      </c>
      <c r="CN181" s="1065">
        <f>'No Recurrentes 24-26'!EI39</f>
        <v>1.73</v>
      </c>
      <c r="CO181" s="1065">
        <f>'No Recurrentes 24-26'!EJ39</f>
        <v>1.47</v>
      </c>
      <c r="CP181" s="1060" t="str">
        <f>'No Recurrentes 24-26'!EK39</f>
        <v/>
      </c>
    </row>
    <row r="182">
      <c r="A182" s="451" t="str">
        <f>'No Recurrentes 24-26'!A40</f>
        <v>Repuestos Electromecánicos no recurrentes</v>
      </c>
      <c r="B182" s="451">
        <f>'No Recurrentes 24-26'!B40</f>
        <v>2</v>
      </c>
      <c r="C182" s="451" t="str">
        <f>'No Recurrentes 24-26'!C40</f>
        <v>Estación</v>
      </c>
      <c r="D182" s="451" t="str">
        <f>'No Recurrentes 24-26'!D40</f>
        <v>Mantenimiento Cadenas Transportadoras</v>
      </c>
      <c r="E182" s="451" t="str">
        <f>'No Recurrentes 24-26'!E40</f>
        <v>Repuesto Mecánico</v>
      </c>
      <c r="F182" s="451" t="str">
        <f>'No Recurrentes 24-26'!F40</f>
        <v>TDB</v>
      </c>
      <c r="G182" s="1025" t="str">
        <f>'No Recurrentes 24-26'!G40</f>
        <v>39800</v>
      </c>
      <c r="H182" s="1061" t="str">
        <f>'No Recurrentes 24-26'!H40</f>
        <v>2-01-00024</v>
      </c>
      <c r="I182" s="1061" t="str">
        <f>'No Recurrentes 24-26'!I40</f>
        <v>10000079</v>
      </c>
      <c r="J182" s="1061" t="str">
        <f>'No Recurrentes 24-26'!J40</f>
        <v>TUERCA HEXAG. DIN 985-8 M10 ELECTROGALV. (C.ELEM.DE FIJAC.)</v>
      </c>
      <c r="K182" s="451" t="str">
        <f>'No Recurrentes 24-26'!K40</f>
        <v>Pza</v>
      </c>
      <c r="L182" s="451" t="str">
        <f>'No Recurrentes 24-26'!BC40</f>
        <v/>
      </c>
      <c r="M182" s="451" t="str">
        <f>'No Recurrentes 24-26'!BD40</f>
        <v/>
      </c>
      <c r="N182" s="451" t="str">
        <f>'No Recurrentes 24-26'!BE40</f>
        <v/>
      </c>
      <c r="O182" s="451" t="str">
        <f>'No Recurrentes 24-26'!BF40</f>
        <v/>
      </c>
      <c r="P182" s="451" t="str">
        <f>'No Recurrentes 24-26'!BG40</f>
        <v/>
      </c>
      <c r="Q182" s="451" t="str">
        <f>'No Recurrentes 24-26'!BH40</f>
        <v/>
      </c>
      <c r="R182" s="451" t="str">
        <f>'No Recurrentes 24-26'!BI40</f>
        <v/>
      </c>
      <c r="S182" s="451" t="str">
        <f>'No Recurrentes 24-26'!BJ40</f>
        <v/>
      </c>
      <c r="T182" s="451" t="str">
        <f>'No Recurrentes 24-26'!BK40</f>
        <v/>
      </c>
      <c r="U182" s="451" t="str">
        <f>'No Recurrentes 24-26'!BL40</f>
        <v/>
      </c>
      <c r="V182" s="1068"/>
      <c r="W182" s="1062">
        <f>'No Recurrentes 24-26'!BM40</f>
        <v>0</v>
      </c>
      <c r="X182" s="1062">
        <f>'No Recurrentes 24-26'!BN40</f>
        <v>200</v>
      </c>
      <c r="Y182" s="1062" t="str">
        <f>'No Recurrentes 24-26'!BO40</f>
        <v/>
      </c>
      <c r="Z182" s="1062">
        <f>'No Recurrentes 24-26'!BP40</f>
        <v>250</v>
      </c>
      <c r="AA182" s="1062" t="str">
        <f>'No Recurrentes 24-26'!BQ40</f>
        <v/>
      </c>
      <c r="AB182" s="1062" t="str">
        <f>'No Recurrentes 24-26'!BR40</f>
        <v/>
      </c>
      <c r="AC182" s="1062" t="str">
        <f>'No Recurrentes 24-26'!BS40</f>
        <v/>
      </c>
      <c r="AD182" s="1062">
        <f>'No Recurrentes 24-26'!BT40</f>
        <v>20</v>
      </c>
      <c r="AE182" s="1062">
        <f>'No Recurrentes 24-26'!BU40</f>
        <v>20</v>
      </c>
      <c r="AF182" s="1062" t="str">
        <f>'No Recurrentes 24-26'!BV40</f>
        <v/>
      </c>
      <c r="AG182" s="1062" t="str">
        <f>'No Recurrentes 24-26'!BW40</f>
        <v/>
      </c>
      <c r="AH182" s="1068"/>
      <c r="AI182" s="1062">
        <f>'No Recurrentes 24-26'!BX40</f>
        <v>490</v>
      </c>
      <c r="AJ182" s="1062">
        <f>'No Recurrentes 24-26'!BY40</f>
        <v>0</v>
      </c>
      <c r="AK182" s="1062">
        <f>'No Recurrentes 24-26'!BZ40</f>
        <v>200</v>
      </c>
      <c r="AL182" s="1062" t="str">
        <f>'No Recurrentes 24-26'!CA40</f>
        <v/>
      </c>
      <c r="AM182" s="1062">
        <f>'No Recurrentes 24-26'!CB40</f>
        <v>280</v>
      </c>
      <c r="AN182" s="1062">
        <f>'No Recurrentes 24-26'!CC40</f>
        <v>30</v>
      </c>
      <c r="AO182" s="1062">
        <f>'No Recurrentes 24-26'!CD40</f>
        <v>30</v>
      </c>
      <c r="AP182" s="1062">
        <f>'No Recurrentes 24-26'!CE40</f>
        <v>20</v>
      </c>
      <c r="AQ182" s="1062" t="str">
        <f>'No Recurrentes 24-26'!CF40</f>
        <v/>
      </c>
      <c r="AR182" s="1062" t="str">
        <f>'No Recurrentes 24-26'!CG40</f>
        <v/>
      </c>
      <c r="AS182" s="1062">
        <f>'No Recurrentes 24-26'!CH40</f>
        <v>25</v>
      </c>
      <c r="AT182" s="1068"/>
      <c r="AU182" s="1062">
        <f>'No Recurrentes 24-26'!CI40</f>
        <v>585</v>
      </c>
      <c r="AV182" s="1063">
        <f>'No Recurrentes 24-26'!CJ40</f>
        <v>1075</v>
      </c>
      <c r="AW182" s="1068"/>
      <c r="AX182" s="1065">
        <f>'No Recurrentes 24-26'!CK40</f>
        <v>0.23</v>
      </c>
      <c r="AY182" s="1062">
        <f>'No Recurrentes 24-26'!CL40</f>
        <v>1.6008</v>
      </c>
      <c r="AZ182" s="1068"/>
      <c r="BA182" s="1062">
        <f>'No Recurrentes 24-26'!CM40</f>
        <v>0</v>
      </c>
      <c r="BB182" s="1062">
        <f>'No Recurrentes 24-26'!CN40</f>
        <v>0</v>
      </c>
      <c r="BC182" s="1062">
        <f>'No Recurrentes 24-26'!CO40</f>
        <v>0</v>
      </c>
      <c r="BD182" s="1062">
        <f>'No Recurrentes 24-26'!CP40</f>
        <v>0</v>
      </c>
      <c r="BE182" s="1062">
        <f>'No Recurrentes 24-26'!CQ40</f>
        <v>0</v>
      </c>
      <c r="BF182" s="1062">
        <f>'No Recurrentes 24-26'!CR40</f>
        <v>0</v>
      </c>
      <c r="BG182" s="1062">
        <f>'No Recurrentes 24-26'!CS40</f>
        <v>0</v>
      </c>
      <c r="BH182" s="1062">
        <f>'No Recurrentes 24-26'!CT40</f>
        <v>0</v>
      </c>
      <c r="BI182" s="1062">
        <f>'No Recurrentes 24-26'!CU40</f>
        <v>0</v>
      </c>
      <c r="BJ182" s="1062">
        <f>'No Recurrentes 24-26'!CV40</f>
        <v>0</v>
      </c>
      <c r="BK182" s="1068"/>
      <c r="BL182" s="1062">
        <f>'No Recurrentes 24-26'!CW40</f>
        <v>0</v>
      </c>
      <c r="BM182" s="1062">
        <f>'No Recurrentes 24-26'!CX40</f>
        <v>320.16</v>
      </c>
      <c r="BN182" s="1062">
        <f>'No Recurrentes 24-26'!CY40</f>
        <v>0</v>
      </c>
      <c r="BO182" s="1062">
        <f>'No Recurrentes 24-26'!CZ40</f>
        <v>400.2</v>
      </c>
      <c r="BP182" s="1062">
        <f>'No Recurrentes 24-26'!DA40</f>
        <v>0</v>
      </c>
      <c r="BQ182" s="1062">
        <f>'No Recurrentes 24-26'!DB40</f>
        <v>0</v>
      </c>
      <c r="BR182" s="1062">
        <f>'No Recurrentes 24-26'!DC40</f>
        <v>0</v>
      </c>
      <c r="BS182" s="1062">
        <f>'No Recurrentes 24-26'!DD40</f>
        <v>32.016</v>
      </c>
      <c r="BT182" s="1062">
        <f>'No Recurrentes 24-26'!DE40</f>
        <v>32.016</v>
      </c>
      <c r="BU182" s="1062">
        <f>'No Recurrentes 24-26'!DF40</f>
        <v>0</v>
      </c>
      <c r="BV182" s="1062">
        <f>'No Recurrentes 24-26'!DG40</f>
        <v>0</v>
      </c>
      <c r="BW182" s="1068"/>
      <c r="BX182" s="1062">
        <f>'No Recurrentes 24-26'!DH40</f>
        <v>784.392</v>
      </c>
      <c r="BY182" s="1062">
        <f>'No Recurrentes 24-26'!DI40</f>
        <v>0</v>
      </c>
      <c r="BZ182" s="1062">
        <f>'No Recurrentes 24-26'!DJ40</f>
        <v>320.16</v>
      </c>
      <c r="CA182" s="1062">
        <f>'No Recurrentes 24-26'!DK40</f>
        <v>0</v>
      </c>
      <c r="CB182" s="1062">
        <f>'No Recurrentes 24-26'!DL40</f>
        <v>448.224</v>
      </c>
      <c r="CC182" s="1062">
        <f>'No Recurrentes 24-26'!DM40</f>
        <v>48.024</v>
      </c>
      <c r="CD182" s="1062">
        <f>'No Recurrentes 24-26'!DN40</f>
        <v>48.024</v>
      </c>
      <c r="CE182" s="1062">
        <f>'No Recurrentes 24-26'!DO40</f>
        <v>32.016</v>
      </c>
      <c r="CF182" s="1062">
        <f>'No Recurrentes 24-26'!DP40</f>
        <v>0</v>
      </c>
      <c r="CG182" s="1062">
        <f>'No Recurrentes 24-26'!DQ40</f>
        <v>0</v>
      </c>
      <c r="CH182" s="1062">
        <f>'No Recurrentes 24-26'!DR40</f>
        <v>40.02</v>
      </c>
      <c r="CI182" s="1068"/>
      <c r="CJ182" s="1062">
        <f>'No Recurrentes 24-26'!DS40</f>
        <v>936.468</v>
      </c>
      <c r="CK182" s="1062">
        <f>'No Recurrentes 24-26'!DT40</f>
        <v>1720.86</v>
      </c>
      <c r="CL182" s="1064" t="str">
        <f>'No Recurrentes 24-26'!DU40</f>
        <v/>
      </c>
      <c r="CM182" s="1064" t="str">
        <f>'No Recurrentes 24-26'!DV40</f>
        <v/>
      </c>
      <c r="CN182" s="1065">
        <f>'No Recurrentes 24-26'!EI40</f>
        <v>0.23</v>
      </c>
      <c r="CO182" s="1065">
        <f>'No Recurrentes 24-26'!EJ40</f>
        <v>0.2</v>
      </c>
      <c r="CP182" s="1060" t="str">
        <f>'No Recurrentes 24-26'!EK40</f>
        <v/>
      </c>
    </row>
    <row r="183">
      <c r="A183" s="451" t="str">
        <f>'No Recurrentes 24-26'!A41</f>
        <v>Repuestos Electromecánicos no recurrentes</v>
      </c>
      <c r="B183" s="451">
        <f>'No Recurrentes 24-26'!B41</f>
        <v>2</v>
      </c>
      <c r="C183" s="451" t="str">
        <f>'No Recurrentes 24-26'!C41</f>
        <v>Estación</v>
      </c>
      <c r="D183" s="451" t="str">
        <f>'No Recurrentes 24-26'!D41</f>
        <v>Mantenimiento Cadenas Transportadoras</v>
      </c>
      <c r="E183" s="451" t="str">
        <f>'No Recurrentes 24-26'!E41</f>
        <v>Repuesto Mecánico</v>
      </c>
      <c r="F183" s="451" t="str">
        <f>'No Recurrentes 24-26'!F41</f>
        <v>TDB</v>
      </c>
      <c r="G183" s="1025" t="str">
        <f>'No Recurrentes 24-26'!G41</f>
        <v>39800</v>
      </c>
      <c r="H183" s="1061" t="str">
        <f>'No Recurrentes 24-26'!H41</f>
        <v/>
      </c>
      <c r="I183" s="1061" t="str">
        <f>'No Recurrentes 24-26'!I41</f>
        <v>10510139</v>
      </c>
      <c r="J183" s="1061" t="str">
        <f>'No Recurrentes 24-26'!J41</f>
        <v>TORNILLO ISO 4014-8.8 M8X130 GALV. TORN. HEXAG.</v>
      </c>
      <c r="K183" s="451" t="str">
        <f>'No Recurrentes 24-26'!K41</f>
        <v>Pza</v>
      </c>
      <c r="L183" s="451" t="str">
        <f>'No Recurrentes 24-26'!BC41</f>
        <v/>
      </c>
      <c r="M183" s="451" t="str">
        <f>'No Recurrentes 24-26'!BD41</f>
        <v/>
      </c>
      <c r="N183" s="451" t="str">
        <f>'No Recurrentes 24-26'!BE41</f>
        <v/>
      </c>
      <c r="O183" s="451" t="str">
        <f>'No Recurrentes 24-26'!BF41</f>
        <v/>
      </c>
      <c r="P183" s="451" t="str">
        <f>'No Recurrentes 24-26'!BG41</f>
        <v/>
      </c>
      <c r="Q183" s="451" t="str">
        <f>'No Recurrentes 24-26'!BH41</f>
        <v/>
      </c>
      <c r="R183" s="451" t="str">
        <f>'No Recurrentes 24-26'!BI41</f>
        <v/>
      </c>
      <c r="S183" s="451" t="str">
        <f>'No Recurrentes 24-26'!BJ41</f>
        <v/>
      </c>
      <c r="T183" s="451" t="str">
        <f>'No Recurrentes 24-26'!BK41</f>
        <v/>
      </c>
      <c r="U183" s="451" t="str">
        <f>'No Recurrentes 24-26'!BL41</f>
        <v/>
      </c>
      <c r="V183" s="1068"/>
      <c r="W183" s="1062">
        <f>'No Recurrentes 24-26'!BM41</f>
        <v>0</v>
      </c>
      <c r="X183" s="1062" t="str">
        <f>'No Recurrentes 24-26'!BN41</f>
        <v/>
      </c>
      <c r="Y183" s="1062" t="str">
        <f>'No Recurrentes 24-26'!BO41</f>
        <v/>
      </c>
      <c r="Z183" s="1062" t="str">
        <f>'No Recurrentes 24-26'!BP41</f>
        <v/>
      </c>
      <c r="AA183" s="1062" t="str">
        <f>'No Recurrentes 24-26'!BQ41</f>
        <v/>
      </c>
      <c r="AB183" s="1062" t="str">
        <f>'No Recurrentes 24-26'!BR41</f>
        <v/>
      </c>
      <c r="AC183" s="1062" t="str">
        <f>'No Recurrentes 24-26'!BS41</f>
        <v/>
      </c>
      <c r="AD183" s="1062" t="str">
        <f>'No Recurrentes 24-26'!BT41</f>
        <v/>
      </c>
      <c r="AE183" s="1062">
        <f>'No Recurrentes 24-26'!BU41</f>
        <v>60</v>
      </c>
      <c r="AF183" s="1062" t="str">
        <f>'No Recurrentes 24-26'!BV41</f>
        <v/>
      </c>
      <c r="AG183" s="1062" t="str">
        <f>'No Recurrentes 24-26'!BW41</f>
        <v/>
      </c>
      <c r="AH183" s="1068"/>
      <c r="AI183" s="1062">
        <f>'No Recurrentes 24-26'!BX41</f>
        <v>60</v>
      </c>
      <c r="AJ183" s="1062">
        <f>'No Recurrentes 24-26'!BY41</f>
        <v>0</v>
      </c>
      <c r="AK183" s="1062">
        <f>'No Recurrentes 24-26'!BZ41</f>
        <v>0</v>
      </c>
      <c r="AL183" s="1062">
        <f>'No Recurrentes 24-26'!CA41</f>
        <v>0</v>
      </c>
      <c r="AM183" s="1062">
        <f>'No Recurrentes 24-26'!CB41</f>
        <v>0</v>
      </c>
      <c r="AN183" s="1062">
        <f>'No Recurrentes 24-26'!CC41</f>
        <v>0</v>
      </c>
      <c r="AO183" s="1062">
        <f>'No Recurrentes 24-26'!CD41</f>
        <v>0</v>
      </c>
      <c r="AP183" s="1062">
        <f>'No Recurrentes 24-26'!CE41</f>
        <v>0</v>
      </c>
      <c r="AQ183" s="1062">
        <f>'No Recurrentes 24-26'!CF41</f>
        <v>0</v>
      </c>
      <c r="AR183" s="1062">
        <f>'No Recurrentes 24-26'!CG41</f>
        <v>0</v>
      </c>
      <c r="AS183" s="1062">
        <f>'No Recurrentes 24-26'!CH41</f>
        <v>0</v>
      </c>
      <c r="AT183" s="1068"/>
      <c r="AU183" s="1062">
        <f>'No Recurrentes 24-26'!CI41</f>
        <v>0</v>
      </c>
      <c r="AV183" s="1063">
        <f>'No Recurrentes 24-26'!CJ41</f>
        <v>60</v>
      </c>
      <c r="AW183" s="1068"/>
      <c r="AX183" s="1065">
        <f>'No Recurrentes 24-26'!CK41</f>
        <v>1.27</v>
      </c>
      <c r="AY183" s="1062">
        <f>'No Recurrentes 24-26'!CL41</f>
        <v>8.8392</v>
      </c>
      <c r="AZ183" s="1068"/>
      <c r="BA183" s="1062">
        <f>'No Recurrentes 24-26'!CM41</f>
        <v>0</v>
      </c>
      <c r="BB183" s="1062">
        <f>'No Recurrentes 24-26'!CN41</f>
        <v>0</v>
      </c>
      <c r="BC183" s="1062">
        <f>'No Recurrentes 24-26'!CO41</f>
        <v>0</v>
      </c>
      <c r="BD183" s="1062">
        <f>'No Recurrentes 24-26'!CP41</f>
        <v>0</v>
      </c>
      <c r="BE183" s="1062">
        <f>'No Recurrentes 24-26'!CQ41</f>
        <v>0</v>
      </c>
      <c r="BF183" s="1062">
        <f>'No Recurrentes 24-26'!CR41</f>
        <v>0</v>
      </c>
      <c r="BG183" s="1062">
        <f>'No Recurrentes 24-26'!CS41</f>
        <v>0</v>
      </c>
      <c r="BH183" s="1062">
        <f>'No Recurrentes 24-26'!CT41</f>
        <v>0</v>
      </c>
      <c r="BI183" s="1062">
        <f>'No Recurrentes 24-26'!CU41</f>
        <v>0</v>
      </c>
      <c r="BJ183" s="1062">
        <f>'No Recurrentes 24-26'!CV41</f>
        <v>0</v>
      </c>
      <c r="BK183" s="1068"/>
      <c r="BL183" s="1062">
        <f>'No Recurrentes 24-26'!CW41</f>
        <v>0</v>
      </c>
      <c r="BM183" s="1062">
        <f>'No Recurrentes 24-26'!CX41</f>
        <v>0</v>
      </c>
      <c r="BN183" s="1062">
        <f>'No Recurrentes 24-26'!CY41</f>
        <v>0</v>
      </c>
      <c r="BO183" s="1062">
        <f>'No Recurrentes 24-26'!CZ41</f>
        <v>0</v>
      </c>
      <c r="BP183" s="1062">
        <f>'No Recurrentes 24-26'!DA41</f>
        <v>0</v>
      </c>
      <c r="BQ183" s="1062">
        <f>'No Recurrentes 24-26'!DB41</f>
        <v>0</v>
      </c>
      <c r="BR183" s="1062">
        <f>'No Recurrentes 24-26'!DC41</f>
        <v>0</v>
      </c>
      <c r="BS183" s="1062">
        <f>'No Recurrentes 24-26'!DD41</f>
        <v>0</v>
      </c>
      <c r="BT183" s="1062">
        <f>'No Recurrentes 24-26'!DE41</f>
        <v>530.352</v>
      </c>
      <c r="BU183" s="1062">
        <f>'No Recurrentes 24-26'!DF41</f>
        <v>0</v>
      </c>
      <c r="BV183" s="1062">
        <f>'No Recurrentes 24-26'!DG41</f>
        <v>0</v>
      </c>
      <c r="BW183" s="1068"/>
      <c r="BX183" s="1062">
        <f>'No Recurrentes 24-26'!DH41</f>
        <v>530.352</v>
      </c>
      <c r="BY183" s="1062">
        <f>'No Recurrentes 24-26'!DI41</f>
        <v>0</v>
      </c>
      <c r="BZ183" s="1062">
        <f>'No Recurrentes 24-26'!DJ41</f>
        <v>0</v>
      </c>
      <c r="CA183" s="1062">
        <f>'No Recurrentes 24-26'!DK41</f>
        <v>0</v>
      </c>
      <c r="CB183" s="1062">
        <f>'No Recurrentes 24-26'!DL41</f>
        <v>0</v>
      </c>
      <c r="CC183" s="1062">
        <f>'No Recurrentes 24-26'!DM41</f>
        <v>0</v>
      </c>
      <c r="CD183" s="1062">
        <f>'No Recurrentes 24-26'!DN41</f>
        <v>0</v>
      </c>
      <c r="CE183" s="1062">
        <f>'No Recurrentes 24-26'!DO41</f>
        <v>0</v>
      </c>
      <c r="CF183" s="1062">
        <f>'No Recurrentes 24-26'!DP41</f>
        <v>0</v>
      </c>
      <c r="CG183" s="1062">
        <f>'No Recurrentes 24-26'!DQ41</f>
        <v>0</v>
      </c>
      <c r="CH183" s="1062">
        <f>'No Recurrentes 24-26'!DR41</f>
        <v>0</v>
      </c>
      <c r="CI183" s="1068"/>
      <c r="CJ183" s="1062">
        <f>'No Recurrentes 24-26'!DS41</f>
        <v>0</v>
      </c>
      <c r="CK183" s="1062">
        <f>'No Recurrentes 24-26'!DT41</f>
        <v>530.352</v>
      </c>
      <c r="CL183" s="1064" t="str">
        <f>'No Recurrentes 24-26'!DU41</f>
        <v/>
      </c>
      <c r="CM183" s="1064" t="str">
        <f>'No Recurrentes 24-26'!DV41</f>
        <v/>
      </c>
      <c r="CN183" s="1065">
        <f>'No Recurrentes 24-26'!EI41</f>
        <v>1.27</v>
      </c>
      <c r="CO183" s="1065">
        <f>'No Recurrentes 24-26'!EJ41</f>
        <v>1.08</v>
      </c>
      <c r="CP183" s="1060" t="str">
        <f>'No Recurrentes 24-26'!EK41</f>
        <v/>
      </c>
    </row>
    <row r="184">
      <c r="A184" s="451" t="str">
        <f>'No Recurrentes 24-26'!A42</f>
        <v>Repuestos Electromecánicos no recurrentes</v>
      </c>
      <c r="B184" s="451">
        <f>'No Recurrentes 24-26'!B42</f>
        <v>2</v>
      </c>
      <c r="C184" s="451" t="str">
        <f>'No Recurrentes 24-26'!C42</f>
        <v>Estación</v>
      </c>
      <c r="D184" s="451" t="str">
        <f>'No Recurrentes 24-26'!D42</f>
        <v>Mantenimiento Cadenas Transportadoras</v>
      </c>
      <c r="E184" s="451" t="str">
        <f>'No Recurrentes 24-26'!E42</f>
        <v>Repuesto Mecánico</v>
      </c>
      <c r="F184" s="451" t="str">
        <f>'No Recurrentes 24-26'!F42</f>
        <v>TDB</v>
      </c>
      <c r="G184" s="1025" t="str">
        <f>'No Recurrentes 24-26'!G42</f>
        <v>39800</v>
      </c>
      <c r="H184" s="1061" t="str">
        <f>'No Recurrentes 24-26'!H42</f>
        <v>2-01-00008</v>
      </c>
      <c r="I184" s="1061" t="str">
        <f>'No Recurrentes 24-26'!I42</f>
        <v>10405979</v>
      </c>
      <c r="J184" s="1061" t="str">
        <f>'No Recurrentes 24-26'!J42</f>
        <v>UÑA - CADENA P.TRANSP. 165X155 S=19   D=10,0</v>
      </c>
      <c r="K184" s="451" t="str">
        <f>'No Recurrentes 24-26'!K42</f>
        <v>Pza</v>
      </c>
      <c r="L184" s="451" t="str">
        <f>'No Recurrentes 24-26'!BC42</f>
        <v/>
      </c>
      <c r="M184" s="451" t="str">
        <f>'No Recurrentes 24-26'!BD42</f>
        <v/>
      </c>
      <c r="N184" s="451" t="str">
        <f>'No Recurrentes 24-26'!BE42</f>
        <v/>
      </c>
      <c r="O184" s="451" t="str">
        <f>'No Recurrentes 24-26'!BF42</f>
        <v/>
      </c>
      <c r="P184" s="451" t="str">
        <f>'No Recurrentes 24-26'!BG42</f>
        <v/>
      </c>
      <c r="Q184" s="451" t="str">
        <f>'No Recurrentes 24-26'!BH42</f>
        <v/>
      </c>
      <c r="R184" s="451" t="str">
        <f>'No Recurrentes 24-26'!BI42</f>
        <v/>
      </c>
      <c r="S184" s="451" t="str">
        <f>'No Recurrentes 24-26'!BJ42</f>
        <v/>
      </c>
      <c r="T184" s="451" t="str">
        <f>'No Recurrentes 24-26'!BK42</f>
        <v/>
      </c>
      <c r="U184" s="451" t="str">
        <f>'No Recurrentes 24-26'!BL42</f>
        <v/>
      </c>
      <c r="V184" s="1068"/>
      <c r="W184" s="1062">
        <f>'No Recurrentes 24-26'!BM42</f>
        <v>0</v>
      </c>
      <c r="X184" s="1062" t="str">
        <f>'No Recurrentes 24-26'!BN42</f>
        <v/>
      </c>
      <c r="Y184" s="1062" t="str">
        <f>'No Recurrentes 24-26'!BO42</f>
        <v/>
      </c>
      <c r="Z184" s="1062" t="str">
        <f>'No Recurrentes 24-26'!BP42</f>
        <v/>
      </c>
      <c r="AA184" s="1062" t="str">
        <f>'No Recurrentes 24-26'!BQ42</f>
        <v/>
      </c>
      <c r="AB184" s="1062" t="str">
        <f>'No Recurrentes 24-26'!BR42</f>
        <v/>
      </c>
      <c r="AC184" s="1062" t="str">
        <f>'No Recurrentes 24-26'!BS42</f>
        <v/>
      </c>
      <c r="AD184" s="1062">
        <f>'No Recurrentes 24-26'!BT42</f>
        <v>2</v>
      </c>
      <c r="AE184" s="1062">
        <f>'No Recurrentes 24-26'!BU42</f>
        <v>2</v>
      </c>
      <c r="AF184" s="1062" t="str">
        <f>'No Recurrentes 24-26'!BV42</f>
        <v/>
      </c>
      <c r="AG184" s="1062" t="str">
        <f>'No Recurrentes 24-26'!BW42</f>
        <v/>
      </c>
      <c r="AH184" s="1068"/>
      <c r="AI184" s="1062">
        <f>'No Recurrentes 24-26'!BX42</f>
        <v>4</v>
      </c>
      <c r="AJ184" s="1062">
        <f>'No Recurrentes 24-26'!BY42</f>
        <v>0</v>
      </c>
      <c r="AK184" s="1062">
        <f>'No Recurrentes 24-26'!BZ42</f>
        <v>0</v>
      </c>
      <c r="AL184" s="1062">
        <f>'No Recurrentes 24-26'!CA42</f>
        <v>0</v>
      </c>
      <c r="AM184" s="1062">
        <f>'No Recurrentes 24-26'!CB42</f>
        <v>0</v>
      </c>
      <c r="AN184" s="1062">
        <f>'No Recurrentes 24-26'!CC42</f>
        <v>0</v>
      </c>
      <c r="AO184" s="1062">
        <f>'No Recurrentes 24-26'!CD42</f>
        <v>0</v>
      </c>
      <c r="AP184" s="1062">
        <f>'No Recurrentes 24-26'!CE42</f>
        <v>2</v>
      </c>
      <c r="AQ184" s="1062" t="str">
        <f>'No Recurrentes 24-26'!CF42</f>
        <v/>
      </c>
      <c r="AR184" s="1062">
        <f>'No Recurrentes 24-26'!CG42</f>
        <v>0</v>
      </c>
      <c r="AS184" s="1062">
        <f>'No Recurrentes 24-26'!CH42</f>
        <v>0</v>
      </c>
      <c r="AT184" s="1068"/>
      <c r="AU184" s="1062">
        <f>'No Recurrentes 24-26'!CI42</f>
        <v>2</v>
      </c>
      <c r="AV184" s="1063">
        <f>'No Recurrentes 24-26'!CJ42</f>
        <v>6</v>
      </c>
      <c r="AW184" s="1068"/>
      <c r="AX184" s="1065">
        <f>'No Recurrentes 24-26'!CK42</f>
        <v>17.54</v>
      </c>
      <c r="AY184" s="1062">
        <f>'No Recurrentes 24-26'!CL42</f>
        <v>122.0784</v>
      </c>
      <c r="AZ184" s="1068"/>
      <c r="BA184" s="1062">
        <f>'No Recurrentes 24-26'!CM42</f>
        <v>0</v>
      </c>
      <c r="BB184" s="1062">
        <f>'No Recurrentes 24-26'!CN42</f>
        <v>0</v>
      </c>
      <c r="BC184" s="1062">
        <f>'No Recurrentes 24-26'!CO42</f>
        <v>0</v>
      </c>
      <c r="BD184" s="1062">
        <f>'No Recurrentes 24-26'!CP42</f>
        <v>0</v>
      </c>
      <c r="BE184" s="1062">
        <f>'No Recurrentes 24-26'!CQ42</f>
        <v>0</v>
      </c>
      <c r="BF184" s="1062">
        <f>'No Recurrentes 24-26'!CR42</f>
        <v>0</v>
      </c>
      <c r="BG184" s="1062">
        <f>'No Recurrentes 24-26'!CS42</f>
        <v>0</v>
      </c>
      <c r="BH184" s="1062">
        <f>'No Recurrentes 24-26'!CT42</f>
        <v>0</v>
      </c>
      <c r="BI184" s="1062">
        <f>'No Recurrentes 24-26'!CU42</f>
        <v>0</v>
      </c>
      <c r="BJ184" s="1062">
        <f>'No Recurrentes 24-26'!CV42</f>
        <v>0</v>
      </c>
      <c r="BK184" s="1068"/>
      <c r="BL184" s="1062">
        <f>'No Recurrentes 24-26'!CW42</f>
        <v>0</v>
      </c>
      <c r="BM184" s="1062">
        <f>'No Recurrentes 24-26'!CX42</f>
        <v>0</v>
      </c>
      <c r="BN184" s="1062">
        <f>'No Recurrentes 24-26'!CY42</f>
        <v>0</v>
      </c>
      <c r="BO184" s="1062">
        <f>'No Recurrentes 24-26'!CZ42</f>
        <v>0</v>
      </c>
      <c r="BP184" s="1062">
        <f>'No Recurrentes 24-26'!DA42</f>
        <v>0</v>
      </c>
      <c r="BQ184" s="1062">
        <f>'No Recurrentes 24-26'!DB42</f>
        <v>0</v>
      </c>
      <c r="BR184" s="1062">
        <f>'No Recurrentes 24-26'!DC42</f>
        <v>0</v>
      </c>
      <c r="BS184" s="1062">
        <f>'No Recurrentes 24-26'!DD42</f>
        <v>244.1568</v>
      </c>
      <c r="BT184" s="1062">
        <f>'No Recurrentes 24-26'!DE42</f>
        <v>244.1568</v>
      </c>
      <c r="BU184" s="1062">
        <f>'No Recurrentes 24-26'!DF42</f>
        <v>0</v>
      </c>
      <c r="BV184" s="1062">
        <f>'No Recurrentes 24-26'!DG42</f>
        <v>0</v>
      </c>
      <c r="BW184" s="1068"/>
      <c r="BX184" s="1062">
        <f>'No Recurrentes 24-26'!DH42</f>
        <v>488.3136</v>
      </c>
      <c r="BY184" s="1062">
        <f>'No Recurrentes 24-26'!DI42</f>
        <v>0</v>
      </c>
      <c r="BZ184" s="1062">
        <f>'No Recurrentes 24-26'!DJ42</f>
        <v>0</v>
      </c>
      <c r="CA184" s="1062">
        <f>'No Recurrentes 24-26'!DK42</f>
        <v>0</v>
      </c>
      <c r="CB184" s="1062">
        <f>'No Recurrentes 24-26'!DL42</f>
        <v>0</v>
      </c>
      <c r="CC184" s="1062">
        <f>'No Recurrentes 24-26'!DM42</f>
        <v>0</v>
      </c>
      <c r="CD184" s="1062">
        <f>'No Recurrentes 24-26'!DN42</f>
        <v>0</v>
      </c>
      <c r="CE184" s="1062">
        <f>'No Recurrentes 24-26'!DO42</f>
        <v>244.1568</v>
      </c>
      <c r="CF184" s="1062">
        <f>'No Recurrentes 24-26'!DP42</f>
        <v>0</v>
      </c>
      <c r="CG184" s="1062">
        <f>'No Recurrentes 24-26'!DQ42</f>
        <v>0</v>
      </c>
      <c r="CH184" s="1062">
        <f>'No Recurrentes 24-26'!DR42</f>
        <v>0</v>
      </c>
      <c r="CI184" s="1068"/>
      <c r="CJ184" s="1062">
        <f>'No Recurrentes 24-26'!DS42</f>
        <v>244.1568</v>
      </c>
      <c r="CK184" s="1062">
        <f>'No Recurrentes 24-26'!DT42</f>
        <v>732.4704</v>
      </c>
      <c r="CL184" s="1064" t="str">
        <f>'No Recurrentes 24-26'!DU42</f>
        <v/>
      </c>
      <c r="CM184" s="1064" t="str">
        <f>'No Recurrentes 24-26'!DV42</f>
        <v/>
      </c>
      <c r="CN184" s="1065">
        <f>'No Recurrentes 24-26'!EI42</f>
        <v>17.54</v>
      </c>
      <c r="CO184" s="1065">
        <f>'No Recurrentes 24-26'!EJ42</f>
        <v>14.91</v>
      </c>
      <c r="CP184" s="1060" t="str">
        <f>'No Recurrentes 24-26'!EK42</f>
        <v/>
      </c>
    </row>
    <row r="185">
      <c r="A185" s="451" t="str">
        <f>'No Recurrentes 24-26'!A43</f>
        <v>Repuestos Electromecánicos no recurrentes</v>
      </c>
      <c r="B185" s="451">
        <f>'No Recurrentes 24-26'!B43</f>
        <v>2</v>
      </c>
      <c r="C185" s="451" t="str">
        <f>'No Recurrentes 24-26'!C43</f>
        <v>Estación</v>
      </c>
      <c r="D185" s="451" t="str">
        <f>'No Recurrentes 24-26'!D43</f>
        <v>Mantenimiento Cadenas Transportadoras</v>
      </c>
      <c r="E185" s="451" t="str">
        <f>'No Recurrentes 24-26'!E43</f>
        <v>Repuesto Mecánico</v>
      </c>
      <c r="F185" s="451" t="str">
        <f>'No Recurrentes 24-26'!F43</f>
        <v>TDB</v>
      </c>
      <c r="G185" s="1025" t="str">
        <f>'No Recurrentes 24-26'!G43</f>
        <v>39800</v>
      </c>
      <c r="H185" s="1061" t="str">
        <f>'No Recurrentes 24-26'!H43</f>
        <v>2-01-00100</v>
      </c>
      <c r="I185" s="1061" t="str">
        <f>'No Recurrentes 24-26'!I43</f>
        <v>10871603</v>
      </c>
      <c r="J185" s="1061" t="str">
        <f>'No Recurrentes 24-26'!J43</f>
        <v>ARANDELA ISO 7089 M12 300AR FLZNNC-720H-L LAM.CINC SIN BISEL</v>
      </c>
      <c r="K185" s="451" t="str">
        <f>'No Recurrentes 24-26'!K43</f>
        <v>Pza</v>
      </c>
      <c r="L185" s="451" t="str">
        <f>'No Recurrentes 24-26'!BC43</f>
        <v/>
      </c>
      <c r="M185" s="451" t="str">
        <f>'No Recurrentes 24-26'!BD43</f>
        <v/>
      </c>
      <c r="N185" s="451" t="str">
        <f>'No Recurrentes 24-26'!BE43</f>
        <v/>
      </c>
      <c r="O185" s="451" t="str">
        <f>'No Recurrentes 24-26'!BF43</f>
        <v/>
      </c>
      <c r="P185" s="451" t="str">
        <f>'No Recurrentes 24-26'!BG43</f>
        <v/>
      </c>
      <c r="Q185" s="451" t="str">
        <f>'No Recurrentes 24-26'!BH43</f>
        <v/>
      </c>
      <c r="R185" s="451" t="str">
        <f>'No Recurrentes 24-26'!BI43</f>
        <v/>
      </c>
      <c r="S185" s="451" t="str">
        <f>'No Recurrentes 24-26'!BJ43</f>
        <v/>
      </c>
      <c r="T185" s="451" t="str">
        <f>'No Recurrentes 24-26'!BK43</f>
        <v/>
      </c>
      <c r="U185" s="451" t="str">
        <f>'No Recurrentes 24-26'!BL43</f>
        <v/>
      </c>
      <c r="V185" s="1068"/>
      <c r="W185" s="1062">
        <f>'No Recurrentes 24-26'!BM43</f>
        <v>0</v>
      </c>
      <c r="X185" s="1062" t="str">
        <f>'No Recurrentes 24-26'!BN43</f>
        <v/>
      </c>
      <c r="Y185" s="1062" t="str">
        <f>'No Recurrentes 24-26'!BO43</f>
        <v/>
      </c>
      <c r="Z185" s="1062" t="str">
        <f>'No Recurrentes 24-26'!BP43</f>
        <v/>
      </c>
      <c r="AA185" s="1062">
        <f>'No Recurrentes 24-26'!BQ43</f>
        <v>30</v>
      </c>
      <c r="AB185" s="1062">
        <f>'No Recurrentes 24-26'!BR43</f>
        <v>30</v>
      </c>
      <c r="AC185" s="1062">
        <f>'No Recurrentes 24-26'!BS43</f>
        <v>60</v>
      </c>
      <c r="AD185" s="1062">
        <f>'No Recurrentes 24-26'!BT43</f>
        <v>2</v>
      </c>
      <c r="AE185" s="1062">
        <f>'No Recurrentes 24-26'!BU43</f>
        <v>2</v>
      </c>
      <c r="AF185" s="1062" t="str">
        <f>'No Recurrentes 24-26'!BV43</f>
        <v/>
      </c>
      <c r="AG185" s="1062" t="str">
        <f>'No Recurrentes 24-26'!BW43</f>
        <v/>
      </c>
      <c r="AH185" s="1068"/>
      <c r="AI185" s="1062">
        <f>'No Recurrentes 24-26'!BX43</f>
        <v>124</v>
      </c>
      <c r="AJ185" s="1062" t="str">
        <f>'No Recurrentes 24-26'!BY43</f>
        <v/>
      </c>
      <c r="AK185" s="1062" t="str">
        <f>'No Recurrentes 24-26'!BZ43</f>
        <v/>
      </c>
      <c r="AL185" s="1062" t="str">
        <f>'No Recurrentes 24-26'!CA43</f>
        <v/>
      </c>
      <c r="AM185" s="1062" t="str">
        <f>'No Recurrentes 24-26'!CB43</f>
        <v/>
      </c>
      <c r="AN185" s="1062" t="str">
        <f>'No Recurrentes 24-26'!CC43</f>
        <v/>
      </c>
      <c r="AO185" s="1062" t="str">
        <f>'No Recurrentes 24-26'!CD43</f>
        <v/>
      </c>
      <c r="AP185" s="1062" t="str">
        <f>'No Recurrentes 24-26'!CE43</f>
        <v/>
      </c>
      <c r="AQ185" s="1062" t="str">
        <f>'No Recurrentes 24-26'!CF43</f>
        <v/>
      </c>
      <c r="AR185" s="1062" t="str">
        <f>'No Recurrentes 24-26'!CG43</f>
        <v/>
      </c>
      <c r="AS185" s="1062" t="str">
        <f>'No Recurrentes 24-26'!CH43</f>
        <v/>
      </c>
      <c r="AT185" s="1068"/>
      <c r="AU185" s="1062">
        <f>'No Recurrentes 24-26'!CI43</f>
        <v>0</v>
      </c>
      <c r="AV185" s="1063">
        <f>'No Recurrentes 24-26'!CJ43</f>
        <v>124</v>
      </c>
      <c r="AW185" s="1068"/>
      <c r="AX185" s="1065">
        <f>'No Recurrentes 24-26'!CK43</f>
        <v>0.23</v>
      </c>
      <c r="AY185" s="1062">
        <f>'No Recurrentes 24-26'!CL43</f>
        <v>1.6008</v>
      </c>
      <c r="AZ185" s="1068"/>
      <c r="BA185" s="1062">
        <f>'No Recurrentes 24-26'!CM43</f>
        <v>0</v>
      </c>
      <c r="BB185" s="1062">
        <f>'No Recurrentes 24-26'!CN43</f>
        <v>0</v>
      </c>
      <c r="BC185" s="1062">
        <f>'No Recurrentes 24-26'!CO43</f>
        <v>0</v>
      </c>
      <c r="BD185" s="1062">
        <f>'No Recurrentes 24-26'!CP43</f>
        <v>0</v>
      </c>
      <c r="BE185" s="1062">
        <f>'No Recurrentes 24-26'!CQ43</f>
        <v>0</v>
      </c>
      <c r="BF185" s="1062">
        <f>'No Recurrentes 24-26'!CR43</f>
        <v>0</v>
      </c>
      <c r="BG185" s="1062">
        <f>'No Recurrentes 24-26'!CS43</f>
        <v>0</v>
      </c>
      <c r="BH185" s="1062">
        <f>'No Recurrentes 24-26'!CT43</f>
        <v>0</v>
      </c>
      <c r="BI185" s="1062">
        <f>'No Recurrentes 24-26'!CU43</f>
        <v>0</v>
      </c>
      <c r="BJ185" s="1062">
        <f>'No Recurrentes 24-26'!CV43</f>
        <v>0</v>
      </c>
      <c r="BK185" s="1068"/>
      <c r="BL185" s="1062">
        <f>'No Recurrentes 24-26'!CW43</f>
        <v>0</v>
      </c>
      <c r="BM185" s="1062">
        <f>'No Recurrentes 24-26'!CX43</f>
        <v>0</v>
      </c>
      <c r="BN185" s="1062">
        <f>'No Recurrentes 24-26'!CY43</f>
        <v>0</v>
      </c>
      <c r="BO185" s="1062">
        <f>'No Recurrentes 24-26'!CZ43</f>
        <v>0</v>
      </c>
      <c r="BP185" s="1062">
        <f>'No Recurrentes 24-26'!DA43</f>
        <v>48.024</v>
      </c>
      <c r="BQ185" s="1062">
        <f>'No Recurrentes 24-26'!DB43</f>
        <v>48.024</v>
      </c>
      <c r="BR185" s="1062">
        <f>'No Recurrentes 24-26'!DC43</f>
        <v>96.048</v>
      </c>
      <c r="BS185" s="1062">
        <f>'No Recurrentes 24-26'!DD43</f>
        <v>3.2016</v>
      </c>
      <c r="BT185" s="1062">
        <f>'No Recurrentes 24-26'!DE43</f>
        <v>3.2016</v>
      </c>
      <c r="BU185" s="1062">
        <f>'No Recurrentes 24-26'!DF43</f>
        <v>0</v>
      </c>
      <c r="BV185" s="1062">
        <f>'No Recurrentes 24-26'!DG43</f>
        <v>0</v>
      </c>
      <c r="BW185" s="1068"/>
      <c r="BX185" s="1062">
        <f>'No Recurrentes 24-26'!DH43</f>
        <v>198.4992</v>
      </c>
      <c r="BY185" s="1062">
        <f>'No Recurrentes 24-26'!DI43</f>
        <v>0</v>
      </c>
      <c r="BZ185" s="1062">
        <f>'No Recurrentes 24-26'!DJ43</f>
        <v>0</v>
      </c>
      <c r="CA185" s="1062">
        <f>'No Recurrentes 24-26'!DK43</f>
        <v>0</v>
      </c>
      <c r="CB185" s="1062">
        <f>'No Recurrentes 24-26'!DL43</f>
        <v>0</v>
      </c>
      <c r="CC185" s="1062">
        <f>'No Recurrentes 24-26'!DM43</f>
        <v>0</v>
      </c>
      <c r="CD185" s="1062">
        <f>'No Recurrentes 24-26'!DN43</f>
        <v>0</v>
      </c>
      <c r="CE185" s="1062">
        <f>'No Recurrentes 24-26'!DO43</f>
        <v>0</v>
      </c>
      <c r="CF185" s="1062">
        <f>'No Recurrentes 24-26'!DP43</f>
        <v>0</v>
      </c>
      <c r="CG185" s="1062">
        <f>'No Recurrentes 24-26'!DQ43</f>
        <v>0</v>
      </c>
      <c r="CH185" s="1062">
        <f>'No Recurrentes 24-26'!DR43</f>
        <v>0</v>
      </c>
      <c r="CI185" s="1068"/>
      <c r="CJ185" s="1062">
        <f>'No Recurrentes 24-26'!DS43</f>
        <v>0</v>
      </c>
      <c r="CK185" s="1062">
        <f>'No Recurrentes 24-26'!DT43</f>
        <v>198.4992</v>
      </c>
      <c r="CL185" s="1064" t="str">
        <f>'No Recurrentes 24-26'!DU43</f>
        <v/>
      </c>
      <c r="CM185" s="1064" t="str">
        <f>'No Recurrentes 24-26'!DV43</f>
        <v/>
      </c>
      <c r="CN185" s="1065">
        <f>'No Recurrentes 24-26'!EI43</f>
        <v>0.23</v>
      </c>
      <c r="CO185" s="1065">
        <f>'No Recurrentes 24-26'!EJ43</f>
        <v>0.2</v>
      </c>
      <c r="CP185" s="1060" t="str">
        <f>'No Recurrentes 24-26'!EK43</f>
        <v/>
      </c>
    </row>
    <row r="186">
      <c r="A186" s="451" t="str">
        <f>'No Recurrentes 24-26'!A44</f>
        <v>Repuestos Electromecánicos no recurrentes</v>
      </c>
      <c r="B186" s="451">
        <f>'No Recurrentes 24-26'!B44</f>
        <v>2</v>
      </c>
      <c r="C186" s="451" t="str">
        <f>'No Recurrentes 24-26'!C44</f>
        <v>Estación</v>
      </c>
      <c r="D186" s="451" t="str">
        <f>'No Recurrentes 24-26'!D44</f>
        <v>Mantenimiento Cadenas Transportadoras</v>
      </c>
      <c r="E186" s="451" t="str">
        <f>'No Recurrentes 24-26'!E44</f>
        <v>Repuesto Mecánico</v>
      </c>
      <c r="F186" s="451" t="str">
        <f>'No Recurrentes 24-26'!F44</f>
        <v>TDB</v>
      </c>
      <c r="G186" s="1025" t="str">
        <f>'No Recurrentes 24-26'!G44</f>
        <v>39800</v>
      </c>
      <c r="H186" s="1061" t="str">
        <f>'No Recurrentes 24-26'!H44</f>
        <v>2-01-00183</v>
      </c>
      <c r="I186" s="1061" t="str">
        <f>'No Recurrentes 24-26'!I44</f>
        <v>10001135</v>
      </c>
      <c r="J186" s="1061" t="str">
        <f>'No Recurrentes 24-26'!J44</f>
        <v>TORNILLO DIN 931-8.8 M6X35, TORN.HEX., GALVAN. (ISO 4014)</v>
      </c>
      <c r="K186" s="451" t="str">
        <f>'No Recurrentes 24-26'!K44</f>
        <v>Pza</v>
      </c>
      <c r="L186" s="451" t="str">
        <f>'No Recurrentes 24-26'!BC44</f>
        <v/>
      </c>
      <c r="M186" s="451" t="str">
        <f>'No Recurrentes 24-26'!BD44</f>
        <v/>
      </c>
      <c r="N186" s="451" t="str">
        <f>'No Recurrentes 24-26'!BE44</f>
        <v/>
      </c>
      <c r="O186" s="451" t="str">
        <f>'No Recurrentes 24-26'!BF44</f>
        <v/>
      </c>
      <c r="P186" s="451" t="str">
        <f>'No Recurrentes 24-26'!BG44</f>
        <v/>
      </c>
      <c r="Q186" s="451" t="str">
        <f>'No Recurrentes 24-26'!BH44</f>
        <v/>
      </c>
      <c r="R186" s="451" t="str">
        <f>'No Recurrentes 24-26'!BI44</f>
        <v/>
      </c>
      <c r="S186" s="451" t="str">
        <f>'No Recurrentes 24-26'!BJ44</f>
        <v/>
      </c>
      <c r="T186" s="451" t="str">
        <f>'No Recurrentes 24-26'!BK44</f>
        <v/>
      </c>
      <c r="U186" s="451" t="str">
        <f>'No Recurrentes 24-26'!BL44</f>
        <v/>
      </c>
      <c r="V186" s="1068"/>
      <c r="W186" s="1062">
        <f>'No Recurrentes 24-26'!BM44</f>
        <v>0</v>
      </c>
      <c r="X186" s="1062">
        <f>'No Recurrentes 24-26'!BN44</f>
        <v>0</v>
      </c>
      <c r="Y186" s="1062" t="str">
        <f>'No Recurrentes 24-26'!BO44</f>
        <v/>
      </c>
      <c r="Z186" s="1062">
        <f>'No Recurrentes 24-26'!BP44</f>
        <v>250</v>
      </c>
      <c r="AA186" s="1062" t="str">
        <f>'No Recurrentes 24-26'!BQ44</f>
        <v/>
      </c>
      <c r="AB186" s="1062" t="str">
        <f>'No Recurrentes 24-26'!BR44</f>
        <v/>
      </c>
      <c r="AC186" s="1062" t="str">
        <f>'No Recurrentes 24-26'!BS44</f>
        <v/>
      </c>
      <c r="AD186" s="1062">
        <f>'No Recurrentes 24-26'!BT44</f>
        <v>4</v>
      </c>
      <c r="AE186" s="1062">
        <f>'No Recurrentes 24-26'!BU44</f>
        <v>4</v>
      </c>
      <c r="AF186" s="1062" t="str">
        <f>'No Recurrentes 24-26'!BV44</f>
        <v/>
      </c>
      <c r="AG186" s="1062" t="str">
        <f>'No Recurrentes 24-26'!BW44</f>
        <v/>
      </c>
      <c r="AH186" s="1068"/>
      <c r="AI186" s="1062">
        <f>'No Recurrentes 24-26'!BX44</f>
        <v>258</v>
      </c>
      <c r="AJ186" s="1062" t="str">
        <f>'No Recurrentes 24-26'!BY44</f>
        <v/>
      </c>
      <c r="AK186" s="1062">
        <f>'No Recurrentes 24-26'!BZ44</f>
        <v>200</v>
      </c>
      <c r="AL186" s="1062" t="str">
        <f>'No Recurrentes 24-26'!CA44</f>
        <v/>
      </c>
      <c r="AM186" s="1062">
        <f>'No Recurrentes 24-26'!CB44</f>
        <v>280</v>
      </c>
      <c r="AN186" s="1062">
        <f>'No Recurrentes 24-26'!CC44</f>
        <v>220</v>
      </c>
      <c r="AO186" s="1062">
        <f>'No Recurrentes 24-26'!CD44</f>
        <v>250</v>
      </c>
      <c r="AP186" s="1062">
        <f>'No Recurrentes 24-26'!CE44</f>
        <v>4</v>
      </c>
      <c r="AQ186" s="1062" t="str">
        <f>'No Recurrentes 24-26'!CF44</f>
        <v/>
      </c>
      <c r="AR186" s="1062" t="str">
        <f>'No Recurrentes 24-26'!CG44</f>
        <v/>
      </c>
      <c r="AS186" s="1062">
        <f>'No Recurrentes 24-26'!CH44</f>
        <v>4</v>
      </c>
      <c r="AT186" s="1068"/>
      <c r="AU186" s="1062">
        <f>'No Recurrentes 24-26'!CI44</f>
        <v>958</v>
      </c>
      <c r="AV186" s="1063">
        <f>'No Recurrentes 24-26'!CJ44</f>
        <v>1216</v>
      </c>
      <c r="AW186" s="1068"/>
      <c r="AX186" s="1065">
        <f>'No Recurrentes 24-26'!CK44</f>
        <v>0.11</v>
      </c>
      <c r="AY186" s="1062">
        <f>'No Recurrentes 24-26'!CL44</f>
        <v>0.7656</v>
      </c>
      <c r="AZ186" s="1068"/>
      <c r="BA186" s="1062">
        <f>'No Recurrentes 24-26'!CM44</f>
        <v>0</v>
      </c>
      <c r="BB186" s="1062">
        <f>'No Recurrentes 24-26'!CN44</f>
        <v>0</v>
      </c>
      <c r="BC186" s="1062">
        <f>'No Recurrentes 24-26'!CO44</f>
        <v>0</v>
      </c>
      <c r="BD186" s="1062">
        <f>'No Recurrentes 24-26'!CP44</f>
        <v>0</v>
      </c>
      <c r="BE186" s="1062">
        <f>'No Recurrentes 24-26'!CQ44</f>
        <v>0</v>
      </c>
      <c r="BF186" s="1062">
        <f>'No Recurrentes 24-26'!CR44</f>
        <v>0</v>
      </c>
      <c r="BG186" s="1062">
        <f>'No Recurrentes 24-26'!CS44</f>
        <v>0</v>
      </c>
      <c r="BH186" s="1062">
        <f>'No Recurrentes 24-26'!CT44</f>
        <v>0</v>
      </c>
      <c r="BI186" s="1062">
        <f>'No Recurrentes 24-26'!CU44</f>
        <v>0</v>
      </c>
      <c r="BJ186" s="1062">
        <f>'No Recurrentes 24-26'!CV44</f>
        <v>0</v>
      </c>
      <c r="BK186" s="1068"/>
      <c r="BL186" s="1062">
        <f>'No Recurrentes 24-26'!CW44</f>
        <v>0</v>
      </c>
      <c r="BM186" s="1062">
        <f>'No Recurrentes 24-26'!CX44</f>
        <v>0</v>
      </c>
      <c r="BN186" s="1062">
        <f>'No Recurrentes 24-26'!CY44</f>
        <v>0</v>
      </c>
      <c r="BO186" s="1062">
        <f>'No Recurrentes 24-26'!CZ44</f>
        <v>191.4</v>
      </c>
      <c r="BP186" s="1062">
        <f>'No Recurrentes 24-26'!DA44</f>
        <v>0</v>
      </c>
      <c r="BQ186" s="1062">
        <f>'No Recurrentes 24-26'!DB44</f>
        <v>0</v>
      </c>
      <c r="BR186" s="1062">
        <f>'No Recurrentes 24-26'!DC44</f>
        <v>0</v>
      </c>
      <c r="BS186" s="1062">
        <f>'No Recurrentes 24-26'!DD44</f>
        <v>3.0624</v>
      </c>
      <c r="BT186" s="1062">
        <f>'No Recurrentes 24-26'!DE44</f>
        <v>3.0624</v>
      </c>
      <c r="BU186" s="1062">
        <f>'No Recurrentes 24-26'!DF44</f>
        <v>0</v>
      </c>
      <c r="BV186" s="1062">
        <f>'No Recurrentes 24-26'!DG44</f>
        <v>0</v>
      </c>
      <c r="BW186" s="1068"/>
      <c r="BX186" s="1062">
        <f>'No Recurrentes 24-26'!DH44</f>
        <v>197.5248</v>
      </c>
      <c r="BY186" s="1062">
        <f>'No Recurrentes 24-26'!DI44</f>
        <v>0</v>
      </c>
      <c r="BZ186" s="1062">
        <f>'No Recurrentes 24-26'!DJ44</f>
        <v>153.12</v>
      </c>
      <c r="CA186" s="1062">
        <f>'No Recurrentes 24-26'!DK44</f>
        <v>0</v>
      </c>
      <c r="CB186" s="1062">
        <f>'No Recurrentes 24-26'!DL44</f>
        <v>214.368</v>
      </c>
      <c r="CC186" s="1062">
        <f>'No Recurrentes 24-26'!DM44</f>
        <v>168.432</v>
      </c>
      <c r="CD186" s="1062">
        <f>'No Recurrentes 24-26'!DN44</f>
        <v>191.4</v>
      </c>
      <c r="CE186" s="1062">
        <f>'No Recurrentes 24-26'!DO44</f>
        <v>3.0624</v>
      </c>
      <c r="CF186" s="1062">
        <f>'No Recurrentes 24-26'!DP44</f>
        <v>0</v>
      </c>
      <c r="CG186" s="1062">
        <f>'No Recurrentes 24-26'!DQ44</f>
        <v>0</v>
      </c>
      <c r="CH186" s="1062">
        <f>'No Recurrentes 24-26'!DR44</f>
        <v>3.0624</v>
      </c>
      <c r="CI186" s="1068"/>
      <c r="CJ186" s="1062">
        <f>'No Recurrentes 24-26'!DS44</f>
        <v>733.4448</v>
      </c>
      <c r="CK186" s="1062">
        <f>'No Recurrentes 24-26'!DT44</f>
        <v>930.9696</v>
      </c>
      <c r="CL186" s="1064" t="str">
        <f>'No Recurrentes 24-26'!DU44</f>
        <v/>
      </c>
      <c r="CM186" s="1064" t="str">
        <f>'No Recurrentes 24-26'!DV44</f>
        <v/>
      </c>
      <c r="CN186" s="1065">
        <f>'No Recurrentes 24-26'!EI44</f>
        <v>0.11</v>
      </c>
      <c r="CO186" s="1065">
        <f>'No Recurrentes 24-26'!EJ44</f>
        <v>0.09</v>
      </c>
      <c r="CP186" s="1060" t="str">
        <f>'No Recurrentes 24-26'!EK44</f>
        <v/>
      </c>
    </row>
    <row r="187">
      <c r="A187" s="451" t="str">
        <f>'No Recurrentes 24-26'!A45</f>
        <v>Repuestos Electromecánicos no recurrentes</v>
      </c>
      <c r="B187" s="451">
        <f>'No Recurrentes 24-26'!B45</f>
        <v>2</v>
      </c>
      <c r="C187" s="451" t="str">
        <f>'No Recurrentes 24-26'!C45</f>
        <v>Estación</v>
      </c>
      <c r="D187" s="451" t="str">
        <f>'No Recurrentes 24-26'!D45</f>
        <v>Mantenimiento Cadenas Transportadoras</v>
      </c>
      <c r="E187" s="451" t="str">
        <f>'No Recurrentes 24-26'!E45</f>
        <v>Repuesto Mecánico</v>
      </c>
      <c r="F187" s="451" t="str">
        <f>'No Recurrentes 24-26'!F45</f>
        <v>TDB</v>
      </c>
      <c r="G187" s="1025" t="str">
        <f>'No Recurrentes 24-26'!G45</f>
        <v>39800</v>
      </c>
      <c r="H187" s="1061" t="str">
        <f>'No Recurrentes 24-26'!H45</f>
        <v>2-01-00178</v>
      </c>
      <c r="I187" s="1061" t="str">
        <f>'No Recurrentes 24-26'!I45</f>
        <v>10396893</v>
      </c>
      <c r="J187" s="1061" t="str">
        <f>'No Recurrentes 24-26'!J45</f>
        <v>RESORTE T.2,20X18,0/14,0X 10   DIN 2088</v>
      </c>
      <c r="K187" s="451" t="str">
        <f>'No Recurrentes 24-26'!K45</f>
        <v>Pza</v>
      </c>
      <c r="L187" s="451" t="str">
        <f>'No Recurrentes 24-26'!BC45</f>
        <v/>
      </c>
      <c r="M187" s="451" t="str">
        <f>'No Recurrentes 24-26'!BD45</f>
        <v/>
      </c>
      <c r="N187" s="451" t="str">
        <f>'No Recurrentes 24-26'!BE45</f>
        <v/>
      </c>
      <c r="O187" s="451" t="str">
        <f>'No Recurrentes 24-26'!BF45</f>
        <v/>
      </c>
      <c r="P187" s="451" t="str">
        <f>'No Recurrentes 24-26'!BG45</f>
        <v/>
      </c>
      <c r="Q187" s="451" t="str">
        <f>'No Recurrentes 24-26'!BH45</f>
        <v/>
      </c>
      <c r="R187" s="451" t="str">
        <f>'No Recurrentes 24-26'!BI45</f>
        <v/>
      </c>
      <c r="S187" s="451" t="str">
        <f>'No Recurrentes 24-26'!BJ45</f>
        <v/>
      </c>
      <c r="T187" s="451" t="str">
        <f>'No Recurrentes 24-26'!BK45</f>
        <v/>
      </c>
      <c r="U187" s="451" t="str">
        <f>'No Recurrentes 24-26'!BL45</f>
        <v/>
      </c>
      <c r="V187" s="1068"/>
      <c r="W187" s="1062">
        <f>'No Recurrentes 24-26'!BM45</f>
        <v>0</v>
      </c>
      <c r="X187" s="1062">
        <f>'No Recurrentes 24-26'!BN45</f>
        <v>20</v>
      </c>
      <c r="Y187" s="1062" t="str">
        <f>'No Recurrentes 24-26'!BO45</f>
        <v/>
      </c>
      <c r="Z187" s="1062" t="str">
        <f>'No Recurrentes 24-26'!BP45</f>
        <v/>
      </c>
      <c r="AA187" s="1062" t="str">
        <f>'No Recurrentes 24-26'!BQ45</f>
        <v/>
      </c>
      <c r="AB187" s="1062" t="str">
        <f>'No Recurrentes 24-26'!BR45</f>
        <v/>
      </c>
      <c r="AC187" s="1062" t="str">
        <f>'No Recurrentes 24-26'!BS45</f>
        <v/>
      </c>
      <c r="AD187" s="1062">
        <f>'No Recurrentes 24-26'!BT45</f>
        <v>1</v>
      </c>
      <c r="AE187" s="1062" t="str">
        <f>'No Recurrentes 24-26'!BU45</f>
        <v/>
      </c>
      <c r="AF187" s="1062" t="str">
        <f>'No Recurrentes 24-26'!BV45</f>
        <v/>
      </c>
      <c r="AG187" s="1062" t="str">
        <f>'No Recurrentes 24-26'!BW45</f>
        <v/>
      </c>
      <c r="AH187" s="1068"/>
      <c r="AI187" s="1062">
        <f>'No Recurrentes 24-26'!BX45</f>
        <v>21</v>
      </c>
      <c r="AJ187" s="1062" t="str">
        <f>'No Recurrentes 24-26'!BY45</f>
        <v/>
      </c>
      <c r="AK187" s="1062">
        <f>'No Recurrentes 24-26'!BZ45</f>
        <v>20</v>
      </c>
      <c r="AL187" s="1062" t="str">
        <f>'No Recurrentes 24-26'!CA45</f>
        <v/>
      </c>
      <c r="AM187" s="1062" t="str">
        <f>'No Recurrentes 24-26'!CB45</f>
        <v/>
      </c>
      <c r="AN187" s="1062" t="str">
        <f>'No Recurrentes 24-26'!CC45</f>
        <v/>
      </c>
      <c r="AO187" s="1062" t="str">
        <f>'No Recurrentes 24-26'!CD45</f>
        <v/>
      </c>
      <c r="AP187" s="1062" t="str">
        <f>'No Recurrentes 24-26'!CE45</f>
        <v/>
      </c>
      <c r="AQ187" s="1062" t="str">
        <f>'No Recurrentes 24-26'!CF45</f>
        <v/>
      </c>
      <c r="AR187" s="1062" t="str">
        <f>'No Recurrentes 24-26'!CG45</f>
        <v/>
      </c>
      <c r="AS187" s="1062" t="str">
        <f>'No Recurrentes 24-26'!CH45</f>
        <v/>
      </c>
      <c r="AT187" s="1068"/>
      <c r="AU187" s="1062">
        <f>'No Recurrentes 24-26'!CI45</f>
        <v>20</v>
      </c>
      <c r="AV187" s="1063">
        <f>'No Recurrentes 24-26'!CJ45</f>
        <v>41</v>
      </c>
      <c r="AW187" s="1068"/>
      <c r="AX187" s="1065">
        <f>'No Recurrentes 24-26'!CK45</f>
        <v>1.35</v>
      </c>
      <c r="AY187" s="1062">
        <f>'No Recurrentes 24-26'!CL45</f>
        <v>9.396</v>
      </c>
      <c r="AZ187" s="1068"/>
      <c r="BA187" s="1062">
        <f>'No Recurrentes 24-26'!CM45</f>
        <v>0</v>
      </c>
      <c r="BB187" s="1062">
        <f>'No Recurrentes 24-26'!CN45</f>
        <v>0</v>
      </c>
      <c r="BC187" s="1062">
        <f>'No Recurrentes 24-26'!CO45</f>
        <v>0</v>
      </c>
      <c r="BD187" s="1062">
        <f>'No Recurrentes 24-26'!CP45</f>
        <v>0</v>
      </c>
      <c r="BE187" s="1062">
        <f>'No Recurrentes 24-26'!CQ45</f>
        <v>0</v>
      </c>
      <c r="BF187" s="1062">
        <f>'No Recurrentes 24-26'!CR45</f>
        <v>0</v>
      </c>
      <c r="BG187" s="1062">
        <f>'No Recurrentes 24-26'!CS45</f>
        <v>0</v>
      </c>
      <c r="BH187" s="1062">
        <f>'No Recurrentes 24-26'!CT45</f>
        <v>0</v>
      </c>
      <c r="BI187" s="1062">
        <f>'No Recurrentes 24-26'!CU45</f>
        <v>0</v>
      </c>
      <c r="BJ187" s="1062">
        <f>'No Recurrentes 24-26'!CV45</f>
        <v>0</v>
      </c>
      <c r="BK187" s="1068"/>
      <c r="BL187" s="1062">
        <f>'No Recurrentes 24-26'!CW45</f>
        <v>0</v>
      </c>
      <c r="BM187" s="1062">
        <f>'No Recurrentes 24-26'!CX45</f>
        <v>187.92</v>
      </c>
      <c r="BN187" s="1062">
        <f>'No Recurrentes 24-26'!CY45</f>
        <v>0</v>
      </c>
      <c r="BO187" s="1062">
        <f>'No Recurrentes 24-26'!CZ45</f>
        <v>0</v>
      </c>
      <c r="BP187" s="1062">
        <f>'No Recurrentes 24-26'!DA45</f>
        <v>0</v>
      </c>
      <c r="BQ187" s="1062">
        <f>'No Recurrentes 24-26'!DB45</f>
        <v>0</v>
      </c>
      <c r="BR187" s="1062">
        <f>'No Recurrentes 24-26'!DC45</f>
        <v>0</v>
      </c>
      <c r="BS187" s="1062">
        <f>'No Recurrentes 24-26'!DD45</f>
        <v>9.396</v>
      </c>
      <c r="BT187" s="1062">
        <f>'No Recurrentes 24-26'!DE45</f>
        <v>0</v>
      </c>
      <c r="BU187" s="1062">
        <f>'No Recurrentes 24-26'!DF45</f>
        <v>0</v>
      </c>
      <c r="BV187" s="1062">
        <f>'No Recurrentes 24-26'!DG45</f>
        <v>0</v>
      </c>
      <c r="BW187" s="1068"/>
      <c r="BX187" s="1062">
        <f>'No Recurrentes 24-26'!DH45</f>
        <v>197.316</v>
      </c>
      <c r="BY187" s="1062">
        <f>'No Recurrentes 24-26'!DI45</f>
        <v>0</v>
      </c>
      <c r="BZ187" s="1062">
        <f>'No Recurrentes 24-26'!DJ45</f>
        <v>187.92</v>
      </c>
      <c r="CA187" s="1062">
        <f>'No Recurrentes 24-26'!DK45</f>
        <v>0</v>
      </c>
      <c r="CB187" s="1062">
        <f>'No Recurrentes 24-26'!DL45</f>
        <v>0</v>
      </c>
      <c r="CC187" s="1062">
        <f>'No Recurrentes 24-26'!DM45</f>
        <v>0</v>
      </c>
      <c r="CD187" s="1062">
        <f>'No Recurrentes 24-26'!DN45</f>
        <v>0</v>
      </c>
      <c r="CE187" s="1062">
        <f>'No Recurrentes 24-26'!DO45</f>
        <v>0</v>
      </c>
      <c r="CF187" s="1062">
        <f>'No Recurrentes 24-26'!DP45</f>
        <v>0</v>
      </c>
      <c r="CG187" s="1062">
        <f>'No Recurrentes 24-26'!DQ45</f>
        <v>0</v>
      </c>
      <c r="CH187" s="1062">
        <f>'No Recurrentes 24-26'!DR45</f>
        <v>0</v>
      </c>
      <c r="CI187" s="1068"/>
      <c r="CJ187" s="1062">
        <f>'No Recurrentes 24-26'!DS45</f>
        <v>187.92</v>
      </c>
      <c r="CK187" s="1062">
        <f>'No Recurrentes 24-26'!DT45</f>
        <v>385.236</v>
      </c>
      <c r="CL187" s="1064" t="str">
        <f>'No Recurrentes 24-26'!DU45</f>
        <v/>
      </c>
      <c r="CM187" s="1064" t="str">
        <f>'No Recurrentes 24-26'!DV45</f>
        <v/>
      </c>
      <c r="CN187" s="1065">
        <f>'No Recurrentes 24-26'!EI45</f>
        <v>1.35</v>
      </c>
      <c r="CO187" s="1065">
        <f>'No Recurrentes 24-26'!EJ45</f>
        <v>1.15</v>
      </c>
      <c r="CP187" s="1060" t="str">
        <f>'No Recurrentes 24-26'!EK45</f>
        <v/>
      </c>
    </row>
    <row r="188">
      <c r="A188" s="451" t="str">
        <f>'No Recurrentes 24-26'!A46</f>
        <v>Repuestos Electromecánicos no recurrentes</v>
      </c>
      <c r="B188" s="451">
        <f>'No Recurrentes 24-26'!B46</f>
        <v>2</v>
      </c>
      <c r="C188" s="451" t="str">
        <f>'No Recurrentes 24-26'!C46</f>
        <v>Estación</v>
      </c>
      <c r="D188" s="451" t="str">
        <f>'No Recurrentes 24-26'!D46</f>
        <v>Mantenimiento Cadenas Transportadoras</v>
      </c>
      <c r="E188" s="451" t="str">
        <f>'No Recurrentes 24-26'!E46</f>
        <v>Repuesto Mecánico</v>
      </c>
      <c r="F188" s="451" t="str">
        <f>'No Recurrentes 24-26'!F46</f>
        <v>TDB</v>
      </c>
      <c r="G188" s="1025" t="str">
        <f>'No Recurrentes 24-26'!G46</f>
        <v>39800</v>
      </c>
      <c r="H188" s="1061" t="str">
        <f>'No Recurrentes 24-26'!H46</f>
        <v>2-01-00744</v>
      </c>
      <c r="I188" s="1061" t="str">
        <f>'No Recurrentes 24-26'!I46</f>
        <v>10872356</v>
      </c>
      <c r="J188" s="1061" t="str">
        <f>'No Recurrentes 24-26'!J46</f>
        <v>ARANDELA DIN 7349-8,4 300HV, FLZNNC-720H-L, REV.ZINC LAM. S.B</v>
      </c>
      <c r="K188" s="451" t="str">
        <f>'No Recurrentes 24-26'!K46</f>
        <v>Pza</v>
      </c>
      <c r="L188" s="451" t="str">
        <f>'No Recurrentes 24-26'!BC46</f>
        <v/>
      </c>
      <c r="M188" s="451" t="str">
        <f>'No Recurrentes 24-26'!BD46</f>
        <v/>
      </c>
      <c r="N188" s="451" t="str">
        <f>'No Recurrentes 24-26'!BE46</f>
        <v/>
      </c>
      <c r="O188" s="451" t="str">
        <f>'No Recurrentes 24-26'!BF46</f>
        <v/>
      </c>
      <c r="P188" s="451" t="str">
        <f>'No Recurrentes 24-26'!BG46</f>
        <v/>
      </c>
      <c r="Q188" s="451" t="str">
        <f>'No Recurrentes 24-26'!BH46</f>
        <v/>
      </c>
      <c r="R188" s="451" t="str">
        <f>'No Recurrentes 24-26'!BI46</f>
        <v/>
      </c>
      <c r="S188" s="451" t="str">
        <f>'No Recurrentes 24-26'!BJ46</f>
        <v/>
      </c>
      <c r="T188" s="451" t="str">
        <f>'No Recurrentes 24-26'!BK46</f>
        <v/>
      </c>
      <c r="U188" s="451" t="str">
        <f>'No Recurrentes 24-26'!BL46</f>
        <v/>
      </c>
      <c r="V188" s="1068"/>
      <c r="W188" s="1062">
        <f>'No Recurrentes 24-26'!BM46</f>
        <v>0</v>
      </c>
      <c r="X188" s="1062" t="str">
        <f>'No Recurrentes 24-26'!BN46</f>
        <v/>
      </c>
      <c r="Y188" s="1062" t="str">
        <f>'No Recurrentes 24-26'!BO46</f>
        <v/>
      </c>
      <c r="Z188" s="1062" t="str">
        <f>'No Recurrentes 24-26'!BP46</f>
        <v/>
      </c>
      <c r="AA188" s="1062" t="str">
        <f>'No Recurrentes 24-26'!BQ46</f>
        <v/>
      </c>
      <c r="AB188" s="1062" t="str">
        <f>'No Recurrentes 24-26'!BR46</f>
        <v/>
      </c>
      <c r="AC188" s="1062" t="str">
        <f>'No Recurrentes 24-26'!BS46</f>
        <v/>
      </c>
      <c r="AD188" s="1062" t="str">
        <f>'No Recurrentes 24-26'!BT46</f>
        <v/>
      </c>
      <c r="AE188" s="1062">
        <f>'No Recurrentes 24-26'!BU46</f>
        <v>60</v>
      </c>
      <c r="AF188" s="1062" t="str">
        <f>'No Recurrentes 24-26'!BV46</f>
        <v/>
      </c>
      <c r="AG188" s="1062" t="str">
        <f>'No Recurrentes 24-26'!BW46</f>
        <v/>
      </c>
      <c r="AH188" s="1068"/>
      <c r="AI188" s="1062">
        <f>'No Recurrentes 24-26'!BX46</f>
        <v>60</v>
      </c>
      <c r="AJ188" s="1062" t="str">
        <f>'No Recurrentes 24-26'!BY46</f>
        <v/>
      </c>
      <c r="AK188" s="1062" t="str">
        <f>'No Recurrentes 24-26'!BZ46</f>
        <v/>
      </c>
      <c r="AL188" s="1062" t="str">
        <f>'No Recurrentes 24-26'!CA46</f>
        <v/>
      </c>
      <c r="AM188" s="1062" t="str">
        <f>'No Recurrentes 24-26'!CB46</f>
        <v/>
      </c>
      <c r="AN188" s="1062" t="str">
        <f>'No Recurrentes 24-26'!CC46</f>
        <v/>
      </c>
      <c r="AO188" s="1062" t="str">
        <f>'No Recurrentes 24-26'!CD46</f>
        <v/>
      </c>
      <c r="AP188" s="1062" t="str">
        <f>'No Recurrentes 24-26'!CE46</f>
        <v/>
      </c>
      <c r="AQ188" s="1062" t="str">
        <f>'No Recurrentes 24-26'!CF46</f>
        <v/>
      </c>
      <c r="AR188" s="1062" t="str">
        <f>'No Recurrentes 24-26'!CG46</f>
        <v/>
      </c>
      <c r="AS188" s="1062" t="str">
        <f>'No Recurrentes 24-26'!CH46</f>
        <v/>
      </c>
      <c r="AT188" s="1068"/>
      <c r="AU188" s="1062">
        <f>'No Recurrentes 24-26'!CI46</f>
        <v>0</v>
      </c>
      <c r="AV188" s="1063">
        <f>'No Recurrentes 24-26'!CJ46</f>
        <v>60</v>
      </c>
      <c r="AW188" s="1068"/>
      <c r="AX188" s="1065">
        <f>'No Recurrentes 24-26'!CK46</f>
        <v>0.46</v>
      </c>
      <c r="AY188" s="1062">
        <f>'No Recurrentes 24-26'!CL46</f>
        <v>3.2016</v>
      </c>
      <c r="AZ188" s="1068"/>
      <c r="BA188" s="1062">
        <f>'No Recurrentes 24-26'!CM46</f>
        <v>0</v>
      </c>
      <c r="BB188" s="1062">
        <f>'No Recurrentes 24-26'!CN46</f>
        <v>0</v>
      </c>
      <c r="BC188" s="1062">
        <f>'No Recurrentes 24-26'!CO46</f>
        <v>0</v>
      </c>
      <c r="BD188" s="1062">
        <f>'No Recurrentes 24-26'!CP46</f>
        <v>0</v>
      </c>
      <c r="BE188" s="1062">
        <f>'No Recurrentes 24-26'!CQ46</f>
        <v>0</v>
      </c>
      <c r="BF188" s="1062">
        <f>'No Recurrentes 24-26'!CR46</f>
        <v>0</v>
      </c>
      <c r="BG188" s="1062">
        <f>'No Recurrentes 24-26'!CS46</f>
        <v>0</v>
      </c>
      <c r="BH188" s="1062">
        <f>'No Recurrentes 24-26'!CT46</f>
        <v>0</v>
      </c>
      <c r="BI188" s="1062">
        <f>'No Recurrentes 24-26'!CU46</f>
        <v>0</v>
      </c>
      <c r="BJ188" s="1062">
        <f>'No Recurrentes 24-26'!CV46</f>
        <v>0</v>
      </c>
      <c r="BK188" s="1068"/>
      <c r="BL188" s="1062">
        <f>'No Recurrentes 24-26'!CW46</f>
        <v>0</v>
      </c>
      <c r="BM188" s="1062">
        <f>'No Recurrentes 24-26'!CX46</f>
        <v>0</v>
      </c>
      <c r="BN188" s="1062">
        <f>'No Recurrentes 24-26'!CY46</f>
        <v>0</v>
      </c>
      <c r="BO188" s="1062">
        <f>'No Recurrentes 24-26'!CZ46</f>
        <v>0</v>
      </c>
      <c r="BP188" s="1062">
        <f>'No Recurrentes 24-26'!DA46</f>
        <v>0</v>
      </c>
      <c r="BQ188" s="1062">
        <f>'No Recurrentes 24-26'!DB46</f>
        <v>0</v>
      </c>
      <c r="BR188" s="1062">
        <f>'No Recurrentes 24-26'!DC46</f>
        <v>0</v>
      </c>
      <c r="BS188" s="1062">
        <f>'No Recurrentes 24-26'!DD46</f>
        <v>0</v>
      </c>
      <c r="BT188" s="1062">
        <f>'No Recurrentes 24-26'!DE46</f>
        <v>192.096</v>
      </c>
      <c r="BU188" s="1062">
        <f>'No Recurrentes 24-26'!DF46</f>
        <v>0</v>
      </c>
      <c r="BV188" s="1062">
        <f>'No Recurrentes 24-26'!DG46</f>
        <v>0</v>
      </c>
      <c r="BW188" s="1068"/>
      <c r="BX188" s="1062">
        <f>'No Recurrentes 24-26'!DH46</f>
        <v>192.096</v>
      </c>
      <c r="BY188" s="1062">
        <f>'No Recurrentes 24-26'!DI46</f>
        <v>0</v>
      </c>
      <c r="BZ188" s="1062">
        <f>'No Recurrentes 24-26'!DJ46</f>
        <v>0</v>
      </c>
      <c r="CA188" s="1062">
        <f>'No Recurrentes 24-26'!DK46</f>
        <v>0</v>
      </c>
      <c r="CB188" s="1062">
        <f>'No Recurrentes 24-26'!DL46</f>
        <v>0</v>
      </c>
      <c r="CC188" s="1062">
        <f>'No Recurrentes 24-26'!DM46</f>
        <v>0</v>
      </c>
      <c r="CD188" s="1062">
        <f>'No Recurrentes 24-26'!DN46</f>
        <v>0</v>
      </c>
      <c r="CE188" s="1062">
        <f>'No Recurrentes 24-26'!DO46</f>
        <v>0</v>
      </c>
      <c r="CF188" s="1062">
        <f>'No Recurrentes 24-26'!DP46</f>
        <v>0</v>
      </c>
      <c r="CG188" s="1062">
        <f>'No Recurrentes 24-26'!DQ46</f>
        <v>0</v>
      </c>
      <c r="CH188" s="1062">
        <f>'No Recurrentes 24-26'!DR46</f>
        <v>0</v>
      </c>
      <c r="CI188" s="1068"/>
      <c r="CJ188" s="1062">
        <f>'No Recurrentes 24-26'!DS46</f>
        <v>0</v>
      </c>
      <c r="CK188" s="1062">
        <f>'No Recurrentes 24-26'!DT46</f>
        <v>192.096</v>
      </c>
      <c r="CL188" s="1064" t="str">
        <f>'No Recurrentes 24-26'!DU46</f>
        <v/>
      </c>
      <c r="CM188" s="1064" t="str">
        <f>'No Recurrentes 24-26'!DV46</f>
        <v/>
      </c>
      <c r="CN188" s="1065">
        <f>'No Recurrentes 24-26'!EI46</f>
        <v>0.46</v>
      </c>
      <c r="CO188" s="1065">
        <f>'No Recurrentes 24-26'!EJ46</f>
        <v>0.39</v>
      </c>
      <c r="CP188" s="1060" t="str">
        <f>'No Recurrentes 24-26'!EK46</f>
        <v/>
      </c>
    </row>
    <row r="189">
      <c r="A189" s="451" t="str">
        <f>'No Recurrentes 24-26'!A47</f>
        <v>Repuestos Electromecánicos no recurrentes</v>
      </c>
      <c r="B189" s="451">
        <f>'No Recurrentes 24-26'!B47</f>
        <v>2</v>
      </c>
      <c r="C189" s="451" t="str">
        <f>'No Recurrentes 24-26'!C47</f>
        <v>Estación</v>
      </c>
      <c r="D189" s="451" t="str">
        <f>'No Recurrentes 24-26'!D47</f>
        <v>Mantenimiento Cadenas Transportadoras</v>
      </c>
      <c r="E189" s="451" t="str">
        <f>'No Recurrentes 24-26'!E47</f>
        <v>Repuesto Mecánico</v>
      </c>
      <c r="F189" s="451" t="str">
        <f>'No Recurrentes 24-26'!F47</f>
        <v>TDB</v>
      </c>
      <c r="G189" s="1025" t="str">
        <f>'No Recurrentes 24-26'!G47</f>
        <v>39800</v>
      </c>
      <c r="H189" s="1061" t="str">
        <f>'No Recurrentes 24-26'!H47</f>
        <v/>
      </c>
      <c r="I189" s="1061" t="str">
        <f>'No Recurrentes 24-26'!I47</f>
        <v>10022477</v>
      </c>
      <c r="J189" s="1061" t="str">
        <f>'No Recurrentes 24-26'!J47</f>
        <v>ARANDELA AJ. DIN988 12X 18X1,0 BRILLANTE, ACEITADO</v>
      </c>
      <c r="K189" s="451" t="str">
        <f>'No Recurrentes 24-26'!K47</f>
        <v>Pza</v>
      </c>
      <c r="L189" s="451" t="str">
        <f>'No Recurrentes 24-26'!BC47</f>
        <v/>
      </c>
      <c r="M189" s="451" t="str">
        <f>'No Recurrentes 24-26'!BD47</f>
        <v/>
      </c>
      <c r="N189" s="451" t="str">
        <f>'No Recurrentes 24-26'!BE47</f>
        <v/>
      </c>
      <c r="O189" s="451" t="str">
        <f>'No Recurrentes 24-26'!BF47</f>
        <v/>
      </c>
      <c r="P189" s="451" t="str">
        <f>'No Recurrentes 24-26'!BG47</f>
        <v/>
      </c>
      <c r="Q189" s="451" t="str">
        <f>'No Recurrentes 24-26'!BH47</f>
        <v/>
      </c>
      <c r="R189" s="451" t="str">
        <f>'No Recurrentes 24-26'!BI47</f>
        <v/>
      </c>
      <c r="S189" s="451" t="str">
        <f>'No Recurrentes 24-26'!BJ47</f>
        <v/>
      </c>
      <c r="T189" s="451" t="str">
        <f>'No Recurrentes 24-26'!BK47</f>
        <v/>
      </c>
      <c r="U189" s="451" t="str">
        <f>'No Recurrentes 24-26'!BL47</f>
        <v/>
      </c>
      <c r="V189" s="1068"/>
      <c r="W189" s="1062">
        <f>'No Recurrentes 24-26'!BM47</f>
        <v>0</v>
      </c>
      <c r="X189" s="1062" t="str">
        <f>'No Recurrentes 24-26'!BN47</f>
        <v/>
      </c>
      <c r="Y189" s="1062" t="str">
        <f>'No Recurrentes 24-26'!BO47</f>
        <v/>
      </c>
      <c r="Z189" s="1062">
        <f>'No Recurrentes 24-26'!BP47</f>
        <v>180</v>
      </c>
      <c r="AA189" s="1062" t="str">
        <f>'No Recurrentes 24-26'!BQ47</f>
        <v/>
      </c>
      <c r="AB189" s="1062" t="str">
        <f>'No Recurrentes 24-26'!BR47</f>
        <v/>
      </c>
      <c r="AC189" s="1062" t="str">
        <f>'No Recurrentes 24-26'!BS47</f>
        <v/>
      </c>
      <c r="AD189" s="1062" t="str">
        <f>'No Recurrentes 24-26'!BT47</f>
        <v/>
      </c>
      <c r="AE189" s="1062" t="str">
        <f>'No Recurrentes 24-26'!BU47</f>
        <v/>
      </c>
      <c r="AF189" s="1062" t="str">
        <f>'No Recurrentes 24-26'!BV47</f>
        <v/>
      </c>
      <c r="AG189" s="1062">
        <f>'No Recurrentes 24-26'!BW47</f>
        <v>8</v>
      </c>
      <c r="AH189" s="1068"/>
      <c r="AI189" s="1062">
        <f>'No Recurrentes 24-26'!BX47</f>
        <v>188</v>
      </c>
      <c r="AJ189" s="1062">
        <f>'No Recurrentes 24-26'!BY47</f>
        <v>0</v>
      </c>
      <c r="AK189" s="1062">
        <f>'No Recurrentes 24-26'!BZ47</f>
        <v>0</v>
      </c>
      <c r="AL189" s="1062">
        <f>'No Recurrentes 24-26'!CA47</f>
        <v>0</v>
      </c>
      <c r="AM189" s="1062">
        <f>'No Recurrentes 24-26'!CB47</f>
        <v>100</v>
      </c>
      <c r="AN189" s="1062">
        <f>'No Recurrentes 24-26'!CC47</f>
        <v>100</v>
      </c>
      <c r="AO189" s="1062">
        <f>'No Recurrentes 24-26'!CD47</f>
        <v>100</v>
      </c>
      <c r="AP189" s="1062">
        <f>'No Recurrentes 24-26'!CE47</f>
        <v>0</v>
      </c>
      <c r="AQ189" s="1062">
        <f>'No Recurrentes 24-26'!CF47</f>
        <v>0</v>
      </c>
      <c r="AR189" s="1062">
        <f>'No Recurrentes 24-26'!CG47</f>
        <v>0</v>
      </c>
      <c r="AS189" s="1062">
        <f>'No Recurrentes 24-26'!CH47</f>
        <v>0</v>
      </c>
      <c r="AT189" s="1068"/>
      <c r="AU189" s="1062">
        <f>'No Recurrentes 24-26'!CI47</f>
        <v>300</v>
      </c>
      <c r="AV189" s="1063">
        <f>'No Recurrentes 24-26'!CJ47</f>
        <v>488</v>
      </c>
      <c r="AW189" s="1068"/>
      <c r="AX189" s="1065">
        <f>'No Recurrentes 24-26'!CK47</f>
        <v>0.08</v>
      </c>
      <c r="AY189" s="1062">
        <f>'No Recurrentes 24-26'!CL47</f>
        <v>0.5568</v>
      </c>
      <c r="AZ189" s="1068"/>
      <c r="BA189" s="1062">
        <f>'No Recurrentes 24-26'!CM47</f>
        <v>0</v>
      </c>
      <c r="BB189" s="1062">
        <f>'No Recurrentes 24-26'!CN47</f>
        <v>0</v>
      </c>
      <c r="BC189" s="1062">
        <f>'No Recurrentes 24-26'!CO47</f>
        <v>0</v>
      </c>
      <c r="BD189" s="1062">
        <f>'No Recurrentes 24-26'!CP47</f>
        <v>0</v>
      </c>
      <c r="BE189" s="1062">
        <f>'No Recurrentes 24-26'!CQ47</f>
        <v>0</v>
      </c>
      <c r="BF189" s="1062">
        <f>'No Recurrentes 24-26'!CR47</f>
        <v>0</v>
      </c>
      <c r="BG189" s="1062">
        <f>'No Recurrentes 24-26'!CS47</f>
        <v>0</v>
      </c>
      <c r="BH189" s="1062">
        <f>'No Recurrentes 24-26'!CT47</f>
        <v>0</v>
      </c>
      <c r="BI189" s="1062">
        <f>'No Recurrentes 24-26'!CU47</f>
        <v>0</v>
      </c>
      <c r="BJ189" s="1062">
        <f>'No Recurrentes 24-26'!CV47</f>
        <v>0</v>
      </c>
      <c r="BK189" s="1068"/>
      <c r="BL189" s="1062">
        <f>'No Recurrentes 24-26'!CW47</f>
        <v>0</v>
      </c>
      <c r="BM189" s="1062">
        <f>'No Recurrentes 24-26'!CX47</f>
        <v>0</v>
      </c>
      <c r="BN189" s="1062">
        <f>'No Recurrentes 24-26'!CY47</f>
        <v>0</v>
      </c>
      <c r="BO189" s="1062">
        <f>'No Recurrentes 24-26'!CZ47</f>
        <v>100.224</v>
      </c>
      <c r="BP189" s="1062">
        <f>'No Recurrentes 24-26'!DA47</f>
        <v>0</v>
      </c>
      <c r="BQ189" s="1062">
        <f>'No Recurrentes 24-26'!DB47</f>
        <v>0</v>
      </c>
      <c r="BR189" s="1062">
        <f>'No Recurrentes 24-26'!DC47</f>
        <v>0</v>
      </c>
      <c r="BS189" s="1062">
        <f>'No Recurrentes 24-26'!DD47</f>
        <v>0</v>
      </c>
      <c r="BT189" s="1062">
        <f>'No Recurrentes 24-26'!DE47</f>
        <v>0</v>
      </c>
      <c r="BU189" s="1062">
        <f>'No Recurrentes 24-26'!DF47</f>
        <v>0</v>
      </c>
      <c r="BV189" s="1062">
        <f>'No Recurrentes 24-26'!DG47</f>
        <v>4.4544</v>
      </c>
      <c r="BW189" s="1068"/>
      <c r="BX189" s="1062">
        <f>'No Recurrentes 24-26'!DH47</f>
        <v>104.6784</v>
      </c>
      <c r="BY189" s="1062">
        <f>'No Recurrentes 24-26'!DI47</f>
        <v>0</v>
      </c>
      <c r="BZ189" s="1062">
        <f>'No Recurrentes 24-26'!DJ47</f>
        <v>0</v>
      </c>
      <c r="CA189" s="1062">
        <f>'No Recurrentes 24-26'!DK47</f>
        <v>0</v>
      </c>
      <c r="CB189" s="1062">
        <f>'No Recurrentes 24-26'!DL47</f>
        <v>55.68</v>
      </c>
      <c r="CC189" s="1062">
        <f>'No Recurrentes 24-26'!DM47</f>
        <v>55.68</v>
      </c>
      <c r="CD189" s="1062">
        <f>'No Recurrentes 24-26'!DN47</f>
        <v>55.68</v>
      </c>
      <c r="CE189" s="1062">
        <f>'No Recurrentes 24-26'!DO47</f>
        <v>0</v>
      </c>
      <c r="CF189" s="1062">
        <f>'No Recurrentes 24-26'!DP47</f>
        <v>0</v>
      </c>
      <c r="CG189" s="1062">
        <f>'No Recurrentes 24-26'!DQ47</f>
        <v>0</v>
      </c>
      <c r="CH189" s="1062">
        <f>'No Recurrentes 24-26'!DR47</f>
        <v>0</v>
      </c>
      <c r="CI189" s="1068"/>
      <c r="CJ189" s="1062">
        <f>'No Recurrentes 24-26'!DS47</f>
        <v>167.04</v>
      </c>
      <c r="CK189" s="1062">
        <f>'No Recurrentes 24-26'!DT47</f>
        <v>271.7184</v>
      </c>
      <c r="CL189" s="1064" t="str">
        <f>'No Recurrentes 24-26'!DU47</f>
        <v/>
      </c>
      <c r="CM189" s="1064" t="str">
        <f>'No Recurrentes 24-26'!DV47</f>
        <v/>
      </c>
      <c r="CN189" s="1065">
        <f>'No Recurrentes 24-26'!EI47</f>
        <v>0.08</v>
      </c>
      <c r="CO189" s="1065">
        <f>'No Recurrentes 24-26'!EJ47</f>
        <v>0.07</v>
      </c>
      <c r="CP189" s="1060" t="str">
        <f>'No Recurrentes 24-26'!EK47</f>
        <v/>
      </c>
    </row>
    <row r="190">
      <c r="A190" s="451" t="str">
        <f>'No Recurrentes 24-26'!A48</f>
        <v>Repuestos Electromecánicos no recurrentes</v>
      </c>
      <c r="B190" s="451">
        <f>'No Recurrentes 24-26'!B48</f>
        <v>2</v>
      </c>
      <c r="C190" s="451" t="str">
        <f>'No Recurrentes 24-26'!C48</f>
        <v>Estación</v>
      </c>
      <c r="D190" s="451" t="str">
        <f>'No Recurrentes 24-26'!D48</f>
        <v>Mantenimiento Cadenas Transportadoras</v>
      </c>
      <c r="E190" s="451" t="str">
        <f>'No Recurrentes 24-26'!E48</f>
        <v>Repuesto Mecánico</v>
      </c>
      <c r="F190" s="451" t="str">
        <f>'No Recurrentes 24-26'!F48</f>
        <v>TDB</v>
      </c>
      <c r="G190" s="1025" t="str">
        <f>'No Recurrentes 24-26'!G48</f>
        <v>39800</v>
      </c>
      <c r="H190" s="1061" t="str">
        <f>'No Recurrentes 24-26'!H48</f>
        <v>2-01-00855</v>
      </c>
      <c r="I190" s="1061" t="str">
        <f>'No Recurrentes 24-26'!I48</f>
        <v>10182666</v>
      </c>
      <c r="J190" s="1061" t="str">
        <f>'No Recurrentes 24-26'!J48</f>
        <v>SOPORTE DE POLEA P. CADENA TRANSP.</v>
      </c>
      <c r="K190" s="451" t="str">
        <f>'No Recurrentes 24-26'!K48</f>
        <v>Pza</v>
      </c>
      <c r="L190" s="451" t="str">
        <f>'No Recurrentes 24-26'!BC48</f>
        <v/>
      </c>
      <c r="M190" s="451" t="str">
        <f>'No Recurrentes 24-26'!BD48</f>
        <v/>
      </c>
      <c r="N190" s="451" t="str">
        <f>'No Recurrentes 24-26'!BE48</f>
        <v/>
      </c>
      <c r="O190" s="451" t="str">
        <f>'No Recurrentes 24-26'!BF48</f>
        <v/>
      </c>
      <c r="P190" s="451" t="str">
        <f>'No Recurrentes 24-26'!BG48</f>
        <v/>
      </c>
      <c r="Q190" s="451" t="str">
        <f>'No Recurrentes 24-26'!BH48</f>
        <v/>
      </c>
      <c r="R190" s="451" t="str">
        <f>'No Recurrentes 24-26'!BI48</f>
        <v/>
      </c>
      <c r="S190" s="451" t="str">
        <f>'No Recurrentes 24-26'!BJ48</f>
        <v/>
      </c>
      <c r="T190" s="451" t="str">
        <f>'No Recurrentes 24-26'!BK48</f>
        <v/>
      </c>
      <c r="U190" s="451" t="str">
        <f>'No Recurrentes 24-26'!BL48</f>
        <v/>
      </c>
      <c r="V190" s="1068"/>
      <c r="W190" s="1062">
        <f>'No Recurrentes 24-26'!BM48</f>
        <v>0</v>
      </c>
      <c r="X190" s="1062" t="str">
        <f>'No Recurrentes 24-26'!BN48</f>
        <v/>
      </c>
      <c r="Y190" s="1062" t="str">
        <f>'No Recurrentes 24-26'!BO48</f>
        <v/>
      </c>
      <c r="Z190" s="1062" t="str">
        <f>'No Recurrentes 24-26'!BP48</f>
        <v/>
      </c>
      <c r="AA190" s="1062" t="str">
        <f>'No Recurrentes 24-26'!BQ48</f>
        <v/>
      </c>
      <c r="AB190" s="1062" t="str">
        <f>'No Recurrentes 24-26'!BR48</f>
        <v/>
      </c>
      <c r="AC190" s="1062" t="str">
        <f>'No Recurrentes 24-26'!BS48</f>
        <v/>
      </c>
      <c r="AD190" s="1062">
        <f>'No Recurrentes 24-26'!BT48</f>
        <v>1</v>
      </c>
      <c r="AE190" s="1062">
        <f>'No Recurrentes 24-26'!BU48</f>
        <v>1</v>
      </c>
      <c r="AF190" s="1062" t="str">
        <f>'No Recurrentes 24-26'!BV48</f>
        <v/>
      </c>
      <c r="AG190" s="1062" t="str">
        <f>'No Recurrentes 24-26'!BW48</f>
        <v/>
      </c>
      <c r="AH190" s="1068"/>
      <c r="AI190" s="1062">
        <f>'No Recurrentes 24-26'!BX48</f>
        <v>2</v>
      </c>
      <c r="AJ190" s="1062" t="str">
        <f>'No Recurrentes 24-26'!BY48</f>
        <v/>
      </c>
      <c r="AK190" s="1062" t="str">
        <f>'No Recurrentes 24-26'!BZ48</f>
        <v/>
      </c>
      <c r="AL190" s="1062" t="str">
        <f>'No Recurrentes 24-26'!CA48</f>
        <v/>
      </c>
      <c r="AM190" s="1062" t="str">
        <f>'No Recurrentes 24-26'!CB48</f>
        <v/>
      </c>
      <c r="AN190" s="1062" t="str">
        <f>'No Recurrentes 24-26'!CC48</f>
        <v/>
      </c>
      <c r="AO190" s="1062" t="str">
        <f>'No Recurrentes 24-26'!CD48</f>
        <v/>
      </c>
      <c r="AP190" s="1062" t="str">
        <f>'No Recurrentes 24-26'!CE48</f>
        <v/>
      </c>
      <c r="AQ190" s="1062" t="str">
        <f>'No Recurrentes 24-26'!CF48</f>
        <v/>
      </c>
      <c r="AR190" s="1062">
        <f>'No Recurrentes 24-26'!CG48</f>
        <v>1</v>
      </c>
      <c r="AS190" s="1062">
        <f>'No Recurrentes 24-26'!CH48</f>
        <v>1</v>
      </c>
      <c r="AT190" s="1068"/>
      <c r="AU190" s="1062">
        <f>'No Recurrentes 24-26'!CI48</f>
        <v>2</v>
      </c>
      <c r="AV190" s="1063">
        <f>'No Recurrentes 24-26'!CJ48</f>
        <v>4</v>
      </c>
      <c r="AW190" s="1068"/>
      <c r="AX190" s="1065">
        <f>'No Recurrentes 24-26'!CK48</f>
        <v>6.73</v>
      </c>
      <c r="AY190" s="1062">
        <f>'No Recurrentes 24-26'!CL48</f>
        <v>46.8408</v>
      </c>
      <c r="AZ190" s="1068"/>
      <c r="BA190" s="1062">
        <f>'No Recurrentes 24-26'!CM48</f>
        <v>0</v>
      </c>
      <c r="BB190" s="1062">
        <f>'No Recurrentes 24-26'!CN48</f>
        <v>0</v>
      </c>
      <c r="BC190" s="1062">
        <f>'No Recurrentes 24-26'!CO48</f>
        <v>0</v>
      </c>
      <c r="BD190" s="1062">
        <f>'No Recurrentes 24-26'!CP48</f>
        <v>0</v>
      </c>
      <c r="BE190" s="1062">
        <f>'No Recurrentes 24-26'!CQ48</f>
        <v>0</v>
      </c>
      <c r="BF190" s="1062">
        <f>'No Recurrentes 24-26'!CR48</f>
        <v>0</v>
      </c>
      <c r="BG190" s="1062">
        <f>'No Recurrentes 24-26'!CS48</f>
        <v>0</v>
      </c>
      <c r="BH190" s="1062">
        <f>'No Recurrentes 24-26'!CT48</f>
        <v>0</v>
      </c>
      <c r="BI190" s="1062">
        <f>'No Recurrentes 24-26'!CU48</f>
        <v>0</v>
      </c>
      <c r="BJ190" s="1062">
        <f>'No Recurrentes 24-26'!CV48</f>
        <v>0</v>
      </c>
      <c r="BK190" s="1068"/>
      <c r="BL190" s="1062">
        <f>'No Recurrentes 24-26'!CW48</f>
        <v>0</v>
      </c>
      <c r="BM190" s="1062">
        <f>'No Recurrentes 24-26'!CX48</f>
        <v>0</v>
      </c>
      <c r="BN190" s="1062">
        <f>'No Recurrentes 24-26'!CY48</f>
        <v>0</v>
      </c>
      <c r="BO190" s="1062">
        <f>'No Recurrentes 24-26'!CZ48</f>
        <v>0</v>
      </c>
      <c r="BP190" s="1062">
        <f>'No Recurrentes 24-26'!DA48</f>
        <v>0</v>
      </c>
      <c r="BQ190" s="1062">
        <f>'No Recurrentes 24-26'!DB48</f>
        <v>0</v>
      </c>
      <c r="BR190" s="1062">
        <f>'No Recurrentes 24-26'!DC48</f>
        <v>0</v>
      </c>
      <c r="BS190" s="1062">
        <f>'No Recurrentes 24-26'!DD48</f>
        <v>46.8408</v>
      </c>
      <c r="BT190" s="1062">
        <f>'No Recurrentes 24-26'!DE48</f>
        <v>46.8408</v>
      </c>
      <c r="BU190" s="1062">
        <f>'No Recurrentes 24-26'!DF48</f>
        <v>0</v>
      </c>
      <c r="BV190" s="1062">
        <f>'No Recurrentes 24-26'!DG48</f>
        <v>0</v>
      </c>
      <c r="BW190" s="1068"/>
      <c r="BX190" s="1062">
        <f>'No Recurrentes 24-26'!DH48</f>
        <v>93.6816</v>
      </c>
      <c r="BY190" s="1062">
        <f>'No Recurrentes 24-26'!DI48</f>
        <v>0</v>
      </c>
      <c r="BZ190" s="1062">
        <f>'No Recurrentes 24-26'!DJ48</f>
        <v>0</v>
      </c>
      <c r="CA190" s="1062">
        <f>'No Recurrentes 24-26'!DK48</f>
        <v>0</v>
      </c>
      <c r="CB190" s="1062">
        <f>'No Recurrentes 24-26'!DL48</f>
        <v>0</v>
      </c>
      <c r="CC190" s="1062">
        <f>'No Recurrentes 24-26'!DM48</f>
        <v>0</v>
      </c>
      <c r="CD190" s="1062">
        <f>'No Recurrentes 24-26'!DN48</f>
        <v>0</v>
      </c>
      <c r="CE190" s="1062">
        <f>'No Recurrentes 24-26'!DO48</f>
        <v>0</v>
      </c>
      <c r="CF190" s="1062">
        <f>'No Recurrentes 24-26'!DP48</f>
        <v>0</v>
      </c>
      <c r="CG190" s="1062">
        <f>'No Recurrentes 24-26'!DQ48</f>
        <v>46.8408</v>
      </c>
      <c r="CH190" s="1062">
        <f>'No Recurrentes 24-26'!DR48</f>
        <v>46.8408</v>
      </c>
      <c r="CI190" s="1068"/>
      <c r="CJ190" s="1062">
        <f>'No Recurrentes 24-26'!DS48</f>
        <v>93.6816</v>
      </c>
      <c r="CK190" s="1062">
        <f>'No Recurrentes 24-26'!DT48</f>
        <v>187.3632</v>
      </c>
      <c r="CL190" s="1064" t="str">
        <f>'No Recurrentes 24-26'!DU48</f>
        <v/>
      </c>
      <c r="CM190" s="1064" t="str">
        <f>'No Recurrentes 24-26'!DV48</f>
        <v/>
      </c>
      <c r="CN190" s="1065">
        <f>'No Recurrentes 24-26'!EI48</f>
        <v>6.73</v>
      </c>
      <c r="CO190" s="1065">
        <f>'No Recurrentes 24-26'!EJ48</f>
        <v>5.72</v>
      </c>
      <c r="CP190" s="1060" t="str">
        <f>'No Recurrentes 24-26'!EK48</f>
        <v/>
      </c>
    </row>
    <row r="191">
      <c r="A191" s="451" t="str">
        <f>'No Recurrentes 24-26'!A49</f>
        <v>Repuestos Electromecánicos no recurrentes</v>
      </c>
      <c r="B191" s="451">
        <f>'No Recurrentes 24-26'!B49</f>
        <v>2</v>
      </c>
      <c r="C191" s="451" t="str">
        <f>'No Recurrentes 24-26'!C49</f>
        <v>Estación</v>
      </c>
      <c r="D191" s="451" t="str">
        <f>'No Recurrentes 24-26'!D49</f>
        <v>Mantenimiento Cadenas Transportadoras</v>
      </c>
      <c r="E191" s="451" t="str">
        <f>'No Recurrentes 24-26'!E49</f>
        <v>Repuesto Mecánico</v>
      </c>
      <c r="F191" s="451" t="str">
        <f>'No Recurrentes 24-26'!F49</f>
        <v>TDB</v>
      </c>
      <c r="G191" s="1025" t="str">
        <f>'No Recurrentes 24-26'!G49</f>
        <v>39800</v>
      </c>
      <c r="H191" s="1061" t="str">
        <f>'No Recurrentes 24-26'!H49</f>
        <v>2-01-00184</v>
      </c>
      <c r="I191" s="1061" t="str">
        <f>'No Recurrentes 24-26'!I49</f>
        <v>10000077</v>
      </c>
      <c r="J191" s="1061" t="str">
        <f>'No Recurrentes 24-26'!J49</f>
        <v>TUERCA HEXAG. DIN 985- 8 M 6 GALVAN. (CON PIEZA DE APRIETE)</v>
      </c>
      <c r="K191" s="451" t="str">
        <f>'No Recurrentes 24-26'!K49</f>
        <v>Pza</v>
      </c>
      <c r="L191" s="451" t="str">
        <f>'No Recurrentes 24-26'!BC49</f>
        <v/>
      </c>
      <c r="M191" s="451" t="str">
        <f>'No Recurrentes 24-26'!BD49</f>
        <v/>
      </c>
      <c r="N191" s="451" t="str">
        <f>'No Recurrentes 24-26'!BE49</f>
        <v/>
      </c>
      <c r="O191" s="451" t="str">
        <f>'No Recurrentes 24-26'!BF49</f>
        <v/>
      </c>
      <c r="P191" s="451" t="str">
        <f>'No Recurrentes 24-26'!BG49</f>
        <v/>
      </c>
      <c r="Q191" s="451" t="str">
        <f>'No Recurrentes 24-26'!BH49</f>
        <v/>
      </c>
      <c r="R191" s="451" t="str">
        <f>'No Recurrentes 24-26'!BI49</f>
        <v/>
      </c>
      <c r="S191" s="451" t="str">
        <f>'No Recurrentes 24-26'!BJ49</f>
        <v/>
      </c>
      <c r="T191" s="451" t="str">
        <f>'No Recurrentes 24-26'!BK49</f>
        <v/>
      </c>
      <c r="U191" s="451" t="str">
        <f>'No Recurrentes 24-26'!BL49</f>
        <v/>
      </c>
      <c r="V191" s="1068"/>
      <c r="W191" s="1062">
        <f>'No Recurrentes 24-26'!BM49</f>
        <v>0</v>
      </c>
      <c r="X191" s="1062">
        <f>'No Recurrentes 24-26'!BN49</f>
        <v>80</v>
      </c>
      <c r="Y191" s="1062" t="str">
        <f>'No Recurrentes 24-26'!BO49</f>
        <v/>
      </c>
      <c r="Z191" s="1062">
        <f>'No Recurrentes 24-26'!BP49</f>
        <v>72</v>
      </c>
      <c r="AA191" s="1062" t="str">
        <f>'No Recurrentes 24-26'!BQ49</f>
        <v/>
      </c>
      <c r="AB191" s="1062" t="str">
        <f>'No Recurrentes 24-26'!BR49</f>
        <v/>
      </c>
      <c r="AC191" s="1062" t="str">
        <f>'No Recurrentes 24-26'!BS49</f>
        <v/>
      </c>
      <c r="AD191" s="1062">
        <f>'No Recurrentes 24-26'!BT49</f>
        <v>2</v>
      </c>
      <c r="AE191" s="1062">
        <f>'No Recurrentes 24-26'!BU49</f>
        <v>2</v>
      </c>
      <c r="AF191" s="1062" t="str">
        <f>'No Recurrentes 24-26'!BV49</f>
        <v/>
      </c>
      <c r="AG191" s="1062" t="str">
        <f>'No Recurrentes 24-26'!BW49</f>
        <v/>
      </c>
      <c r="AH191" s="1068"/>
      <c r="AI191" s="1062">
        <f>'No Recurrentes 24-26'!BX49</f>
        <v>156</v>
      </c>
      <c r="AJ191" s="1062" t="str">
        <f>'No Recurrentes 24-26'!BY49</f>
        <v/>
      </c>
      <c r="AK191" s="1062">
        <f>'No Recurrentes 24-26'!BZ49</f>
        <v>60</v>
      </c>
      <c r="AL191" s="1062" t="str">
        <f>'No Recurrentes 24-26'!CA49</f>
        <v/>
      </c>
      <c r="AM191" s="1062">
        <f>'No Recurrentes 24-26'!CB49</f>
        <v>280</v>
      </c>
      <c r="AN191" s="1062">
        <f>'No Recurrentes 24-26'!CC49</f>
        <v>220</v>
      </c>
      <c r="AO191" s="1062">
        <f>'No Recurrentes 24-26'!CD49</f>
        <v>250</v>
      </c>
      <c r="AP191" s="1062">
        <f>'No Recurrentes 24-26'!CE49</f>
        <v>2</v>
      </c>
      <c r="AQ191" s="1062" t="str">
        <f>'No Recurrentes 24-26'!CF49</f>
        <v/>
      </c>
      <c r="AR191" s="1062" t="str">
        <f>'No Recurrentes 24-26'!CG49</f>
        <v/>
      </c>
      <c r="AS191" s="1062">
        <f>'No Recurrentes 24-26'!CH49</f>
        <v>2</v>
      </c>
      <c r="AT191" s="1068"/>
      <c r="AU191" s="1062">
        <f>'No Recurrentes 24-26'!CI49</f>
        <v>814</v>
      </c>
      <c r="AV191" s="1063">
        <f>'No Recurrentes 24-26'!CJ49</f>
        <v>970</v>
      </c>
      <c r="AW191" s="1068"/>
      <c r="AX191" s="1065">
        <f>'No Recurrentes 24-26'!CK49</f>
        <v>0.08</v>
      </c>
      <c r="AY191" s="1062">
        <f>'No Recurrentes 24-26'!CL49</f>
        <v>0.5568</v>
      </c>
      <c r="AZ191" s="1068"/>
      <c r="BA191" s="1062">
        <f>'No Recurrentes 24-26'!CM49</f>
        <v>0</v>
      </c>
      <c r="BB191" s="1062">
        <f>'No Recurrentes 24-26'!CN49</f>
        <v>0</v>
      </c>
      <c r="BC191" s="1062">
        <f>'No Recurrentes 24-26'!CO49</f>
        <v>0</v>
      </c>
      <c r="BD191" s="1062">
        <f>'No Recurrentes 24-26'!CP49</f>
        <v>0</v>
      </c>
      <c r="BE191" s="1062">
        <f>'No Recurrentes 24-26'!CQ49</f>
        <v>0</v>
      </c>
      <c r="BF191" s="1062">
        <f>'No Recurrentes 24-26'!CR49</f>
        <v>0</v>
      </c>
      <c r="BG191" s="1062">
        <f>'No Recurrentes 24-26'!CS49</f>
        <v>0</v>
      </c>
      <c r="BH191" s="1062">
        <f>'No Recurrentes 24-26'!CT49</f>
        <v>0</v>
      </c>
      <c r="BI191" s="1062">
        <f>'No Recurrentes 24-26'!CU49</f>
        <v>0</v>
      </c>
      <c r="BJ191" s="1062">
        <f>'No Recurrentes 24-26'!CV49</f>
        <v>0</v>
      </c>
      <c r="BK191" s="1068"/>
      <c r="BL191" s="1062">
        <f>'No Recurrentes 24-26'!CW49</f>
        <v>0</v>
      </c>
      <c r="BM191" s="1062">
        <f>'No Recurrentes 24-26'!CX49</f>
        <v>44.544</v>
      </c>
      <c r="BN191" s="1062">
        <f>'No Recurrentes 24-26'!CY49</f>
        <v>0</v>
      </c>
      <c r="BO191" s="1062">
        <f>'No Recurrentes 24-26'!CZ49</f>
        <v>40.0896</v>
      </c>
      <c r="BP191" s="1062">
        <f>'No Recurrentes 24-26'!DA49</f>
        <v>0</v>
      </c>
      <c r="BQ191" s="1062">
        <f>'No Recurrentes 24-26'!DB49</f>
        <v>0</v>
      </c>
      <c r="BR191" s="1062">
        <f>'No Recurrentes 24-26'!DC49</f>
        <v>0</v>
      </c>
      <c r="BS191" s="1062">
        <f>'No Recurrentes 24-26'!DD49</f>
        <v>1.1136</v>
      </c>
      <c r="BT191" s="1062">
        <f>'No Recurrentes 24-26'!DE49</f>
        <v>1.1136</v>
      </c>
      <c r="BU191" s="1062">
        <f>'No Recurrentes 24-26'!DF49</f>
        <v>0</v>
      </c>
      <c r="BV191" s="1062">
        <f>'No Recurrentes 24-26'!DG49</f>
        <v>0</v>
      </c>
      <c r="BW191" s="1068"/>
      <c r="BX191" s="1062">
        <f>'No Recurrentes 24-26'!DH49</f>
        <v>86.8608</v>
      </c>
      <c r="BY191" s="1062">
        <f>'No Recurrentes 24-26'!DI49</f>
        <v>0</v>
      </c>
      <c r="BZ191" s="1062">
        <f>'No Recurrentes 24-26'!DJ49</f>
        <v>33.408</v>
      </c>
      <c r="CA191" s="1062">
        <f>'No Recurrentes 24-26'!DK49</f>
        <v>0</v>
      </c>
      <c r="CB191" s="1062">
        <f>'No Recurrentes 24-26'!DL49</f>
        <v>155.904</v>
      </c>
      <c r="CC191" s="1062">
        <f>'No Recurrentes 24-26'!DM49</f>
        <v>122.496</v>
      </c>
      <c r="CD191" s="1062">
        <f>'No Recurrentes 24-26'!DN49</f>
        <v>139.2</v>
      </c>
      <c r="CE191" s="1062">
        <f>'No Recurrentes 24-26'!DO49</f>
        <v>1.1136</v>
      </c>
      <c r="CF191" s="1062">
        <f>'No Recurrentes 24-26'!DP49</f>
        <v>0</v>
      </c>
      <c r="CG191" s="1062">
        <f>'No Recurrentes 24-26'!DQ49</f>
        <v>0</v>
      </c>
      <c r="CH191" s="1062">
        <f>'No Recurrentes 24-26'!DR49</f>
        <v>1.1136</v>
      </c>
      <c r="CI191" s="1068"/>
      <c r="CJ191" s="1062">
        <f>'No Recurrentes 24-26'!DS49</f>
        <v>453.2352</v>
      </c>
      <c r="CK191" s="1062">
        <f>'No Recurrentes 24-26'!DT49</f>
        <v>540.096</v>
      </c>
      <c r="CL191" s="1064" t="str">
        <f>'No Recurrentes 24-26'!DU49</f>
        <v/>
      </c>
      <c r="CM191" s="1064" t="str">
        <f>'No Recurrentes 24-26'!DV49</f>
        <v/>
      </c>
      <c r="CN191" s="1065">
        <f>'No Recurrentes 24-26'!EI49</f>
        <v>0.08</v>
      </c>
      <c r="CO191" s="1065">
        <f>'No Recurrentes 24-26'!EJ49</f>
        <v>0.07</v>
      </c>
      <c r="CP191" s="1060" t="str">
        <f>'No Recurrentes 24-26'!EK49</f>
        <v/>
      </c>
    </row>
    <row r="192">
      <c r="A192" s="451" t="str">
        <f>'No Recurrentes 24-26'!A50</f>
        <v>Repuestos Electromecánicos no recurrentes</v>
      </c>
      <c r="B192" s="451">
        <f>'No Recurrentes 24-26'!B50</f>
        <v>2</v>
      </c>
      <c r="C192" s="451" t="str">
        <f>'No Recurrentes 24-26'!C50</f>
        <v>Estación</v>
      </c>
      <c r="D192" s="451" t="str">
        <f>'No Recurrentes 24-26'!D50</f>
        <v>Mantenimiento Cadenas Transportadoras</v>
      </c>
      <c r="E192" s="451" t="str">
        <f>'No Recurrentes 24-26'!E50</f>
        <v>Repuesto Mecánico</v>
      </c>
      <c r="F192" s="451" t="str">
        <f>'No Recurrentes 24-26'!F50</f>
        <v>TDB</v>
      </c>
      <c r="G192" s="1025" t="str">
        <f>'No Recurrentes 24-26'!G50</f>
        <v>39800</v>
      </c>
      <c r="H192" s="1061" t="str">
        <f>'No Recurrentes 24-26'!H50</f>
        <v>2-01-00060</v>
      </c>
      <c r="I192" s="1061" t="str">
        <f>'No Recurrentes 24-26'!I50</f>
        <v>11424318</v>
      </c>
      <c r="J192" s="1061" t="str">
        <f>'No Recurrentes 24-26'!J50</f>
        <v>ARANDELA ISO 7089 M10 300HV GALV.P.INM.CAL. SIN BISEL</v>
      </c>
      <c r="K192" s="451" t="str">
        <f>'No Recurrentes 24-26'!K50</f>
        <v>Pza</v>
      </c>
      <c r="L192" s="451" t="str">
        <f>'No Recurrentes 24-26'!BC50</f>
        <v/>
      </c>
      <c r="M192" s="451" t="str">
        <f>'No Recurrentes 24-26'!BD50</f>
        <v/>
      </c>
      <c r="N192" s="451" t="str">
        <f>'No Recurrentes 24-26'!BE50</f>
        <v/>
      </c>
      <c r="O192" s="451" t="str">
        <f>'No Recurrentes 24-26'!BF50</f>
        <v/>
      </c>
      <c r="P192" s="451" t="str">
        <f>'No Recurrentes 24-26'!BG50</f>
        <v/>
      </c>
      <c r="Q192" s="451" t="str">
        <f>'No Recurrentes 24-26'!BH50</f>
        <v/>
      </c>
      <c r="R192" s="451" t="str">
        <f>'No Recurrentes 24-26'!BI50</f>
        <v/>
      </c>
      <c r="S192" s="451" t="str">
        <f>'No Recurrentes 24-26'!BJ50</f>
        <v/>
      </c>
      <c r="T192" s="451" t="str">
        <f>'No Recurrentes 24-26'!BK50</f>
        <v/>
      </c>
      <c r="U192" s="451" t="str">
        <f>'No Recurrentes 24-26'!BL50</f>
        <v/>
      </c>
      <c r="V192" s="1068"/>
      <c r="W192" s="1062">
        <f>'No Recurrentes 24-26'!BM50</f>
        <v>0</v>
      </c>
      <c r="X192" s="1062" t="str">
        <f>'No Recurrentes 24-26'!BN50</f>
        <v/>
      </c>
      <c r="Y192" s="1062" t="str">
        <f>'No Recurrentes 24-26'!BO50</f>
        <v/>
      </c>
      <c r="Z192" s="1062">
        <f>'No Recurrentes 24-26'!BP50</f>
        <v>40</v>
      </c>
      <c r="AA192" s="1062" t="str">
        <f>'No Recurrentes 24-26'!BQ50</f>
        <v/>
      </c>
      <c r="AB192" s="1062" t="str">
        <f>'No Recurrentes 24-26'!BR50</f>
        <v/>
      </c>
      <c r="AC192" s="1062" t="str">
        <f>'No Recurrentes 24-26'!BS50</f>
        <v/>
      </c>
      <c r="AD192" s="1062">
        <f>'No Recurrentes 24-26'!BT50</f>
        <v>2</v>
      </c>
      <c r="AE192" s="1062">
        <f>'No Recurrentes 24-26'!BU50</f>
        <v>2</v>
      </c>
      <c r="AF192" s="1062" t="str">
        <f>'No Recurrentes 24-26'!BV50</f>
        <v/>
      </c>
      <c r="AG192" s="1062">
        <f>'No Recurrentes 24-26'!BW50</f>
        <v>2</v>
      </c>
      <c r="AH192" s="1068"/>
      <c r="AI192" s="1062">
        <f>'No Recurrentes 24-26'!BX50</f>
        <v>46</v>
      </c>
      <c r="AJ192" s="1062" t="str">
        <f>'No Recurrentes 24-26'!BY50</f>
        <v/>
      </c>
      <c r="AK192" s="1062">
        <f>'No Recurrentes 24-26'!BZ50</f>
        <v>40</v>
      </c>
      <c r="AL192" s="1062" t="str">
        <f>'No Recurrentes 24-26'!CA50</f>
        <v/>
      </c>
      <c r="AM192" s="1062" t="str">
        <f>'No Recurrentes 24-26'!CB50</f>
        <v/>
      </c>
      <c r="AN192" s="1062" t="str">
        <f>'No Recurrentes 24-26'!CC50</f>
        <v/>
      </c>
      <c r="AO192" s="1062" t="str">
        <f>'No Recurrentes 24-26'!CD50</f>
        <v/>
      </c>
      <c r="AP192" s="1062" t="str">
        <f>'No Recurrentes 24-26'!CE50</f>
        <v/>
      </c>
      <c r="AQ192" s="1062" t="str">
        <f>'No Recurrentes 24-26'!CF50</f>
        <v/>
      </c>
      <c r="AR192" s="1062" t="str">
        <f>'No Recurrentes 24-26'!CG50</f>
        <v/>
      </c>
      <c r="AS192" s="1062" t="str">
        <f>'No Recurrentes 24-26'!CH50</f>
        <v/>
      </c>
      <c r="AT192" s="1068"/>
      <c r="AU192" s="1062">
        <f>'No Recurrentes 24-26'!CI50</f>
        <v>40</v>
      </c>
      <c r="AV192" s="1063">
        <f>'No Recurrentes 24-26'!CJ50</f>
        <v>86</v>
      </c>
      <c r="AW192" s="1068"/>
      <c r="AX192" s="1065">
        <f>'No Recurrentes 24-26'!CK50</f>
        <v>0.27</v>
      </c>
      <c r="AY192" s="1062">
        <f>'No Recurrentes 24-26'!CL50</f>
        <v>1.8792</v>
      </c>
      <c r="AZ192" s="1068"/>
      <c r="BA192" s="1062">
        <f>'No Recurrentes 24-26'!CM50</f>
        <v>0</v>
      </c>
      <c r="BB192" s="1062">
        <f>'No Recurrentes 24-26'!CN50</f>
        <v>0</v>
      </c>
      <c r="BC192" s="1062">
        <f>'No Recurrentes 24-26'!CO50</f>
        <v>0</v>
      </c>
      <c r="BD192" s="1062">
        <f>'No Recurrentes 24-26'!CP50</f>
        <v>0</v>
      </c>
      <c r="BE192" s="1062">
        <f>'No Recurrentes 24-26'!CQ50</f>
        <v>0</v>
      </c>
      <c r="BF192" s="1062">
        <f>'No Recurrentes 24-26'!CR50</f>
        <v>0</v>
      </c>
      <c r="BG192" s="1062">
        <f>'No Recurrentes 24-26'!CS50</f>
        <v>0</v>
      </c>
      <c r="BH192" s="1062">
        <f>'No Recurrentes 24-26'!CT50</f>
        <v>0</v>
      </c>
      <c r="BI192" s="1062">
        <f>'No Recurrentes 24-26'!CU50</f>
        <v>0</v>
      </c>
      <c r="BJ192" s="1062">
        <f>'No Recurrentes 24-26'!CV50</f>
        <v>0</v>
      </c>
      <c r="BK192" s="1068"/>
      <c r="BL192" s="1062">
        <f>'No Recurrentes 24-26'!CW50</f>
        <v>0</v>
      </c>
      <c r="BM192" s="1062">
        <f>'No Recurrentes 24-26'!CX50</f>
        <v>0</v>
      </c>
      <c r="BN192" s="1062">
        <f>'No Recurrentes 24-26'!CY50</f>
        <v>0</v>
      </c>
      <c r="BO192" s="1062">
        <f>'No Recurrentes 24-26'!CZ50</f>
        <v>75.168</v>
      </c>
      <c r="BP192" s="1062">
        <f>'No Recurrentes 24-26'!DA50</f>
        <v>0</v>
      </c>
      <c r="BQ192" s="1062">
        <f>'No Recurrentes 24-26'!DB50</f>
        <v>0</v>
      </c>
      <c r="BR192" s="1062">
        <f>'No Recurrentes 24-26'!DC50</f>
        <v>0</v>
      </c>
      <c r="BS192" s="1062">
        <f>'No Recurrentes 24-26'!DD50</f>
        <v>3.7584</v>
      </c>
      <c r="BT192" s="1062">
        <f>'No Recurrentes 24-26'!DE50</f>
        <v>3.7584</v>
      </c>
      <c r="BU192" s="1062">
        <f>'No Recurrentes 24-26'!DF50</f>
        <v>0</v>
      </c>
      <c r="BV192" s="1062">
        <f>'No Recurrentes 24-26'!DG50</f>
        <v>3.7584</v>
      </c>
      <c r="BW192" s="1068"/>
      <c r="BX192" s="1062">
        <f>'No Recurrentes 24-26'!DH50</f>
        <v>86.4432</v>
      </c>
      <c r="BY192" s="1062">
        <f>'No Recurrentes 24-26'!DI50</f>
        <v>0</v>
      </c>
      <c r="BZ192" s="1062">
        <f>'No Recurrentes 24-26'!DJ50</f>
        <v>75.168</v>
      </c>
      <c r="CA192" s="1062">
        <f>'No Recurrentes 24-26'!DK50</f>
        <v>0</v>
      </c>
      <c r="CB192" s="1062">
        <f>'No Recurrentes 24-26'!DL50</f>
        <v>0</v>
      </c>
      <c r="CC192" s="1062">
        <f>'No Recurrentes 24-26'!DM50</f>
        <v>0</v>
      </c>
      <c r="CD192" s="1062">
        <f>'No Recurrentes 24-26'!DN50</f>
        <v>0</v>
      </c>
      <c r="CE192" s="1062">
        <f>'No Recurrentes 24-26'!DO50</f>
        <v>0</v>
      </c>
      <c r="CF192" s="1062">
        <f>'No Recurrentes 24-26'!DP50</f>
        <v>0</v>
      </c>
      <c r="CG192" s="1062">
        <f>'No Recurrentes 24-26'!DQ50</f>
        <v>0</v>
      </c>
      <c r="CH192" s="1062">
        <f>'No Recurrentes 24-26'!DR50</f>
        <v>0</v>
      </c>
      <c r="CI192" s="1068"/>
      <c r="CJ192" s="1062">
        <f>'No Recurrentes 24-26'!DS50</f>
        <v>75.168</v>
      </c>
      <c r="CK192" s="1062">
        <f>'No Recurrentes 24-26'!DT50</f>
        <v>161.6112</v>
      </c>
      <c r="CL192" s="1064" t="str">
        <f>'No Recurrentes 24-26'!DU50</f>
        <v/>
      </c>
      <c r="CM192" s="1064" t="str">
        <f>'No Recurrentes 24-26'!DV50</f>
        <v/>
      </c>
      <c r="CN192" s="1065">
        <f>'No Recurrentes 24-26'!EI50</f>
        <v>0.27</v>
      </c>
      <c r="CO192" s="1065">
        <f>'No Recurrentes 24-26'!EJ50</f>
        <v>0.23</v>
      </c>
      <c r="CP192" s="1060" t="str">
        <f>'No Recurrentes 24-26'!EK50</f>
        <v/>
      </c>
    </row>
    <row r="193">
      <c r="A193" s="451" t="str">
        <f>'No Recurrentes 24-26'!A51</f>
        <v>Repuestos Electromecánicos no recurrentes</v>
      </c>
      <c r="B193" s="451">
        <f>'No Recurrentes 24-26'!B51</f>
        <v>2</v>
      </c>
      <c r="C193" s="451" t="str">
        <f>'No Recurrentes 24-26'!C51</f>
        <v>Estación</v>
      </c>
      <c r="D193" s="451" t="str">
        <f>'No Recurrentes 24-26'!D51</f>
        <v>Mantenimiento Cadenas Transportadoras</v>
      </c>
      <c r="E193" s="451" t="str">
        <f>'No Recurrentes 24-26'!E51</f>
        <v>Repuesto Mecánico</v>
      </c>
      <c r="F193" s="451" t="str">
        <f>'No Recurrentes 24-26'!F51</f>
        <v>TDB</v>
      </c>
      <c r="G193" s="1025" t="str">
        <f>'No Recurrentes 24-26'!G51</f>
        <v>39800</v>
      </c>
      <c r="H193" s="1061" t="str">
        <f>'No Recurrentes 24-26'!H51</f>
        <v>2-01-00847</v>
      </c>
      <c r="I193" s="1061" t="str">
        <f>'No Recurrentes 24-26'!I51</f>
        <v>10001205</v>
      </c>
      <c r="J193" s="1061" t="str">
        <f>'No Recurrentes 24-26'!J51</f>
        <v>TORNILLO ISO 4014-8.8 M10X90 GALVAN. TORN. HEXAG.</v>
      </c>
      <c r="K193" s="451" t="str">
        <f>'No Recurrentes 24-26'!K51</f>
        <v>Pza</v>
      </c>
      <c r="L193" s="451" t="str">
        <f>'No Recurrentes 24-26'!BC51</f>
        <v/>
      </c>
      <c r="M193" s="451" t="str">
        <f>'No Recurrentes 24-26'!BD51</f>
        <v/>
      </c>
      <c r="N193" s="451" t="str">
        <f>'No Recurrentes 24-26'!BE51</f>
        <v/>
      </c>
      <c r="O193" s="451" t="str">
        <f>'No Recurrentes 24-26'!BF51</f>
        <v/>
      </c>
      <c r="P193" s="451" t="str">
        <f>'No Recurrentes 24-26'!BG51</f>
        <v/>
      </c>
      <c r="Q193" s="451" t="str">
        <f>'No Recurrentes 24-26'!BH51</f>
        <v/>
      </c>
      <c r="R193" s="451" t="str">
        <f>'No Recurrentes 24-26'!BI51</f>
        <v/>
      </c>
      <c r="S193" s="451" t="str">
        <f>'No Recurrentes 24-26'!BJ51</f>
        <v/>
      </c>
      <c r="T193" s="451" t="str">
        <f>'No Recurrentes 24-26'!BK51</f>
        <v/>
      </c>
      <c r="U193" s="451" t="str">
        <f>'No Recurrentes 24-26'!BL51</f>
        <v/>
      </c>
      <c r="V193" s="1068"/>
      <c r="W193" s="1062">
        <f>'No Recurrentes 24-26'!BM51</f>
        <v>0</v>
      </c>
      <c r="X193" s="1062" t="str">
        <f>'No Recurrentes 24-26'!BN51</f>
        <v/>
      </c>
      <c r="Y193" s="1062" t="str">
        <f>'No Recurrentes 24-26'!BO51</f>
        <v/>
      </c>
      <c r="Z193" s="1062" t="str">
        <f>'No Recurrentes 24-26'!BP51</f>
        <v/>
      </c>
      <c r="AA193" s="1062" t="str">
        <f>'No Recurrentes 24-26'!BQ51</f>
        <v/>
      </c>
      <c r="AB193" s="1062" t="str">
        <f>'No Recurrentes 24-26'!BR51</f>
        <v/>
      </c>
      <c r="AC193" s="1062" t="str">
        <f>'No Recurrentes 24-26'!BS51</f>
        <v/>
      </c>
      <c r="AD193" s="1062">
        <f>'No Recurrentes 24-26'!BT51</f>
        <v>2</v>
      </c>
      <c r="AE193" s="1062">
        <f>'No Recurrentes 24-26'!BU51</f>
        <v>2</v>
      </c>
      <c r="AF193" s="1062" t="str">
        <f>'No Recurrentes 24-26'!BV51</f>
        <v/>
      </c>
      <c r="AG193" s="1062" t="str">
        <f>'No Recurrentes 24-26'!BW51</f>
        <v/>
      </c>
      <c r="AH193" s="1068"/>
      <c r="AI193" s="1062">
        <f>'No Recurrentes 24-26'!BX51</f>
        <v>4</v>
      </c>
      <c r="AJ193" s="1062" t="str">
        <f>'No Recurrentes 24-26'!BY51</f>
        <v/>
      </c>
      <c r="AK193" s="1062" t="str">
        <f>'No Recurrentes 24-26'!BZ51</f>
        <v/>
      </c>
      <c r="AL193" s="1062" t="str">
        <f>'No Recurrentes 24-26'!CA51</f>
        <v/>
      </c>
      <c r="AM193" s="1062" t="str">
        <f>'No Recurrentes 24-26'!CB51</f>
        <v/>
      </c>
      <c r="AN193" s="1062" t="str">
        <f>'No Recurrentes 24-26'!CC51</f>
        <v/>
      </c>
      <c r="AO193" s="1062" t="str">
        <f>'No Recurrentes 24-26'!CD51</f>
        <v/>
      </c>
      <c r="AP193" s="1062">
        <f>'No Recurrentes 24-26'!CE51</f>
        <v>2</v>
      </c>
      <c r="AQ193" s="1062" t="str">
        <f>'No Recurrentes 24-26'!CF51</f>
        <v/>
      </c>
      <c r="AR193" s="1062" t="str">
        <f>'No Recurrentes 24-26'!CG51</f>
        <v/>
      </c>
      <c r="AS193" s="1062">
        <f>'No Recurrentes 24-26'!CH51</f>
        <v>2</v>
      </c>
      <c r="AT193" s="1068"/>
      <c r="AU193" s="1062">
        <f>'No Recurrentes 24-26'!CI51</f>
        <v>4</v>
      </c>
      <c r="AV193" s="1063">
        <f>'No Recurrentes 24-26'!CJ51</f>
        <v>8</v>
      </c>
      <c r="AW193" s="1068"/>
      <c r="AX193" s="1065">
        <f>'No Recurrentes 24-26'!CK51</f>
        <v>1.77</v>
      </c>
      <c r="AY193" s="1062">
        <f>'No Recurrentes 24-26'!CL51</f>
        <v>12.3192</v>
      </c>
      <c r="AZ193" s="1068"/>
      <c r="BA193" s="1062">
        <f>'No Recurrentes 24-26'!CM51</f>
        <v>0</v>
      </c>
      <c r="BB193" s="1062">
        <f>'No Recurrentes 24-26'!CN51</f>
        <v>0</v>
      </c>
      <c r="BC193" s="1062">
        <f>'No Recurrentes 24-26'!CO51</f>
        <v>0</v>
      </c>
      <c r="BD193" s="1062">
        <f>'No Recurrentes 24-26'!CP51</f>
        <v>0</v>
      </c>
      <c r="BE193" s="1062">
        <f>'No Recurrentes 24-26'!CQ51</f>
        <v>0</v>
      </c>
      <c r="BF193" s="1062">
        <f>'No Recurrentes 24-26'!CR51</f>
        <v>0</v>
      </c>
      <c r="BG193" s="1062">
        <f>'No Recurrentes 24-26'!CS51</f>
        <v>0</v>
      </c>
      <c r="BH193" s="1062">
        <f>'No Recurrentes 24-26'!CT51</f>
        <v>0</v>
      </c>
      <c r="BI193" s="1062">
        <f>'No Recurrentes 24-26'!CU51</f>
        <v>0</v>
      </c>
      <c r="BJ193" s="1062">
        <f>'No Recurrentes 24-26'!CV51</f>
        <v>0</v>
      </c>
      <c r="BK193" s="1068"/>
      <c r="BL193" s="1062">
        <f>'No Recurrentes 24-26'!CW51</f>
        <v>0</v>
      </c>
      <c r="BM193" s="1062">
        <f>'No Recurrentes 24-26'!CX51</f>
        <v>0</v>
      </c>
      <c r="BN193" s="1062">
        <f>'No Recurrentes 24-26'!CY51</f>
        <v>0</v>
      </c>
      <c r="BO193" s="1062">
        <f>'No Recurrentes 24-26'!CZ51</f>
        <v>0</v>
      </c>
      <c r="BP193" s="1062">
        <f>'No Recurrentes 24-26'!DA51</f>
        <v>0</v>
      </c>
      <c r="BQ193" s="1062">
        <f>'No Recurrentes 24-26'!DB51</f>
        <v>0</v>
      </c>
      <c r="BR193" s="1062">
        <f>'No Recurrentes 24-26'!DC51</f>
        <v>0</v>
      </c>
      <c r="BS193" s="1062">
        <f>'No Recurrentes 24-26'!DD51</f>
        <v>24.6384</v>
      </c>
      <c r="BT193" s="1062">
        <f>'No Recurrentes 24-26'!DE51</f>
        <v>24.6384</v>
      </c>
      <c r="BU193" s="1062">
        <f>'No Recurrentes 24-26'!DF51</f>
        <v>0</v>
      </c>
      <c r="BV193" s="1062">
        <f>'No Recurrentes 24-26'!DG51</f>
        <v>0</v>
      </c>
      <c r="BW193" s="1068"/>
      <c r="BX193" s="1062">
        <f>'No Recurrentes 24-26'!DH51</f>
        <v>49.2768</v>
      </c>
      <c r="BY193" s="1062">
        <f>'No Recurrentes 24-26'!DI51</f>
        <v>0</v>
      </c>
      <c r="BZ193" s="1062">
        <f>'No Recurrentes 24-26'!DJ51</f>
        <v>0</v>
      </c>
      <c r="CA193" s="1062">
        <f>'No Recurrentes 24-26'!DK51</f>
        <v>0</v>
      </c>
      <c r="CB193" s="1062">
        <f>'No Recurrentes 24-26'!DL51</f>
        <v>0</v>
      </c>
      <c r="CC193" s="1062">
        <f>'No Recurrentes 24-26'!DM51</f>
        <v>0</v>
      </c>
      <c r="CD193" s="1062">
        <f>'No Recurrentes 24-26'!DN51</f>
        <v>0</v>
      </c>
      <c r="CE193" s="1062">
        <f>'No Recurrentes 24-26'!DO51</f>
        <v>24.6384</v>
      </c>
      <c r="CF193" s="1062">
        <f>'No Recurrentes 24-26'!DP51</f>
        <v>0</v>
      </c>
      <c r="CG193" s="1062">
        <f>'No Recurrentes 24-26'!DQ51</f>
        <v>0</v>
      </c>
      <c r="CH193" s="1062">
        <f>'No Recurrentes 24-26'!DR51</f>
        <v>24.6384</v>
      </c>
      <c r="CI193" s="1068"/>
      <c r="CJ193" s="1062">
        <f>'No Recurrentes 24-26'!DS51</f>
        <v>49.2768</v>
      </c>
      <c r="CK193" s="1062">
        <f>'No Recurrentes 24-26'!DT51</f>
        <v>98.5536</v>
      </c>
      <c r="CL193" s="1064" t="str">
        <f>'No Recurrentes 24-26'!DU51</f>
        <v/>
      </c>
      <c r="CM193" s="1064" t="str">
        <f>'No Recurrentes 24-26'!DV51</f>
        <v/>
      </c>
      <c r="CN193" s="1065">
        <f>'No Recurrentes 24-26'!EI51</f>
        <v>1.77</v>
      </c>
      <c r="CO193" s="1065">
        <f>'No Recurrentes 24-26'!EJ51</f>
        <v>1.5</v>
      </c>
      <c r="CP193" s="1060" t="str">
        <f>'No Recurrentes 24-26'!EK51</f>
        <v/>
      </c>
    </row>
    <row r="194">
      <c r="A194" s="451" t="str">
        <f>'No Recurrentes 24-26'!A52</f>
        <v>Repuestos Electromecánicos no recurrentes</v>
      </c>
      <c r="B194" s="451">
        <f>'No Recurrentes 24-26'!B52</f>
        <v>2</v>
      </c>
      <c r="C194" s="451" t="str">
        <f>'No Recurrentes 24-26'!C52</f>
        <v>Estación</v>
      </c>
      <c r="D194" s="451" t="str">
        <f>'No Recurrentes 24-26'!D52</f>
        <v>Mantenimiento Cadenas Transportadoras</v>
      </c>
      <c r="E194" s="451" t="str">
        <f>'No Recurrentes 24-26'!E52</f>
        <v>Repuesto Mecánico</v>
      </c>
      <c r="F194" s="451" t="str">
        <f>'No Recurrentes 24-26'!F52</f>
        <v>TDB</v>
      </c>
      <c r="G194" s="1025" t="str">
        <f>'No Recurrentes 24-26'!G52</f>
        <v>39800</v>
      </c>
      <c r="H194" s="1061" t="str">
        <f>'No Recurrentes 24-26'!H52</f>
        <v>2-01-00741</v>
      </c>
      <c r="I194" s="1061" t="str">
        <f>'No Recurrentes 24-26'!I52</f>
        <v>10001861</v>
      </c>
      <c r="J194" s="1061" t="str">
        <f>'No Recurrentes 24-26'!J52</f>
        <v>TORNILLO ISO 4017-8.8 M8X25, TORN. HEXAG., GALVANIZADO</v>
      </c>
      <c r="K194" s="451" t="str">
        <f>'No Recurrentes 24-26'!K52</f>
        <v>Pza</v>
      </c>
      <c r="L194" s="451" t="str">
        <f>'No Recurrentes 24-26'!BC52</f>
        <v/>
      </c>
      <c r="M194" s="451" t="str">
        <f>'No Recurrentes 24-26'!BD52</f>
        <v/>
      </c>
      <c r="N194" s="451" t="str">
        <f>'No Recurrentes 24-26'!BE52</f>
        <v/>
      </c>
      <c r="O194" s="451" t="str">
        <f>'No Recurrentes 24-26'!BF52</f>
        <v/>
      </c>
      <c r="P194" s="451" t="str">
        <f>'No Recurrentes 24-26'!BG52</f>
        <v/>
      </c>
      <c r="Q194" s="451" t="str">
        <f>'No Recurrentes 24-26'!BH52</f>
        <v/>
      </c>
      <c r="R194" s="451" t="str">
        <f>'No Recurrentes 24-26'!BI52</f>
        <v/>
      </c>
      <c r="S194" s="451" t="str">
        <f>'No Recurrentes 24-26'!BJ52</f>
        <v/>
      </c>
      <c r="T194" s="451" t="str">
        <f>'No Recurrentes 24-26'!BK52</f>
        <v/>
      </c>
      <c r="U194" s="451" t="str">
        <f>'No Recurrentes 24-26'!BL52</f>
        <v/>
      </c>
      <c r="V194" s="1068"/>
      <c r="W194" s="1062">
        <f>'No Recurrentes 24-26'!BM52</f>
        <v>0</v>
      </c>
      <c r="X194" s="1062" t="str">
        <f>'No Recurrentes 24-26'!BN52</f>
        <v/>
      </c>
      <c r="Y194" s="1062" t="str">
        <f>'No Recurrentes 24-26'!BO52</f>
        <v/>
      </c>
      <c r="Z194" s="1062" t="str">
        <f>'No Recurrentes 24-26'!BP52</f>
        <v/>
      </c>
      <c r="AA194" s="1062" t="str">
        <f>'No Recurrentes 24-26'!BQ52</f>
        <v/>
      </c>
      <c r="AB194" s="1062" t="str">
        <f>'No Recurrentes 24-26'!BR52</f>
        <v/>
      </c>
      <c r="AC194" s="1062" t="str">
        <f>'No Recurrentes 24-26'!BS52</f>
        <v/>
      </c>
      <c r="AD194" s="1062">
        <f>'No Recurrentes 24-26'!BT52</f>
        <v>2</v>
      </c>
      <c r="AE194" s="1062">
        <f>'No Recurrentes 24-26'!BU52</f>
        <v>2</v>
      </c>
      <c r="AF194" s="1062" t="str">
        <f>'No Recurrentes 24-26'!BV52</f>
        <v/>
      </c>
      <c r="AG194" s="1062" t="str">
        <f>'No Recurrentes 24-26'!BW52</f>
        <v/>
      </c>
      <c r="AH194" s="1068"/>
      <c r="AI194" s="1062">
        <f>'No Recurrentes 24-26'!BX52</f>
        <v>4</v>
      </c>
      <c r="AJ194" s="1062" t="str">
        <f>'No Recurrentes 24-26'!BY52</f>
        <v/>
      </c>
      <c r="AK194" s="1062" t="str">
        <f>'No Recurrentes 24-26'!BZ52</f>
        <v/>
      </c>
      <c r="AL194" s="1062" t="str">
        <f>'No Recurrentes 24-26'!CA52</f>
        <v/>
      </c>
      <c r="AM194" s="1062" t="str">
        <f>'No Recurrentes 24-26'!CB52</f>
        <v/>
      </c>
      <c r="AN194" s="1062" t="str">
        <f>'No Recurrentes 24-26'!CC52</f>
        <v/>
      </c>
      <c r="AO194" s="1062" t="str">
        <f>'No Recurrentes 24-26'!CD52</f>
        <v/>
      </c>
      <c r="AP194" s="1062">
        <f>'No Recurrentes 24-26'!CE52</f>
        <v>2</v>
      </c>
      <c r="AQ194" s="1062" t="str">
        <f>'No Recurrentes 24-26'!CF52</f>
        <v/>
      </c>
      <c r="AR194" s="1062" t="str">
        <f>'No Recurrentes 24-26'!CG52</f>
        <v/>
      </c>
      <c r="AS194" s="1062">
        <f>'No Recurrentes 24-26'!CH52</f>
        <v>2</v>
      </c>
      <c r="AT194" s="1068"/>
      <c r="AU194" s="1062">
        <f>'No Recurrentes 24-26'!CI52</f>
        <v>4</v>
      </c>
      <c r="AV194" s="1063">
        <f>'No Recurrentes 24-26'!CJ52</f>
        <v>8</v>
      </c>
      <c r="AW194" s="1068"/>
      <c r="AX194" s="1065">
        <f>'No Recurrentes 24-26'!CK52</f>
        <v>0.27</v>
      </c>
      <c r="AY194" s="1062">
        <f>'No Recurrentes 24-26'!CL52</f>
        <v>1.8792</v>
      </c>
      <c r="AZ194" s="1068"/>
      <c r="BA194" s="1062">
        <f>'No Recurrentes 24-26'!CM52</f>
        <v>0</v>
      </c>
      <c r="BB194" s="1062">
        <f>'No Recurrentes 24-26'!CN52</f>
        <v>0</v>
      </c>
      <c r="BC194" s="1062">
        <f>'No Recurrentes 24-26'!CO52</f>
        <v>0</v>
      </c>
      <c r="BD194" s="1062">
        <f>'No Recurrentes 24-26'!CP52</f>
        <v>0</v>
      </c>
      <c r="BE194" s="1062">
        <f>'No Recurrentes 24-26'!CQ52</f>
        <v>0</v>
      </c>
      <c r="BF194" s="1062">
        <f>'No Recurrentes 24-26'!CR52</f>
        <v>0</v>
      </c>
      <c r="BG194" s="1062">
        <f>'No Recurrentes 24-26'!CS52</f>
        <v>0</v>
      </c>
      <c r="BH194" s="1062">
        <f>'No Recurrentes 24-26'!CT52</f>
        <v>0</v>
      </c>
      <c r="BI194" s="1062">
        <f>'No Recurrentes 24-26'!CU52</f>
        <v>0</v>
      </c>
      <c r="BJ194" s="1062">
        <f>'No Recurrentes 24-26'!CV52</f>
        <v>0</v>
      </c>
      <c r="BK194" s="1068"/>
      <c r="BL194" s="1062">
        <f>'No Recurrentes 24-26'!CW52</f>
        <v>0</v>
      </c>
      <c r="BM194" s="1062">
        <f>'No Recurrentes 24-26'!CX52</f>
        <v>0</v>
      </c>
      <c r="BN194" s="1062">
        <f>'No Recurrentes 24-26'!CY52</f>
        <v>0</v>
      </c>
      <c r="BO194" s="1062">
        <f>'No Recurrentes 24-26'!CZ52</f>
        <v>0</v>
      </c>
      <c r="BP194" s="1062">
        <f>'No Recurrentes 24-26'!DA52</f>
        <v>0</v>
      </c>
      <c r="BQ194" s="1062">
        <f>'No Recurrentes 24-26'!DB52</f>
        <v>0</v>
      </c>
      <c r="BR194" s="1062">
        <f>'No Recurrentes 24-26'!DC52</f>
        <v>0</v>
      </c>
      <c r="BS194" s="1062">
        <f>'No Recurrentes 24-26'!DD52</f>
        <v>3.7584</v>
      </c>
      <c r="BT194" s="1062">
        <f>'No Recurrentes 24-26'!DE52</f>
        <v>3.7584</v>
      </c>
      <c r="BU194" s="1062">
        <f>'No Recurrentes 24-26'!DF52</f>
        <v>0</v>
      </c>
      <c r="BV194" s="1062">
        <f>'No Recurrentes 24-26'!DG52</f>
        <v>0</v>
      </c>
      <c r="BW194" s="1068"/>
      <c r="BX194" s="1062">
        <f>'No Recurrentes 24-26'!DH52</f>
        <v>7.5168</v>
      </c>
      <c r="BY194" s="1062">
        <f>'No Recurrentes 24-26'!DI52</f>
        <v>0</v>
      </c>
      <c r="BZ194" s="1062">
        <f>'No Recurrentes 24-26'!DJ52</f>
        <v>0</v>
      </c>
      <c r="CA194" s="1062">
        <f>'No Recurrentes 24-26'!DK52</f>
        <v>0</v>
      </c>
      <c r="CB194" s="1062">
        <f>'No Recurrentes 24-26'!DL52</f>
        <v>0</v>
      </c>
      <c r="CC194" s="1062">
        <f>'No Recurrentes 24-26'!DM52</f>
        <v>0</v>
      </c>
      <c r="CD194" s="1062">
        <f>'No Recurrentes 24-26'!DN52</f>
        <v>0</v>
      </c>
      <c r="CE194" s="1062">
        <f>'No Recurrentes 24-26'!DO52</f>
        <v>3.7584</v>
      </c>
      <c r="CF194" s="1062">
        <f>'No Recurrentes 24-26'!DP52</f>
        <v>0</v>
      </c>
      <c r="CG194" s="1062">
        <f>'No Recurrentes 24-26'!DQ52</f>
        <v>0</v>
      </c>
      <c r="CH194" s="1062">
        <f>'No Recurrentes 24-26'!DR52</f>
        <v>3.7584</v>
      </c>
      <c r="CI194" s="1068"/>
      <c r="CJ194" s="1062">
        <f>'No Recurrentes 24-26'!DS52</f>
        <v>7.5168</v>
      </c>
      <c r="CK194" s="1062">
        <f>'No Recurrentes 24-26'!DT52</f>
        <v>15.0336</v>
      </c>
      <c r="CL194" s="1064" t="str">
        <f>'No Recurrentes 24-26'!DU52</f>
        <v/>
      </c>
      <c r="CM194" s="1064" t="str">
        <f>'No Recurrentes 24-26'!DV52</f>
        <v/>
      </c>
      <c r="CN194" s="1065">
        <f>'No Recurrentes 24-26'!EI52</f>
        <v>0.27</v>
      </c>
      <c r="CO194" s="1065">
        <f>'No Recurrentes 24-26'!EJ52</f>
        <v>0.23</v>
      </c>
      <c r="CP194" s="1060" t="str">
        <f>'No Recurrentes 24-26'!EK52</f>
        <v/>
      </c>
    </row>
    <row r="195">
      <c r="A195" s="451" t="str">
        <f>'No Recurrentes 24-26'!A53</f>
        <v>Repuestos Electromecánicos no recurrentes</v>
      </c>
      <c r="B195" s="451">
        <f>'No Recurrentes 24-26'!B53</f>
        <v>2</v>
      </c>
      <c r="C195" s="451" t="str">
        <f>'No Recurrentes 24-26'!C53</f>
        <v>Estación</v>
      </c>
      <c r="D195" s="451" t="str">
        <f>'No Recurrentes 24-26'!D53</f>
        <v>Mantenimiento Cadenas Transportadoras</v>
      </c>
      <c r="E195" s="451" t="str">
        <f>'No Recurrentes 24-26'!E53</f>
        <v>Repuesto Mecánico</v>
      </c>
      <c r="F195" s="451" t="str">
        <f>'No Recurrentes 24-26'!F53</f>
        <v>TDB</v>
      </c>
      <c r="G195" s="1025" t="str">
        <f>'No Recurrentes 24-26'!G53</f>
        <v>39800</v>
      </c>
      <c r="H195" s="1061" t="str">
        <f>'No Recurrentes 24-26'!H53</f>
        <v/>
      </c>
      <c r="I195" s="1061" t="str">
        <f>'No Recurrentes 24-26'!I53</f>
        <v>10000029</v>
      </c>
      <c r="J195" s="1061" t="str">
        <f>'No Recurrentes 24-26'!J53</f>
        <v>TUERCA HEX. ISO 4032-8 M8 GALVANIZADA</v>
      </c>
      <c r="K195" s="451" t="str">
        <f>'No Recurrentes 24-26'!K53</f>
        <v>Pza</v>
      </c>
      <c r="L195" s="451" t="str">
        <f>'No Recurrentes 24-26'!BC53</f>
        <v/>
      </c>
      <c r="M195" s="451" t="str">
        <f>'No Recurrentes 24-26'!BD53</f>
        <v/>
      </c>
      <c r="N195" s="451" t="str">
        <f>'No Recurrentes 24-26'!BE53</f>
        <v/>
      </c>
      <c r="O195" s="451" t="str">
        <f>'No Recurrentes 24-26'!BF53</f>
        <v/>
      </c>
      <c r="P195" s="451" t="str">
        <f>'No Recurrentes 24-26'!BG53</f>
        <v/>
      </c>
      <c r="Q195" s="451" t="str">
        <f>'No Recurrentes 24-26'!BH53</f>
        <v/>
      </c>
      <c r="R195" s="451" t="str">
        <f>'No Recurrentes 24-26'!BI53</f>
        <v/>
      </c>
      <c r="S195" s="451" t="str">
        <f>'No Recurrentes 24-26'!BJ53</f>
        <v/>
      </c>
      <c r="T195" s="451" t="str">
        <f>'No Recurrentes 24-26'!BK53</f>
        <v/>
      </c>
      <c r="U195" s="451" t="str">
        <f>'No Recurrentes 24-26'!BL53</f>
        <v/>
      </c>
      <c r="V195" s="1068"/>
      <c r="W195" s="1062">
        <f>'No Recurrentes 24-26'!BM53</f>
        <v>0</v>
      </c>
      <c r="X195" s="1062" t="str">
        <f>'No Recurrentes 24-26'!BN53</f>
        <v/>
      </c>
      <c r="Y195" s="1062" t="str">
        <f>'No Recurrentes 24-26'!BO53</f>
        <v/>
      </c>
      <c r="Z195" s="1062" t="str">
        <f>'No Recurrentes 24-26'!BP53</f>
        <v/>
      </c>
      <c r="AA195" s="1062" t="str">
        <f>'No Recurrentes 24-26'!BQ53</f>
        <v/>
      </c>
      <c r="AB195" s="1062" t="str">
        <f>'No Recurrentes 24-26'!BR53</f>
        <v/>
      </c>
      <c r="AC195" s="1062" t="str">
        <f>'No Recurrentes 24-26'!BS53</f>
        <v/>
      </c>
      <c r="AD195" s="1062" t="str">
        <f>'No Recurrentes 24-26'!BT53</f>
        <v/>
      </c>
      <c r="AE195" s="1062">
        <f>'No Recurrentes 24-26'!BU53</f>
        <v>10</v>
      </c>
      <c r="AF195" s="1062" t="str">
        <f>'No Recurrentes 24-26'!BV53</f>
        <v/>
      </c>
      <c r="AG195" s="1062" t="str">
        <f>'No Recurrentes 24-26'!BW53</f>
        <v/>
      </c>
      <c r="AH195" s="1068"/>
      <c r="AI195" s="1062">
        <f>'No Recurrentes 24-26'!BX53</f>
        <v>10</v>
      </c>
      <c r="AJ195" s="1062" t="str">
        <f>'No Recurrentes 24-26'!BY53</f>
        <v/>
      </c>
      <c r="AK195" s="1062" t="str">
        <f>'No Recurrentes 24-26'!BZ53</f>
        <v/>
      </c>
      <c r="AL195" s="1062" t="str">
        <f>'No Recurrentes 24-26'!CA53</f>
        <v/>
      </c>
      <c r="AM195" s="1062" t="str">
        <f>'No Recurrentes 24-26'!CB53</f>
        <v/>
      </c>
      <c r="AN195" s="1062" t="str">
        <f>'No Recurrentes 24-26'!CC53</f>
        <v/>
      </c>
      <c r="AO195" s="1062" t="str">
        <f>'No Recurrentes 24-26'!CD53</f>
        <v/>
      </c>
      <c r="AP195" s="1062" t="str">
        <f>'No Recurrentes 24-26'!CE53</f>
        <v/>
      </c>
      <c r="AQ195" s="1062">
        <f>'No Recurrentes 24-26'!CF53</f>
        <v>50</v>
      </c>
      <c r="AR195" s="1062" t="str">
        <f>'No Recurrentes 24-26'!CG53</f>
        <v/>
      </c>
      <c r="AS195" s="1062" t="str">
        <f>'No Recurrentes 24-26'!CH53</f>
        <v/>
      </c>
      <c r="AT195" s="1068"/>
      <c r="AU195" s="1062">
        <f>'No Recurrentes 24-26'!CI53</f>
        <v>50</v>
      </c>
      <c r="AV195" s="1063">
        <f>'No Recurrentes 24-26'!CJ53</f>
        <v>60</v>
      </c>
      <c r="AW195" s="1068"/>
      <c r="AX195" s="1065">
        <f>'No Recurrentes 24-26'!CK53</f>
        <v>0.08</v>
      </c>
      <c r="AY195" s="1062">
        <f>'No Recurrentes 24-26'!CL53</f>
        <v>0.5568</v>
      </c>
      <c r="AZ195" s="1068"/>
      <c r="BA195" s="1062">
        <f>'No Recurrentes 24-26'!CM53</f>
        <v>0</v>
      </c>
      <c r="BB195" s="1062">
        <f>'No Recurrentes 24-26'!CN53</f>
        <v>0</v>
      </c>
      <c r="BC195" s="1062">
        <f>'No Recurrentes 24-26'!CO53</f>
        <v>0</v>
      </c>
      <c r="BD195" s="1062">
        <f>'No Recurrentes 24-26'!CP53</f>
        <v>0</v>
      </c>
      <c r="BE195" s="1062">
        <f>'No Recurrentes 24-26'!CQ53</f>
        <v>0</v>
      </c>
      <c r="BF195" s="1062">
        <f>'No Recurrentes 24-26'!CR53</f>
        <v>0</v>
      </c>
      <c r="BG195" s="1062">
        <f>'No Recurrentes 24-26'!CS53</f>
        <v>0</v>
      </c>
      <c r="BH195" s="1062">
        <f>'No Recurrentes 24-26'!CT53</f>
        <v>0</v>
      </c>
      <c r="BI195" s="1062">
        <f>'No Recurrentes 24-26'!CU53</f>
        <v>0</v>
      </c>
      <c r="BJ195" s="1062">
        <f>'No Recurrentes 24-26'!CV53</f>
        <v>0</v>
      </c>
      <c r="BK195" s="1068"/>
      <c r="BL195" s="1062">
        <f>'No Recurrentes 24-26'!CW53</f>
        <v>0</v>
      </c>
      <c r="BM195" s="1062">
        <f>'No Recurrentes 24-26'!CX53</f>
        <v>0</v>
      </c>
      <c r="BN195" s="1062">
        <f>'No Recurrentes 24-26'!CY53</f>
        <v>0</v>
      </c>
      <c r="BO195" s="1062">
        <f>'No Recurrentes 24-26'!CZ53</f>
        <v>0</v>
      </c>
      <c r="BP195" s="1062">
        <f>'No Recurrentes 24-26'!DA53</f>
        <v>0</v>
      </c>
      <c r="BQ195" s="1062">
        <f>'No Recurrentes 24-26'!DB53</f>
        <v>0</v>
      </c>
      <c r="BR195" s="1062">
        <f>'No Recurrentes 24-26'!DC53</f>
        <v>0</v>
      </c>
      <c r="BS195" s="1062">
        <f>'No Recurrentes 24-26'!DD53</f>
        <v>0</v>
      </c>
      <c r="BT195" s="1062">
        <f>'No Recurrentes 24-26'!DE53</f>
        <v>5.568</v>
      </c>
      <c r="BU195" s="1062">
        <f>'No Recurrentes 24-26'!DF53</f>
        <v>0</v>
      </c>
      <c r="BV195" s="1062">
        <f>'No Recurrentes 24-26'!DG53</f>
        <v>0</v>
      </c>
      <c r="BW195" s="1068"/>
      <c r="BX195" s="1062">
        <f>'No Recurrentes 24-26'!DH53</f>
        <v>5.568</v>
      </c>
      <c r="BY195" s="1062">
        <f>'No Recurrentes 24-26'!DI53</f>
        <v>0</v>
      </c>
      <c r="BZ195" s="1062">
        <f>'No Recurrentes 24-26'!DJ53</f>
        <v>0</v>
      </c>
      <c r="CA195" s="1062">
        <f>'No Recurrentes 24-26'!DK53</f>
        <v>0</v>
      </c>
      <c r="CB195" s="1062">
        <f>'No Recurrentes 24-26'!DL53</f>
        <v>0</v>
      </c>
      <c r="CC195" s="1062">
        <f>'No Recurrentes 24-26'!DM53</f>
        <v>0</v>
      </c>
      <c r="CD195" s="1062">
        <f>'No Recurrentes 24-26'!DN53</f>
        <v>0</v>
      </c>
      <c r="CE195" s="1062">
        <f>'No Recurrentes 24-26'!DO53</f>
        <v>0</v>
      </c>
      <c r="CF195" s="1062">
        <f>'No Recurrentes 24-26'!DP53</f>
        <v>27.84</v>
      </c>
      <c r="CG195" s="1062">
        <f>'No Recurrentes 24-26'!DQ53</f>
        <v>0</v>
      </c>
      <c r="CH195" s="1062">
        <f>'No Recurrentes 24-26'!DR53</f>
        <v>0</v>
      </c>
      <c r="CI195" s="1068"/>
      <c r="CJ195" s="1062">
        <f>'No Recurrentes 24-26'!DS53</f>
        <v>27.84</v>
      </c>
      <c r="CK195" s="1062">
        <f>'No Recurrentes 24-26'!DT53</f>
        <v>33.408</v>
      </c>
      <c r="CL195" s="1064" t="str">
        <f>'No Recurrentes 24-26'!DU53</f>
        <v/>
      </c>
      <c r="CM195" s="1064" t="str">
        <f>'No Recurrentes 24-26'!DV53</f>
        <v/>
      </c>
      <c r="CN195" s="1065">
        <f>'No Recurrentes 24-26'!EI53</f>
        <v>0.08</v>
      </c>
      <c r="CO195" s="1065">
        <f>'No Recurrentes 24-26'!EJ53</f>
        <v>0.07</v>
      </c>
      <c r="CP195" s="1060" t="str">
        <f>'No Recurrentes 24-26'!EK53</f>
        <v/>
      </c>
    </row>
    <row r="196">
      <c r="A196" s="451" t="str">
        <f>'No Recurrentes 24-26'!A54</f>
        <v>Repuestos Electromecánicos no recurrentes</v>
      </c>
      <c r="B196" s="451">
        <f>'No Recurrentes 24-26'!B54</f>
        <v>2</v>
      </c>
      <c r="C196" s="451" t="str">
        <f>'No Recurrentes 24-26'!C54</f>
        <v>Estación</v>
      </c>
      <c r="D196" s="451" t="str">
        <f>'No Recurrentes 24-26'!D54</f>
        <v>Mantenimiento Cadenas Transportadoras</v>
      </c>
      <c r="E196" s="451" t="str">
        <f>'No Recurrentes 24-26'!E54</f>
        <v>Repuesto Mecánico</v>
      </c>
      <c r="F196" s="451" t="str">
        <f>'No Recurrentes 24-26'!F54</f>
        <v>TDB</v>
      </c>
      <c r="G196" s="1025" t="str">
        <f>'No Recurrentes 24-26'!G54</f>
        <v>39800</v>
      </c>
      <c r="H196" s="1061" t="str">
        <f>'No Recurrentes 24-26'!H54</f>
        <v>2-01-00569</v>
      </c>
      <c r="I196" s="1061" t="str">
        <f>'No Recurrentes 24-26'!I54</f>
        <v>10000078</v>
      </c>
      <c r="J196" s="1061" t="str">
        <f>'No Recurrentes 24-26'!J54</f>
        <v>TUERCA HEXAG. DIN 985- 8 M 8  GALVANIZ. (CON PIEZA DE APRIETE</v>
      </c>
      <c r="K196" s="451" t="str">
        <f>'No Recurrentes 24-26'!K54</f>
        <v>Pza</v>
      </c>
      <c r="L196" s="451" t="str">
        <f>'No Recurrentes 24-26'!BC54</f>
        <v/>
      </c>
      <c r="M196" s="451" t="str">
        <f>'No Recurrentes 24-26'!BD54</f>
        <v/>
      </c>
      <c r="N196" s="451" t="str">
        <f>'No Recurrentes 24-26'!BE54</f>
        <v/>
      </c>
      <c r="O196" s="451" t="str">
        <f>'No Recurrentes 24-26'!BF54</f>
        <v/>
      </c>
      <c r="P196" s="451" t="str">
        <f>'No Recurrentes 24-26'!BG54</f>
        <v/>
      </c>
      <c r="Q196" s="451" t="str">
        <f>'No Recurrentes 24-26'!BH54</f>
        <v/>
      </c>
      <c r="R196" s="451" t="str">
        <f>'No Recurrentes 24-26'!BI54</f>
        <v/>
      </c>
      <c r="S196" s="451" t="str">
        <f>'No Recurrentes 24-26'!BJ54</f>
        <v/>
      </c>
      <c r="T196" s="451" t="str">
        <f>'No Recurrentes 24-26'!BK54</f>
        <v/>
      </c>
      <c r="U196" s="451" t="str">
        <f>'No Recurrentes 24-26'!BL54</f>
        <v/>
      </c>
      <c r="V196" s="1068"/>
      <c r="W196" s="1062">
        <f>'No Recurrentes 24-26'!BM54</f>
        <v>0</v>
      </c>
      <c r="X196" s="1062" t="str">
        <f>'No Recurrentes 24-26'!BN54</f>
        <v/>
      </c>
      <c r="Y196" s="1062" t="str">
        <f>'No Recurrentes 24-26'!BO54</f>
        <v/>
      </c>
      <c r="Z196" s="1062" t="str">
        <f>'No Recurrentes 24-26'!BP54</f>
        <v/>
      </c>
      <c r="AA196" s="1062" t="str">
        <f>'No Recurrentes 24-26'!BQ54</f>
        <v/>
      </c>
      <c r="AB196" s="1062" t="str">
        <f>'No Recurrentes 24-26'!BR54</f>
        <v/>
      </c>
      <c r="AC196" s="1062" t="str">
        <f>'No Recurrentes 24-26'!BS54</f>
        <v/>
      </c>
      <c r="AD196" s="1062">
        <f>'No Recurrentes 24-26'!BT54</f>
        <v>2</v>
      </c>
      <c r="AE196" s="1062">
        <f>'No Recurrentes 24-26'!BU54</f>
        <v>2</v>
      </c>
      <c r="AF196" s="1062" t="str">
        <f>'No Recurrentes 24-26'!BV54</f>
        <v/>
      </c>
      <c r="AG196" s="1062" t="str">
        <f>'No Recurrentes 24-26'!BW54</f>
        <v/>
      </c>
      <c r="AH196" s="1068"/>
      <c r="AI196" s="1062">
        <f>'No Recurrentes 24-26'!BX54</f>
        <v>4</v>
      </c>
      <c r="AJ196" s="1062" t="str">
        <f>'No Recurrentes 24-26'!BY54</f>
        <v/>
      </c>
      <c r="AK196" s="1062" t="str">
        <f>'No Recurrentes 24-26'!BZ54</f>
        <v/>
      </c>
      <c r="AL196" s="1062" t="str">
        <f>'No Recurrentes 24-26'!CA54</f>
        <v/>
      </c>
      <c r="AM196" s="1062" t="str">
        <f>'No Recurrentes 24-26'!CB54</f>
        <v/>
      </c>
      <c r="AN196" s="1062" t="str">
        <f>'No Recurrentes 24-26'!CC54</f>
        <v/>
      </c>
      <c r="AO196" s="1062" t="str">
        <f>'No Recurrentes 24-26'!CD54</f>
        <v/>
      </c>
      <c r="AP196" s="1062">
        <f>'No Recurrentes 24-26'!CE54</f>
        <v>2</v>
      </c>
      <c r="AQ196" s="1062" t="str">
        <f>'No Recurrentes 24-26'!CF54</f>
        <v/>
      </c>
      <c r="AR196" s="1062" t="str">
        <f>'No Recurrentes 24-26'!CG54</f>
        <v/>
      </c>
      <c r="AS196" s="1062">
        <f>'No Recurrentes 24-26'!CH54</f>
        <v>2</v>
      </c>
      <c r="AT196" s="1068"/>
      <c r="AU196" s="1062">
        <f>'No Recurrentes 24-26'!CI54</f>
        <v>4</v>
      </c>
      <c r="AV196" s="1063">
        <f>'No Recurrentes 24-26'!CJ54</f>
        <v>8</v>
      </c>
      <c r="AW196" s="1068"/>
      <c r="AX196" s="1065">
        <f>'No Recurrentes 24-26'!CK54</f>
        <v>0.08</v>
      </c>
      <c r="AY196" s="1062">
        <f>'No Recurrentes 24-26'!CL54</f>
        <v>0.5568</v>
      </c>
      <c r="AZ196" s="1068"/>
      <c r="BA196" s="1062">
        <f>'No Recurrentes 24-26'!CM54</f>
        <v>0</v>
      </c>
      <c r="BB196" s="1062">
        <f>'No Recurrentes 24-26'!CN54</f>
        <v>0</v>
      </c>
      <c r="BC196" s="1062">
        <f>'No Recurrentes 24-26'!CO54</f>
        <v>0</v>
      </c>
      <c r="BD196" s="1062">
        <f>'No Recurrentes 24-26'!CP54</f>
        <v>0</v>
      </c>
      <c r="BE196" s="1062">
        <f>'No Recurrentes 24-26'!CQ54</f>
        <v>0</v>
      </c>
      <c r="BF196" s="1062">
        <f>'No Recurrentes 24-26'!CR54</f>
        <v>0</v>
      </c>
      <c r="BG196" s="1062">
        <f>'No Recurrentes 24-26'!CS54</f>
        <v>0</v>
      </c>
      <c r="BH196" s="1062">
        <f>'No Recurrentes 24-26'!CT54</f>
        <v>0</v>
      </c>
      <c r="BI196" s="1062">
        <f>'No Recurrentes 24-26'!CU54</f>
        <v>0</v>
      </c>
      <c r="BJ196" s="1062">
        <f>'No Recurrentes 24-26'!CV54</f>
        <v>0</v>
      </c>
      <c r="BK196" s="1068"/>
      <c r="BL196" s="1062">
        <f>'No Recurrentes 24-26'!CW54</f>
        <v>0</v>
      </c>
      <c r="BM196" s="1062">
        <f>'No Recurrentes 24-26'!CX54</f>
        <v>0</v>
      </c>
      <c r="BN196" s="1062">
        <f>'No Recurrentes 24-26'!CY54</f>
        <v>0</v>
      </c>
      <c r="BO196" s="1062">
        <f>'No Recurrentes 24-26'!CZ54</f>
        <v>0</v>
      </c>
      <c r="BP196" s="1062">
        <f>'No Recurrentes 24-26'!DA54</f>
        <v>0</v>
      </c>
      <c r="BQ196" s="1062">
        <f>'No Recurrentes 24-26'!DB54</f>
        <v>0</v>
      </c>
      <c r="BR196" s="1062">
        <f>'No Recurrentes 24-26'!DC54</f>
        <v>0</v>
      </c>
      <c r="BS196" s="1062">
        <f>'No Recurrentes 24-26'!DD54</f>
        <v>1.1136</v>
      </c>
      <c r="BT196" s="1062">
        <f>'No Recurrentes 24-26'!DE54</f>
        <v>1.1136</v>
      </c>
      <c r="BU196" s="1062">
        <f>'No Recurrentes 24-26'!DF54</f>
        <v>0</v>
      </c>
      <c r="BV196" s="1062">
        <f>'No Recurrentes 24-26'!DG54</f>
        <v>0</v>
      </c>
      <c r="BW196" s="1068"/>
      <c r="BX196" s="1062">
        <f>'No Recurrentes 24-26'!DH54</f>
        <v>2.2272</v>
      </c>
      <c r="BY196" s="1062">
        <f>'No Recurrentes 24-26'!DI54</f>
        <v>0</v>
      </c>
      <c r="BZ196" s="1062">
        <f>'No Recurrentes 24-26'!DJ54</f>
        <v>0</v>
      </c>
      <c r="CA196" s="1062">
        <f>'No Recurrentes 24-26'!DK54</f>
        <v>0</v>
      </c>
      <c r="CB196" s="1062">
        <f>'No Recurrentes 24-26'!DL54</f>
        <v>0</v>
      </c>
      <c r="CC196" s="1062">
        <f>'No Recurrentes 24-26'!DM54</f>
        <v>0</v>
      </c>
      <c r="CD196" s="1062">
        <f>'No Recurrentes 24-26'!DN54</f>
        <v>0</v>
      </c>
      <c r="CE196" s="1062">
        <f>'No Recurrentes 24-26'!DO54</f>
        <v>1.1136</v>
      </c>
      <c r="CF196" s="1062">
        <f>'No Recurrentes 24-26'!DP54</f>
        <v>0</v>
      </c>
      <c r="CG196" s="1062">
        <f>'No Recurrentes 24-26'!DQ54</f>
        <v>0</v>
      </c>
      <c r="CH196" s="1062">
        <f>'No Recurrentes 24-26'!DR54</f>
        <v>1.1136</v>
      </c>
      <c r="CI196" s="1068"/>
      <c r="CJ196" s="1062">
        <f>'No Recurrentes 24-26'!DS54</f>
        <v>2.2272</v>
      </c>
      <c r="CK196" s="1062">
        <f>'No Recurrentes 24-26'!DT54</f>
        <v>4.4544</v>
      </c>
      <c r="CL196" s="1064" t="str">
        <f>'No Recurrentes 24-26'!DU54</f>
        <v/>
      </c>
      <c r="CM196" s="1064" t="str">
        <f>'No Recurrentes 24-26'!DV54</f>
        <v/>
      </c>
      <c r="CN196" s="1065">
        <f>'No Recurrentes 24-26'!EI54</f>
        <v>0.08</v>
      </c>
      <c r="CO196" s="1065">
        <f>'No Recurrentes 24-26'!EJ54</f>
        <v>0.07</v>
      </c>
      <c r="CP196" s="1060" t="str">
        <f>'No Recurrentes 24-26'!EK54</f>
        <v/>
      </c>
    </row>
    <row r="197">
      <c r="A197" s="451" t="str">
        <f>'No Recurrentes 24-26'!A55</f>
        <v>Repuestos Electromecánicos no recurrentes</v>
      </c>
      <c r="B197" s="451" t="str">
        <f>'No Recurrentes 24-26'!B55</f>
        <v/>
      </c>
      <c r="C197" s="451" t="str">
        <f>'No Recurrentes 24-26'!C55</f>
        <v>Estación</v>
      </c>
      <c r="D197" s="451" t="str">
        <f>'No Recurrentes 24-26'!D55</f>
        <v>Mantenimiento Cadenas Transportadoras</v>
      </c>
      <c r="E197" s="451" t="str">
        <f>'No Recurrentes 24-26'!E55</f>
        <v>Repuesto Mecánico</v>
      </c>
      <c r="F197" s="451" t="str">
        <f>'No Recurrentes 24-26'!F55</f>
        <v>TDB</v>
      </c>
      <c r="G197" s="1061" t="str">
        <f>'No Recurrentes 24-26'!G55</f>
        <v>39800</v>
      </c>
      <c r="H197" s="1061" t="str">
        <f>'No Recurrentes 24-26'!H55</f>
        <v/>
      </c>
      <c r="I197" s="1061">
        <f>'No Recurrentes 24-26'!I55</f>
        <v>10001201</v>
      </c>
      <c r="J197" s="1061" t="str">
        <f>'No Recurrentes 24-26'!J55</f>
        <v>TORNILLO ISO 8.8 M10X75</v>
      </c>
      <c r="K197" s="451" t="str">
        <f>'No Recurrentes 24-26'!K55</f>
        <v>Pza</v>
      </c>
      <c r="L197" s="451" t="str">
        <f>'No Recurrentes 24-26'!BC55</f>
        <v/>
      </c>
      <c r="M197" s="451" t="str">
        <f>'No Recurrentes 24-26'!BD55</f>
        <v/>
      </c>
      <c r="N197" s="451" t="str">
        <f>'No Recurrentes 24-26'!BE55</f>
        <v/>
      </c>
      <c r="O197" s="451" t="str">
        <f>'No Recurrentes 24-26'!BF55</f>
        <v/>
      </c>
      <c r="P197" s="451" t="str">
        <f>'No Recurrentes 24-26'!BG55</f>
        <v/>
      </c>
      <c r="Q197" s="451" t="str">
        <f>'No Recurrentes 24-26'!BH55</f>
        <v/>
      </c>
      <c r="R197" s="451" t="str">
        <f>'No Recurrentes 24-26'!BI55</f>
        <v/>
      </c>
      <c r="S197" s="451" t="str">
        <f>'No Recurrentes 24-26'!BJ55</f>
        <v/>
      </c>
      <c r="T197" s="451" t="str">
        <f>'No Recurrentes 24-26'!BK55</f>
        <v/>
      </c>
      <c r="U197" s="451" t="str">
        <f>'No Recurrentes 24-26'!BL55</f>
        <v/>
      </c>
      <c r="V197" s="1068"/>
      <c r="W197" s="1062">
        <f>'No Recurrentes 24-26'!BM55</f>
        <v>0</v>
      </c>
      <c r="X197" s="1062" t="str">
        <f>'No Recurrentes 24-26'!BN55</f>
        <v/>
      </c>
      <c r="Y197" s="1062" t="str">
        <f>'No Recurrentes 24-26'!BO55</f>
        <v/>
      </c>
      <c r="Z197" s="1062" t="str">
        <f>'No Recurrentes 24-26'!BP55</f>
        <v/>
      </c>
      <c r="AA197" s="1062" t="str">
        <f>'No Recurrentes 24-26'!BQ55</f>
        <v/>
      </c>
      <c r="AB197" s="1062" t="str">
        <f>'No Recurrentes 24-26'!BR55</f>
        <v/>
      </c>
      <c r="AC197" s="1062" t="str">
        <f>'No Recurrentes 24-26'!BS55</f>
        <v/>
      </c>
      <c r="AD197" s="1062" t="str">
        <f>'No Recurrentes 24-26'!BT55</f>
        <v/>
      </c>
      <c r="AE197" s="1062" t="str">
        <f>'No Recurrentes 24-26'!BU55</f>
        <v/>
      </c>
      <c r="AF197" s="1062" t="str">
        <f>'No Recurrentes 24-26'!BV55</f>
        <v/>
      </c>
      <c r="AG197" s="1062" t="str">
        <f>'No Recurrentes 24-26'!BW55</f>
        <v/>
      </c>
      <c r="AH197" s="1068"/>
      <c r="AI197" s="1062">
        <f>'No Recurrentes 24-26'!BX55</f>
        <v>0</v>
      </c>
      <c r="AJ197" s="1062">
        <f>'No Recurrentes 24-26'!BY55</f>
        <v>0</v>
      </c>
      <c r="AK197" s="1062">
        <f>'No Recurrentes 24-26'!BZ55</f>
        <v>0</v>
      </c>
      <c r="AL197" s="1062">
        <f>'No Recurrentes 24-26'!CA55</f>
        <v>0</v>
      </c>
      <c r="AM197" s="1062">
        <f>'No Recurrentes 24-26'!CB55</f>
        <v>0</v>
      </c>
      <c r="AN197" s="1062">
        <f>'No Recurrentes 24-26'!CC55</f>
        <v>0</v>
      </c>
      <c r="AO197" s="1062">
        <f>'No Recurrentes 24-26'!CD55</f>
        <v>0</v>
      </c>
      <c r="AP197" s="1062">
        <f>'No Recurrentes 24-26'!CE55</f>
        <v>0</v>
      </c>
      <c r="AQ197" s="1062">
        <f>'No Recurrentes 24-26'!CF55</f>
        <v>0</v>
      </c>
      <c r="AR197" s="1062">
        <f>'No Recurrentes 24-26'!CG55</f>
        <v>0</v>
      </c>
      <c r="AS197" s="1062">
        <f>'No Recurrentes 24-26'!CH55</f>
        <v>0</v>
      </c>
      <c r="AT197" s="1068"/>
      <c r="AU197" s="1062">
        <f>'No Recurrentes 24-26'!CI55</f>
        <v>0</v>
      </c>
      <c r="AV197" s="1063">
        <f>'No Recurrentes 24-26'!CJ55</f>
        <v>0</v>
      </c>
      <c r="AW197" s="1068"/>
      <c r="AX197" s="1062" t="str">
        <f>'No Recurrentes 24-26'!CK55</f>
        <v/>
      </c>
      <c r="AY197" s="1062">
        <f>'No Recurrentes 24-26'!CL55</f>
        <v>12.6157</v>
      </c>
      <c r="AZ197" s="1068"/>
      <c r="BA197" s="1062">
        <f>'No Recurrentes 24-26'!CM55</f>
        <v>0</v>
      </c>
      <c r="BB197" s="1062">
        <f>'No Recurrentes 24-26'!CN55</f>
        <v>0</v>
      </c>
      <c r="BC197" s="1062">
        <f>'No Recurrentes 24-26'!CO55</f>
        <v>0</v>
      </c>
      <c r="BD197" s="1062">
        <f>'No Recurrentes 24-26'!CP55</f>
        <v>0</v>
      </c>
      <c r="BE197" s="1062">
        <f>'No Recurrentes 24-26'!CQ55</f>
        <v>0</v>
      </c>
      <c r="BF197" s="1062">
        <f>'No Recurrentes 24-26'!CR55</f>
        <v>0</v>
      </c>
      <c r="BG197" s="1062">
        <f>'No Recurrentes 24-26'!CS55</f>
        <v>0</v>
      </c>
      <c r="BH197" s="1062">
        <f>'No Recurrentes 24-26'!CT55</f>
        <v>0</v>
      </c>
      <c r="BI197" s="1062">
        <f>'No Recurrentes 24-26'!CU55</f>
        <v>0</v>
      </c>
      <c r="BJ197" s="1062">
        <f>'No Recurrentes 24-26'!CV55</f>
        <v>0</v>
      </c>
      <c r="BK197" s="1068"/>
      <c r="BL197" s="1062">
        <f>'No Recurrentes 24-26'!CW55</f>
        <v>0</v>
      </c>
      <c r="BM197" s="1062">
        <f>'No Recurrentes 24-26'!CX55</f>
        <v>0</v>
      </c>
      <c r="BN197" s="1062">
        <f>'No Recurrentes 24-26'!CY55</f>
        <v>0</v>
      </c>
      <c r="BO197" s="1062">
        <f>'No Recurrentes 24-26'!CZ55</f>
        <v>0</v>
      </c>
      <c r="BP197" s="1062">
        <f>'No Recurrentes 24-26'!DA55</f>
        <v>0</v>
      </c>
      <c r="BQ197" s="1062">
        <f>'No Recurrentes 24-26'!DB55</f>
        <v>0</v>
      </c>
      <c r="BR197" s="1062">
        <f>'No Recurrentes 24-26'!DC55</f>
        <v>0</v>
      </c>
      <c r="BS197" s="1062">
        <f>'No Recurrentes 24-26'!DD55</f>
        <v>0</v>
      </c>
      <c r="BT197" s="1062">
        <f>'No Recurrentes 24-26'!DE55</f>
        <v>0</v>
      </c>
      <c r="BU197" s="1062">
        <f>'No Recurrentes 24-26'!DF55</f>
        <v>0</v>
      </c>
      <c r="BV197" s="1062">
        <f>'No Recurrentes 24-26'!DG55</f>
        <v>0</v>
      </c>
      <c r="BW197" s="1068"/>
      <c r="BX197" s="1062">
        <f>'No Recurrentes 24-26'!DH55</f>
        <v>0</v>
      </c>
      <c r="BY197" s="1062">
        <f>'No Recurrentes 24-26'!DI55</f>
        <v>0</v>
      </c>
      <c r="BZ197" s="1062">
        <f>'No Recurrentes 24-26'!DJ55</f>
        <v>0</v>
      </c>
      <c r="CA197" s="1062">
        <f>'No Recurrentes 24-26'!DK55</f>
        <v>0</v>
      </c>
      <c r="CB197" s="1062">
        <f>'No Recurrentes 24-26'!DL55</f>
        <v>0</v>
      </c>
      <c r="CC197" s="1062">
        <f>'No Recurrentes 24-26'!DM55</f>
        <v>0</v>
      </c>
      <c r="CD197" s="1062">
        <f>'No Recurrentes 24-26'!DN55</f>
        <v>0</v>
      </c>
      <c r="CE197" s="1062">
        <f>'No Recurrentes 24-26'!DO55</f>
        <v>0</v>
      </c>
      <c r="CF197" s="1062">
        <f>'No Recurrentes 24-26'!DP55</f>
        <v>0</v>
      </c>
      <c r="CG197" s="1062">
        <f>'No Recurrentes 24-26'!DQ55</f>
        <v>0</v>
      </c>
      <c r="CH197" s="1062">
        <f>'No Recurrentes 24-26'!DR55</f>
        <v>0</v>
      </c>
      <c r="CI197" s="1068"/>
      <c r="CJ197" s="1062">
        <f>'No Recurrentes 24-26'!DS55</f>
        <v>0</v>
      </c>
      <c r="CK197" s="1062">
        <f>'No Recurrentes 24-26'!DT55</f>
        <v>0</v>
      </c>
      <c r="CL197" s="1064" t="str">
        <f>'No Recurrentes 24-26'!DU55</f>
        <v/>
      </c>
      <c r="CM197" s="1064" t="str">
        <f>'No Recurrentes 24-26'!DV55</f>
        <v/>
      </c>
      <c r="CN197" s="1060">
        <f>'No Recurrentes 24-26'!EI55</f>
        <v>1</v>
      </c>
      <c r="CO197" s="1060" t="str">
        <f>'No Recurrentes 24-26'!EJ55</f>
        <v/>
      </c>
      <c r="CP197" s="1060" t="str">
        <f>'No Recurrentes 24-26'!EK55</f>
        <v/>
      </c>
    </row>
    <row r="198">
      <c r="A198" s="451" t="str">
        <f>'No Recurrentes 24-26'!A56</f>
        <v>Repuestos Electromecánicos no recurrentes</v>
      </c>
      <c r="B198" s="451" t="str">
        <f>'No Recurrentes 24-26'!B56</f>
        <v/>
      </c>
      <c r="C198" s="451" t="str">
        <f>'No Recurrentes 24-26'!C56</f>
        <v>Estación</v>
      </c>
      <c r="D198" s="451" t="str">
        <f>'No Recurrentes 24-26'!D56</f>
        <v>Mantenimiento Cadenas Transportadoras</v>
      </c>
      <c r="E198" s="451" t="str">
        <f>'No Recurrentes 24-26'!E56</f>
        <v>Lubricante</v>
      </c>
      <c r="F198" s="451" t="str">
        <f>'No Recurrentes 24-26'!F56</f>
        <v>TDB</v>
      </c>
      <c r="G198" s="1061" t="str">
        <f>'No Recurrentes 24-26'!G56</f>
        <v>34200</v>
      </c>
      <c r="H198" s="1061" t="str">
        <f>'No Recurrentes 24-26'!H56</f>
        <v>3-03-00001</v>
      </c>
      <c r="I198" s="1061">
        <f>'No Recurrentes 24-26'!I56</f>
        <v>10541941</v>
      </c>
      <c r="J198" s="1061" t="str">
        <f>'No Recurrentes 24-26'!J56</f>
        <v>SPRAY PARA CADENA TRANSPORTADORA 2"/4" 0.4L PARA PARKING, CADENA RENOLD</v>
      </c>
      <c r="K198" s="451" t="str">
        <f>'No Recurrentes 24-26'!K56</f>
        <v>Pza</v>
      </c>
      <c r="L198" s="451" t="str">
        <f>'No Recurrentes 24-26'!BC56</f>
        <v/>
      </c>
      <c r="M198" s="451" t="str">
        <f>'No Recurrentes 24-26'!BD56</f>
        <v/>
      </c>
      <c r="N198" s="451" t="str">
        <f>'No Recurrentes 24-26'!BE56</f>
        <v/>
      </c>
      <c r="O198" s="451" t="str">
        <f>'No Recurrentes 24-26'!BF56</f>
        <v/>
      </c>
      <c r="P198" s="451" t="str">
        <f>'No Recurrentes 24-26'!BG56</f>
        <v/>
      </c>
      <c r="Q198" s="451" t="str">
        <f>'No Recurrentes 24-26'!BH56</f>
        <v/>
      </c>
      <c r="R198" s="451" t="str">
        <f>'No Recurrentes 24-26'!BI56</f>
        <v/>
      </c>
      <c r="S198" s="451" t="str">
        <f>'No Recurrentes 24-26'!BJ56</f>
        <v/>
      </c>
      <c r="T198" s="451" t="str">
        <f>'No Recurrentes 24-26'!BK56</f>
        <v/>
      </c>
      <c r="U198" s="451" t="str">
        <f>'No Recurrentes 24-26'!BL56</f>
        <v/>
      </c>
      <c r="V198" s="1068"/>
      <c r="W198" s="1062">
        <f>'No Recurrentes 24-26'!BM56</f>
        <v>0</v>
      </c>
      <c r="X198" s="1062" t="str">
        <f>'No Recurrentes 24-26'!BN56</f>
        <v/>
      </c>
      <c r="Y198" s="1062" t="str">
        <f>'No Recurrentes 24-26'!BO56</f>
        <v/>
      </c>
      <c r="Z198" s="1062" t="str">
        <f>'No Recurrentes 24-26'!BP56</f>
        <v/>
      </c>
      <c r="AA198" s="1062" t="str">
        <f>'No Recurrentes 24-26'!BQ56</f>
        <v/>
      </c>
      <c r="AB198" s="1062" t="str">
        <f>'No Recurrentes 24-26'!BR56</f>
        <v/>
      </c>
      <c r="AC198" s="1062" t="str">
        <f>'No Recurrentes 24-26'!BS56</f>
        <v/>
      </c>
      <c r="AD198" s="1062" t="str">
        <f>'No Recurrentes 24-26'!BT56</f>
        <v/>
      </c>
      <c r="AE198" s="1062" t="str">
        <f>'No Recurrentes 24-26'!BU56</f>
        <v/>
      </c>
      <c r="AF198" s="1062" t="str">
        <f>'No Recurrentes 24-26'!BV56</f>
        <v/>
      </c>
      <c r="AG198" s="1062" t="str">
        <f>'No Recurrentes 24-26'!BW56</f>
        <v/>
      </c>
      <c r="AH198" s="1068"/>
      <c r="AI198" s="1062">
        <f>'No Recurrentes 24-26'!BX56</f>
        <v>0</v>
      </c>
      <c r="AJ198" s="1062" t="str">
        <f>'No Recurrentes 24-26'!BY56</f>
        <v/>
      </c>
      <c r="AK198" s="1062" t="str">
        <f>'No Recurrentes 24-26'!BZ56</f>
        <v/>
      </c>
      <c r="AL198" s="1062" t="str">
        <f>'No Recurrentes 24-26'!CA56</f>
        <v/>
      </c>
      <c r="AM198" s="1062" t="str">
        <f>'No Recurrentes 24-26'!CB56</f>
        <v/>
      </c>
      <c r="AN198" s="1062" t="str">
        <f>'No Recurrentes 24-26'!CC56</f>
        <v/>
      </c>
      <c r="AO198" s="1062" t="str">
        <f>'No Recurrentes 24-26'!CD56</f>
        <v/>
      </c>
      <c r="AP198" s="1062" t="str">
        <f>'No Recurrentes 24-26'!CE56</f>
        <v/>
      </c>
      <c r="AQ198" s="1062" t="str">
        <f>'No Recurrentes 24-26'!CF56</f>
        <v/>
      </c>
      <c r="AR198" s="1062" t="str">
        <f>'No Recurrentes 24-26'!CG56</f>
        <v/>
      </c>
      <c r="AS198" s="1062" t="str">
        <f>'No Recurrentes 24-26'!CH56</f>
        <v/>
      </c>
      <c r="AT198" s="1068"/>
      <c r="AU198" s="1062">
        <f>'No Recurrentes 24-26'!CI56</f>
        <v>0</v>
      </c>
      <c r="AV198" s="1063">
        <f>'No Recurrentes 24-26'!CJ56</f>
        <v>0</v>
      </c>
      <c r="AW198" s="1068"/>
      <c r="AX198" s="1062">
        <f>'No Recurrentes 24-26'!CK56</f>
        <v>115.29</v>
      </c>
      <c r="AY198" s="1062">
        <f>'No Recurrentes 24-26'!CL56</f>
        <v>803.5713</v>
      </c>
      <c r="AZ198" s="1068"/>
      <c r="BA198" s="1062" t="str">
        <f>'No Recurrentes 24-26'!CM56</f>
        <v/>
      </c>
      <c r="BB198" s="1062" t="str">
        <f>'No Recurrentes 24-26'!CN56</f>
        <v/>
      </c>
      <c r="BC198" s="1062" t="str">
        <f>'No Recurrentes 24-26'!CO56</f>
        <v/>
      </c>
      <c r="BD198" s="1062" t="str">
        <f>'No Recurrentes 24-26'!CP56</f>
        <v/>
      </c>
      <c r="BE198" s="1062" t="str">
        <f>'No Recurrentes 24-26'!CQ56</f>
        <v/>
      </c>
      <c r="BF198" s="1062" t="str">
        <f>'No Recurrentes 24-26'!CR56</f>
        <v/>
      </c>
      <c r="BG198" s="1062" t="str">
        <f>'No Recurrentes 24-26'!CS56</f>
        <v/>
      </c>
      <c r="BH198" s="1062" t="str">
        <f>'No Recurrentes 24-26'!CT56</f>
        <v/>
      </c>
      <c r="BI198" s="1062" t="str">
        <f>'No Recurrentes 24-26'!CU56</f>
        <v/>
      </c>
      <c r="BJ198" s="1062" t="str">
        <f>'No Recurrentes 24-26'!CV56</f>
        <v/>
      </c>
      <c r="BK198" s="1068"/>
      <c r="BL198" s="1062">
        <f>'No Recurrentes 24-26'!CW56</f>
        <v>0</v>
      </c>
      <c r="BM198" s="1062" t="str">
        <f>'No Recurrentes 24-26'!CX56</f>
        <v/>
      </c>
      <c r="BN198" s="1062" t="str">
        <f>'No Recurrentes 24-26'!CY56</f>
        <v/>
      </c>
      <c r="BO198" s="1062" t="str">
        <f>'No Recurrentes 24-26'!CZ56</f>
        <v/>
      </c>
      <c r="BP198" s="1062" t="str">
        <f>'No Recurrentes 24-26'!DA56</f>
        <v/>
      </c>
      <c r="BQ198" s="1062" t="str">
        <f>'No Recurrentes 24-26'!DB56</f>
        <v/>
      </c>
      <c r="BR198" s="1062" t="str">
        <f>'No Recurrentes 24-26'!DC56</f>
        <v/>
      </c>
      <c r="BS198" s="1062" t="str">
        <f>'No Recurrentes 24-26'!DD56</f>
        <v/>
      </c>
      <c r="BT198" s="1062" t="str">
        <f>'No Recurrentes 24-26'!DE56</f>
        <v/>
      </c>
      <c r="BU198" s="1062" t="str">
        <f>'No Recurrentes 24-26'!DF56</f>
        <v/>
      </c>
      <c r="BV198" s="1062" t="str">
        <f>'No Recurrentes 24-26'!DG56</f>
        <v/>
      </c>
      <c r="BW198" s="1068"/>
      <c r="BX198" s="1062">
        <f>'No Recurrentes 24-26'!DH56</f>
        <v>0</v>
      </c>
      <c r="BY198" s="1062" t="str">
        <f>'No Recurrentes 24-26'!DI56</f>
        <v/>
      </c>
      <c r="BZ198" s="1062" t="str">
        <f>'No Recurrentes 24-26'!DJ56</f>
        <v/>
      </c>
      <c r="CA198" s="1062" t="str">
        <f>'No Recurrentes 24-26'!DK56</f>
        <v/>
      </c>
      <c r="CB198" s="1062" t="str">
        <f>'No Recurrentes 24-26'!DL56</f>
        <v/>
      </c>
      <c r="CC198" s="1062" t="str">
        <f>'No Recurrentes 24-26'!DM56</f>
        <v/>
      </c>
      <c r="CD198" s="1062" t="str">
        <f>'No Recurrentes 24-26'!DN56</f>
        <v/>
      </c>
      <c r="CE198" s="1062" t="str">
        <f>'No Recurrentes 24-26'!DO56</f>
        <v/>
      </c>
      <c r="CF198" s="1062" t="str">
        <f>'No Recurrentes 24-26'!DP56</f>
        <v/>
      </c>
      <c r="CG198" s="1062" t="str">
        <f>'No Recurrentes 24-26'!DQ56</f>
        <v/>
      </c>
      <c r="CH198" s="1062" t="str">
        <f>'No Recurrentes 24-26'!DR56</f>
        <v/>
      </c>
      <c r="CI198" s="1068"/>
      <c r="CJ198" s="1062">
        <f>'No Recurrentes 24-26'!DS56</f>
        <v>0</v>
      </c>
      <c r="CK198" s="1062">
        <f>'No Recurrentes 24-26'!DT56</f>
        <v>0</v>
      </c>
      <c r="CL198" s="1064" t="str">
        <f>'No Recurrentes 24-26'!DU56</f>
        <v/>
      </c>
      <c r="CM198" s="1064" t="str">
        <f>'No Recurrentes 24-26'!DV56</f>
        <v>Insumo Quimico, se quita de este listado, se añaden cantidades a Lubricantes, no se considera en listado de repuestos</v>
      </c>
      <c r="CN198" s="1060">
        <f>'No Recurrentes 24-26'!EI56</f>
        <v>1</v>
      </c>
      <c r="CO198" s="1060" t="str">
        <f>'No Recurrentes 24-26'!EJ56</f>
        <v/>
      </c>
      <c r="CP198" s="1060" t="str">
        <f>'No Recurrentes 24-26'!EK56</f>
        <v/>
      </c>
    </row>
    <row r="199">
      <c r="A199" s="451" t="str">
        <f>'No Recurrentes 24-26'!A57</f>
        <v>Repuestos Electromecánicos no recurrentes</v>
      </c>
      <c r="B199" s="451">
        <f>'No Recurrentes 24-26'!B57</f>
        <v>2</v>
      </c>
      <c r="C199" s="451" t="str">
        <f>'No Recurrentes 24-26'!C57</f>
        <v>Estación</v>
      </c>
      <c r="D199" s="451" t="str">
        <f>'No Recurrentes 24-26'!D57</f>
        <v>Mantenimiento de Embragues</v>
      </c>
      <c r="E199" s="451" t="str">
        <f>'No Recurrentes 24-26'!E57</f>
        <v>Repuesto Mecánico</v>
      </c>
      <c r="F199" s="451" t="str">
        <f>'No Recurrentes 24-26'!F57</f>
        <v>TDB</v>
      </c>
      <c r="G199" s="1025" t="str">
        <f>'No Recurrentes 24-26'!G57</f>
        <v>39800</v>
      </c>
      <c r="H199" s="1061" t="str">
        <f>'No Recurrentes 24-26'!H57</f>
        <v/>
      </c>
      <c r="I199" s="1061" t="str">
        <f>'No Recurrentes 24-26'!I57</f>
        <v>11311021</v>
      </c>
      <c r="J199" s="1061" t="str">
        <f>'No Recurrentes 24-26'!J57</f>
        <v>AUSSENKOERPER 522.26     ART.NR. 676433           MOENNINGHOF</v>
      </c>
      <c r="K199" s="451" t="str">
        <f>'No Recurrentes 24-26'!K57</f>
        <v>Pza</v>
      </c>
      <c r="L199" s="451" t="str">
        <f>'No Recurrentes 24-26'!BC57</f>
        <v/>
      </c>
      <c r="M199" s="451" t="str">
        <f>'No Recurrentes 24-26'!BD57</f>
        <v/>
      </c>
      <c r="N199" s="451" t="str">
        <f>'No Recurrentes 24-26'!BE57</f>
        <v/>
      </c>
      <c r="O199" s="451" t="str">
        <f>'No Recurrentes 24-26'!BF57</f>
        <v/>
      </c>
      <c r="P199" s="451" t="str">
        <f>'No Recurrentes 24-26'!BG57</f>
        <v/>
      </c>
      <c r="Q199" s="451" t="str">
        <f>'No Recurrentes 24-26'!BH57</f>
        <v/>
      </c>
      <c r="R199" s="451" t="str">
        <f>'No Recurrentes 24-26'!BI57</f>
        <v/>
      </c>
      <c r="S199" s="451" t="str">
        <f>'No Recurrentes 24-26'!BJ57</f>
        <v/>
      </c>
      <c r="T199" s="451" t="str">
        <f>'No Recurrentes 24-26'!BK57</f>
        <v/>
      </c>
      <c r="U199" s="451" t="str">
        <f>'No Recurrentes 24-26'!BL57</f>
        <v/>
      </c>
      <c r="V199" s="1068"/>
      <c r="W199" s="1062">
        <f>'No Recurrentes 24-26'!BM57</f>
        <v>0</v>
      </c>
      <c r="X199" s="1062" t="str">
        <f>'No Recurrentes 24-26'!BN57</f>
        <v/>
      </c>
      <c r="Y199" s="1062" t="str">
        <f>'No Recurrentes 24-26'!BO57</f>
        <v/>
      </c>
      <c r="Z199" s="1062" t="str">
        <f>'No Recurrentes 24-26'!BP57</f>
        <v/>
      </c>
      <c r="AA199" s="1062" t="str">
        <f>'No Recurrentes 24-26'!BQ57</f>
        <v/>
      </c>
      <c r="AB199" s="1062" t="str">
        <f>'No Recurrentes 24-26'!BR57</f>
        <v/>
      </c>
      <c r="AC199" s="1062">
        <f>'No Recurrentes 24-26'!BS57</f>
        <v>1</v>
      </c>
      <c r="AD199" s="1062" t="str">
        <f>'No Recurrentes 24-26'!BT57</f>
        <v/>
      </c>
      <c r="AE199" s="1062">
        <f>'No Recurrentes 24-26'!BU57</f>
        <v>1</v>
      </c>
      <c r="AF199" s="1062" t="str">
        <f>'No Recurrentes 24-26'!BV57</f>
        <v/>
      </c>
      <c r="AG199" s="1062" t="str">
        <f>'No Recurrentes 24-26'!BW57</f>
        <v/>
      </c>
      <c r="AH199" s="1068"/>
      <c r="AI199" s="1062">
        <f>'No Recurrentes 24-26'!BX57</f>
        <v>2</v>
      </c>
      <c r="AJ199" s="1062" t="str">
        <f>'No Recurrentes 24-26'!BY57</f>
        <v/>
      </c>
      <c r="AK199" s="1062" t="str">
        <f>'No Recurrentes 24-26'!BZ57</f>
        <v/>
      </c>
      <c r="AL199" s="1062" t="str">
        <f>'No Recurrentes 24-26'!CA57</f>
        <v/>
      </c>
      <c r="AM199" s="1062">
        <f>'No Recurrentes 24-26'!CB57</f>
        <v>2</v>
      </c>
      <c r="AN199" s="1062">
        <f>'No Recurrentes 24-26'!CC57</f>
        <v>4</v>
      </c>
      <c r="AO199" s="1062">
        <f>'No Recurrentes 24-26'!CD57</f>
        <v>1</v>
      </c>
      <c r="AP199" s="1062" t="str">
        <f>'No Recurrentes 24-26'!CE57</f>
        <v/>
      </c>
      <c r="AQ199" s="1062" t="str">
        <f>'No Recurrentes 24-26'!CF57</f>
        <v/>
      </c>
      <c r="AR199" s="1062" t="str">
        <f>'No Recurrentes 24-26'!CG57</f>
        <v/>
      </c>
      <c r="AS199" s="1062">
        <f>'No Recurrentes 24-26'!CH57</f>
        <v>1</v>
      </c>
      <c r="AT199" s="1068"/>
      <c r="AU199" s="1062">
        <f>'No Recurrentes 24-26'!CI57</f>
        <v>8</v>
      </c>
      <c r="AV199" s="1063">
        <f>'No Recurrentes 24-26'!CJ57</f>
        <v>10</v>
      </c>
      <c r="AW199" s="1068"/>
      <c r="AX199" s="1065">
        <f>'No Recurrentes 24-26'!CK57</f>
        <v>2573.57</v>
      </c>
      <c r="AY199" s="1062">
        <f>'No Recurrentes 24-26'!CL57</f>
        <v>17912.0472</v>
      </c>
      <c r="AZ199" s="1068"/>
      <c r="BA199" s="1062">
        <f>'No Recurrentes 24-26'!CM57</f>
        <v>0</v>
      </c>
      <c r="BB199" s="1062">
        <f>'No Recurrentes 24-26'!CN57</f>
        <v>0</v>
      </c>
      <c r="BC199" s="1062">
        <f>'No Recurrentes 24-26'!CO57</f>
        <v>0</v>
      </c>
      <c r="BD199" s="1062">
        <f>'No Recurrentes 24-26'!CP57</f>
        <v>0</v>
      </c>
      <c r="BE199" s="1062">
        <f>'No Recurrentes 24-26'!CQ57</f>
        <v>0</v>
      </c>
      <c r="BF199" s="1062">
        <f>'No Recurrentes 24-26'!CR57</f>
        <v>0</v>
      </c>
      <c r="BG199" s="1062">
        <f>'No Recurrentes 24-26'!CS57</f>
        <v>0</v>
      </c>
      <c r="BH199" s="1062">
        <f>'No Recurrentes 24-26'!CT57</f>
        <v>0</v>
      </c>
      <c r="BI199" s="1062">
        <f>'No Recurrentes 24-26'!CU57</f>
        <v>0</v>
      </c>
      <c r="BJ199" s="1062">
        <f>'No Recurrentes 24-26'!CV57</f>
        <v>0</v>
      </c>
      <c r="BK199" s="1068"/>
      <c r="BL199" s="1062">
        <f>'No Recurrentes 24-26'!CW57</f>
        <v>0</v>
      </c>
      <c r="BM199" s="1062">
        <f>'No Recurrentes 24-26'!CX57</f>
        <v>0</v>
      </c>
      <c r="BN199" s="1062">
        <f>'No Recurrentes 24-26'!CY57</f>
        <v>0</v>
      </c>
      <c r="BO199" s="1062">
        <f>'No Recurrentes 24-26'!CZ57</f>
        <v>0</v>
      </c>
      <c r="BP199" s="1062">
        <f>'No Recurrentes 24-26'!DA57</f>
        <v>0</v>
      </c>
      <c r="BQ199" s="1062">
        <f>'No Recurrentes 24-26'!DB57</f>
        <v>0</v>
      </c>
      <c r="BR199" s="1062">
        <f>'No Recurrentes 24-26'!DC57</f>
        <v>17912.0472</v>
      </c>
      <c r="BS199" s="1062">
        <f>'No Recurrentes 24-26'!DD57</f>
        <v>0</v>
      </c>
      <c r="BT199" s="1062">
        <f>'No Recurrentes 24-26'!DE57</f>
        <v>17912.0472</v>
      </c>
      <c r="BU199" s="1062">
        <f>'No Recurrentes 24-26'!DF57</f>
        <v>0</v>
      </c>
      <c r="BV199" s="1062">
        <f>'No Recurrentes 24-26'!DG57</f>
        <v>0</v>
      </c>
      <c r="BW199" s="1068"/>
      <c r="BX199" s="1062">
        <f>'No Recurrentes 24-26'!DH57</f>
        <v>35824.0944</v>
      </c>
      <c r="BY199" s="1062">
        <f>'No Recurrentes 24-26'!DI57</f>
        <v>0</v>
      </c>
      <c r="BZ199" s="1062">
        <f>'No Recurrentes 24-26'!DJ57</f>
        <v>0</v>
      </c>
      <c r="CA199" s="1062">
        <f>'No Recurrentes 24-26'!DK57</f>
        <v>0</v>
      </c>
      <c r="CB199" s="1062">
        <f>'No Recurrentes 24-26'!DL57</f>
        <v>35824.0944</v>
      </c>
      <c r="CC199" s="1062">
        <f>'No Recurrentes 24-26'!DM57</f>
        <v>71648.1888</v>
      </c>
      <c r="CD199" s="1062">
        <f>'No Recurrentes 24-26'!DN57</f>
        <v>17912.0472</v>
      </c>
      <c r="CE199" s="1062">
        <f>'No Recurrentes 24-26'!DO57</f>
        <v>0</v>
      </c>
      <c r="CF199" s="1062">
        <f>'No Recurrentes 24-26'!DP57</f>
        <v>0</v>
      </c>
      <c r="CG199" s="1062">
        <f>'No Recurrentes 24-26'!DQ57</f>
        <v>0</v>
      </c>
      <c r="CH199" s="1062">
        <f>'No Recurrentes 24-26'!DR57</f>
        <v>17912.0472</v>
      </c>
      <c r="CI199" s="1068"/>
      <c r="CJ199" s="1062">
        <f>'No Recurrentes 24-26'!DS57</f>
        <v>143296.3776</v>
      </c>
      <c r="CK199" s="1062">
        <f>'No Recurrentes 24-26'!DT57</f>
        <v>179120.472</v>
      </c>
      <c r="CL199" s="451" t="str">
        <f>'No Recurrentes 24-26'!DU57</f>
        <v/>
      </c>
      <c r="CM199" s="1064" t="str">
        <f>'No Recurrentes 24-26'!DV57</f>
        <v> Verificar item, Según última observación se requiere solamente el plato exterior. Verificar que sea el plato exterior y no asi todo el embrague. Se requiere aclaracion</v>
      </c>
      <c r="CN199" s="1065">
        <f>'No Recurrentes 24-26'!EI57</f>
        <v>2573.57</v>
      </c>
      <c r="CO199" s="1065">
        <f>'No Recurrentes 24-26'!EJ57</f>
        <v>2187.53</v>
      </c>
      <c r="CP199" s="1060" t="str">
        <f>'No Recurrentes 24-26'!EK57</f>
        <v/>
      </c>
    </row>
    <row r="200">
      <c r="A200" s="451" t="str">
        <f>'No Recurrentes 24-26'!A58</f>
        <v>Repuestos Electromecánicos no recurrentes</v>
      </c>
      <c r="B200" s="451">
        <f>'No Recurrentes 24-26'!B58</f>
        <v>2</v>
      </c>
      <c r="C200" s="451" t="str">
        <f>'No Recurrentes 24-26'!C58</f>
        <v>Estación</v>
      </c>
      <c r="D200" s="451" t="str">
        <f>'No Recurrentes 24-26'!D58</f>
        <v>Mantenimiento de Embragues</v>
      </c>
      <c r="E200" s="451" t="str">
        <f>'No Recurrentes 24-26'!E58</f>
        <v>Repuesto Mecánico</v>
      </c>
      <c r="F200" s="451" t="str">
        <f>'No Recurrentes 24-26'!F58</f>
        <v>TDB</v>
      </c>
      <c r="G200" s="1025" t="str">
        <f>'No Recurrentes 24-26'!G58</f>
        <v>39800</v>
      </c>
      <c r="H200" s="1061" t="str">
        <f>'No Recurrentes 24-26'!H58</f>
        <v/>
      </c>
      <c r="I200" s="1061" t="str">
        <f>'No Recurrentes 24-26'!I58</f>
        <v>11319201</v>
      </c>
      <c r="J200" s="1061" t="str">
        <f>'No Recurrentes 24-26'!J58</f>
        <v>MAGNETTEIL 522.26-SO                             MOENNINGHOFF</v>
      </c>
      <c r="K200" s="451" t="str">
        <f>'No Recurrentes 24-26'!K58</f>
        <v>Pza</v>
      </c>
      <c r="L200" s="451" t="str">
        <f>'No Recurrentes 24-26'!BC58</f>
        <v/>
      </c>
      <c r="M200" s="451" t="str">
        <f>'No Recurrentes 24-26'!BD58</f>
        <v/>
      </c>
      <c r="N200" s="451" t="str">
        <f>'No Recurrentes 24-26'!BE58</f>
        <v/>
      </c>
      <c r="O200" s="451" t="str">
        <f>'No Recurrentes 24-26'!BF58</f>
        <v/>
      </c>
      <c r="P200" s="451" t="str">
        <f>'No Recurrentes 24-26'!BG58</f>
        <v/>
      </c>
      <c r="Q200" s="451" t="str">
        <f>'No Recurrentes 24-26'!BH58</f>
        <v/>
      </c>
      <c r="R200" s="451" t="str">
        <f>'No Recurrentes 24-26'!BI58</f>
        <v/>
      </c>
      <c r="S200" s="451" t="str">
        <f>'No Recurrentes 24-26'!BJ58</f>
        <v/>
      </c>
      <c r="T200" s="451" t="str">
        <f>'No Recurrentes 24-26'!BK58</f>
        <v/>
      </c>
      <c r="U200" s="451" t="str">
        <f>'No Recurrentes 24-26'!BL58</f>
        <v/>
      </c>
      <c r="V200" s="1068"/>
      <c r="W200" s="1062">
        <f>'No Recurrentes 24-26'!BM58</f>
        <v>0</v>
      </c>
      <c r="X200" s="1062" t="str">
        <f>'No Recurrentes 24-26'!BN58</f>
        <v/>
      </c>
      <c r="Y200" s="1062" t="str">
        <f>'No Recurrentes 24-26'!BO58</f>
        <v/>
      </c>
      <c r="Z200" s="1062" t="str">
        <f>'No Recurrentes 24-26'!BP58</f>
        <v/>
      </c>
      <c r="AA200" s="1062" t="str">
        <f>'No Recurrentes 24-26'!BQ58</f>
        <v/>
      </c>
      <c r="AB200" s="1062" t="str">
        <f>'No Recurrentes 24-26'!BR58</f>
        <v/>
      </c>
      <c r="AC200" s="1062">
        <f>'No Recurrentes 24-26'!BS58</f>
        <v>1</v>
      </c>
      <c r="AD200" s="1062" t="str">
        <f>'No Recurrentes 24-26'!BT58</f>
        <v/>
      </c>
      <c r="AE200" s="1062" t="str">
        <f>'No Recurrentes 24-26'!BU58</f>
        <v/>
      </c>
      <c r="AF200" s="1062" t="str">
        <f>'No Recurrentes 24-26'!BV58</f>
        <v/>
      </c>
      <c r="AG200" s="1062" t="str">
        <f>'No Recurrentes 24-26'!BW58</f>
        <v/>
      </c>
      <c r="AH200" s="1068"/>
      <c r="AI200" s="1062">
        <f>'No Recurrentes 24-26'!BX58</f>
        <v>1</v>
      </c>
      <c r="AJ200" s="1062" t="str">
        <f>'No Recurrentes 24-26'!BY58</f>
        <v/>
      </c>
      <c r="AK200" s="1062" t="str">
        <f>'No Recurrentes 24-26'!BZ58</f>
        <v/>
      </c>
      <c r="AL200" s="1062" t="str">
        <f>'No Recurrentes 24-26'!CA58</f>
        <v/>
      </c>
      <c r="AM200" s="1062" t="str">
        <f>'No Recurrentes 24-26'!CB58</f>
        <v/>
      </c>
      <c r="AN200" s="1062" t="str">
        <f>'No Recurrentes 24-26'!CC58</f>
        <v/>
      </c>
      <c r="AO200" s="1062" t="str">
        <f>'No Recurrentes 24-26'!CD58</f>
        <v/>
      </c>
      <c r="AP200" s="1062" t="str">
        <f>'No Recurrentes 24-26'!CE58</f>
        <v/>
      </c>
      <c r="AQ200" s="1062" t="str">
        <f>'No Recurrentes 24-26'!CF58</f>
        <v/>
      </c>
      <c r="AR200" s="1062" t="str">
        <f>'No Recurrentes 24-26'!CG58</f>
        <v/>
      </c>
      <c r="AS200" s="1062" t="str">
        <f>'No Recurrentes 24-26'!CH58</f>
        <v/>
      </c>
      <c r="AT200" s="1068"/>
      <c r="AU200" s="1062">
        <f>'No Recurrentes 24-26'!CI58</f>
        <v>0</v>
      </c>
      <c r="AV200" s="1063">
        <f>'No Recurrentes 24-26'!CJ58</f>
        <v>1</v>
      </c>
      <c r="AW200" s="1068"/>
      <c r="AX200" s="1065">
        <f>'No Recurrentes 24-26'!CK58</f>
        <v>4345.36</v>
      </c>
      <c r="AY200" s="1062">
        <f>'No Recurrentes 24-26'!CL58</f>
        <v>30243.7056</v>
      </c>
      <c r="AZ200" s="1068"/>
      <c r="BA200" s="1062">
        <f>'No Recurrentes 24-26'!CM58</f>
        <v>0</v>
      </c>
      <c r="BB200" s="1062">
        <f>'No Recurrentes 24-26'!CN58</f>
        <v>0</v>
      </c>
      <c r="BC200" s="1062">
        <f>'No Recurrentes 24-26'!CO58</f>
        <v>0</v>
      </c>
      <c r="BD200" s="1062">
        <f>'No Recurrentes 24-26'!CP58</f>
        <v>0</v>
      </c>
      <c r="BE200" s="1062">
        <f>'No Recurrentes 24-26'!CQ58</f>
        <v>0</v>
      </c>
      <c r="BF200" s="1062">
        <f>'No Recurrentes 24-26'!CR58</f>
        <v>0</v>
      </c>
      <c r="BG200" s="1062">
        <f>'No Recurrentes 24-26'!CS58</f>
        <v>0</v>
      </c>
      <c r="BH200" s="1062">
        <f>'No Recurrentes 24-26'!CT58</f>
        <v>0</v>
      </c>
      <c r="BI200" s="1062">
        <f>'No Recurrentes 24-26'!CU58</f>
        <v>0</v>
      </c>
      <c r="BJ200" s="1062">
        <f>'No Recurrentes 24-26'!CV58</f>
        <v>0</v>
      </c>
      <c r="BK200" s="1068"/>
      <c r="BL200" s="1062">
        <f>'No Recurrentes 24-26'!CW58</f>
        <v>0</v>
      </c>
      <c r="BM200" s="1062">
        <f>'No Recurrentes 24-26'!CX58</f>
        <v>0</v>
      </c>
      <c r="BN200" s="1062">
        <f>'No Recurrentes 24-26'!CY58</f>
        <v>0</v>
      </c>
      <c r="BO200" s="1062">
        <f>'No Recurrentes 24-26'!CZ58</f>
        <v>0</v>
      </c>
      <c r="BP200" s="1062">
        <f>'No Recurrentes 24-26'!DA58</f>
        <v>0</v>
      </c>
      <c r="BQ200" s="1062">
        <f>'No Recurrentes 24-26'!DB58</f>
        <v>0</v>
      </c>
      <c r="BR200" s="1062">
        <f>'No Recurrentes 24-26'!DC58</f>
        <v>30243.7056</v>
      </c>
      <c r="BS200" s="1062">
        <f>'No Recurrentes 24-26'!DD58</f>
        <v>0</v>
      </c>
      <c r="BT200" s="1062">
        <f>'No Recurrentes 24-26'!DE58</f>
        <v>0</v>
      </c>
      <c r="BU200" s="1062">
        <f>'No Recurrentes 24-26'!DF58</f>
        <v>0</v>
      </c>
      <c r="BV200" s="1062">
        <f>'No Recurrentes 24-26'!DG58</f>
        <v>0</v>
      </c>
      <c r="BW200" s="1068"/>
      <c r="BX200" s="1062">
        <f>'No Recurrentes 24-26'!DH58</f>
        <v>30243.7056</v>
      </c>
      <c r="BY200" s="1062">
        <f>'No Recurrentes 24-26'!DI58</f>
        <v>0</v>
      </c>
      <c r="BZ200" s="1062">
        <f>'No Recurrentes 24-26'!DJ58</f>
        <v>0</v>
      </c>
      <c r="CA200" s="1062">
        <f>'No Recurrentes 24-26'!DK58</f>
        <v>0</v>
      </c>
      <c r="CB200" s="1062">
        <f>'No Recurrentes 24-26'!DL58</f>
        <v>0</v>
      </c>
      <c r="CC200" s="1062">
        <f>'No Recurrentes 24-26'!DM58</f>
        <v>0</v>
      </c>
      <c r="CD200" s="1062">
        <f>'No Recurrentes 24-26'!DN58</f>
        <v>0</v>
      </c>
      <c r="CE200" s="1062">
        <f>'No Recurrentes 24-26'!DO58</f>
        <v>0</v>
      </c>
      <c r="CF200" s="1062">
        <f>'No Recurrentes 24-26'!DP58</f>
        <v>0</v>
      </c>
      <c r="CG200" s="1062">
        <f>'No Recurrentes 24-26'!DQ58</f>
        <v>0</v>
      </c>
      <c r="CH200" s="1062">
        <f>'No Recurrentes 24-26'!DR58</f>
        <v>0</v>
      </c>
      <c r="CI200" s="1068"/>
      <c r="CJ200" s="1062">
        <f>'No Recurrentes 24-26'!DS58</f>
        <v>0</v>
      </c>
      <c r="CK200" s="1062">
        <f>'No Recurrentes 24-26'!DT58</f>
        <v>30243.7056</v>
      </c>
      <c r="CL200" s="1064" t="str">
        <f>'No Recurrentes 24-26'!DU58</f>
        <v/>
      </c>
      <c r="CM200" s="1064" t="str">
        <f>'No Recurrentes 24-26'!DV58</f>
        <v/>
      </c>
      <c r="CN200" s="1065">
        <f>'No Recurrentes 24-26'!EI58</f>
        <v>4345.36</v>
      </c>
      <c r="CO200" s="1065">
        <f>'No Recurrentes 24-26'!EJ58</f>
        <v>3693.56</v>
      </c>
      <c r="CP200" s="1060" t="str">
        <f>'No Recurrentes 24-26'!EK58</f>
        <v/>
      </c>
    </row>
    <row r="201">
      <c r="A201" s="451" t="str">
        <f>'No Recurrentes 24-26'!A59</f>
        <v>Repuestos Electromecánicos no recurrentes</v>
      </c>
      <c r="B201" s="451">
        <f>'No Recurrentes 24-26'!B59</f>
        <v>2</v>
      </c>
      <c r="C201" s="451" t="str">
        <f>'No Recurrentes 24-26'!C59</f>
        <v>Estación</v>
      </c>
      <c r="D201" s="451" t="str">
        <f>'No Recurrentes 24-26'!D59</f>
        <v>Mantenimiento de Embragues</v>
      </c>
      <c r="E201" s="451" t="str">
        <f>'No Recurrentes 24-26'!E59</f>
        <v>Repuesto Mecánico</v>
      </c>
      <c r="F201" s="451" t="str">
        <f>'No Recurrentes 24-26'!F59</f>
        <v>TDB</v>
      </c>
      <c r="G201" s="1025" t="str">
        <f>'No Recurrentes 24-26'!G59</f>
        <v>39800</v>
      </c>
      <c r="H201" s="1061" t="str">
        <f>'No Recurrentes 24-26'!H59</f>
        <v/>
      </c>
      <c r="I201" s="1061" t="str">
        <f>'No Recurrentes 24-26'!I59</f>
        <v>11319448</v>
      </c>
      <c r="J201" s="1061" t="str">
        <f>'No Recurrentes 24-26'!J59</f>
        <v>LAMELLENPAKET  TYP 521/522.26                    MOENNINGHOFF</v>
      </c>
      <c r="K201" s="451" t="str">
        <f>'No Recurrentes 24-26'!K59</f>
        <v>Pza</v>
      </c>
      <c r="L201" s="451" t="str">
        <f>'No Recurrentes 24-26'!BC59</f>
        <v/>
      </c>
      <c r="M201" s="451" t="str">
        <f>'No Recurrentes 24-26'!BD59</f>
        <v/>
      </c>
      <c r="N201" s="451" t="str">
        <f>'No Recurrentes 24-26'!BE59</f>
        <v/>
      </c>
      <c r="O201" s="451" t="str">
        <f>'No Recurrentes 24-26'!BF59</f>
        <v/>
      </c>
      <c r="P201" s="451" t="str">
        <f>'No Recurrentes 24-26'!BG59</f>
        <v/>
      </c>
      <c r="Q201" s="451" t="str">
        <f>'No Recurrentes 24-26'!BH59</f>
        <v/>
      </c>
      <c r="R201" s="451" t="str">
        <f>'No Recurrentes 24-26'!BI59</f>
        <v/>
      </c>
      <c r="S201" s="451" t="str">
        <f>'No Recurrentes 24-26'!BJ59</f>
        <v/>
      </c>
      <c r="T201" s="451" t="str">
        <f>'No Recurrentes 24-26'!BK59</f>
        <v/>
      </c>
      <c r="U201" s="451" t="str">
        <f>'No Recurrentes 24-26'!BL59</f>
        <v/>
      </c>
      <c r="V201" s="1068"/>
      <c r="W201" s="1062">
        <f>'No Recurrentes 24-26'!BM59</f>
        <v>0</v>
      </c>
      <c r="X201" s="1062" t="str">
        <f>'No Recurrentes 24-26'!BN59</f>
        <v/>
      </c>
      <c r="Y201" s="1062" t="str">
        <f>'No Recurrentes 24-26'!BO59</f>
        <v/>
      </c>
      <c r="Z201" s="1062" t="str">
        <f>'No Recurrentes 24-26'!BP59</f>
        <v/>
      </c>
      <c r="AA201" s="1062" t="str">
        <f>'No Recurrentes 24-26'!BQ59</f>
        <v/>
      </c>
      <c r="AB201" s="1062" t="str">
        <f>'No Recurrentes 24-26'!BR59</f>
        <v/>
      </c>
      <c r="AC201" s="1062" t="str">
        <f>'No Recurrentes 24-26'!BS59</f>
        <v/>
      </c>
      <c r="AD201" s="1062">
        <f>'No Recurrentes 24-26'!BT59</f>
        <v>1</v>
      </c>
      <c r="AE201" s="1062">
        <f>'No Recurrentes 24-26'!BU59</f>
        <v>1</v>
      </c>
      <c r="AF201" s="1062" t="str">
        <f>'No Recurrentes 24-26'!BV59</f>
        <v/>
      </c>
      <c r="AG201" s="1062">
        <f>'No Recurrentes 24-26'!BW59</f>
        <v>0</v>
      </c>
      <c r="AH201" s="1068"/>
      <c r="AI201" s="1062">
        <f>'No Recurrentes 24-26'!BX59</f>
        <v>2</v>
      </c>
      <c r="AJ201" s="1062" t="str">
        <f>'No Recurrentes 24-26'!BY59</f>
        <v/>
      </c>
      <c r="AK201" s="1062" t="str">
        <f>'No Recurrentes 24-26'!BZ59</f>
        <v/>
      </c>
      <c r="AL201" s="1062" t="str">
        <f>'No Recurrentes 24-26'!CA59</f>
        <v/>
      </c>
      <c r="AM201" s="1062" t="str">
        <f>'No Recurrentes 24-26'!CB59</f>
        <v/>
      </c>
      <c r="AN201" s="1062" t="str">
        <f>'No Recurrentes 24-26'!CC59</f>
        <v/>
      </c>
      <c r="AO201" s="1062" t="str">
        <f>'No Recurrentes 24-26'!CD59</f>
        <v/>
      </c>
      <c r="AP201" s="1062" t="str">
        <f>'No Recurrentes 24-26'!CE59</f>
        <v/>
      </c>
      <c r="AQ201" s="1062" t="str">
        <f>'No Recurrentes 24-26'!CF59</f>
        <v/>
      </c>
      <c r="AR201" s="1062">
        <f>'No Recurrentes 24-26'!CG59</f>
        <v>1</v>
      </c>
      <c r="AS201" s="1062">
        <f>'No Recurrentes 24-26'!CH59</f>
        <v>1</v>
      </c>
      <c r="AT201" s="1068"/>
      <c r="AU201" s="1062">
        <f>'No Recurrentes 24-26'!CI59</f>
        <v>2</v>
      </c>
      <c r="AV201" s="1063">
        <f>'No Recurrentes 24-26'!CJ59</f>
        <v>4</v>
      </c>
      <c r="AW201" s="1068"/>
      <c r="AX201" s="1065">
        <f>'No Recurrentes 24-26'!CK59</f>
        <v>1661.89</v>
      </c>
      <c r="AY201" s="1062">
        <f>'No Recurrentes 24-26'!CL59</f>
        <v>11566.7544</v>
      </c>
      <c r="AZ201" s="1068"/>
      <c r="BA201" s="1062">
        <f>'No Recurrentes 24-26'!CM59</f>
        <v>0</v>
      </c>
      <c r="BB201" s="1062">
        <f>'No Recurrentes 24-26'!CN59</f>
        <v>0</v>
      </c>
      <c r="BC201" s="1062">
        <f>'No Recurrentes 24-26'!CO59</f>
        <v>0</v>
      </c>
      <c r="BD201" s="1062">
        <f>'No Recurrentes 24-26'!CP59</f>
        <v>0</v>
      </c>
      <c r="BE201" s="1062">
        <f>'No Recurrentes 24-26'!CQ59</f>
        <v>0</v>
      </c>
      <c r="BF201" s="1062">
        <f>'No Recurrentes 24-26'!CR59</f>
        <v>0</v>
      </c>
      <c r="BG201" s="1062">
        <f>'No Recurrentes 24-26'!CS59</f>
        <v>0</v>
      </c>
      <c r="BH201" s="1062">
        <f>'No Recurrentes 24-26'!CT59</f>
        <v>0</v>
      </c>
      <c r="BI201" s="1062">
        <f>'No Recurrentes 24-26'!CU59</f>
        <v>0</v>
      </c>
      <c r="BJ201" s="1062">
        <f>'No Recurrentes 24-26'!CV59</f>
        <v>0</v>
      </c>
      <c r="BK201" s="1068"/>
      <c r="BL201" s="1062">
        <f>'No Recurrentes 24-26'!CW59</f>
        <v>0</v>
      </c>
      <c r="BM201" s="1062">
        <f>'No Recurrentes 24-26'!CX59</f>
        <v>0</v>
      </c>
      <c r="BN201" s="1062">
        <f>'No Recurrentes 24-26'!CY59</f>
        <v>0</v>
      </c>
      <c r="BO201" s="1062">
        <f>'No Recurrentes 24-26'!CZ59</f>
        <v>0</v>
      </c>
      <c r="BP201" s="1062">
        <f>'No Recurrentes 24-26'!DA59</f>
        <v>0</v>
      </c>
      <c r="BQ201" s="1062">
        <f>'No Recurrentes 24-26'!DB59</f>
        <v>0</v>
      </c>
      <c r="BR201" s="1062">
        <f>'No Recurrentes 24-26'!DC59</f>
        <v>0</v>
      </c>
      <c r="BS201" s="1062">
        <f>'No Recurrentes 24-26'!DD59</f>
        <v>11566.7544</v>
      </c>
      <c r="BT201" s="1062">
        <f>'No Recurrentes 24-26'!DE59</f>
        <v>11566.7544</v>
      </c>
      <c r="BU201" s="1062">
        <f>'No Recurrentes 24-26'!DF59</f>
        <v>0</v>
      </c>
      <c r="BV201" s="1062">
        <f>'No Recurrentes 24-26'!DG59</f>
        <v>0</v>
      </c>
      <c r="BW201" s="1068"/>
      <c r="BX201" s="1062">
        <f>'No Recurrentes 24-26'!DH59</f>
        <v>23133.5088</v>
      </c>
      <c r="BY201" s="1062">
        <f>'No Recurrentes 24-26'!DI59</f>
        <v>0</v>
      </c>
      <c r="BZ201" s="1062">
        <f>'No Recurrentes 24-26'!DJ59</f>
        <v>0</v>
      </c>
      <c r="CA201" s="1062">
        <f>'No Recurrentes 24-26'!DK59</f>
        <v>0</v>
      </c>
      <c r="CB201" s="1062">
        <f>'No Recurrentes 24-26'!DL59</f>
        <v>0</v>
      </c>
      <c r="CC201" s="1062">
        <f>'No Recurrentes 24-26'!DM59</f>
        <v>0</v>
      </c>
      <c r="CD201" s="1062">
        <f>'No Recurrentes 24-26'!DN59</f>
        <v>0</v>
      </c>
      <c r="CE201" s="1062">
        <f>'No Recurrentes 24-26'!DO59</f>
        <v>0</v>
      </c>
      <c r="CF201" s="1062">
        <f>'No Recurrentes 24-26'!DP59</f>
        <v>0</v>
      </c>
      <c r="CG201" s="1062">
        <f>'No Recurrentes 24-26'!DQ59</f>
        <v>11566.7544</v>
      </c>
      <c r="CH201" s="1062">
        <f>'No Recurrentes 24-26'!DR59</f>
        <v>11566.7544</v>
      </c>
      <c r="CI201" s="1068"/>
      <c r="CJ201" s="1062">
        <f>'No Recurrentes 24-26'!DS59</f>
        <v>23133.5088</v>
      </c>
      <c r="CK201" s="1062">
        <f>'No Recurrentes 24-26'!DT59</f>
        <v>46267.0176</v>
      </c>
      <c r="CL201" s="1064" t="str">
        <f>'No Recurrentes 24-26'!DU59</f>
        <v/>
      </c>
      <c r="CM201" s="1064" t="str">
        <f>'No Recurrentes 24-26'!DV59</f>
        <v>INCLUYE EL: 52226-08028 DISCO DE FRICCION DENTADO EXTERIOR</v>
      </c>
      <c r="CN201" s="1065">
        <f>'No Recurrentes 24-26'!EI59</f>
        <v>1661.89</v>
      </c>
      <c r="CO201" s="1065">
        <f>'No Recurrentes 24-26'!EJ59</f>
        <v>1412.61</v>
      </c>
      <c r="CP201" s="1060" t="str">
        <f>'No Recurrentes 24-26'!EK59</f>
        <v/>
      </c>
    </row>
    <row r="202">
      <c r="A202" s="451" t="str">
        <f>'No Recurrentes 24-26'!A60</f>
        <v>Repuestos Electromecánicos no recurrentes</v>
      </c>
      <c r="B202" s="451">
        <f>'No Recurrentes 24-26'!B60</f>
        <v>2</v>
      </c>
      <c r="C202" s="451" t="str">
        <f>'No Recurrentes 24-26'!C60</f>
        <v>Estación</v>
      </c>
      <c r="D202" s="451" t="str">
        <f>'No Recurrentes 24-26'!D60</f>
        <v>Mantenimiento de Embragues</v>
      </c>
      <c r="E202" s="451" t="str">
        <f>'No Recurrentes 24-26'!E60</f>
        <v>Repuesto Mecánico</v>
      </c>
      <c r="F202" s="451" t="str">
        <f>'No Recurrentes 24-26'!F60</f>
        <v>TDB</v>
      </c>
      <c r="G202" s="1025" t="str">
        <f>'No Recurrentes 24-26'!G60</f>
        <v>39800</v>
      </c>
      <c r="H202" s="1061" t="str">
        <f>'No Recurrentes 24-26'!H60</f>
        <v/>
      </c>
      <c r="I202" s="1061" t="str">
        <f>'No Recurrentes 24-26'!I60</f>
        <v>10004713</v>
      </c>
      <c r="J202" s="1061" t="str">
        <f>'No Recurrentes 24-26'!J60</f>
        <v>ANILLO "V" V 250 L             </v>
      </c>
      <c r="K202" s="451" t="str">
        <f>'No Recurrentes 24-26'!K60</f>
        <v>Pza</v>
      </c>
      <c r="L202" s="451" t="str">
        <f>'No Recurrentes 24-26'!BC60</f>
        <v/>
      </c>
      <c r="M202" s="451" t="str">
        <f>'No Recurrentes 24-26'!BD60</f>
        <v/>
      </c>
      <c r="N202" s="451" t="str">
        <f>'No Recurrentes 24-26'!BE60</f>
        <v/>
      </c>
      <c r="O202" s="451" t="str">
        <f>'No Recurrentes 24-26'!BF60</f>
        <v/>
      </c>
      <c r="P202" s="451" t="str">
        <f>'No Recurrentes 24-26'!BG60</f>
        <v/>
      </c>
      <c r="Q202" s="451" t="str">
        <f>'No Recurrentes 24-26'!BH60</f>
        <v/>
      </c>
      <c r="R202" s="451" t="str">
        <f>'No Recurrentes 24-26'!BI60</f>
        <v/>
      </c>
      <c r="S202" s="451" t="str">
        <f>'No Recurrentes 24-26'!BJ60</f>
        <v/>
      </c>
      <c r="T202" s="451" t="str">
        <f>'No Recurrentes 24-26'!BK60</f>
        <v/>
      </c>
      <c r="U202" s="451" t="str">
        <f>'No Recurrentes 24-26'!BL60</f>
        <v/>
      </c>
      <c r="V202" s="1068"/>
      <c r="W202" s="1062">
        <f>'No Recurrentes 24-26'!BM60</f>
        <v>0</v>
      </c>
      <c r="X202" s="1062" t="str">
        <f>'No Recurrentes 24-26'!BN60</f>
        <v/>
      </c>
      <c r="Y202" s="1062" t="str">
        <f>'No Recurrentes 24-26'!BO60</f>
        <v/>
      </c>
      <c r="Z202" s="1062" t="str">
        <f>'No Recurrentes 24-26'!BP60</f>
        <v/>
      </c>
      <c r="AA202" s="1062">
        <f>'No Recurrentes 24-26'!BQ60</f>
        <v>2</v>
      </c>
      <c r="AB202" s="1062">
        <f>'No Recurrentes 24-26'!BR60</f>
        <v>2</v>
      </c>
      <c r="AC202" s="1062">
        <f>'No Recurrentes 24-26'!BS60</f>
        <v>2</v>
      </c>
      <c r="AD202" s="1062" t="str">
        <f>'No Recurrentes 24-26'!BT60</f>
        <v/>
      </c>
      <c r="AE202" s="1062" t="str">
        <f>'No Recurrentes 24-26'!BU60</f>
        <v/>
      </c>
      <c r="AF202" s="1062" t="str">
        <f>'No Recurrentes 24-26'!BV60</f>
        <v/>
      </c>
      <c r="AG202" s="1062" t="str">
        <f>'No Recurrentes 24-26'!BW60</f>
        <v/>
      </c>
      <c r="AH202" s="1068"/>
      <c r="AI202" s="1062">
        <f>'No Recurrentes 24-26'!BX60</f>
        <v>6</v>
      </c>
      <c r="AJ202" s="1062" t="str">
        <f>'No Recurrentes 24-26'!BY60</f>
        <v/>
      </c>
      <c r="AK202" s="1062" t="str">
        <f>'No Recurrentes 24-26'!BZ60</f>
        <v/>
      </c>
      <c r="AL202" s="1062" t="str">
        <f>'No Recurrentes 24-26'!CA60</f>
        <v/>
      </c>
      <c r="AM202" s="1062" t="str">
        <f>'No Recurrentes 24-26'!CB60</f>
        <v/>
      </c>
      <c r="AN202" s="1062" t="str">
        <f>'No Recurrentes 24-26'!CC60</f>
        <v/>
      </c>
      <c r="AO202" s="1062" t="str">
        <f>'No Recurrentes 24-26'!CD60</f>
        <v/>
      </c>
      <c r="AP202" s="1062" t="str">
        <f>'No Recurrentes 24-26'!CE60</f>
        <v/>
      </c>
      <c r="AQ202" s="1062" t="str">
        <f>'No Recurrentes 24-26'!CF60</f>
        <v/>
      </c>
      <c r="AR202" s="1062" t="str">
        <f>'No Recurrentes 24-26'!CG60</f>
        <v/>
      </c>
      <c r="AS202" s="1062">
        <f>'No Recurrentes 24-26'!CH60</f>
        <v>1</v>
      </c>
      <c r="AT202" s="1068"/>
      <c r="AU202" s="1062">
        <f>'No Recurrentes 24-26'!CI60</f>
        <v>1</v>
      </c>
      <c r="AV202" s="1063">
        <f>'No Recurrentes 24-26'!CJ60</f>
        <v>7</v>
      </c>
      <c r="AW202" s="1068"/>
      <c r="AX202" s="1065">
        <f>'No Recurrentes 24-26'!CK60</f>
        <v>36.61</v>
      </c>
      <c r="AY202" s="1062">
        <f>'No Recurrentes 24-26'!CL60</f>
        <v>254.8056</v>
      </c>
      <c r="AZ202" s="1068"/>
      <c r="BA202" s="1062">
        <f>'No Recurrentes 24-26'!CM60</f>
        <v>0</v>
      </c>
      <c r="BB202" s="1062">
        <f>'No Recurrentes 24-26'!CN60</f>
        <v>0</v>
      </c>
      <c r="BC202" s="1062">
        <f>'No Recurrentes 24-26'!CO60</f>
        <v>0</v>
      </c>
      <c r="BD202" s="1062">
        <f>'No Recurrentes 24-26'!CP60</f>
        <v>0</v>
      </c>
      <c r="BE202" s="1062">
        <f>'No Recurrentes 24-26'!CQ60</f>
        <v>0</v>
      </c>
      <c r="BF202" s="1062">
        <f>'No Recurrentes 24-26'!CR60</f>
        <v>0</v>
      </c>
      <c r="BG202" s="1062">
        <f>'No Recurrentes 24-26'!CS60</f>
        <v>0</v>
      </c>
      <c r="BH202" s="1062">
        <f>'No Recurrentes 24-26'!CT60</f>
        <v>0</v>
      </c>
      <c r="BI202" s="1062">
        <f>'No Recurrentes 24-26'!CU60</f>
        <v>0</v>
      </c>
      <c r="BJ202" s="1062">
        <f>'No Recurrentes 24-26'!CV60</f>
        <v>0</v>
      </c>
      <c r="BK202" s="1068"/>
      <c r="BL202" s="1062">
        <f>'No Recurrentes 24-26'!CW60</f>
        <v>0</v>
      </c>
      <c r="BM202" s="1062">
        <f>'No Recurrentes 24-26'!CX60</f>
        <v>0</v>
      </c>
      <c r="BN202" s="1062">
        <f>'No Recurrentes 24-26'!CY60</f>
        <v>0</v>
      </c>
      <c r="BO202" s="1062">
        <f>'No Recurrentes 24-26'!CZ60</f>
        <v>0</v>
      </c>
      <c r="BP202" s="1062">
        <f>'No Recurrentes 24-26'!DA60</f>
        <v>509.6112</v>
      </c>
      <c r="BQ202" s="1062">
        <f>'No Recurrentes 24-26'!DB60</f>
        <v>509.6112</v>
      </c>
      <c r="BR202" s="1062">
        <f>'No Recurrentes 24-26'!DC60</f>
        <v>509.6112</v>
      </c>
      <c r="BS202" s="1062">
        <f>'No Recurrentes 24-26'!DD60</f>
        <v>0</v>
      </c>
      <c r="BT202" s="1062">
        <f>'No Recurrentes 24-26'!DE60</f>
        <v>0</v>
      </c>
      <c r="BU202" s="1062">
        <f>'No Recurrentes 24-26'!DF60</f>
        <v>0</v>
      </c>
      <c r="BV202" s="1062">
        <f>'No Recurrentes 24-26'!DG60</f>
        <v>0</v>
      </c>
      <c r="BW202" s="1068"/>
      <c r="BX202" s="1062">
        <f>'No Recurrentes 24-26'!DH60</f>
        <v>1528.8336</v>
      </c>
      <c r="BY202" s="1062">
        <f>'No Recurrentes 24-26'!DI60</f>
        <v>0</v>
      </c>
      <c r="BZ202" s="1062">
        <f>'No Recurrentes 24-26'!DJ60</f>
        <v>0</v>
      </c>
      <c r="CA202" s="1062">
        <f>'No Recurrentes 24-26'!DK60</f>
        <v>0</v>
      </c>
      <c r="CB202" s="1062">
        <f>'No Recurrentes 24-26'!DL60</f>
        <v>0</v>
      </c>
      <c r="CC202" s="1062">
        <f>'No Recurrentes 24-26'!DM60</f>
        <v>0</v>
      </c>
      <c r="CD202" s="1062">
        <f>'No Recurrentes 24-26'!DN60</f>
        <v>0</v>
      </c>
      <c r="CE202" s="1062">
        <f>'No Recurrentes 24-26'!DO60</f>
        <v>0</v>
      </c>
      <c r="CF202" s="1062">
        <f>'No Recurrentes 24-26'!DP60</f>
        <v>0</v>
      </c>
      <c r="CG202" s="1062">
        <f>'No Recurrentes 24-26'!DQ60</f>
        <v>0</v>
      </c>
      <c r="CH202" s="1062">
        <f>'No Recurrentes 24-26'!DR60</f>
        <v>254.8056</v>
      </c>
      <c r="CI202" s="1068"/>
      <c r="CJ202" s="1062">
        <f>'No Recurrentes 24-26'!DS60</f>
        <v>254.8056</v>
      </c>
      <c r="CK202" s="1062">
        <f>'No Recurrentes 24-26'!DT60</f>
        <v>1783.6392</v>
      </c>
      <c r="CL202" s="1064" t="str">
        <f>'No Recurrentes 24-26'!DU60</f>
        <v/>
      </c>
      <c r="CM202" s="1064" t="str">
        <f>'No Recurrentes 24-26'!DV60</f>
        <v/>
      </c>
      <c r="CN202" s="1065">
        <f>'No Recurrentes 24-26'!EI60</f>
        <v>36.61</v>
      </c>
      <c r="CO202" s="1065">
        <f>'No Recurrentes 24-26'!EJ60</f>
        <v>31.12</v>
      </c>
      <c r="CP202" s="1060" t="str">
        <f>'No Recurrentes 24-26'!EK60</f>
        <v/>
      </c>
    </row>
    <row r="203">
      <c r="A203" s="451" t="str">
        <f>'No Recurrentes 24-26'!A61</f>
        <v>Repuestos Electromecánicos no recurrentes</v>
      </c>
      <c r="B203" s="451">
        <f>'No Recurrentes 24-26'!B61</f>
        <v>2</v>
      </c>
      <c r="C203" s="451" t="str">
        <f>'No Recurrentes 24-26'!C61</f>
        <v>Estación</v>
      </c>
      <c r="D203" s="451" t="str">
        <f>'No Recurrentes 24-26'!D61</f>
        <v>Mantenimiento de Embragues</v>
      </c>
      <c r="E203" s="451" t="str">
        <f>'No Recurrentes 24-26'!E61</f>
        <v>Repuesto Mecánico</v>
      </c>
      <c r="F203" s="451" t="str">
        <f>'No Recurrentes 24-26'!F61</f>
        <v>TDB</v>
      </c>
      <c r="G203" s="1025" t="str">
        <f>'No Recurrentes 24-26'!G61</f>
        <v>39800</v>
      </c>
      <c r="H203" s="1061" t="str">
        <f>'No Recurrentes 24-26'!H61</f>
        <v/>
      </c>
      <c r="I203" s="1061" t="str">
        <f>'No Recurrentes 24-26'!I61</f>
        <v>10874437</v>
      </c>
      <c r="J203" s="1061" t="str">
        <f>'No Recurrentes 24-26'!J61</f>
        <v>V-RING  V 220 L</v>
      </c>
      <c r="K203" s="451" t="str">
        <f>'No Recurrentes 24-26'!K61</f>
        <v>Pza</v>
      </c>
      <c r="L203" s="451" t="str">
        <f>'No Recurrentes 24-26'!BC61</f>
        <v/>
      </c>
      <c r="M203" s="451" t="str">
        <f>'No Recurrentes 24-26'!BD61</f>
        <v/>
      </c>
      <c r="N203" s="451" t="str">
        <f>'No Recurrentes 24-26'!BE61</f>
        <v/>
      </c>
      <c r="O203" s="451" t="str">
        <f>'No Recurrentes 24-26'!BF61</f>
        <v/>
      </c>
      <c r="P203" s="451" t="str">
        <f>'No Recurrentes 24-26'!BG61</f>
        <v/>
      </c>
      <c r="Q203" s="451" t="str">
        <f>'No Recurrentes 24-26'!BH61</f>
        <v/>
      </c>
      <c r="R203" s="451" t="str">
        <f>'No Recurrentes 24-26'!BI61</f>
        <v/>
      </c>
      <c r="S203" s="451" t="str">
        <f>'No Recurrentes 24-26'!BJ61</f>
        <v/>
      </c>
      <c r="T203" s="451" t="str">
        <f>'No Recurrentes 24-26'!BK61</f>
        <v/>
      </c>
      <c r="U203" s="451" t="str">
        <f>'No Recurrentes 24-26'!BL61</f>
        <v/>
      </c>
      <c r="V203" s="1068"/>
      <c r="W203" s="1062">
        <f>'No Recurrentes 24-26'!BM61</f>
        <v>0</v>
      </c>
      <c r="X203" s="1062" t="str">
        <f>'No Recurrentes 24-26'!BN61</f>
        <v/>
      </c>
      <c r="Y203" s="1062" t="str">
        <f>'No Recurrentes 24-26'!BO61</f>
        <v/>
      </c>
      <c r="Z203" s="1062" t="str">
        <f>'No Recurrentes 24-26'!BP61</f>
        <v/>
      </c>
      <c r="AA203" s="1062">
        <f>'No Recurrentes 24-26'!BQ61</f>
        <v>2</v>
      </c>
      <c r="AB203" s="1062">
        <f>'No Recurrentes 24-26'!BR61</f>
        <v>2</v>
      </c>
      <c r="AC203" s="1062">
        <f>'No Recurrentes 24-26'!BS61</f>
        <v>2</v>
      </c>
      <c r="AD203" s="1062" t="str">
        <f>'No Recurrentes 24-26'!BT61</f>
        <v/>
      </c>
      <c r="AE203" s="1062" t="str">
        <f>'No Recurrentes 24-26'!BU61</f>
        <v/>
      </c>
      <c r="AF203" s="1062" t="str">
        <f>'No Recurrentes 24-26'!BV61</f>
        <v/>
      </c>
      <c r="AG203" s="1062" t="str">
        <f>'No Recurrentes 24-26'!BW61</f>
        <v/>
      </c>
      <c r="AH203" s="1068"/>
      <c r="AI203" s="1062">
        <f>'No Recurrentes 24-26'!BX61</f>
        <v>6</v>
      </c>
      <c r="AJ203" s="1062" t="str">
        <f>'No Recurrentes 24-26'!BY61</f>
        <v/>
      </c>
      <c r="AK203" s="1062" t="str">
        <f>'No Recurrentes 24-26'!BZ61</f>
        <v/>
      </c>
      <c r="AL203" s="1062" t="str">
        <f>'No Recurrentes 24-26'!CA61</f>
        <v/>
      </c>
      <c r="AM203" s="1062" t="str">
        <f>'No Recurrentes 24-26'!CB61</f>
        <v/>
      </c>
      <c r="AN203" s="1062" t="str">
        <f>'No Recurrentes 24-26'!CC61</f>
        <v/>
      </c>
      <c r="AO203" s="1062" t="str">
        <f>'No Recurrentes 24-26'!CD61</f>
        <v/>
      </c>
      <c r="AP203" s="1062" t="str">
        <f>'No Recurrentes 24-26'!CE61</f>
        <v/>
      </c>
      <c r="AQ203" s="1062" t="str">
        <f>'No Recurrentes 24-26'!CF61</f>
        <v/>
      </c>
      <c r="AR203" s="1062" t="str">
        <f>'No Recurrentes 24-26'!CG61</f>
        <v/>
      </c>
      <c r="AS203" s="1062">
        <f>'No Recurrentes 24-26'!CH61</f>
        <v>1</v>
      </c>
      <c r="AT203" s="1068"/>
      <c r="AU203" s="1062">
        <f>'No Recurrentes 24-26'!CI61</f>
        <v>1</v>
      </c>
      <c r="AV203" s="1063">
        <f>'No Recurrentes 24-26'!CJ61</f>
        <v>7</v>
      </c>
      <c r="AW203" s="1068"/>
      <c r="AX203" s="1065">
        <f>'No Recurrentes 24-26'!CK61</f>
        <v>27.92</v>
      </c>
      <c r="AY203" s="1062">
        <f>'No Recurrentes 24-26'!CL61</f>
        <v>194.3232</v>
      </c>
      <c r="AZ203" s="1068"/>
      <c r="BA203" s="1062">
        <f>'No Recurrentes 24-26'!CM61</f>
        <v>0</v>
      </c>
      <c r="BB203" s="1062">
        <f>'No Recurrentes 24-26'!CN61</f>
        <v>0</v>
      </c>
      <c r="BC203" s="1062">
        <f>'No Recurrentes 24-26'!CO61</f>
        <v>0</v>
      </c>
      <c r="BD203" s="1062">
        <f>'No Recurrentes 24-26'!CP61</f>
        <v>0</v>
      </c>
      <c r="BE203" s="1062">
        <f>'No Recurrentes 24-26'!CQ61</f>
        <v>0</v>
      </c>
      <c r="BF203" s="1062">
        <f>'No Recurrentes 24-26'!CR61</f>
        <v>0</v>
      </c>
      <c r="BG203" s="1062">
        <f>'No Recurrentes 24-26'!CS61</f>
        <v>0</v>
      </c>
      <c r="BH203" s="1062">
        <f>'No Recurrentes 24-26'!CT61</f>
        <v>0</v>
      </c>
      <c r="BI203" s="1062">
        <f>'No Recurrentes 24-26'!CU61</f>
        <v>0</v>
      </c>
      <c r="BJ203" s="1062">
        <f>'No Recurrentes 24-26'!CV61</f>
        <v>0</v>
      </c>
      <c r="BK203" s="1068"/>
      <c r="BL203" s="1062">
        <f>'No Recurrentes 24-26'!CW61</f>
        <v>0</v>
      </c>
      <c r="BM203" s="1062">
        <f>'No Recurrentes 24-26'!CX61</f>
        <v>0</v>
      </c>
      <c r="BN203" s="1062">
        <f>'No Recurrentes 24-26'!CY61</f>
        <v>0</v>
      </c>
      <c r="BO203" s="1062">
        <f>'No Recurrentes 24-26'!CZ61</f>
        <v>0</v>
      </c>
      <c r="BP203" s="1062">
        <f>'No Recurrentes 24-26'!DA61</f>
        <v>388.6464</v>
      </c>
      <c r="BQ203" s="1062">
        <f>'No Recurrentes 24-26'!DB61</f>
        <v>388.6464</v>
      </c>
      <c r="BR203" s="1062">
        <f>'No Recurrentes 24-26'!DC61</f>
        <v>388.6464</v>
      </c>
      <c r="BS203" s="1062">
        <f>'No Recurrentes 24-26'!DD61</f>
        <v>0</v>
      </c>
      <c r="BT203" s="1062">
        <f>'No Recurrentes 24-26'!DE61</f>
        <v>0</v>
      </c>
      <c r="BU203" s="1062">
        <f>'No Recurrentes 24-26'!DF61</f>
        <v>0</v>
      </c>
      <c r="BV203" s="1062">
        <f>'No Recurrentes 24-26'!DG61</f>
        <v>0</v>
      </c>
      <c r="BW203" s="1068"/>
      <c r="BX203" s="1062">
        <f>'No Recurrentes 24-26'!DH61</f>
        <v>1165.9392</v>
      </c>
      <c r="BY203" s="1062">
        <f>'No Recurrentes 24-26'!DI61</f>
        <v>0</v>
      </c>
      <c r="BZ203" s="1062">
        <f>'No Recurrentes 24-26'!DJ61</f>
        <v>0</v>
      </c>
      <c r="CA203" s="1062">
        <f>'No Recurrentes 24-26'!DK61</f>
        <v>0</v>
      </c>
      <c r="CB203" s="1062">
        <f>'No Recurrentes 24-26'!DL61</f>
        <v>0</v>
      </c>
      <c r="CC203" s="1062">
        <f>'No Recurrentes 24-26'!DM61</f>
        <v>0</v>
      </c>
      <c r="CD203" s="1062">
        <f>'No Recurrentes 24-26'!DN61</f>
        <v>0</v>
      </c>
      <c r="CE203" s="1062">
        <f>'No Recurrentes 24-26'!DO61</f>
        <v>0</v>
      </c>
      <c r="CF203" s="1062">
        <f>'No Recurrentes 24-26'!DP61</f>
        <v>0</v>
      </c>
      <c r="CG203" s="1062">
        <f>'No Recurrentes 24-26'!DQ61</f>
        <v>0</v>
      </c>
      <c r="CH203" s="1062">
        <f>'No Recurrentes 24-26'!DR61</f>
        <v>194.3232</v>
      </c>
      <c r="CI203" s="1068"/>
      <c r="CJ203" s="1062">
        <f>'No Recurrentes 24-26'!DS61</f>
        <v>194.3232</v>
      </c>
      <c r="CK203" s="1062">
        <f>'No Recurrentes 24-26'!DT61</f>
        <v>1360.2624</v>
      </c>
      <c r="CL203" s="1064" t="str">
        <f>'No Recurrentes 24-26'!DU61</f>
        <v/>
      </c>
      <c r="CM203" s="1064" t="str">
        <f>'No Recurrentes 24-26'!DV61</f>
        <v/>
      </c>
      <c r="CN203" s="1065">
        <f>'No Recurrentes 24-26'!EI61</f>
        <v>27.92</v>
      </c>
      <c r="CO203" s="1065">
        <f>'No Recurrentes 24-26'!EJ61</f>
        <v>23.73</v>
      </c>
      <c r="CP203" s="1060" t="str">
        <f>'No Recurrentes 24-26'!EK61</f>
        <v/>
      </c>
    </row>
    <row r="204">
      <c r="A204" s="451" t="str">
        <f>'No Recurrentes 24-26'!A62</f>
        <v>Repuestos Electromecánicos no recurrentes</v>
      </c>
      <c r="B204" s="451">
        <f>'No Recurrentes 24-26'!B62</f>
        <v>2</v>
      </c>
      <c r="C204" s="451" t="str">
        <f>'No Recurrentes 24-26'!C62</f>
        <v>Estación</v>
      </c>
      <c r="D204" s="451" t="str">
        <f>'No Recurrentes 24-26'!D62</f>
        <v>Mantenimiento de Embragues</v>
      </c>
      <c r="E204" s="451" t="str">
        <f>'No Recurrentes 24-26'!E62</f>
        <v>Repuesto Mecánico</v>
      </c>
      <c r="F204" s="451" t="str">
        <f>'No Recurrentes 24-26'!F62</f>
        <v>TDB</v>
      </c>
      <c r="G204" s="1025" t="str">
        <f>'No Recurrentes 24-26'!G62</f>
        <v>39800</v>
      </c>
      <c r="H204" s="1061" t="str">
        <f>'No Recurrentes 24-26'!H62</f>
        <v/>
      </c>
      <c r="I204" s="1061" t="str">
        <f>'No Recurrentes 24-26'!I62</f>
        <v>11423011</v>
      </c>
      <c r="J204" s="1061" t="str">
        <f>'No Recurrentes 24-26'!J62</f>
        <v>TORNILLO ISO 4762-8.8 M16X35 FLZNNC-480H-L;CIL. REB.LAM.ZN</v>
      </c>
      <c r="K204" s="451" t="str">
        <f>'No Recurrentes 24-26'!K62</f>
        <v>Pza</v>
      </c>
      <c r="L204" s="451" t="str">
        <f>'No Recurrentes 24-26'!BC62</f>
        <v/>
      </c>
      <c r="M204" s="451" t="str">
        <f>'No Recurrentes 24-26'!BD62</f>
        <v/>
      </c>
      <c r="N204" s="451" t="str">
        <f>'No Recurrentes 24-26'!BE62</f>
        <v/>
      </c>
      <c r="O204" s="451" t="str">
        <f>'No Recurrentes 24-26'!BF62</f>
        <v/>
      </c>
      <c r="P204" s="451" t="str">
        <f>'No Recurrentes 24-26'!BG62</f>
        <v/>
      </c>
      <c r="Q204" s="451" t="str">
        <f>'No Recurrentes 24-26'!BH62</f>
        <v/>
      </c>
      <c r="R204" s="451" t="str">
        <f>'No Recurrentes 24-26'!BI62</f>
        <v/>
      </c>
      <c r="S204" s="451" t="str">
        <f>'No Recurrentes 24-26'!BJ62</f>
        <v/>
      </c>
      <c r="T204" s="451" t="str">
        <f>'No Recurrentes 24-26'!BK62</f>
        <v/>
      </c>
      <c r="U204" s="451" t="str">
        <f>'No Recurrentes 24-26'!BL62</f>
        <v/>
      </c>
      <c r="V204" s="1068"/>
      <c r="W204" s="1062">
        <f>'No Recurrentes 24-26'!BM62</f>
        <v>0</v>
      </c>
      <c r="X204" s="1062">
        <f>'No Recurrentes 24-26'!BN62</f>
        <v>2</v>
      </c>
      <c r="Y204" s="1062" t="str">
        <f>'No Recurrentes 24-26'!BO62</f>
        <v/>
      </c>
      <c r="Z204" s="1062">
        <f>'No Recurrentes 24-26'!BP62</f>
        <v>2</v>
      </c>
      <c r="AA204" s="1062">
        <f>'No Recurrentes 24-26'!BQ62</f>
        <v>2</v>
      </c>
      <c r="AB204" s="1062" t="str">
        <f>'No Recurrentes 24-26'!BR62</f>
        <v/>
      </c>
      <c r="AC204" s="1062" t="str">
        <f>'No Recurrentes 24-26'!BS62</f>
        <v/>
      </c>
      <c r="AD204" s="1062" t="str">
        <f>'No Recurrentes 24-26'!BT62</f>
        <v/>
      </c>
      <c r="AE204" s="1062" t="str">
        <f>'No Recurrentes 24-26'!BU62</f>
        <v/>
      </c>
      <c r="AF204" s="1062" t="str">
        <f>'No Recurrentes 24-26'!BV62</f>
        <v/>
      </c>
      <c r="AG204" s="1062" t="str">
        <f>'No Recurrentes 24-26'!BW62</f>
        <v/>
      </c>
      <c r="AH204" s="1068"/>
      <c r="AI204" s="1062">
        <f>'No Recurrentes 24-26'!BX62</f>
        <v>6</v>
      </c>
      <c r="AJ204" s="1062" t="str">
        <f>'No Recurrentes 24-26'!BY62</f>
        <v/>
      </c>
      <c r="AK204" s="1062">
        <f>'No Recurrentes 24-26'!BZ62</f>
        <v>6</v>
      </c>
      <c r="AL204" s="1062" t="str">
        <f>'No Recurrentes 24-26'!CA62</f>
        <v/>
      </c>
      <c r="AM204" s="1062" t="str">
        <f>'No Recurrentes 24-26'!CB62</f>
        <v/>
      </c>
      <c r="AN204" s="1062" t="str">
        <f>'No Recurrentes 24-26'!CC62</f>
        <v/>
      </c>
      <c r="AO204" s="1062" t="str">
        <f>'No Recurrentes 24-26'!CD62</f>
        <v/>
      </c>
      <c r="AP204" s="1062" t="str">
        <f>'No Recurrentes 24-26'!CE62</f>
        <v/>
      </c>
      <c r="AQ204" s="1062" t="str">
        <f>'No Recurrentes 24-26'!CF62</f>
        <v/>
      </c>
      <c r="AR204" s="1062" t="str">
        <f>'No Recurrentes 24-26'!CG62</f>
        <v/>
      </c>
      <c r="AS204" s="1062" t="str">
        <f>'No Recurrentes 24-26'!CH62</f>
        <v/>
      </c>
      <c r="AT204" s="1068"/>
      <c r="AU204" s="1062">
        <f>'No Recurrentes 24-26'!CI62</f>
        <v>6</v>
      </c>
      <c r="AV204" s="1063">
        <f>'No Recurrentes 24-26'!CJ62</f>
        <v>12</v>
      </c>
      <c r="AW204" s="1068"/>
      <c r="AX204" s="1065">
        <f>'No Recurrentes 24-26'!CK62</f>
        <v>3.38</v>
      </c>
      <c r="AY204" s="1062">
        <f>'No Recurrentes 24-26'!CL62</f>
        <v>23.5248</v>
      </c>
      <c r="AZ204" s="1068"/>
      <c r="BA204" s="1062">
        <f>'No Recurrentes 24-26'!CM62</f>
        <v>0</v>
      </c>
      <c r="BB204" s="1062">
        <f>'No Recurrentes 24-26'!CN62</f>
        <v>0</v>
      </c>
      <c r="BC204" s="1062">
        <f>'No Recurrentes 24-26'!CO62</f>
        <v>0</v>
      </c>
      <c r="BD204" s="1062">
        <f>'No Recurrentes 24-26'!CP62</f>
        <v>0</v>
      </c>
      <c r="BE204" s="1062">
        <f>'No Recurrentes 24-26'!CQ62</f>
        <v>0</v>
      </c>
      <c r="BF204" s="1062">
        <f>'No Recurrentes 24-26'!CR62</f>
        <v>0</v>
      </c>
      <c r="BG204" s="1062">
        <f>'No Recurrentes 24-26'!CS62</f>
        <v>0</v>
      </c>
      <c r="BH204" s="1062">
        <f>'No Recurrentes 24-26'!CT62</f>
        <v>0</v>
      </c>
      <c r="BI204" s="1062">
        <f>'No Recurrentes 24-26'!CU62</f>
        <v>0</v>
      </c>
      <c r="BJ204" s="1062">
        <f>'No Recurrentes 24-26'!CV62</f>
        <v>0</v>
      </c>
      <c r="BK204" s="1068"/>
      <c r="BL204" s="1062">
        <f>'No Recurrentes 24-26'!CW62</f>
        <v>0</v>
      </c>
      <c r="BM204" s="1062">
        <f>'No Recurrentes 24-26'!CX62</f>
        <v>47.0496</v>
      </c>
      <c r="BN204" s="1062">
        <f>'No Recurrentes 24-26'!CY62</f>
        <v>0</v>
      </c>
      <c r="BO204" s="1062">
        <f>'No Recurrentes 24-26'!CZ62</f>
        <v>47.0496</v>
      </c>
      <c r="BP204" s="1062">
        <f>'No Recurrentes 24-26'!DA62</f>
        <v>47.0496</v>
      </c>
      <c r="BQ204" s="1062">
        <f>'No Recurrentes 24-26'!DB62</f>
        <v>0</v>
      </c>
      <c r="BR204" s="1062">
        <f>'No Recurrentes 24-26'!DC62</f>
        <v>0</v>
      </c>
      <c r="BS204" s="1062">
        <f>'No Recurrentes 24-26'!DD62</f>
        <v>0</v>
      </c>
      <c r="BT204" s="1062">
        <f>'No Recurrentes 24-26'!DE62</f>
        <v>0</v>
      </c>
      <c r="BU204" s="1062">
        <f>'No Recurrentes 24-26'!DF62</f>
        <v>0</v>
      </c>
      <c r="BV204" s="1062">
        <f>'No Recurrentes 24-26'!DG62</f>
        <v>0</v>
      </c>
      <c r="BW204" s="1068"/>
      <c r="BX204" s="1062">
        <f>'No Recurrentes 24-26'!DH62</f>
        <v>141.1488</v>
      </c>
      <c r="BY204" s="1062">
        <f>'No Recurrentes 24-26'!DI62</f>
        <v>0</v>
      </c>
      <c r="BZ204" s="1062">
        <f>'No Recurrentes 24-26'!DJ62</f>
        <v>141.1488</v>
      </c>
      <c r="CA204" s="1062">
        <f>'No Recurrentes 24-26'!DK62</f>
        <v>0</v>
      </c>
      <c r="CB204" s="1062">
        <f>'No Recurrentes 24-26'!DL62</f>
        <v>0</v>
      </c>
      <c r="CC204" s="1062">
        <f>'No Recurrentes 24-26'!DM62</f>
        <v>0</v>
      </c>
      <c r="CD204" s="1062">
        <f>'No Recurrentes 24-26'!DN62</f>
        <v>0</v>
      </c>
      <c r="CE204" s="1062">
        <f>'No Recurrentes 24-26'!DO62</f>
        <v>0</v>
      </c>
      <c r="CF204" s="1062">
        <f>'No Recurrentes 24-26'!DP62</f>
        <v>0</v>
      </c>
      <c r="CG204" s="1062">
        <f>'No Recurrentes 24-26'!DQ62</f>
        <v>0</v>
      </c>
      <c r="CH204" s="1062">
        <f>'No Recurrentes 24-26'!DR62</f>
        <v>0</v>
      </c>
      <c r="CI204" s="1068"/>
      <c r="CJ204" s="1062">
        <f>'No Recurrentes 24-26'!DS62</f>
        <v>141.1488</v>
      </c>
      <c r="CK204" s="1062">
        <f>'No Recurrentes 24-26'!DT62</f>
        <v>282.2976</v>
      </c>
      <c r="CL204" s="1064" t="str">
        <f>'No Recurrentes 24-26'!DU62</f>
        <v/>
      </c>
      <c r="CM204" s="1064" t="str">
        <f>'No Recurrentes 24-26'!DV62</f>
        <v/>
      </c>
      <c r="CN204" s="1065">
        <f>'No Recurrentes 24-26'!EI62</f>
        <v>3.38</v>
      </c>
      <c r="CO204" s="1065">
        <f>'No Recurrentes 24-26'!EJ62</f>
        <v>2.87</v>
      </c>
      <c r="CP204" s="1060" t="str">
        <f>'No Recurrentes 24-26'!EK62</f>
        <v/>
      </c>
    </row>
    <row r="205">
      <c r="A205" s="451" t="str">
        <f>'No Recurrentes 24-26'!A63</f>
        <v>Repuestos Electromecánicos no recurrentes</v>
      </c>
      <c r="B205" s="451">
        <f>'No Recurrentes 24-26'!B63</f>
        <v>2</v>
      </c>
      <c r="C205" s="451" t="str">
        <f>'No Recurrentes 24-26'!C63</f>
        <v>Estación</v>
      </c>
      <c r="D205" s="451" t="str">
        <f>'No Recurrentes 24-26'!D63</f>
        <v>Mantenimiento de Embragues</v>
      </c>
      <c r="E205" s="451" t="str">
        <f>'No Recurrentes 24-26'!E63</f>
        <v>Repuesto Mecánico</v>
      </c>
      <c r="F205" s="451" t="str">
        <f>'No Recurrentes 24-26'!F63</f>
        <v>TDB</v>
      </c>
      <c r="G205" s="1025" t="str">
        <f>'No Recurrentes 24-26'!G63</f>
        <v>39800</v>
      </c>
      <c r="H205" s="1061" t="str">
        <f>'No Recurrentes 24-26'!H63</f>
        <v>2-01-00740</v>
      </c>
      <c r="I205" s="1061" t="str">
        <f>'No Recurrentes 24-26'!I63</f>
        <v>10001273</v>
      </c>
      <c r="J205" s="1061" t="str">
        <f>'No Recurrentes 24-26'!J63</f>
        <v>TORNILLO ISO 4762 8.8 M 8X40    CILINDRICO, GALVAN.</v>
      </c>
      <c r="K205" s="451" t="str">
        <f>'No Recurrentes 24-26'!K63</f>
        <v>Pza</v>
      </c>
      <c r="L205" s="451" t="str">
        <f>'No Recurrentes 24-26'!BC63</f>
        <v/>
      </c>
      <c r="M205" s="451" t="str">
        <f>'No Recurrentes 24-26'!BD63</f>
        <v/>
      </c>
      <c r="N205" s="451" t="str">
        <f>'No Recurrentes 24-26'!BE63</f>
        <v/>
      </c>
      <c r="O205" s="451" t="str">
        <f>'No Recurrentes 24-26'!BF63</f>
        <v/>
      </c>
      <c r="P205" s="451" t="str">
        <f>'No Recurrentes 24-26'!BG63</f>
        <v/>
      </c>
      <c r="Q205" s="451" t="str">
        <f>'No Recurrentes 24-26'!BH63</f>
        <v/>
      </c>
      <c r="R205" s="451" t="str">
        <f>'No Recurrentes 24-26'!BI63</f>
        <v/>
      </c>
      <c r="S205" s="451" t="str">
        <f>'No Recurrentes 24-26'!BJ63</f>
        <v/>
      </c>
      <c r="T205" s="451" t="str">
        <f>'No Recurrentes 24-26'!BK63</f>
        <v/>
      </c>
      <c r="U205" s="451" t="str">
        <f>'No Recurrentes 24-26'!BL63</f>
        <v/>
      </c>
      <c r="V205" s="1068"/>
      <c r="W205" s="1062">
        <f>'No Recurrentes 24-26'!BM63</f>
        <v>0</v>
      </c>
      <c r="X205" s="1062" t="str">
        <f>'No Recurrentes 24-26'!BN63</f>
        <v/>
      </c>
      <c r="Y205" s="1062" t="str">
        <f>'No Recurrentes 24-26'!BO63</f>
        <v/>
      </c>
      <c r="Z205" s="1062" t="str">
        <f>'No Recurrentes 24-26'!BP63</f>
        <v/>
      </c>
      <c r="AA205" s="1062" t="str">
        <f>'No Recurrentes 24-26'!BQ63</f>
        <v/>
      </c>
      <c r="AB205" s="1062" t="str">
        <f>'No Recurrentes 24-26'!BR63</f>
        <v/>
      </c>
      <c r="AC205" s="1062" t="str">
        <f>'No Recurrentes 24-26'!BS63</f>
        <v/>
      </c>
      <c r="AD205" s="1062" t="str">
        <f>'No Recurrentes 24-26'!BT63</f>
        <v/>
      </c>
      <c r="AE205" s="1062" t="str">
        <f>'No Recurrentes 24-26'!BU63</f>
        <v/>
      </c>
      <c r="AF205" s="1062" t="str">
        <f>'No Recurrentes 24-26'!BV63</f>
        <v/>
      </c>
      <c r="AG205" s="1062" t="str">
        <f>'No Recurrentes 24-26'!BW63</f>
        <v/>
      </c>
      <c r="AH205" s="1068"/>
      <c r="AI205" s="1062">
        <f>'No Recurrentes 24-26'!BX63</f>
        <v>0</v>
      </c>
      <c r="AJ205" s="1062" t="str">
        <f>'No Recurrentes 24-26'!BY63</f>
        <v/>
      </c>
      <c r="AK205" s="1062" t="str">
        <f>'No Recurrentes 24-26'!BZ63</f>
        <v/>
      </c>
      <c r="AL205" s="1062" t="str">
        <f>'No Recurrentes 24-26'!CA63</f>
        <v/>
      </c>
      <c r="AM205" s="1062" t="str">
        <f>'No Recurrentes 24-26'!CB63</f>
        <v/>
      </c>
      <c r="AN205" s="1062" t="str">
        <f>'No Recurrentes 24-26'!CC63</f>
        <v/>
      </c>
      <c r="AO205" s="1062" t="str">
        <f>'No Recurrentes 24-26'!CD63</f>
        <v/>
      </c>
      <c r="AP205" s="1062">
        <f>'No Recurrentes 24-26'!CE63</f>
        <v>6</v>
      </c>
      <c r="AQ205" s="1062">
        <f>'No Recurrentes 24-26'!CF63</f>
        <v>6</v>
      </c>
      <c r="AR205" s="1062">
        <f>'No Recurrentes 24-26'!CG63</f>
        <v>6</v>
      </c>
      <c r="AS205" s="1062" t="str">
        <f>'No Recurrentes 24-26'!CH63</f>
        <v/>
      </c>
      <c r="AT205" s="1068"/>
      <c r="AU205" s="1062">
        <f>'No Recurrentes 24-26'!CI63</f>
        <v>18</v>
      </c>
      <c r="AV205" s="1063">
        <f>'No Recurrentes 24-26'!CJ63</f>
        <v>18</v>
      </c>
      <c r="AW205" s="1068"/>
      <c r="AX205" s="1065">
        <f>'No Recurrentes 24-26'!CK63</f>
        <v>0.39</v>
      </c>
      <c r="AY205" s="1062">
        <f>'No Recurrentes 24-26'!CL63</f>
        <v>2.7144</v>
      </c>
      <c r="AZ205" s="1068"/>
      <c r="BA205" s="1062">
        <f>'No Recurrentes 24-26'!CM63</f>
        <v>0</v>
      </c>
      <c r="BB205" s="1062">
        <f>'No Recurrentes 24-26'!CN63</f>
        <v>0</v>
      </c>
      <c r="BC205" s="1062">
        <f>'No Recurrentes 24-26'!CO63</f>
        <v>0</v>
      </c>
      <c r="BD205" s="1062">
        <f>'No Recurrentes 24-26'!CP63</f>
        <v>0</v>
      </c>
      <c r="BE205" s="1062">
        <f>'No Recurrentes 24-26'!CQ63</f>
        <v>0</v>
      </c>
      <c r="BF205" s="1062">
        <f>'No Recurrentes 24-26'!CR63</f>
        <v>0</v>
      </c>
      <c r="BG205" s="1062">
        <f>'No Recurrentes 24-26'!CS63</f>
        <v>0</v>
      </c>
      <c r="BH205" s="1062">
        <f>'No Recurrentes 24-26'!CT63</f>
        <v>0</v>
      </c>
      <c r="BI205" s="1062">
        <f>'No Recurrentes 24-26'!CU63</f>
        <v>0</v>
      </c>
      <c r="BJ205" s="1062">
        <f>'No Recurrentes 24-26'!CV63</f>
        <v>0</v>
      </c>
      <c r="BK205" s="1068"/>
      <c r="BL205" s="1062">
        <f>'No Recurrentes 24-26'!CW63</f>
        <v>0</v>
      </c>
      <c r="BM205" s="1062">
        <f>'No Recurrentes 24-26'!CX63</f>
        <v>0</v>
      </c>
      <c r="BN205" s="1062">
        <f>'No Recurrentes 24-26'!CY63</f>
        <v>0</v>
      </c>
      <c r="BO205" s="1062">
        <f>'No Recurrentes 24-26'!CZ63</f>
        <v>0</v>
      </c>
      <c r="BP205" s="1062">
        <f>'No Recurrentes 24-26'!DA63</f>
        <v>0</v>
      </c>
      <c r="BQ205" s="1062">
        <f>'No Recurrentes 24-26'!DB63</f>
        <v>0</v>
      </c>
      <c r="BR205" s="1062">
        <f>'No Recurrentes 24-26'!DC63</f>
        <v>0</v>
      </c>
      <c r="BS205" s="1062">
        <f>'No Recurrentes 24-26'!DD63</f>
        <v>0</v>
      </c>
      <c r="BT205" s="1062">
        <f>'No Recurrentes 24-26'!DE63</f>
        <v>0</v>
      </c>
      <c r="BU205" s="1062">
        <f>'No Recurrentes 24-26'!DF63</f>
        <v>0</v>
      </c>
      <c r="BV205" s="1062">
        <f>'No Recurrentes 24-26'!DG63</f>
        <v>0</v>
      </c>
      <c r="BW205" s="1068"/>
      <c r="BX205" s="1062">
        <f>'No Recurrentes 24-26'!DH63</f>
        <v>0</v>
      </c>
      <c r="BY205" s="1062">
        <f>'No Recurrentes 24-26'!DI63</f>
        <v>0</v>
      </c>
      <c r="BZ205" s="1062">
        <f>'No Recurrentes 24-26'!DJ63</f>
        <v>0</v>
      </c>
      <c r="CA205" s="1062">
        <f>'No Recurrentes 24-26'!DK63</f>
        <v>0</v>
      </c>
      <c r="CB205" s="1062">
        <f>'No Recurrentes 24-26'!DL63</f>
        <v>0</v>
      </c>
      <c r="CC205" s="1062">
        <f>'No Recurrentes 24-26'!DM63</f>
        <v>0</v>
      </c>
      <c r="CD205" s="1062">
        <f>'No Recurrentes 24-26'!DN63</f>
        <v>0</v>
      </c>
      <c r="CE205" s="1062">
        <f>'No Recurrentes 24-26'!DO63</f>
        <v>16.2864</v>
      </c>
      <c r="CF205" s="1062">
        <f>'No Recurrentes 24-26'!DP63</f>
        <v>16.2864</v>
      </c>
      <c r="CG205" s="1062">
        <f>'No Recurrentes 24-26'!DQ63</f>
        <v>16.2864</v>
      </c>
      <c r="CH205" s="1062">
        <f>'No Recurrentes 24-26'!DR63</f>
        <v>0</v>
      </c>
      <c r="CI205" s="1068"/>
      <c r="CJ205" s="1062">
        <f>'No Recurrentes 24-26'!DS63</f>
        <v>48.8592</v>
      </c>
      <c r="CK205" s="1062">
        <f>'No Recurrentes 24-26'!DT63</f>
        <v>48.8592</v>
      </c>
      <c r="CL205" s="1064" t="str">
        <f>'No Recurrentes 24-26'!DU63</f>
        <v/>
      </c>
      <c r="CM205" s="1064" t="str">
        <f>'No Recurrentes 24-26'!DV63</f>
        <v/>
      </c>
      <c r="CN205" s="1065">
        <f>'No Recurrentes 24-26'!EI63</f>
        <v>0.39</v>
      </c>
      <c r="CO205" s="1065">
        <f>'No Recurrentes 24-26'!EJ63</f>
        <v>0.33</v>
      </c>
      <c r="CP205" s="1060" t="str">
        <f>'No Recurrentes 24-26'!EK63</f>
        <v/>
      </c>
    </row>
    <row r="206">
      <c r="A206" s="451" t="str">
        <f>'No Recurrentes 24-26'!A64</f>
        <v>Repuestos Electromecánicos no recurrentes</v>
      </c>
      <c r="B206" s="451">
        <f>'No Recurrentes 24-26'!B64</f>
        <v>2</v>
      </c>
      <c r="C206" s="451" t="str">
        <f>'No Recurrentes 24-26'!C64</f>
        <v>Estación</v>
      </c>
      <c r="D206" s="451" t="str">
        <f>'No Recurrentes 24-26'!D64</f>
        <v>Mantenimiento de Embragues</v>
      </c>
      <c r="E206" s="451" t="str">
        <f>'No Recurrentes 24-26'!E64</f>
        <v>Repuesto Mecánico</v>
      </c>
      <c r="F206" s="451" t="str">
        <f>'No Recurrentes 24-26'!F64</f>
        <v>TDB</v>
      </c>
      <c r="G206" s="1025" t="str">
        <f>'No Recurrentes 24-26'!G64</f>
        <v>39800</v>
      </c>
      <c r="H206" s="1061" t="str">
        <f>'No Recurrentes 24-26'!H64</f>
        <v/>
      </c>
      <c r="I206" s="1061" t="str">
        <f>'No Recurrentes 24-26'!I64</f>
        <v>11318364</v>
      </c>
      <c r="J206" s="1061" t="str">
        <f>'No Recurrentes 24-26'!J64</f>
        <v>VERSCHLUSST.   GPN 900  A13,5  KAPSTO</v>
      </c>
      <c r="K206" s="451" t="str">
        <f>'No Recurrentes 24-26'!K64</f>
        <v>Pza</v>
      </c>
      <c r="L206" s="451" t="str">
        <f>'No Recurrentes 24-26'!BC64</f>
        <v/>
      </c>
      <c r="M206" s="451" t="str">
        <f>'No Recurrentes 24-26'!BD64</f>
        <v/>
      </c>
      <c r="N206" s="451" t="str">
        <f>'No Recurrentes 24-26'!BE64</f>
        <v/>
      </c>
      <c r="O206" s="451" t="str">
        <f>'No Recurrentes 24-26'!BF64</f>
        <v/>
      </c>
      <c r="P206" s="451" t="str">
        <f>'No Recurrentes 24-26'!BG64</f>
        <v/>
      </c>
      <c r="Q206" s="451" t="str">
        <f>'No Recurrentes 24-26'!BH64</f>
        <v/>
      </c>
      <c r="R206" s="451" t="str">
        <f>'No Recurrentes 24-26'!BI64</f>
        <v/>
      </c>
      <c r="S206" s="451" t="str">
        <f>'No Recurrentes 24-26'!BJ64</f>
        <v/>
      </c>
      <c r="T206" s="451" t="str">
        <f>'No Recurrentes 24-26'!BK64</f>
        <v/>
      </c>
      <c r="U206" s="451" t="str">
        <f>'No Recurrentes 24-26'!BL64</f>
        <v/>
      </c>
      <c r="V206" s="1068"/>
      <c r="W206" s="1062">
        <f>'No Recurrentes 24-26'!BM64</f>
        <v>0</v>
      </c>
      <c r="X206" s="1062" t="str">
        <f>'No Recurrentes 24-26'!BN64</f>
        <v/>
      </c>
      <c r="Y206" s="1062" t="str">
        <f>'No Recurrentes 24-26'!BO64</f>
        <v/>
      </c>
      <c r="Z206" s="1062" t="str">
        <f>'No Recurrentes 24-26'!BP64</f>
        <v/>
      </c>
      <c r="AA206" s="1062" t="str">
        <f>'No Recurrentes 24-26'!BQ64</f>
        <v/>
      </c>
      <c r="AB206" s="1062" t="str">
        <f>'No Recurrentes 24-26'!BR64</f>
        <v/>
      </c>
      <c r="AC206" s="1062" t="str">
        <f>'No Recurrentes 24-26'!BS64</f>
        <v/>
      </c>
      <c r="AD206" s="1062" t="str">
        <f>'No Recurrentes 24-26'!BT64</f>
        <v/>
      </c>
      <c r="AE206" s="1062" t="str">
        <f>'No Recurrentes 24-26'!BU64</f>
        <v/>
      </c>
      <c r="AF206" s="1062" t="str">
        <f>'No Recurrentes 24-26'!BV64</f>
        <v/>
      </c>
      <c r="AG206" s="1062" t="str">
        <f>'No Recurrentes 24-26'!BW64</f>
        <v/>
      </c>
      <c r="AH206" s="1068"/>
      <c r="AI206" s="1062">
        <f>'No Recurrentes 24-26'!BX64</f>
        <v>0</v>
      </c>
      <c r="AJ206" s="1062" t="str">
        <f>'No Recurrentes 24-26'!BY64</f>
        <v/>
      </c>
      <c r="AK206" s="1062" t="str">
        <f>'No Recurrentes 24-26'!BZ64</f>
        <v/>
      </c>
      <c r="AL206" s="1062" t="str">
        <f>'No Recurrentes 24-26'!CA64</f>
        <v/>
      </c>
      <c r="AM206" s="1062">
        <f>'No Recurrentes 24-26'!CB64</f>
        <v>4</v>
      </c>
      <c r="AN206" s="1062">
        <f>'No Recurrentes 24-26'!CC64</f>
        <v>4</v>
      </c>
      <c r="AO206" s="1062">
        <f>'No Recurrentes 24-26'!CD64</f>
        <v>4</v>
      </c>
      <c r="AP206" s="1062" t="str">
        <f>'No Recurrentes 24-26'!CE64</f>
        <v/>
      </c>
      <c r="AQ206" s="1062" t="str">
        <f>'No Recurrentes 24-26'!CF64</f>
        <v/>
      </c>
      <c r="AR206" s="1062" t="str">
        <f>'No Recurrentes 24-26'!CG64</f>
        <v/>
      </c>
      <c r="AS206" s="1062" t="str">
        <f>'No Recurrentes 24-26'!CH64</f>
        <v/>
      </c>
      <c r="AT206" s="1068"/>
      <c r="AU206" s="1062">
        <f>'No Recurrentes 24-26'!CI64</f>
        <v>12</v>
      </c>
      <c r="AV206" s="1063">
        <f>'No Recurrentes 24-26'!CJ64</f>
        <v>12</v>
      </c>
      <c r="AW206" s="1068"/>
      <c r="AX206" s="1065">
        <f>'No Recurrentes 24-26'!CK64</f>
        <v>0.31</v>
      </c>
      <c r="AY206" s="1062">
        <f>'No Recurrentes 24-26'!CL64</f>
        <v>2.1576</v>
      </c>
      <c r="AZ206" s="1068"/>
      <c r="BA206" s="1062">
        <f>'No Recurrentes 24-26'!CM64</f>
        <v>0</v>
      </c>
      <c r="BB206" s="1062">
        <f>'No Recurrentes 24-26'!CN64</f>
        <v>0</v>
      </c>
      <c r="BC206" s="1062">
        <f>'No Recurrentes 24-26'!CO64</f>
        <v>0</v>
      </c>
      <c r="BD206" s="1062">
        <f>'No Recurrentes 24-26'!CP64</f>
        <v>0</v>
      </c>
      <c r="BE206" s="1062">
        <f>'No Recurrentes 24-26'!CQ64</f>
        <v>0</v>
      </c>
      <c r="BF206" s="1062">
        <f>'No Recurrentes 24-26'!CR64</f>
        <v>0</v>
      </c>
      <c r="BG206" s="1062">
        <f>'No Recurrentes 24-26'!CS64</f>
        <v>0</v>
      </c>
      <c r="BH206" s="1062">
        <f>'No Recurrentes 24-26'!CT64</f>
        <v>0</v>
      </c>
      <c r="BI206" s="1062">
        <f>'No Recurrentes 24-26'!CU64</f>
        <v>0</v>
      </c>
      <c r="BJ206" s="1062">
        <f>'No Recurrentes 24-26'!CV64</f>
        <v>0</v>
      </c>
      <c r="BK206" s="1068"/>
      <c r="BL206" s="1062">
        <f>'No Recurrentes 24-26'!CW64</f>
        <v>0</v>
      </c>
      <c r="BM206" s="1062">
        <f>'No Recurrentes 24-26'!CX64</f>
        <v>0</v>
      </c>
      <c r="BN206" s="1062">
        <f>'No Recurrentes 24-26'!CY64</f>
        <v>0</v>
      </c>
      <c r="BO206" s="1062">
        <f>'No Recurrentes 24-26'!CZ64</f>
        <v>0</v>
      </c>
      <c r="BP206" s="1062">
        <f>'No Recurrentes 24-26'!DA64</f>
        <v>0</v>
      </c>
      <c r="BQ206" s="1062">
        <f>'No Recurrentes 24-26'!DB64</f>
        <v>0</v>
      </c>
      <c r="BR206" s="1062">
        <f>'No Recurrentes 24-26'!DC64</f>
        <v>0</v>
      </c>
      <c r="BS206" s="1062">
        <f>'No Recurrentes 24-26'!DD64</f>
        <v>0</v>
      </c>
      <c r="BT206" s="1062">
        <f>'No Recurrentes 24-26'!DE64</f>
        <v>0</v>
      </c>
      <c r="BU206" s="1062">
        <f>'No Recurrentes 24-26'!DF64</f>
        <v>0</v>
      </c>
      <c r="BV206" s="1062">
        <f>'No Recurrentes 24-26'!DG64</f>
        <v>0</v>
      </c>
      <c r="BW206" s="1068"/>
      <c r="BX206" s="1062">
        <f>'No Recurrentes 24-26'!DH64</f>
        <v>0</v>
      </c>
      <c r="BY206" s="1062">
        <f>'No Recurrentes 24-26'!DI64</f>
        <v>0</v>
      </c>
      <c r="BZ206" s="1062">
        <f>'No Recurrentes 24-26'!DJ64</f>
        <v>0</v>
      </c>
      <c r="CA206" s="1062">
        <f>'No Recurrentes 24-26'!DK64</f>
        <v>0</v>
      </c>
      <c r="CB206" s="1062">
        <f>'No Recurrentes 24-26'!DL64</f>
        <v>8.6304</v>
      </c>
      <c r="CC206" s="1062">
        <f>'No Recurrentes 24-26'!DM64</f>
        <v>8.6304</v>
      </c>
      <c r="CD206" s="1062">
        <f>'No Recurrentes 24-26'!DN64</f>
        <v>8.6304</v>
      </c>
      <c r="CE206" s="1062">
        <f>'No Recurrentes 24-26'!DO64</f>
        <v>0</v>
      </c>
      <c r="CF206" s="1062">
        <f>'No Recurrentes 24-26'!DP64</f>
        <v>0</v>
      </c>
      <c r="CG206" s="1062">
        <f>'No Recurrentes 24-26'!DQ64</f>
        <v>0</v>
      </c>
      <c r="CH206" s="1062">
        <f>'No Recurrentes 24-26'!DR64</f>
        <v>0</v>
      </c>
      <c r="CI206" s="1068"/>
      <c r="CJ206" s="1062">
        <f>'No Recurrentes 24-26'!DS64</f>
        <v>25.8912</v>
      </c>
      <c r="CK206" s="1062">
        <f>'No Recurrentes 24-26'!DT64</f>
        <v>25.8912</v>
      </c>
      <c r="CL206" s="1064" t="str">
        <f>'No Recurrentes 24-26'!DU64</f>
        <v/>
      </c>
      <c r="CM206" s="1064" t="str">
        <f>'No Recurrentes 24-26'!DV64</f>
        <v>No cotizo. Cotiza con ID: 11318364</v>
      </c>
      <c r="CN206" s="1065">
        <f>'No Recurrentes 24-26'!EI64</f>
        <v>0.31</v>
      </c>
      <c r="CO206" s="1065">
        <f>'No Recurrentes 24-26'!EJ64</f>
        <v>0.26</v>
      </c>
      <c r="CP206" s="1060" t="str">
        <f>'No Recurrentes 24-26'!EK64</f>
        <v/>
      </c>
    </row>
    <row r="207">
      <c r="A207" s="451" t="str">
        <f>'No Recurrentes 24-26'!A65</f>
        <v>Repuestos Electromecánicos no recurrentes</v>
      </c>
      <c r="B207" s="451">
        <f>'No Recurrentes 24-26'!B65</f>
        <v>2</v>
      </c>
      <c r="C207" s="451" t="str">
        <f>'No Recurrentes 24-26'!C65</f>
        <v>Estación</v>
      </c>
      <c r="D207" s="451" t="str">
        <f>'No Recurrentes 24-26'!D65</f>
        <v>Mantenimiento de Embragues</v>
      </c>
      <c r="E207" s="451" t="str">
        <f>'No Recurrentes 24-26'!E65</f>
        <v>Repuesto Mecánico</v>
      </c>
      <c r="F207" s="451" t="str">
        <f>'No Recurrentes 24-26'!F65</f>
        <v>TDB</v>
      </c>
      <c r="G207" s="1025" t="str">
        <f>'No Recurrentes 24-26'!G65</f>
        <v>39800</v>
      </c>
      <c r="H207" s="1061" t="str">
        <f>'No Recurrentes 24-26'!H65</f>
        <v/>
      </c>
      <c r="I207" s="1061" t="str">
        <f>'No Recurrentes 24-26'!I65</f>
        <v>11440603</v>
      </c>
      <c r="J207" s="1061" t="str">
        <f>'No Recurrentes 24-26'!J65</f>
        <v>SHR ISO 4762- 8.8 M 4X 10  GVZ  ZYL-SHR, GALV.VERZINKT</v>
      </c>
      <c r="K207" s="451" t="str">
        <f>'No Recurrentes 24-26'!K65</f>
        <v>Pza</v>
      </c>
      <c r="L207" s="451" t="str">
        <f>'No Recurrentes 24-26'!BC65</f>
        <v/>
      </c>
      <c r="M207" s="451" t="str">
        <f>'No Recurrentes 24-26'!BD65</f>
        <v/>
      </c>
      <c r="N207" s="451" t="str">
        <f>'No Recurrentes 24-26'!BE65</f>
        <v/>
      </c>
      <c r="O207" s="451" t="str">
        <f>'No Recurrentes 24-26'!BF65</f>
        <v/>
      </c>
      <c r="P207" s="451" t="str">
        <f>'No Recurrentes 24-26'!BG65</f>
        <v/>
      </c>
      <c r="Q207" s="451" t="str">
        <f>'No Recurrentes 24-26'!BH65</f>
        <v/>
      </c>
      <c r="R207" s="451" t="str">
        <f>'No Recurrentes 24-26'!BI65</f>
        <v/>
      </c>
      <c r="S207" s="451" t="str">
        <f>'No Recurrentes 24-26'!BJ65</f>
        <v/>
      </c>
      <c r="T207" s="451" t="str">
        <f>'No Recurrentes 24-26'!BK65</f>
        <v/>
      </c>
      <c r="U207" s="451" t="str">
        <f>'No Recurrentes 24-26'!BL65</f>
        <v/>
      </c>
      <c r="V207" s="1068"/>
      <c r="W207" s="1062">
        <f>'No Recurrentes 24-26'!BM65</f>
        <v>0</v>
      </c>
      <c r="X207" s="1062" t="str">
        <f>'No Recurrentes 24-26'!BN65</f>
        <v/>
      </c>
      <c r="Y207" s="1062" t="str">
        <f>'No Recurrentes 24-26'!BO65</f>
        <v/>
      </c>
      <c r="Z207" s="1062" t="str">
        <f>'No Recurrentes 24-26'!BP65</f>
        <v/>
      </c>
      <c r="AA207" s="1062" t="str">
        <f>'No Recurrentes 24-26'!BQ65</f>
        <v/>
      </c>
      <c r="AB207" s="1062" t="str">
        <f>'No Recurrentes 24-26'!BR65</f>
        <v/>
      </c>
      <c r="AC207" s="1062" t="str">
        <f>'No Recurrentes 24-26'!BS65</f>
        <v/>
      </c>
      <c r="AD207" s="1062" t="str">
        <f>'No Recurrentes 24-26'!BT65</f>
        <v/>
      </c>
      <c r="AE207" s="1062" t="str">
        <f>'No Recurrentes 24-26'!BU65</f>
        <v/>
      </c>
      <c r="AF207" s="1062" t="str">
        <f>'No Recurrentes 24-26'!BV65</f>
        <v/>
      </c>
      <c r="AG207" s="1062" t="str">
        <f>'No Recurrentes 24-26'!BW65</f>
        <v/>
      </c>
      <c r="AH207" s="1068"/>
      <c r="AI207" s="1062">
        <f>'No Recurrentes 24-26'!BX65</f>
        <v>0</v>
      </c>
      <c r="AJ207" s="1062">
        <f>'No Recurrentes 24-26'!BY65</f>
        <v>8</v>
      </c>
      <c r="AK207" s="1062" t="str">
        <f>'No Recurrentes 24-26'!BZ65</f>
        <v/>
      </c>
      <c r="AL207" s="1062">
        <f>'No Recurrentes 24-26'!CA65</f>
        <v>8</v>
      </c>
      <c r="AM207" s="1062">
        <f>'No Recurrentes 24-26'!CB65</f>
        <v>6</v>
      </c>
      <c r="AN207" s="1062" t="str">
        <f>'No Recurrentes 24-26'!CC65</f>
        <v/>
      </c>
      <c r="AO207" s="1062" t="str">
        <f>'No Recurrentes 24-26'!CD65</f>
        <v/>
      </c>
      <c r="AP207" s="1062" t="str">
        <f>'No Recurrentes 24-26'!CE65</f>
        <v/>
      </c>
      <c r="AQ207" s="1062" t="str">
        <f>'No Recurrentes 24-26'!CF65</f>
        <v/>
      </c>
      <c r="AR207" s="1062" t="str">
        <f>'No Recurrentes 24-26'!CG65</f>
        <v/>
      </c>
      <c r="AS207" s="1062" t="str">
        <f>'No Recurrentes 24-26'!CH65</f>
        <v/>
      </c>
      <c r="AT207" s="1068"/>
      <c r="AU207" s="1062">
        <f>'No Recurrentes 24-26'!CI65</f>
        <v>22</v>
      </c>
      <c r="AV207" s="1063">
        <f>'No Recurrentes 24-26'!CJ65</f>
        <v>22</v>
      </c>
      <c r="AW207" s="1068"/>
      <c r="AX207" s="1065">
        <f>'No Recurrentes 24-26'!CK65</f>
        <v>0.11</v>
      </c>
      <c r="AY207" s="1062">
        <f>'No Recurrentes 24-26'!CL65</f>
        <v>0.7656</v>
      </c>
      <c r="AZ207" s="1068"/>
      <c r="BA207" s="1062">
        <f>'No Recurrentes 24-26'!CM65</f>
        <v>0</v>
      </c>
      <c r="BB207" s="1062">
        <f>'No Recurrentes 24-26'!CN65</f>
        <v>0</v>
      </c>
      <c r="BC207" s="1062">
        <f>'No Recurrentes 24-26'!CO65</f>
        <v>0</v>
      </c>
      <c r="BD207" s="1062">
        <f>'No Recurrentes 24-26'!CP65</f>
        <v>0</v>
      </c>
      <c r="BE207" s="1062">
        <f>'No Recurrentes 24-26'!CQ65</f>
        <v>0</v>
      </c>
      <c r="BF207" s="1062">
        <f>'No Recurrentes 24-26'!CR65</f>
        <v>0</v>
      </c>
      <c r="BG207" s="1062">
        <f>'No Recurrentes 24-26'!CS65</f>
        <v>0</v>
      </c>
      <c r="BH207" s="1062">
        <f>'No Recurrentes 24-26'!CT65</f>
        <v>0</v>
      </c>
      <c r="BI207" s="1062">
        <f>'No Recurrentes 24-26'!CU65</f>
        <v>0</v>
      </c>
      <c r="BJ207" s="1062">
        <f>'No Recurrentes 24-26'!CV65</f>
        <v>0</v>
      </c>
      <c r="BK207" s="1068"/>
      <c r="BL207" s="1062">
        <f>'No Recurrentes 24-26'!CW65</f>
        <v>0</v>
      </c>
      <c r="BM207" s="1062">
        <f>'No Recurrentes 24-26'!CX65</f>
        <v>0</v>
      </c>
      <c r="BN207" s="1062">
        <f>'No Recurrentes 24-26'!CY65</f>
        <v>0</v>
      </c>
      <c r="BO207" s="1062">
        <f>'No Recurrentes 24-26'!CZ65</f>
        <v>0</v>
      </c>
      <c r="BP207" s="1062">
        <f>'No Recurrentes 24-26'!DA65</f>
        <v>0</v>
      </c>
      <c r="BQ207" s="1062">
        <f>'No Recurrentes 24-26'!DB65</f>
        <v>0</v>
      </c>
      <c r="BR207" s="1062">
        <f>'No Recurrentes 24-26'!DC65</f>
        <v>0</v>
      </c>
      <c r="BS207" s="1062">
        <f>'No Recurrentes 24-26'!DD65</f>
        <v>0</v>
      </c>
      <c r="BT207" s="1062">
        <f>'No Recurrentes 24-26'!DE65</f>
        <v>0</v>
      </c>
      <c r="BU207" s="1062">
        <f>'No Recurrentes 24-26'!DF65</f>
        <v>0</v>
      </c>
      <c r="BV207" s="1062">
        <f>'No Recurrentes 24-26'!DG65</f>
        <v>0</v>
      </c>
      <c r="BW207" s="1068"/>
      <c r="BX207" s="1062">
        <f>'No Recurrentes 24-26'!DH65</f>
        <v>0</v>
      </c>
      <c r="BY207" s="1062">
        <f>'No Recurrentes 24-26'!DI65</f>
        <v>6.1248</v>
      </c>
      <c r="BZ207" s="1062">
        <f>'No Recurrentes 24-26'!DJ65</f>
        <v>0</v>
      </c>
      <c r="CA207" s="1062">
        <f>'No Recurrentes 24-26'!DK65</f>
        <v>6.1248</v>
      </c>
      <c r="CB207" s="1062">
        <f>'No Recurrentes 24-26'!DL65</f>
        <v>4.5936</v>
      </c>
      <c r="CC207" s="1062">
        <f>'No Recurrentes 24-26'!DM65</f>
        <v>0</v>
      </c>
      <c r="CD207" s="1062">
        <f>'No Recurrentes 24-26'!DN65</f>
        <v>0</v>
      </c>
      <c r="CE207" s="1062">
        <f>'No Recurrentes 24-26'!DO65</f>
        <v>0</v>
      </c>
      <c r="CF207" s="1062">
        <f>'No Recurrentes 24-26'!DP65</f>
        <v>0</v>
      </c>
      <c r="CG207" s="1062">
        <f>'No Recurrentes 24-26'!DQ65</f>
        <v>0</v>
      </c>
      <c r="CH207" s="1062">
        <f>'No Recurrentes 24-26'!DR65</f>
        <v>0</v>
      </c>
      <c r="CI207" s="1068"/>
      <c r="CJ207" s="1062">
        <f>'No Recurrentes 24-26'!DS65</f>
        <v>16.8432</v>
      </c>
      <c r="CK207" s="1062">
        <f>'No Recurrentes 24-26'!DT65</f>
        <v>16.8432</v>
      </c>
      <c r="CL207" s="1064" t="str">
        <f>'No Recurrentes 24-26'!DU65</f>
        <v/>
      </c>
      <c r="CM207" s="1064" t="str">
        <f>'No Recurrentes 24-26'!DV65</f>
        <v>Observaciones en la descripcion: SHR ISO 4762- 8.8 M 4X 10  GVZ  ZYL-SHR, GALV.VERZINKT</v>
      </c>
      <c r="CN207" s="1065">
        <f>'No Recurrentes 24-26'!EI65</f>
        <v>0.11</v>
      </c>
      <c r="CO207" s="1065">
        <f>'No Recurrentes 24-26'!EJ65</f>
        <v>0.09</v>
      </c>
      <c r="CP207" s="1060" t="str">
        <f>'No Recurrentes 24-26'!EK65</f>
        <v/>
      </c>
    </row>
    <row r="208">
      <c r="A208" s="451" t="str">
        <f>'No Recurrentes 24-26'!A66</f>
        <v>Repuestos Electromecánicos no recurrentes</v>
      </c>
      <c r="B208" s="451">
        <f>'No Recurrentes 24-26'!B66</f>
        <v>2</v>
      </c>
      <c r="C208" s="451" t="str">
        <f>'No Recurrentes 24-26'!C66</f>
        <v>Estación</v>
      </c>
      <c r="D208" s="451" t="str">
        <f>'No Recurrentes 24-26'!D66</f>
        <v>Mantenimiento de Embragues</v>
      </c>
      <c r="E208" s="451" t="str">
        <f>'No Recurrentes 24-26'!E66</f>
        <v>Repuesto Mecánico</v>
      </c>
      <c r="F208" s="451" t="str">
        <f>'No Recurrentes 24-26'!F66</f>
        <v>TDB</v>
      </c>
      <c r="G208" s="1025" t="str">
        <f>'No Recurrentes 24-26'!G66</f>
        <v>39800</v>
      </c>
      <c r="H208" s="1061" t="str">
        <f>'No Recurrentes 24-26'!H66</f>
        <v/>
      </c>
      <c r="I208" s="1061" t="str">
        <f>'No Recurrentes 24-26'!I66</f>
        <v>10001177</v>
      </c>
      <c r="J208" s="1061" t="str">
        <f>'No Recurrentes 24-26'!J66</f>
        <v>SHR ISO 4762- 8.8 M 5X 12  GVZ  ZYL-SHR, GALV.VERZINKT</v>
      </c>
      <c r="K208" s="451" t="str">
        <f>'No Recurrentes 24-26'!K66</f>
        <v>Pza</v>
      </c>
      <c r="L208" s="451" t="str">
        <f>'No Recurrentes 24-26'!BC66</f>
        <v/>
      </c>
      <c r="M208" s="451" t="str">
        <f>'No Recurrentes 24-26'!BD66</f>
        <v/>
      </c>
      <c r="N208" s="451" t="str">
        <f>'No Recurrentes 24-26'!BE66</f>
        <v/>
      </c>
      <c r="O208" s="451" t="str">
        <f>'No Recurrentes 24-26'!BF66</f>
        <v/>
      </c>
      <c r="P208" s="451" t="str">
        <f>'No Recurrentes 24-26'!BG66</f>
        <v/>
      </c>
      <c r="Q208" s="451" t="str">
        <f>'No Recurrentes 24-26'!BH66</f>
        <v/>
      </c>
      <c r="R208" s="451" t="str">
        <f>'No Recurrentes 24-26'!BI66</f>
        <v/>
      </c>
      <c r="S208" s="451" t="str">
        <f>'No Recurrentes 24-26'!BJ66</f>
        <v/>
      </c>
      <c r="T208" s="451" t="str">
        <f>'No Recurrentes 24-26'!BK66</f>
        <v/>
      </c>
      <c r="U208" s="451" t="str">
        <f>'No Recurrentes 24-26'!BL66</f>
        <v/>
      </c>
      <c r="V208" s="1068"/>
      <c r="W208" s="1062">
        <f>'No Recurrentes 24-26'!BM66</f>
        <v>0</v>
      </c>
      <c r="X208" s="1062" t="str">
        <f>'No Recurrentes 24-26'!BN66</f>
        <v/>
      </c>
      <c r="Y208" s="1062" t="str">
        <f>'No Recurrentes 24-26'!BO66</f>
        <v/>
      </c>
      <c r="Z208" s="1062" t="str">
        <f>'No Recurrentes 24-26'!BP66</f>
        <v/>
      </c>
      <c r="AA208" s="1062" t="str">
        <f>'No Recurrentes 24-26'!BQ66</f>
        <v/>
      </c>
      <c r="AB208" s="1062" t="str">
        <f>'No Recurrentes 24-26'!BR66</f>
        <v/>
      </c>
      <c r="AC208" s="1062" t="str">
        <f>'No Recurrentes 24-26'!BS66</f>
        <v/>
      </c>
      <c r="AD208" s="1062" t="str">
        <f>'No Recurrentes 24-26'!BT66</f>
        <v/>
      </c>
      <c r="AE208" s="1062" t="str">
        <f>'No Recurrentes 24-26'!BU66</f>
        <v/>
      </c>
      <c r="AF208" s="1062" t="str">
        <f>'No Recurrentes 24-26'!BV66</f>
        <v/>
      </c>
      <c r="AG208" s="1062" t="str">
        <f>'No Recurrentes 24-26'!BW66</f>
        <v/>
      </c>
      <c r="AH208" s="1068"/>
      <c r="AI208" s="1062">
        <f>'No Recurrentes 24-26'!BX66</f>
        <v>0</v>
      </c>
      <c r="AJ208" s="1062" t="str">
        <f>'No Recurrentes 24-26'!BY66</f>
        <v/>
      </c>
      <c r="AK208" s="1062" t="str">
        <f>'No Recurrentes 24-26'!BZ66</f>
        <v/>
      </c>
      <c r="AL208" s="1062" t="str">
        <f>'No Recurrentes 24-26'!CA66</f>
        <v/>
      </c>
      <c r="AM208" s="1062">
        <f>'No Recurrentes 24-26'!CB66</f>
        <v>6</v>
      </c>
      <c r="AN208" s="1062">
        <f>'No Recurrentes 24-26'!CC66</f>
        <v>6</v>
      </c>
      <c r="AO208" s="1062">
        <f>'No Recurrentes 24-26'!CD66</f>
        <v>6</v>
      </c>
      <c r="AP208" s="1062" t="str">
        <f>'No Recurrentes 24-26'!CE66</f>
        <v/>
      </c>
      <c r="AQ208" s="1062" t="str">
        <f>'No Recurrentes 24-26'!CF66</f>
        <v/>
      </c>
      <c r="AR208" s="1062" t="str">
        <f>'No Recurrentes 24-26'!CG66</f>
        <v/>
      </c>
      <c r="AS208" s="1062" t="str">
        <f>'No Recurrentes 24-26'!CH66</f>
        <v/>
      </c>
      <c r="AT208" s="1068"/>
      <c r="AU208" s="1062">
        <f>'No Recurrentes 24-26'!CI66</f>
        <v>18</v>
      </c>
      <c r="AV208" s="1063">
        <f>'No Recurrentes 24-26'!CJ66</f>
        <v>18</v>
      </c>
      <c r="AW208" s="1068"/>
      <c r="AX208" s="1065">
        <f>'No Recurrentes 24-26'!CK66</f>
        <v>0.11</v>
      </c>
      <c r="AY208" s="1062">
        <f>'No Recurrentes 24-26'!CL66</f>
        <v>0.7656</v>
      </c>
      <c r="AZ208" s="1068"/>
      <c r="BA208" s="1062">
        <f>'No Recurrentes 24-26'!CM66</f>
        <v>0</v>
      </c>
      <c r="BB208" s="1062">
        <f>'No Recurrentes 24-26'!CN66</f>
        <v>0</v>
      </c>
      <c r="BC208" s="1062">
        <f>'No Recurrentes 24-26'!CO66</f>
        <v>0</v>
      </c>
      <c r="BD208" s="1062">
        <f>'No Recurrentes 24-26'!CP66</f>
        <v>0</v>
      </c>
      <c r="BE208" s="1062">
        <f>'No Recurrentes 24-26'!CQ66</f>
        <v>0</v>
      </c>
      <c r="BF208" s="1062">
        <f>'No Recurrentes 24-26'!CR66</f>
        <v>0</v>
      </c>
      <c r="BG208" s="1062">
        <f>'No Recurrentes 24-26'!CS66</f>
        <v>0</v>
      </c>
      <c r="BH208" s="1062">
        <f>'No Recurrentes 24-26'!CT66</f>
        <v>0</v>
      </c>
      <c r="BI208" s="1062">
        <f>'No Recurrentes 24-26'!CU66</f>
        <v>0</v>
      </c>
      <c r="BJ208" s="1062">
        <f>'No Recurrentes 24-26'!CV66</f>
        <v>0</v>
      </c>
      <c r="BK208" s="1068"/>
      <c r="BL208" s="1062">
        <f>'No Recurrentes 24-26'!CW66</f>
        <v>0</v>
      </c>
      <c r="BM208" s="1062">
        <f>'No Recurrentes 24-26'!CX66</f>
        <v>0</v>
      </c>
      <c r="BN208" s="1062">
        <f>'No Recurrentes 24-26'!CY66</f>
        <v>0</v>
      </c>
      <c r="BO208" s="1062">
        <f>'No Recurrentes 24-26'!CZ66</f>
        <v>0</v>
      </c>
      <c r="BP208" s="1062">
        <f>'No Recurrentes 24-26'!DA66</f>
        <v>0</v>
      </c>
      <c r="BQ208" s="1062">
        <f>'No Recurrentes 24-26'!DB66</f>
        <v>0</v>
      </c>
      <c r="BR208" s="1062">
        <f>'No Recurrentes 24-26'!DC66</f>
        <v>0</v>
      </c>
      <c r="BS208" s="1062">
        <f>'No Recurrentes 24-26'!DD66</f>
        <v>0</v>
      </c>
      <c r="BT208" s="1062">
        <f>'No Recurrentes 24-26'!DE66</f>
        <v>0</v>
      </c>
      <c r="BU208" s="1062">
        <f>'No Recurrentes 24-26'!DF66</f>
        <v>0</v>
      </c>
      <c r="BV208" s="1062">
        <f>'No Recurrentes 24-26'!DG66</f>
        <v>0</v>
      </c>
      <c r="BW208" s="1068"/>
      <c r="BX208" s="1062">
        <f>'No Recurrentes 24-26'!DH66</f>
        <v>0</v>
      </c>
      <c r="BY208" s="1062">
        <f>'No Recurrentes 24-26'!DI66</f>
        <v>0</v>
      </c>
      <c r="BZ208" s="1062">
        <f>'No Recurrentes 24-26'!DJ66</f>
        <v>0</v>
      </c>
      <c r="CA208" s="1062">
        <f>'No Recurrentes 24-26'!DK66</f>
        <v>0</v>
      </c>
      <c r="CB208" s="1062">
        <f>'No Recurrentes 24-26'!DL66</f>
        <v>4.5936</v>
      </c>
      <c r="CC208" s="1062">
        <f>'No Recurrentes 24-26'!DM66</f>
        <v>4.5936</v>
      </c>
      <c r="CD208" s="1062">
        <f>'No Recurrentes 24-26'!DN66</f>
        <v>4.5936</v>
      </c>
      <c r="CE208" s="1062">
        <f>'No Recurrentes 24-26'!DO66</f>
        <v>0</v>
      </c>
      <c r="CF208" s="1062">
        <f>'No Recurrentes 24-26'!DP66</f>
        <v>0</v>
      </c>
      <c r="CG208" s="1062">
        <f>'No Recurrentes 24-26'!DQ66</f>
        <v>0</v>
      </c>
      <c r="CH208" s="1062">
        <f>'No Recurrentes 24-26'!DR66</f>
        <v>0</v>
      </c>
      <c r="CI208" s="1068"/>
      <c r="CJ208" s="1062">
        <f>'No Recurrentes 24-26'!DS66</f>
        <v>13.7808</v>
      </c>
      <c r="CK208" s="1062">
        <f>'No Recurrentes 24-26'!DT66</f>
        <v>13.7808</v>
      </c>
      <c r="CL208" s="1064" t="str">
        <f>'No Recurrentes 24-26'!DU66</f>
        <v/>
      </c>
      <c r="CM208" s="1064" t="str">
        <f>'No Recurrentes 24-26'!DV66</f>
        <v/>
      </c>
      <c r="CN208" s="1065">
        <f>'No Recurrentes 24-26'!EI66</f>
        <v>0.11</v>
      </c>
      <c r="CO208" s="1065">
        <f>'No Recurrentes 24-26'!EJ66</f>
        <v>0.09</v>
      </c>
      <c r="CP208" s="1060" t="str">
        <f>'No Recurrentes 24-26'!EK66</f>
        <v/>
      </c>
    </row>
    <row r="209">
      <c r="A209" s="451" t="str">
        <f>'No Recurrentes 24-26'!A67</f>
        <v>Repuestos Electromecánicos no recurrentes</v>
      </c>
      <c r="B209" s="451">
        <f>'No Recurrentes 24-26'!B67</f>
        <v>2</v>
      </c>
      <c r="C209" s="451" t="str">
        <f>'No Recurrentes 24-26'!C67</f>
        <v>Estación</v>
      </c>
      <c r="D209" s="451" t="str">
        <f>'No Recurrentes 24-26'!D67</f>
        <v>Mantenimiento de Embragues</v>
      </c>
      <c r="E209" s="451" t="str">
        <f>'No Recurrentes 24-26'!E67</f>
        <v>Repuesto Mecánico</v>
      </c>
      <c r="F209" s="451" t="str">
        <f>'No Recurrentes 24-26'!F67</f>
        <v>TDB</v>
      </c>
      <c r="G209" s="1025" t="str">
        <f>'No Recurrentes 24-26'!G67</f>
        <v>39800</v>
      </c>
      <c r="H209" s="1061" t="str">
        <f>'No Recurrentes 24-26'!H67</f>
        <v/>
      </c>
      <c r="I209" s="1061" t="str">
        <f>'No Recurrentes 24-26'!I67</f>
        <v>10001175</v>
      </c>
      <c r="J209" s="1061" t="str">
        <f>'No Recurrentes 24-26'!J67</f>
        <v>TORNILLO ISO 4762- 8.8 M 5X 10 DE CABEZA CILINDRICA, GALVAN.</v>
      </c>
      <c r="K209" s="451" t="str">
        <f>'No Recurrentes 24-26'!K67</f>
        <v>Pza</v>
      </c>
      <c r="L209" s="451" t="str">
        <f>'No Recurrentes 24-26'!BC67</f>
        <v/>
      </c>
      <c r="M209" s="451" t="str">
        <f>'No Recurrentes 24-26'!BD67</f>
        <v/>
      </c>
      <c r="N209" s="451" t="str">
        <f>'No Recurrentes 24-26'!BE67</f>
        <v/>
      </c>
      <c r="O209" s="451" t="str">
        <f>'No Recurrentes 24-26'!BF67</f>
        <v/>
      </c>
      <c r="P209" s="451" t="str">
        <f>'No Recurrentes 24-26'!BG67</f>
        <v/>
      </c>
      <c r="Q209" s="451" t="str">
        <f>'No Recurrentes 24-26'!BH67</f>
        <v/>
      </c>
      <c r="R209" s="451" t="str">
        <f>'No Recurrentes 24-26'!BI67</f>
        <v/>
      </c>
      <c r="S209" s="451" t="str">
        <f>'No Recurrentes 24-26'!BJ67</f>
        <v/>
      </c>
      <c r="T209" s="451" t="str">
        <f>'No Recurrentes 24-26'!BK67</f>
        <v/>
      </c>
      <c r="U209" s="451" t="str">
        <f>'No Recurrentes 24-26'!BL67</f>
        <v/>
      </c>
      <c r="V209" s="1068"/>
      <c r="W209" s="1062">
        <f>'No Recurrentes 24-26'!BM67</f>
        <v>0</v>
      </c>
      <c r="X209" s="1062" t="str">
        <f>'No Recurrentes 24-26'!BN67</f>
        <v/>
      </c>
      <c r="Y209" s="1062" t="str">
        <f>'No Recurrentes 24-26'!BO67</f>
        <v/>
      </c>
      <c r="Z209" s="1062" t="str">
        <f>'No Recurrentes 24-26'!BP67</f>
        <v/>
      </c>
      <c r="AA209" s="1062" t="str">
        <f>'No Recurrentes 24-26'!BQ67</f>
        <v/>
      </c>
      <c r="AB209" s="1062" t="str">
        <f>'No Recurrentes 24-26'!BR67</f>
        <v/>
      </c>
      <c r="AC209" s="1062" t="str">
        <f>'No Recurrentes 24-26'!BS67</f>
        <v/>
      </c>
      <c r="AD209" s="1062" t="str">
        <f>'No Recurrentes 24-26'!BT67</f>
        <v/>
      </c>
      <c r="AE209" s="1062" t="str">
        <f>'No Recurrentes 24-26'!BU67</f>
        <v/>
      </c>
      <c r="AF209" s="1062" t="str">
        <f>'No Recurrentes 24-26'!BV67</f>
        <v/>
      </c>
      <c r="AG209" s="1062" t="str">
        <f>'No Recurrentes 24-26'!BW67</f>
        <v/>
      </c>
      <c r="AH209" s="1068"/>
      <c r="AI209" s="1062">
        <f>'No Recurrentes 24-26'!BX67</f>
        <v>0</v>
      </c>
      <c r="AJ209" s="1062" t="str">
        <f>'No Recurrentes 24-26'!BY67</f>
        <v/>
      </c>
      <c r="AK209" s="1062" t="str">
        <f>'No Recurrentes 24-26'!BZ67</f>
        <v/>
      </c>
      <c r="AL209" s="1062" t="str">
        <f>'No Recurrentes 24-26'!CA67</f>
        <v/>
      </c>
      <c r="AM209" s="1062">
        <f>'No Recurrentes 24-26'!CB67</f>
        <v>6</v>
      </c>
      <c r="AN209" s="1062">
        <f>'No Recurrentes 24-26'!CC67</f>
        <v>6</v>
      </c>
      <c r="AO209" s="1062">
        <f>'No Recurrentes 24-26'!CD67</f>
        <v>6</v>
      </c>
      <c r="AP209" s="1062" t="str">
        <f>'No Recurrentes 24-26'!CE67</f>
        <v/>
      </c>
      <c r="AQ209" s="1062" t="str">
        <f>'No Recurrentes 24-26'!CF67</f>
        <v/>
      </c>
      <c r="AR209" s="1062" t="str">
        <f>'No Recurrentes 24-26'!CG67</f>
        <v/>
      </c>
      <c r="AS209" s="1062" t="str">
        <f>'No Recurrentes 24-26'!CH67</f>
        <v/>
      </c>
      <c r="AT209" s="1068"/>
      <c r="AU209" s="1062">
        <f>'No Recurrentes 24-26'!CI67</f>
        <v>18</v>
      </c>
      <c r="AV209" s="1063">
        <f>'No Recurrentes 24-26'!CJ67</f>
        <v>18</v>
      </c>
      <c r="AW209" s="1068"/>
      <c r="AX209" s="1065">
        <f>'No Recurrentes 24-26'!CK67</f>
        <v>0.08</v>
      </c>
      <c r="AY209" s="1062">
        <f>'No Recurrentes 24-26'!CL67</f>
        <v>0.5568</v>
      </c>
      <c r="AZ209" s="1068"/>
      <c r="BA209" s="1062">
        <f>'No Recurrentes 24-26'!CM67</f>
        <v>0</v>
      </c>
      <c r="BB209" s="1062">
        <f>'No Recurrentes 24-26'!CN67</f>
        <v>0</v>
      </c>
      <c r="BC209" s="1062">
        <f>'No Recurrentes 24-26'!CO67</f>
        <v>0</v>
      </c>
      <c r="BD209" s="1062">
        <f>'No Recurrentes 24-26'!CP67</f>
        <v>0</v>
      </c>
      <c r="BE209" s="1062">
        <f>'No Recurrentes 24-26'!CQ67</f>
        <v>0</v>
      </c>
      <c r="BF209" s="1062">
        <f>'No Recurrentes 24-26'!CR67</f>
        <v>0</v>
      </c>
      <c r="BG209" s="1062">
        <f>'No Recurrentes 24-26'!CS67</f>
        <v>0</v>
      </c>
      <c r="BH209" s="1062">
        <f>'No Recurrentes 24-26'!CT67</f>
        <v>0</v>
      </c>
      <c r="BI209" s="1062">
        <f>'No Recurrentes 24-26'!CU67</f>
        <v>0</v>
      </c>
      <c r="BJ209" s="1062">
        <f>'No Recurrentes 24-26'!CV67</f>
        <v>0</v>
      </c>
      <c r="BK209" s="1068"/>
      <c r="BL209" s="1062">
        <f>'No Recurrentes 24-26'!CW67</f>
        <v>0</v>
      </c>
      <c r="BM209" s="1062">
        <f>'No Recurrentes 24-26'!CX67</f>
        <v>0</v>
      </c>
      <c r="BN209" s="1062">
        <f>'No Recurrentes 24-26'!CY67</f>
        <v>0</v>
      </c>
      <c r="BO209" s="1062">
        <f>'No Recurrentes 24-26'!CZ67</f>
        <v>0</v>
      </c>
      <c r="BP209" s="1062">
        <f>'No Recurrentes 24-26'!DA67</f>
        <v>0</v>
      </c>
      <c r="BQ209" s="1062">
        <f>'No Recurrentes 24-26'!DB67</f>
        <v>0</v>
      </c>
      <c r="BR209" s="1062">
        <f>'No Recurrentes 24-26'!DC67</f>
        <v>0</v>
      </c>
      <c r="BS209" s="1062">
        <f>'No Recurrentes 24-26'!DD67</f>
        <v>0</v>
      </c>
      <c r="BT209" s="1062">
        <f>'No Recurrentes 24-26'!DE67</f>
        <v>0</v>
      </c>
      <c r="BU209" s="1062">
        <f>'No Recurrentes 24-26'!DF67</f>
        <v>0</v>
      </c>
      <c r="BV209" s="1062">
        <f>'No Recurrentes 24-26'!DG67</f>
        <v>0</v>
      </c>
      <c r="BW209" s="1068"/>
      <c r="BX209" s="1062">
        <f>'No Recurrentes 24-26'!DH67</f>
        <v>0</v>
      </c>
      <c r="BY209" s="1062">
        <f>'No Recurrentes 24-26'!DI67</f>
        <v>0</v>
      </c>
      <c r="BZ209" s="1062">
        <f>'No Recurrentes 24-26'!DJ67</f>
        <v>0</v>
      </c>
      <c r="CA209" s="1062">
        <f>'No Recurrentes 24-26'!DK67</f>
        <v>0</v>
      </c>
      <c r="CB209" s="1062">
        <f>'No Recurrentes 24-26'!DL67</f>
        <v>3.3408</v>
      </c>
      <c r="CC209" s="1062">
        <f>'No Recurrentes 24-26'!DM67</f>
        <v>3.3408</v>
      </c>
      <c r="CD209" s="1062">
        <f>'No Recurrentes 24-26'!DN67</f>
        <v>3.3408</v>
      </c>
      <c r="CE209" s="1062">
        <f>'No Recurrentes 24-26'!DO67</f>
        <v>0</v>
      </c>
      <c r="CF209" s="1062">
        <f>'No Recurrentes 24-26'!DP67</f>
        <v>0</v>
      </c>
      <c r="CG209" s="1062">
        <f>'No Recurrentes 24-26'!DQ67</f>
        <v>0</v>
      </c>
      <c r="CH209" s="1062">
        <f>'No Recurrentes 24-26'!DR67</f>
        <v>0</v>
      </c>
      <c r="CI209" s="1068"/>
      <c r="CJ209" s="1062">
        <f>'No Recurrentes 24-26'!DS67</f>
        <v>10.0224</v>
      </c>
      <c r="CK209" s="1062">
        <f>'No Recurrentes 24-26'!DT67</f>
        <v>10.0224</v>
      </c>
      <c r="CL209" s="1064" t="str">
        <f>'No Recurrentes 24-26'!DU67</f>
        <v/>
      </c>
      <c r="CM209" s="1064" t="str">
        <f>'No Recurrentes 24-26'!DV67</f>
        <v/>
      </c>
      <c r="CN209" s="1065">
        <f>'No Recurrentes 24-26'!EI67</f>
        <v>0.08</v>
      </c>
      <c r="CO209" s="1065">
        <f>'No Recurrentes 24-26'!EJ67</f>
        <v>0.07</v>
      </c>
      <c r="CP209" s="1060" t="str">
        <f>'No Recurrentes 24-26'!EK67</f>
        <v/>
      </c>
    </row>
    <row r="210">
      <c r="A210" s="451" t="str">
        <f>'No Recurrentes 24-26'!A68</f>
        <v>Repuestos Electromecánicos no recurrentes</v>
      </c>
      <c r="B210" s="451" t="str">
        <f>'No Recurrentes 24-26'!B68</f>
        <v/>
      </c>
      <c r="C210" s="451" t="str">
        <f>'No Recurrentes 24-26'!C68</f>
        <v>Estación</v>
      </c>
      <c r="D210" s="451" t="str">
        <f>'No Recurrentes 24-26'!D68</f>
        <v>Mantenimiento de Embragues</v>
      </c>
      <c r="E210" s="451" t="str">
        <f>'No Recurrentes 24-26'!E68</f>
        <v>Repuesto Mecánico</v>
      </c>
      <c r="F210" s="451" t="str">
        <f>'No Recurrentes 24-26'!F68</f>
        <v>TDB</v>
      </c>
      <c r="G210" s="1061" t="str">
        <f>'No Recurrentes 24-26'!G68</f>
        <v>39800</v>
      </c>
      <c r="H210" s="1061" t="str">
        <f>'No Recurrentes 24-26'!H68</f>
        <v>2-01-00934</v>
      </c>
      <c r="I210" s="1061">
        <f>'No Recurrentes 24-26'!I68</f>
        <v>10966162</v>
      </c>
      <c r="J210" s="1061" t="str">
        <f>'No Recurrentes 24-26'!J68</f>
        <v>MANGUERA AP AN10-2SC L=1400MM     DKOL-12/DKOL-12</v>
      </c>
      <c r="K210" s="451" t="str">
        <f>'No Recurrentes 24-26'!K68</f>
        <v>Pza</v>
      </c>
      <c r="L210" s="451" t="str">
        <f>'No Recurrentes 24-26'!BC68</f>
        <v/>
      </c>
      <c r="M210" s="451" t="str">
        <f>'No Recurrentes 24-26'!BD68</f>
        <v/>
      </c>
      <c r="N210" s="451" t="str">
        <f>'No Recurrentes 24-26'!BE68</f>
        <v/>
      </c>
      <c r="O210" s="451" t="str">
        <f>'No Recurrentes 24-26'!BF68</f>
        <v/>
      </c>
      <c r="P210" s="451" t="str">
        <f>'No Recurrentes 24-26'!BG68</f>
        <v/>
      </c>
      <c r="Q210" s="451" t="str">
        <f>'No Recurrentes 24-26'!BH68</f>
        <v/>
      </c>
      <c r="R210" s="451" t="str">
        <f>'No Recurrentes 24-26'!BI68</f>
        <v/>
      </c>
      <c r="S210" s="451" t="str">
        <f>'No Recurrentes 24-26'!BJ68</f>
        <v/>
      </c>
      <c r="T210" s="451" t="str">
        <f>'No Recurrentes 24-26'!BK68</f>
        <v/>
      </c>
      <c r="U210" s="451" t="str">
        <f>'No Recurrentes 24-26'!BL68</f>
        <v/>
      </c>
      <c r="V210" s="1068"/>
      <c r="W210" s="1062">
        <f>'No Recurrentes 24-26'!BM68</f>
        <v>0</v>
      </c>
      <c r="X210" s="1062" t="str">
        <f>'No Recurrentes 24-26'!BN68</f>
        <v/>
      </c>
      <c r="Y210" s="1062" t="str">
        <f>'No Recurrentes 24-26'!BO68</f>
        <v/>
      </c>
      <c r="Z210" s="1062" t="str">
        <f>'No Recurrentes 24-26'!BP68</f>
        <v/>
      </c>
      <c r="AA210" s="1062" t="str">
        <f>'No Recurrentes 24-26'!BQ68</f>
        <v/>
      </c>
      <c r="AB210" s="1062" t="str">
        <f>'No Recurrentes 24-26'!BR68</f>
        <v/>
      </c>
      <c r="AC210" s="1062" t="str">
        <f>'No Recurrentes 24-26'!BS68</f>
        <v/>
      </c>
      <c r="AD210" s="1062" t="str">
        <f>'No Recurrentes 24-26'!BT68</f>
        <v/>
      </c>
      <c r="AE210" s="1062" t="str">
        <f>'No Recurrentes 24-26'!BU68</f>
        <v/>
      </c>
      <c r="AF210" s="1062" t="str">
        <f>'No Recurrentes 24-26'!BV68</f>
        <v/>
      </c>
      <c r="AG210" s="1062" t="str">
        <f>'No Recurrentes 24-26'!BW68</f>
        <v/>
      </c>
      <c r="AH210" s="1068"/>
      <c r="AI210" s="1062">
        <f>'No Recurrentes 24-26'!BX68</f>
        <v>0</v>
      </c>
      <c r="AJ210" s="1062">
        <f>'No Recurrentes 24-26'!BY68</f>
        <v>0</v>
      </c>
      <c r="AK210" s="1062">
        <f>'No Recurrentes 24-26'!BZ68</f>
        <v>0</v>
      </c>
      <c r="AL210" s="1062">
        <f>'No Recurrentes 24-26'!CA68</f>
        <v>0</v>
      </c>
      <c r="AM210" s="1062">
        <f>'No Recurrentes 24-26'!CB68</f>
        <v>0</v>
      </c>
      <c r="AN210" s="1062">
        <f>'No Recurrentes 24-26'!CC68</f>
        <v>0</v>
      </c>
      <c r="AO210" s="1062">
        <f>'No Recurrentes 24-26'!CD68</f>
        <v>0</v>
      </c>
      <c r="AP210" s="1062">
        <f>'No Recurrentes 24-26'!CE68</f>
        <v>0</v>
      </c>
      <c r="AQ210" s="1062">
        <f>'No Recurrentes 24-26'!CF68</f>
        <v>0</v>
      </c>
      <c r="AR210" s="1062">
        <f>'No Recurrentes 24-26'!CG68</f>
        <v>0</v>
      </c>
      <c r="AS210" s="1062">
        <f>'No Recurrentes 24-26'!CH68</f>
        <v>0</v>
      </c>
      <c r="AT210" s="1068"/>
      <c r="AU210" s="1062">
        <f>'No Recurrentes 24-26'!CI68</f>
        <v>0</v>
      </c>
      <c r="AV210" s="1063">
        <f>'No Recurrentes 24-26'!CJ68</f>
        <v>0</v>
      </c>
      <c r="AW210" s="1068"/>
      <c r="AX210" s="1062">
        <f>'No Recurrentes 24-26'!CK68</f>
        <v>100.26</v>
      </c>
      <c r="AY210" s="1062">
        <f>'No Recurrentes 24-26'!CL68</f>
        <v>698.8122</v>
      </c>
      <c r="AZ210" s="1068"/>
      <c r="BA210" s="1062">
        <f>'No Recurrentes 24-26'!CM68</f>
        <v>0</v>
      </c>
      <c r="BB210" s="1062">
        <f>'No Recurrentes 24-26'!CN68</f>
        <v>0</v>
      </c>
      <c r="BC210" s="1062">
        <f>'No Recurrentes 24-26'!CO68</f>
        <v>0</v>
      </c>
      <c r="BD210" s="1062">
        <f>'No Recurrentes 24-26'!CP68</f>
        <v>0</v>
      </c>
      <c r="BE210" s="1062">
        <f>'No Recurrentes 24-26'!CQ68</f>
        <v>0</v>
      </c>
      <c r="BF210" s="1062">
        <f>'No Recurrentes 24-26'!CR68</f>
        <v>0</v>
      </c>
      <c r="BG210" s="1062">
        <f>'No Recurrentes 24-26'!CS68</f>
        <v>0</v>
      </c>
      <c r="BH210" s="1062">
        <f>'No Recurrentes 24-26'!CT68</f>
        <v>0</v>
      </c>
      <c r="BI210" s="1062">
        <f>'No Recurrentes 24-26'!CU68</f>
        <v>0</v>
      </c>
      <c r="BJ210" s="1062">
        <f>'No Recurrentes 24-26'!CV68</f>
        <v>0</v>
      </c>
      <c r="BK210" s="1068"/>
      <c r="BL210" s="1062">
        <f>'No Recurrentes 24-26'!CW68</f>
        <v>0</v>
      </c>
      <c r="BM210" s="1062">
        <f>'No Recurrentes 24-26'!CX68</f>
        <v>0</v>
      </c>
      <c r="BN210" s="1062">
        <f>'No Recurrentes 24-26'!CY68</f>
        <v>0</v>
      </c>
      <c r="BO210" s="1062">
        <f>'No Recurrentes 24-26'!CZ68</f>
        <v>0</v>
      </c>
      <c r="BP210" s="1062">
        <f>'No Recurrentes 24-26'!DA68</f>
        <v>0</v>
      </c>
      <c r="BQ210" s="1062">
        <f>'No Recurrentes 24-26'!DB68</f>
        <v>0</v>
      </c>
      <c r="BR210" s="1062">
        <f>'No Recurrentes 24-26'!DC68</f>
        <v>0</v>
      </c>
      <c r="BS210" s="1062">
        <f>'No Recurrentes 24-26'!DD68</f>
        <v>0</v>
      </c>
      <c r="BT210" s="1062">
        <f>'No Recurrentes 24-26'!DE68</f>
        <v>0</v>
      </c>
      <c r="BU210" s="1062">
        <f>'No Recurrentes 24-26'!DF68</f>
        <v>0</v>
      </c>
      <c r="BV210" s="1062">
        <f>'No Recurrentes 24-26'!DG68</f>
        <v>0</v>
      </c>
      <c r="BW210" s="1068"/>
      <c r="BX210" s="1062">
        <f>'No Recurrentes 24-26'!DH68</f>
        <v>0</v>
      </c>
      <c r="BY210" s="1062">
        <f>'No Recurrentes 24-26'!DI68</f>
        <v>0</v>
      </c>
      <c r="BZ210" s="1062">
        <f>'No Recurrentes 24-26'!DJ68</f>
        <v>0</v>
      </c>
      <c r="CA210" s="1062">
        <f>'No Recurrentes 24-26'!DK68</f>
        <v>0</v>
      </c>
      <c r="CB210" s="1062">
        <f>'No Recurrentes 24-26'!DL68</f>
        <v>0</v>
      </c>
      <c r="CC210" s="1062">
        <f>'No Recurrentes 24-26'!DM68</f>
        <v>0</v>
      </c>
      <c r="CD210" s="1062">
        <f>'No Recurrentes 24-26'!DN68</f>
        <v>0</v>
      </c>
      <c r="CE210" s="1062">
        <f>'No Recurrentes 24-26'!DO68</f>
        <v>0</v>
      </c>
      <c r="CF210" s="1062">
        <f>'No Recurrentes 24-26'!DP68</f>
        <v>0</v>
      </c>
      <c r="CG210" s="1062">
        <f>'No Recurrentes 24-26'!DQ68</f>
        <v>0</v>
      </c>
      <c r="CH210" s="1062">
        <f>'No Recurrentes 24-26'!DR68</f>
        <v>0</v>
      </c>
      <c r="CI210" s="1068"/>
      <c r="CJ210" s="1062">
        <f>'No Recurrentes 24-26'!DS68</f>
        <v>0</v>
      </c>
      <c r="CK210" s="1062">
        <f>'No Recurrentes 24-26'!DT68</f>
        <v>0</v>
      </c>
      <c r="CL210" s="1064" t="str">
        <f>'No Recurrentes 24-26'!DU68</f>
        <v/>
      </c>
      <c r="CM210" s="1064" t="str">
        <f>'No Recurrentes 24-26'!DV68</f>
        <v>Se elimino en coordinaciòn don Diego Ramos, no corresponde a embrague</v>
      </c>
      <c r="CN210" s="1060">
        <f>'No Recurrentes 24-26'!EI68</f>
        <v>1</v>
      </c>
      <c r="CO210" s="1060" t="str">
        <f>'No Recurrentes 24-26'!EJ68</f>
        <v/>
      </c>
      <c r="CP210" s="1060" t="str">
        <f>'No Recurrentes 24-26'!EK68</f>
        <v/>
      </c>
    </row>
    <row r="211">
      <c r="A211" s="451" t="str">
        <f>'No Recurrentes 24-26'!A69</f>
        <v>Repuestos Electromecánicos no recurrentes</v>
      </c>
      <c r="B211" s="451" t="str">
        <f>'No Recurrentes 24-26'!B69</f>
        <v/>
      </c>
      <c r="C211" s="451" t="str">
        <f>'No Recurrentes 24-26'!C69</f>
        <v>Estación</v>
      </c>
      <c r="D211" s="451" t="str">
        <f>'No Recurrentes 24-26'!D69</f>
        <v>Mantenimiento de Embragues</v>
      </c>
      <c r="E211" s="451" t="str">
        <f>'No Recurrentes 24-26'!E69</f>
        <v>Repuesto Mecánico</v>
      </c>
      <c r="F211" s="451" t="str">
        <f>'No Recurrentes 24-26'!F69</f>
        <v>TDB</v>
      </c>
      <c r="G211" s="1061" t="str">
        <f>'No Recurrentes 24-26'!G69</f>
        <v>39800</v>
      </c>
      <c r="H211" s="1061" t="str">
        <f>'No Recurrentes 24-26'!H69</f>
        <v/>
      </c>
      <c r="I211" s="1061">
        <f>'No Recurrentes 24-26'!I69</f>
        <v>11651921</v>
      </c>
      <c r="J211" s="1061" t="str">
        <f>'No Recurrentes 24-26'!J69</f>
        <v>AcOPLAM.DE FRENO A353/B293 500NM-08</v>
      </c>
      <c r="K211" s="451" t="str">
        <f>'No Recurrentes 24-26'!K69</f>
        <v>Pza</v>
      </c>
      <c r="L211" s="451" t="str">
        <f>'No Recurrentes 24-26'!BC69</f>
        <v/>
      </c>
      <c r="M211" s="451" t="str">
        <f>'No Recurrentes 24-26'!BD69</f>
        <v/>
      </c>
      <c r="N211" s="451" t="str">
        <f>'No Recurrentes 24-26'!BE69</f>
        <v/>
      </c>
      <c r="O211" s="451" t="str">
        <f>'No Recurrentes 24-26'!BF69</f>
        <v/>
      </c>
      <c r="P211" s="451" t="str">
        <f>'No Recurrentes 24-26'!BG69</f>
        <v/>
      </c>
      <c r="Q211" s="451" t="str">
        <f>'No Recurrentes 24-26'!BH69</f>
        <v/>
      </c>
      <c r="R211" s="451" t="str">
        <f>'No Recurrentes 24-26'!BI69</f>
        <v/>
      </c>
      <c r="S211" s="451" t="str">
        <f>'No Recurrentes 24-26'!BJ69</f>
        <v/>
      </c>
      <c r="T211" s="451" t="str">
        <f>'No Recurrentes 24-26'!BK69</f>
        <v/>
      </c>
      <c r="U211" s="451" t="str">
        <f>'No Recurrentes 24-26'!BL69</f>
        <v/>
      </c>
      <c r="V211" s="1068"/>
      <c r="W211" s="1062">
        <f>'No Recurrentes 24-26'!BM69</f>
        <v>0</v>
      </c>
      <c r="X211" s="1062" t="str">
        <f>'No Recurrentes 24-26'!BN69</f>
        <v/>
      </c>
      <c r="Y211" s="1062" t="str">
        <f>'No Recurrentes 24-26'!BO69</f>
        <v/>
      </c>
      <c r="Z211" s="1062" t="str">
        <f>'No Recurrentes 24-26'!BP69</f>
        <v/>
      </c>
      <c r="AA211" s="1062" t="str">
        <f>'No Recurrentes 24-26'!BQ69</f>
        <v/>
      </c>
      <c r="AB211" s="1062" t="str">
        <f>'No Recurrentes 24-26'!BR69</f>
        <v/>
      </c>
      <c r="AC211" s="1062" t="str">
        <f>'No Recurrentes 24-26'!BS69</f>
        <v/>
      </c>
      <c r="AD211" s="1062" t="str">
        <f>'No Recurrentes 24-26'!BT69</f>
        <v/>
      </c>
      <c r="AE211" s="1062" t="str">
        <f>'No Recurrentes 24-26'!BU69</f>
        <v/>
      </c>
      <c r="AF211" s="1062" t="str">
        <f>'No Recurrentes 24-26'!BV69</f>
        <v/>
      </c>
      <c r="AG211" s="1062" t="str">
        <f>'No Recurrentes 24-26'!BW69</f>
        <v/>
      </c>
      <c r="AH211" s="1068"/>
      <c r="AI211" s="1062">
        <f>'No Recurrentes 24-26'!BX69</f>
        <v>0</v>
      </c>
      <c r="AJ211" s="1062">
        <f>'No Recurrentes 24-26'!BY69</f>
        <v>0</v>
      </c>
      <c r="AK211" s="1062">
        <f>'No Recurrentes 24-26'!BZ69</f>
        <v>0</v>
      </c>
      <c r="AL211" s="1062">
        <f>'No Recurrentes 24-26'!CA69</f>
        <v>0</v>
      </c>
      <c r="AM211" s="1062">
        <f>'No Recurrentes 24-26'!CB69</f>
        <v>0</v>
      </c>
      <c r="AN211" s="1062">
        <f>'No Recurrentes 24-26'!CC69</f>
        <v>0</v>
      </c>
      <c r="AO211" s="1062">
        <f>'No Recurrentes 24-26'!CD69</f>
        <v>0</v>
      </c>
      <c r="AP211" s="1062">
        <f>'No Recurrentes 24-26'!CE69</f>
        <v>0</v>
      </c>
      <c r="AQ211" s="1062">
        <f>'No Recurrentes 24-26'!CF69</f>
        <v>0</v>
      </c>
      <c r="AR211" s="1062">
        <f>'No Recurrentes 24-26'!CG69</f>
        <v>0</v>
      </c>
      <c r="AS211" s="1062">
        <f>'No Recurrentes 24-26'!CH69</f>
        <v>0</v>
      </c>
      <c r="AT211" s="1068"/>
      <c r="AU211" s="1062">
        <f>'No Recurrentes 24-26'!CI69</f>
        <v>0</v>
      </c>
      <c r="AV211" s="1063">
        <f>'No Recurrentes 24-26'!CJ69</f>
        <v>0</v>
      </c>
      <c r="AW211" s="1068"/>
      <c r="AX211" s="1062" t="str">
        <f>'No Recurrentes 24-26'!CK69</f>
        <v/>
      </c>
      <c r="AY211" s="1062">
        <f>'No Recurrentes 24-26'!CL69</f>
        <v>111327.4886</v>
      </c>
      <c r="AZ211" s="1068"/>
      <c r="BA211" s="1062">
        <f>'No Recurrentes 24-26'!CM69</f>
        <v>0</v>
      </c>
      <c r="BB211" s="1062">
        <f>'No Recurrentes 24-26'!CN69</f>
        <v>0</v>
      </c>
      <c r="BC211" s="1062">
        <f>'No Recurrentes 24-26'!CO69</f>
        <v>0</v>
      </c>
      <c r="BD211" s="1062">
        <f>'No Recurrentes 24-26'!CP69</f>
        <v>0</v>
      </c>
      <c r="BE211" s="1062">
        <f>'No Recurrentes 24-26'!CQ69</f>
        <v>0</v>
      </c>
      <c r="BF211" s="1062">
        <f>'No Recurrentes 24-26'!CR69</f>
        <v>0</v>
      </c>
      <c r="BG211" s="1062">
        <f>'No Recurrentes 24-26'!CS69</f>
        <v>0</v>
      </c>
      <c r="BH211" s="1062">
        <f>'No Recurrentes 24-26'!CT69</f>
        <v>0</v>
      </c>
      <c r="BI211" s="1062">
        <f>'No Recurrentes 24-26'!CU69</f>
        <v>0</v>
      </c>
      <c r="BJ211" s="1062">
        <f>'No Recurrentes 24-26'!CV69</f>
        <v>0</v>
      </c>
      <c r="BK211" s="1068"/>
      <c r="BL211" s="1062">
        <f>'No Recurrentes 24-26'!CW69</f>
        <v>0</v>
      </c>
      <c r="BM211" s="1062">
        <f>'No Recurrentes 24-26'!CX69</f>
        <v>0</v>
      </c>
      <c r="BN211" s="1062">
        <f>'No Recurrentes 24-26'!CY69</f>
        <v>0</v>
      </c>
      <c r="BO211" s="1062">
        <f>'No Recurrentes 24-26'!CZ69</f>
        <v>0</v>
      </c>
      <c r="BP211" s="1062">
        <f>'No Recurrentes 24-26'!DA69</f>
        <v>0</v>
      </c>
      <c r="BQ211" s="1062">
        <f>'No Recurrentes 24-26'!DB69</f>
        <v>0</v>
      </c>
      <c r="BR211" s="1062">
        <f>'No Recurrentes 24-26'!DC69</f>
        <v>0</v>
      </c>
      <c r="BS211" s="1062">
        <f>'No Recurrentes 24-26'!DD69</f>
        <v>0</v>
      </c>
      <c r="BT211" s="1062">
        <f>'No Recurrentes 24-26'!DE69</f>
        <v>0</v>
      </c>
      <c r="BU211" s="1062">
        <f>'No Recurrentes 24-26'!DF69</f>
        <v>0</v>
      </c>
      <c r="BV211" s="1062">
        <f>'No Recurrentes 24-26'!DG69</f>
        <v>0</v>
      </c>
      <c r="BW211" s="1068"/>
      <c r="BX211" s="1062">
        <f>'No Recurrentes 24-26'!DH69</f>
        <v>0</v>
      </c>
      <c r="BY211" s="1062">
        <f>'No Recurrentes 24-26'!DI69</f>
        <v>0</v>
      </c>
      <c r="BZ211" s="1062">
        <f>'No Recurrentes 24-26'!DJ69</f>
        <v>0</v>
      </c>
      <c r="CA211" s="1062">
        <f>'No Recurrentes 24-26'!DK69</f>
        <v>0</v>
      </c>
      <c r="CB211" s="1062">
        <f>'No Recurrentes 24-26'!DL69</f>
        <v>0</v>
      </c>
      <c r="CC211" s="1062">
        <f>'No Recurrentes 24-26'!DM69</f>
        <v>0</v>
      </c>
      <c r="CD211" s="1062">
        <f>'No Recurrentes 24-26'!DN69</f>
        <v>0</v>
      </c>
      <c r="CE211" s="1062">
        <f>'No Recurrentes 24-26'!DO69</f>
        <v>0</v>
      </c>
      <c r="CF211" s="1062">
        <f>'No Recurrentes 24-26'!DP69</f>
        <v>0</v>
      </c>
      <c r="CG211" s="1062">
        <f>'No Recurrentes 24-26'!DQ69</f>
        <v>0</v>
      </c>
      <c r="CH211" s="1062">
        <f>'No Recurrentes 24-26'!DR69</f>
        <v>0</v>
      </c>
      <c r="CI211" s="1068"/>
      <c r="CJ211" s="1062">
        <f>'No Recurrentes 24-26'!DS69</f>
        <v>0</v>
      </c>
      <c r="CK211" s="1062">
        <f>'No Recurrentes 24-26'!DT69</f>
        <v>0</v>
      </c>
      <c r="CL211" s="1064" t="str">
        <f>'No Recurrentes 24-26'!DU69</f>
        <v/>
      </c>
      <c r="CM211" s="1064" t="str">
        <f>'No Recurrentes 24-26'!DV69</f>
        <v/>
      </c>
      <c r="CN211" s="1060">
        <f>'No Recurrentes 24-26'!EI69</f>
        <v>1</v>
      </c>
      <c r="CO211" s="1060" t="str">
        <f>'No Recurrentes 24-26'!EJ69</f>
        <v/>
      </c>
      <c r="CP211" s="1060" t="str">
        <f>'No Recurrentes 24-26'!EK69</f>
        <v/>
      </c>
    </row>
    <row r="212">
      <c r="A212" s="451" t="str">
        <f>'No Recurrentes 24-26'!A70</f>
        <v>Repuestos Electromecánicos no recurrentes</v>
      </c>
      <c r="B212" s="451">
        <f>'No Recurrentes 24-26'!B70</f>
        <v>39</v>
      </c>
      <c r="C212" s="451" t="str">
        <f>'No Recurrentes 24-26'!C70</f>
        <v>Generador_Auxiliar</v>
      </c>
      <c r="D212" s="451" t="str">
        <f>'No Recurrentes 24-26'!D70</f>
        <v>Mantenimiento Grupos Electrógenos</v>
      </c>
      <c r="E212" s="451" t="str">
        <f>'No Recurrentes 24-26'!E70</f>
        <v>Repuesto Eléctrico</v>
      </c>
      <c r="F212" s="451" t="str">
        <f>'No Recurrentes 24-26'!F70</f>
        <v>LOCAL</v>
      </c>
      <c r="G212" s="1061" t="str">
        <f>'No Recurrentes 24-26'!G70</f>
        <v>39700</v>
      </c>
      <c r="H212" s="1061" t="str">
        <f>'No Recurrentes 24-26'!H70</f>
        <v>2-02-00122</v>
      </c>
      <c r="I212" s="1061" t="str">
        <f>'No Recurrentes 24-26'!I70</f>
        <v/>
      </c>
      <c r="J212" s="1061" t="str">
        <f>'No Recurrentes 24-26'!J70</f>
        <v>BATERIA 950 CCA 850A 90AH</v>
      </c>
      <c r="K212" s="451" t="str">
        <f>'No Recurrentes 24-26'!K70</f>
        <v>Pza</v>
      </c>
      <c r="L212" s="451">
        <f>'No Recurrentes 24-26'!BC70</f>
        <v>8</v>
      </c>
      <c r="M212" s="451" t="str">
        <f>'No Recurrentes 24-26'!BD70</f>
        <v/>
      </c>
      <c r="N212" s="451">
        <f>'No Recurrentes 24-26'!BE70</f>
        <v>4</v>
      </c>
      <c r="O212" s="451" t="str">
        <f>'No Recurrentes 24-26'!BF70</f>
        <v/>
      </c>
      <c r="P212" s="451" t="str">
        <f>'No Recurrentes 24-26'!BG70</f>
        <v/>
      </c>
      <c r="Q212" s="451" t="str">
        <f>'No Recurrentes 24-26'!BH70</f>
        <v/>
      </c>
      <c r="R212" s="451" t="str">
        <f>'No Recurrentes 24-26'!BI70</f>
        <v/>
      </c>
      <c r="S212" s="451" t="str">
        <f>'No Recurrentes 24-26'!BJ70</f>
        <v/>
      </c>
      <c r="T212" s="451" t="str">
        <f>'No Recurrentes 24-26'!BK70</f>
        <v/>
      </c>
      <c r="U212" s="451" t="str">
        <f>'No Recurrentes 24-26'!BL70</f>
        <v/>
      </c>
      <c r="V212" s="1068"/>
      <c r="W212" s="1062">
        <f>'No Recurrentes 24-26'!BM70</f>
        <v>12</v>
      </c>
      <c r="X212" s="1062" t="str">
        <f>'No Recurrentes 24-26'!BN70</f>
        <v/>
      </c>
      <c r="Y212" s="1062">
        <f>'No Recurrentes 24-26'!BO70</f>
        <v>6</v>
      </c>
      <c r="Z212" s="1062" t="str">
        <f>'No Recurrentes 24-26'!BP70</f>
        <v/>
      </c>
      <c r="AA212" s="1062" t="str">
        <f>'No Recurrentes 24-26'!BQ70</f>
        <v/>
      </c>
      <c r="AB212" s="1062" t="str">
        <f>'No Recurrentes 24-26'!BR70</f>
        <v/>
      </c>
      <c r="AC212" s="1062" t="str">
        <f>'No Recurrentes 24-26'!BS70</f>
        <v/>
      </c>
      <c r="AD212" s="1062" t="str">
        <f>'No Recurrentes 24-26'!BT70</f>
        <v/>
      </c>
      <c r="AE212" s="1062" t="str">
        <f>'No Recurrentes 24-26'!BU70</f>
        <v/>
      </c>
      <c r="AF212" s="1062" t="str">
        <f>'No Recurrentes 24-26'!BV70</f>
        <v/>
      </c>
      <c r="AG212" s="1062" t="str">
        <f>'No Recurrentes 24-26'!BW70</f>
        <v/>
      </c>
      <c r="AH212" s="1068"/>
      <c r="AI212" s="1062">
        <f>'No Recurrentes 24-26'!BX70</f>
        <v>6</v>
      </c>
      <c r="AJ212" s="1062">
        <f>'No Recurrentes 24-26'!BY70</f>
        <v>0</v>
      </c>
      <c r="AK212" s="1062">
        <f>'No Recurrentes 24-26'!BZ70</f>
        <v>0</v>
      </c>
      <c r="AL212" s="1062">
        <f>'No Recurrentes 24-26'!CA70</f>
        <v>0</v>
      </c>
      <c r="AM212" s="1062">
        <f>'No Recurrentes 24-26'!CB70</f>
        <v>0</v>
      </c>
      <c r="AN212" s="1062">
        <f>'No Recurrentes 24-26'!CC70</f>
        <v>0</v>
      </c>
      <c r="AO212" s="1062">
        <f>'No Recurrentes 24-26'!CD70</f>
        <v>0</v>
      </c>
      <c r="AP212" s="1062">
        <f>'No Recurrentes 24-26'!CE70</f>
        <v>0</v>
      </c>
      <c r="AQ212" s="1062">
        <f>'No Recurrentes 24-26'!CF70</f>
        <v>0</v>
      </c>
      <c r="AR212" s="1062">
        <f>'No Recurrentes 24-26'!CG70</f>
        <v>0</v>
      </c>
      <c r="AS212" s="1062">
        <f>'No Recurrentes 24-26'!CH70</f>
        <v>0</v>
      </c>
      <c r="AT212" s="1068"/>
      <c r="AU212" s="1062">
        <f>'No Recurrentes 24-26'!CI70</f>
        <v>0</v>
      </c>
      <c r="AV212" s="1063">
        <f>'No Recurrentes 24-26'!CJ70</f>
        <v>18</v>
      </c>
      <c r="AW212" s="1068"/>
      <c r="AX212" s="1062" t="str">
        <f>'No Recurrentes 24-26'!CK70</f>
        <v/>
      </c>
      <c r="AY212" s="1062">
        <f>'No Recurrentes 24-26'!CL70</f>
        <v>1154</v>
      </c>
      <c r="AZ212" s="1068"/>
      <c r="BA212" s="1062">
        <f>'No Recurrentes 24-26'!CM70</f>
        <v>9232</v>
      </c>
      <c r="BB212" s="1062">
        <f>'No Recurrentes 24-26'!CN70</f>
        <v>0</v>
      </c>
      <c r="BC212" s="1062">
        <f>'No Recurrentes 24-26'!CO70</f>
        <v>4616</v>
      </c>
      <c r="BD212" s="1062">
        <f>'No Recurrentes 24-26'!CP70</f>
        <v>0</v>
      </c>
      <c r="BE212" s="1062">
        <f>'No Recurrentes 24-26'!CQ70</f>
        <v>0</v>
      </c>
      <c r="BF212" s="1062">
        <f>'No Recurrentes 24-26'!CR70</f>
        <v>0</v>
      </c>
      <c r="BG212" s="1062">
        <f>'No Recurrentes 24-26'!CS70</f>
        <v>0</v>
      </c>
      <c r="BH212" s="1062">
        <f>'No Recurrentes 24-26'!CT70</f>
        <v>0</v>
      </c>
      <c r="BI212" s="1062">
        <f>'No Recurrentes 24-26'!CU70</f>
        <v>0</v>
      </c>
      <c r="BJ212" s="1062">
        <f>'No Recurrentes 24-26'!CV70</f>
        <v>0</v>
      </c>
      <c r="BK212" s="1068"/>
      <c r="BL212" s="1062">
        <f>'No Recurrentes 24-26'!CW70</f>
        <v>13848</v>
      </c>
      <c r="BM212" s="1062">
        <f>'No Recurrentes 24-26'!CX70</f>
        <v>0</v>
      </c>
      <c r="BN212" s="1062">
        <f>'No Recurrentes 24-26'!CY70</f>
        <v>6924</v>
      </c>
      <c r="BO212" s="1062">
        <f>'No Recurrentes 24-26'!CZ70</f>
        <v>0</v>
      </c>
      <c r="BP212" s="1062">
        <f>'No Recurrentes 24-26'!DA70</f>
        <v>0</v>
      </c>
      <c r="BQ212" s="1062">
        <f>'No Recurrentes 24-26'!DB70</f>
        <v>0</v>
      </c>
      <c r="BR212" s="1062">
        <f>'No Recurrentes 24-26'!DC70</f>
        <v>0</v>
      </c>
      <c r="BS212" s="1062">
        <f>'No Recurrentes 24-26'!DD70</f>
        <v>0</v>
      </c>
      <c r="BT212" s="1062">
        <f>'No Recurrentes 24-26'!DE70</f>
        <v>0</v>
      </c>
      <c r="BU212" s="1062">
        <f>'No Recurrentes 24-26'!DF70</f>
        <v>0</v>
      </c>
      <c r="BV212" s="1062">
        <f>'No Recurrentes 24-26'!DG70</f>
        <v>0</v>
      </c>
      <c r="BW212" s="1068"/>
      <c r="BX212" s="1062">
        <f>'No Recurrentes 24-26'!DH70</f>
        <v>6924</v>
      </c>
      <c r="BY212" s="1062">
        <f>'No Recurrentes 24-26'!DI70</f>
        <v>0</v>
      </c>
      <c r="BZ212" s="1062">
        <f>'No Recurrentes 24-26'!DJ70</f>
        <v>0</v>
      </c>
      <c r="CA212" s="1062">
        <f>'No Recurrentes 24-26'!DK70</f>
        <v>0</v>
      </c>
      <c r="CB212" s="1062">
        <f>'No Recurrentes 24-26'!DL70</f>
        <v>0</v>
      </c>
      <c r="CC212" s="1062">
        <f>'No Recurrentes 24-26'!DM70</f>
        <v>0</v>
      </c>
      <c r="CD212" s="1062">
        <f>'No Recurrentes 24-26'!DN70</f>
        <v>0</v>
      </c>
      <c r="CE212" s="1062">
        <f>'No Recurrentes 24-26'!DO70</f>
        <v>0</v>
      </c>
      <c r="CF212" s="1062">
        <f>'No Recurrentes 24-26'!DP70</f>
        <v>0</v>
      </c>
      <c r="CG212" s="1062">
        <f>'No Recurrentes 24-26'!DQ70</f>
        <v>0</v>
      </c>
      <c r="CH212" s="1062">
        <f>'No Recurrentes 24-26'!DR70</f>
        <v>0</v>
      </c>
      <c r="CI212" s="1068"/>
      <c r="CJ212" s="1062">
        <f>'No Recurrentes 24-26'!DS70</f>
        <v>0</v>
      </c>
      <c r="CK212" s="1062">
        <f>'No Recurrentes 24-26'!DT70</f>
        <v>20772</v>
      </c>
      <c r="CL212" s="1064" t="str">
        <f>'No Recurrentes 24-26'!DU70</f>
        <v/>
      </c>
      <c r="CM212" s="1064" t="str">
        <f>'No Recurrentes 24-26'!DV70</f>
        <v>Precio referencial.</v>
      </c>
      <c r="CN212" s="1060">
        <f>'No Recurrentes 24-26'!EI70</f>
        <v>1</v>
      </c>
      <c r="CO212" s="1060" t="str">
        <f>'No Recurrentes 24-26'!EJ70</f>
        <v/>
      </c>
      <c r="CP212" s="1060" t="str">
        <f>'No Recurrentes 24-26'!EK70</f>
        <v/>
      </c>
    </row>
    <row r="213">
      <c r="A213" s="451" t="str">
        <f>'No Recurrentes 24-26'!A72</f>
        <v>Repuestos Electromecánicos no recurrentes</v>
      </c>
      <c r="B213" s="451" t="str">
        <f>'No Recurrentes 24-26'!B72</f>
        <v/>
      </c>
      <c r="C213" s="451" t="str">
        <f>'No Recurrentes 24-26'!C72</f>
        <v>Generador_Auxiliar</v>
      </c>
      <c r="D213" s="451" t="str">
        <f>'No Recurrentes 24-26'!D72</f>
        <v>Mantenimiento Grupos Electrógenos</v>
      </c>
      <c r="E213" s="451" t="str">
        <f>'No Recurrentes 24-26'!E72</f>
        <v>Repuesto Eléctrico</v>
      </c>
      <c r="F213" s="451" t="str">
        <f>'No Recurrentes 24-26'!F72</f>
        <v>LOCAL</v>
      </c>
      <c r="G213" s="1061" t="str">
        <f>'No Recurrentes 24-26'!G72</f>
        <v>39700</v>
      </c>
      <c r="H213" s="1061" t="str">
        <f>'No Recurrentes 24-26'!H72</f>
        <v/>
      </c>
      <c r="I213" s="1061" t="str">
        <f>'No Recurrentes 24-26'!I72</f>
        <v/>
      </c>
      <c r="J213" s="1061" t="str">
        <f>'No Recurrentes 24-26'!J72</f>
        <v>PRECALENTADOR DE 1000 W 240 V MOD LR 1843 (MOTOR TERMICO)</v>
      </c>
      <c r="K213" s="451" t="str">
        <f>'No Recurrentes 24-26'!K72</f>
        <v>Pza</v>
      </c>
      <c r="L213" s="451" t="str">
        <f>'No Recurrentes 24-26'!BC72</f>
        <v/>
      </c>
      <c r="M213" s="451" t="str">
        <f>'No Recurrentes 24-26'!BD72</f>
        <v/>
      </c>
      <c r="N213" s="451" t="str">
        <f>'No Recurrentes 24-26'!BE72</f>
        <v/>
      </c>
      <c r="O213" s="451" t="str">
        <f>'No Recurrentes 24-26'!BF72</f>
        <v/>
      </c>
      <c r="P213" s="451" t="str">
        <f>'No Recurrentes 24-26'!BG72</f>
        <v/>
      </c>
      <c r="Q213" s="451" t="str">
        <f>'No Recurrentes 24-26'!BH72</f>
        <v/>
      </c>
      <c r="R213" s="451" t="str">
        <f>'No Recurrentes 24-26'!BI72</f>
        <v/>
      </c>
      <c r="S213" s="451" t="str">
        <f>'No Recurrentes 24-26'!BJ72</f>
        <v/>
      </c>
      <c r="T213" s="451" t="str">
        <f>'No Recurrentes 24-26'!BK72</f>
        <v/>
      </c>
      <c r="U213" s="451" t="str">
        <f>'No Recurrentes 24-26'!BL72</f>
        <v/>
      </c>
      <c r="V213" s="1068"/>
      <c r="W213" s="1062">
        <f>'No Recurrentes 24-26'!BM72</f>
        <v>0</v>
      </c>
      <c r="X213" s="1062">
        <f>'No Recurrentes 24-26'!BN72</f>
        <v>1</v>
      </c>
      <c r="Y213" s="1062">
        <f>'No Recurrentes 24-26'!BO72</f>
        <v>1</v>
      </c>
      <c r="Z213" s="1062">
        <f>'No Recurrentes 24-26'!BP72</f>
        <v>1</v>
      </c>
      <c r="AA213" s="1062" t="str">
        <f>'No Recurrentes 24-26'!BQ72</f>
        <v/>
      </c>
      <c r="AB213" s="1062" t="str">
        <f>'No Recurrentes 24-26'!BR72</f>
        <v/>
      </c>
      <c r="AC213" s="1062" t="str">
        <f>'No Recurrentes 24-26'!BS72</f>
        <v/>
      </c>
      <c r="AD213" s="1062" t="str">
        <f>'No Recurrentes 24-26'!BT72</f>
        <v/>
      </c>
      <c r="AE213" s="1062">
        <f>'No Recurrentes 24-26'!BU72</f>
        <v>2</v>
      </c>
      <c r="AF213" s="1062" t="str">
        <f>'No Recurrentes 24-26'!BV72</f>
        <v/>
      </c>
      <c r="AG213" s="1062" t="str">
        <f>'No Recurrentes 24-26'!BW72</f>
        <v/>
      </c>
      <c r="AH213" s="1068"/>
      <c r="AI213" s="1062">
        <f>'No Recurrentes 24-26'!BX72</f>
        <v>5</v>
      </c>
      <c r="AJ213" s="1062">
        <f>'No Recurrentes 24-26'!BY72</f>
        <v>0</v>
      </c>
      <c r="AK213" s="1062">
        <f>'No Recurrentes 24-26'!BZ72</f>
        <v>0</v>
      </c>
      <c r="AL213" s="1062">
        <f>'No Recurrentes 24-26'!CA72</f>
        <v>0</v>
      </c>
      <c r="AM213" s="1062">
        <f>'No Recurrentes 24-26'!CB72</f>
        <v>0</v>
      </c>
      <c r="AN213" s="1062">
        <f>'No Recurrentes 24-26'!CC72</f>
        <v>0</v>
      </c>
      <c r="AO213" s="1062">
        <f>'No Recurrentes 24-26'!CD72</f>
        <v>0</v>
      </c>
      <c r="AP213" s="1062">
        <f>'No Recurrentes 24-26'!CE72</f>
        <v>0</v>
      </c>
      <c r="AQ213" s="1062">
        <f>'No Recurrentes 24-26'!CF72</f>
        <v>0</v>
      </c>
      <c r="AR213" s="1062">
        <f>'No Recurrentes 24-26'!CG72</f>
        <v>0</v>
      </c>
      <c r="AS213" s="1062">
        <f>'No Recurrentes 24-26'!CH72</f>
        <v>0</v>
      </c>
      <c r="AT213" s="1068"/>
      <c r="AU213" s="1062">
        <f>'No Recurrentes 24-26'!CI72</f>
        <v>0</v>
      </c>
      <c r="AV213" s="1063">
        <f>'No Recurrentes 24-26'!CJ72</f>
        <v>5</v>
      </c>
      <c r="AW213" s="1068"/>
      <c r="AX213" s="1062" t="str">
        <f>'No Recurrentes 24-26'!CK72</f>
        <v/>
      </c>
      <c r="AY213" s="1062">
        <f>'No Recurrentes 24-26'!CL72</f>
        <v>2514.3</v>
      </c>
      <c r="AZ213" s="1068"/>
      <c r="BA213" s="1062">
        <f>'No Recurrentes 24-26'!CM72</f>
        <v>0</v>
      </c>
      <c r="BB213" s="1062">
        <f>'No Recurrentes 24-26'!CN72</f>
        <v>0</v>
      </c>
      <c r="BC213" s="1062">
        <f>'No Recurrentes 24-26'!CO72</f>
        <v>0</v>
      </c>
      <c r="BD213" s="1062">
        <f>'No Recurrentes 24-26'!CP72</f>
        <v>0</v>
      </c>
      <c r="BE213" s="1062">
        <f>'No Recurrentes 24-26'!CQ72</f>
        <v>0</v>
      </c>
      <c r="BF213" s="1062">
        <f>'No Recurrentes 24-26'!CR72</f>
        <v>0</v>
      </c>
      <c r="BG213" s="1062">
        <f>'No Recurrentes 24-26'!CS72</f>
        <v>0</v>
      </c>
      <c r="BH213" s="1062">
        <f>'No Recurrentes 24-26'!CT72</f>
        <v>0</v>
      </c>
      <c r="BI213" s="1062">
        <f>'No Recurrentes 24-26'!CU72</f>
        <v>0</v>
      </c>
      <c r="BJ213" s="1062">
        <f>'No Recurrentes 24-26'!CV72</f>
        <v>0</v>
      </c>
      <c r="BK213" s="1068"/>
      <c r="BL213" s="1062">
        <f>'No Recurrentes 24-26'!CW72</f>
        <v>0</v>
      </c>
      <c r="BM213" s="1062">
        <f>'No Recurrentes 24-26'!CX72</f>
        <v>2514.3</v>
      </c>
      <c r="BN213" s="1062">
        <f>'No Recurrentes 24-26'!CY72</f>
        <v>2514.3</v>
      </c>
      <c r="BO213" s="1062">
        <f>'No Recurrentes 24-26'!CZ72</f>
        <v>2514.3</v>
      </c>
      <c r="BP213" s="1062">
        <f>'No Recurrentes 24-26'!DA72</f>
        <v>0</v>
      </c>
      <c r="BQ213" s="1062">
        <f>'No Recurrentes 24-26'!DB72</f>
        <v>0</v>
      </c>
      <c r="BR213" s="1062">
        <f>'No Recurrentes 24-26'!DC72</f>
        <v>0</v>
      </c>
      <c r="BS213" s="1062">
        <f>'No Recurrentes 24-26'!DD72</f>
        <v>0</v>
      </c>
      <c r="BT213" s="1062">
        <f>'No Recurrentes 24-26'!DE72</f>
        <v>5028.6</v>
      </c>
      <c r="BU213" s="1062">
        <f>'No Recurrentes 24-26'!DF72</f>
        <v>0</v>
      </c>
      <c r="BV213" s="1062">
        <f>'No Recurrentes 24-26'!DG72</f>
        <v>0</v>
      </c>
      <c r="BW213" s="1068"/>
      <c r="BX213" s="1062">
        <f>'No Recurrentes 24-26'!DH72</f>
        <v>12571.5</v>
      </c>
      <c r="BY213" s="1062">
        <f>'No Recurrentes 24-26'!DI72</f>
        <v>0</v>
      </c>
      <c r="BZ213" s="1062">
        <f>'No Recurrentes 24-26'!DJ72</f>
        <v>0</v>
      </c>
      <c r="CA213" s="1062">
        <f>'No Recurrentes 24-26'!DK72</f>
        <v>0</v>
      </c>
      <c r="CB213" s="1062">
        <f>'No Recurrentes 24-26'!DL72</f>
        <v>0</v>
      </c>
      <c r="CC213" s="1062">
        <f>'No Recurrentes 24-26'!DM72</f>
        <v>0</v>
      </c>
      <c r="CD213" s="1062">
        <f>'No Recurrentes 24-26'!DN72</f>
        <v>0</v>
      </c>
      <c r="CE213" s="1062">
        <f>'No Recurrentes 24-26'!DO72</f>
        <v>0</v>
      </c>
      <c r="CF213" s="1062">
        <f>'No Recurrentes 24-26'!DP72</f>
        <v>0</v>
      </c>
      <c r="CG213" s="1062">
        <f>'No Recurrentes 24-26'!DQ72</f>
        <v>0</v>
      </c>
      <c r="CH213" s="1062">
        <f>'No Recurrentes 24-26'!DR72</f>
        <v>0</v>
      </c>
      <c r="CI213" s="1068"/>
      <c r="CJ213" s="1062">
        <f>'No Recurrentes 24-26'!DS72</f>
        <v>0</v>
      </c>
      <c r="CK213" s="1062">
        <f>'No Recurrentes 24-26'!DT72</f>
        <v>12571.5</v>
      </c>
      <c r="CL213" s="1064" t="str">
        <f>'No Recurrentes 24-26'!DU72</f>
        <v/>
      </c>
      <c r="CM213" s="1064" t="str">
        <f>'No Recurrentes 24-26'!DV72</f>
        <v>Precio Referencial, Consultar precio</v>
      </c>
      <c r="CN213" s="1060">
        <f>'No Recurrentes 24-26'!EI71</f>
        <v>1</v>
      </c>
      <c r="CO213" s="1060" t="str">
        <f>'No Recurrentes 24-26'!EJ71</f>
        <v/>
      </c>
      <c r="CP213" s="1060" t="str">
        <f>'No Recurrentes 24-26'!EK71</f>
        <v/>
      </c>
    </row>
    <row r="214">
      <c r="A214" s="451" t="str">
        <f>'No Recurrentes 24-26'!A73</f>
        <v>Repuestos Electromecánicos no recurrentes</v>
      </c>
      <c r="B214" s="451">
        <f>'No Recurrentes 24-26'!B73</f>
        <v>2</v>
      </c>
      <c r="C214" s="451" t="str">
        <f>'No Recurrentes 24-26'!C73</f>
        <v>Estación</v>
      </c>
      <c r="D214" s="451" t="str">
        <f>'No Recurrentes 24-26'!D73</f>
        <v>Manto. Agujas</v>
      </c>
      <c r="E214" s="451" t="str">
        <f>'No Recurrentes 24-26'!E73</f>
        <v>Repuesto Mecánico</v>
      </c>
      <c r="F214" s="451" t="str">
        <f>'No Recurrentes 24-26'!F73</f>
        <v>TDB</v>
      </c>
      <c r="G214" s="1025" t="str">
        <f>'No Recurrentes 24-26'!G73</f>
        <v>39800</v>
      </c>
      <c r="H214" s="1061" t="str">
        <f>'No Recurrentes 24-26'!H73</f>
        <v/>
      </c>
      <c r="I214" s="1061" t="str">
        <f>'No Recurrentes 24-26'!I73</f>
        <v>10781147</v>
      </c>
      <c r="J214" s="1061" t="str">
        <f>'No Recurrentes 24-26'!J73</f>
        <v>RIEL DE ENLACE RECTO PASO SOLD. SD PIEZA SOLDADA</v>
      </c>
      <c r="K214" s="451" t="str">
        <f>'No Recurrentes 24-26'!K73</f>
        <v>Pza</v>
      </c>
      <c r="L214" s="451" t="str">
        <f>'No Recurrentes 24-26'!BC73</f>
        <v/>
      </c>
      <c r="M214" s="451" t="str">
        <f>'No Recurrentes 24-26'!BD73</f>
        <v/>
      </c>
      <c r="N214" s="451" t="str">
        <f>'No Recurrentes 24-26'!BE73</f>
        <v/>
      </c>
      <c r="O214" s="451" t="str">
        <f>'No Recurrentes 24-26'!BF73</f>
        <v/>
      </c>
      <c r="P214" s="451" t="str">
        <f>'No Recurrentes 24-26'!BG73</f>
        <v/>
      </c>
      <c r="Q214" s="451" t="str">
        <f>'No Recurrentes 24-26'!BH73</f>
        <v/>
      </c>
      <c r="R214" s="451" t="str">
        <f>'No Recurrentes 24-26'!BI73</f>
        <v/>
      </c>
      <c r="S214" s="451" t="str">
        <f>'No Recurrentes 24-26'!BJ73</f>
        <v/>
      </c>
      <c r="T214" s="451" t="str">
        <f>'No Recurrentes 24-26'!BK73</f>
        <v/>
      </c>
      <c r="U214" s="451" t="str">
        <f>'No Recurrentes 24-26'!BL73</f>
        <v/>
      </c>
      <c r="V214" s="1068"/>
      <c r="W214" s="1062">
        <f>'No Recurrentes 24-26'!BM73</f>
        <v>0</v>
      </c>
      <c r="X214" s="1062" t="str">
        <f>'No Recurrentes 24-26'!BN73</f>
        <v/>
      </c>
      <c r="Y214" s="1062" t="str">
        <f>'No Recurrentes 24-26'!BO73</f>
        <v/>
      </c>
      <c r="Z214" s="1062" t="str">
        <f>'No Recurrentes 24-26'!BP73</f>
        <v/>
      </c>
      <c r="AA214" s="1062">
        <f>'No Recurrentes 24-26'!BQ73</f>
        <v>1</v>
      </c>
      <c r="AB214" s="1062" t="str">
        <f>'No Recurrentes 24-26'!BR73</f>
        <v/>
      </c>
      <c r="AC214" s="1062" t="str">
        <f>'No Recurrentes 24-26'!BS73</f>
        <v/>
      </c>
      <c r="AD214" s="1062" t="str">
        <f>'No Recurrentes 24-26'!BT73</f>
        <v/>
      </c>
      <c r="AE214" s="1062" t="str">
        <f>'No Recurrentes 24-26'!BU73</f>
        <v/>
      </c>
      <c r="AF214" s="1062" t="str">
        <f>'No Recurrentes 24-26'!BV73</f>
        <v/>
      </c>
      <c r="AG214" s="1062" t="str">
        <f>'No Recurrentes 24-26'!BW73</f>
        <v/>
      </c>
      <c r="AH214" s="1068"/>
      <c r="AI214" s="1062">
        <f>'No Recurrentes 24-26'!BX73</f>
        <v>1</v>
      </c>
      <c r="AJ214" s="1062">
        <f>'No Recurrentes 24-26'!BY73</f>
        <v>0</v>
      </c>
      <c r="AK214" s="1062">
        <f>'No Recurrentes 24-26'!BZ73</f>
        <v>0</v>
      </c>
      <c r="AL214" s="1062">
        <f>'No Recurrentes 24-26'!CA73</f>
        <v>0</v>
      </c>
      <c r="AM214" s="1062">
        <f>'No Recurrentes 24-26'!CB73</f>
        <v>0</v>
      </c>
      <c r="AN214" s="1062">
        <f>'No Recurrentes 24-26'!CC73</f>
        <v>0</v>
      </c>
      <c r="AO214" s="1062">
        <f>'No Recurrentes 24-26'!CD73</f>
        <v>0</v>
      </c>
      <c r="AP214" s="1062">
        <f>'No Recurrentes 24-26'!CE73</f>
        <v>0</v>
      </c>
      <c r="AQ214" s="1062">
        <f>'No Recurrentes 24-26'!CF73</f>
        <v>0</v>
      </c>
      <c r="AR214" s="1062">
        <f>'No Recurrentes 24-26'!CG73</f>
        <v>0</v>
      </c>
      <c r="AS214" s="1062">
        <f>'No Recurrentes 24-26'!CH73</f>
        <v>0</v>
      </c>
      <c r="AT214" s="1068"/>
      <c r="AU214" s="1062">
        <f>'No Recurrentes 24-26'!CI73</f>
        <v>0</v>
      </c>
      <c r="AV214" s="1063">
        <f>'No Recurrentes 24-26'!CJ73</f>
        <v>1</v>
      </c>
      <c r="AW214" s="1068"/>
      <c r="AX214" s="1065">
        <f>'No Recurrentes 24-26'!CK73</f>
        <v>8341.04</v>
      </c>
      <c r="AY214" s="1062">
        <f>'No Recurrentes 24-26'!CL73</f>
        <v>58053.6384</v>
      </c>
      <c r="AZ214" s="1068"/>
      <c r="BA214" s="1062">
        <f>'No Recurrentes 24-26'!CM73</f>
        <v>0</v>
      </c>
      <c r="BB214" s="1062">
        <f>'No Recurrentes 24-26'!CN73</f>
        <v>0</v>
      </c>
      <c r="BC214" s="1062">
        <f>'No Recurrentes 24-26'!CO73</f>
        <v>0</v>
      </c>
      <c r="BD214" s="1062">
        <f>'No Recurrentes 24-26'!CP73</f>
        <v>0</v>
      </c>
      <c r="BE214" s="1062">
        <f>'No Recurrentes 24-26'!CQ73</f>
        <v>0</v>
      </c>
      <c r="BF214" s="1062">
        <f>'No Recurrentes 24-26'!CR73</f>
        <v>0</v>
      </c>
      <c r="BG214" s="1062">
        <f>'No Recurrentes 24-26'!CS73</f>
        <v>0</v>
      </c>
      <c r="BH214" s="1062">
        <f>'No Recurrentes 24-26'!CT73</f>
        <v>0</v>
      </c>
      <c r="BI214" s="1062">
        <f>'No Recurrentes 24-26'!CU73</f>
        <v>0</v>
      </c>
      <c r="BJ214" s="1062">
        <f>'No Recurrentes 24-26'!CV73</f>
        <v>0</v>
      </c>
      <c r="BK214" s="1068"/>
      <c r="BL214" s="1062">
        <f>'No Recurrentes 24-26'!CW73</f>
        <v>0</v>
      </c>
      <c r="BM214" s="1062">
        <f>'No Recurrentes 24-26'!CX73</f>
        <v>0</v>
      </c>
      <c r="BN214" s="1062">
        <f>'No Recurrentes 24-26'!CY73</f>
        <v>0</v>
      </c>
      <c r="BO214" s="1062">
        <f>'No Recurrentes 24-26'!CZ73</f>
        <v>0</v>
      </c>
      <c r="BP214" s="1062">
        <f>'No Recurrentes 24-26'!DA73</f>
        <v>58053.6384</v>
      </c>
      <c r="BQ214" s="1062">
        <f>'No Recurrentes 24-26'!DB73</f>
        <v>0</v>
      </c>
      <c r="BR214" s="1062">
        <f>'No Recurrentes 24-26'!DC73</f>
        <v>0</v>
      </c>
      <c r="BS214" s="1062">
        <f>'No Recurrentes 24-26'!DD73</f>
        <v>0</v>
      </c>
      <c r="BT214" s="1062">
        <f>'No Recurrentes 24-26'!DE73</f>
        <v>0</v>
      </c>
      <c r="BU214" s="1062">
        <f>'No Recurrentes 24-26'!DF73</f>
        <v>0</v>
      </c>
      <c r="BV214" s="1062">
        <f>'No Recurrentes 24-26'!DG73</f>
        <v>0</v>
      </c>
      <c r="BW214" s="1068"/>
      <c r="BX214" s="1062">
        <f>'No Recurrentes 24-26'!DH73</f>
        <v>58053.6384</v>
      </c>
      <c r="BY214" s="1062">
        <f>'No Recurrentes 24-26'!DI73</f>
        <v>0</v>
      </c>
      <c r="BZ214" s="1062">
        <f>'No Recurrentes 24-26'!DJ73</f>
        <v>0</v>
      </c>
      <c r="CA214" s="1062">
        <f>'No Recurrentes 24-26'!DK73</f>
        <v>0</v>
      </c>
      <c r="CB214" s="1062">
        <f>'No Recurrentes 24-26'!DL73</f>
        <v>0</v>
      </c>
      <c r="CC214" s="1062">
        <f>'No Recurrentes 24-26'!DM73</f>
        <v>0</v>
      </c>
      <c r="CD214" s="1062">
        <f>'No Recurrentes 24-26'!DN73</f>
        <v>0</v>
      </c>
      <c r="CE214" s="1062">
        <f>'No Recurrentes 24-26'!DO73</f>
        <v>0</v>
      </c>
      <c r="CF214" s="1062">
        <f>'No Recurrentes 24-26'!DP73</f>
        <v>0</v>
      </c>
      <c r="CG214" s="1062">
        <f>'No Recurrentes 24-26'!DQ73</f>
        <v>0</v>
      </c>
      <c r="CH214" s="1062">
        <f>'No Recurrentes 24-26'!DR73</f>
        <v>0</v>
      </c>
      <c r="CI214" s="1068"/>
      <c r="CJ214" s="1062">
        <f>'No Recurrentes 24-26'!DS73</f>
        <v>0</v>
      </c>
      <c r="CK214" s="1062">
        <f>'No Recurrentes 24-26'!DT73</f>
        <v>58053.6384</v>
      </c>
      <c r="CL214" s="1064" t="str">
        <f>'No Recurrentes 24-26'!DU73</f>
        <v/>
      </c>
      <c r="CM214" s="1064" t="str">
        <f>'No Recurrentes 24-26'!DV73</f>
        <v/>
      </c>
      <c r="CN214" s="1060">
        <f>'No Recurrentes 24-26'!EI72</f>
        <v>1</v>
      </c>
      <c r="CO214" s="1060" t="str">
        <f>'No Recurrentes 24-26'!EJ72</f>
        <v/>
      </c>
      <c r="CP214" s="1060" t="str">
        <f>'No Recurrentes 24-26'!EK72</f>
        <v/>
      </c>
    </row>
    <row r="215">
      <c r="A215" s="451" t="str">
        <f>'No Recurrentes 24-26'!A74</f>
        <v>Repuestos Electromecánicos no recurrentes</v>
      </c>
      <c r="B215" s="451">
        <f>'No Recurrentes 24-26'!B74</f>
        <v>2</v>
      </c>
      <c r="C215" s="451" t="str">
        <f>'No Recurrentes 24-26'!C74</f>
        <v>Estación</v>
      </c>
      <c r="D215" s="451" t="str">
        <f>'No Recurrentes 24-26'!D74</f>
        <v>Manto. Agujas</v>
      </c>
      <c r="E215" s="451" t="str">
        <f>'No Recurrentes 24-26'!E74</f>
        <v>Repuesto Mecánico</v>
      </c>
      <c r="F215" s="451" t="str">
        <f>'No Recurrentes 24-26'!F74</f>
        <v>TDB</v>
      </c>
      <c r="G215" s="1025" t="str">
        <f>'No Recurrentes 24-26'!G74</f>
        <v>39800</v>
      </c>
      <c r="H215" s="1061" t="str">
        <f>'No Recurrentes 24-26'!H74</f>
        <v/>
      </c>
      <c r="I215" s="1061" t="str">
        <f>'No Recurrentes 24-26'!I74</f>
        <v>10781148</v>
      </c>
      <c r="J215" s="1061" t="str">
        <f>'No Recurrentes 24-26'!J74</f>
        <v>CARRIL DE CONEXIÓN RECTO CONEX. SOLD. IE PZA SOLDADA</v>
      </c>
      <c r="K215" s="451" t="str">
        <f>'No Recurrentes 24-26'!K74</f>
        <v>Pza</v>
      </c>
      <c r="L215" s="451" t="str">
        <f>'No Recurrentes 24-26'!BC74</f>
        <v/>
      </c>
      <c r="M215" s="451" t="str">
        <f>'No Recurrentes 24-26'!BD74</f>
        <v/>
      </c>
      <c r="N215" s="451" t="str">
        <f>'No Recurrentes 24-26'!BE74</f>
        <v/>
      </c>
      <c r="O215" s="451" t="str">
        <f>'No Recurrentes 24-26'!BF74</f>
        <v/>
      </c>
      <c r="P215" s="451" t="str">
        <f>'No Recurrentes 24-26'!BG74</f>
        <v/>
      </c>
      <c r="Q215" s="451" t="str">
        <f>'No Recurrentes 24-26'!BH74</f>
        <v/>
      </c>
      <c r="R215" s="451" t="str">
        <f>'No Recurrentes 24-26'!BI74</f>
        <v/>
      </c>
      <c r="S215" s="451" t="str">
        <f>'No Recurrentes 24-26'!BJ74</f>
        <v/>
      </c>
      <c r="T215" s="451" t="str">
        <f>'No Recurrentes 24-26'!BK74</f>
        <v/>
      </c>
      <c r="U215" s="451" t="str">
        <f>'No Recurrentes 24-26'!BL74</f>
        <v/>
      </c>
      <c r="V215" s="1068"/>
      <c r="W215" s="1062">
        <f>'No Recurrentes 24-26'!BM74</f>
        <v>0</v>
      </c>
      <c r="X215" s="1062" t="str">
        <f>'No Recurrentes 24-26'!BN74</f>
        <v/>
      </c>
      <c r="Y215" s="1062" t="str">
        <f>'No Recurrentes 24-26'!BO74</f>
        <v/>
      </c>
      <c r="Z215" s="1062" t="str">
        <f>'No Recurrentes 24-26'!BP74</f>
        <v/>
      </c>
      <c r="AA215" s="1062">
        <f>'No Recurrentes 24-26'!BQ74</f>
        <v>1</v>
      </c>
      <c r="AB215" s="1062" t="str">
        <f>'No Recurrentes 24-26'!BR74</f>
        <v/>
      </c>
      <c r="AC215" s="1062" t="str">
        <f>'No Recurrentes 24-26'!BS74</f>
        <v/>
      </c>
      <c r="AD215" s="1062" t="str">
        <f>'No Recurrentes 24-26'!BT74</f>
        <v/>
      </c>
      <c r="AE215" s="1062" t="str">
        <f>'No Recurrentes 24-26'!BU74</f>
        <v/>
      </c>
      <c r="AF215" s="1062" t="str">
        <f>'No Recurrentes 24-26'!BV74</f>
        <v/>
      </c>
      <c r="AG215" s="1062" t="str">
        <f>'No Recurrentes 24-26'!BW74</f>
        <v/>
      </c>
      <c r="AH215" s="1068"/>
      <c r="AI215" s="1062">
        <f>'No Recurrentes 24-26'!BX74</f>
        <v>1</v>
      </c>
      <c r="AJ215" s="1062">
        <f>'No Recurrentes 24-26'!BY74</f>
        <v>0</v>
      </c>
      <c r="AK215" s="1062">
        <f>'No Recurrentes 24-26'!BZ74</f>
        <v>0</v>
      </c>
      <c r="AL215" s="1062">
        <f>'No Recurrentes 24-26'!CA74</f>
        <v>0</v>
      </c>
      <c r="AM215" s="1062">
        <f>'No Recurrentes 24-26'!CB74</f>
        <v>0</v>
      </c>
      <c r="AN215" s="1062">
        <f>'No Recurrentes 24-26'!CC74</f>
        <v>0</v>
      </c>
      <c r="AO215" s="1062">
        <f>'No Recurrentes 24-26'!CD74</f>
        <v>0</v>
      </c>
      <c r="AP215" s="1062">
        <f>'No Recurrentes 24-26'!CE74</f>
        <v>0</v>
      </c>
      <c r="AQ215" s="1062">
        <f>'No Recurrentes 24-26'!CF74</f>
        <v>0</v>
      </c>
      <c r="AR215" s="1062">
        <f>'No Recurrentes 24-26'!CG74</f>
        <v>0</v>
      </c>
      <c r="AS215" s="1062">
        <f>'No Recurrentes 24-26'!CH74</f>
        <v>0</v>
      </c>
      <c r="AT215" s="1068"/>
      <c r="AU215" s="1062">
        <f>'No Recurrentes 24-26'!CI74</f>
        <v>0</v>
      </c>
      <c r="AV215" s="1063">
        <f>'No Recurrentes 24-26'!CJ74</f>
        <v>1</v>
      </c>
      <c r="AW215" s="1068"/>
      <c r="AX215" s="1065">
        <f>'No Recurrentes 24-26'!CK74</f>
        <v>8199.26</v>
      </c>
      <c r="AY215" s="1062">
        <f>'No Recurrentes 24-26'!CL74</f>
        <v>57066.8496</v>
      </c>
      <c r="AZ215" s="1068"/>
      <c r="BA215" s="1062">
        <f>'No Recurrentes 24-26'!CM74</f>
        <v>0</v>
      </c>
      <c r="BB215" s="1062">
        <f>'No Recurrentes 24-26'!CN74</f>
        <v>0</v>
      </c>
      <c r="BC215" s="1062">
        <f>'No Recurrentes 24-26'!CO74</f>
        <v>0</v>
      </c>
      <c r="BD215" s="1062">
        <f>'No Recurrentes 24-26'!CP74</f>
        <v>0</v>
      </c>
      <c r="BE215" s="1062">
        <f>'No Recurrentes 24-26'!CQ74</f>
        <v>0</v>
      </c>
      <c r="BF215" s="1062">
        <f>'No Recurrentes 24-26'!CR74</f>
        <v>0</v>
      </c>
      <c r="BG215" s="1062">
        <f>'No Recurrentes 24-26'!CS74</f>
        <v>0</v>
      </c>
      <c r="BH215" s="1062">
        <f>'No Recurrentes 24-26'!CT74</f>
        <v>0</v>
      </c>
      <c r="BI215" s="1062">
        <f>'No Recurrentes 24-26'!CU74</f>
        <v>0</v>
      </c>
      <c r="BJ215" s="1062">
        <f>'No Recurrentes 24-26'!CV74</f>
        <v>0</v>
      </c>
      <c r="BK215" s="1068"/>
      <c r="BL215" s="1062">
        <f>'No Recurrentes 24-26'!CW74</f>
        <v>0</v>
      </c>
      <c r="BM215" s="1062">
        <f>'No Recurrentes 24-26'!CX74</f>
        <v>0</v>
      </c>
      <c r="BN215" s="1062">
        <f>'No Recurrentes 24-26'!CY74</f>
        <v>0</v>
      </c>
      <c r="BO215" s="1062">
        <f>'No Recurrentes 24-26'!CZ74</f>
        <v>0</v>
      </c>
      <c r="BP215" s="1062">
        <f>'No Recurrentes 24-26'!DA74</f>
        <v>57066.8496</v>
      </c>
      <c r="BQ215" s="1062">
        <f>'No Recurrentes 24-26'!DB74</f>
        <v>0</v>
      </c>
      <c r="BR215" s="1062">
        <f>'No Recurrentes 24-26'!DC74</f>
        <v>0</v>
      </c>
      <c r="BS215" s="1062">
        <f>'No Recurrentes 24-26'!DD74</f>
        <v>0</v>
      </c>
      <c r="BT215" s="1062">
        <f>'No Recurrentes 24-26'!DE74</f>
        <v>0</v>
      </c>
      <c r="BU215" s="1062">
        <f>'No Recurrentes 24-26'!DF74</f>
        <v>0</v>
      </c>
      <c r="BV215" s="1062">
        <f>'No Recurrentes 24-26'!DG74</f>
        <v>0</v>
      </c>
      <c r="BW215" s="1068"/>
      <c r="BX215" s="1062">
        <f>'No Recurrentes 24-26'!DH74</f>
        <v>57066.8496</v>
      </c>
      <c r="BY215" s="1062">
        <f>'No Recurrentes 24-26'!DI74</f>
        <v>0</v>
      </c>
      <c r="BZ215" s="1062">
        <f>'No Recurrentes 24-26'!DJ74</f>
        <v>0</v>
      </c>
      <c r="CA215" s="1062">
        <f>'No Recurrentes 24-26'!DK74</f>
        <v>0</v>
      </c>
      <c r="CB215" s="1062">
        <f>'No Recurrentes 24-26'!DL74</f>
        <v>0</v>
      </c>
      <c r="CC215" s="1062">
        <f>'No Recurrentes 24-26'!DM74</f>
        <v>0</v>
      </c>
      <c r="CD215" s="1062">
        <f>'No Recurrentes 24-26'!DN74</f>
        <v>0</v>
      </c>
      <c r="CE215" s="1062">
        <f>'No Recurrentes 24-26'!DO74</f>
        <v>0</v>
      </c>
      <c r="CF215" s="1062">
        <f>'No Recurrentes 24-26'!DP74</f>
        <v>0</v>
      </c>
      <c r="CG215" s="1062">
        <f>'No Recurrentes 24-26'!DQ74</f>
        <v>0</v>
      </c>
      <c r="CH215" s="1062">
        <f>'No Recurrentes 24-26'!DR74</f>
        <v>0</v>
      </c>
      <c r="CI215" s="1068"/>
      <c r="CJ215" s="1062">
        <f>'No Recurrentes 24-26'!DS74</f>
        <v>0</v>
      </c>
      <c r="CK215" s="1062">
        <f>'No Recurrentes 24-26'!DT74</f>
        <v>57066.8496</v>
      </c>
      <c r="CL215" s="1064" t="str">
        <f>'No Recurrentes 24-26'!DU74</f>
        <v/>
      </c>
      <c r="CM215" s="1064" t="str">
        <f>'No Recurrentes 24-26'!DV74</f>
        <v/>
      </c>
      <c r="CN215" s="1065">
        <f>'No Recurrentes 24-26'!EI73</f>
        <v>8341.04</v>
      </c>
      <c r="CO215" s="1065">
        <f>'No Recurrentes 24-26'!EJ73</f>
        <v>7089.88</v>
      </c>
      <c r="CP215" s="1060" t="str">
        <f>'No Recurrentes 24-26'!EK73</f>
        <v/>
      </c>
    </row>
    <row r="216">
      <c r="A216" s="451" t="str">
        <f>'No Recurrentes 24-26'!A75</f>
        <v>Repuestos Electromecánicos no recurrentes</v>
      </c>
      <c r="B216" s="451">
        <f>'No Recurrentes 24-26'!B75</f>
        <v>2</v>
      </c>
      <c r="C216" s="451" t="str">
        <f>'No Recurrentes 24-26'!C75</f>
        <v>Estación</v>
      </c>
      <c r="D216" s="451" t="str">
        <f>'No Recurrentes 24-26'!D75</f>
        <v>Manto. Agujas</v>
      </c>
      <c r="E216" s="451" t="str">
        <f>'No Recurrentes 24-26'!E75</f>
        <v>Repuesto Mecánico</v>
      </c>
      <c r="F216" s="451" t="str">
        <f>'No Recurrentes 24-26'!F75</f>
        <v>TDB</v>
      </c>
      <c r="G216" s="1025" t="str">
        <f>'No Recurrentes 24-26'!G75</f>
        <v>39800</v>
      </c>
      <c r="H216" s="1061" t="str">
        <f>'No Recurrentes 24-26'!H75</f>
        <v>2-01-00857</v>
      </c>
      <c r="I216" s="1061" t="str">
        <f>'No Recurrentes 24-26'!I75</f>
        <v>10239621</v>
      </c>
      <c r="J216" s="1061" t="str">
        <f>'No Recurrentes 24-26'!J75</f>
        <v>JUNTA CARD.A RÓT. TS ATL/BSA 25 R.EXT.=M12X1,75</v>
      </c>
      <c r="K216" s="451" t="str">
        <f>'No Recurrentes 24-26'!K75</f>
        <v>Pza</v>
      </c>
      <c r="L216" s="451">
        <f>'No Recurrentes 24-26'!BC75</f>
        <v>2</v>
      </c>
      <c r="M216" s="451">
        <f>'No Recurrentes 24-26'!BD75</f>
        <v>2</v>
      </c>
      <c r="N216" s="451">
        <f>'No Recurrentes 24-26'!BE75</f>
        <v>2</v>
      </c>
      <c r="O216" s="451">
        <f>'No Recurrentes 24-26'!BF75</f>
        <v>2</v>
      </c>
      <c r="P216" s="451">
        <f>'No Recurrentes 24-26'!BG75</f>
        <v>2</v>
      </c>
      <c r="Q216" s="451">
        <f>'No Recurrentes 24-26'!BH75</f>
        <v>2</v>
      </c>
      <c r="R216" s="451">
        <f>'No Recurrentes 24-26'!BI75</f>
        <v>2</v>
      </c>
      <c r="S216" s="451">
        <f>'No Recurrentes 24-26'!BJ75</f>
        <v>2</v>
      </c>
      <c r="T216" s="451">
        <f>'No Recurrentes 24-26'!BK75</f>
        <v>1</v>
      </c>
      <c r="U216" s="451">
        <f>'No Recurrentes 24-26'!BL75</f>
        <v>1</v>
      </c>
      <c r="V216" s="1068"/>
      <c r="W216" s="1062">
        <f>'No Recurrentes 24-26'!BM75</f>
        <v>18</v>
      </c>
      <c r="X216" s="1062" t="str">
        <f>'No Recurrentes 24-26'!BN75</f>
        <v/>
      </c>
      <c r="Y216" s="1062" t="str">
        <f>'No Recurrentes 24-26'!BO75</f>
        <v/>
      </c>
      <c r="Z216" s="1062" t="str">
        <f>'No Recurrentes 24-26'!BP75</f>
        <v/>
      </c>
      <c r="AA216" s="1062" t="str">
        <f>'No Recurrentes 24-26'!BQ75</f>
        <v/>
      </c>
      <c r="AB216" s="1062" t="str">
        <f>'No Recurrentes 24-26'!BR75</f>
        <v/>
      </c>
      <c r="AC216" s="1062" t="str">
        <f>'No Recurrentes 24-26'!BS75</f>
        <v/>
      </c>
      <c r="AD216" s="1062" t="str">
        <f>'No Recurrentes 24-26'!BT75</f>
        <v/>
      </c>
      <c r="AE216" s="1062" t="str">
        <f>'No Recurrentes 24-26'!BU75</f>
        <v/>
      </c>
      <c r="AF216" s="1062" t="str">
        <f>'No Recurrentes 24-26'!BV75</f>
        <v/>
      </c>
      <c r="AG216" s="1062" t="str">
        <f>'No Recurrentes 24-26'!BW75</f>
        <v/>
      </c>
      <c r="AH216" s="1068"/>
      <c r="AI216" s="1062">
        <f>'No Recurrentes 24-26'!BX75</f>
        <v>0</v>
      </c>
      <c r="AJ216" s="1062">
        <f>'No Recurrentes 24-26'!BY75</f>
        <v>0</v>
      </c>
      <c r="AK216" s="1062">
        <f>'No Recurrentes 24-26'!BZ75</f>
        <v>0</v>
      </c>
      <c r="AL216" s="1062">
        <f>'No Recurrentes 24-26'!CA75</f>
        <v>0</v>
      </c>
      <c r="AM216" s="1062">
        <f>'No Recurrentes 24-26'!CB75</f>
        <v>0</v>
      </c>
      <c r="AN216" s="1062">
        <f>'No Recurrentes 24-26'!CC75</f>
        <v>0</v>
      </c>
      <c r="AO216" s="1062">
        <f>'No Recurrentes 24-26'!CD75</f>
        <v>0</v>
      </c>
      <c r="AP216" s="1062">
        <f>'No Recurrentes 24-26'!CE75</f>
        <v>0</v>
      </c>
      <c r="AQ216" s="1062">
        <f>'No Recurrentes 24-26'!CF75</f>
        <v>0</v>
      </c>
      <c r="AR216" s="1062">
        <f>'No Recurrentes 24-26'!CG75</f>
        <v>0</v>
      </c>
      <c r="AS216" s="1062">
        <f>'No Recurrentes 24-26'!CH75</f>
        <v>1</v>
      </c>
      <c r="AT216" s="1068"/>
      <c r="AU216" s="1062">
        <f>'No Recurrentes 24-26'!CI75</f>
        <v>1</v>
      </c>
      <c r="AV216" s="1063">
        <f>'No Recurrentes 24-26'!CJ75</f>
        <v>19</v>
      </c>
      <c r="AW216" s="1068"/>
      <c r="AX216" s="1065">
        <f>'No Recurrentes 24-26'!CK75</f>
        <v>123.37</v>
      </c>
      <c r="AY216" s="1062">
        <f>'No Recurrentes 24-26'!CL75</f>
        <v>858.6552</v>
      </c>
      <c r="AZ216" s="1068"/>
      <c r="BA216" s="1062">
        <f>'No Recurrentes 24-26'!CM75</f>
        <v>1717.3104</v>
      </c>
      <c r="BB216" s="1062">
        <f>'No Recurrentes 24-26'!CN75</f>
        <v>1717.3104</v>
      </c>
      <c r="BC216" s="1062">
        <f>'No Recurrentes 24-26'!CO75</f>
        <v>1717.3104</v>
      </c>
      <c r="BD216" s="1062">
        <f>'No Recurrentes 24-26'!CP75</f>
        <v>1717.3104</v>
      </c>
      <c r="BE216" s="1062">
        <f>'No Recurrentes 24-26'!CQ75</f>
        <v>1717.3104</v>
      </c>
      <c r="BF216" s="1062">
        <f>'No Recurrentes 24-26'!CR75</f>
        <v>1717.3104</v>
      </c>
      <c r="BG216" s="1062">
        <f>'No Recurrentes 24-26'!CS75</f>
        <v>1717.3104</v>
      </c>
      <c r="BH216" s="1062">
        <f>'No Recurrentes 24-26'!CT75</f>
        <v>1717.3104</v>
      </c>
      <c r="BI216" s="1062">
        <f>'No Recurrentes 24-26'!CU75</f>
        <v>858.6552</v>
      </c>
      <c r="BJ216" s="1062">
        <f>'No Recurrentes 24-26'!CV75</f>
        <v>858.6552</v>
      </c>
      <c r="BK216" s="1068"/>
      <c r="BL216" s="1062">
        <f>'No Recurrentes 24-26'!CW75</f>
        <v>15455.7936</v>
      </c>
      <c r="BM216" s="1062">
        <f>'No Recurrentes 24-26'!CX75</f>
        <v>0</v>
      </c>
      <c r="BN216" s="1062">
        <f>'No Recurrentes 24-26'!CY75</f>
        <v>0</v>
      </c>
      <c r="BO216" s="1062">
        <f>'No Recurrentes 24-26'!CZ75</f>
        <v>0</v>
      </c>
      <c r="BP216" s="1062">
        <f>'No Recurrentes 24-26'!DA75</f>
        <v>0</v>
      </c>
      <c r="BQ216" s="1062">
        <f>'No Recurrentes 24-26'!DB75</f>
        <v>0</v>
      </c>
      <c r="BR216" s="1062">
        <f>'No Recurrentes 24-26'!DC75</f>
        <v>0</v>
      </c>
      <c r="BS216" s="1062">
        <f>'No Recurrentes 24-26'!DD75</f>
        <v>0</v>
      </c>
      <c r="BT216" s="1062">
        <f>'No Recurrentes 24-26'!DE75</f>
        <v>0</v>
      </c>
      <c r="BU216" s="1062">
        <f>'No Recurrentes 24-26'!DF75</f>
        <v>0</v>
      </c>
      <c r="BV216" s="1062">
        <f>'No Recurrentes 24-26'!DG75</f>
        <v>0</v>
      </c>
      <c r="BW216" s="1068"/>
      <c r="BX216" s="1062">
        <f>'No Recurrentes 24-26'!DH75</f>
        <v>0</v>
      </c>
      <c r="BY216" s="1062">
        <f>'No Recurrentes 24-26'!DI75</f>
        <v>0</v>
      </c>
      <c r="BZ216" s="1062">
        <f>'No Recurrentes 24-26'!DJ75</f>
        <v>0</v>
      </c>
      <c r="CA216" s="1062">
        <f>'No Recurrentes 24-26'!DK75</f>
        <v>0</v>
      </c>
      <c r="CB216" s="1062">
        <f>'No Recurrentes 24-26'!DL75</f>
        <v>0</v>
      </c>
      <c r="CC216" s="1062">
        <f>'No Recurrentes 24-26'!DM75</f>
        <v>0</v>
      </c>
      <c r="CD216" s="1062">
        <f>'No Recurrentes 24-26'!DN75</f>
        <v>0</v>
      </c>
      <c r="CE216" s="1062">
        <f>'No Recurrentes 24-26'!DO75</f>
        <v>0</v>
      </c>
      <c r="CF216" s="1062">
        <f>'No Recurrentes 24-26'!DP75</f>
        <v>0</v>
      </c>
      <c r="CG216" s="1062">
        <f>'No Recurrentes 24-26'!DQ75</f>
        <v>0</v>
      </c>
      <c r="CH216" s="1062">
        <f>'No Recurrentes 24-26'!DR75</f>
        <v>858.6552</v>
      </c>
      <c r="CI216" s="1068"/>
      <c r="CJ216" s="1062">
        <f>'No Recurrentes 24-26'!DS75</f>
        <v>858.6552</v>
      </c>
      <c r="CK216" s="1062">
        <f>'No Recurrentes 24-26'!DT75</f>
        <v>16314.4488</v>
      </c>
      <c r="CL216" s="1064" t="str">
        <f>'No Recurrentes 24-26'!DU75</f>
        <v/>
      </c>
      <c r="CM216" s="1064" t="str">
        <f>'No Recurrentes 24-26'!DV75</f>
        <v/>
      </c>
      <c r="CN216" s="1065">
        <f>'No Recurrentes 24-26'!EI74</f>
        <v>8199.26</v>
      </c>
      <c r="CO216" s="1065">
        <f>'No Recurrentes 24-26'!EJ74</f>
        <v>6969.37</v>
      </c>
      <c r="CP216" s="1060" t="str">
        <f>'No Recurrentes 24-26'!EK74</f>
        <v/>
      </c>
    </row>
    <row r="217">
      <c r="A217" s="451" t="str">
        <f>'No Recurrentes 24-26'!A76</f>
        <v>Repuestos Electromecánicos no recurrentes</v>
      </c>
      <c r="B217" s="451">
        <f>'No Recurrentes 24-26'!B76</f>
        <v>2</v>
      </c>
      <c r="C217" s="451" t="str">
        <f>'No Recurrentes 24-26'!C76</f>
        <v>Estación</v>
      </c>
      <c r="D217" s="451" t="str">
        <f>'No Recurrentes 24-26'!D76</f>
        <v>Manto. Agujas</v>
      </c>
      <c r="E217" s="451" t="str">
        <f>'No Recurrentes 24-26'!E76</f>
        <v>Repuesto Mecánico</v>
      </c>
      <c r="F217" s="451" t="str">
        <f>'No Recurrentes 24-26'!F76</f>
        <v>TDB</v>
      </c>
      <c r="G217" s="1025" t="str">
        <f>'No Recurrentes 24-26'!G76</f>
        <v>39800</v>
      </c>
      <c r="H217" s="1061" t="str">
        <f>'No Recurrentes 24-26'!H76</f>
        <v>2-01-00243</v>
      </c>
      <c r="I217" s="1061" t="str">
        <f>'No Recurrentes 24-26'!I76</f>
        <v>10004076</v>
      </c>
      <c r="J217" s="1061" t="str">
        <f>'No Recurrentes 24-26'!J76</f>
        <v>RODAM.RAN. DIN 625/1- 6305-2RS RODAMIENTO RANURADO DE BOLAS</v>
      </c>
      <c r="K217" s="451" t="str">
        <f>'No Recurrentes 24-26'!K76</f>
        <v>Pza</v>
      </c>
      <c r="L217" s="451" t="str">
        <f>'No Recurrentes 24-26'!BC76</f>
        <v/>
      </c>
      <c r="M217" s="451" t="str">
        <f>'No Recurrentes 24-26'!BD76</f>
        <v/>
      </c>
      <c r="N217" s="451" t="str">
        <f>'No Recurrentes 24-26'!BE76</f>
        <v/>
      </c>
      <c r="O217" s="451" t="str">
        <f>'No Recurrentes 24-26'!BF76</f>
        <v/>
      </c>
      <c r="P217" s="451" t="str">
        <f>'No Recurrentes 24-26'!BG76</f>
        <v/>
      </c>
      <c r="Q217" s="451" t="str">
        <f>'No Recurrentes 24-26'!BH76</f>
        <v/>
      </c>
      <c r="R217" s="451" t="str">
        <f>'No Recurrentes 24-26'!BI76</f>
        <v/>
      </c>
      <c r="S217" s="451" t="str">
        <f>'No Recurrentes 24-26'!BJ76</f>
        <v/>
      </c>
      <c r="T217" s="451" t="str">
        <f>'No Recurrentes 24-26'!BK76</f>
        <v/>
      </c>
      <c r="U217" s="451" t="str">
        <f>'No Recurrentes 24-26'!BL76</f>
        <v/>
      </c>
      <c r="V217" s="1068"/>
      <c r="W217" s="1062">
        <f>'No Recurrentes 24-26'!BM76</f>
        <v>0</v>
      </c>
      <c r="X217" s="1062">
        <f>'No Recurrentes 24-26'!BN76</f>
        <v>4</v>
      </c>
      <c r="Y217" s="1062">
        <f>'No Recurrentes 24-26'!BO76</f>
        <v>2</v>
      </c>
      <c r="Z217" s="1062">
        <f>'No Recurrentes 24-26'!BP76</f>
        <v>4</v>
      </c>
      <c r="AA217" s="1062">
        <f>'No Recurrentes 24-26'!BQ76</f>
        <v>6</v>
      </c>
      <c r="AB217" s="1062">
        <f>'No Recurrentes 24-26'!BR76</f>
        <v>2</v>
      </c>
      <c r="AC217" s="1062">
        <f>'No Recurrentes 24-26'!BS76</f>
        <v>2</v>
      </c>
      <c r="AD217" s="1062">
        <f>'No Recurrentes 24-26'!BT76</f>
        <v>2</v>
      </c>
      <c r="AE217" s="1062">
        <f>'No Recurrentes 24-26'!BU76</f>
        <v>2</v>
      </c>
      <c r="AF217" s="1062" t="str">
        <f>'No Recurrentes 24-26'!BV76</f>
        <v/>
      </c>
      <c r="AG217" s="1062" t="str">
        <f>'No Recurrentes 24-26'!BW76</f>
        <v/>
      </c>
      <c r="AH217" s="1068"/>
      <c r="AI217" s="1062">
        <f>'No Recurrentes 24-26'!BX76</f>
        <v>24</v>
      </c>
      <c r="AJ217" s="1062">
        <f>'No Recurrentes 24-26'!BY76</f>
        <v>2</v>
      </c>
      <c r="AK217" s="1062">
        <f>'No Recurrentes 24-26'!BZ76</f>
        <v>0</v>
      </c>
      <c r="AL217" s="1062">
        <f>'No Recurrentes 24-26'!CA76</f>
        <v>0</v>
      </c>
      <c r="AM217" s="1062">
        <f>'No Recurrentes 24-26'!CB76</f>
        <v>0</v>
      </c>
      <c r="AN217" s="1062">
        <f>'No Recurrentes 24-26'!CC76</f>
        <v>0</v>
      </c>
      <c r="AO217" s="1062">
        <f>'No Recurrentes 24-26'!CD76</f>
        <v>0</v>
      </c>
      <c r="AP217" s="1062">
        <f>'No Recurrentes 24-26'!CE76</f>
        <v>0</v>
      </c>
      <c r="AQ217" s="1062">
        <f>'No Recurrentes 24-26'!CF76</f>
        <v>0</v>
      </c>
      <c r="AR217" s="1062">
        <f>'No Recurrentes 24-26'!CG76</f>
        <v>0</v>
      </c>
      <c r="AS217" s="1062">
        <f>'No Recurrentes 24-26'!CH76</f>
        <v>4</v>
      </c>
      <c r="AT217" s="1068"/>
      <c r="AU217" s="1062">
        <f>'No Recurrentes 24-26'!CI76</f>
        <v>6</v>
      </c>
      <c r="AV217" s="1063">
        <f>'No Recurrentes 24-26'!CJ76</f>
        <v>30</v>
      </c>
      <c r="AW217" s="1068"/>
      <c r="AX217" s="1065">
        <f>'No Recurrentes 24-26'!CK76</f>
        <v>17.11</v>
      </c>
      <c r="AY217" s="1062">
        <f>'No Recurrentes 24-26'!CL76</f>
        <v>119.0856</v>
      </c>
      <c r="AZ217" s="1068"/>
      <c r="BA217" s="1062">
        <f>'No Recurrentes 24-26'!CM76</f>
        <v>0</v>
      </c>
      <c r="BB217" s="1062">
        <f>'No Recurrentes 24-26'!CN76</f>
        <v>0</v>
      </c>
      <c r="BC217" s="1062">
        <f>'No Recurrentes 24-26'!CO76</f>
        <v>0</v>
      </c>
      <c r="BD217" s="1062">
        <f>'No Recurrentes 24-26'!CP76</f>
        <v>0</v>
      </c>
      <c r="BE217" s="1062">
        <f>'No Recurrentes 24-26'!CQ76</f>
        <v>0</v>
      </c>
      <c r="BF217" s="1062">
        <f>'No Recurrentes 24-26'!CR76</f>
        <v>0</v>
      </c>
      <c r="BG217" s="1062">
        <f>'No Recurrentes 24-26'!CS76</f>
        <v>0</v>
      </c>
      <c r="BH217" s="1062">
        <f>'No Recurrentes 24-26'!CT76</f>
        <v>0</v>
      </c>
      <c r="BI217" s="1062">
        <f>'No Recurrentes 24-26'!CU76</f>
        <v>0</v>
      </c>
      <c r="BJ217" s="1062">
        <f>'No Recurrentes 24-26'!CV76</f>
        <v>0</v>
      </c>
      <c r="BK217" s="1068"/>
      <c r="BL217" s="1062">
        <f>'No Recurrentes 24-26'!CW76</f>
        <v>0</v>
      </c>
      <c r="BM217" s="1062">
        <f>'No Recurrentes 24-26'!CX76</f>
        <v>476.3424</v>
      </c>
      <c r="BN217" s="1062">
        <f>'No Recurrentes 24-26'!CY76</f>
        <v>238.1712</v>
      </c>
      <c r="BO217" s="1062">
        <f>'No Recurrentes 24-26'!CZ76</f>
        <v>476.3424</v>
      </c>
      <c r="BP217" s="1062">
        <f>'No Recurrentes 24-26'!DA76</f>
        <v>714.5136</v>
      </c>
      <c r="BQ217" s="1062">
        <f>'No Recurrentes 24-26'!DB76</f>
        <v>238.1712</v>
      </c>
      <c r="BR217" s="1062">
        <f>'No Recurrentes 24-26'!DC76</f>
        <v>238.1712</v>
      </c>
      <c r="BS217" s="1062">
        <f>'No Recurrentes 24-26'!DD76</f>
        <v>238.1712</v>
      </c>
      <c r="BT217" s="1062">
        <f>'No Recurrentes 24-26'!DE76</f>
        <v>238.1712</v>
      </c>
      <c r="BU217" s="1062">
        <f>'No Recurrentes 24-26'!DF76</f>
        <v>0</v>
      </c>
      <c r="BV217" s="1062">
        <f>'No Recurrentes 24-26'!DG76</f>
        <v>0</v>
      </c>
      <c r="BW217" s="1068"/>
      <c r="BX217" s="1062">
        <f>'No Recurrentes 24-26'!DH76</f>
        <v>2858.0544</v>
      </c>
      <c r="BY217" s="1062">
        <f>'No Recurrentes 24-26'!DI76</f>
        <v>238.1712</v>
      </c>
      <c r="BZ217" s="1062">
        <f>'No Recurrentes 24-26'!DJ76</f>
        <v>0</v>
      </c>
      <c r="CA217" s="1062">
        <f>'No Recurrentes 24-26'!DK76</f>
        <v>0</v>
      </c>
      <c r="CB217" s="1062">
        <f>'No Recurrentes 24-26'!DL76</f>
        <v>0</v>
      </c>
      <c r="CC217" s="1062">
        <f>'No Recurrentes 24-26'!DM76</f>
        <v>0</v>
      </c>
      <c r="CD217" s="1062">
        <f>'No Recurrentes 24-26'!DN76</f>
        <v>0</v>
      </c>
      <c r="CE217" s="1062">
        <f>'No Recurrentes 24-26'!DO76</f>
        <v>0</v>
      </c>
      <c r="CF217" s="1062">
        <f>'No Recurrentes 24-26'!DP76</f>
        <v>0</v>
      </c>
      <c r="CG217" s="1062">
        <f>'No Recurrentes 24-26'!DQ76</f>
        <v>0</v>
      </c>
      <c r="CH217" s="1062">
        <f>'No Recurrentes 24-26'!DR76</f>
        <v>476.3424</v>
      </c>
      <c r="CI217" s="1068"/>
      <c r="CJ217" s="1062">
        <f>'No Recurrentes 24-26'!DS76</f>
        <v>714.5136</v>
      </c>
      <c r="CK217" s="1062">
        <f>'No Recurrentes 24-26'!DT76</f>
        <v>3572.568</v>
      </c>
      <c r="CL217" s="1064" t="str">
        <f>'No Recurrentes 24-26'!DU76</f>
        <v/>
      </c>
      <c r="CM217" s="1064" t="str">
        <f>'No Recurrentes 24-26'!DV76</f>
        <v/>
      </c>
      <c r="CN217" s="1065">
        <f>'No Recurrentes 24-26'!EI75</f>
        <v>123.37</v>
      </c>
      <c r="CO217" s="1065">
        <f>'No Recurrentes 24-26'!EJ75</f>
        <v>104.86</v>
      </c>
      <c r="CP217" s="1060" t="str">
        <f>'No Recurrentes 24-26'!EK75</f>
        <v/>
      </c>
    </row>
    <row r="218">
      <c r="A218" s="451" t="str">
        <f>'No Recurrentes 24-26'!A77</f>
        <v>Repuestos Electromecánicos no recurrentes</v>
      </c>
      <c r="B218" s="451">
        <f>'No Recurrentes 24-26'!B77</f>
        <v>2</v>
      </c>
      <c r="C218" s="451" t="str">
        <f>'No Recurrentes 24-26'!C77</f>
        <v>Estación</v>
      </c>
      <c r="D218" s="451" t="str">
        <f>'No Recurrentes 24-26'!D77</f>
        <v>Manto. Agujas</v>
      </c>
      <c r="E218" s="451" t="str">
        <f>'No Recurrentes 24-26'!E77</f>
        <v>Repuesto Mecánico</v>
      </c>
      <c r="F218" s="451" t="str">
        <f>'No Recurrentes 24-26'!F77</f>
        <v>TDB</v>
      </c>
      <c r="G218" s="1025" t="str">
        <f>'No Recurrentes 24-26'!G77</f>
        <v>39800</v>
      </c>
      <c r="H218" s="1061" t="str">
        <f>'No Recurrentes 24-26'!H77</f>
        <v/>
      </c>
      <c r="I218" s="1061" t="str">
        <f>'No Recurrentes 24-26'!I77</f>
        <v>11308584</v>
      </c>
      <c r="J218" s="1061" t="str">
        <f>'No Recurrentes 24-26'!J77</f>
        <v>TORNILLO ISO 4017-8.8U M16X80 GIC TORN. HEXAG.</v>
      </c>
      <c r="K218" s="451" t="str">
        <f>'No Recurrentes 24-26'!K77</f>
        <v>Pza</v>
      </c>
      <c r="L218" s="451" t="str">
        <f>'No Recurrentes 24-26'!BC77</f>
        <v/>
      </c>
      <c r="M218" s="451" t="str">
        <f>'No Recurrentes 24-26'!BD77</f>
        <v/>
      </c>
      <c r="N218" s="451" t="str">
        <f>'No Recurrentes 24-26'!BE77</f>
        <v/>
      </c>
      <c r="O218" s="451" t="str">
        <f>'No Recurrentes 24-26'!BF77</f>
        <v/>
      </c>
      <c r="P218" s="451" t="str">
        <f>'No Recurrentes 24-26'!BG77</f>
        <v/>
      </c>
      <c r="Q218" s="451" t="str">
        <f>'No Recurrentes 24-26'!BH77</f>
        <v/>
      </c>
      <c r="R218" s="451" t="str">
        <f>'No Recurrentes 24-26'!BI77</f>
        <v/>
      </c>
      <c r="S218" s="451" t="str">
        <f>'No Recurrentes 24-26'!BJ77</f>
        <v/>
      </c>
      <c r="T218" s="451" t="str">
        <f>'No Recurrentes 24-26'!BK77</f>
        <v/>
      </c>
      <c r="U218" s="451" t="str">
        <f>'No Recurrentes 24-26'!BL77</f>
        <v/>
      </c>
      <c r="V218" s="1068"/>
      <c r="W218" s="1062">
        <f>'No Recurrentes 24-26'!BM77</f>
        <v>0</v>
      </c>
      <c r="X218" s="1062">
        <f>'No Recurrentes 24-26'!BN77</f>
        <v>2</v>
      </c>
      <c r="Y218" s="1062" t="str">
        <f>'No Recurrentes 24-26'!BO77</f>
        <v/>
      </c>
      <c r="Z218" s="1062">
        <f>'No Recurrentes 24-26'!BP77</f>
        <v>2</v>
      </c>
      <c r="AA218" s="1062">
        <f>'No Recurrentes 24-26'!BQ77</f>
        <v>2</v>
      </c>
      <c r="AB218" s="1062">
        <f>'No Recurrentes 24-26'!BR77</f>
        <v>4</v>
      </c>
      <c r="AC218" s="1062" t="str">
        <f>'No Recurrentes 24-26'!BS77</f>
        <v/>
      </c>
      <c r="AD218" s="1062" t="str">
        <f>'No Recurrentes 24-26'!BT77</f>
        <v/>
      </c>
      <c r="AE218" s="1062" t="str">
        <f>'No Recurrentes 24-26'!BU77</f>
        <v/>
      </c>
      <c r="AF218" s="1062" t="str">
        <f>'No Recurrentes 24-26'!BV77</f>
        <v/>
      </c>
      <c r="AG218" s="1062" t="str">
        <f>'No Recurrentes 24-26'!BW77</f>
        <v/>
      </c>
      <c r="AH218" s="1068"/>
      <c r="AI218" s="1062">
        <f>'No Recurrentes 24-26'!BX77</f>
        <v>10</v>
      </c>
      <c r="AJ218" s="1062">
        <f>'No Recurrentes 24-26'!BY77</f>
        <v>0</v>
      </c>
      <c r="AK218" s="1062">
        <f>'No Recurrentes 24-26'!BZ77</f>
        <v>0</v>
      </c>
      <c r="AL218" s="1062">
        <f>'No Recurrentes 24-26'!CA77</f>
        <v>0</v>
      </c>
      <c r="AM218" s="1062">
        <f>'No Recurrentes 24-26'!CB77</f>
        <v>0</v>
      </c>
      <c r="AN218" s="1062">
        <f>'No Recurrentes 24-26'!CC77</f>
        <v>0</v>
      </c>
      <c r="AO218" s="1062">
        <f>'No Recurrentes 24-26'!CD77</f>
        <v>0</v>
      </c>
      <c r="AP218" s="1062">
        <f>'No Recurrentes 24-26'!CE77</f>
        <v>0</v>
      </c>
      <c r="AQ218" s="1062">
        <f>'No Recurrentes 24-26'!CF77</f>
        <v>0</v>
      </c>
      <c r="AR218" s="1062">
        <f>'No Recurrentes 24-26'!CG77</f>
        <v>0</v>
      </c>
      <c r="AS218" s="1062">
        <f>'No Recurrentes 24-26'!CH77</f>
        <v>0</v>
      </c>
      <c r="AT218" s="1068"/>
      <c r="AU218" s="1062">
        <f>'No Recurrentes 24-26'!CI77</f>
        <v>0</v>
      </c>
      <c r="AV218" s="1063">
        <f>'No Recurrentes 24-26'!CJ77</f>
        <v>10</v>
      </c>
      <c r="AW218" s="1068"/>
      <c r="AX218" s="1065">
        <f>'No Recurrentes 24-26'!CK77</f>
        <v>3.77</v>
      </c>
      <c r="AY218" s="1062">
        <f>'No Recurrentes 24-26'!CL77</f>
        <v>26.2392</v>
      </c>
      <c r="AZ218" s="1068"/>
      <c r="BA218" s="1062">
        <f>'No Recurrentes 24-26'!CM77</f>
        <v>0</v>
      </c>
      <c r="BB218" s="1062">
        <f>'No Recurrentes 24-26'!CN77</f>
        <v>0</v>
      </c>
      <c r="BC218" s="1062">
        <f>'No Recurrentes 24-26'!CO77</f>
        <v>0</v>
      </c>
      <c r="BD218" s="1062">
        <f>'No Recurrentes 24-26'!CP77</f>
        <v>0</v>
      </c>
      <c r="BE218" s="1062">
        <f>'No Recurrentes 24-26'!CQ77</f>
        <v>0</v>
      </c>
      <c r="BF218" s="1062">
        <f>'No Recurrentes 24-26'!CR77</f>
        <v>0</v>
      </c>
      <c r="BG218" s="1062">
        <f>'No Recurrentes 24-26'!CS77</f>
        <v>0</v>
      </c>
      <c r="BH218" s="1062">
        <f>'No Recurrentes 24-26'!CT77</f>
        <v>0</v>
      </c>
      <c r="BI218" s="1062">
        <f>'No Recurrentes 24-26'!CU77</f>
        <v>0</v>
      </c>
      <c r="BJ218" s="1062">
        <f>'No Recurrentes 24-26'!CV77</f>
        <v>0</v>
      </c>
      <c r="BK218" s="1068"/>
      <c r="BL218" s="1062">
        <f>'No Recurrentes 24-26'!CW77</f>
        <v>0</v>
      </c>
      <c r="BM218" s="1062">
        <f>'No Recurrentes 24-26'!CX77</f>
        <v>52.4784</v>
      </c>
      <c r="BN218" s="1062">
        <f>'No Recurrentes 24-26'!CY77</f>
        <v>0</v>
      </c>
      <c r="BO218" s="1062">
        <f>'No Recurrentes 24-26'!CZ77</f>
        <v>52.4784</v>
      </c>
      <c r="BP218" s="1062">
        <f>'No Recurrentes 24-26'!DA77</f>
        <v>52.4784</v>
      </c>
      <c r="BQ218" s="1062">
        <f>'No Recurrentes 24-26'!DB77</f>
        <v>104.9568</v>
      </c>
      <c r="BR218" s="1062">
        <f>'No Recurrentes 24-26'!DC77</f>
        <v>0</v>
      </c>
      <c r="BS218" s="1062">
        <f>'No Recurrentes 24-26'!DD77</f>
        <v>0</v>
      </c>
      <c r="BT218" s="1062">
        <f>'No Recurrentes 24-26'!DE77</f>
        <v>0</v>
      </c>
      <c r="BU218" s="1062">
        <f>'No Recurrentes 24-26'!DF77</f>
        <v>0</v>
      </c>
      <c r="BV218" s="1062">
        <f>'No Recurrentes 24-26'!DG77</f>
        <v>0</v>
      </c>
      <c r="BW218" s="1068"/>
      <c r="BX218" s="1062">
        <f>'No Recurrentes 24-26'!DH77</f>
        <v>262.392</v>
      </c>
      <c r="BY218" s="1062">
        <f>'No Recurrentes 24-26'!DI77</f>
        <v>0</v>
      </c>
      <c r="BZ218" s="1062">
        <f>'No Recurrentes 24-26'!DJ77</f>
        <v>0</v>
      </c>
      <c r="CA218" s="1062">
        <f>'No Recurrentes 24-26'!DK77</f>
        <v>0</v>
      </c>
      <c r="CB218" s="1062">
        <f>'No Recurrentes 24-26'!DL77</f>
        <v>0</v>
      </c>
      <c r="CC218" s="1062">
        <f>'No Recurrentes 24-26'!DM77</f>
        <v>0</v>
      </c>
      <c r="CD218" s="1062">
        <f>'No Recurrentes 24-26'!DN77</f>
        <v>0</v>
      </c>
      <c r="CE218" s="1062">
        <f>'No Recurrentes 24-26'!DO77</f>
        <v>0</v>
      </c>
      <c r="CF218" s="1062">
        <f>'No Recurrentes 24-26'!DP77</f>
        <v>0</v>
      </c>
      <c r="CG218" s="1062">
        <f>'No Recurrentes 24-26'!DQ77</f>
        <v>0</v>
      </c>
      <c r="CH218" s="1062">
        <f>'No Recurrentes 24-26'!DR77</f>
        <v>0</v>
      </c>
      <c r="CI218" s="1068"/>
      <c r="CJ218" s="1062">
        <f>'No Recurrentes 24-26'!DS77</f>
        <v>0</v>
      </c>
      <c r="CK218" s="1062">
        <f>'No Recurrentes 24-26'!DT77</f>
        <v>262.392</v>
      </c>
      <c r="CL218" s="1064" t="str">
        <f>'No Recurrentes 24-26'!DU77</f>
        <v/>
      </c>
      <c r="CM218" s="1064" t="str">
        <f>'No Recurrentes 24-26'!DV77</f>
        <v/>
      </c>
      <c r="CN218" s="1065">
        <f>'No Recurrentes 24-26'!EI76</f>
        <v>17.11</v>
      </c>
      <c r="CO218" s="1065">
        <f>'No Recurrentes 24-26'!EJ76</f>
        <v>14.54</v>
      </c>
      <c r="CP218" s="1060" t="str">
        <f>'No Recurrentes 24-26'!EK76</f>
        <v/>
      </c>
    </row>
    <row r="219">
      <c r="A219" s="451" t="str">
        <f>'No Recurrentes 24-26'!A78</f>
        <v>Repuestos Electromecánicos no recurrentes</v>
      </c>
      <c r="B219" s="451">
        <f>'No Recurrentes 24-26'!B78</f>
        <v>2</v>
      </c>
      <c r="C219" s="451" t="str">
        <f>'No Recurrentes 24-26'!C78</f>
        <v>Estación</v>
      </c>
      <c r="D219" s="451" t="str">
        <f>'No Recurrentes 24-26'!D78</f>
        <v>Manto. Agujas</v>
      </c>
      <c r="E219" s="451" t="str">
        <f>'No Recurrentes 24-26'!E78</f>
        <v>Repuesto Mecánico</v>
      </c>
      <c r="F219" s="451" t="str">
        <f>'No Recurrentes 24-26'!F78</f>
        <v>TDB</v>
      </c>
      <c r="G219" s="1025" t="str">
        <f>'No Recurrentes 24-26'!G78</f>
        <v>39800</v>
      </c>
      <c r="H219" s="1061" t="str">
        <f>'No Recurrentes 24-26'!H78</f>
        <v/>
      </c>
      <c r="I219" s="1061" t="str">
        <f>'No Recurrentes 24-26'!I78</f>
        <v>10291787</v>
      </c>
      <c r="J219" s="1061" t="str">
        <f>'No Recurrentes 24-26'!J78</f>
        <v>TORNILLO ISO 4017- 8.8U M12X 50 HEXAG. GALVAN.INM.CALIENTE</v>
      </c>
      <c r="K219" s="451" t="str">
        <f>'No Recurrentes 24-26'!K78</f>
        <v>Pza</v>
      </c>
      <c r="L219" s="451" t="str">
        <f>'No Recurrentes 24-26'!BC78</f>
        <v/>
      </c>
      <c r="M219" s="451" t="str">
        <f>'No Recurrentes 24-26'!BD78</f>
        <v/>
      </c>
      <c r="N219" s="451" t="str">
        <f>'No Recurrentes 24-26'!BE78</f>
        <v/>
      </c>
      <c r="O219" s="451" t="str">
        <f>'No Recurrentes 24-26'!BF78</f>
        <v/>
      </c>
      <c r="P219" s="451" t="str">
        <f>'No Recurrentes 24-26'!BG78</f>
        <v/>
      </c>
      <c r="Q219" s="451" t="str">
        <f>'No Recurrentes 24-26'!BH78</f>
        <v/>
      </c>
      <c r="R219" s="451" t="str">
        <f>'No Recurrentes 24-26'!BI78</f>
        <v/>
      </c>
      <c r="S219" s="451" t="str">
        <f>'No Recurrentes 24-26'!BJ78</f>
        <v/>
      </c>
      <c r="T219" s="451" t="str">
        <f>'No Recurrentes 24-26'!BK78</f>
        <v/>
      </c>
      <c r="U219" s="451" t="str">
        <f>'No Recurrentes 24-26'!BL78</f>
        <v/>
      </c>
      <c r="V219" s="1068"/>
      <c r="W219" s="1062">
        <f>'No Recurrentes 24-26'!BM78</f>
        <v>0</v>
      </c>
      <c r="X219" s="1062">
        <f>'No Recurrentes 24-26'!BN78</f>
        <v>8</v>
      </c>
      <c r="Y219" s="1062">
        <f>'No Recurrentes 24-26'!BO78</f>
        <v>4</v>
      </c>
      <c r="Z219" s="1062">
        <f>'No Recurrentes 24-26'!BP78</f>
        <v>4</v>
      </c>
      <c r="AA219" s="1062">
        <f>'No Recurrentes 24-26'!BQ78</f>
        <v>8</v>
      </c>
      <c r="AB219" s="1062">
        <f>'No Recurrentes 24-26'!BR78</f>
        <v>6</v>
      </c>
      <c r="AC219" s="1062">
        <f>'No Recurrentes 24-26'!BS78</f>
        <v>5</v>
      </c>
      <c r="AD219" s="1062" t="str">
        <f>'No Recurrentes 24-26'!BT78</f>
        <v/>
      </c>
      <c r="AE219" s="1062" t="str">
        <f>'No Recurrentes 24-26'!BU78</f>
        <v/>
      </c>
      <c r="AF219" s="1062" t="str">
        <f>'No Recurrentes 24-26'!BV78</f>
        <v/>
      </c>
      <c r="AG219" s="1062" t="str">
        <f>'No Recurrentes 24-26'!BW78</f>
        <v/>
      </c>
      <c r="AH219" s="1068"/>
      <c r="AI219" s="1062">
        <f>'No Recurrentes 24-26'!BX78</f>
        <v>35</v>
      </c>
      <c r="AJ219" s="1062">
        <f>'No Recurrentes 24-26'!BY78</f>
        <v>0</v>
      </c>
      <c r="AK219" s="1062">
        <f>'No Recurrentes 24-26'!BZ78</f>
        <v>0</v>
      </c>
      <c r="AL219" s="1062">
        <f>'No Recurrentes 24-26'!CA78</f>
        <v>0</v>
      </c>
      <c r="AM219" s="1062">
        <f>'No Recurrentes 24-26'!CB78</f>
        <v>0</v>
      </c>
      <c r="AN219" s="1062">
        <f>'No Recurrentes 24-26'!CC78</f>
        <v>0</v>
      </c>
      <c r="AO219" s="1062">
        <f>'No Recurrentes 24-26'!CD78</f>
        <v>0</v>
      </c>
      <c r="AP219" s="1062">
        <f>'No Recurrentes 24-26'!CE78</f>
        <v>0</v>
      </c>
      <c r="AQ219" s="1062">
        <f>'No Recurrentes 24-26'!CF78</f>
        <v>0</v>
      </c>
      <c r="AR219" s="1062">
        <f>'No Recurrentes 24-26'!CG78</f>
        <v>0</v>
      </c>
      <c r="AS219" s="1062">
        <f>'No Recurrentes 24-26'!CH78</f>
        <v>0</v>
      </c>
      <c r="AT219" s="1068"/>
      <c r="AU219" s="1062">
        <f>'No Recurrentes 24-26'!CI78</f>
        <v>0</v>
      </c>
      <c r="AV219" s="1062">
        <f>'No Recurrentes 24-26'!CJ78</f>
        <v>35</v>
      </c>
      <c r="AW219" s="1068"/>
      <c r="AX219" s="1065">
        <f>'No Recurrentes 24-26'!CK78</f>
        <v>1.19</v>
      </c>
      <c r="AY219" s="1062">
        <f>'No Recurrentes 24-26'!CL78</f>
        <v>8.2824</v>
      </c>
      <c r="AZ219" s="1068"/>
      <c r="BA219" s="1062">
        <f>'No Recurrentes 24-26'!CM78</f>
        <v>0</v>
      </c>
      <c r="BB219" s="1062">
        <f>'No Recurrentes 24-26'!CN78</f>
        <v>0</v>
      </c>
      <c r="BC219" s="1062">
        <f>'No Recurrentes 24-26'!CO78</f>
        <v>0</v>
      </c>
      <c r="BD219" s="1062">
        <f>'No Recurrentes 24-26'!CP78</f>
        <v>0</v>
      </c>
      <c r="BE219" s="1062">
        <f>'No Recurrentes 24-26'!CQ78</f>
        <v>0</v>
      </c>
      <c r="BF219" s="1062">
        <f>'No Recurrentes 24-26'!CR78</f>
        <v>0</v>
      </c>
      <c r="BG219" s="1062">
        <f>'No Recurrentes 24-26'!CS78</f>
        <v>0</v>
      </c>
      <c r="BH219" s="1062">
        <f>'No Recurrentes 24-26'!CT78</f>
        <v>0</v>
      </c>
      <c r="BI219" s="1062">
        <f>'No Recurrentes 24-26'!CU78</f>
        <v>0</v>
      </c>
      <c r="BJ219" s="1062">
        <f>'No Recurrentes 24-26'!CV78</f>
        <v>0</v>
      </c>
      <c r="BK219" s="1068"/>
      <c r="BL219" s="1062">
        <f>'No Recurrentes 24-26'!CW78</f>
        <v>0</v>
      </c>
      <c r="BM219" s="1062">
        <f>'No Recurrentes 24-26'!CX78</f>
        <v>66.2592</v>
      </c>
      <c r="BN219" s="1062">
        <f>'No Recurrentes 24-26'!CY78</f>
        <v>33.1296</v>
      </c>
      <c r="BO219" s="1062">
        <f>'No Recurrentes 24-26'!CZ78</f>
        <v>33.1296</v>
      </c>
      <c r="BP219" s="1062">
        <f>'No Recurrentes 24-26'!DA78</f>
        <v>66.2592</v>
      </c>
      <c r="BQ219" s="1062">
        <f>'No Recurrentes 24-26'!DB78</f>
        <v>49.6944</v>
      </c>
      <c r="BR219" s="1062">
        <f>'No Recurrentes 24-26'!DC78</f>
        <v>41.412</v>
      </c>
      <c r="BS219" s="1062">
        <f>'No Recurrentes 24-26'!DD78</f>
        <v>0</v>
      </c>
      <c r="BT219" s="1062">
        <f>'No Recurrentes 24-26'!DE78</f>
        <v>0</v>
      </c>
      <c r="BU219" s="1062">
        <f>'No Recurrentes 24-26'!DF78</f>
        <v>0</v>
      </c>
      <c r="BV219" s="1062">
        <f>'No Recurrentes 24-26'!DG78</f>
        <v>0</v>
      </c>
      <c r="BW219" s="1068"/>
      <c r="BX219" s="1062">
        <f>'No Recurrentes 24-26'!DH78</f>
        <v>289.884</v>
      </c>
      <c r="BY219" s="1062">
        <f>'No Recurrentes 24-26'!DI78</f>
        <v>0</v>
      </c>
      <c r="BZ219" s="1062">
        <f>'No Recurrentes 24-26'!DJ78</f>
        <v>0</v>
      </c>
      <c r="CA219" s="1062">
        <f>'No Recurrentes 24-26'!DK78</f>
        <v>0</v>
      </c>
      <c r="CB219" s="1062">
        <f>'No Recurrentes 24-26'!DL78</f>
        <v>0</v>
      </c>
      <c r="CC219" s="1062">
        <f>'No Recurrentes 24-26'!DM78</f>
        <v>0</v>
      </c>
      <c r="CD219" s="1062">
        <f>'No Recurrentes 24-26'!DN78</f>
        <v>0</v>
      </c>
      <c r="CE219" s="1062">
        <f>'No Recurrentes 24-26'!DO78</f>
        <v>0</v>
      </c>
      <c r="CF219" s="1062">
        <f>'No Recurrentes 24-26'!DP78</f>
        <v>0</v>
      </c>
      <c r="CG219" s="1062">
        <f>'No Recurrentes 24-26'!DQ78</f>
        <v>0</v>
      </c>
      <c r="CH219" s="1062">
        <f>'No Recurrentes 24-26'!DR78</f>
        <v>0</v>
      </c>
      <c r="CI219" s="1068"/>
      <c r="CJ219" s="1062">
        <f>'No Recurrentes 24-26'!DS78</f>
        <v>0</v>
      </c>
      <c r="CK219" s="1062">
        <f>'No Recurrentes 24-26'!DT78</f>
        <v>289.884</v>
      </c>
      <c r="CL219" s="1064" t="str">
        <f>'No Recurrentes 24-26'!DU78</f>
        <v/>
      </c>
      <c r="CM219" s="1064" t="str">
        <f>'No Recurrentes 24-26'!DV78</f>
        <v/>
      </c>
      <c r="CN219" s="1065">
        <f>'No Recurrentes 24-26'!EI77</f>
        <v>3.77</v>
      </c>
      <c r="CO219" s="1065">
        <f>'No Recurrentes 24-26'!EJ77</f>
        <v>3.2</v>
      </c>
      <c r="CP219" s="1060" t="str">
        <f>'No Recurrentes 24-26'!EK77</f>
        <v/>
      </c>
    </row>
    <row r="220">
      <c r="A220" s="451" t="str">
        <f>'No Recurrentes 24-26'!A79</f>
        <v>Repuestos Electromecánicos no recurrentes</v>
      </c>
      <c r="B220" s="451">
        <f>'No Recurrentes 24-26'!B79</f>
        <v>2</v>
      </c>
      <c r="C220" s="451" t="str">
        <f>'No Recurrentes 24-26'!C79</f>
        <v>Estación</v>
      </c>
      <c r="D220" s="451" t="str">
        <f>'No Recurrentes 24-26'!D79</f>
        <v>Manto. Eléctrico</v>
      </c>
      <c r="E220" s="451" t="str">
        <f>'No Recurrentes 24-26'!E79</f>
        <v>Repuesto Eléctrico</v>
      </c>
      <c r="F220" s="451" t="str">
        <f>'No Recurrentes 24-26'!F79</f>
        <v>TDB</v>
      </c>
      <c r="G220" s="1061" t="str">
        <f>'No Recurrentes 24-26'!G79</f>
        <v>39700</v>
      </c>
      <c r="H220" s="1061" t="str">
        <f>'No Recurrentes 24-26'!H79</f>
        <v>2-02-00136</v>
      </c>
      <c r="I220" s="1061" t="str">
        <f>'No Recurrentes 24-26'!I79</f>
        <v>10773993</v>
      </c>
      <c r="J220" s="1061" t="str">
        <f>'No Recurrentes 24-26'!J79</f>
        <v>UNID.DE PR.CENTR.DM MOD.FS CPU PROGRAMADA</v>
      </c>
      <c r="K220" s="451" t="str">
        <f>'No Recurrentes 24-26'!K79</f>
        <v>Pza</v>
      </c>
      <c r="L220" s="451" t="str">
        <f>'No Recurrentes 24-26'!BC79</f>
        <v/>
      </c>
      <c r="M220" s="451" t="str">
        <f>'No Recurrentes 24-26'!BD79</f>
        <v/>
      </c>
      <c r="N220" s="451" t="str">
        <f>'No Recurrentes 24-26'!BE79</f>
        <v/>
      </c>
      <c r="O220" s="451" t="str">
        <f>'No Recurrentes 24-26'!BF79</f>
        <v/>
      </c>
      <c r="P220" s="451" t="str">
        <f>'No Recurrentes 24-26'!BG79</f>
        <v/>
      </c>
      <c r="Q220" s="451" t="str">
        <f>'No Recurrentes 24-26'!BH79</f>
        <v/>
      </c>
      <c r="R220" s="451" t="str">
        <f>'No Recurrentes 24-26'!BI79</f>
        <v/>
      </c>
      <c r="S220" s="451" t="str">
        <f>'No Recurrentes 24-26'!BJ79</f>
        <v/>
      </c>
      <c r="T220" s="451" t="str">
        <f>'No Recurrentes 24-26'!BK79</f>
        <v/>
      </c>
      <c r="U220" s="451" t="str">
        <f>'No Recurrentes 24-26'!BL79</f>
        <v/>
      </c>
      <c r="V220" s="1068"/>
      <c r="W220" s="1062">
        <f>'No Recurrentes 24-26'!BM79</f>
        <v>0</v>
      </c>
      <c r="X220" s="1062" t="str">
        <f>'No Recurrentes 24-26'!BN79</f>
        <v/>
      </c>
      <c r="Y220" s="1062" t="str">
        <f>'No Recurrentes 24-26'!BO79</f>
        <v/>
      </c>
      <c r="Z220" s="1062" t="str">
        <f>'No Recurrentes 24-26'!BP79</f>
        <v/>
      </c>
      <c r="AA220" s="451" t="str">
        <f>'No Recurrentes 24-26'!BQ79</f>
        <v/>
      </c>
      <c r="AB220" s="1062" t="str">
        <f>'No Recurrentes 24-26'!BR79</f>
        <v/>
      </c>
      <c r="AC220" s="1062">
        <f>'No Recurrentes 24-26'!BS79</f>
        <v>1</v>
      </c>
      <c r="AD220" s="1062" t="str">
        <f>'No Recurrentes 24-26'!BT79</f>
        <v/>
      </c>
      <c r="AE220" s="1062" t="str">
        <f>'No Recurrentes 24-26'!BU79</f>
        <v/>
      </c>
      <c r="AF220" s="1062" t="str">
        <f>'No Recurrentes 24-26'!BV79</f>
        <v/>
      </c>
      <c r="AG220" s="1062" t="str">
        <f>'No Recurrentes 24-26'!BW79</f>
        <v/>
      </c>
      <c r="AH220" s="1068"/>
      <c r="AI220" s="1062">
        <f>'No Recurrentes 24-26'!BX79</f>
        <v>1</v>
      </c>
      <c r="AJ220" s="1062">
        <f>'No Recurrentes 24-26'!BY79</f>
        <v>0</v>
      </c>
      <c r="AK220" s="1062">
        <f>'No Recurrentes 24-26'!BZ79</f>
        <v>0</v>
      </c>
      <c r="AL220" s="1062" t="str">
        <f>'No Recurrentes 24-26'!CA79</f>
        <v/>
      </c>
      <c r="AM220" s="1062">
        <f>'No Recurrentes 24-26'!CB79</f>
        <v>0</v>
      </c>
      <c r="AN220" s="1062">
        <f>'No Recurrentes 24-26'!CC79</f>
        <v>0</v>
      </c>
      <c r="AO220" s="1062">
        <f>'No Recurrentes 24-26'!CD79</f>
        <v>0</v>
      </c>
      <c r="AP220" s="1062">
        <f>'No Recurrentes 24-26'!CE79</f>
        <v>0</v>
      </c>
      <c r="AQ220" s="1062">
        <f>'No Recurrentes 24-26'!CF79</f>
        <v>0</v>
      </c>
      <c r="AR220" s="1062">
        <f>'No Recurrentes 24-26'!CG79</f>
        <v>0</v>
      </c>
      <c r="AS220" s="1062">
        <f>'No Recurrentes 24-26'!CH79</f>
        <v>0</v>
      </c>
      <c r="AT220" s="1068"/>
      <c r="AU220" s="1062">
        <f>'No Recurrentes 24-26'!CI79</f>
        <v>0</v>
      </c>
      <c r="AV220" s="1063">
        <f>'No Recurrentes 24-26'!CJ79</f>
        <v>1</v>
      </c>
      <c r="AW220" s="1068"/>
      <c r="AX220" s="1065">
        <f>'No Recurrentes 24-26'!CK79</f>
        <v>12845.69</v>
      </c>
      <c r="AY220" s="1062">
        <f>'No Recurrentes 24-26'!CL79</f>
        <v>89406.0024</v>
      </c>
      <c r="AZ220" s="1068"/>
      <c r="BA220" s="1062">
        <f>'No Recurrentes 24-26'!CM79</f>
        <v>0</v>
      </c>
      <c r="BB220" s="1062">
        <f>'No Recurrentes 24-26'!CN79</f>
        <v>0</v>
      </c>
      <c r="BC220" s="1062">
        <f>'No Recurrentes 24-26'!CO79</f>
        <v>0</v>
      </c>
      <c r="BD220" s="1062">
        <f>'No Recurrentes 24-26'!CP79</f>
        <v>0</v>
      </c>
      <c r="BE220" s="1062">
        <f>'No Recurrentes 24-26'!CQ79</f>
        <v>0</v>
      </c>
      <c r="BF220" s="1062">
        <f>'No Recurrentes 24-26'!CR79</f>
        <v>0</v>
      </c>
      <c r="BG220" s="1062">
        <f>'No Recurrentes 24-26'!CS79</f>
        <v>0</v>
      </c>
      <c r="BH220" s="1062">
        <f>'No Recurrentes 24-26'!CT79</f>
        <v>0</v>
      </c>
      <c r="BI220" s="1062">
        <f>'No Recurrentes 24-26'!CU79</f>
        <v>0</v>
      </c>
      <c r="BJ220" s="1062">
        <f>'No Recurrentes 24-26'!CV79</f>
        <v>0</v>
      </c>
      <c r="BK220" s="1068"/>
      <c r="BL220" s="1062">
        <f>'No Recurrentes 24-26'!CW79</f>
        <v>0</v>
      </c>
      <c r="BM220" s="1062">
        <f>'No Recurrentes 24-26'!CX79</f>
        <v>0</v>
      </c>
      <c r="BN220" s="1062">
        <f>'No Recurrentes 24-26'!CY79</f>
        <v>0</v>
      </c>
      <c r="BO220" s="1062">
        <f>'No Recurrentes 24-26'!CZ79</f>
        <v>0</v>
      </c>
      <c r="BP220" s="1062">
        <f>'No Recurrentes 24-26'!DA79</f>
        <v>89406.0024</v>
      </c>
      <c r="BQ220" s="1062">
        <f>'No Recurrentes 24-26'!DB79</f>
        <v>0</v>
      </c>
      <c r="BR220" s="1062">
        <f>'No Recurrentes 24-26'!DC79</f>
        <v>89406.0024</v>
      </c>
      <c r="BS220" s="1062">
        <f>'No Recurrentes 24-26'!DD79</f>
        <v>0</v>
      </c>
      <c r="BT220" s="1062">
        <f>'No Recurrentes 24-26'!DE79</f>
        <v>0</v>
      </c>
      <c r="BU220" s="1062">
        <f>'No Recurrentes 24-26'!DF79</f>
        <v>0</v>
      </c>
      <c r="BV220" s="1062">
        <f>'No Recurrentes 24-26'!DG79</f>
        <v>0</v>
      </c>
      <c r="BW220" s="1068"/>
      <c r="BX220" s="1062">
        <f>'No Recurrentes 24-26'!DH79</f>
        <v>89406.0024</v>
      </c>
      <c r="BY220" s="1062">
        <f>'No Recurrentes 24-26'!DI79</f>
        <v>0</v>
      </c>
      <c r="BZ220" s="1062">
        <f>'No Recurrentes 24-26'!DJ79</f>
        <v>0</v>
      </c>
      <c r="CA220" s="1062">
        <f>'No Recurrentes 24-26'!DK79</f>
        <v>0</v>
      </c>
      <c r="CB220" s="1062">
        <f>'No Recurrentes 24-26'!DL79</f>
        <v>0</v>
      </c>
      <c r="CC220" s="1062">
        <f>'No Recurrentes 24-26'!DM79</f>
        <v>0</v>
      </c>
      <c r="CD220" s="1062">
        <f>'No Recurrentes 24-26'!DN79</f>
        <v>0</v>
      </c>
      <c r="CE220" s="1062">
        <f>'No Recurrentes 24-26'!DO79</f>
        <v>0</v>
      </c>
      <c r="CF220" s="1062">
        <f>'No Recurrentes 24-26'!DP79</f>
        <v>0</v>
      </c>
      <c r="CG220" s="1062">
        <f>'No Recurrentes 24-26'!DQ79</f>
        <v>0</v>
      </c>
      <c r="CH220" s="1062">
        <f>'No Recurrentes 24-26'!DR79</f>
        <v>0</v>
      </c>
      <c r="CI220" s="1068"/>
      <c r="CJ220" s="1062">
        <f>'No Recurrentes 24-26'!DS79</f>
        <v>0</v>
      </c>
      <c r="CK220" s="1062">
        <f>'No Recurrentes 24-26'!DT79</f>
        <v>89406.0024</v>
      </c>
      <c r="CL220" s="1064" t="str">
        <f>'No Recurrentes 24-26'!DU79</f>
        <v/>
      </c>
      <c r="CM220" s="1064" t="str">
        <f>'No Recurrentes 24-26'!DV79</f>
        <v/>
      </c>
      <c r="CN220" s="1065">
        <f>'No Recurrentes 24-26'!EI78</f>
        <v>1.19</v>
      </c>
      <c r="CO220" s="1065">
        <f>'No Recurrentes 24-26'!EJ78</f>
        <v>1.01</v>
      </c>
      <c r="CP220" s="1060" t="str">
        <f>'No Recurrentes 24-26'!EK78</f>
        <v/>
      </c>
    </row>
    <row r="221">
      <c r="A221" s="451" t="str">
        <f>'No Recurrentes 24-26'!A80</f>
        <v>Repuestos Electromecánicos no recurrentes</v>
      </c>
      <c r="B221" s="451">
        <f>'No Recurrentes 24-26'!B80</f>
        <v>2</v>
      </c>
      <c r="C221" s="451" t="str">
        <f>'No Recurrentes 24-26'!C80</f>
        <v>Estación</v>
      </c>
      <c r="D221" s="451" t="str">
        <f>'No Recurrentes 24-26'!D80</f>
        <v>Manto. Eléctrico</v>
      </c>
      <c r="E221" s="451" t="str">
        <f>'No Recurrentes 24-26'!E80</f>
        <v>Repuesto Eléctrico</v>
      </c>
      <c r="F221" s="451" t="str">
        <f>'No Recurrentes 24-26'!F80</f>
        <v>TDB</v>
      </c>
      <c r="G221" s="1061" t="str">
        <f>'No Recurrentes 24-26'!G80</f>
        <v>39700</v>
      </c>
      <c r="H221" s="1061" t="str">
        <f>'No Recurrentes 24-26'!H80</f>
        <v>2-02-00666</v>
      </c>
      <c r="I221" s="1061" t="str">
        <f>'No Recurrentes 24-26'!I80</f>
        <v>11648751</v>
      </c>
      <c r="J221" s="1061" t="str">
        <f>'No Recurrentes 24-26'!J80</f>
        <v>CONTACTOR  AF305-30-22-13      1SFL587002R1322        ABB</v>
      </c>
      <c r="K221" s="451" t="str">
        <f>'No Recurrentes 24-26'!K80</f>
        <v>Pza</v>
      </c>
      <c r="L221" s="451" t="str">
        <f>'No Recurrentes 24-26'!BC80</f>
        <v/>
      </c>
      <c r="M221" s="451" t="str">
        <f>'No Recurrentes 24-26'!BD80</f>
        <v/>
      </c>
      <c r="N221" s="451" t="str">
        <f>'No Recurrentes 24-26'!BE80</f>
        <v/>
      </c>
      <c r="O221" s="451" t="str">
        <f>'No Recurrentes 24-26'!BF80</f>
        <v/>
      </c>
      <c r="P221" s="451" t="str">
        <f>'No Recurrentes 24-26'!BG80</f>
        <v/>
      </c>
      <c r="Q221" s="451" t="str">
        <f>'No Recurrentes 24-26'!BH80</f>
        <v/>
      </c>
      <c r="R221" s="451">
        <f>'No Recurrentes 24-26'!BI80</f>
        <v>1</v>
      </c>
      <c r="S221" s="451">
        <f>'No Recurrentes 24-26'!BJ80</f>
        <v>1</v>
      </c>
      <c r="T221" s="451" t="str">
        <f>'No Recurrentes 24-26'!BK80</f>
        <v/>
      </c>
      <c r="U221" s="451" t="str">
        <f>'No Recurrentes 24-26'!BL80</f>
        <v/>
      </c>
      <c r="V221" s="1068"/>
      <c r="W221" s="1062">
        <f>'No Recurrentes 24-26'!BM80</f>
        <v>2</v>
      </c>
      <c r="X221" s="1062" t="str">
        <f>'No Recurrentes 24-26'!BN80</f>
        <v/>
      </c>
      <c r="Y221" s="1062" t="str">
        <f>'No Recurrentes 24-26'!BO80</f>
        <v/>
      </c>
      <c r="Z221" s="1062" t="str">
        <f>'No Recurrentes 24-26'!BP80</f>
        <v/>
      </c>
      <c r="AA221" s="1062">
        <f>'No Recurrentes 24-26'!BQ80</f>
        <v>1</v>
      </c>
      <c r="AB221" s="1062" t="str">
        <f>'No Recurrentes 24-26'!BR80</f>
        <v/>
      </c>
      <c r="AC221" s="1062">
        <f>'No Recurrentes 24-26'!BS80</f>
        <v>1</v>
      </c>
      <c r="AD221" s="1062" t="str">
        <f>'No Recurrentes 24-26'!BT80</f>
        <v/>
      </c>
      <c r="AE221" s="1062" t="str">
        <f>'No Recurrentes 24-26'!BU80</f>
        <v/>
      </c>
      <c r="AF221" s="1062" t="str">
        <f>'No Recurrentes 24-26'!BV80</f>
        <v/>
      </c>
      <c r="AG221" s="1062" t="str">
        <f>'No Recurrentes 24-26'!BW80</f>
        <v/>
      </c>
      <c r="AH221" s="1068"/>
      <c r="AI221" s="1062">
        <f>'No Recurrentes 24-26'!BX80</f>
        <v>2</v>
      </c>
      <c r="AJ221" s="1062">
        <f>'No Recurrentes 24-26'!BY80</f>
        <v>0</v>
      </c>
      <c r="AK221" s="1062">
        <f>'No Recurrentes 24-26'!BZ80</f>
        <v>0</v>
      </c>
      <c r="AL221" s="1062">
        <f>'No Recurrentes 24-26'!CA80</f>
        <v>0</v>
      </c>
      <c r="AM221" s="1062">
        <f>'No Recurrentes 24-26'!CB80</f>
        <v>0</v>
      </c>
      <c r="AN221" s="1062">
        <f>'No Recurrentes 24-26'!CC80</f>
        <v>0</v>
      </c>
      <c r="AO221" s="1062">
        <f>'No Recurrentes 24-26'!CD80</f>
        <v>0</v>
      </c>
      <c r="AP221" s="1062">
        <f>'No Recurrentes 24-26'!CE80</f>
        <v>0</v>
      </c>
      <c r="AQ221" s="1062">
        <f>'No Recurrentes 24-26'!CF80</f>
        <v>0</v>
      </c>
      <c r="AR221" s="1062">
        <f>'No Recurrentes 24-26'!CG80</f>
        <v>0</v>
      </c>
      <c r="AS221" s="1062">
        <f>'No Recurrentes 24-26'!CH80</f>
        <v>0</v>
      </c>
      <c r="AT221" s="1068"/>
      <c r="AU221" s="1062">
        <f>'No Recurrentes 24-26'!CI80</f>
        <v>0</v>
      </c>
      <c r="AV221" s="1063">
        <f>'No Recurrentes 24-26'!CJ80</f>
        <v>4</v>
      </c>
      <c r="AW221" s="1068"/>
      <c r="AX221" s="1065">
        <f>'No Recurrentes 24-26'!CK80</f>
        <v>2389.29</v>
      </c>
      <c r="AY221" s="1062">
        <f>'No Recurrentes 24-26'!CL80</f>
        <v>16629.4584</v>
      </c>
      <c r="AZ221" s="1068"/>
      <c r="BA221" s="1062">
        <f>'No Recurrentes 24-26'!CM80</f>
        <v>0</v>
      </c>
      <c r="BB221" s="1062">
        <f>'No Recurrentes 24-26'!CN80</f>
        <v>0</v>
      </c>
      <c r="BC221" s="1062">
        <f>'No Recurrentes 24-26'!CO80</f>
        <v>0</v>
      </c>
      <c r="BD221" s="1062">
        <f>'No Recurrentes 24-26'!CP80</f>
        <v>0</v>
      </c>
      <c r="BE221" s="1062">
        <f>'No Recurrentes 24-26'!CQ80</f>
        <v>0</v>
      </c>
      <c r="BF221" s="1062">
        <f>'No Recurrentes 24-26'!CR80</f>
        <v>0</v>
      </c>
      <c r="BG221" s="1062">
        <f>'No Recurrentes 24-26'!CS80</f>
        <v>16629.4584</v>
      </c>
      <c r="BH221" s="1062">
        <f>'No Recurrentes 24-26'!CT80</f>
        <v>16629.4584</v>
      </c>
      <c r="BI221" s="1062">
        <f>'No Recurrentes 24-26'!CU80</f>
        <v>0</v>
      </c>
      <c r="BJ221" s="1062">
        <f>'No Recurrentes 24-26'!CV80</f>
        <v>0</v>
      </c>
      <c r="BK221" s="1068"/>
      <c r="BL221" s="1062">
        <f>'No Recurrentes 24-26'!CW80</f>
        <v>33258.9168</v>
      </c>
      <c r="BM221" s="1062">
        <f>'No Recurrentes 24-26'!CX80</f>
        <v>0</v>
      </c>
      <c r="BN221" s="1062">
        <f>'No Recurrentes 24-26'!CY80</f>
        <v>0</v>
      </c>
      <c r="BO221" s="1062">
        <f>'No Recurrentes 24-26'!CZ80</f>
        <v>0</v>
      </c>
      <c r="BP221" s="1062">
        <f>'No Recurrentes 24-26'!DA80</f>
        <v>16629.4584</v>
      </c>
      <c r="BQ221" s="1062">
        <f>'No Recurrentes 24-26'!DB80</f>
        <v>0</v>
      </c>
      <c r="BR221" s="1062">
        <f>'No Recurrentes 24-26'!DC80</f>
        <v>16629.4584</v>
      </c>
      <c r="BS221" s="1062">
        <f>'No Recurrentes 24-26'!DD80</f>
        <v>0</v>
      </c>
      <c r="BT221" s="1062">
        <f>'No Recurrentes 24-26'!DE80</f>
        <v>0</v>
      </c>
      <c r="BU221" s="1062">
        <f>'No Recurrentes 24-26'!DF80</f>
        <v>0</v>
      </c>
      <c r="BV221" s="1062">
        <f>'No Recurrentes 24-26'!DG80</f>
        <v>0</v>
      </c>
      <c r="BW221" s="1068"/>
      <c r="BX221" s="1062">
        <f>'No Recurrentes 24-26'!DH80</f>
        <v>33258.9168</v>
      </c>
      <c r="BY221" s="1062">
        <f>'No Recurrentes 24-26'!DI80</f>
        <v>0</v>
      </c>
      <c r="BZ221" s="1062">
        <f>'No Recurrentes 24-26'!DJ80</f>
        <v>0</v>
      </c>
      <c r="CA221" s="1062">
        <f>'No Recurrentes 24-26'!DK80</f>
        <v>0</v>
      </c>
      <c r="CB221" s="1062">
        <f>'No Recurrentes 24-26'!DL80</f>
        <v>0</v>
      </c>
      <c r="CC221" s="1062">
        <f>'No Recurrentes 24-26'!DM80</f>
        <v>0</v>
      </c>
      <c r="CD221" s="1062">
        <f>'No Recurrentes 24-26'!DN80</f>
        <v>0</v>
      </c>
      <c r="CE221" s="1062">
        <f>'No Recurrentes 24-26'!DO80</f>
        <v>0</v>
      </c>
      <c r="CF221" s="1062">
        <f>'No Recurrentes 24-26'!DP80</f>
        <v>0</v>
      </c>
      <c r="CG221" s="1062">
        <f>'No Recurrentes 24-26'!DQ80</f>
        <v>0</v>
      </c>
      <c r="CH221" s="1062">
        <f>'No Recurrentes 24-26'!DR80</f>
        <v>0</v>
      </c>
      <c r="CI221" s="1068"/>
      <c r="CJ221" s="1062">
        <f>'No Recurrentes 24-26'!DS80</f>
        <v>0</v>
      </c>
      <c r="CK221" s="1062">
        <f>'No Recurrentes 24-26'!DT80</f>
        <v>66517.8336</v>
      </c>
      <c r="CL221" s="1064" t="str">
        <f>'No Recurrentes 24-26'!DU80</f>
        <v/>
      </c>
      <c r="CM221" s="1064" t="str">
        <f>'No Recurrentes 24-26'!DV80</f>
        <v/>
      </c>
      <c r="CN221" s="1065">
        <f>'No Recurrentes 24-26'!EI79</f>
        <v>12845.69</v>
      </c>
      <c r="CO221" s="1065">
        <f>'No Recurrentes 24-26'!EJ79</f>
        <v>10918.84</v>
      </c>
      <c r="CP221" s="1060" t="str">
        <f>'No Recurrentes 24-26'!EK79</f>
        <v/>
      </c>
    </row>
    <row r="222">
      <c r="A222" s="451" t="str">
        <f>'No Recurrentes 24-26'!A81</f>
        <v>Repuestos Electromecánicos no recurrentes</v>
      </c>
      <c r="B222" s="451">
        <f>'No Recurrentes 24-26'!B81</f>
        <v>39</v>
      </c>
      <c r="C222" s="451" t="str">
        <f>'No Recurrentes 24-26'!C81</f>
        <v>Estación</v>
      </c>
      <c r="D222" s="451" t="str">
        <f>'No Recurrentes 24-26'!D81</f>
        <v>Manto. Eléctrico</v>
      </c>
      <c r="E222" s="451" t="str">
        <f>'No Recurrentes 24-26'!E81</f>
        <v>Repuesto Eléctrico</v>
      </c>
      <c r="F222" s="451" t="str">
        <f>'No Recurrentes 24-26'!F81</f>
        <v>LOCAL</v>
      </c>
      <c r="G222" s="1061" t="str">
        <f>'No Recurrentes 24-26'!G81</f>
        <v>39700</v>
      </c>
      <c r="H222" s="1061" t="str">
        <f>'No Recurrentes 24-26'!H81</f>
        <v>2-02-00694</v>
      </c>
      <c r="I222" s="1061" t="str">
        <f>'No Recurrentes 24-26'!I81</f>
        <v/>
      </c>
      <c r="J222" s="1061" t="str">
        <f>'No Recurrentes 24-26'!J81</f>
        <v>BATERIA A GEL DE 12 VOLTIOS - 100 AMPERIOS</v>
      </c>
      <c r="K222" s="451" t="str">
        <f>'No Recurrentes 24-26'!K81</f>
        <v>Pza</v>
      </c>
      <c r="L222" s="451">
        <f>'No Recurrentes 24-26'!BC81</f>
        <v>8</v>
      </c>
      <c r="M222" s="451">
        <f>'No Recurrentes 24-26'!BD81</f>
        <v>6</v>
      </c>
      <c r="N222" s="451" t="str">
        <f>'No Recurrentes 24-26'!BE81</f>
        <v/>
      </c>
      <c r="O222" s="451">
        <f>'No Recurrentes 24-26'!BF81</f>
        <v>8</v>
      </c>
      <c r="P222" s="451">
        <f>'No Recurrentes 24-26'!BG81</f>
        <v>6</v>
      </c>
      <c r="Q222" s="451">
        <f>'No Recurrentes 24-26'!BH81</f>
        <v>8</v>
      </c>
      <c r="R222" s="451" t="str">
        <f>'No Recurrentes 24-26'!BI81</f>
        <v/>
      </c>
      <c r="S222" s="451">
        <f>'No Recurrentes 24-26'!BJ81</f>
        <v>4</v>
      </c>
      <c r="T222" s="451" t="str">
        <f>'No Recurrentes 24-26'!BK81</f>
        <v/>
      </c>
      <c r="U222" s="451" t="str">
        <f>'No Recurrentes 24-26'!BL81</f>
        <v/>
      </c>
      <c r="V222" s="1068"/>
      <c r="W222" s="1062">
        <f>'No Recurrentes 24-26'!BM81</f>
        <v>40</v>
      </c>
      <c r="X222" s="1062" t="str">
        <f>'No Recurrentes 24-26'!BN81</f>
        <v/>
      </c>
      <c r="Y222" s="1062">
        <f>'No Recurrentes 24-26'!BO81</f>
        <v>6</v>
      </c>
      <c r="Z222" s="1062" t="str">
        <f>'No Recurrentes 24-26'!BP81</f>
        <v/>
      </c>
      <c r="AA222" s="1062" t="str">
        <f>'No Recurrentes 24-26'!BQ81</f>
        <v/>
      </c>
      <c r="AB222" s="1062" t="str">
        <f>'No Recurrentes 24-26'!BR81</f>
        <v/>
      </c>
      <c r="AC222" s="1062" t="str">
        <f>'No Recurrentes 24-26'!BS81</f>
        <v/>
      </c>
      <c r="AD222" s="1062" t="str">
        <f>'No Recurrentes 24-26'!BT81</f>
        <v/>
      </c>
      <c r="AE222" s="1062" t="str">
        <f>'No Recurrentes 24-26'!BU81</f>
        <v/>
      </c>
      <c r="AF222" s="1062" t="str">
        <f>'No Recurrentes 24-26'!BV81</f>
        <v/>
      </c>
      <c r="AG222" s="1062" t="str">
        <f>'No Recurrentes 24-26'!BW81</f>
        <v/>
      </c>
      <c r="AH222" s="1068"/>
      <c r="AI222" s="1062">
        <f>'No Recurrentes 24-26'!BX81</f>
        <v>6</v>
      </c>
      <c r="AJ222" s="1062">
        <f>'No Recurrentes 24-26'!BY81</f>
        <v>0</v>
      </c>
      <c r="AK222" s="1062">
        <f>'No Recurrentes 24-26'!BZ81</f>
        <v>0</v>
      </c>
      <c r="AL222" s="1062">
        <f>'No Recurrentes 24-26'!CA81</f>
        <v>0</v>
      </c>
      <c r="AM222" s="1062">
        <f>'No Recurrentes 24-26'!CB81</f>
        <v>0</v>
      </c>
      <c r="AN222" s="1062">
        <f>'No Recurrentes 24-26'!CC81</f>
        <v>0</v>
      </c>
      <c r="AO222" s="1062">
        <f>'No Recurrentes 24-26'!CD81</f>
        <v>0</v>
      </c>
      <c r="AP222" s="1062">
        <f>'No Recurrentes 24-26'!CE81</f>
        <v>0</v>
      </c>
      <c r="AQ222" s="1062">
        <f>'No Recurrentes 24-26'!CF81</f>
        <v>0</v>
      </c>
      <c r="AR222" s="1062">
        <f>'No Recurrentes 24-26'!CG81</f>
        <v>0</v>
      </c>
      <c r="AS222" s="1062">
        <f>'No Recurrentes 24-26'!CH81</f>
        <v>0</v>
      </c>
      <c r="AT222" s="1068"/>
      <c r="AU222" s="1062">
        <f>'No Recurrentes 24-26'!CI81</f>
        <v>0</v>
      </c>
      <c r="AV222" s="1062">
        <f>'No Recurrentes 24-26'!CJ81</f>
        <v>46</v>
      </c>
      <c r="AW222" s="1068"/>
      <c r="AX222" s="1062" t="str">
        <f>'No Recurrentes 24-26'!CK81</f>
        <v/>
      </c>
      <c r="AY222" s="1062">
        <f>'No Recurrentes 24-26'!CL81</f>
        <v>1850</v>
      </c>
      <c r="AZ222" s="1068"/>
      <c r="BA222" s="1062">
        <f>'No Recurrentes 24-26'!CM81</f>
        <v>14800</v>
      </c>
      <c r="BB222" s="1062">
        <f>'No Recurrentes 24-26'!CN81</f>
        <v>11100</v>
      </c>
      <c r="BC222" s="1062">
        <f>'No Recurrentes 24-26'!CO81</f>
        <v>0</v>
      </c>
      <c r="BD222" s="1062">
        <f>'No Recurrentes 24-26'!CP81</f>
        <v>14800</v>
      </c>
      <c r="BE222" s="1062">
        <f>'No Recurrentes 24-26'!CQ81</f>
        <v>11100</v>
      </c>
      <c r="BF222" s="1062">
        <f>'No Recurrentes 24-26'!CR81</f>
        <v>14800</v>
      </c>
      <c r="BG222" s="1062">
        <f>'No Recurrentes 24-26'!CS81</f>
        <v>0</v>
      </c>
      <c r="BH222" s="1062">
        <f>'No Recurrentes 24-26'!CT81</f>
        <v>7400</v>
      </c>
      <c r="BI222" s="1062">
        <f>'No Recurrentes 24-26'!CU81</f>
        <v>0</v>
      </c>
      <c r="BJ222" s="1062">
        <f>'No Recurrentes 24-26'!CV81</f>
        <v>0</v>
      </c>
      <c r="BK222" s="1068"/>
      <c r="BL222" s="1062">
        <f>'No Recurrentes 24-26'!CW81</f>
        <v>74000</v>
      </c>
      <c r="BM222" s="1062">
        <f>'No Recurrentes 24-26'!CX81</f>
        <v>0</v>
      </c>
      <c r="BN222" s="1062">
        <f>'No Recurrentes 24-26'!CY81</f>
        <v>11100</v>
      </c>
      <c r="BO222" s="1062">
        <f>'No Recurrentes 24-26'!CZ81</f>
        <v>0</v>
      </c>
      <c r="BP222" s="1062">
        <f>'No Recurrentes 24-26'!DA81</f>
        <v>0</v>
      </c>
      <c r="BQ222" s="1062">
        <f>'No Recurrentes 24-26'!DB81</f>
        <v>0</v>
      </c>
      <c r="BR222" s="1062">
        <f>'No Recurrentes 24-26'!DC81</f>
        <v>0</v>
      </c>
      <c r="BS222" s="1062">
        <f>'No Recurrentes 24-26'!DD81</f>
        <v>0</v>
      </c>
      <c r="BT222" s="1062">
        <f>'No Recurrentes 24-26'!DE81</f>
        <v>0</v>
      </c>
      <c r="BU222" s="1062">
        <f>'No Recurrentes 24-26'!DF81</f>
        <v>0</v>
      </c>
      <c r="BV222" s="1062">
        <f>'No Recurrentes 24-26'!DG81</f>
        <v>0</v>
      </c>
      <c r="BW222" s="1068"/>
      <c r="BX222" s="1062">
        <f>'No Recurrentes 24-26'!DH81</f>
        <v>11100</v>
      </c>
      <c r="BY222" s="1062">
        <f>'No Recurrentes 24-26'!DI81</f>
        <v>0</v>
      </c>
      <c r="BZ222" s="1062">
        <f>'No Recurrentes 24-26'!DJ81</f>
        <v>0</v>
      </c>
      <c r="CA222" s="1062">
        <f>'No Recurrentes 24-26'!DK81</f>
        <v>0</v>
      </c>
      <c r="CB222" s="1062">
        <f>'No Recurrentes 24-26'!DL81</f>
        <v>0</v>
      </c>
      <c r="CC222" s="1062">
        <f>'No Recurrentes 24-26'!DM81</f>
        <v>0</v>
      </c>
      <c r="CD222" s="1062">
        <f>'No Recurrentes 24-26'!DN81</f>
        <v>0</v>
      </c>
      <c r="CE222" s="1062">
        <f>'No Recurrentes 24-26'!DO81</f>
        <v>0</v>
      </c>
      <c r="CF222" s="1062">
        <f>'No Recurrentes 24-26'!DP81</f>
        <v>0</v>
      </c>
      <c r="CG222" s="1062">
        <f>'No Recurrentes 24-26'!DQ81</f>
        <v>0</v>
      </c>
      <c r="CH222" s="1062">
        <f>'No Recurrentes 24-26'!DR81</f>
        <v>0</v>
      </c>
      <c r="CI222" s="1068"/>
      <c r="CJ222" s="1062">
        <f>'No Recurrentes 24-26'!DS81</f>
        <v>0</v>
      </c>
      <c r="CK222" s="1062">
        <f>'No Recurrentes 24-26'!DT81</f>
        <v>85100</v>
      </c>
      <c r="CL222" s="1064" t="str">
        <f>'No Recurrentes 24-26'!DU81</f>
        <v/>
      </c>
      <c r="CM222" s="1064" t="str">
        <f>'No Recurrentes 24-26'!DV81</f>
        <v>Precio refencial</v>
      </c>
      <c r="CN222" s="1065">
        <f>'No Recurrentes 24-26'!EI80</f>
        <v>2389.29</v>
      </c>
      <c r="CO222" s="1065">
        <f>'No Recurrentes 24-26'!EJ80</f>
        <v>2030.9</v>
      </c>
      <c r="CP222" s="1060" t="str">
        <f>'No Recurrentes 24-26'!EK80</f>
        <v/>
      </c>
    </row>
    <row r="223">
      <c r="A223" s="451" t="str">
        <f>'No Recurrentes 24-26'!A82</f>
        <v>Repuestos Electromecánicos no recurrentes</v>
      </c>
      <c r="B223" s="451">
        <f>'No Recurrentes 24-26'!B82</f>
        <v>2</v>
      </c>
      <c r="C223" s="451" t="str">
        <f>'No Recurrentes 24-26'!C82</f>
        <v>Estación</v>
      </c>
      <c r="D223" s="451" t="str">
        <f>'No Recurrentes 24-26'!D82</f>
        <v>Manto. Eléctrico</v>
      </c>
      <c r="E223" s="451" t="str">
        <f>'No Recurrentes 24-26'!E82</f>
        <v>Repuesto Eléctrico</v>
      </c>
      <c r="F223" s="451" t="str">
        <f>'No Recurrentes 24-26'!F82</f>
        <v>TDB</v>
      </c>
      <c r="G223" s="1061" t="str">
        <f>'No Recurrentes 24-26'!G82</f>
        <v>39700</v>
      </c>
      <c r="H223" s="1061" t="str">
        <f>'No Recurrentes 24-26'!H82</f>
        <v>2-01-00691</v>
      </c>
      <c r="I223" s="1061" t="str">
        <f>'No Recurrentes 24-26'!I82</f>
        <v>11518384</v>
      </c>
      <c r="J223" s="1061" t="str">
        <f>'No Recurrentes 24-26'!J82</f>
        <v>ACOPLAD.FIBROÓPT. SBR-FX15000/RMD V2.0 Nº 12-20-540-81 ESCLA.</v>
      </c>
      <c r="K223" s="451" t="str">
        <f>'No Recurrentes 24-26'!K82</f>
        <v>Pza</v>
      </c>
      <c r="L223" s="451" t="str">
        <f>'No Recurrentes 24-26'!BC82</f>
        <v/>
      </c>
      <c r="M223" s="451" t="str">
        <f>'No Recurrentes 24-26'!BD82</f>
        <v/>
      </c>
      <c r="N223" s="451" t="str">
        <f>'No Recurrentes 24-26'!BE82</f>
        <v/>
      </c>
      <c r="O223" s="451" t="str">
        <f>'No Recurrentes 24-26'!BF82</f>
        <v/>
      </c>
      <c r="P223" s="451" t="str">
        <f>'No Recurrentes 24-26'!BG82</f>
        <v/>
      </c>
      <c r="Q223" s="451">
        <f>'No Recurrentes 24-26'!BH82</f>
        <v>0</v>
      </c>
      <c r="R223" s="451" t="str">
        <f>'No Recurrentes 24-26'!BI82</f>
        <v/>
      </c>
      <c r="S223" s="451" t="str">
        <f>'No Recurrentes 24-26'!BJ82</f>
        <v/>
      </c>
      <c r="T223" s="451" t="str">
        <f>'No Recurrentes 24-26'!BK82</f>
        <v/>
      </c>
      <c r="U223" s="451" t="str">
        <f>'No Recurrentes 24-26'!BL82</f>
        <v/>
      </c>
      <c r="V223" s="1068"/>
      <c r="W223" s="1062">
        <f>'No Recurrentes 24-26'!BM82</f>
        <v>0</v>
      </c>
      <c r="X223" s="1062" t="str">
        <f>'No Recurrentes 24-26'!BN82</f>
        <v/>
      </c>
      <c r="Y223" s="1062" t="str">
        <f>'No Recurrentes 24-26'!BO82</f>
        <v/>
      </c>
      <c r="Z223" s="1062" t="str">
        <f>'No Recurrentes 24-26'!BP82</f>
        <v/>
      </c>
      <c r="AA223" s="1062" t="str">
        <f>'No Recurrentes 24-26'!BQ82</f>
        <v/>
      </c>
      <c r="AB223" s="1062">
        <f>'No Recurrentes 24-26'!BR82</f>
        <v>1</v>
      </c>
      <c r="AC223" s="1062">
        <f>'No Recurrentes 24-26'!BS82</f>
        <v>1</v>
      </c>
      <c r="AD223" s="1062" t="str">
        <f>'No Recurrentes 24-26'!BT82</f>
        <v/>
      </c>
      <c r="AE223" s="1062">
        <f>'No Recurrentes 24-26'!BU82</f>
        <v>2</v>
      </c>
      <c r="AF223" s="1062" t="str">
        <f>'No Recurrentes 24-26'!BV82</f>
        <v/>
      </c>
      <c r="AG223" s="1062" t="str">
        <f>'No Recurrentes 24-26'!BW82</f>
        <v/>
      </c>
      <c r="AH223" s="1068"/>
      <c r="AI223" s="1062">
        <f>'No Recurrentes 24-26'!BX82</f>
        <v>4</v>
      </c>
      <c r="AJ223" s="1062">
        <f>'No Recurrentes 24-26'!BY82</f>
        <v>0</v>
      </c>
      <c r="AK223" s="1062">
        <f>'No Recurrentes 24-26'!BZ82</f>
        <v>0</v>
      </c>
      <c r="AL223" s="1062">
        <f>'No Recurrentes 24-26'!CA82</f>
        <v>0</v>
      </c>
      <c r="AM223" s="1062">
        <f>'No Recurrentes 24-26'!CB82</f>
        <v>0</v>
      </c>
      <c r="AN223" s="1062">
        <f>'No Recurrentes 24-26'!CC82</f>
        <v>0</v>
      </c>
      <c r="AO223" s="1062">
        <f>'No Recurrentes 24-26'!CD82</f>
        <v>0</v>
      </c>
      <c r="AP223" s="1062">
        <f>'No Recurrentes 24-26'!CE82</f>
        <v>0</v>
      </c>
      <c r="AQ223" s="1062">
        <f>'No Recurrentes 24-26'!CF82</f>
        <v>0</v>
      </c>
      <c r="AR223" s="1062">
        <f>'No Recurrentes 24-26'!CG82</f>
        <v>0</v>
      </c>
      <c r="AS223" s="1062">
        <f>'No Recurrentes 24-26'!CH82</f>
        <v>0</v>
      </c>
      <c r="AT223" s="1068"/>
      <c r="AU223" s="1062">
        <f>'No Recurrentes 24-26'!CI82</f>
        <v>0</v>
      </c>
      <c r="AV223" s="1063">
        <f>'No Recurrentes 24-26'!CJ82</f>
        <v>4</v>
      </c>
      <c r="AW223" s="1068"/>
      <c r="AX223" s="1065">
        <f>'No Recurrentes 24-26'!CK82</f>
        <v>2625.33</v>
      </c>
      <c r="AY223" s="1062">
        <f>'No Recurrentes 24-26'!CL82</f>
        <v>18272.2968</v>
      </c>
      <c r="AZ223" s="1068"/>
      <c r="BA223" s="1062">
        <f>'No Recurrentes 24-26'!CM82</f>
        <v>0</v>
      </c>
      <c r="BB223" s="1062">
        <f>'No Recurrentes 24-26'!CN82</f>
        <v>0</v>
      </c>
      <c r="BC223" s="1062">
        <f>'No Recurrentes 24-26'!CO82</f>
        <v>0</v>
      </c>
      <c r="BD223" s="1062">
        <f>'No Recurrentes 24-26'!CP82</f>
        <v>0</v>
      </c>
      <c r="BE223" s="1062">
        <f>'No Recurrentes 24-26'!CQ82</f>
        <v>0</v>
      </c>
      <c r="BF223" s="1062">
        <f>'No Recurrentes 24-26'!CR82</f>
        <v>0</v>
      </c>
      <c r="BG223" s="1062">
        <f>'No Recurrentes 24-26'!CS82</f>
        <v>0</v>
      </c>
      <c r="BH223" s="1062">
        <f>'No Recurrentes 24-26'!CT82</f>
        <v>0</v>
      </c>
      <c r="BI223" s="1062">
        <f>'No Recurrentes 24-26'!CU82</f>
        <v>0</v>
      </c>
      <c r="BJ223" s="1062">
        <f>'No Recurrentes 24-26'!CV82</f>
        <v>0</v>
      </c>
      <c r="BK223" s="1068"/>
      <c r="BL223" s="1062">
        <f>'No Recurrentes 24-26'!CW82</f>
        <v>0</v>
      </c>
      <c r="BM223" s="1062">
        <f>'No Recurrentes 24-26'!CX82</f>
        <v>0</v>
      </c>
      <c r="BN223" s="1062">
        <f>'No Recurrentes 24-26'!CY82</f>
        <v>0</v>
      </c>
      <c r="BO223" s="1062">
        <f>'No Recurrentes 24-26'!CZ82</f>
        <v>0</v>
      </c>
      <c r="BP223" s="1062">
        <f>'No Recurrentes 24-26'!DA82</f>
        <v>0</v>
      </c>
      <c r="BQ223" s="1062">
        <f>'No Recurrentes 24-26'!DB82</f>
        <v>18272.2968</v>
      </c>
      <c r="BR223" s="1062">
        <f>'No Recurrentes 24-26'!DC82</f>
        <v>18272.2968</v>
      </c>
      <c r="BS223" s="1062">
        <f>'No Recurrentes 24-26'!DD82</f>
        <v>0</v>
      </c>
      <c r="BT223" s="1062">
        <f>'No Recurrentes 24-26'!DE82</f>
        <v>36544.5936</v>
      </c>
      <c r="BU223" s="1062">
        <f>'No Recurrentes 24-26'!DF82</f>
        <v>0</v>
      </c>
      <c r="BV223" s="1062">
        <f>'No Recurrentes 24-26'!DG82</f>
        <v>0</v>
      </c>
      <c r="BW223" s="1068"/>
      <c r="BX223" s="1062">
        <f>'No Recurrentes 24-26'!DH82</f>
        <v>73089.1872</v>
      </c>
      <c r="BY223" s="1062">
        <f>'No Recurrentes 24-26'!DI82</f>
        <v>0</v>
      </c>
      <c r="BZ223" s="1062">
        <f>'No Recurrentes 24-26'!DJ82</f>
        <v>0</v>
      </c>
      <c r="CA223" s="1062">
        <f>'No Recurrentes 24-26'!DK82</f>
        <v>0</v>
      </c>
      <c r="CB223" s="1062">
        <f>'No Recurrentes 24-26'!DL82</f>
        <v>0</v>
      </c>
      <c r="CC223" s="1062">
        <f>'No Recurrentes 24-26'!DM82</f>
        <v>0</v>
      </c>
      <c r="CD223" s="1062">
        <f>'No Recurrentes 24-26'!DN82</f>
        <v>0</v>
      </c>
      <c r="CE223" s="1062">
        <f>'No Recurrentes 24-26'!DO82</f>
        <v>0</v>
      </c>
      <c r="CF223" s="1062">
        <f>'No Recurrentes 24-26'!DP82</f>
        <v>0</v>
      </c>
      <c r="CG223" s="1062">
        <f>'No Recurrentes 24-26'!DQ82</f>
        <v>0</v>
      </c>
      <c r="CH223" s="1062">
        <f>'No Recurrentes 24-26'!DR82</f>
        <v>0</v>
      </c>
      <c r="CI223" s="1068"/>
      <c r="CJ223" s="1062">
        <f>'No Recurrentes 24-26'!DS82</f>
        <v>0</v>
      </c>
      <c r="CK223" s="1062">
        <f>'No Recurrentes 24-26'!DT82</f>
        <v>73089.1872</v>
      </c>
      <c r="CL223" s="1064" t="str">
        <f>'No Recurrentes 24-26'!DU82</f>
        <v/>
      </c>
      <c r="CM223" s="1064" t="str">
        <f>'No Recurrentes 24-26'!DV82</f>
        <v>iD ANTERIOR 11112181, se une con 11518384</v>
      </c>
      <c r="CN223" s="1060">
        <f>'No Recurrentes 24-26'!EI81</f>
        <v>1</v>
      </c>
      <c r="CO223" s="1060" t="str">
        <f>'No Recurrentes 24-26'!EJ81</f>
        <v/>
      </c>
      <c r="CP223" s="1060" t="str">
        <f>'No Recurrentes 24-26'!EK81</f>
        <v/>
      </c>
    </row>
    <row r="224">
      <c r="A224" s="451" t="str">
        <f>'No Recurrentes 24-26'!A83</f>
        <v>Repuestos Electromecánicos no recurrentes</v>
      </c>
      <c r="B224" s="451">
        <f>'No Recurrentes 24-26'!B83</f>
        <v>2</v>
      </c>
      <c r="C224" s="451" t="str">
        <f>'No Recurrentes 24-26'!C83</f>
        <v>Estación</v>
      </c>
      <c r="D224" s="451" t="str">
        <f>'No Recurrentes 24-26'!D83</f>
        <v>Manto. Eléctrico</v>
      </c>
      <c r="E224" s="451" t="str">
        <f>'No Recurrentes 24-26'!E83</f>
        <v>Repuesto Eléctrico</v>
      </c>
      <c r="F224" s="451" t="str">
        <f>'No Recurrentes 24-26'!F83</f>
        <v>TDB</v>
      </c>
      <c r="G224" s="1061" t="str">
        <f>'No Recurrentes 24-26'!G83</f>
        <v>39700</v>
      </c>
      <c r="H224" s="1061" t="str">
        <f>'No Recurrentes 24-26'!H83</f>
        <v>2-01-00122</v>
      </c>
      <c r="I224" s="1061" t="str">
        <f>'No Recurrentes 24-26'!I83</f>
        <v>11416872</v>
      </c>
      <c r="J224" s="1061" t="str">
        <f>'No Recurrentes 24-26'!J83</f>
        <v>VENTILADOR TIPO: SPR-MEC21543, P. DISP. NX DE VACON</v>
      </c>
      <c r="K224" s="451" t="str">
        <f>'No Recurrentes 24-26'!K83</f>
        <v>Pza</v>
      </c>
      <c r="L224" s="451">
        <f>'No Recurrentes 24-26'!BC83</f>
        <v>8</v>
      </c>
      <c r="M224" s="451">
        <f>'No Recurrentes 24-26'!BD83</f>
        <v>4</v>
      </c>
      <c r="N224" s="451">
        <f>'No Recurrentes 24-26'!BE83</f>
        <v>4</v>
      </c>
      <c r="O224" s="451" t="str">
        <f>'No Recurrentes 24-26'!BF83</f>
        <v/>
      </c>
      <c r="P224" s="451" t="str">
        <f>'No Recurrentes 24-26'!BG83</f>
        <v/>
      </c>
      <c r="Q224" s="451" t="str">
        <f>'No Recurrentes 24-26'!BH83</f>
        <v/>
      </c>
      <c r="R224" s="451">
        <f>'No Recurrentes 24-26'!BI83</f>
        <v>2</v>
      </c>
      <c r="S224" s="451">
        <f>'No Recurrentes 24-26'!BJ83</f>
        <v>1</v>
      </c>
      <c r="T224" s="451" t="str">
        <f>'No Recurrentes 24-26'!BK83</f>
        <v/>
      </c>
      <c r="U224" s="451" t="str">
        <f>'No Recurrentes 24-26'!BL83</f>
        <v/>
      </c>
      <c r="V224" s="1068"/>
      <c r="W224" s="1062">
        <f>'No Recurrentes 24-26'!BM83</f>
        <v>19</v>
      </c>
      <c r="X224" s="1062" t="str">
        <f>'No Recurrentes 24-26'!BN83</f>
        <v/>
      </c>
      <c r="Y224" s="1062" t="str">
        <f>'No Recurrentes 24-26'!BO83</f>
        <v/>
      </c>
      <c r="Z224" s="1062">
        <f>'No Recurrentes 24-26'!BP83</f>
        <v>4</v>
      </c>
      <c r="AA224" s="1062">
        <f>'No Recurrentes 24-26'!BQ83</f>
        <v>2</v>
      </c>
      <c r="AB224" s="1062">
        <f>'No Recurrentes 24-26'!BR83</f>
        <v>5</v>
      </c>
      <c r="AC224" s="1062">
        <f>'No Recurrentes 24-26'!BS83</f>
        <v>5</v>
      </c>
      <c r="AD224" s="1062">
        <f>'No Recurrentes 24-26'!BT83</f>
        <v>2</v>
      </c>
      <c r="AE224" s="1062" t="str">
        <f>'No Recurrentes 24-26'!BU83</f>
        <v/>
      </c>
      <c r="AF224" s="1062" t="str">
        <f>'No Recurrentes 24-26'!BV83</f>
        <v/>
      </c>
      <c r="AG224" s="1062">
        <f>'No Recurrentes 24-26'!BW83</f>
        <v>2</v>
      </c>
      <c r="AH224" s="1068"/>
      <c r="AI224" s="1062">
        <f>'No Recurrentes 24-26'!BX83</f>
        <v>20</v>
      </c>
      <c r="AJ224" s="1062">
        <f>'No Recurrentes 24-26'!BY83</f>
        <v>0</v>
      </c>
      <c r="AK224" s="1062">
        <f>'No Recurrentes 24-26'!BZ83</f>
        <v>0</v>
      </c>
      <c r="AL224" s="1062">
        <f>'No Recurrentes 24-26'!CA83</f>
        <v>0</v>
      </c>
      <c r="AM224" s="1062">
        <f>'No Recurrentes 24-26'!CB83</f>
        <v>2</v>
      </c>
      <c r="AN224" s="1062">
        <f>'No Recurrentes 24-26'!CC83</f>
        <v>5</v>
      </c>
      <c r="AO224" s="1062">
        <f>'No Recurrentes 24-26'!CD83</f>
        <v>5</v>
      </c>
      <c r="AP224" s="1062">
        <f>'No Recurrentes 24-26'!CE83</f>
        <v>0</v>
      </c>
      <c r="AQ224" s="1062">
        <f>'No Recurrentes 24-26'!CF83</f>
        <v>2</v>
      </c>
      <c r="AR224" s="1062">
        <f>'No Recurrentes 24-26'!CG83</f>
        <v>0</v>
      </c>
      <c r="AS224" s="1062">
        <f>'No Recurrentes 24-26'!CH83</f>
        <v>2</v>
      </c>
      <c r="AT224" s="1068"/>
      <c r="AU224" s="1062">
        <f>'No Recurrentes 24-26'!CI83</f>
        <v>16</v>
      </c>
      <c r="AV224" s="1063">
        <f>'No Recurrentes 24-26'!CJ83</f>
        <v>55</v>
      </c>
      <c r="AW224" s="1068"/>
      <c r="AX224" s="1065">
        <f>'No Recurrentes 24-26'!CK83</f>
        <v>257.23</v>
      </c>
      <c r="AY224" s="1062">
        <f>'No Recurrentes 24-26'!CL83</f>
        <v>1790.3208</v>
      </c>
      <c r="AZ224" s="1068"/>
      <c r="BA224" s="1062">
        <f>'No Recurrentes 24-26'!CM83</f>
        <v>14322.5664</v>
      </c>
      <c r="BB224" s="1062">
        <f>'No Recurrentes 24-26'!CN83</f>
        <v>7161.2832</v>
      </c>
      <c r="BC224" s="1062">
        <f>'No Recurrentes 24-26'!CO83</f>
        <v>7161.2832</v>
      </c>
      <c r="BD224" s="1062">
        <f>'No Recurrentes 24-26'!CP83</f>
        <v>0</v>
      </c>
      <c r="BE224" s="1062">
        <f>'No Recurrentes 24-26'!CQ83</f>
        <v>0</v>
      </c>
      <c r="BF224" s="1062">
        <f>'No Recurrentes 24-26'!CR83</f>
        <v>0</v>
      </c>
      <c r="BG224" s="1062">
        <f>'No Recurrentes 24-26'!CS83</f>
        <v>3580.6416</v>
      </c>
      <c r="BH224" s="1062">
        <f>'No Recurrentes 24-26'!CT83</f>
        <v>1790.3208</v>
      </c>
      <c r="BI224" s="1062">
        <f>'No Recurrentes 24-26'!CU83</f>
        <v>0</v>
      </c>
      <c r="BJ224" s="1062">
        <f>'No Recurrentes 24-26'!CV83</f>
        <v>0</v>
      </c>
      <c r="BK224" s="1068"/>
      <c r="BL224" s="1062">
        <f>'No Recurrentes 24-26'!CW83</f>
        <v>34016.0952</v>
      </c>
      <c r="BM224" s="1062">
        <f>'No Recurrentes 24-26'!CX83</f>
        <v>0</v>
      </c>
      <c r="BN224" s="1062">
        <f>'No Recurrentes 24-26'!CY83</f>
        <v>0</v>
      </c>
      <c r="BO224" s="1062">
        <f>'No Recurrentes 24-26'!CZ83</f>
        <v>7161.2832</v>
      </c>
      <c r="BP224" s="1062">
        <f>'No Recurrentes 24-26'!DA83</f>
        <v>3580.6416</v>
      </c>
      <c r="BQ224" s="1062">
        <f>'No Recurrentes 24-26'!DB83</f>
        <v>8951.604</v>
      </c>
      <c r="BR224" s="1062">
        <f>'No Recurrentes 24-26'!DC83</f>
        <v>8951.604</v>
      </c>
      <c r="BS224" s="1062">
        <f>'No Recurrentes 24-26'!DD83</f>
        <v>3580.6416</v>
      </c>
      <c r="BT224" s="1062">
        <f>'No Recurrentes 24-26'!DE83</f>
        <v>0</v>
      </c>
      <c r="BU224" s="1062">
        <f>'No Recurrentes 24-26'!DF83</f>
        <v>0</v>
      </c>
      <c r="BV224" s="1062">
        <f>'No Recurrentes 24-26'!DG83</f>
        <v>3580.6416</v>
      </c>
      <c r="BW224" s="1068"/>
      <c r="BX224" s="1062">
        <f>'No Recurrentes 24-26'!DH83</f>
        <v>35806.416</v>
      </c>
      <c r="BY224" s="1062">
        <f>'No Recurrentes 24-26'!DI83</f>
        <v>0</v>
      </c>
      <c r="BZ224" s="1062">
        <f>'No Recurrentes 24-26'!DJ83</f>
        <v>0</v>
      </c>
      <c r="CA224" s="1062">
        <f>'No Recurrentes 24-26'!DK83</f>
        <v>0</v>
      </c>
      <c r="CB224" s="1062">
        <f>'No Recurrentes 24-26'!DL83</f>
        <v>3580.6416</v>
      </c>
      <c r="CC224" s="1062">
        <f>'No Recurrentes 24-26'!DM83</f>
        <v>8951.604</v>
      </c>
      <c r="CD224" s="1062">
        <f>'No Recurrentes 24-26'!DN83</f>
        <v>8951.604</v>
      </c>
      <c r="CE224" s="1062">
        <f>'No Recurrentes 24-26'!DO83</f>
        <v>0</v>
      </c>
      <c r="CF224" s="1062">
        <f>'No Recurrentes 24-26'!DP83</f>
        <v>3580.6416</v>
      </c>
      <c r="CG224" s="1062">
        <f>'No Recurrentes 24-26'!DQ83</f>
        <v>0</v>
      </c>
      <c r="CH224" s="1062">
        <f>'No Recurrentes 24-26'!DR83</f>
        <v>3580.6416</v>
      </c>
      <c r="CI224" s="1068"/>
      <c r="CJ224" s="1062">
        <f>'No Recurrentes 24-26'!DS83</f>
        <v>28645.1328</v>
      </c>
      <c r="CK224" s="1062">
        <f>'No Recurrentes 24-26'!DT83</f>
        <v>98467.644</v>
      </c>
      <c r="CL224" s="1064" t="str">
        <f>'No Recurrentes 24-26'!DU83</f>
        <v/>
      </c>
      <c r="CM224" s="1064" t="str">
        <f>'No Recurrentes 24-26'!DV83</f>
        <v/>
      </c>
      <c r="CN224" s="1065">
        <f>'No Recurrentes 24-26'!EI82</f>
        <v>2625.33</v>
      </c>
      <c r="CO224" s="1065">
        <f>'No Recurrentes 24-26'!EJ82</f>
        <v>2231.53</v>
      </c>
      <c r="CP224" s="1060" t="str">
        <f>'No Recurrentes 24-26'!EK82</f>
        <v/>
      </c>
    </row>
    <row r="225">
      <c r="A225" s="451" t="str">
        <f>'No Recurrentes 24-26'!A84</f>
        <v>Repuestos Electromecánicos no recurrentes</v>
      </c>
      <c r="B225" s="451">
        <f>'No Recurrentes 24-26'!B84</f>
        <v>2</v>
      </c>
      <c r="C225" s="451" t="str">
        <f>'No Recurrentes 24-26'!C84</f>
        <v>Estación</v>
      </c>
      <c r="D225" s="451" t="str">
        <f>'No Recurrentes 24-26'!D84</f>
        <v>Manto. Eléctrico</v>
      </c>
      <c r="E225" s="451" t="str">
        <f>'No Recurrentes 24-26'!E84</f>
        <v>Repuesto Eléctrico</v>
      </c>
      <c r="F225" s="451" t="str">
        <f>'No Recurrentes 24-26'!F84</f>
        <v>TDB</v>
      </c>
      <c r="G225" s="1061" t="str">
        <f>'No Recurrentes 24-26'!G84</f>
        <v>39700</v>
      </c>
      <c r="H225" s="1061" t="str">
        <f>'No Recurrentes 24-26'!H84</f>
        <v>2-02-00180</v>
      </c>
      <c r="I225" s="1061" t="str">
        <f>'No Recurrentes 24-26'!I84</f>
        <v>10320444</v>
      </c>
      <c r="J225" s="1061" t="str">
        <f>'No Recurrentes 24-26'!J84</f>
        <v>CIRC.IMP.BLSCHAS2 PROT.C.RAYOS DOTADO                  LUETZE</v>
      </c>
      <c r="K225" s="451" t="str">
        <f>'No Recurrentes 24-26'!K84</f>
        <v>Pza</v>
      </c>
      <c r="L225" s="451" t="str">
        <f>'No Recurrentes 24-26'!BC84</f>
        <v/>
      </c>
      <c r="M225" s="451" t="str">
        <f>'No Recurrentes 24-26'!BD84</f>
        <v/>
      </c>
      <c r="N225" s="451">
        <f>'No Recurrentes 24-26'!BE84</f>
        <v>1</v>
      </c>
      <c r="O225" s="451" t="str">
        <f>'No Recurrentes 24-26'!BF84</f>
        <v/>
      </c>
      <c r="P225" s="451" t="str">
        <f>'No Recurrentes 24-26'!BG84</f>
        <v/>
      </c>
      <c r="Q225" s="451" t="str">
        <f>'No Recurrentes 24-26'!BH84</f>
        <v/>
      </c>
      <c r="R225" s="451">
        <f>'No Recurrentes 24-26'!BI84</f>
        <v>1</v>
      </c>
      <c r="S225" s="451">
        <f>'No Recurrentes 24-26'!BJ84</f>
        <v>1</v>
      </c>
      <c r="T225" s="451">
        <f>'No Recurrentes 24-26'!BK84</f>
        <v>0</v>
      </c>
      <c r="U225" s="451" t="str">
        <f>'No Recurrentes 24-26'!BL84</f>
        <v/>
      </c>
      <c r="V225" s="1068"/>
      <c r="W225" s="1062">
        <f>'No Recurrentes 24-26'!BM84</f>
        <v>3</v>
      </c>
      <c r="X225" s="1062" t="str">
        <f>'No Recurrentes 24-26'!BN84</f>
        <v/>
      </c>
      <c r="Y225" s="1062" t="str">
        <f>'No Recurrentes 24-26'!BO84</f>
        <v/>
      </c>
      <c r="Z225" s="1062" t="str">
        <f>'No Recurrentes 24-26'!BP84</f>
        <v/>
      </c>
      <c r="AA225" s="1062" t="str">
        <f>'No Recurrentes 24-26'!BQ84</f>
        <v/>
      </c>
      <c r="AB225" s="1062" t="str">
        <f>'No Recurrentes 24-26'!BR84</f>
        <v/>
      </c>
      <c r="AC225" s="1062" t="str">
        <f>'No Recurrentes 24-26'!BS84</f>
        <v/>
      </c>
      <c r="AD225" s="1062" t="str">
        <f>'No Recurrentes 24-26'!BT84</f>
        <v/>
      </c>
      <c r="AE225" s="1062" t="str">
        <f>'No Recurrentes 24-26'!BU84</f>
        <v/>
      </c>
      <c r="AF225" s="1062">
        <f>'No Recurrentes 24-26'!BV84</f>
        <v>1</v>
      </c>
      <c r="AG225" s="1062">
        <f>'No Recurrentes 24-26'!BW84</f>
        <v>1</v>
      </c>
      <c r="AH225" s="1068"/>
      <c r="AI225" s="1062">
        <f>'No Recurrentes 24-26'!BX84</f>
        <v>2</v>
      </c>
      <c r="AJ225" s="1062">
        <f>'No Recurrentes 24-26'!BY84</f>
        <v>0</v>
      </c>
      <c r="AK225" s="1062">
        <f>'No Recurrentes 24-26'!BZ84</f>
        <v>0</v>
      </c>
      <c r="AL225" s="1062">
        <f>'No Recurrentes 24-26'!CA84</f>
        <v>0</v>
      </c>
      <c r="AM225" s="1062">
        <f>'No Recurrentes 24-26'!CB84</f>
        <v>0</v>
      </c>
      <c r="AN225" s="1062">
        <f>'No Recurrentes 24-26'!CC84</f>
        <v>0</v>
      </c>
      <c r="AO225" s="1062">
        <f>'No Recurrentes 24-26'!CD84</f>
        <v>0</v>
      </c>
      <c r="AP225" s="1062">
        <f>'No Recurrentes 24-26'!CE84</f>
        <v>0</v>
      </c>
      <c r="AQ225" s="1062">
        <f>'No Recurrentes 24-26'!CF84</f>
        <v>0</v>
      </c>
      <c r="AR225" s="1062">
        <f>'No Recurrentes 24-26'!CG84</f>
        <v>0</v>
      </c>
      <c r="AS225" s="1062">
        <f>'No Recurrentes 24-26'!CH84</f>
        <v>0</v>
      </c>
      <c r="AT225" s="1068"/>
      <c r="AU225" s="1062">
        <f>'No Recurrentes 24-26'!CI84</f>
        <v>0</v>
      </c>
      <c r="AV225" s="1063">
        <f>'No Recurrentes 24-26'!CJ84</f>
        <v>5</v>
      </c>
      <c r="AW225" s="1068"/>
      <c r="AX225" s="1065">
        <f>'No Recurrentes 24-26'!CK84</f>
        <v>1224.6</v>
      </c>
      <c r="AY225" s="1062">
        <f>'No Recurrentes 24-26'!CL84</f>
        <v>8523.216</v>
      </c>
      <c r="AZ225" s="1068"/>
      <c r="BA225" s="1062">
        <f>'No Recurrentes 24-26'!CM84</f>
        <v>0</v>
      </c>
      <c r="BB225" s="1062">
        <f>'No Recurrentes 24-26'!CN84</f>
        <v>0</v>
      </c>
      <c r="BC225" s="1062">
        <f>'No Recurrentes 24-26'!CO84</f>
        <v>8523.216</v>
      </c>
      <c r="BD225" s="1062">
        <f>'No Recurrentes 24-26'!CP84</f>
        <v>0</v>
      </c>
      <c r="BE225" s="1062">
        <f>'No Recurrentes 24-26'!CQ84</f>
        <v>0</v>
      </c>
      <c r="BF225" s="1062">
        <f>'No Recurrentes 24-26'!CR84</f>
        <v>0</v>
      </c>
      <c r="BG225" s="1062">
        <f>'No Recurrentes 24-26'!CS84</f>
        <v>8523.216</v>
      </c>
      <c r="BH225" s="1062">
        <f>'No Recurrentes 24-26'!CT84</f>
        <v>8523.216</v>
      </c>
      <c r="BI225" s="1062">
        <f>'No Recurrentes 24-26'!CU84</f>
        <v>0</v>
      </c>
      <c r="BJ225" s="1062">
        <f>'No Recurrentes 24-26'!CV84</f>
        <v>0</v>
      </c>
      <c r="BK225" s="1068"/>
      <c r="BL225" s="1062">
        <f>'No Recurrentes 24-26'!CW84</f>
        <v>25569.648</v>
      </c>
      <c r="BM225" s="1062">
        <f>'No Recurrentes 24-26'!CX84</f>
        <v>0</v>
      </c>
      <c r="BN225" s="1062">
        <f>'No Recurrentes 24-26'!CY84</f>
        <v>0</v>
      </c>
      <c r="BO225" s="1062">
        <f>'No Recurrentes 24-26'!CZ84</f>
        <v>0</v>
      </c>
      <c r="BP225" s="1062">
        <f>'No Recurrentes 24-26'!DA84</f>
        <v>0</v>
      </c>
      <c r="BQ225" s="1062">
        <f>'No Recurrentes 24-26'!DB84</f>
        <v>0</v>
      </c>
      <c r="BR225" s="1062">
        <f>'No Recurrentes 24-26'!DC84</f>
        <v>0</v>
      </c>
      <c r="BS225" s="1062">
        <f>'No Recurrentes 24-26'!DD84</f>
        <v>0</v>
      </c>
      <c r="BT225" s="1062">
        <f>'No Recurrentes 24-26'!DE84</f>
        <v>0</v>
      </c>
      <c r="BU225" s="1062">
        <f>'No Recurrentes 24-26'!DF84</f>
        <v>8523.216</v>
      </c>
      <c r="BV225" s="1062">
        <f>'No Recurrentes 24-26'!DG84</f>
        <v>8523.216</v>
      </c>
      <c r="BW225" s="1068"/>
      <c r="BX225" s="1062">
        <f>'No Recurrentes 24-26'!DH84</f>
        <v>17046.432</v>
      </c>
      <c r="BY225" s="1062">
        <f>'No Recurrentes 24-26'!DI84</f>
        <v>0</v>
      </c>
      <c r="BZ225" s="1062">
        <f>'No Recurrentes 24-26'!DJ84</f>
        <v>0</v>
      </c>
      <c r="CA225" s="1062">
        <f>'No Recurrentes 24-26'!DK84</f>
        <v>0</v>
      </c>
      <c r="CB225" s="1062">
        <f>'No Recurrentes 24-26'!DL84</f>
        <v>0</v>
      </c>
      <c r="CC225" s="1062">
        <f>'No Recurrentes 24-26'!DM84</f>
        <v>0</v>
      </c>
      <c r="CD225" s="1062">
        <f>'No Recurrentes 24-26'!DN84</f>
        <v>0</v>
      </c>
      <c r="CE225" s="1062">
        <f>'No Recurrentes 24-26'!DO84</f>
        <v>0</v>
      </c>
      <c r="CF225" s="1062">
        <f>'No Recurrentes 24-26'!DP84</f>
        <v>0</v>
      </c>
      <c r="CG225" s="1062">
        <f>'No Recurrentes 24-26'!DQ84</f>
        <v>0</v>
      </c>
      <c r="CH225" s="1062">
        <f>'No Recurrentes 24-26'!DR84</f>
        <v>0</v>
      </c>
      <c r="CI225" s="1068"/>
      <c r="CJ225" s="1062">
        <f>'No Recurrentes 24-26'!DS84</f>
        <v>0</v>
      </c>
      <c r="CK225" s="1062">
        <f>'No Recurrentes 24-26'!DT84</f>
        <v>42616.08</v>
      </c>
      <c r="CL225" s="1064" t="str">
        <f>'No Recurrentes 24-26'!DU84</f>
        <v/>
      </c>
      <c r="CM225" s="1064" t="str">
        <f>'No Recurrentes 24-26'!DV84</f>
        <v/>
      </c>
      <c r="CN225" s="1065">
        <f>'No Recurrentes 24-26'!EI83</f>
        <v>257.23</v>
      </c>
      <c r="CO225" s="1065">
        <f>'No Recurrentes 24-26'!EJ83</f>
        <v>218.65</v>
      </c>
      <c r="CP225" s="1060" t="str">
        <f>'No Recurrentes 24-26'!EK83</f>
        <v/>
      </c>
    </row>
    <row r="226">
      <c r="A226" s="451" t="str">
        <f>'No Recurrentes 24-26'!A85</f>
        <v>Repuestos Electromecánicos no recurrentes</v>
      </c>
      <c r="B226" s="451">
        <f>'No Recurrentes 24-26'!B85</f>
        <v>2</v>
      </c>
      <c r="C226" s="451" t="str">
        <f>'No Recurrentes 24-26'!C85</f>
        <v>Estación</v>
      </c>
      <c r="D226" s="451" t="str">
        <f>'No Recurrentes 24-26'!D85</f>
        <v>Manto. Eléctrico</v>
      </c>
      <c r="E226" s="451" t="str">
        <f>'No Recurrentes 24-26'!E85</f>
        <v>Repuesto Eléctrico</v>
      </c>
      <c r="F226" s="451" t="str">
        <f>'No Recurrentes 24-26'!F85</f>
        <v>TDB</v>
      </c>
      <c r="G226" s="1061" t="str">
        <f>'No Recurrentes 24-26'!G85</f>
        <v>39700</v>
      </c>
      <c r="H226" s="1061" t="str">
        <f>'No Recurrentes 24-26'!H85</f>
        <v>2-06-00018</v>
      </c>
      <c r="I226" s="1061" t="str">
        <f>'No Recurrentes 24-26'!I85</f>
        <v>10763651</v>
      </c>
      <c r="J226" s="1061" t="str">
        <f>'No Recurrentes 24-26'!J85</f>
        <v>FUENTE ALIMENT. CONMUT. PULS QS20.481 100-240VAC-48VDC/10A</v>
      </c>
      <c r="K226" s="451" t="str">
        <f>'No Recurrentes 24-26'!K85</f>
        <v>Pza</v>
      </c>
      <c r="L226" s="451" t="str">
        <f>'No Recurrentes 24-26'!BC85</f>
        <v/>
      </c>
      <c r="M226" s="451" t="str">
        <f>'No Recurrentes 24-26'!BD85</f>
        <v/>
      </c>
      <c r="N226" s="451" t="str">
        <f>'No Recurrentes 24-26'!BE85</f>
        <v/>
      </c>
      <c r="O226" s="451" t="str">
        <f>'No Recurrentes 24-26'!BF85</f>
        <v/>
      </c>
      <c r="P226" s="451">
        <f>'No Recurrentes 24-26'!BG85</f>
        <v>1</v>
      </c>
      <c r="Q226" s="451" t="str">
        <f>'No Recurrentes 24-26'!BH85</f>
        <v/>
      </c>
      <c r="R226" s="451" t="str">
        <f>'No Recurrentes 24-26'!BI85</f>
        <v/>
      </c>
      <c r="S226" s="451" t="str">
        <f>'No Recurrentes 24-26'!BJ85</f>
        <v/>
      </c>
      <c r="T226" s="451" t="str">
        <f>'No Recurrentes 24-26'!BK85</f>
        <v/>
      </c>
      <c r="U226" s="451" t="str">
        <f>'No Recurrentes 24-26'!BL85</f>
        <v/>
      </c>
      <c r="V226" s="1068"/>
      <c r="W226" s="1062">
        <f>'No Recurrentes 24-26'!BM85</f>
        <v>1</v>
      </c>
      <c r="X226" s="1062" t="str">
        <f>'No Recurrentes 24-26'!BN85</f>
        <v/>
      </c>
      <c r="Y226" s="1062" t="str">
        <f>'No Recurrentes 24-26'!BO85</f>
        <v/>
      </c>
      <c r="Z226" s="1062" t="str">
        <f>'No Recurrentes 24-26'!BP85</f>
        <v/>
      </c>
      <c r="AA226" s="1062" t="str">
        <f>'No Recurrentes 24-26'!BQ85</f>
        <v/>
      </c>
      <c r="AB226" s="1062" t="str">
        <f>'No Recurrentes 24-26'!BR85</f>
        <v/>
      </c>
      <c r="AC226" s="1062" t="str">
        <f>'No Recurrentes 24-26'!BS85</f>
        <v/>
      </c>
      <c r="AD226" s="1062" t="str">
        <f>'No Recurrentes 24-26'!BT85</f>
        <v/>
      </c>
      <c r="AE226" s="1062" t="str">
        <f>'No Recurrentes 24-26'!BU85</f>
        <v/>
      </c>
      <c r="AF226" s="1062" t="str">
        <f>'No Recurrentes 24-26'!BV85</f>
        <v/>
      </c>
      <c r="AG226" s="1062">
        <f>'No Recurrentes 24-26'!BW85</f>
        <v>1</v>
      </c>
      <c r="AH226" s="1068"/>
      <c r="AI226" s="1062">
        <f>'No Recurrentes 24-26'!BX85</f>
        <v>1</v>
      </c>
      <c r="AJ226" s="1062">
        <f>'No Recurrentes 24-26'!BY85</f>
        <v>0</v>
      </c>
      <c r="AK226" s="1062">
        <f>'No Recurrentes 24-26'!BZ85</f>
        <v>0</v>
      </c>
      <c r="AL226" s="1062">
        <f>'No Recurrentes 24-26'!CA85</f>
        <v>0</v>
      </c>
      <c r="AM226" s="1062">
        <f>'No Recurrentes 24-26'!CB85</f>
        <v>1</v>
      </c>
      <c r="AN226" s="1062">
        <f>'No Recurrentes 24-26'!CC85</f>
        <v>1</v>
      </c>
      <c r="AO226" s="1062">
        <f>'No Recurrentes 24-26'!CD85</f>
        <v>0</v>
      </c>
      <c r="AP226" s="1062">
        <f>'No Recurrentes 24-26'!CE85</f>
        <v>0</v>
      </c>
      <c r="AQ226" s="1062">
        <f>'No Recurrentes 24-26'!CF85</f>
        <v>0</v>
      </c>
      <c r="AR226" s="1062">
        <f>'No Recurrentes 24-26'!CG85</f>
        <v>0</v>
      </c>
      <c r="AS226" s="1062">
        <f>'No Recurrentes 24-26'!CH85</f>
        <v>0</v>
      </c>
      <c r="AT226" s="1068"/>
      <c r="AU226" s="1062">
        <f>'No Recurrentes 24-26'!CI85</f>
        <v>2</v>
      </c>
      <c r="AV226" s="1063">
        <f>'No Recurrentes 24-26'!CJ85</f>
        <v>4</v>
      </c>
      <c r="AW226" s="1068"/>
      <c r="AX226" s="1065">
        <f>'No Recurrentes 24-26'!CK85</f>
        <v>1185.38</v>
      </c>
      <c r="AY226" s="1062">
        <f>'No Recurrentes 24-26'!CL85</f>
        <v>8250.2448</v>
      </c>
      <c r="AZ226" s="1068"/>
      <c r="BA226" s="1062">
        <f>'No Recurrentes 24-26'!CM85</f>
        <v>0</v>
      </c>
      <c r="BB226" s="1062">
        <f>'No Recurrentes 24-26'!CN85</f>
        <v>0</v>
      </c>
      <c r="BC226" s="1062">
        <f>'No Recurrentes 24-26'!CO85</f>
        <v>0</v>
      </c>
      <c r="BD226" s="1062">
        <f>'No Recurrentes 24-26'!CP85</f>
        <v>0</v>
      </c>
      <c r="BE226" s="1062">
        <f>'No Recurrentes 24-26'!CQ85</f>
        <v>8250.2448</v>
      </c>
      <c r="BF226" s="1062">
        <f>'No Recurrentes 24-26'!CR85</f>
        <v>0</v>
      </c>
      <c r="BG226" s="1062">
        <f>'No Recurrentes 24-26'!CS85</f>
        <v>0</v>
      </c>
      <c r="BH226" s="1062">
        <f>'No Recurrentes 24-26'!CT85</f>
        <v>0</v>
      </c>
      <c r="BI226" s="1062">
        <f>'No Recurrentes 24-26'!CU85</f>
        <v>0</v>
      </c>
      <c r="BJ226" s="1062">
        <f>'No Recurrentes 24-26'!CV85</f>
        <v>0</v>
      </c>
      <c r="BK226" s="1068"/>
      <c r="BL226" s="1062">
        <f>'No Recurrentes 24-26'!CW85</f>
        <v>8250.2448</v>
      </c>
      <c r="BM226" s="1062">
        <f>'No Recurrentes 24-26'!CX85</f>
        <v>0</v>
      </c>
      <c r="BN226" s="1062">
        <f>'No Recurrentes 24-26'!CY85</f>
        <v>0</v>
      </c>
      <c r="BO226" s="1062">
        <f>'No Recurrentes 24-26'!CZ85</f>
        <v>0</v>
      </c>
      <c r="BP226" s="1062">
        <f>'No Recurrentes 24-26'!DA85</f>
        <v>0</v>
      </c>
      <c r="BQ226" s="1062">
        <f>'No Recurrentes 24-26'!DB85</f>
        <v>0</v>
      </c>
      <c r="BR226" s="1062">
        <f>'No Recurrentes 24-26'!DC85</f>
        <v>0</v>
      </c>
      <c r="BS226" s="1062">
        <f>'No Recurrentes 24-26'!DD85</f>
        <v>0</v>
      </c>
      <c r="BT226" s="1062">
        <f>'No Recurrentes 24-26'!DE85</f>
        <v>0</v>
      </c>
      <c r="BU226" s="1062">
        <f>'No Recurrentes 24-26'!DF85</f>
        <v>0</v>
      </c>
      <c r="BV226" s="1062">
        <f>'No Recurrentes 24-26'!DG85</f>
        <v>8250.2448</v>
      </c>
      <c r="BW226" s="1068"/>
      <c r="BX226" s="1062">
        <f>'No Recurrentes 24-26'!DH85</f>
        <v>8250.2448</v>
      </c>
      <c r="BY226" s="1062">
        <f>'No Recurrentes 24-26'!DI85</f>
        <v>0</v>
      </c>
      <c r="BZ226" s="1062">
        <f>'No Recurrentes 24-26'!DJ85</f>
        <v>0</v>
      </c>
      <c r="CA226" s="1062">
        <f>'No Recurrentes 24-26'!DK85</f>
        <v>0</v>
      </c>
      <c r="CB226" s="1062">
        <f>'No Recurrentes 24-26'!DL85</f>
        <v>8250.2448</v>
      </c>
      <c r="CC226" s="1062">
        <f>'No Recurrentes 24-26'!DM85</f>
        <v>8250.2448</v>
      </c>
      <c r="CD226" s="1062">
        <f>'No Recurrentes 24-26'!DN85</f>
        <v>0</v>
      </c>
      <c r="CE226" s="1062">
        <f>'No Recurrentes 24-26'!DO85</f>
        <v>0</v>
      </c>
      <c r="CF226" s="1062">
        <f>'No Recurrentes 24-26'!DP85</f>
        <v>0</v>
      </c>
      <c r="CG226" s="1062">
        <f>'No Recurrentes 24-26'!DQ85</f>
        <v>0</v>
      </c>
      <c r="CH226" s="1062">
        <f>'No Recurrentes 24-26'!DR85</f>
        <v>0</v>
      </c>
      <c r="CI226" s="1068"/>
      <c r="CJ226" s="1062">
        <f>'No Recurrentes 24-26'!DS85</f>
        <v>16500.4896</v>
      </c>
      <c r="CK226" s="1062">
        <f>'No Recurrentes 24-26'!DT85</f>
        <v>33000.9792</v>
      </c>
      <c r="CL226" s="1064" t="str">
        <f>'No Recurrentes 24-26'!DU85</f>
        <v/>
      </c>
      <c r="CM226" s="1064" t="str">
        <f>'No Recurrentes 24-26'!DV85</f>
        <v/>
      </c>
      <c r="CN226" s="1065">
        <f>'No Recurrentes 24-26'!EI84</f>
        <v>1224.6</v>
      </c>
      <c r="CO226" s="1065">
        <f>'No Recurrentes 24-26'!EJ84</f>
        <v>1040.91</v>
      </c>
      <c r="CP226" s="1060" t="str">
        <f>'No Recurrentes 24-26'!EK84</f>
        <v/>
      </c>
    </row>
    <row r="227">
      <c r="A227" s="451" t="str">
        <f>'No Recurrentes 24-26'!A86</f>
        <v>Repuestos Electromecánicos no recurrentes</v>
      </c>
      <c r="B227" s="451">
        <f>'No Recurrentes 24-26'!B86</f>
        <v>2</v>
      </c>
      <c r="C227" s="451" t="str">
        <f>'No Recurrentes 24-26'!C86</f>
        <v>Estación</v>
      </c>
      <c r="D227" s="451" t="str">
        <f>'No Recurrentes 24-26'!D86</f>
        <v>Manto. Eléctrico</v>
      </c>
      <c r="E227" s="451" t="str">
        <f>'No Recurrentes 24-26'!E86</f>
        <v>Repuesto Eléctrico</v>
      </c>
      <c r="F227" s="451" t="str">
        <f>'No Recurrentes 24-26'!F86</f>
        <v>TDB</v>
      </c>
      <c r="G227" s="1061" t="str">
        <f>'No Recurrentes 24-26'!G86</f>
        <v>39700</v>
      </c>
      <c r="H227" s="1061" t="str">
        <f>'No Recurrentes 24-26'!H86</f>
        <v>2-06-00029</v>
      </c>
      <c r="I227" s="1061" t="str">
        <f>'No Recurrentes 24-26'!I86</f>
        <v>11154982</v>
      </c>
      <c r="J227" s="1061" t="str">
        <f>'No Recurrentes 24-26'!J86</f>
        <v>ARRANCAD. INVERS. ELR H5-SC-24VDC/ 500AC-9 N.°2900538 PHOENIX</v>
      </c>
      <c r="K227" s="451" t="str">
        <f>'No Recurrentes 24-26'!K86</f>
        <v>Pza</v>
      </c>
      <c r="L227" s="451">
        <f>'No Recurrentes 24-26'!BC86</f>
        <v>1</v>
      </c>
      <c r="M227" s="451" t="str">
        <f>'No Recurrentes 24-26'!BD86</f>
        <v/>
      </c>
      <c r="N227" s="451">
        <f>'No Recurrentes 24-26'!BE86</f>
        <v>1</v>
      </c>
      <c r="O227" s="451" t="str">
        <f>'No Recurrentes 24-26'!BF86</f>
        <v/>
      </c>
      <c r="P227" s="451">
        <f>'No Recurrentes 24-26'!BG86</f>
        <v>3</v>
      </c>
      <c r="Q227" s="451">
        <f>'No Recurrentes 24-26'!BH86</f>
        <v>1</v>
      </c>
      <c r="R227" s="451" t="str">
        <f>'No Recurrentes 24-26'!BI86</f>
        <v/>
      </c>
      <c r="S227" s="451" t="str">
        <f>'No Recurrentes 24-26'!BJ86</f>
        <v/>
      </c>
      <c r="T227" s="451" t="str">
        <f>'No Recurrentes 24-26'!BK86</f>
        <v/>
      </c>
      <c r="U227" s="451" t="str">
        <f>'No Recurrentes 24-26'!BL86</f>
        <v/>
      </c>
      <c r="V227" s="1068"/>
      <c r="W227" s="1062">
        <f>'No Recurrentes 24-26'!BM86</f>
        <v>6</v>
      </c>
      <c r="X227" s="1062" t="str">
        <f>'No Recurrentes 24-26'!BN86</f>
        <v/>
      </c>
      <c r="Y227" s="1062" t="str">
        <f>'No Recurrentes 24-26'!BO86</f>
        <v/>
      </c>
      <c r="Z227" s="1062" t="str">
        <f>'No Recurrentes 24-26'!BP86</f>
        <v/>
      </c>
      <c r="AA227" s="1062" t="str">
        <f>'No Recurrentes 24-26'!BQ86</f>
        <v/>
      </c>
      <c r="AB227" s="1062" t="str">
        <f>'No Recurrentes 24-26'!BR86</f>
        <v/>
      </c>
      <c r="AC227" s="1062" t="str">
        <f>'No Recurrentes 24-26'!BS86</f>
        <v/>
      </c>
      <c r="AD227" s="1062" t="str">
        <f>'No Recurrentes 24-26'!BT86</f>
        <v/>
      </c>
      <c r="AE227" s="1062" t="str">
        <f>'No Recurrentes 24-26'!BU86</f>
        <v/>
      </c>
      <c r="AF227" s="1062" t="str">
        <f>'No Recurrentes 24-26'!BV86</f>
        <v/>
      </c>
      <c r="AG227" s="1062">
        <f>'No Recurrentes 24-26'!BW86</f>
        <v>1</v>
      </c>
      <c r="AH227" s="1068"/>
      <c r="AI227" s="1062">
        <f>'No Recurrentes 24-26'!BX86</f>
        <v>1</v>
      </c>
      <c r="AJ227" s="1062">
        <f>'No Recurrentes 24-26'!BY86</f>
        <v>0</v>
      </c>
      <c r="AK227" s="1062">
        <f>'No Recurrentes 24-26'!BZ86</f>
        <v>0</v>
      </c>
      <c r="AL227" s="1062">
        <f>'No Recurrentes 24-26'!CA86</f>
        <v>0</v>
      </c>
      <c r="AM227" s="1062">
        <f>'No Recurrentes 24-26'!CB86</f>
        <v>0</v>
      </c>
      <c r="AN227" s="1062">
        <f>'No Recurrentes 24-26'!CC86</f>
        <v>3</v>
      </c>
      <c r="AO227" s="1062">
        <f>'No Recurrentes 24-26'!CD86</f>
        <v>1</v>
      </c>
      <c r="AP227" s="1062">
        <f>'No Recurrentes 24-26'!CE86</f>
        <v>0</v>
      </c>
      <c r="AQ227" s="1062">
        <f>'No Recurrentes 24-26'!CF86</f>
        <v>0</v>
      </c>
      <c r="AR227" s="1062">
        <f>'No Recurrentes 24-26'!CG86</f>
        <v>0</v>
      </c>
      <c r="AS227" s="1062">
        <f>'No Recurrentes 24-26'!CH86</f>
        <v>0</v>
      </c>
      <c r="AT227" s="1068"/>
      <c r="AU227" s="1062">
        <f>'No Recurrentes 24-26'!CI86</f>
        <v>4</v>
      </c>
      <c r="AV227" s="1063">
        <f>'No Recurrentes 24-26'!CJ86</f>
        <v>11</v>
      </c>
      <c r="AW227" s="1068"/>
      <c r="AX227" s="1065">
        <f>'No Recurrentes 24-26'!CK86</f>
        <v>394.79</v>
      </c>
      <c r="AY227" s="1062">
        <f>'No Recurrentes 24-26'!CL86</f>
        <v>2747.7384</v>
      </c>
      <c r="AZ227" s="1068"/>
      <c r="BA227" s="1062">
        <f>'No Recurrentes 24-26'!CM86</f>
        <v>2747.7384</v>
      </c>
      <c r="BB227" s="1062">
        <f>'No Recurrentes 24-26'!CN86</f>
        <v>0</v>
      </c>
      <c r="BC227" s="1062">
        <f>'No Recurrentes 24-26'!CO86</f>
        <v>2747.7384</v>
      </c>
      <c r="BD227" s="1062">
        <f>'No Recurrentes 24-26'!CP86</f>
        <v>0</v>
      </c>
      <c r="BE227" s="1062">
        <f>'No Recurrentes 24-26'!CQ86</f>
        <v>8243.2152</v>
      </c>
      <c r="BF227" s="1062">
        <f>'No Recurrentes 24-26'!CR86</f>
        <v>2747.7384</v>
      </c>
      <c r="BG227" s="1062">
        <f>'No Recurrentes 24-26'!CS86</f>
        <v>0</v>
      </c>
      <c r="BH227" s="1062">
        <f>'No Recurrentes 24-26'!CT86</f>
        <v>0</v>
      </c>
      <c r="BI227" s="1062">
        <f>'No Recurrentes 24-26'!CU86</f>
        <v>0</v>
      </c>
      <c r="BJ227" s="1062">
        <f>'No Recurrentes 24-26'!CV86</f>
        <v>0</v>
      </c>
      <c r="BK227" s="1068"/>
      <c r="BL227" s="1062">
        <f>'No Recurrentes 24-26'!CW86</f>
        <v>16486.4304</v>
      </c>
      <c r="BM227" s="1062">
        <f>'No Recurrentes 24-26'!CX86</f>
        <v>0</v>
      </c>
      <c r="BN227" s="1062">
        <f>'No Recurrentes 24-26'!CY86</f>
        <v>0</v>
      </c>
      <c r="BO227" s="1062">
        <f>'No Recurrentes 24-26'!CZ86</f>
        <v>0</v>
      </c>
      <c r="BP227" s="1062">
        <f>'No Recurrentes 24-26'!DA86</f>
        <v>0</v>
      </c>
      <c r="BQ227" s="1062">
        <f>'No Recurrentes 24-26'!DB86</f>
        <v>0</v>
      </c>
      <c r="BR227" s="1062">
        <f>'No Recurrentes 24-26'!DC86</f>
        <v>0</v>
      </c>
      <c r="BS227" s="1062">
        <f>'No Recurrentes 24-26'!DD86</f>
        <v>0</v>
      </c>
      <c r="BT227" s="1062">
        <f>'No Recurrentes 24-26'!DE86</f>
        <v>0</v>
      </c>
      <c r="BU227" s="1062">
        <f>'No Recurrentes 24-26'!DF86</f>
        <v>0</v>
      </c>
      <c r="BV227" s="1062">
        <f>'No Recurrentes 24-26'!DG86</f>
        <v>2747.7384</v>
      </c>
      <c r="BW227" s="1068"/>
      <c r="BX227" s="1062">
        <f>'No Recurrentes 24-26'!DH86</f>
        <v>2747.7384</v>
      </c>
      <c r="BY227" s="1062">
        <f>'No Recurrentes 24-26'!DI86</f>
        <v>0</v>
      </c>
      <c r="BZ227" s="1062">
        <f>'No Recurrentes 24-26'!DJ86</f>
        <v>0</v>
      </c>
      <c r="CA227" s="1062">
        <f>'No Recurrentes 24-26'!DK86</f>
        <v>0</v>
      </c>
      <c r="CB227" s="1062">
        <f>'No Recurrentes 24-26'!DL86</f>
        <v>0</v>
      </c>
      <c r="CC227" s="1062">
        <f>'No Recurrentes 24-26'!DM86</f>
        <v>8243.2152</v>
      </c>
      <c r="CD227" s="1062">
        <f>'No Recurrentes 24-26'!DN86</f>
        <v>2747.7384</v>
      </c>
      <c r="CE227" s="1062">
        <f>'No Recurrentes 24-26'!DO86</f>
        <v>0</v>
      </c>
      <c r="CF227" s="1062">
        <f>'No Recurrentes 24-26'!DP86</f>
        <v>0</v>
      </c>
      <c r="CG227" s="1062">
        <f>'No Recurrentes 24-26'!DQ86</f>
        <v>0</v>
      </c>
      <c r="CH227" s="1062">
        <f>'No Recurrentes 24-26'!DR86</f>
        <v>0</v>
      </c>
      <c r="CI227" s="1068"/>
      <c r="CJ227" s="1062">
        <f>'No Recurrentes 24-26'!DS86</f>
        <v>10990.9536</v>
      </c>
      <c r="CK227" s="1062">
        <f>'No Recurrentes 24-26'!DT86</f>
        <v>30225.1224</v>
      </c>
      <c r="CL227" s="1064" t="str">
        <f>'No Recurrentes 24-26'!DU86</f>
        <v/>
      </c>
      <c r="CM227" s="1064" t="str">
        <f>'No Recurrentes 24-26'!DV86</f>
        <v/>
      </c>
      <c r="CN227" s="1065">
        <f>'No Recurrentes 24-26'!EI85</f>
        <v>1185.38</v>
      </c>
      <c r="CO227" s="1065">
        <f>'No Recurrentes 24-26'!EJ85</f>
        <v>1007.57</v>
      </c>
      <c r="CP227" s="1060" t="str">
        <f>'No Recurrentes 24-26'!EK85</f>
        <v/>
      </c>
    </row>
    <row r="228">
      <c r="A228" s="451" t="str">
        <f>'No Recurrentes 24-26'!A87</f>
        <v>Repuestos Electromecánicos no recurrentes</v>
      </c>
      <c r="B228" s="451">
        <f>'No Recurrentes 24-26'!B87</f>
        <v>2</v>
      </c>
      <c r="C228" s="451" t="str">
        <f>'No Recurrentes 24-26'!C87</f>
        <v>Estación</v>
      </c>
      <c r="D228" s="451" t="str">
        <f>'No Recurrentes 24-26'!D87</f>
        <v>Manto. Eléctrico</v>
      </c>
      <c r="E228" s="451" t="str">
        <f>'No Recurrentes 24-26'!E87</f>
        <v>Repuesto Eléctrico</v>
      </c>
      <c r="F228" s="451" t="str">
        <f>'No Recurrentes 24-26'!F87</f>
        <v>TDB</v>
      </c>
      <c r="G228" s="1061" t="str">
        <f>'No Recurrentes 24-26'!G87</f>
        <v>39700</v>
      </c>
      <c r="H228" s="1061" t="str">
        <f>'No Recurrentes 24-26'!H87</f>
        <v/>
      </c>
      <c r="I228" s="1061" t="str">
        <f>'No Recurrentes 24-26'!I87</f>
        <v>12020753</v>
      </c>
      <c r="J228" s="1061" t="str">
        <f>'No Recurrentes 24-26'!J87</f>
        <v>CARGADOR BLUE SMART 24/12     A PRUEBA DE AGUA VICTRON ENERGY</v>
      </c>
      <c r="K228" s="451" t="str">
        <f>'No Recurrentes 24-26'!K87</f>
        <v>Pza</v>
      </c>
      <c r="L228" s="451" t="str">
        <f>'No Recurrentes 24-26'!BC87</f>
        <v/>
      </c>
      <c r="M228" s="451" t="str">
        <f>'No Recurrentes 24-26'!BD87</f>
        <v/>
      </c>
      <c r="N228" s="451">
        <f>'No Recurrentes 24-26'!BE87</f>
        <v>1</v>
      </c>
      <c r="O228" s="451" t="str">
        <f>'No Recurrentes 24-26'!BF87</f>
        <v/>
      </c>
      <c r="P228" s="451">
        <f>'No Recurrentes 24-26'!BG87</f>
        <v>1</v>
      </c>
      <c r="Q228" s="451">
        <f>'No Recurrentes 24-26'!BH87</f>
        <v>1</v>
      </c>
      <c r="R228" s="451">
        <f>'No Recurrentes 24-26'!BI87</f>
        <v>1</v>
      </c>
      <c r="S228" s="451">
        <f>'No Recurrentes 24-26'!BJ87</f>
        <v>0</v>
      </c>
      <c r="T228" s="451" t="str">
        <f>'No Recurrentes 24-26'!BK87</f>
        <v/>
      </c>
      <c r="U228" s="451">
        <f>'No Recurrentes 24-26'!BL87</f>
        <v>0</v>
      </c>
      <c r="V228" s="1068"/>
      <c r="W228" s="1062">
        <f>'No Recurrentes 24-26'!BM87</f>
        <v>4</v>
      </c>
      <c r="X228" s="1062">
        <f>'No Recurrentes 24-26'!BN87</f>
        <v>1</v>
      </c>
      <c r="Y228" s="1062">
        <f>'No Recurrentes 24-26'!BO87</f>
        <v>1</v>
      </c>
      <c r="Z228" s="1062" t="str">
        <f>'No Recurrentes 24-26'!BP87</f>
        <v/>
      </c>
      <c r="AA228" s="1062">
        <f>'No Recurrentes 24-26'!BQ87</f>
        <v>1</v>
      </c>
      <c r="AB228" s="1062" t="str">
        <f>'No Recurrentes 24-26'!BR87</f>
        <v/>
      </c>
      <c r="AC228" s="1062" t="str">
        <f>'No Recurrentes 24-26'!BS87</f>
        <v/>
      </c>
      <c r="AD228" s="1062" t="str">
        <f>'No Recurrentes 24-26'!BT87</f>
        <v/>
      </c>
      <c r="AE228" s="1062">
        <f>'No Recurrentes 24-26'!BU87</f>
        <v>1</v>
      </c>
      <c r="AF228" s="1062" t="str">
        <f>'No Recurrentes 24-26'!BV87</f>
        <v/>
      </c>
      <c r="AG228" s="1062">
        <f>'No Recurrentes 24-26'!BW87</f>
        <v>1</v>
      </c>
      <c r="AH228" s="1068"/>
      <c r="AI228" s="1062">
        <f>'No Recurrentes 24-26'!BX87</f>
        <v>5</v>
      </c>
      <c r="AJ228" s="1062">
        <f>'No Recurrentes 24-26'!BY87</f>
        <v>0</v>
      </c>
      <c r="AK228" s="1062">
        <f>'No Recurrentes 24-26'!BZ87</f>
        <v>0</v>
      </c>
      <c r="AL228" s="1062">
        <f>'No Recurrentes 24-26'!CA87</f>
        <v>0</v>
      </c>
      <c r="AM228" s="1062">
        <f>'No Recurrentes 24-26'!CB87</f>
        <v>0</v>
      </c>
      <c r="AN228" s="1062">
        <f>'No Recurrentes 24-26'!CC87</f>
        <v>0</v>
      </c>
      <c r="AO228" s="1062">
        <f>'No Recurrentes 24-26'!CD87</f>
        <v>0</v>
      </c>
      <c r="AP228" s="1062">
        <f>'No Recurrentes 24-26'!CE87</f>
        <v>0</v>
      </c>
      <c r="AQ228" s="1062">
        <f>'No Recurrentes 24-26'!CF87</f>
        <v>0</v>
      </c>
      <c r="AR228" s="1062">
        <f>'No Recurrentes 24-26'!CG87</f>
        <v>0</v>
      </c>
      <c r="AS228" s="1062">
        <f>'No Recurrentes 24-26'!CH87</f>
        <v>0</v>
      </c>
      <c r="AT228" s="1068"/>
      <c r="AU228" s="1062">
        <f>'No Recurrentes 24-26'!CI87</f>
        <v>0</v>
      </c>
      <c r="AV228" s="1063">
        <f>'No Recurrentes 24-26'!CJ87</f>
        <v>9</v>
      </c>
      <c r="AW228" s="1068"/>
      <c r="AX228" s="1065">
        <f>'No Recurrentes 24-26'!CK87</f>
        <v>529.85</v>
      </c>
      <c r="AY228" s="1062">
        <f>'No Recurrentes 24-26'!CL87</f>
        <v>3687.756</v>
      </c>
      <c r="AZ228" s="1068"/>
      <c r="BA228" s="1062">
        <f>'No Recurrentes 24-26'!CM87</f>
        <v>0</v>
      </c>
      <c r="BB228" s="1062">
        <f>'No Recurrentes 24-26'!CN87</f>
        <v>0</v>
      </c>
      <c r="BC228" s="1062">
        <f>'No Recurrentes 24-26'!CO87</f>
        <v>3687.756</v>
      </c>
      <c r="BD228" s="1062">
        <f>'No Recurrentes 24-26'!CP87</f>
        <v>0</v>
      </c>
      <c r="BE228" s="1062">
        <f>'No Recurrentes 24-26'!CQ87</f>
        <v>3687.756</v>
      </c>
      <c r="BF228" s="1062">
        <f>'No Recurrentes 24-26'!CR87</f>
        <v>3687.756</v>
      </c>
      <c r="BG228" s="1062">
        <f>'No Recurrentes 24-26'!CS87</f>
        <v>3687.756</v>
      </c>
      <c r="BH228" s="1062">
        <f>'No Recurrentes 24-26'!CT87</f>
        <v>0</v>
      </c>
      <c r="BI228" s="1062">
        <f>'No Recurrentes 24-26'!CU87</f>
        <v>0</v>
      </c>
      <c r="BJ228" s="1062">
        <f>'No Recurrentes 24-26'!CV87</f>
        <v>0</v>
      </c>
      <c r="BK228" s="1068"/>
      <c r="BL228" s="1062">
        <f>'No Recurrentes 24-26'!CW87</f>
        <v>14751.024</v>
      </c>
      <c r="BM228" s="1062">
        <f>'No Recurrentes 24-26'!CX87</f>
        <v>3687.756</v>
      </c>
      <c r="BN228" s="1062">
        <f>'No Recurrentes 24-26'!CY87</f>
        <v>3687.756</v>
      </c>
      <c r="BO228" s="1062">
        <f>'No Recurrentes 24-26'!CZ87</f>
        <v>0</v>
      </c>
      <c r="BP228" s="1062">
        <f>'No Recurrentes 24-26'!DA87</f>
        <v>3687.756</v>
      </c>
      <c r="BQ228" s="1062">
        <f>'No Recurrentes 24-26'!DB87</f>
        <v>0</v>
      </c>
      <c r="BR228" s="1062">
        <f>'No Recurrentes 24-26'!DC87</f>
        <v>0</v>
      </c>
      <c r="BS228" s="1062">
        <f>'No Recurrentes 24-26'!DD87</f>
        <v>0</v>
      </c>
      <c r="BT228" s="1062">
        <f>'No Recurrentes 24-26'!DE87</f>
        <v>3687.756</v>
      </c>
      <c r="BU228" s="1062">
        <f>'No Recurrentes 24-26'!DF87</f>
        <v>0</v>
      </c>
      <c r="BV228" s="1062">
        <f>'No Recurrentes 24-26'!DG87</f>
        <v>3687.756</v>
      </c>
      <c r="BW228" s="1068"/>
      <c r="BX228" s="1062">
        <f>'No Recurrentes 24-26'!DH87</f>
        <v>18438.78</v>
      </c>
      <c r="BY228" s="1062">
        <f>'No Recurrentes 24-26'!DI87</f>
        <v>0</v>
      </c>
      <c r="BZ228" s="1062">
        <f>'No Recurrentes 24-26'!DJ87</f>
        <v>0</v>
      </c>
      <c r="CA228" s="1062">
        <f>'No Recurrentes 24-26'!DK87</f>
        <v>0</v>
      </c>
      <c r="CB228" s="1062">
        <f>'No Recurrentes 24-26'!DL87</f>
        <v>0</v>
      </c>
      <c r="CC228" s="1062">
        <f>'No Recurrentes 24-26'!DM87</f>
        <v>0</v>
      </c>
      <c r="CD228" s="1062">
        <f>'No Recurrentes 24-26'!DN87</f>
        <v>0</v>
      </c>
      <c r="CE228" s="1062">
        <f>'No Recurrentes 24-26'!DO87</f>
        <v>0</v>
      </c>
      <c r="CF228" s="1062">
        <f>'No Recurrentes 24-26'!DP87</f>
        <v>0</v>
      </c>
      <c r="CG228" s="1062">
        <f>'No Recurrentes 24-26'!DQ87</f>
        <v>0</v>
      </c>
      <c r="CH228" s="1062">
        <f>'No Recurrentes 24-26'!DR87</f>
        <v>0</v>
      </c>
      <c r="CI228" s="1068"/>
      <c r="CJ228" s="1062">
        <f>'No Recurrentes 24-26'!DS87</f>
        <v>0</v>
      </c>
      <c r="CK228" s="1062">
        <f>'No Recurrentes 24-26'!DT87</f>
        <v>33189.804</v>
      </c>
      <c r="CL228" s="1064" t="str">
        <f>'No Recurrentes 24-26'!DU87</f>
        <v/>
      </c>
      <c r="CM228" s="1064" t="str">
        <f>'No Recurrentes 24-26'!DV87</f>
        <v/>
      </c>
      <c r="CN228" s="1065">
        <f>'No Recurrentes 24-26'!EI86</f>
        <v>394.79</v>
      </c>
      <c r="CO228" s="1065">
        <f>'No Recurrentes 24-26'!EJ86</f>
        <v>335.57</v>
      </c>
      <c r="CP228" s="1060" t="str">
        <f>'No Recurrentes 24-26'!EK86</f>
        <v/>
      </c>
    </row>
    <row r="229">
      <c r="A229" s="451" t="str">
        <f>'No Recurrentes 24-26'!A88</f>
        <v>Repuestos Electromecánicos no recurrentes</v>
      </c>
      <c r="B229" s="451">
        <f>'No Recurrentes 24-26'!B88</f>
        <v>2</v>
      </c>
      <c r="C229" s="451" t="str">
        <f>'No Recurrentes 24-26'!C88</f>
        <v>Estación</v>
      </c>
      <c r="D229" s="451" t="str">
        <f>'No Recurrentes 24-26'!D88</f>
        <v>Manto. Eléctrico</v>
      </c>
      <c r="E229" s="451" t="str">
        <f>'No Recurrentes 24-26'!E88</f>
        <v>Repuesto Eléctrico</v>
      </c>
      <c r="F229" s="451" t="str">
        <f>'No Recurrentes 24-26'!F88</f>
        <v>TDB</v>
      </c>
      <c r="G229" s="1061" t="str">
        <f>'No Recurrentes 24-26'!G88</f>
        <v>39700</v>
      </c>
      <c r="H229" s="1061" t="str">
        <f>'No Recurrentes 24-26'!H88</f>
        <v>2-02-00672</v>
      </c>
      <c r="I229" s="1061" t="str">
        <f>'No Recurrentes 24-26'!I88</f>
        <v>11822382</v>
      </c>
      <c r="J229" s="1061" t="str">
        <f>'No Recurrentes 24-26'!J88</f>
        <v>PROT. CONTRA SOBRETENS. ALIMENT. PHOENIX CONTACT Nº 2907920</v>
      </c>
      <c r="K229" s="451" t="str">
        <f>'No Recurrentes 24-26'!K88</f>
        <v>Pza</v>
      </c>
      <c r="L229" s="451">
        <f>'No Recurrentes 24-26'!BC88</f>
        <v>1</v>
      </c>
      <c r="M229" s="451">
        <f>'No Recurrentes 24-26'!BD88</f>
        <v>2</v>
      </c>
      <c r="N229" s="451">
        <f>'No Recurrentes 24-26'!BE88</f>
        <v>0</v>
      </c>
      <c r="O229" s="451" t="str">
        <f>'No Recurrentes 24-26'!BF88</f>
        <v/>
      </c>
      <c r="P229" s="451">
        <f>'No Recurrentes 24-26'!BG88</f>
        <v>1</v>
      </c>
      <c r="Q229" s="451" t="str">
        <f>'No Recurrentes 24-26'!BH88</f>
        <v/>
      </c>
      <c r="R229" s="451">
        <f>'No Recurrentes 24-26'!BI88</f>
        <v>1</v>
      </c>
      <c r="S229" s="451">
        <f>'No Recurrentes 24-26'!BJ88</f>
        <v>1</v>
      </c>
      <c r="T229" s="451" t="str">
        <f>'No Recurrentes 24-26'!BK88</f>
        <v/>
      </c>
      <c r="U229" s="451">
        <f>'No Recurrentes 24-26'!BL88</f>
        <v>0</v>
      </c>
      <c r="V229" s="1068"/>
      <c r="W229" s="1062">
        <f>'No Recurrentes 24-26'!BM88</f>
        <v>6</v>
      </c>
      <c r="X229" s="1062">
        <f>'No Recurrentes 24-26'!BN88</f>
        <v>1</v>
      </c>
      <c r="Y229" s="1062">
        <f>'No Recurrentes 24-26'!BO88</f>
        <v>2</v>
      </c>
      <c r="Z229" s="1062">
        <f>'No Recurrentes 24-26'!BP88</f>
        <v>0</v>
      </c>
      <c r="AA229" s="1062" t="str">
        <f>'No Recurrentes 24-26'!BQ88</f>
        <v/>
      </c>
      <c r="AB229" s="1062">
        <f>'No Recurrentes 24-26'!BR88</f>
        <v>1</v>
      </c>
      <c r="AC229" s="1062" t="str">
        <f>'No Recurrentes 24-26'!BS88</f>
        <v/>
      </c>
      <c r="AD229" s="1062">
        <f>'No Recurrentes 24-26'!BT88</f>
        <v>1</v>
      </c>
      <c r="AE229" s="1062">
        <f>'No Recurrentes 24-26'!BU88</f>
        <v>1</v>
      </c>
      <c r="AF229" s="1062" t="str">
        <f>'No Recurrentes 24-26'!BV88</f>
        <v/>
      </c>
      <c r="AG229" s="1062">
        <f>'No Recurrentes 24-26'!BW88</f>
        <v>0</v>
      </c>
      <c r="AH229" s="1068"/>
      <c r="AI229" s="1062">
        <f>'No Recurrentes 24-26'!BX88</f>
        <v>6</v>
      </c>
      <c r="AJ229" s="1062">
        <f>'No Recurrentes 24-26'!BY88</f>
        <v>0</v>
      </c>
      <c r="AK229" s="1062">
        <f>'No Recurrentes 24-26'!BZ88</f>
        <v>0</v>
      </c>
      <c r="AL229" s="1062">
        <f>'No Recurrentes 24-26'!CA88</f>
        <v>0</v>
      </c>
      <c r="AM229" s="1062">
        <f>'No Recurrentes 24-26'!CB88</f>
        <v>0</v>
      </c>
      <c r="AN229" s="1062">
        <f>'No Recurrentes 24-26'!CC88</f>
        <v>0</v>
      </c>
      <c r="AO229" s="1062">
        <f>'No Recurrentes 24-26'!CD88</f>
        <v>0</v>
      </c>
      <c r="AP229" s="1062">
        <f>'No Recurrentes 24-26'!CE88</f>
        <v>0</v>
      </c>
      <c r="AQ229" s="1062">
        <f>'No Recurrentes 24-26'!CF88</f>
        <v>0</v>
      </c>
      <c r="AR229" s="1062">
        <f>'No Recurrentes 24-26'!CG88</f>
        <v>0</v>
      </c>
      <c r="AS229" s="1062">
        <f>'No Recurrentes 24-26'!CH88</f>
        <v>0</v>
      </c>
      <c r="AT229" s="1068"/>
      <c r="AU229" s="1062">
        <f>'No Recurrentes 24-26'!CI88</f>
        <v>0</v>
      </c>
      <c r="AV229" s="1063">
        <f>'No Recurrentes 24-26'!CJ88</f>
        <v>12</v>
      </c>
      <c r="AW229" s="1068"/>
      <c r="AX229" s="1065">
        <f>'No Recurrentes 24-26'!CK88</f>
        <v>282.77</v>
      </c>
      <c r="AY229" s="1062">
        <f>'No Recurrentes 24-26'!CL88</f>
        <v>1968.0792</v>
      </c>
      <c r="AZ229" s="1068"/>
      <c r="BA229" s="1062">
        <f>'No Recurrentes 24-26'!CM88</f>
        <v>1968.0792</v>
      </c>
      <c r="BB229" s="1062">
        <f>'No Recurrentes 24-26'!CN88</f>
        <v>3936.1584</v>
      </c>
      <c r="BC229" s="1062">
        <f>'No Recurrentes 24-26'!CO88</f>
        <v>0</v>
      </c>
      <c r="BD229" s="1062">
        <f>'No Recurrentes 24-26'!CP88</f>
        <v>0</v>
      </c>
      <c r="BE229" s="1062">
        <f>'No Recurrentes 24-26'!CQ88</f>
        <v>1968.0792</v>
      </c>
      <c r="BF229" s="1062">
        <f>'No Recurrentes 24-26'!CR88</f>
        <v>0</v>
      </c>
      <c r="BG229" s="1062">
        <f>'No Recurrentes 24-26'!CS88</f>
        <v>1968.0792</v>
      </c>
      <c r="BH229" s="1062">
        <f>'No Recurrentes 24-26'!CT88</f>
        <v>1968.0792</v>
      </c>
      <c r="BI229" s="1062">
        <f>'No Recurrentes 24-26'!CU88</f>
        <v>0</v>
      </c>
      <c r="BJ229" s="1062">
        <f>'No Recurrentes 24-26'!CV88</f>
        <v>0</v>
      </c>
      <c r="BK229" s="1068"/>
      <c r="BL229" s="1062">
        <f>'No Recurrentes 24-26'!CW88</f>
        <v>11808.4752</v>
      </c>
      <c r="BM229" s="1062">
        <f>'No Recurrentes 24-26'!CX88</f>
        <v>1968.0792</v>
      </c>
      <c r="BN229" s="1062">
        <f>'No Recurrentes 24-26'!CY88</f>
        <v>3936.1584</v>
      </c>
      <c r="BO229" s="1062">
        <f>'No Recurrentes 24-26'!CZ88</f>
        <v>0</v>
      </c>
      <c r="BP229" s="1062">
        <f>'No Recurrentes 24-26'!DA88</f>
        <v>0</v>
      </c>
      <c r="BQ229" s="1062">
        <f>'No Recurrentes 24-26'!DB88</f>
        <v>1968.0792</v>
      </c>
      <c r="BR229" s="1062">
        <f>'No Recurrentes 24-26'!DC88</f>
        <v>0</v>
      </c>
      <c r="BS229" s="1062">
        <f>'No Recurrentes 24-26'!DD88</f>
        <v>1968.0792</v>
      </c>
      <c r="BT229" s="1062">
        <f>'No Recurrentes 24-26'!DE88</f>
        <v>1968.0792</v>
      </c>
      <c r="BU229" s="1062">
        <f>'No Recurrentes 24-26'!DF88</f>
        <v>0</v>
      </c>
      <c r="BV229" s="1062">
        <f>'No Recurrentes 24-26'!DG88</f>
        <v>0</v>
      </c>
      <c r="BW229" s="1068"/>
      <c r="BX229" s="1062">
        <f>'No Recurrentes 24-26'!DH88</f>
        <v>11808.4752</v>
      </c>
      <c r="BY229" s="1062">
        <f>'No Recurrentes 24-26'!DI88</f>
        <v>0</v>
      </c>
      <c r="BZ229" s="1062">
        <f>'No Recurrentes 24-26'!DJ88</f>
        <v>0</v>
      </c>
      <c r="CA229" s="1062">
        <f>'No Recurrentes 24-26'!DK88</f>
        <v>0</v>
      </c>
      <c r="CB229" s="1062">
        <f>'No Recurrentes 24-26'!DL88</f>
        <v>0</v>
      </c>
      <c r="CC229" s="1062">
        <f>'No Recurrentes 24-26'!DM88</f>
        <v>0</v>
      </c>
      <c r="CD229" s="1062">
        <f>'No Recurrentes 24-26'!DN88</f>
        <v>0</v>
      </c>
      <c r="CE229" s="1062">
        <f>'No Recurrentes 24-26'!DO88</f>
        <v>0</v>
      </c>
      <c r="CF229" s="1062">
        <f>'No Recurrentes 24-26'!DP88</f>
        <v>0</v>
      </c>
      <c r="CG229" s="1062">
        <f>'No Recurrentes 24-26'!DQ88</f>
        <v>0</v>
      </c>
      <c r="CH229" s="1062">
        <f>'No Recurrentes 24-26'!DR88</f>
        <v>0</v>
      </c>
      <c r="CI229" s="1068"/>
      <c r="CJ229" s="1062">
        <f>'No Recurrentes 24-26'!DS88</f>
        <v>0</v>
      </c>
      <c r="CK229" s="1062">
        <f>'No Recurrentes 24-26'!DT88</f>
        <v>23616.9504</v>
      </c>
      <c r="CL229" s="1064" t="str">
        <f>'No Recurrentes 24-26'!DU88</f>
        <v/>
      </c>
      <c r="CM229" s="1064" t="str">
        <f>'No Recurrentes 24-26'!DV88</f>
        <v>No coincide las cantidades, Verificar con cat Repuesto eléctrico, se une con 11822382</v>
      </c>
      <c r="CN229" s="1065">
        <f>'No Recurrentes 24-26'!EI87</f>
        <v>529.85</v>
      </c>
      <c r="CO229" s="1065">
        <f>'No Recurrentes 24-26'!EJ87</f>
        <v>450.37</v>
      </c>
      <c r="CP229" s="1060" t="str">
        <f>'No Recurrentes 24-26'!EK87</f>
        <v/>
      </c>
    </row>
    <row r="230">
      <c r="A230" s="451" t="str">
        <f>'No Recurrentes 24-26'!A89</f>
        <v>Repuestos Electromecánicos no recurrentes</v>
      </c>
      <c r="B230" s="451">
        <f>'No Recurrentes 24-26'!B89</f>
        <v>2</v>
      </c>
      <c r="C230" s="451" t="str">
        <f>'No Recurrentes 24-26'!C89</f>
        <v>Estación</v>
      </c>
      <c r="D230" s="451" t="str">
        <f>'No Recurrentes 24-26'!D89</f>
        <v>Manto. Eléctrico</v>
      </c>
      <c r="E230" s="451" t="str">
        <f>'No Recurrentes 24-26'!E89</f>
        <v>Repuesto Eléctrico</v>
      </c>
      <c r="F230" s="451" t="str">
        <f>'No Recurrentes 24-26'!F89</f>
        <v>TDB</v>
      </c>
      <c r="G230" s="1061" t="str">
        <f>'No Recurrentes 24-26'!G89</f>
        <v>39700</v>
      </c>
      <c r="H230" s="1061" t="str">
        <f>'No Recurrentes 24-26'!H89</f>
        <v>2-02-00152</v>
      </c>
      <c r="I230" s="1061" t="str">
        <f>'No Recurrentes 24-26'!I89</f>
        <v>10370624</v>
      </c>
      <c r="J230" s="1061" t="str">
        <f>'No Recurrentes 24-26'!J89</f>
        <v>INTERR. PROXIM. F1 GS (ROJO) PULSOR  M18 9914-1735 ANALÓGICO</v>
      </c>
      <c r="K230" s="451" t="str">
        <f>'No Recurrentes 24-26'!K89</f>
        <v>Pza</v>
      </c>
      <c r="L230" s="451">
        <f>'No Recurrentes 24-26'!BC89</f>
        <v>1</v>
      </c>
      <c r="M230" s="451">
        <f>'No Recurrentes 24-26'!BD89</f>
        <v>1</v>
      </c>
      <c r="N230" s="451">
        <f>'No Recurrentes 24-26'!BE89</f>
        <v>2</v>
      </c>
      <c r="O230" s="451">
        <f>'No Recurrentes 24-26'!BF89</f>
        <v>1</v>
      </c>
      <c r="P230" s="451" t="str">
        <f>'No Recurrentes 24-26'!BG89</f>
        <v/>
      </c>
      <c r="Q230" s="451" t="str">
        <f>'No Recurrentes 24-26'!BH89</f>
        <v/>
      </c>
      <c r="R230" s="451" t="str">
        <f>'No Recurrentes 24-26'!BI89</f>
        <v/>
      </c>
      <c r="S230" s="451" t="str">
        <f>'No Recurrentes 24-26'!BJ89</f>
        <v/>
      </c>
      <c r="T230" s="451" t="str">
        <f>'No Recurrentes 24-26'!BK89</f>
        <v/>
      </c>
      <c r="U230" s="451" t="str">
        <f>'No Recurrentes 24-26'!BL89</f>
        <v/>
      </c>
      <c r="V230" s="1068"/>
      <c r="W230" s="1062">
        <f>'No Recurrentes 24-26'!BM89</f>
        <v>5</v>
      </c>
      <c r="X230" s="1062" t="str">
        <f>'No Recurrentes 24-26'!BN89</f>
        <v/>
      </c>
      <c r="Y230" s="1062">
        <f>'No Recurrentes 24-26'!BO89</f>
        <v>1</v>
      </c>
      <c r="Z230" s="1062" t="str">
        <f>'No Recurrentes 24-26'!BP89</f>
        <v/>
      </c>
      <c r="AA230" s="1062" t="str">
        <f>'No Recurrentes 24-26'!BQ89</f>
        <v/>
      </c>
      <c r="AB230" s="1062" t="str">
        <f>'No Recurrentes 24-26'!BR89</f>
        <v/>
      </c>
      <c r="AC230" s="1062" t="str">
        <f>'No Recurrentes 24-26'!BS89</f>
        <v/>
      </c>
      <c r="AD230" s="1062" t="str">
        <f>'No Recurrentes 24-26'!BT89</f>
        <v/>
      </c>
      <c r="AE230" s="1062" t="str">
        <f>'No Recurrentes 24-26'!BU89</f>
        <v/>
      </c>
      <c r="AF230" s="1062" t="str">
        <f>'No Recurrentes 24-26'!BV89</f>
        <v/>
      </c>
      <c r="AG230" s="1062">
        <f>'No Recurrentes 24-26'!BW89</f>
        <v>1</v>
      </c>
      <c r="AH230" s="1068"/>
      <c r="AI230" s="1062">
        <f>'No Recurrentes 24-26'!BX89</f>
        <v>2</v>
      </c>
      <c r="AJ230" s="1062">
        <f>'No Recurrentes 24-26'!BY89</f>
        <v>0</v>
      </c>
      <c r="AK230" s="1062">
        <f>'No Recurrentes 24-26'!BZ89</f>
        <v>0</v>
      </c>
      <c r="AL230" s="1062">
        <f>'No Recurrentes 24-26'!CA89</f>
        <v>0</v>
      </c>
      <c r="AM230" s="1062">
        <f>'No Recurrentes 24-26'!CB89</f>
        <v>1</v>
      </c>
      <c r="AN230" s="1062">
        <f>'No Recurrentes 24-26'!CC89</f>
        <v>0</v>
      </c>
      <c r="AO230" s="1062">
        <f>'No Recurrentes 24-26'!CD89</f>
        <v>0</v>
      </c>
      <c r="AP230" s="1062">
        <f>'No Recurrentes 24-26'!CE89</f>
        <v>0</v>
      </c>
      <c r="AQ230" s="1062">
        <f>'No Recurrentes 24-26'!CF89</f>
        <v>0</v>
      </c>
      <c r="AR230" s="1062">
        <f>'No Recurrentes 24-26'!CG89</f>
        <v>0</v>
      </c>
      <c r="AS230" s="1062">
        <f>'No Recurrentes 24-26'!CH89</f>
        <v>0</v>
      </c>
      <c r="AT230" s="1068"/>
      <c r="AU230" s="1062">
        <f>'No Recurrentes 24-26'!CI89</f>
        <v>1</v>
      </c>
      <c r="AV230" s="1063">
        <f>'No Recurrentes 24-26'!CJ89</f>
        <v>8</v>
      </c>
      <c r="AW230" s="1068"/>
      <c r="AX230" s="1065">
        <f>'No Recurrentes 24-26'!CK89</f>
        <v>313.88</v>
      </c>
      <c r="AY230" s="1062">
        <f>'No Recurrentes 24-26'!CL89</f>
        <v>2184.6048</v>
      </c>
      <c r="AZ230" s="1068"/>
      <c r="BA230" s="1062">
        <f>'No Recurrentes 24-26'!CM89</f>
        <v>2184.6048</v>
      </c>
      <c r="BB230" s="1062">
        <f>'No Recurrentes 24-26'!CN89</f>
        <v>2184.6048</v>
      </c>
      <c r="BC230" s="1062">
        <f>'No Recurrentes 24-26'!CO89</f>
        <v>4369.2096</v>
      </c>
      <c r="BD230" s="1062">
        <f>'No Recurrentes 24-26'!CP89</f>
        <v>2184.6048</v>
      </c>
      <c r="BE230" s="1062">
        <f>'No Recurrentes 24-26'!CQ89</f>
        <v>0</v>
      </c>
      <c r="BF230" s="1062">
        <f>'No Recurrentes 24-26'!CR89</f>
        <v>0</v>
      </c>
      <c r="BG230" s="1062">
        <f>'No Recurrentes 24-26'!CS89</f>
        <v>0</v>
      </c>
      <c r="BH230" s="1062">
        <f>'No Recurrentes 24-26'!CT89</f>
        <v>0</v>
      </c>
      <c r="BI230" s="1062">
        <f>'No Recurrentes 24-26'!CU89</f>
        <v>0</v>
      </c>
      <c r="BJ230" s="1062">
        <f>'No Recurrentes 24-26'!CV89</f>
        <v>0</v>
      </c>
      <c r="BK230" s="1068"/>
      <c r="BL230" s="1062">
        <f>'No Recurrentes 24-26'!CW89</f>
        <v>10923.024</v>
      </c>
      <c r="BM230" s="1062">
        <f>'No Recurrentes 24-26'!CX89</f>
        <v>0</v>
      </c>
      <c r="BN230" s="1062">
        <f>'No Recurrentes 24-26'!CY89</f>
        <v>2184.6048</v>
      </c>
      <c r="BO230" s="1062">
        <f>'No Recurrentes 24-26'!CZ89</f>
        <v>0</v>
      </c>
      <c r="BP230" s="1062">
        <f>'No Recurrentes 24-26'!DA89</f>
        <v>0</v>
      </c>
      <c r="BQ230" s="1062">
        <f>'No Recurrentes 24-26'!DB89</f>
        <v>0</v>
      </c>
      <c r="BR230" s="1062">
        <f>'No Recurrentes 24-26'!DC89</f>
        <v>0</v>
      </c>
      <c r="BS230" s="1062">
        <f>'No Recurrentes 24-26'!DD89</f>
        <v>0</v>
      </c>
      <c r="BT230" s="1062">
        <f>'No Recurrentes 24-26'!DE89</f>
        <v>0</v>
      </c>
      <c r="BU230" s="1062">
        <f>'No Recurrentes 24-26'!DF89</f>
        <v>0</v>
      </c>
      <c r="BV230" s="1062">
        <f>'No Recurrentes 24-26'!DG89</f>
        <v>2184.6048</v>
      </c>
      <c r="BW230" s="1068"/>
      <c r="BX230" s="1062">
        <f>'No Recurrentes 24-26'!DH89</f>
        <v>4369.2096</v>
      </c>
      <c r="BY230" s="1062">
        <f>'No Recurrentes 24-26'!DI89</f>
        <v>0</v>
      </c>
      <c r="BZ230" s="1062">
        <f>'No Recurrentes 24-26'!DJ89</f>
        <v>0</v>
      </c>
      <c r="CA230" s="1062">
        <f>'No Recurrentes 24-26'!DK89</f>
        <v>0</v>
      </c>
      <c r="CB230" s="1062">
        <f>'No Recurrentes 24-26'!DL89</f>
        <v>2184.6048</v>
      </c>
      <c r="CC230" s="1062">
        <f>'No Recurrentes 24-26'!DM89</f>
        <v>0</v>
      </c>
      <c r="CD230" s="1062">
        <f>'No Recurrentes 24-26'!DN89</f>
        <v>0</v>
      </c>
      <c r="CE230" s="1062">
        <f>'No Recurrentes 24-26'!DO89</f>
        <v>0</v>
      </c>
      <c r="CF230" s="1062">
        <f>'No Recurrentes 24-26'!DP89</f>
        <v>0</v>
      </c>
      <c r="CG230" s="1062">
        <f>'No Recurrentes 24-26'!DQ89</f>
        <v>0</v>
      </c>
      <c r="CH230" s="1062">
        <f>'No Recurrentes 24-26'!DR89</f>
        <v>0</v>
      </c>
      <c r="CI230" s="1068"/>
      <c r="CJ230" s="1062">
        <f>'No Recurrentes 24-26'!DS89</f>
        <v>2184.6048</v>
      </c>
      <c r="CK230" s="1062">
        <f>'No Recurrentes 24-26'!DT89</f>
        <v>17476.8384</v>
      </c>
      <c r="CL230" s="1064" t="str">
        <f>'No Recurrentes 24-26'!DU89</f>
        <v/>
      </c>
      <c r="CM230" s="1064" t="str">
        <f>'No Recurrentes 24-26'!DV89</f>
        <v/>
      </c>
      <c r="CN230" s="1065">
        <f>'No Recurrentes 24-26'!EI88</f>
        <v>282.77</v>
      </c>
      <c r="CO230" s="1065">
        <f>'No Recurrentes 24-26'!EJ88</f>
        <v>240.35</v>
      </c>
      <c r="CP230" s="1060" t="str">
        <f>'No Recurrentes 24-26'!EK88</f>
        <v/>
      </c>
    </row>
    <row r="231">
      <c r="A231" s="451" t="str">
        <f>'No Recurrentes 24-26'!A90</f>
        <v>Repuestos Electromecánicos no recurrentes</v>
      </c>
      <c r="B231" s="451">
        <f>'No Recurrentes 24-26'!B90</f>
        <v>2</v>
      </c>
      <c r="C231" s="451" t="str">
        <f>'No Recurrentes 24-26'!C90</f>
        <v>Estación</v>
      </c>
      <c r="D231" s="451" t="str">
        <f>'No Recurrentes 24-26'!D90</f>
        <v>Manto. Eléctrico</v>
      </c>
      <c r="E231" s="451" t="str">
        <f>'No Recurrentes 24-26'!E90</f>
        <v>Repuesto Eléctrico</v>
      </c>
      <c r="F231" s="451" t="str">
        <f>'No Recurrentes 24-26'!F90</f>
        <v>TDB</v>
      </c>
      <c r="G231" s="1061" t="str">
        <f>'No Recurrentes 24-26'!G90</f>
        <v>39700</v>
      </c>
      <c r="H231" s="1061" t="str">
        <f>'No Recurrentes 24-26'!H90</f>
        <v>2-06-00028</v>
      </c>
      <c r="I231" s="1061" t="str">
        <f>'No Recurrentes 24-26'!I90</f>
        <v>10299843</v>
      </c>
      <c r="J231" s="1061" t="str">
        <f>'No Recurrentes 24-26'!J90</f>
        <v>POTENCIÓMETRO PAP4 INCL. FILTRO N.° 305158 P. RS232/RPD PILZ</v>
      </c>
      <c r="K231" s="451" t="str">
        <f>'No Recurrentes 24-26'!K90</f>
        <v>Pza</v>
      </c>
      <c r="L231" s="451" t="str">
        <f>'No Recurrentes 24-26'!BC90</f>
        <v/>
      </c>
      <c r="M231" s="451" t="str">
        <f>'No Recurrentes 24-26'!BD90</f>
        <v/>
      </c>
      <c r="N231" s="451">
        <f>'No Recurrentes 24-26'!BE90</f>
        <v>1</v>
      </c>
      <c r="O231" s="451" t="str">
        <f>'No Recurrentes 24-26'!BF90</f>
        <v/>
      </c>
      <c r="P231" s="451" t="str">
        <f>'No Recurrentes 24-26'!BG90</f>
        <v/>
      </c>
      <c r="Q231" s="451" t="str">
        <f>'No Recurrentes 24-26'!BH90</f>
        <v/>
      </c>
      <c r="R231" s="451" t="str">
        <f>'No Recurrentes 24-26'!BI90</f>
        <v/>
      </c>
      <c r="S231" s="451">
        <f>'No Recurrentes 24-26'!BJ90</f>
        <v>1</v>
      </c>
      <c r="T231" s="451" t="str">
        <f>'No Recurrentes 24-26'!BK90</f>
        <v/>
      </c>
      <c r="U231" s="451" t="str">
        <f>'No Recurrentes 24-26'!BL90</f>
        <v/>
      </c>
      <c r="V231" s="1068"/>
      <c r="W231" s="1062">
        <f>'No Recurrentes 24-26'!BM90</f>
        <v>2</v>
      </c>
      <c r="X231" s="1062" t="str">
        <f>'No Recurrentes 24-26'!BN90</f>
        <v/>
      </c>
      <c r="Y231" s="1062" t="str">
        <f>'No Recurrentes 24-26'!BO90</f>
        <v/>
      </c>
      <c r="Z231" s="1062" t="str">
        <f>'No Recurrentes 24-26'!BP90</f>
        <v/>
      </c>
      <c r="AA231" s="1062" t="str">
        <f>'No Recurrentes 24-26'!BQ90</f>
        <v/>
      </c>
      <c r="AB231" s="1062" t="str">
        <f>'No Recurrentes 24-26'!BR90</f>
        <v/>
      </c>
      <c r="AC231" s="1062" t="str">
        <f>'No Recurrentes 24-26'!BS90</f>
        <v/>
      </c>
      <c r="AD231" s="1062" t="str">
        <f>'No Recurrentes 24-26'!BT90</f>
        <v/>
      </c>
      <c r="AE231" s="1062" t="str">
        <f>'No Recurrentes 24-26'!BU90</f>
        <v/>
      </c>
      <c r="AF231" s="1062" t="str">
        <f>'No Recurrentes 24-26'!BV90</f>
        <v/>
      </c>
      <c r="AG231" s="1062">
        <f>'No Recurrentes 24-26'!BW90</f>
        <v>1</v>
      </c>
      <c r="AH231" s="1068"/>
      <c r="AI231" s="1062">
        <f>'No Recurrentes 24-26'!BX90</f>
        <v>1</v>
      </c>
      <c r="AJ231" s="1062">
        <f>'No Recurrentes 24-26'!BY90</f>
        <v>1</v>
      </c>
      <c r="AK231" s="1062">
        <f>'No Recurrentes 24-26'!BZ90</f>
        <v>0</v>
      </c>
      <c r="AL231" s="1062">
        <f>'No Recurrentes 24-26'!CA90</f>
        <v>0</v>
      </c>
      <c r="AM231" s="1062">
        <f>'No Recurrentes 24-26'!CB90</f>
        <v>0</v>
      </c>
      <c r="AN231" s="1062">
        <f>'No Recurrentes 24-26'!CC90</f>
        <v>0</v>
      </c>
      <c r="AO231" s="1062">
        <f>'No Recurrentes 24-26'!CD90</f>
        <v>0</v>
      </c>
      <c r="AP231" s="1062">
        <f>'No Recurrentes 24-26'!CE90</f>
        <v>0</v>
      </c>
      <c r="AQ231" s="1062">
        <f>'No Recurrentes 24-26'!CF90</f>
        <v>1</v>
      </c>
      <c r="AR231" s="1062">
        <f>'No Recurrentes 24-26'!CG90</f>
        <v>0</v>
      </c>
      <c r="AS231" s="1062">
        <f>'No Recurrentes 24-26'!CH90</f>
        <v>0</v>
      </c>
      <c r="AT231" s="1068"/>
      <c r="AU231" s="1062">
        <f>'No Recurrentes 24-26'!CI90</f>
        <v>2</v>
      </c>
      <c r="AV231" s="1063">
        <f>'No Recurrentes 24-26'!CJ90</f>
        <v>5</v>
      </c>
      <c r="AW231" s="1068"/>
      <c r="AX231" s="1065">
        <f>'No Recurrentes 24-26'!CK90</f>
        <v>1078.24</v>
      </c>
      <c r="AY231" s="1062">
        <f>'No Recurrentes 24-26'!CL90</f>
        <v>7504.5504</v>
      </c>
      <c r="AZ231" s="1068"/>
      <c r="BA231" s="1062">
        <f>'No Recurrentes 24-26'!CM90</f>
        <v>0</v>
      </c>
      <c r="BB231" s="1062">
        <f>'No Recurrentes 24-26'!CN90</f>
        <v>0</v>
      </c>
      <c r="BC231" s="1062">
        <f>'No Recurrentes 24-26'!CO90</f>
        <v>7504.5504</v>
      </c>
      <c r="BD231" s="1062">
        <f>'No Recurrentes 24-26'!CP90</f>
        <v>0</v>
      </c>
      <c r="BE231" s="1062">
        <f>'No Recurrentes 24-26'!CQ90</f>
        <v>0</v>
      </c>
      <c r="BF231" s="1062">
        <f>'No Recurrentes 24-26'!CR90</f>
        <v>0</v>
      </c>
      <c r="BG231" s="1062">
        <f>'No Recurrentes 24-26'!CS90</f>
        <v>0</v>
      </c>
      <c r="BH231" s="1062">
        <f>'No Recurrentes 24-26'!CT90</f>
        <v>7504.5504</v>
      </c>
      <c r="BI231" s="1062">
        <f>'No Recurrentes 24-26'!CU90</f>
        <v>0</v>
      </c>
      <c r="BJ231" s="1062">
        <f>'No Recurrentes 24-26'!CV90</f>
        <v>0</v>
      </c>
      <c r="BK231" s="1068"/>
      <c r="BL231" s="1062">
        <f>'No Recurrentes 24-26'!CW90</f>
        <v>15009.1008</v>
      </c>
      <c r="BM231" s="1062">
        <f>'No Recurrentes 24-26'!CX90</f>
        <v>0</v>
      </c>
      <c r="BN231" s="1062">
        <f>'No Recurrentes 24-26'!CY90</f>
        <v>0</v>
      </c>
      <c r="BO231" s="1062">
        <f>'No Recurrentes 24-26'!CZ90</f>
        <v>0</v>
      </c>
      <c r="BP231" s="1062">
        <f>'No Recurrentes 24-26'!DA90</f>
        <v>0</v>
      </c>
      <c r="BQ231" s="1062">
        <f>'No Recurrentes 24-26'!DB90</f>
        <v>0</v>
      </c>
      <c r="BR231" s="1062">
        <f>'No Recurrentes 24-26'!DC90</f>
        <v>0</v>
      </c>
      <c r="BS231" s="1062">
        <f>'No Recurrentes 24-26'!DD90</f>
        <v>0</v>
      </c>
      <c r="BT231" s="1062">
        <f>'No Recurrentes 24-26'!DE90</f>
        <v>0</v>
      </c>
      <c r="BU231" s="1062">
        <f>'No Recurrentes 24-26'!DF90</f>
        <v>0</v>
      </c>
      <c r="BV231" s="1062">
        <f>'No Recurrentes 24-26'!DG90</f>
        <v>7504.5504</v>
      </c>
      <c r="BW231" s="1068"/>
      <c r="BX231" s="1062">
        <f>'No Recurrentes 24-26'!DH90</f>
        <v>7504.5504</v>
      </c>
      <c r="BY231" s="1062">
        <f>'No Recurrentes 24-26'!DI90</f>
        <v>7504.5504</v>
      </c>
      <c r="BZ231" s="1062">
        <f>'No Recurrentes 24-26'!DJ90</f>
        <v>0</v>
      </c>
      <c r="CA231" s="1062">
        <f>'No Recurrentes 24-26'!DK90</f>
        <v>0</v>
      </c>
      <c r="CB231" s="1062">
        <f>'No Recurrentes 24-26'!DL90</f>
        <v>0</v>
      </c>
      <c r="CC231" s="1062">
        <f>'No Recurrentes 24-26'!DM90</f>
        <v>0</v>
      </c>
      <c r="CD231" s="1062">
        <f>'No Recurrentes 24-26'!DN90</f>
        <v>0</v>
      </c>
      <c r="CE231" s="1062">
        <f>'No Recurrentes 24-26'!DO90</f>
        <v>0</v>
      </c>
      <c r="CF231" s="1062">
        <f>'No Recurrentes 24-26'!DP90</f>
        <v>7504.5504</v>
      </c>
      <c r="CG231" s="1062">
        <f>'No Recurrentes 24-26'!DQ90</f>
        <v>0</v>
      </c>
      <c r="CH231" s="1062">
        <f>'No Recurrentes 24-26'!DR90</f>
        <v>0</v>
      </c>
      <c r="CI231" s="1068"/>
      <c r="CJ231" s="1062">
        <f>'No Recurrentes 24-26'!DS90</f>
        <v>15009.1008</v>
      </c>
      <c r="CK231" s="1062">
        <f>'No Recurrentes 24-26'!DT90</f>
        <v>37522.752</v>
      </c>
      <c r="CL231" s="1064" t="str">
        <f>'No Recurrentes 24-26'!DU90</f>
        <v/>
      </c>
      <c r="CM231" s="1064" t="str">
        <f>'No Recurrentes 24-26'!DV90</f>
        <v>No esta en la cotizacion, se encuentra en 2 categorias diferentes</v>
      </c>
      <c r="CN231" s="1065">
        <f>'No Recurrentes 24-26'!EI89</f>
        <v>313.88</v>
      </c>
      <c r="CO231" s="1065">
        <f>'No Recurrentes 24-26'!EJ89</f>
        <v>266.8</v>
      </c>
      <c r="CP231" s="1060" t="str">
        <f>'No Recurrentes 24-26'!EK89</f>
        <v/>
      </c>
    </row>
    <row r="232">
      <c r="A232" s="451" t="str">
        <f>'No Recurrentes 24-26'!A91</f>
        <v>Repuestos Electromecánicos no recurrentes</v>
      </c>
      <c r="B232" s="451">
        <f>'No Recurrentes 24-26'!B91</f>
        <v>2</v>
      </c>
      <c r="C232" s="451" t="str">
        <f>'No Recurrentes 24-26'!C91</f>
        <v>Estación</v>
      </c>
      <c r="D232" s="451" t="str">
        <f>'No Recurrentes 24-26'!D91</f>
        <v>Manto. Eléctrico</v>
      </c>
      <c r="E232" s="451" t="str">
        <f>'No Recurrentes 24-26'!E91</f>
        <v>Repuesto Eléctrico</v>
      </c>
      <c r="F232" s="451" t="str">
        <f>'No Recurrentes 24-26'!F91</f>
        <v>TDB</v>
      </c>
      <c r="G232" s="1061" t="str">
        <f>'No Recurrentes 24-26'!G91</f>
        <v>39700</v>
      </c>
      <c r="H232" s="1061" t="str">
        <f>'No Recurrentes 24-26'!H91</f>
        <v/>
      </c>
      <c r="I232" s="1061" t="str">
        <f>'No Recurrentes 24-26'!I91</f>
        <v>10040024</v>
      </c>
      <c r="J232" s="1061" t="str">
        <f>'No Recurrentes 24-26'!J91</f>
        <v>CONTADOR HORAS DE SERVICIO R5 97 10-50V DC 96X96MM BAUSER</v>
      </c>
      <c r="K232" s="451" t="str">
        <f>'No Recurrentes 24-26'!K91</f>
        <v>Pza</v>
      </c>
      <c r="L232" s="451" t="str">
        <f>'No Recurrentes 24-26'!BC91</f>
        <v/>
      </c>
      <c r="M232" s="451" t="str">
        <f>'No Recurrentes 24-26'!BD91</f>
        <v/>
      </c>
      <c r="N232" s="451">
        <f>'No Recurrentes 24-26'!BE91</f>
        <v>1</v>
      </c>
      <c r="O232" s="451">
        <f>'No Recurrentes 24-26'!BF91</f>
        <v>1</v>
      </c>
      <c r="P232" s="451" t="str">
        <f>'No Recurrentes 24-26'!BG91</f>
        <v/>
      </c>
      <c r="Q232" s="451" t="str">
        <f>'No Recurrentes 24-26'!BH91</f>
        <v/>
      </c>
      <c r="R232" s="451" t="str">
        <f>'No Recurrentes 24-26'!BI91</f>
        <v/>
      </c>
      <c r="S232" s="451" t="str">
        <f>'No Recurrentes 24-26'!BJ91</f>
        <v/>
      </c>
      <c r="T232" s="451" t="str">
        <f>'No Recurrentes 24-26'!BK91</f>
        <v/>
      </c>
      <c r="U232" s="451" t="str">
        <f>'No Recurrentes 24-26'!BL91</f>
        <v/>
      </c>
      <c r="V232" s="1068"/>
      <c r="W232" s="1062">
        <f>'No Recurrentes 24-26'!BM91</f>
        <v>2</v>
      </c>
      <c r="X232" s="1062" t="str">
        <f>'No Recurrentes 24-26'!BN91</f>
        <v/>
      </c>
      <c r="Y232" s="1062" t="str">
        <f>'No Recurrentes 24-26'!BO91</f>
        <v/>
      </c>
      <c r="Z232" s="1062" t="str">
        <f>'No Recurrentes 24-26'!BP91</f>
        <v/>
      </c>
      <c r="AA232" s="1062" t="str">
        <f>'No Recurrentes 24-26'!BQ91</f>
        <v/>
      </c>
      <c r="AB232" s="1062">
        <f>'No Recurrentes 24-26'!BR91</f>
        <v>1</v>
      </c>
      <c r="AC232" s="1062">
        <f>'No Recurrentes 24-26'!BS91</f>
        <v>1</v>
      </c>
      <c r="AD232" s="1062" t="str">
        <f>'No Recurrentes 24-26'!BT91</f>
        <v/>
      </c>
      <c r="AE232" s="1062" t="str">
        <f>'No Recurrentes 24-26'!BU91</f>
        <v/>
      </c>
      <c r="AF232" s="1062" t="str">
        <f>'No Recurrentes 24-26'!BV91</f>
        <v/>
      </c>
      <c r="AG232" s="1062" t="str">
        <f>'No Recurrentes 24-26'!BW91</f>
        <v/>
      </c>
      <c r="AH232" s="1068"/>
      <c r="AI232" s="1062">
        <f>'No Recurrentes 24-26'!BX91</f>
        <v>2</v>
      </c>
      <c r="AJ232" s="1062">
        <f>'No Recurrentes 24-26'!BY91</f>
        <v>0</v>
      </c>
      <c r="AK232" s="1062">
        <f>'No Recurrentes 24-26'!BZ91</f>
        <v>0</v>
      </c>
      <c r="AL232" s="1062">
        <f>'No Recurrentes 24-26'!CA91</f>
        <v>0</v>
      </c>
      <c r="AM232" s="1062">
        <f>'No Recurrentes 24-26'!CB91</f>
        <v>0</v>
      </c>
      <c r="AN232" s="1062">
        <f>'No Recurrentes 24-26'!CC91</f>
        <v>0</v>
      </c>
      <c r="AO232" s="1062">
        <f>'No Recurrentes 24-26'!CD91</f>
        <v>0</v>
      </c>
      <c r="AP232" s="1062">
        <f>'No Recurrentes 24-26'!CE91</f>
        <v>0</v>
      </c>
      <c r="AQ232" s="1062">
        <f>'No Recurrentes 24-26'!CF91</f>
        <v>0</v>
      </c>
      <c r="AR232" s="1062">
        <f>'No Recurrentes 24-26'!CG91</f>
        <v>0</v>
      </c>
      <c r="AS232" s="1062">
        <f>'No Recurrentes 24-26'!CH91</f>
        <v>0</v>
      </c>
      <c r="AT232" s="1068"/>
      <c r="AU232" s="1062">
        <f>'No Recurrentes 24-26'!CI91</f>
        <v>0</v>
      </c>
      <c r="AV232" s="1063">
        <f>'No Recurrentes 24-26'!CJ91</f>
        <v>4</v>
      </c>
      <c r="AW232" s="1068"/>
      <c r="AX232" s="1065">
        <f>'No Recurrentes 24-26'!CK91</f>
        <v>484.16</v>
      </c>
      <c r="AY232" s="1062">
        <f>'No Recurrentes 24-26'!CL91</f>
        <v>3369.7536</v>
      </c>
      <c r="AZ232" s="1068"/>
      <c r="BA232" s="1062">
        <f>'No Recurrentes 24-26'!CM91</f>
        <v>0</v>
      </c>
      <c r="BB232" s="1062">
        <f>'No Recurrentes 24-26'!CN91</f>
        <v>0</v>
      </c>
      <c r="BC232" s="1062">
        <f>'No Recurrentes 24-26'!CO91</f>
        <v>3369.7536</v>
      </c>
      <c r="BD232" s="1062">
        <f>'No Recurrentes 24-26'!CP91</f>
        <v>3369.7536</v>
      </c>
      <c r="BE232" s="1062">
        <f>'No Recurrentes 24-26'!CQ91</f>
        <v>0</v>
      </c>
      <c r="BF232" s="1062">
        <f>'No Recurrentes 24-26'!CR91</f>
        <v>0</v>
      </c>
      <c r="BG232" s="1062">
        <f>'No Recurrentes 24-26'!CS91</f>
        <v>0</v>
      </c>
      <c r="BH232" s="1062">
        <f>'No Recurrentes 24-26'!CT91</f>
        <v>0</v>
      </c>
      <c r="BI232" s="1062">
        <f>'No Recurrentes 24-26'!CU91</f>
        <v>0</v>
      </c>
      <c r="BJ232" s="1062">
        <f>'No Recurrentes 24-26'!CV91</f>
        <v>0</v>
      </c>
      <c r="BK232" s="1068"/>
      <c r="BL232" s="1062">
        <f>'No Recurrentes 24-26'!CW91</f>
        <v>6739.5072</v>
      </c>
      <c r="BM232" s="1062">
        <f>'No Recurrentes 24-26'!CX91</f>
        <v>0</v>
      </c>
      <c r="BN232" s="1062">
        <f>'No Recurrentes 24-26'!CY91</f>
        <v>0</v>
      </c>
      <c r="BO232" s="1062">
        <f>'No Recurrentes 24-26'!CZ91</f>
        <v>0</v>
      </c>
      <c r="BP232" s="1062">
        <f>'No Recurrentes 24-26'!DA91</f>
        <v>0</v>
      </c>
      <c r="BQ232" s="1062">
        <f>'No Recurrentes 24-26'!DB91</f>
        <v>3369.7536</v>
      </c>
      <c r="BR232" s="1062">
        <f>'No Recurrentes 24-26'!DC91</f>
        <v>3369.7536</v>
      </c>
      <c r="BS232" s="1062">
        <f>'No Recurrentes 24-26'!DD91</f>
        <v>0</v>
      </c>
      <c r="BT232" s="1062">
        <f>'No Recurrentes 24-26'!DE91</f>
        <v>0</v>
      </c>
      <c r="BU232" s="1062">
        <f>'No Recurrentes 24-26'!DF91</f>
        <v>0</v>
      </c>
      <c r="BV232" s="1062">
        <f>'No Recurrentes 24-26'!DG91</f>
        <v>0</v>
      </c>
      <c r="BW232" s="1068"/>
      <c r="BX232" s="1062">
        <f>'No Recurrentes 24-26'!DH91</f>
        <v>6739.5072</v>
      </c>
      <c r="BY232" s="1062">
        <f>'No Recurrentes 24-26'!DI91</f>
        <v>0</v>
      </c>
      <c r="BZ232" s="1062">
        <f>'No Recurrentes 24-26'!DJ91</f>
        <v>0</v>
      </c>
      <c r="CA232" s="1062">
        <f>'No Recurrentes 24-26'!DK91</f>
        <v>0</v>
      </c>
      <c r="CB232" s="1062">
        <f>'No Recurrentes 24-26'!DL91</f>
        <v>0</v>
      </c>
      <c r="CC232" s="1062">
        <f>'No Recurrentes 24-26'!DM91</f>
        <v>0</v>
      </c>
      <c r="CD232" s="1062">
        <f>'No Recurrentes 24-26'!DN91</f>
        <v>0</v>
      </c>
      <c r="CE232" s="1062">
        <f>'No Recurrentes 24-26'!DO91</f>
        <v>0</v>
      </c>
      <c r="CF232" s="1062">
        <f>'No Recurrentes 24-26'!DP91</f>
        <v>0</v>
      </c>
      <c r="CG232" s="1062">
        <f>'No Recurrentes 24-26'!DQ91</f>
        <v>0</v>
      </c>
      <c r="CH232" s="1062">
        <f>'No Recurrentes 24-26'!DR91</f>
        <v>0</v>
      </c>
      <c r="CI232" s="1068"/>
      <c r="CJ232" s="1062">
        <f>'No Recurrentes 24-26'!DS91</f>
        <v>0</v>
      </c>
      <c r="CK232" s="1062">
        <f>'No Recurrentes 24-26'!DT91</f>
        <v>13479.0144</v>
      </c>
      <c r="CL232" s="1064" t="str">
        <f>'No Recurrentes 24-26'!DU91</f>
        <v/>
      </c>
      <c r="CM232" s="1064" t="str">
        <f>'No Recurrentes 24-26'!DV91</f>
        <v/>
      </c>
      <c r="CN232" s="1065">
        <f>'No Recurrentes 24-26'!EI90</f>
        <v>1078.24</v>
      </c>
      <c r="CO232" s="1065">
        <f>'No Recurrentes 24-26'!EJ90</f>
        <v>916.5</v>
      </c>
      <c r="CP232" s="1060" t="str">
        <f>'No Recurrentes 24-26'!EK90</f>
        <v/>
      </c>
    </row>
    <row r="233">
      <c r="A233" s="451" t="str">
        <f>'No Recurrentes 24-26'!A92</f>
        <v>Repuestos Electromecánicos no recurrentes</v>
      </c>
      <c r="B233" s="451">
        <f>'No Recurrentes 24-26'!B92</f>
        <v>2</v>
      </c>
      <c r="C233" s="451" t="str">
        <f>'No Recurrentes 24-26'!C92</f>
        <v>Estación</v>
      </c>
      <c r="D233" s="451" t="str">
        <f>'No Recurrentes 24-26'!D92</f>
        <v>Manto. Eléctrico</v>
      </c>
      <c r="E233" s="451" t="str">
        <f>'No Recurrentes 24-26'!E92</f>
        <v>Repuesto Eléctrico</v>
      </c>
      <c r="F233" s="451" t="str">
        <f>'No Recurrentes 24-26'!F92</f>
        <v>TDB</v>
      </c>
      <c r="G233" s="1061" t="str">
        <f>'No Recurrentes 24-26'!G92</f>
        <v>39700</v>
      </c>
      <c r="H233" s="1061" t="str">
        <f>'No Recurrentes 24-26'!H92</f>
        <v>2-02-00616</v>
      </c>
      <c r="I233" s="1061" t="str">
        <f>'No Recurrentes 24-26'!I92</f>
        <v>11131578</v>
      </c>
      <c r="J233" s="1061" t="str">
        <f>'No Recurrentes 24-26'!J92</f>
        <v>ELEMENTO BASE P. ENCHUFE PROTECT. PHOENIX CONTACT N.°:2839376</v>
      </c>
      <c r="K233" s="451" t="str">
        <f>'No Recurrentes 24-26'!K92</f>
        <v>Pza</v>
      </c>
      <c r="L233" s="451">
        <f>'No Recurrentes 24-26'!BC92</f>
        <v>2</v>
      </c>
      <c r="M233" s="451">
        <f>'No Recurrentes 24-26'!BD92</f>
        <v>1</v>
      </c>
      <c r="N233" s="451">
        <f>'No Recurrentes 24-26'!BE92</f>
        <v>2</v>
      </c>
      <c r="O233" s="451" t="str">
        <f>'No Recurrentes 24-26'!BF92</f>
        <v/>
      </c>
      <c r="P233" s="451" t="str">
        <f>'No Recurrentes 24-26'!BG92</f>
        <v/>
      </c>
      <c r="Q233" s="451" t="str">
        <f>'No Recurrentes 24-26'!BH92</f>
        <v/>
      </c>
      <c r="R233" s="451" t="str">
        <f>'No Recurrentes 24-26'!BI92</f>
        <v/>
      </c>
      <c r="S233" s="451" t="str">
        <f>'No Recurrentes 24-26'!BJ92</f>
        <v/>
      </c>
      <c r="T233" s="451" t="str">
        <f>'No Recurrentes 24-26'!BK92</f>
        <v/>
      </c>
      <c r="U233" s="451" t="str">
        <f>'No Recurrentes 24-26'!BL92</f>
        <v/>
      </c>
      <c r="V233" s="1068"/>
      <c r="W233" s="1062">
        <f>'No Recurrentes 24-26'!BM92</f>
        <v>5</v>
      </c>
      <c r="X233" s="1062">
        <f>'No Recurrentes 24-26'!BN92</f>
        <v>2</v>
      </c>
      <c r="Y233" s="1062" t="str">
        <f>'No Recurrentes 24-26'!BO92</f>
        <v/>
      </c>
      <c r="Z233" s="1062">
        <f>'No Recurrentes 24-26'!BP92</f>
        <v>2</v>
      </c>
      <c r="AA233" s="1062" t="str">
        <f>'No Recurrentes 24-26'!BQ92</f>
        <v/>
      </c>
      <c r="AB233" s="1062" t="str">
        <f>'No Recurrentes 24-26'!BR92</f>
        <v/>
      </c>
      <c r="AC233" s="1062" t="str">
        <f>'No Recurrentes 24-26'!BS92</f>
        <v/>
      </c>
      <c r="AD233" s="1062" t="str">
        <f>'No Recurrentes 24-26'!BT92</f>
        <v/>
      </c>
      <c r="AE233" s="1062" t="str">
        <f>'No Recurrentes 24-26'!BU92</f>
        <v/>
      </c>
      <c r="AF233" s="1062" t="str">
        <f>'No Recurrentes 24-26'!BV92</f>
        <v/>
      </c>
      <c r="AG233" s="1062" t="str">
        <f>'No Recurrentes 24-26'!BW92</f>
        <v/>
      </c>
      <c r="AH233" s="1068"/>
      <c r="AI233" s="1062">
        <f>'No Recurrentes 24-26'!BX92</f>
        <v>4</v>
      </c>
      <c r="AJ233" s="1062">
        <f>'No Recurrentes 24-26'!BY92</f>
        <v>0</v>
      </c>
      <c r="AK233" s="1062">
        <f>'No Recurrentes 24-26'!BZ92</f>
        <v>0</v>
      </c>
      <c r="AL233" s="1062">
        <f>'No Recurrentes 24-26'!CA92</f>
        <v>0</v>
      </c>
      <c r="AM233" s="1062">
        <f>'No Recurrentes 24-26'!CB92</f>
        <v>0</v>
      </c>
      <c r="AN233" s="1062">
        <f>'No Recurrentes 24-26'!CC92</f>
        <v>0</v>
      </c>
      <c r="AO233" s="1062">
        <f>'No Recurrentes 24-26'!CD92</f>
        <v>0</v>
      </c>
      <c r="AP233" s="1062">
        <f>'No Recurrentes 24-26'!CE92</f>
        <v>0</v>
      </c>
      <c r="AQ233" s="1062">
        <f>'No Recurrentes 24-26'!CF92</f>
        <v>0</v>
      </c>
      <c r="AR233" s="1062">
        <f>'No Recurrentes 24-26'!CG92</f>
        <v>0</v>
      </c>
      <c r="AS233" s="1062">
        <f>'No Recurrentes 24-26'!CH92</f>
        <v>0</v>
      </c>
      <c r="AT233" s="1068"/>
      <c r="AU233" s="1062">
        <f>'No Recurrentes 24-26'!CI92</f>
        <v>0</v>
      </c>
      <c r="AV233" s="1062">
        <f>'No Recurrentes 24-26'!CJ92</f>
        <v>9</v>
      </c>
      <c r="AW233" s="1068"/>
      <c r="AX233" s="1065">
        <f>'No Recurrentes 24-26'!CK92</f>
        <v>172.21</v>
      </c>
      <c r="AY233" s="1062">
        <f>'No Recurrentes 24-26'!CL92</f>
        <v>1198.5816</v>
      </c>
      <c r="AZ233" s="1068"/>
      <c r="BA233" s="1062">
        <f>'No Recurrentes 24-26'!CM92</f>
        <v>2397.1632</v>
      </c>
      <c r="BB233" s="1062">
        <f>'No Recurrentes 24-26'!CN92</f>
        <v>1198.5816</v>
      </c>
      <c r="BC233" s="1062">
        <f>'No Recurrentes 24-26'!CO92</f>
        <v>2397.1632</v>
      </c>
      <c r="BD233" s="1062">
        <f>'No Recurrentes 24-26'!CP92</f>
        <v>0</v>
      </c>
      <c r="BE233" s="1062">
        <f>'No Recurrentes 24-26'!CQ92</f>
        <v>0</v>
      </c>
      <c r="BF233" s="1062">
        <f>'No Recurrentes 24-26'!CR92</f>
        <v>0</v>
      </c>
      <c r="BG233" s="1062">
        <f>'No Recurrentes 24-26'!CS92</f>
        <v>0</v>
      </c>
      <c r="BH233" s="1062">
        <f>'No Recurrentes 24-26'!CT92</f>
        <v>0</v>
      </c>
      <c r="BI233" s="1062">
        <f>'No Recurrentes 24-26'!CU92</f>
        <v>0</v>
      </c>
      <c r="BJ233" s="1062">
        <f>'No Recurrentes 24-26'!CV92</f>
        <v>0</v>
      </c>
      <c r="BK233" s="1068"/>
      <c r="BL233" s="1062">
        <f>'No Recurrentes 24-26'!CW92</f>
        <v>5992.908</v>
      </c>
      <c r="BM233" s="1062">
        <f>'No Recurrentes 24-26'!CX92</f>
        <v>2397.1632</v>
      </c>
      <c r="BN233" s="1062">
        <f>'No Recurrentes 24-26'!CY92</f>
        <v>0</v>
      </c>
      <c r="BO233" s="1062">
        <f>'No Recurrentes 24-26'!CZ92</f>
        <v>2397.1632</v>
      </c>
      <c r="BP233" s="1062">
        <f>'No Recurrentes 24-26'!DA92</f>
        <v>0</v>
      </c>
      <c r="BQ233" s="1062">
        <f>'No Recurrentes 24-26'!DB92</f>
        <v>0</v>
      </c>
      <c r="BR233" s="1062">
        <f>'No Recurrentes 24-26'!DC92</f>
        <v>0</v>
      </c>
      <c r="BS233" s="1062">
        <f>'No Recurrentes 24-26'!DD92</f>
        <v>0</v>
      </c>
      <c r="BT233" s="1062">
        <f>'No Recurrentes 24-26'!DE92</f>
        <v>0</v>
      </c>
      <c r="BU233" s="1062">
        <f>'No Recurrentes 24-26'!DF92</f>
        <v>0</v>
      </c>
      <c r="BV233" s="1062">
        <f>'No Recurrentes 24-26'!DG92</f>
        <v>0</v>
      </c>
      <c r="BW233" s="1068"/>
      <c r="BX233" s="1062">
        <f>'No Recurrentes 24-26'!DH92</f>
        <v>4794.3264</v>
      </c>
      <c r="BY233" s="1062">
        <f>'No Recurrentes 24-26'!DI92</f>
        <v>0</v>
      </c>
      <c r="BZ233" s="1062">
        <f>'No Recurrentes 24-26'!DJ92</f>
        <v>0</v>
      </c>
      <c r="CA233" s="1062">
        <f>'No Recurrentes 24-26'!DK92</f>
        <v>0</v>
      </c>
      <c r="CB233" s="1062">
        <f>'No Recurrentes 24-26'!DL92</f>
        <v>0</v>
      </c>
      <c r="CC233" s="1062">
        <f>'No Recurrentes 24-26'!DM92</f>
        <v>0</v>
      </c>
      <c r="CD233" s="1062">
        <f>'No Recurrentes 24-26'!DN92</f>
        <v>0</v>
      </c>
      <c r="CE233" s="1062">
        <f>'No Recurrentes 24-26'!DO92</f>
        <v>0</v>
      </c>
      <c r="CF233" s="1062">
        <f>'No Recurrentes 24-26'!DP92</f>
        <v>0</v>
      </c>
      <c r="CG233" s="1062">
        <f>'No Recurrentes 24-26'!DQ92</f>
        <v>0</v>
      </c>
      <c r="CH233" s="1062">
        <f>'No Recurrentes 24-26'!DR92</f>
        <v>0</v>
      </c>
      <c r="CI233" s="1068"/>
      <c r="CJ233" s="1062">
        <f>'No Recurrentes 24-26'!DS92</f>
        <v>0</v>
      </c>
      <c r="CK233" s="1062">
        <f>'No Recurrentes 24-26'!DT92</f>
        <v>10787.2344</v>
      </c>
      <c r="CL233" s="1064" t="str">
        <f>'No Recurrentes 24-26'!DU92</f>
        <v/>
      </c>
      <c r="CM233" s="1064" t="str">
        <f>'No Recurrentes 24-26'!DV92</f>
        <v>La Cantidad no coincide</v>
      </c>
      <c r="CN233" s="1065">
        <f>'No Recurrentes 24-26'!EI91</f>
        <v>484.16</v>
      </c>
      <c r="CO233" s="1065">
        <f>'No Recurrentes 24-26'!EJ91</f>
        <v>411.54</v>
      </c>
      <c r="CP233" s="1060" t="str">
        <f>'No Recurrentes 24-26'!EK91</f>
        <v/>
      </c>
    </row>
    <row r="234">
      <c r="A234" s="451" t="str">
        <f>'No Recurrentes 24-26'!A93</f>
        <v>Repuestos Electromecánicos no recurrentes</v>
      </c>
      <c r="B234" s="451">
        <f>'No Recurrentes 24-26'!B93</f>
        <v>2</v>
      </c>
      <c r="C234" s="451" t="str">
        <f>'No Recurrentes 24-26'!C93</f>
        <v>Estación</v>
      </c>
      <c r="D234" s="451" t="str">
        <f>'No Recurrentes 24-26'!D93</f>
        <v>Manto. Eléctrico</v>
      </c>
      <c r="E234" s="451" t="str">
        <f>'No Recurrentes 24-26'!E93</f>
        <v>Repuesto Eléctrico</v>
      </c>
      <c r="F234" s="451" t="str">
        <f>'No Recurrentes 24-26'!F93</f>
        <v>TDB</v>
      </c>
      <c r="G234" s="1061" t="str">
        <f>'No Recurrentes 24-26'!G93</f>
        <v>39700</v>
      </c>
      <c r="H234" s="1061" t="str">
        <f>'No Recurrentes 24-26'!H93</f>
        <v>2-02-00640</v>
      </c>
      <c r="I234" s="1061" t="str">
        <f>'No Recurrentes 24-26'!I93</f>
        <v>10355572</v>
      </c>
      <c r="J234" s="1061" t="str">
        <f>'No Recurrentes 24-26'!J93</f>
        <v>INTERRUPT.PROXIM.KD5018    IFM KAPAZITIV           M.LED-GELB</v>
      </c>
      <c r="K234" s="451" t="str">
        <f>'No Recurrentes 24-26'!K93</f>
        <v>Pza</v>
      </c>
      <c r="L234" s="451" t="str">
        <f>'No Recurrentes 24-26'!BC93</f>
        <v/>
      </c>
      <c r="M234" s="451" t="str">
        <f>'No Recurrentes 24-26'!BD93</f>
        <v/>
      </c>
      <c r="N234" s="451">
        <f>'No Recurrentes 24-26'!BE93</f>
        <v>1</v>
      </c>
      <c r="O234" s="451" t="str">
        <f>'No Recurrentes 24-26'!BF93</f>
        <v/>
      </c>
      <c r="P234" s="451" t="str">
        <f>'No Recurrentes 24-26'!BG93</f>
        <v/>
      </c>
      <c r="Q234" s="451" t="str">
        <f>'No Recurrentes 24-26'!BH93</f>
        <v/>
      </c>
      <c r="R234" s="451">
        <f>'No Recurrentes 24-26'!BI93</f>
        <v>1</v>
      </c>
      <c r="S234" s="451" t="str">
        <f>'No Recurrentes 24-26'!BJ93</f>
        <v/>
      </c>
      <c r="T234" s="451" t="str">
        <f>'No Recurrentes 24-26'!BK93</f>
        <v/>
      </c>
      <c r="U234" s="451" t="str">
        <f>'No Recurrentes 24-26'!BL93</f>
        <v/>
      </c>
      <c r="V234" s="1068"/>
      <c r="W234" s="1062">
        <f>'No Recurrentes 24-26'!BM93</f>
        <v>2</v>
      </c>
      <c r="X234" s="1062">
        <f>'No Recurrentes 24-26'!BN93</f>
        <v>1</v>
      </c>
      <c r="Y234" s="1062">
        <f>'No Recurrentes 24-26'!BO93</f>
        <v>1</v>
      </c>
      <c r="Z234" s="1062" t="str">
        <f>'No Recurrentes 24-26'!BP93</f>
        <v/>
      </c>
      <c r="AA234" s="1062" t="str">
        <f>'No Recurrentes 24-26'!BQ93</f>
        <v/>
      </c>
      <c r="AB234" s="1062" t="str">
        <f>'No Recurrentes 24-26'!BR93</f>
        <v/>
      </c>
      <c r="AC234" s="1062" t="str">
        <f>'No Recurrentes 24-26'!BS93</f>
        <v/>
      </c>
      <c r="AD234" s="1062" t="str">
        <f>'No Recurrentes 24-26'!BT93</f>
        <v/>
      </c>
      <c r="AE234" s="1062" t="str">
        <f>'No Recurrentes 24-26'!BU93</f>
        <v/>
      </c>
      <c r="AF234" s="1062" t="str">
        <f>'No Recurrentes 24-26'!BV93</f>
        <v/>
      </c>
      <c r="AG234" s="1062" t="str">
        <f>'No Recurrentes 24-26'!BW93</f>
        <v/>
      </c>
      <c r="AH234" s="1068"/>
      <c r="AI234" s="1062">
        <f>'No Recurrentes 24-26'!BX93</f>
        <v>2</v>
      </c>
      <c r="AJ234" s="1062">
        <f>'No Recurrentes 24-26'!BY93</f>
        <v>0</v>
      </c>
      <c r="AK234" s="1062">
        <f>'No Recurrentes 24-26'!BZ93</f>
        <v>0</v>
      </c>
      <c r="AL234" s="1062">
        <f>'No Recurrentes 24-26'!CA93</f>
        <v>0</v>
      </c>
      <c r="AM234" s="1062">
        <f>'No Recurrentes 24-26'!CB93</f>
        <v>0</v>
      </c>
      <c r="AN234" s="1062">
        <f>'No Recurrentes 24-26'!CC93</f>
        <v>0</v>
      </c>
      <c r="AO234" s="1062">
        <f>'No Recurrentes 24-26'!CD93</f>
        <v>0</v>
      </c>
      <c r="AP234" s="1062">
        <f>'No Recurrentes 24-26'!CE93</f>
        <v>0</v>
      </c>
      <c r="AQ234" s="1062">
        <f>'No Recurrentes 24-26'!CF93</f>
        <v>0</v>
      </c>
      <c r="AR234" s="1062">
        <f>'No Recurrentes 24-26'!CG93</f>
        <v>0</v>
      </c>
      <c r="AS234" s="1062">
        <f>'No Recurrentes 24-26'!CH93</f>
        <v>0</v>
      </c>
      <c r="AT234" s="1068"/>
      <c r="AU234" s="1062">
        <f>'No Recurrentes 24-26'!CI93</f>
        <v>0</v>
      </c>
      <c r="AV234" s="1063">
        <f>'No Recurrentes 24-26'!CJ93</f>
        <v>4</v>
      </c>
      <c r="AW234" s="1068"/>
      <c r="AX234" s="1065">
        <f>'No Recurrentes 24-26'!CK93</f>
        <v>414.9</v>
      </c>
      <c r="AY234" s="1062">
        <f>'No Recurrentes 24-26'!CL93</f>
        <v>2887.704</v>
      </c>
      <c r="AZ234" s="1068"/>
      <c r="BA234" s="1062">
        <f>'No Recurrentes 24-26'!CM93</f>
        <v>0</v>
      </c>
      <c r="BB234" s="1062">
        <f>'No Recurrentes 24-26'!CN93</f>
        <v>0</v>
      </c>
      <c r="BC234" s="1062">
        <f>'No Recurrentes 24-26'!CO93</f>
        <v>2887.704</v>
      </c>
      <c r="BD234" s="1062">
        <f>'No Recurrentes 24-26'!CP93</f>
        <v>0</v>
      </c>
      <c r="BE234" s="1062">
        <f>'No Recurrentes 24-26'!CQ93</f>
        <v>0</v>
      </c>
      <c r="BF234" s="1062">
        <f>'No Recurrentes 24-26'!CR93</f>
        <v>0</v>
      </c>
      <c r="BG234" s="1062">
        <f>'No Recurrentes 24-26'!CS93</f>
        <v>2887.704</v>
      </c>
      <c r="BH234" s="1062">
        <f>'No Recurrentes 24-26'!CT93</f>
        <v>0</v>
      </c>
      <c r="BI234" s="1062">
        <f>'No Recurrentes 24-26'!CU93</f>
        <v>0</v>
      </c>
      <c r="BJ234" s="1062">
        <f>'No Recurrentes 24-26'!CV93</f>
        <v>0</v>
      </c>
      <c r="BK234" s="1068"/>
      <c r="BL234" s="1062">
        <f>'No Recurrentes 24-26'!CW93</f>
        <v>5775.408</v>
      </c>
      <c r="BM234" s="1062">
        <f>'No Recurrentes 24-26'!CX93</f>
        <v>2887.704</v>
      </c>
      <c r="BN234" s="1062">
        <f>'No Recurrentes 24-26'!CY93</f>
        <v>2887.704</v>
      </c>
      <c r="BO234" s="1062">
        <f>'No Recurrentes 24-26'!CZ93</f>
        <v>0</v>
      </c>
      <c r="BP234" s="1062">
        <f>'No Recurrentes 24-26'!DA93</f>
        <v>0</v>
      </c>
      <c r="BQ234" s="1062">
        <f>'No Recurrentes 24-26'!DB93</f>
        <v>0</v>
      </c>
      <c r="BR234" s="1062">
        <f>'No Recurrentes 24-26'!DC93</f>
        <v>0</v>
      </c>
      <c r="BS234" s="1062">
        <f>'No Recurrentes 24-26'!DD93</f>
        <v>0</v>
      </c>
      <c r="BT234" s="1062">
        <f>'No Recurrentes 24-26'!DE93</f>
        <v>0</v>
      </c>
      <c r="BU234" s="1062">
        <f>'No Recurrentes 24-26'!DF93</f>
        <v>0</v>
      </c>
      <c r="BV234" s="1062">
        <f>'No Recurrentes 24-26'!DG93</f>
        <v>0</v>
      </c>
      <c r="BW234" s="1068"/>
      <c r="BX234" s="1062">
        <f>'No Recurrentes 24-26'!DH93</f>
        <v>5775.408</v>
      </c>
      <c r="BY234" s="1062">
        <f>'No Recurrentes 24-26'!DI93</f>
        <v>0</v>
      </c>
      <c r="BZ234" s="1062">
        <f>'No Recurrentes 24-26'!DJ93</f>
        <v>0</v>
      </c>
      <c r="CA234" s="1062">
        <f>'No Recurrentes 24-26'!DK93</f>
        <v>0</v>
      </c>
      <c r="CB234" s="1062">
        <f>'No Recurrentes 24-26'!DL93</f>
        <v>0</v>
      </c>
      <c r="CC234" s="1062">
        <f>'No Recurrentes 24-26'!DM93</f>
        <v>0</v>
      </c>
      <c r="CD234" s="1062">
        <f>'No Recurrentes 24-26'!DN93</f>
        <v>0</v>
      </c>
      <c r="CE234" s="1062">
        <f>'No Recurrentes 24-26'!DO93</f>
        <v>0</v>
      </c>
      <c r="CF234" s="1062">
        <f>'No Recurrentes 24-26'!DP93</f>
        <v>0</v>
      </c>
      <c r="CG234" s="1062">
        <f>'No Recurrentes 24-26'!DQ93</f>
        <v>0</v>
      </c>
      <c r="CH234" s="1062">
        <f>'No Recurrentes 24-26'!DR93</f>
        <v>0</v>
      </c>
      <c r="CI234" s="1068"/>
      <c r="CJ234" s="1062">
        <f>'No Recurrentes 24-26'!DS93</f>
        <v>0</v>
      </c>
      <c r="CK234" s="1062">
        <f>'No Recurrentes 24-26'!DT93</f>
        <v>11550.816</v>
      </c>
      <c r="CL234" s="1064" t="str">
        <f>'No Recurrentes 24-26'!DU93</f>
        <v/>
      </c>
      <c r="CM234" s="1064" t="str">
        <f>'No Recurrentes 24-26'!DV93</f>
        <v/>
      </c>
      <c r="CN234" s="1065">
        <f>'No Recurrentes 24-26'!EI92</f>
        <v>172.21</v>
      </c>
      <c r="CO234" s="1065">
        <f>'No Recurrentes 24-26'!EJ92</f>
        <v>146.38</v>
      </c>
      <c r="CP234" s="1060" t="str">
        <f>'No Recurrentes 24-26'!EK92</f>
        <v/>
      </c>
    </row>
    <row r="235">
      <c r="A235" s="451" t="str">
        <f>'No Recurrentes 24-26'!A94</f>
        <v>Repuestos Electromecánicos no recurrentes</v>
      </c>
      <c r="B235" s="451">
        <f>'No Recurrentes 24-26'!B94</f>
        <v>2</v>
      </c>
      <c r="C235" s="451" t="str">
        <f>'No Recurrentes 24-26'!C94</f>
        <v>Estación</v>
      </c>
      <c r="D235" s="451" t="str">
        <f>'No Recurrentes 24-26'!D94</f>
        <v>Manto. Eléctrico</v>
      </c>
      <c r="E235" s="451" t="str">
        <f>'No Recurrentes 24-26'!E94</f>
        <v>Repuesto Eléctrico</v>
      </c>
      <c r="F235" s="451" t="str">
        <f>'No Recurrentes 24-26'!F94</f>
        <v>TDB</v>
      </c>
      <c r="G235" s="1061" t="str">
        <f>'No Recurrentes 24-26'!G94</f>
        <v>39700</v>
      </c>
      <c r="H235" s="1061" t="str">
        <f>'No Recurrentes 24-26'!H94</f>
        <v>2-02-00633</v>
      </c>
      <c r="I235" s="1061" t="str">
        <f>'No Recurrentes 24-26'!I94</f>
        <v>10059696</v>
      </c>
      <c r="J235" s="1061" t="str">
        <f>'No Recurrentes 24-26'!J94</f>
        <v>INTERRUPT.LLAVE 22-353.111D  EAO 2 CONT.DE CIERRE 24X36 NEGRO</v>
      </c>
      <c r="K235" s="451" t="str">
        <f>'No Recurrentes 24-26'!K94</f>
        <v>Pza</v>
      </c>
      <c r="L235" s="451" t="str">
        <f>'No Recurrentes 24-26'!BC94</f>
        <v/>
      </c>
      <c r="M235" s="451" t="str">
        <f>'No Recurrentes 24-26'!BD94</f>
        <v/>
      </c>
      <c r="N235" s="451">
        <f>'No Recurrentes 24-26'!BE94</f>
        <v>1</v>
      </c>
      <c r="O235" s="451">
        <f>'No Recurrentes 24-26'!BF94</f>
        <v>1</v>
      </c>
      <c r="P235" s="451" t="str">
        <f>'No Recurrentes 24-26'!BG94</f>
        <v/>
      </c>
      <c r="Q235" s="451" t="str">
        <f>'No Recurrentes 24-26'!BH94</f>
        <v/>
      </c>
      <c r="R235" s="451" t="str">
        <f>'No Recurrentes 24-26'!BI94</f>
        <v/>
      </c>
      <c r="S235" s="451" t="str">
        <f>'No Recurrentes 24-26'!BJ94</f>
        <v/>
      </c>
      <c r="T235" s="451" t="str">
        <f>'No Recurrentes 24-26'!BK94</f>
        <v/>
      </c>
      <c r="U235" s="451" t="str">
        <f>'No Recurrentes 24-26'!BL94</f>
        <v/>
      </c>
      <c r="V235" s="1068"/>
      <c r="W235" s="1062">
        <f>'No Recurrentes 24-26'!BM94</f>
        <v>2</v>
      </c>
      <c r="X235" s="1062" t="str">
        <f>'No Recurrentes 24-26'!BN94</f>
        <v/>
      </c>
      <c r="Y235" s="1062" t="str">
        <f>'No Recurrentes 24-26'!BO94</f>
        <v/>
      </c>
      <c r="Z235" s="1062" t="str">
        <f>'No Recurrentes 24-26'!BP94</f>
        <v/>
      </c>
      <c r="AA235" s="1062">
        <f>'No Recurrentes 24-26'!BQ94</f>
        <v>1</v>
      </c>
      <c r="AB235" s="1062">
        <f>'No Recurrentes 24-26'!BR94</f>
        <v>2</v>
      </c>
      <c r="AC235" s="1062">
        <f>'No Recurrentes 24-26'!BS94</f>
        <v>2</v>
      </c>
      <c r="AD235" s="1062" t="str">
        <f>'No Recurrentes 24-26'!BT94</f>
        <v/>
      </c>
      <c r="AE235" s="1062" t="str">
        <f>'No Recurrentes 24-26'!BU94</f>
        <v/>
      </c>
      <c r="AF235" s="1062" t="str">
        <f>'No Recurrentes 24-26'!BV94</f>
        <v/>
      </c>
      <c r="AG235" s="1062" t="str">
        <f>'No Recurrentes 24-26'!BW94</f>
        <v/>
      </c>
      <c r="AH235" s="1068"/>
      <c r="AI235" s="1062">
        <f>'No Recurrentes 24-26'!BX94</f>
        <v>5</v>
      </c>
      <c r="AJ235" s="1062">
        <f>'No Recurrentes 24-26'!BY94</f>
        <v>0</v>
      </c>
      <c r="AK235" s="1062">
        <f>'No Recurrentes 24-26'!BZ94</f>
        <v>0</v>
      </c>
      <c r="AL235" s="1062">
        <f>'No Recurrentes 24-26'!CA94</f>
        <v>0</v>
      </c>
      <c r="AM235" s="1062">
        <f>'No Recurrentes 24-26'!CB94</f>
        <v>0</v>
      </c>
      <c r="AN235" s="1062">
        <f>'No Recurrentes 24-26'!CC94</f>
        <v>0</v>
      </c>
      <c r="AO235" s="1062">
        <f>'No Recurrentes 24-26'!CD94</f>
        <v>0</v>
      </c>
      <c r="AP235" s="1062">
        <f>'No Recurrentes 24-26'!CE94</f>
        <v>0</v>
      </c>
      <c r="AQ235" s="1062">
        <f>'No Recurrentes 24-26'!CF94</f>
        <v>0</v>
      </c>
      <c r="AR235" s="1062">
        <f>'No Recurrentes 24-26'!CG94</f>
        <v>0</v>
      </c>
      <c r="AS235" s="1062">
        <f>'No Recurrentes 24-26'!CH94</f>
        <v>0</v>
      </c>
      <c r="AT235" s="1068"/>
      <c r="AU235" s="1062">
        <f>'No Recurrentes 24-26'!CI94</f>
        <v>0</v>
      </c>
      <c r="AV235" s="1063">
        <f>'No Recurrentes 24-26'!CJ94</f>
        <v>7</v>
      </c>
      <c r="AW235" s="1068"/>
      <c r="AX235" s="1065">
        <f>'No Recurrentes 24-26'!CK94</f>
        <v>289.31</v>
      </c>
      <c r="AY235" s="1062">
        <f>'No Recurrentes 24-26'!CL94</f>
        <v>2013.5976</v>
      </c>
      <c r="AZ235" s="1068"/>
      <c r="BA235" s="1062">
        <f>'No Recurrentes 24-26'!CM94</f>
        <v>0</v>
      </c>
      <c r="BB235" s="1062">
        <f>'No Recurrentes 24-26'!CN94</f>
        <v>0</v>
      </c>
      <c r="BC235" s="1062">
        <f>'No Recurrentes 24-26'!CO94</f>
        <v>2013.5976</v>
      </c>
      <c r="BD235" s="1062">
        <f>'No Recurrentes 24-26'!CP94</f>
        <v>2013.5976</v>
      </c>
      <c r="BE235" s="1062">
        <f>'No Recurrentes 24-26'!CQ94</f>
        <v>0</v>
      </c>
      <c r="BF235" s="1062">
        <f>'No Recurrentes 24-26'!CR94</f>
        <v>0</v>
      </c>
      <c r="BG235" s="1062">
        <f>'No Recurrentes 24-26'!CS94</f>
        <v>0</v>
      </c>
      <c r="BH235" s="1062">
        <f>'No Recurrentes 24-26'!CT94</f>
        <v>0</v>
      </c>
      <c r="BI235" s="1062">
        <f>'No Recurrentes 24-26'!CU94</f>
        <v>0</v>
      </c>
      <c r="BJ235" s="1062">
        <f>'No Recurrentes 24-26'!CV94</f>
        <v>0</v>
      </c>
      <c r="BK235" s="1068"/>
      <c r="BL235" s="1062">
        <f>'No Recurrentes 24-26'!CW94</f>
        <v>4027.1952</v>
      </c>
      <c r="BM235" s="1062">
        <f>'No Recurrentes 24-26'!CX94</f>
        <v>0</v>
      </c>
      <c r="BN235" s="1062">
        <f>'No Recurrentes 24-26'!CY94</f>
        <v>0</v>
      </c>
      <c r="BO235" s="1062">
        <f>'No Recurrentes 24-26'!CZ94</f>
        <v>0</v>
      </c>
      <c r="BP235" s="1062">
        <f>'No Recurrentes 24-26'!DA94</f>
        <v>2013.5976</v>
      </c>
      <c r="BQ235" s="1062">
        <f>'No Recurrentes 24-26'!DB94</f>
        <v>4027.1952</v>
      </c>
      <c r="BR235" s="1062">
        <f>'No Recurrentes 24-26'!DC94</f>
        <v>4027.1952</v>
      </c>
      <c r="BS235" s="1062">
        <f>'No Recurrentes 24-26'!DD94</f>
        <v>0</v>
      </c>
      <c r="BT235" s="1062">
        <f>'No Recurrentes 24-26'!DE94</f>
        <v>0</v>
      </c>
      <c r="BU235" s="1062">
        <f>'No Recurrentes 24-26'!DF94</f>
        <v>0</v>
      </c>
      <c r="BV235" s="1062">
        <f>'No Recurrentes 24-26'!DG94</f>
        <v>0</v>
      </c>
      <c r="BW235" s="1068"/>
      <c r="BX235" s="1062">
        <f>'No Recurrentes 24-26'!DH94</f>
        <v>10067.988</v>
      </c>
      <c r="BY235" s="1062">
        <f>'No Recurrentes 24-26'!DI94</f>
        <v>0</v>
      </c>
      <c r="BZ235" s="1062">
        <f>'No Recurrentes 24-26'!DJ94</f>
        <v>0</v>
      </c>
      <c r="CA235" s="1062">
        <f>'No Recurrentes 24-26'!DK94</f>
        <v>0</v>
      </c>
      <c r="CB235" s="1062">
        <f>'No Recurrentes 24-26'!DL94</f>
        <v>0</v>
      </c>
      <c r="CC235" s="1062">
        <f>'No Recurrentes 24-26'!DM94</f>
        <v>0</v>
      </c>
      <c r="CD235" s="1062">
        <f>'No Recurrentes 24-26'!DN94</f>
        <v>0</v>
      </c>
      <c r="CE235" s="1062">
        <f>'No Recurrentes 24-26'!DO94</f>
        <v>0</v>
      </c>
      <c r="CF235" s="1062">
        <f>'No Recurrentes 24-26'!DP94</f>
        <v>0</v>
      </c>
      <c r="CG235" s="1062">
        <f>'No Recurrentes 24-26'!DQ94</f>
        <v>0</v>
      </c>
      <c r="CH235" s="1062">
        <f>'No Recurrentes 24-26'!DR94</f>
        <v>0</v>
      </c>
      <c r="CI235" s="1068"/>
      <c r="CJ235" s="1062">
        <f>'No Recurrentes 24-26'!DS94</f>
        <v>0</v>
      </c>
      <c r="CK235" s="1062">
        <f>'No Recurrentes 24-26'!DT94</f>
        <v>14095.1832</v>
      </c>
      <c r="CL235" s="1064" t="str">
        <f>'No Recurrentes 24-26'!DU94</f>
        <v/>
      </c>
      <c r="CM235" s="1064" t="str">
        <f>'No Recurrentes 24-26'!DV94</f>
        <v/>
      </c>
      <c r="CN235" s="1065">
        <f>'No Recurrentes 24-26'!EI93</f>
        <v>414.9</v>
      </c>
      <c r="CO235" s="1065">
        <f>'No Recurrentes 24-26'!EJ93</f>
        <v>352.67</v>
      </c>
      <c r="CP235" s="1060" t="str">
        <f>'No Recurrentes 24-26'!EK93</f>
        <v/>
      </c>
    </row>
    <row r="236">
      <c r="A236" s="451" t="str">
        <f>'No Recurrentes 24-26'!A95</f>
        <v>Repuestos Electromecánicos no recurrentes</v>
      </c>
      <c r="B236" s="451">
        <f>'No Recurrentes 24-26'!B95</f>
        <v>2</v>
      </c>
      <c r="C236" s="451" t="str">
        <f>'No Recurrentes 24-26'!C95</f>
        <v>Estación</v>
      </c>
      <c r="D236" s="451" t="str">
        <f>'No Recurrentes 24-26'!D95</f>
        <v>Manto. Eléctrico</v>
      </c>
      <c r="E236" s="451" t="str">
        <f>'No Recurrentes 24-26'!E95</f>
        <v>Repuesto Eléctrico</v>
      </c>
      <c r="F236" s="451" t="str">
        <f>'No Recurrentes 24-26'!F95</f>
        <v>TDB</v>
      </c>
      <c r="G236" s="1061" t="str">
        <f>'No Recurrentes 24-26'!G95</f>
        <v>39700</v>
      </c>
      <c r="H236" s="1061" t="str">
        <f>'No Recurrentes 24-26'!H95</f>
        <v/>
      </c>
      <c r="I236" s="1061" t="str">
        <f>'No Recurrentes 24-26'!I95</f>
        <v>10449062</v>
      </c>
      <c r="J236" s="1061" t="str">
        <f>'No Recurrentes 24-26'!J95</f>
        <v>BATTERIE CR2450    3,0V 560MAH LITHIUM</v>
      </c>
      <c r="K236" s="451" t="str">
        <f>'No Recurrentes 24-26'!K95</f>
        <v>Pza</v>
      </c>
      <c r="L236" s="451">
        <f>'No Recurrentes 24-26'!BC95</f>
        <v>8</v>
      </c>
      <c r="M236" s="451">
        <f>'No Recurrentes 24-26'!BD95</f>
        <v>6</v>
      </c>
      <c r="N236" s="451">
        <f>'No Recurrentes 24-26'!BE95</f>
        <v>8</v>
      </c>
      <c r="O236" s="451">
        <f>'No Recurrentes 24-26'!BF95</f>
        <v>6</v>
      </c>
      <c r="P236" s="451">
        <f>'No Recurrentes 24-26'!BG95</f>
        <v>8</v>
      </c>
      <c r="Q236" s="451">
        <f>'No Recurrentes 24-26'!BH95</f>
        <v>8</v>
      </c>
      <c r="R236" s="451">
        <f>'No Recurrentes 24-26'!BI95</f>
        <v>6</v>
      </c>
      <c r="S236" s="451">
        <f>'No Recurrentes 24-26'!BJ95</f>
        <v>1</v>
      </c>
      <c r="T236" s="451">
        <f>'No Recurrentes 24-26'!BK95</f>
        <v>4</v>
      </c>
      <c r="U236" s="451">
        <f>'No Recurrentes 24-26'!BL95</f>
        <v>1</v>
      </c>
      <c r="V236" s="1068"/>
      <c r="W236" s="1062">
        <f>'No Recurrentes 24-26'!BM95</f>
        <v>56</v>
      </c>
      <c r="X236" s="1062" t="str">
        <f>'No Recurrentes 24-26'!BN95</f>
        <v/>
      </c>
      <c r="Y236" s="1062" t="str">
        <f>'No Recurrentes 24-26'!BO95</f>
        <v/>
      </c>
      <c r="Z236" s="1062" t="str">
        <f>'No Recurrentes 24-26'!BP95</f>
        <v/>
      </c>
      <c r="AA236" s="1062" t="str">
        <f>'No Recurrentes 24-26'!BQ95</f>
        <v/>
      </c>
      <c r="AB236" s="1062" t="str">
        <f>'No Recurrentes 24-26'!BR95</f>
        <v/>
      </c>
      <c r="AC236" s="1062" t="str">
        <f>'No Recurrentes 24-26'!BS95</f>
        <v/>
      </c>
      <c r="AD236" s="1062" t="str">
        <f>'No Recurrentes 24-26'!BT95</f>
        <v/>
      </c>
      <c r="AE236" s="1062" t="str">
        <f>'No Recurrentes 24-26'!BU95</f>
        <v/>
      </c>
      <c r="AF236" s="1062" t="str">
        <f>'No Recurrentes 24-26'!BV95</f>
        <v/>
      </c>
      <c r="AG236" s="1062" t="str">
        <f>'No Recurrentes 24-26'!BW95</f>
        <v/>
      </c>
      <c r="AH236" s="1068"/>
      <c r="AI236" s="1062">
        <f>'No Recurrentes 24-26'!BX95</f>
        <v>0</v>
      </c>
      <c r="AJ236" s="1062">
        <f>'No Recurrentes 24-26'!BY95</f>
        <v>0</v>
      </c>
      <c r="AK236" s="1062">
        <f>'No Recurrentes 24-26'!BZ95</f>
        <v>0</v>
      </c>
      <c r="AL236" s="1062">
        <f>'No Recurrentes 24-26'!CA95</f>
        <v>0</v>
      </c>
      <c r="AM236" s="1062">
        <f>'No Recurrentes 24-26'!CB95</f>
        <v>0</v>
      </c>
      <c r="AN236" s="1062">
        <f>'No Recurrentes 24-26'!CC95</f>
        <v>0</v>
      </c>
      <c r="AO236" s="1062">
        <f>'No Recurrentes 24-26'!CD95</f>
        <v>0</v>
      </c>
      <c r="AP236" s="1062">
        <f>'No Recurrentes 24-26'!CE95</f>
        <v>0</v>
      </c>
      <c r="AQ236" s="1062">
        <f>'No Recurrentes 24-26'!CF95</f>
        <v>0</v>
      </c>
      <c r="AR236" s="1062">
        <f>'No Recurrentes 24-26'!CG95</f>
        <v>0</v>
      </c>
      <c r="AS236" s="1062">
        <f>'No Recurrentes 24-26'!CH95</f>
        <v>0</v>
      </c>
      <c r="AT236" s="1068"/>
      <c r="AU236" s="1062">
        <f>'No Recurrentes 24-26'!CI95</f>
        <v>0</v>
      </c>
      <c r="AV236" s="1063">
        <f>'No Recurrentes 24-26'!CJ95</f>
        <v>56</v>
      </c>
      <c r="AW236" s="1068"/>
      <c r="AX236" s="1065">
        <f>'No Recurrentes 24-26'!CK95</f>
        <v>9.92</v>
      </c>
      <c r="AY236" s="1062">
        <f>'No Recurrentes 24-26'!CL95</f>
        <v>69.0432</v>
      </c>
      <c r="AZ236" s="1068"/>
      <c r="BA236" s="1062">
        <f>'No Recurrentes 24-26'!CM95</f>
        <v>552.3456</v>
      </c>
      <c r="BB236" s="1062">
        <f>'No Recurrentes 24-26'!CN95</f>
        <v>414.2592</v>
      </c>
      <c r="BC236" s="1062">
        <f>'No Recurrentes 24-26'!CO95</f>
        <v>552.3456</v>
      </c>
      <c r="BD236" s="1062">
        <f>'No Recurrentes 24-26'!CP95</f>
        <v>414.2592</v>
      </c>
      <c r="BE236" s="1062">
        <f>'No Recurrentes 24-26'!CQ95</f>
        <v>552.3456</v>
      </c>
      <c r="BF236" s="1062">
        <f>'No Recurrentes 24-26'!CR95</f>
        <v>552.3456</v>
      </c>
      <c r="BG236" s="1062">
        <f>'No Recurrentes 24-26'!CS95</f>
        <v>414.2592</v>
      </c>
      <c r="BH236" s="1062">
        <f>'No Recurrentes 24-26'!CT95</f>
        <v>69.0432</v>
      </c>
      <c r="BI236" s="1062">
        <f>'No Recurrentes 24-26'!CU95</f>
        <v>276.1728</v>
      </c>
      <c r="BJ236" s="1062">
        <f>'No Recurrentes 24-26'!CV95</f>
        <v>69.0432</v>
      </c>
      <c r="BK236" s="1068"/>
      <c r="BL236" s="1062">
        <f>'No Recurrentes 24-26'!CW95</f>
        <v>3866.4192</v>
      </c>
      <c r="BM236" s="1062">
        <f>'No Recurrentes 24-26'!CX95</f>
        <v>0</v>
      </c>
      <c r="BN236" s="1062">
        <f>'No Recurrentes 24-26'!CY95</f>
        <v>0</v>
      </c>
      <c r="BO236" s="1062">
        <f>'No Recurrentes 24-26'!CZ95</f>
        <v>0</v>
      </c>
      <c r="BP236" s="1062">
        <f>'No Recurrentes 24-26'!DA95</f>
        <v>0</v>
      </c>
      <c r="BQ236" s="1062">
        <f>'No Recurrentes 24-26'!DB95</f>
        <v>0</v>
      </c>
      <c r="BR236" s="1062">
        <f>'No Recurrentes 24-26'!DC95</f>
        <v>0</v>
      </c>
      <c r="BS236" s="1062">
        <f>'No Recurrentes 24-26'!DD95</f>
        <v>0</v>
      </c>
      <c r="BT236" s="1062">
        <f>'No Recurrentes 24-26'!DE95</f>
        <v>0</v>
      </c>
      <c r="BU236" s="1062">
        <f>'No Recurrentes 24-26'!DF95</f>
        <v>0</v>
      </c>
      <c r="BV236" s="1062">
        <f>'No Recurrentes 24-26'!DG95</f>
        <v>0</v>
      </c>
      <c r="BW236" s="1068"/>
      <c r="BX236" s="1062">
        <f>'No Recurrentes 24-26'!DH95</f>
        <v>0</v>
      </c>
      <c r="BY236" s="1062">
        <f>'No Recurrentes 24-26'!DI95</f>
        <v>0</v>
      </c>
      <c r="BZ236" s="1062">
        <f>'No Recurrentes 24-26'!DJ95</f>
        <v>0</v>
      </c>
      <c r="CA236" s="1062">
        <f>'No Recurrentes 24-26'!DK95</f>
        <v>0</v>
      </c>
      <c r="CB236" s="1062">
        <f>'No Recurrentes 24-26'!DL95</f>
        <v>0</v>
      </c>
      <c r="CC236" s="1062">
        <f>'No Recurrentes 24-26'!DM95</f>
        <v>0</v>
      </c>
      <c r="CD236" s="1062">
        <f>'No Recurrentes 24-26'!DN95</f>
        <v>0</v>
      </c>
      <c r="CE236" s="1062">
        <f>'No Recurrentes 24-26'!DO95</f>
        <v>0</v>
      </c>
      <c r="CF236" s="1062">
        <f>'No Recurrentes 24-26'!DP95</f>
        <v>0</v>
      </c>
      <c r="CG236" s="1062">
        <f>'No Recurrentes 24-26'!DQ95</f>
        <v>0</v>
      </c>
      <c r="CH236" s="1062">
        <f>'No Recurrentes 24-26'!DR95</f>
        <v>0</v>
      </c>
      <c r="CI236" s="1068"/>
      <c r="CJ236" s="1062">
        <f>'No Recurrentes 24-26'!DS95</f>
        <v>0</v>
      </c>
      <c r="CK236" s="1062">
        <f>'No Recurrentes 24-26'!DT95</f>
        <v>3866.4192</v>
      </c>
      <c r="CL236" s="1064" t="str">
        <f>'No Recurrentes 24-26'!DU95</f>
        <v/>
      </c>
      <c r="CM236" s="1064" t="str">
        <f>'No Recurrentes 24-26'!DV95</f>
        <v/>
      </c>
      <c r="CN236" s="1065">
        <f>'No Recurrentes 24-26'!EI94</f>
        <v>289.31</v>
      </c>
      <c r="CO236" s="1065">
        <f>'No Recurrentes 24-26'!EJ94</f>
        <v>245.91</v>
      </c>
      <c r="CP236" s="1060" t="str">
        <f>'No Recurrentes 24-26'!EK94</f>
        <v/>
      </c>
    </row>
    <row r="237">
      <c r="A237" s="451" t="str">
        <f>'No Recurrentes 24-26'!A96</f>
        <v>Repuestos Electromecánicos no recurrentes</v>
      </c>
      <c r="B237" s="451">
        <f>'No Recurrentes 24-26'!B96</f>
        <v>2</v>
      </c>
      <c r="C237" s="451" t="str">
        <f>'No Recurrentes 24-26'!C96</f>
        <v>Estación</v>
      </c>
      <c r="D237" s="451" t="str">
        <f>'No Recurrentes 24-26'!D96</f>
        <v>Manto. Eléctrico</v>
      </c>
      <c r="E237" s="451" t="str">
        <f>'No Recurrentes 24-26'!E96</f>
        <v>Repuesto Eléctrico</v>
      </c>
      <c r="F237" s="451" t="str">
        <f>'No Recurrentes 24-26'!F96</f>
        <v>TDB</v>
      </c>
      <c r="G237" s="1061" t="str">
        <f>'No Recurrentes 24-26'!G96</f>
        <v>39700</v>
      </c>
      <c r="H237" s="1061" t="str">
        <f>'No Recurrentes 24-26'!H96</f>
        <v/>
      </c>
      <c r="I237" s="1061" t="str">
        <f>'No Recurrentes 24-26'!I96</f>
        <v>10755957</v>
      </c>
      <c r="J237" s="1061" t="str">
        <f>'No Recurrentes 24-26'!J96</f>
        <v>FUSIBLE AUTOM. CA/CC 5SY6 320-7  TRIPOL./20A/CURVA C  SIEMENS</v>
      </c>
      <c r="K237" s="451" t="str">
        <f>'No Recurrentes 24-26'!K96</f>
        <v>Pza</v>
      </c>
      <c r="L237" s="451" t="str">
        <f>'No Recurrentes 24-26'!BC96</f>
        <v/>
      </c>
      <c r="M237" s="451" t="str">
        <f>'No Recurrentes 24-26'!BD96</f>
        <v/>
      </c>
      <c r="N237" s="451" t="str">
        <f>'No Recurrentes 24-26'!BE96</f>
        <v/>
      </c>
      <c r="O237" s="451">
        <f>'No Recurrentes 24-26'!BF96</f>
        <v>1</v>
      </c>
      <c r="P237" s="451">
        <f>'No Recurrentes 24-26'!BG96</f>
        <v>1</v>
      </c>
      <c r="Q237" s="451">
        <f>'No Recurrentes 24-26'!BH96</f>
        <v>1</v>
      </c>
      <c r="R237" s="451" t="str">
        <f>'No Recurrentes 24-26'!BI96</f>
        <v/>
      </c>
      <c r="S237" s="451" t="str">
        <f>'No Recurrentes 24-26'!BJ96</f>
        <v/>
      </c>
      <c r="T237" s="451" t="str">
        <f>'No Recurrentes 24-26'!BK96</f>
        <v/>
      </c>
      <c r="U237" s="451" t="str">
        <f>'No Recurrentes 24-26'!BL96</f>
        <v/>
      </c>
      <c r="V237" s="1068"/>
      <c r="W237" s="1062">
        <f>'No Recurrentes 24-26'!BM96</f>
        <v>3</v>
      </c>
      <c r="X237" s="1062" t="str">
        <f>'No Recurrentes 24-26'!BN96</f>
        <v/>
      </c>
      <c r="Y237" s="1062" t="str">
        <f>'No Recurrentes 24-26'!BO96</f>
        <v/>
      </c>
      <c r="Z237" s="1062" t="str">
        <f>'No Recurrentes 24-26'!BP96</f>
        <v/>
      </c>
      <c r="AA237" s="1062" t="str">
        <f>'No Recurrentes 24-26'!BQ96</f>
        <v/>
      </c>
      <c r="AB237" s="1062" t="str">
        <f>'No Recurrentes 24-26'!BR96</f>
        <v/>
      </c>
      <c r="AC237" s="1062" t="str">
        <f>'No Recurrentes 24-26'!BS96</f>
        <v/>
      </c>
      <c r="AD237" s="1062" t="str">
        <f>'No Recurrentes 24-26'!BT96</f>
        <v/>
      </c>
      <c r="AE237" s="1062" t="str">
        <f>'No Recurrentes 24-26'!BU96</f>
        <v/>
      </c>
      <c r="AF237" s="1062" t="str">
        <f>'No Recurrentes 24-26'!BV96</f>
        <v/>
      </c>
      <c r="AG237" s="1062" t="str">
        <f>'No Recurrentes 24-26'!BW96</f>
        <v/>
      </c>
      <c r="AH237" s="1068"/>
      <c r="AI237" s="1062">
        <f>'No Recurrentes 24-26'!BX96</f>
        <v>0</v>
      </c>
      <c r="AJ237" s="1062">
        <f>'No Recurrentes 24-26'!BY96</f>
        <v>0</v>
      </c>
      <c r="AK237" s="1062">
        <f>'No Recurrentes 24-26'!BZ96</f>
        <v>0</v>
      </c>
      <c r="AL237" s="1062">
        <f>'No Recurrentes 24-26'!CA96</f>
        <v>0</v>
      </c>
      <c r="AM237" s="1062">
        <f>'No Recurrentes 24-26'!CB96</f>
        <v>1</v>
      </c>
      <c r="AN237" s="1062">
        <f>'No Recurrentes 24-26'!CC96</f>
        <v>1</v>
      </c>
      <c r="AO237" s="1062">
        <f>'No Recurrentes 24-26'!CD96</f>
        <v>1</v>
      </c>
      <c r="AP237" s="1062">
        <f>'No Recurrentes 24-26'!CE96</f>
        <v>0</v>
      </c>
      <c r="AQ237" s="1062">
        <f>'No Recurrentes 24-26'!CF96</f>
        <v>0</v>
      </c>
      <c r="AR237" s="1062">
        <f>'No Recurrentes 24-26'!CG96</f>
        <v>0</v>
      </c>
      <c r="AS237" s="1062">
        <f>'No Recurrentes 24-26'!CH96</f>
        <v>0</v>
      </c>
      <c r="AT237" s="1068"/>
      <c r="AU237" s="1062">
        <f>'No Recurrentes 24-26'!CI96</f>
        <v>3</v>
      </c>
      <c r="AV237" s="1063">
        <f>'No Recurrentes 24-26'!CJ96</f>
        <v>6</v>
      </c>
      <c r="AW237" s="1068"/>
      <c r="AX237" s="1065">
        <f>'No Recurrentes 24-26'!CK96</f>
        <v>140.17</v>
      </c>
      <c r="AY237" s="1062">
        <f>'No Recurrentes 24-26'!CL96</f>
        <v>975.5832</v>
      </c>
      <c r="AZ237" s="1068"/>
      <c r="BA237" s="1062">
        <f>'No Recurrentes 24-26'!CM96</f>
        <v>0</v>
      </c>
      <c r="BB237" s="1062">
        <f>'No Recurrentes 24-26'!CN96</f>
        <v>0</v>
      </c>
      <c r="BC237" s="1062">
        <f>'No Recurrentes 24-26'!CO96</f>
        <v>0</v>
      </c>
      <c r="BD237" s="1062">
        <f>'No Recurrentes 24-26'!CP96</f>
        <v>975.5832</v>
      </c>
      <c r="BE237" s="1062">
        <f>'No Recurrentes 24-26'!CQ96</f>
        <v>975.5832</v>
      </c>
      <c r="BF237" s="1062">
        <f>'No Recurrentes 24-26'!CR96</f>
        <v>975.5832</v>
      </c>
      <c r="BG237" s="1062">
        <f>'No Recurrentes 24-26'!CS96</f>
        <v>0</v>
      </c>
      <c r="BH237" s="1062">
        <f>'No Recurrentes 24-26'!CT96</f>
        <v>0</v>
      </c>
      <c r="BI237" s="1062">
        <f>'No Recurrentes 24-26'!CU96</f>
        <v>0</v>
      </c>
      <c r="BJ237" s="1062">
        <f>'No Recurrentes 24-26'!CV96</f>
        <v>0</v>
      </c>
      <c r="BK237" s="1068"/>
      <c r="BL237" s="1062">
        <f>'No Recurrentes 24-26'!CW96</f>
        <v>2926.7496</v>
      </c>
      <c r="BM237" s="1062">
        <f>'No Recurrentes 24-26'!CX96</f>
        <v>0</v>
      </c>
      <c r="BN237" s="1062">
        <f>'No Recurrentes 24-26'!CY96</f>
        <v>0</v>
      </c>
      <c r="BO237" s="1062">
        <f>'No Recurrentes 24-26'!CZ96</f>
        <v>0</v>
      </c>
      <c r="BP237" s="1062">
        <f>'No Recurrentes 24-26'!DA96</f>
        <v>0</v>
      </c>
      <c r="BQ237" s="1062">
        <f>'No Recurrentes 24-26'!DB96</f>
        <v>0</v>
      </c>
      <c r="BR237" s="1062">
        <f>'No Recurrentes 24-26'!DC96</f>
        <v>0</v>
      </c>
      <c r="BS237" s="1062">
        <f>'No Recurrentes 24-26'!DD96</f>
        <v>0</v>
      </c>
      <c r="BT237" s="1062">
        <f>'No Recurrentes 24-26'!DE96</f>
        <v>0</v>
      </c>
      <c r="BU237" s="1062">
        <f>'No Recurrentes 24-26'!DF96</f>
        <v>0</v>
      </c>
      <c r="BV237" s="1062">
        <f>'No Recurrentes 24-26'!DG96</f>
        <v>0</v>
      </c>
      <c r="BW237" s="1068"/>
      <c r="BX237" s="1062">
        <f>'No Recurrentes 24-26'!DH96</f>
        <v>0</v>
      </c>
      <c r="BY237" s="1062">
        <f>'No Recurrentes 24-26'!DI96</f>
        <v>0</v>
      </c>
      <c r="BZ237" s="1062">
        <f>'No Recurrentes 24-26'!DJ96</f>
        <v>0</v>
      </c>
      <c r="CA237" s="1062">
        <f>'No Recurrentes 24-26'!DK96</f>
        <v>0</v>
      </c>
      <c r="CB237" s="1062">
        <f>'No Recurrentes 24-26'!DL96</f>
        <v>975.5832</v>
      </c>
      <c r="CC237" s="1062">
        <f>'No Recurrentes 24-26'!DM96</f>
        <v>975.5832</v>
      </c>
      <c r="CD237" s="1062">
        <f>'No Recurrentes 24-26'!DN96</f>
        <v>975.5832</v>
      </c>
      <c r="CE237" s="1062">
        <f>'No Recurrentes 24-26'!DO96</f>
        <v>0</v>
      </c>
      <c r="CF237" s="1062">
        <f>'No Recurrentes 24-26'!DP96</f>
        <v>0</v>
      </c>
      <c r="CG237" s="1062">
        <f>'No Recurrentes 24-26'!DQ96</f>
        <v>0</v>
      </c>
      <c r="CH237" s="1062">
        <f>'No Recurrentes 24-26'!DR96</f>
        <v>0</v>
      </c>
      <c r="CI237" s="1068"/>
      <c r="CJ237" s="1062">
        <f>'No Recurrentes 24-26'!DS96</f>
        <v>2926.7496</v>
      </c>
      <c r="CK237" s="1062">
        <f>'No Recurrentes 24-26'!DT96</f>
        <v>5853.4992</v>
      </c>
      <c r="CL237" s="1064" t="str">
        <f>'No Recurrentes 24-26'!DU96</f>
        <v/>
      </c>
      <c r="CM237" s="1064" t="str">
        <f>'No Recurrentes 24-26'!DV96</f>
        <v/>
      </c>
      <c r="CN237" s="1065">
        <f>'No Recurrentes 24-26'!EI95</f>
        <v>9.92</v>
      </c>
      <c r="CO237" s="1065">
        <f>'No Recurrentes 24-26'!EJ95</f>
        <v>8.43</v>
      </c>
      <c r="CP237" s="1060" t="str">
        <f>'No Recurrentes 24-26'!EK95</f>
        <v/>
      </c>
    </row>
    <row r="238">
      <c r="A238" s="451" t="str">
        <f>'No Recurrentes 24-26'!A97</f>
        <v>Repuestos Electromecánicos no recurrentes</v>
      </c>
      <c r="B238" s="451">
        <f>'No Recurrentes 24-26'!B97</f>
        <v>2</v>
      </c>
      <c r="C238" s="451" t="str">
        <f>'No Recurrentes 24-26'!C97</f>
        <v>Estación</v>
      </c>
      <c r="D238" s="451" t="str">
        <f>'No Recurrentes 24-26'!D97</f>
        <v>Manto. Eléctrico</v>
      </c>
      <c r="E238" s="451" t="str">
        <f>'No Recurrentes 24-26'!E97</f>
        <v>Repuesto Eléctrico</v>
      </c>
      <c r="F238" s="451" t="str">
        <f>'No Recurrentes 24-26'!F97</f>
        <v>TDB</v>
      </c>
      <c r="G238" s="1061" t="str">
        <f>'No Recurrentes 24-26'!G97</f>
        <v>39700</v>
      </c>
      <c r="H238" s="1061" t="str">
        <f>'No Recurrentes 24-26'!H97</f>
        <v>2-06-00026</v>
      </c>
      <c r="I238" s="1061" t="str">
        <f>'No Recurrentes 24-26'!I97</f>
        <v>10191058</v>
      </c>
      <c r="J238" s="1061" t="str">
        <f>'No Recurrentes 24-26'!J97</f>
        <v>BATERIA DE LITIO    3,6V 2,6AH TAMAÑO: AA</v>
      </c>
      <c r="K238" s="451" t="str">
        <f>'No Recurrentes 24-26'!K97</f>
        <v>Pza</v>
      </c>
      <c r="L238" s="451" t="str">
        <f>'No Recurrentes 24-26'!BC97</f>
        <v/>
      </c>
      <c r="M238" s="451">
        <f>'No Recurrentes 24-26'!BD97</f>
        <v>3</v>
      </c>
      <c r="N238" s="451">
        <f>'No Recurrentes 24-26'!BE97</f>
        <v>5</v>
      </c>
      <c r="O238" s="451" t="str">
        <f>'No Recurrentes 24-26'!BF97</f>
        <v/>
      </c>
      <c r="P238" s="451" t="str">
        <f>'No Recurrentes 24-26'!BG97</f>
        <v/>
      </c>
      <c r="Q238" s="451" t="str">
        <f>'No Recurrentes 24-26'!BH97</f>
        <v/>
      </c>
      <c r="R238" s="451">
        <f>'No Recurrentes 24-26'!BI97</f>
        <v>2</v>
      </c>
      <c r="S238" s="451">
        <f>'No Recurrentes 24-26'!BJ97</f>
        <v>2</v>
      </c>
      <c r="T238" s="451">
        <f>'No Recurrentes 24-26'!BK97</f>
        <v>1</v>
      </c>
      <c r="U238" s="451">
        <f>'No Recurrentes 24-26'!BL97</f>
        <v>2</v>
      </c>
      <c r="V238" s="1068"/>
      <c r="W238" s="1062">
        <f>'No Recurrentes 24-26'!BM97</f>
        <v>15</v>
      </c>
      <c r="X238" s="1062" t="str">
        <f>'No Recurrentes 24-26'!BN97</f>
        <v/>
      </c>
      <c r="Y238" s="1062" t="str">
        <f>'No Recurrentes 24-26'!BO97</f>
        <v/>
      </c>
      <c r="Z238" s="1062" t="str">
        <f>'No Recurrentes 24-26'!BP97</f>
        <v/>
      </c>
      <c r="AA238" s="1062">
        <f>'No Recurrentes 24-26'!BQ97</f>
        <v>4</v>
      </c>
      <c r="AB238" s="1062">
        <f>'No Recurrentes 24-26'!BR97</f>
        <v>5</v>
      </c>
      <c r="AC238" s="1062">
        <f>'No Recurrentes 24-26'!BS97</f>
        <v>6</v>
      </c>
      <c r="AD238" s="1062">
        <f>'No Recurrentes 24-26'!BT97</f>
        <v>2</v>
      </c>
      <c r="AE238" s="1062" t="str">
        <f>'No Recurrentes 24-26'!BU97</f>
        <v/>
      </c>
      <c r="AF238" s="1062">
        <f>'No Recurrentes 24-26'!BV97</f>
        <v>1</v>
      </c>
      <c r="AG238" s="1062" t="str">
        <f>'No Recurrentes 24-26'!BW97</f>
        <v/>
      </c>
      <c r="AH238" s="1068"/>
      <c r="AI238" s="1062">
        <f>'No Recurrentes 24-26'!BX97</f>
        <v>18</v>
      </c>
      <c r="AJ238" s="1062">
        <f>'No Recurrentes 24-26'!BY97</f>
        <v>4</v>
      </c>
      <c r="AK238" s="1062">
        <f>'No Recurrentes 24-26'!BZ97</f>
        <v>0</v>
      </c>
      <c r="AL238" s="1062">
        <f>'No Recurrentes 24-26'!CA97</f>
        <v>0</v>
      </c>
      <c r="AM238" s="1062">
        <f>'No Recurrentes 24-26'!CB97</f>
        <v>0</v>
      </c>
      <c r="AN238" s="1062">
        <f>'No Recurrentes 24-26'!CC97</f>
        <v>0</v>
      </c>
      <c r="AO238" s="1062">
        <f>'No Recurrentes 24-26'!CD97</f>
        <v>0</v>
      </c>
      <c r="AP238" s="1062">
        <f>'No Recurrentes 24-26'!CE97</f>
        <v>0</v>
      </c>
      <c r="AQ238" s="1062">
        <f>'No Recurrentes 24-26'!CF97</f>
        <v>2</v>
      </c>
      <c r="AR238" s="1062">
        <f>'No Recurrentes 24-26'!CG97</f>
        <v>0</v>
      </c>
      <c r="AS238" s="1062">
        <f>'No Recurrentes 24-26'!CH97</f>
        <v>2</v>
      </c>
      <c r="AT238" s="1068"/>
      <c r="AU238" s="1062">
        <f>'No Recurrentes 24-26'!CI97</f>
        <v>8</v>
      </c>
      <c r="AV238" s="1063">
        <f>'No Recurrentes 24-26'!CJ97</f>
        <v>41</v>
      </c>
      <c r="AW238" s="1068"/>
      <c r="AX238" s="1065">
        <f>'No Recurrentes 24-26'!CK97</f>
        <v>26.92</v>
      </c>
      <c r="AY238" s="1062">
        <f>'No Recurrentes 24-26'!CL97</f>
        <v>187.3632</v>
      </c>
      <c r="AZ238" s="1068"/>
      <c r="BA238" s="1062">
        <f>'No Recurrentes 24-26'!CM97</f>
        <v>0</v>
      </c>
      <c r="BB238" s="1062">
        <f>'No Recurrentes 24-26'!CN97</f>
        <v>562.0896</v>
      </c>
      <c r="BC238" s="1062">
        <f>'No Recurrentes 24-26'!CO97</f>
        <v>936.816</v>
      </c>
      <c r="BD238" s="1062">
        <f>'No Recurrentes 24-26'!CP97</f>
        <v>0</v>
      </c>
      <c r="BE238" s="1062">
        <f>'No Recurrentes 24-26'!CQ97</f>
        <v>0</v>
      </c>
      <c r="BF238" s="1062">
        <f>'No Recurrentes 24-26'!CR97</f>
        <v>0</v>
      </c>
      <c r="BG238" s="1062">
        <f>'No Recurrentes 24-26'!CS97</f>
        <v>374.7264</v>
      </c>
      <c r="BH238" s="1062">
        <f>'No Recurrentes 24-26'!CT97</f>
        <v>374.7264</v>
      </c>
      <c r="BI238" s="1062">
        <f>'No Recurrentes 24-26'!CU97</f>
        <v>187.3632</v>
      </c>
      <c r="BJ238" s="1062">
        <f>'No Recurrentes 24-26'!CV97</f>
        <v>374.7264</v>
      </c>
      <c r="BK238" s="1068"/>
      <c r="BL238" s="1062">
        <f>'No Recurrentes 24-26'!CW97</f>
        <v>2810.448</v>
      </c>
      <c r="BM238" s="1062">
        <f>'No Recurrentes 24-26'!CX97</f>
        <v>0</v>
      </c>
      <c r="BN238" s="1062">
        <f>'No Recurrentes 24-26'!CY97</f>
        <v>0</v>
      </c>
      <c r="BO238" s="1062">
        <f>'No Recurrentes 24-26'!CZ97</f>
        <v>0</v>
      </c>
      <c r="BP238" s="1062">
        <f>'No Recurrentes 24-26'!DA97</f>
        <v>749.4528</v>
      </c>
      <c r="BQ238" s="1062">
        <f>'No Recurrentes 24-26'!DB97</f>
        <v>936.816</v>
      </c>
      <c r="BR238" s="1062">
        <f>'No Recurrentes 24-26'!DC97</f>
        <v>1124.1792</v>
      </c>
      <c r="BS238" s="1062">
        <f>'No Recurrentes 24-26'!DD97</f>
        <v>374.7264</v>
      </c>
      <c r="BT238" s="1062">
        <f>'No Recurrentes 24-26'!DE97</f>
        <v>0</v>
      </c>
      <c r="BU238" s="1062">
        <f>'No Recurrentes 24-26'!DF97</f>
        <v>187.3632</v>
      </c>
      <c r="BV238" s="1062">
        <f>'No Recurrentes 24-26'!DG97</f>
        <v>0</v>
      </c>
      <c r="BW238" s="1068"/>
      <c r="BX238" s="1062">
        <f>'No Recurrentes 24-26'!DH97</f>
        <v>3372.5376</v>
      </c>
      <c r="BY238" s="1062">
        <f>'No Recurrentes 24-26'!DI97</f>
        <v>749.4528</v>
      </c>
      <c r="BZ238" s="1062">
        <f>'No Recurrentes 24-26'!DJ97</f>
        <v>0</v>
      </c>
      <c r="CA238" s="1062">
        <f>'No Recurrentes 24-26'!DK97</f>
        <v>0</v>
      </c>
      <c r="CB238" s="1062">
        <f>'No Recurrentes 24-26'!DL97</f>
        <v>0</v>
      </c>
      <c r="CC238" s="1062">
        <f>'No Recurrentes 24-26'!DM97</f>
        <v>0</v>
      </c>
      <c r="CD238" s="1062">
        <f>'No Recurrentes 24-26'!DN97</f>
        <v>0</v>
      </c>
      <c r="CE238" s="1062">
        <f>'No Recurrentes 24-26'!DO97</f>
        <v>0</v>
      </c>
      <c r="CF238" s="1062">
        <f>'No Recurrentes 24-26'!DP97</f>
        <v>374.7264</v>
      </c>
      <c r="CG238" s="1062">
        <f>'No Recurrentes 24-26'!DQ97</f>
        <v>0</v>
      </c>
      <c r="CH238" s="1062">
        <f>'No Recurrentes 24-26'!DR97</f>
        <v>374.7264</v>
      </c>
      <c r="CI238" s="1068"/>
      <c r="CJ238" s="1062">
        <f>'No Recurrentes 24-26'!DS97</f>
        <v>1498.9056</v>
      </c>
      <c r="CK238" s="1062">
        <f>'No Recurrentes 24-26'!DT97</f>
        <v>7681.8912</v>
      </c>
      <c r="CL238" s="1064" t="str">
        <f>'No Recurrentes 24-26'!DU97</f>
        <v/>
      </c>
      <c r="CM238" s="1064" t="str">
        <f>'No Recurrentes 24-26'!DV97</f>
        <v/>
      </c>
      <c r="CN238" s="1065">
        <f>'No Recurrentes 24-26'!EI96</f>
        <v>140.17</v>
      </c>
      <c r="CO238" s="1065">
        <f>'No Recurrentes 24-26'!EJ96</f>
        <v>119.14</v>
      </c>
      <c r="CP238" s="1060" t="str">
        <f>'No Recurrentes 24-26'!EK96</f>
        <v/>
      </c>
    </row>
    <row r="239">
      <c r="A239" s="451" t="str">
        <f>'No Recurrentes 24-26'!A98</f>
        <v>Repuestos Electromecánicos no recurrentes</v>
      </c>
      <c r="B239" s="451">
        <f>'No Recurrentes 24-26'!B98</f>
        <v>2</v>
      </c>
      <c r="C239" s="451" t="str">
        <f>'No Recurrentes 24-26'!C98</f>
        <v>Estación</v>
      </c>
      <c r="D239" s="451" t="str">
        <f>'No Recurrentes 24-26'!D98</f>
        <v>Manto. Eléctrico</v>
      </c>
      <c r="E239" s="451" t="str">
        <f>'No Recurrentes 24-26'!E98</f>
        <v>Repuesto Eléctrico</v>
      </c>
      <c r="F239" s="451" t="str">
        <f>'No Recurrentes 24-26'!F98</f>
        <v>TDB</v>
      </c>
      <c r="G239" s="1061" t="str">
        <f>'No Recurrentes 24-26'!G98</f>
        <v>39700</v>
      </c>
      <c r="H239" s="1061" t="str">
        <f>'No Recurrentes 24-26'!H98</f>
        <v>2-02-00385</v>
      </c>
      <c r="I239" s="1061" t="str">
        <f>'No Recurrentes 24-26'!I98</f>
        <v>10894070</v>
      </c>
      <c r="J239" s="1061" t="str">
        <f>'No Recurrentes 24-26'!J98</f>
        <v>BATERÍA CR2477N     3,0V 950MAH LITIO</v>
      </c>
      <c r="K239" s="451" t="str">
        <f>'No Recurrentes 24-26'!K98</f>
        <v>Pza</v>
      </c>
      <c r="L239" s="451" t="str">
        <f>'No Recurrentes 24-26'!BC98</f>
        <v/>
      </c>
      <c r="M239" s="451">
        <f>'No Recurrentes 24-26'!BD98</f>
        <v>1</v>
      </c>
      <c r="N239" s="451">
        <f>'No Recurrentes 24-26'!BE98</f>
        <v>2</v>
      </c>
      <c r="O239" s="451" t="str">
        <f>'No Recurrentes 24-26'!BF98</f>
        <v/>
      </c>
      <c r="P239" s="451" t="str">
        <f>'No Recurrentes 24-26'!BG98</f>
        <v/>
      </c>
      <c r="Q239" s="451" t="str">
        <f>'No Recurrentes 24-26'!BH98</f>
        <v/>
      </c>
      <c r="R239" s="451">
        <f>'No Recurrentes 24-26'!BI98</f>
        <v>2</v>
      </c>
      <c r="S239" s="451">
        <f>'No Recurrentes 24-26'!BJ98</f>
        <v>2</v>
      </c>
      <c r="T239" s="451">
        <f>'No Recurrentes 24-26'!BK98</f>
        <v>1</v>
      </c>
      <c r="U239" s="451">
        <f>'No Recurrentes 24-26'!BL98</f>
        <v>2</v>
      </c>
      <c r="V239" s="1068"/>
      <c r="W239" s="1062">
        <f>'No Recurrentes 24-26'!BM98</f>
        <v>10</v>
      </c>
      <c r="X239" s="1062">
        <f>'No Recurrentes 24-26'!BN98</f>
        <v>2</v>
      </c>
      <c r="Y239" s="1062" t="str">
        <f>'No Recurrentes 24-26'!BO98</f>
        <v/>
      </c>
      <c r="Z239" s="1062" t="str">
        <f>'No Recurrentes 24-26'!BP98</f>
        <v/>
      </c>
      <c r="AA239" s="1062">
        <f>'No Recurrentes 24-26'!BQ98</f>
        <v>2</v>
      </c>
      <c r="AB239" s="1062">
        <f>'No Recurrentes 24-26'!BR98</f>
        <v>4</v>
      </c>
      <c r="AC239" s="1062">
        <f>'No Recurrentes 24-26'!BS98</f>
        <v>3</v>
      </c>
      <c r="AD239" s="1062">
        <f>'No Recurrentes 24-26'!BT98</f>
        <v>2</v>
      </c>
      <c r="AE239" s="1062" t="str">
        <f>'No Recurrentes 24-26'!BU98</f>
        <v/>
      </c>
      <c r="AF239" s="1062">
        <f>'No Recurrentes 24-26'!BV98</f>
        <v>1</v>
      </c>
      <c r="AG239" s="1062" t="str">
        <f>'No Recurrentes 24-26'!BW98</f>
        <v/>
      </c>
      <c r="AH239" s="1068"/>
      <c r="AI239" s="1062">
        <f>'No Recurrentes 24-26'!BX98</f>
        <v>14</v>
      </c>
      <c r="AJ239" s="1062">
        <f>'No Recurrentes 24-26'!BY98</f>
        <v>0</v>
      </c>
      <c r="AK239" s="1062">
        <f>'No Recurrentes 24-26'!BZ98</f>
        <v>0</v>
      </c>
      <c r="AL239" s="1062">
        <f>'No Recurrentes 24-26'!CA98</f>
        <v>0</v>
      </c>
      <c r="AM239" s="1062">
        <f>'No Recurrentes 24-26'!CB98</f>
        <v>0</v>
      </c>
      <c r="AN239" s="1062">
        <f>'No Recurrentes 24-26'!CC98</f>
        <v>0</v>
      </c>
      <c r="AO239" s="1062">
        <f>'No Recurrentes 24-26'!CD98</f>
        <v>0</v>
      </c>
      <c r="AP239" s="1062">
        <f>'No Recurrentes 24-26'!CE98</f>
        <v>0</v>
      </c>
      <c r="AQ239" s="1062">
        <f>'No Recurrentes 24-26'!CF98</f>
        <v>2</v>
      </c>
      <c r="AR239" s="1062">
        <f>'No Recurrentes 24-26'!CG98</f>
        <v>0</v>
      </c>
      <c r="AS239" s="1062">
        <f>'No Recurrentes 24-26'!CH98</f>
        <v>2</v>
      </c>
      <c r="AT239" s="1068"/>
      <c r="AU239" s="1062">
        <f>'No Recurrentes 24-26'!CI98</f>
        <v>4</v>
      </c>
      <c r="AV239" s="1063">
        <f>'No Recurrentes 24-26'!CJ98</f>
        <v>28</v>
      </c>
      <c r="AW239" s="1068"/>
      <c r="AX239" s="1065">
        <f>'No Recurrentes 24-26'!CK98</f>
        <v>25.3</v>
      </c>
      <c r="AY239" s="1062">
        <f>'No Recurrentes 24-26'!CL98</f>
        <v>176.088</v>
      </c>
      <c r="AZ239" s="1068"/>
      <c r="BA239" s="1062">
        <f>'No Recurrentes 24-26'!CM98</f>
        <v>0</v>
      </c>
      <c r="BB239" s="1062">
        <f>'No Recurrentes 24-26'!CN98</f>
        <v>176.088</v>
      </c>
      <c r="BC239" s="1062">
        <f>'No Recurrentes 24-26'!CO98</f>
        <v>352.176</v>
      </c>
      <c r="BD239" s="1062">
        <f>'No Recurrentes 24-26'!CP98</f>
        <v>0</v>
      </c>
      <c r="BE239" s="1062">
        <f>'No Recurrentes 24-26'!CQ98</f>
        <v>0</v>
      </c>
      <c r="BF239" s="1062">
        <f>'No Recurrentes 24-26'!CR98</f>
        <v>0</v>
      </c>
      <c r="BG239" s="1062">
        <f>'No Recurrentes 24-26'!CS98</f>
        <v>352.176</v>
      </c>
      <c r="BH239" s="1062">
        <f>'No Recurrentes 24-26'!CT98</f>
        <v>352.176</v>
      </c>
      <c r="BI239" s="1062">
        <f>'No Recurrentes 24-26'!CU98</f>
        <v>176.088</v>
      </c>
      <c r="BJ239" s="1062">
        <f>'No Recurrentes 24-26'!CV98</f>
        <v>352.176</v>
      </c>
      <c r="BK239" s="1068"/>
      <c r="BL239" s="1062">
        <f>'No Recurrentes 24-26'!CW98</f>
        <v>1760.88</v>
      </c>
      <c r="BM239" s="1062">
        <f>'No Recurrentes 24-26'!CX98</f>
        <v>352.176</v>
      </c>
      <c r="BN239" s="1062">
        <f>'No Recurrentes 24-26'!CY98</f>
        <v>0</v>
      </c>
      <c r="BO239" s="1062">
        <f>'No Recurrentes 24-26'!CZ98</f>
        <v>0</v>
      </c>
      <c r="BP239" s="1062">
        <f>'No Recurrentes 24-26'!DA98</f>
        <v>352.176</v>
      </c>
      <c r="BQ239" s="1062">
        <f>'No Recurrentes 24-26'!DB98</f>
        <v>704.352</v>
      </c>
      <c r="BR239" s="1062">
        <f>'No Recurrentes 24-26'!DC98</f>
        <v>528.264</v>
      </c>
      <c r="BS239" s="1062">
        <f>'No Recurrentes 24-26'!DD98</f>
        <v>352.176</v>
      </c>
      <c r="BT239" s="1062">
        <f>'No Recurrentes 24-26'!DE98</f>
        <v>0</v>
      </c>
      <c r="BU239" s="1062">
        <f>'No Recurrentes 24-26'!DF98</f>
        <v>176.088</v>
      </c>
      <c r="BV239" s="1062">
        <f>'No Recurrentes 24-26'!DG98</f>
        <v>0</v>
      </c>
      <c r="BW239" s="1068"/>
      <c r="BX239" s="1062">
        <f>'No Recurrentes 24-26'!DH98</f>
        <v>2465.232</v>
      </c>
      <c r="BY239" s="1062">
        <f>'No Recurrentes 24-26'!DI98</f>
        <v>0</v>
      </c>
      <c r="BZ239" s="1062">
        <f>'No Recurrentes 24-26'!DJ98</f>
        <v>0</v>
      </c>
      <c r="CA239" s="1062">
        <f>'No Recurrentes 24-26'!DK98</f>
        <v>0</v>
      </c>
      <c r="CB239" s="1062">
        <f>'No Recurrentes 24-26'!DL98</f>
        <v>0</v>
      </c>
      <c r="CC239" s="1062">
        <f>'No Recurrentes 24-26'!DM98</f>
        <v>0</v>
      </c>
      <c r="CD239" s="1062">
        <f>'No Recurrentes 24-26'!DN98</f>
        <v>0</v>
      </c>
      <c r="CE239" s="1062">
        <f>'No Recurrentes 24-26'!DO98</f>
        <v>0</v>
      </c>
      <c r="CF239" s="1062">
        <f>'No Recurrentes 24-26'!DP98</f>
        <v>352.176</v>
      </c>
      <c r="CG239" s="1062">
        <f>'No Recurrentes 24-26'!DQ98</f>
        <v>0</v>
      </c>
      <c r="CH239" s="1062">
        <f>'No Recurrentes 24-26'!DR98</f>
        <v>352.176</v>
      </c>
      <c r="CI239" s="1068"/>
      <c r="CJ239" s="1062">
        <f>'No Recurrentes 24-26'!DS98</f>
        <v>704.352</v>
      </c>
      <c r="CK239" s="1062">
        <f>'No Recurrentes 24-26'!DT98</f>
        <v>4930.464</v>
      </c>
      <c r="CL239" s="1064" t="str">
        <f>'No Recurrentes 24-26'!DU98</f>
        <v/>
      </c>
      <c r="CM239" s="1064" t="str">
        <f>'No Recurrentes 24-26'!DV98</f>
        <v/>
      </c>
      <c r="CN239" s="1065">
        <f>'No Recurrentes 24-26'!EI97</f>
        <v>26.92</v>
      </c>
      <c r="CO239" s="1065">
        <f>'No Recurrentes 24-26'!EJ97</f>
        <v>22.88</v>
      </c>
      <c r="CP239" s="1060" t="str">
        <f>'No Recurrentes 24-26'!EK97</f>
        <v/>
      </c>
    </row>
    <row r="240">
      <c r="A240" s="451" t="str">
        <f>'No Recurrentes 24-26'!A99</f>
        <v>Repuestos Electromecánicos no recurrentes</v>
      </c>
      <c r="B240" s="451">
        <f>'No Recurrentes 24-26'!B99</f>
        <v>2</v>
      </c>
      <c r="C240" s="451" t="str">
        <f>'No Recurrentes 24-26'!C99</f>
        <v>Estación</v>
      </c>
      <c r="D240" s="451" t="str">
        <f>'No Recurrentes 24-26'!D99</f>
        <v>Manto. Eléctrico</v>
      </c>
      <c r="E240" s="451" t="str">
        <f>'No Recurrentes 24-26'!E99</f>
        <v>Repuesto Eléctrico</v>
      </c>
      <c r="F240" s="451" t="str">
        <f>'No Recurrentes 24-26'!F99</f>
        <v>TDB</v>
      </c>
      <c r="G240" s="1061" t="str">
        <f>'No Recurrentes 24-26'!G99</f>
        <v>39700</v>
      </c>
      <c r="H240" s="1061" t="str">
        <f>'No Recurrentes 24-26'!H99</f>
        <v>2-02-00603</v>
      </c>
      <c r="I240" s="1061" t="str">
        <f>'No Recurrentes 24-26'!I99</f>
        <v>10479904</v>
      </c>
      <c r="J240" s="1061" t="str">
        <f>'No Recurrentes 24-26'!J99</f>
        <v>RELÉ DE SEGURIDAD SR2M 2 CAMBIADOR   V23047-A1024-A501</v>
      </c>
      <c r="K240" s="451" t="str">
        <f>'No Recurrentes 24-26'!K99</f>
        <v>Pza</v>
      </c>
      <c r="L240" s="451">
        <f>'No Recurrentes 24-26'!BC99</f>
        <v>2</v>
      </c>
      <c r="M240" s="451" t="str">
        <f>'No Recurrentes 24-26'!BD99</f>
        <v/>
      </c>
      <c r="N240" s="451">
        <f>'No Recurrentes 24-26'!BE99</f>
        <v>2</v>
      </c>
      <c r="O240" s="451" t="str">
        <f>'No Recurrentes 24-26'!BF99</f>
        <v/>
      </c>
      <c r="P240" s="451" t="str">
        <f>'No Recurrentes 24-26'!BG99</f>
        <v/>
      </c>
      <c r="Q240" s="451" t="str">
        <f>'No Recurrentes 24-26'!BH99</f>
        <v/>
      </c>
      <c r="R240" s="451" t="str">
        <f>'No Recurrentes 24-26'!BI99</f>
        <v/>
      </c>
      <c r="S240" s="451" t="str">
        <f>'No Recurrentes 24-26'!BJ99</f>
        <v/>
      </c>
      <c r="T240" s="451" t="str">
        <f>'No Recurrentes 24-26'!BK99</f>
        <v/>
      </c>
      <c r="U240" s="451" t="str">
        <f>'No Recurrentes 24-26'!BL99</f>
        <v/>
      </c>
      <c r="V240" s="1068"/>
      <c r="W240" s="1062">
        <f>'No Recurrentes 24-26'!BM99</f>
        <v>4</v>
      </c>
      <c r="X240" s="1062" t="str">
        <f>'No Recurrentes 24-26'!BN99</f>
        <v/>
      </c>
      <c r="Y240" s="1062" t="str">
        <f>'No Recurrentes 24-26'!BO99</f>
        <v/>
      </c>
      <c r="Z240" s="1062" t="str">
        <f>'No Recurrentes 24-26'!BP99</f>
        <v/>
      </c>
      <c r="AA240" s="1062">
        <f>'No Recurrentes 24-26'!BQ99</f>
        <v>1</v>
      </c>
      <c r="AB240" s="1062">
        <f>'No Recurrentes 24-26'!BR99</f>
        <v>1</v>
      </c>
      <c r="AC240" s="1062">
        <f>'No Recurrentes 24-26'!BS99</f>
        <v>1</v>
      </c>
      <c r="AD240" s="1062" t="str">
        <f>'No Recurrentes 24-26'!BT99</f>
        <v/>
      </c>
      <c r="AE240" s="1062" t="str">
        <f>'No Recurrentes 24-26'!BU99</f>
        <v/>
      </c>
      <c r="AF240" s="1062" t="str">
        <f>'No Recurrentes 24-26'!BV99</f>
        <v/>
      </c>
      <c r="AG240" s="1062">
        <f>'No Recurrentes 24-26'!BW99</f>
        <v>1</v>
      </c>
      <c r="AH240" s="1068"/>
      <c r="AI240" s="1062">
        <f>'No Recurrentes 24-26'!BX99</f>
        <v>4</v>
      </c>
      <c r="AJ240" s="1062">
        <f>'No Recurrentes 24-26'!BY99</f>
        <v>0</v>
      </c>
      <c r="AK240" s="1062">
        <f>'No Recurrentes 24-26'!BZ99</f>
        <v>0</v>
      </c>
      <c r="AL240" s="1062">
        <f>'No Recurrentes 24-26'!CA99</f>
        <v>0</v>
      </c>
      <c r="AM240" s="1062">
        <f>'No Recurrentes 24-26'!CB99</f>
        <v>1</v>
      </c>
      <c r="AN240" s="1062">
        <f>'No Recurrentes 24-26'!CC99</f>
        <v>1</v>
      </c>
      <c r="AO240" s="1062">
        <f>'No Recurrentes 24-26'!CD99</f>
        <v>1</v>
      </c>
      <c r="AP240" s="1062">
        <f>'No Recurrentes 24-26'!CE99</f>
        <v>0</v>
      </c>
      <c r="AQ240" s="1062">
        <f>'No Recurrentes 24-26'!CF99</f>
        <v>0</v>
      </c>
      <c r="AR240" s="1062">
        <f>'No Recurrentes 24-26'!CG99</f>
        <v>0</v>
      </c>
      <c r="AS240" s="1062">
        <f>'No Recurrentes 24-26'!CH99</f>
        <v>0</v>
      </c>
      <c r="AT240" s="1068"/>
      <c r="AU240" s="1062">
        <f>'No Recurrentes 24-26'!CI99</f>
        <v>3</v>
      </c>
      <c r="AV240" s="1063">
        <f>'No Recurrentes 24-26'!CJ99</f>
        <v>11</v>
      </c>
      <c r="AW240" s="1068"/>
      <c r="AX240" s="1065">
        <f>'No Recurrentes 24-26'!CK99</f>
        <v>41.96</v>
      </c>
      <c r="AY240" s="1062">
        <f>'No Recurrentes 24-26'!CL99</f>
        <v>292.0416</v>
      </c>
      <c r="AZ240" s="1068"/>
      <c r="BA240" s="1062">
        <f>'No Recurrentes 24-26'!CM99</f>
        <v>584.0832</v>
      </c>
      <c r="BB240" s="1062">
        <f>'No Recurrentes 24-26'!CN99</f>
        <v>0</v>
      </c>
      <c r="BC240" s="1062">
        <f>'No Recurrentes 24-26'!CO99</f>
        <v>584.0832</v>
      </c>
      <c r="BD240" s="1062">
        <f>'No Recurrentes 24-26'!CP99</f>
        <v>0</v>
      </c>
      <c r="BE240" s="1062">
        <f>'No Recurrentes 24-26'!CQ99</f>
        <v>0</v>
      </c>
      <c r="BF240" s="1062">
        <f>'No Recurrentes 24-26'!CR99</f>
        <v>0</v>
      </c>
      <c r="BG240" s="1062">
        <f>'No Recurrentes 24-26'!CS99</f>
        <v>0</v>
      </c>
      <c r="BH240" s="1062">
        <f>'No Recurrentes 24-26'!CT99</f>
        <v>0</v>
      </c>
      <c r="BI240" s="1062">
        <f>'No Recurrentes 24-26'!CU99</f>
        <v>0</v>
      </c>
      <c r="BJ240" s="1062">
        <f>'No Recurrentes 24-26'!CV99</f>
        <v>0</v>
      </c>
      <c r="BK240" s="1068"/>
      <c r="BL240" s="1062">
        <f>'No Recurrentes 24-26'!CW99</f>
        <v>1168.1664</v>
      </c>
      <c r="BM240" s="1062">
        <f>'No Recurrentes 24-26'!CX99</f>
        <v>0</v>
      </c>
      <c r="BN240" s="1062">
        <f>'No Recurrentes 24-26'!CY99</f>
        <v>0</v>
      </c>
      <c r="BO240" s="1062">
        <f>'No Recurrentes 24-26'!CZ99</f>
        <v>0</v>
      </c>
      <c r="BP240" s="1062">
        <f>'No Recurrentes 24-26'!DA99</f>
        <v>292.0416</v>
      </c>
      <c r="BQ240" s="1062">
        <f>'No Recurrentes 24-26'!DB99</f>
        <v>292.0416</v>
      </c>
      <c r="BR240" s="1062">
        <f>'No Recurrentes 24-26'!DC99</f>
        <v>292.0416</v>
      </c>
      <c r="BS240" s="1062">
        <f>'No Recurrentes 24-26'!DD99</f>
        <v>0</v>
      </c>
      <c r="BT240" s="1062">
        <f>'No Recurrentes 24-26'!DE99</f>
        <v>0</v>
      </c>
      <c r="BU240" s="1062">
        <f>'No Recurrentes 24-26'!DF99</f>
        <v>0</v>
      </c>
      <c r="BV240" s="1062">
        <f>'No Recurrentes 24-26'!DG99</f>
        <v>292.0416</v>
      </c>
      <c r="BW240" s="1068"/>
      <c r="BX240" s="1062">
        <f>'No Recurrentes 24-26'!DH99</f>
        <v>1168.1664</v>
      </c>
      <c r="BY240" s="1062">
        <f>'No Recurrentes 24-26'!DI99</f>
        <v>0</v>
      </c>
      <c r="BZ240" s="1062">
        <f>'No Recurrentes 24-26'!DJ99</f>
        <v>0</v>
      </c>
      <c r="CA240" s="1062">
        <f>'No Recurrentes 24-26'!DK99</f>
        <v>0</v>
      </c>
      <c r="CB240" s="1062">
        <f>'No Recurrentes 24-26'!DL99</f>
        <v>292.0416</v>
      </c>
      <c r="CC240" s="1062">
        <f>'No Recurrentes 24-26'!DM99</f>
        <v>292.0416</v>
      </c>
      <c r="CD240" s="1062">
        <f>'No Recurrentes 24-26'!DN99</f>
        <v>292.0416</v>
      </c>
      <c r="CE240" s="1062">
        <f>'No Recurrentes 24-26'!DO99</f>
        <v>0</v>
      </c>
      <c r="CF240" s="1062">
        <f>'No Recurrentes 24-26'!DP99</f>
        <v>0</v>
      </c>
      <c r="CG240" s="1062">
        <f>'No Recurrentes 24-26'!DQ99</f>
        <v>0</v>
      </c>
      <c r="CH240" s="1062">
        <f>'No Recurrentes 24-26'!DR99</f>
        <v>0</v>
      </c>
      <c r="CI240" s="1068"/>
      <c r="CJ240" s="1062">
        <f>'No Recurrentes 24-26'!DS99</f>
        <v>876.1248</v>
      </c>
      <c r="CK240" s="1062">
        <f>'No Recurrentes 24-26'!DT99</f>
        <v>3212.4576</v>
      </c>
      <c r="CL240" s="1064" t="str">
        <f>'No Recurrentes 24-26'!DU99</f>
        <v/>
      </c>
      <c r="CM240" s="1064" t="str">
        <f>'No Recurrentes 24-26'!DV99</f>
        <v/>
      </c>
      <c r="CN240" s="1065">
        <f>'No Recurrentes 24-26'!EI98</f>
        <v>25.3</v>
      </c>
      <c r="CO240" s="1065">
        <f>'No Recurrentes 24-26'!EJ98</f>
        <v>21.51</v>
      </c>
      <c r="CP240" s="1060" t="str">
        <f>'No Recurrentes 24-26'!EK98</f>
        <v/>
      </c>
    </row>
    <row r="241">
      <c r="A241" s="451" t="str">
        <f>'No Recurrentes 24-26'!A100</f>
        <v>Repuestos Electromecánicos no recurrentes</v>
      </c>
      <c r="B241" s="451">
        <f>'No Recurrentes 24-26'!B100</f>
        <v>2</v>
      </c>
      <c r="C241" s="451" t="str">
        <f>'No Recurrentes 24-26'!C100</f>
        <v>Estación</v>
      </c>
      <c r="D241" s="451" t="str">
        <f>'No Recurrentes 24-26'!D100</f>
        <v>Manto. Eléctrico</v>
      </c>
      <c r="E241" s="451" t="str">
        <f>'No Recurrentes 24-26'!E100</f>
        <v>Repuesto Eléctrico</v>
      </c>
      <c r="F241" s="451" t="str">
        <f>'No Recurrentes 24-26'!F100</f>
        <v>TDB</v>
      </c>
      <c r="G241" s="1061" t="str">
        <f>'No Recurrentes 24-26'!G100</f>
        <v>39700</v>
      </c>
      <c r="H241" s="1061" t="str">
        <f>'No Recurrentes 24-26'!H100</f>
        <v>2-02-00036</v>
      </c>
      <c r="I241" s="1061" t="str">
        <f>'No Recurrentes 24-26'!I100</f>
        <v>10059482</v>
      </c>
      <c r="J241" s="1061" t="str">
        <f>'No Recurrentes 24-26'!J100</f>
        <v>CONMUTADOR     M10H EU3 +OV    PROTEG.CONTR CONT.ACCID. TELUX</v>
      </c>
      <c r="K241" s="451" t="str">
        <f>'No Recurrentes 24-26'!K100</f>
        <v>Pza</v>
      </c>
      <c r="L241" s="451">
        <f>'No Recurrentes 24-26'!BC100</f>
        <v>1</v>
      </c>
      <c r="M241" s="451" t="str">
        <f>'No Recurrentes 24-26'!BD100</f>
        <v/>
      </c>
      <c r="N241" s="451">
        <f>'No Recurrentes 24-26'!BE100</f>
        <v>1</v>
      </c>
      <c r="O241" s="451" t="str">
        <f>'No Recurrentes 24-26'!BF100</f>
        <v/>
      </c>
      <c r="P241" s="451" t="str">
        <f>'No Recurrentes 24-26'!BG100</f>
        <v/>
      </c>
      <c r="Q241" s="451" t="str">
        <f>'No Recurrentes 24-26'!BH100</f>
        <v/>
      </c>
      <c r="R241" s="451" t="str">
        <f>'No Recurrentes 24-26'!BI100</f>
        <v/>
      </c>
      <c r="S241" s="451">
        <f>'No Recurrentes 24-26'!BJ100</f>
        <v>1</v>
      </c>
      <c r="T241" s="451" t="str">
        <f>'No Recurrentes 24-26'!BK100</f>
        <v/>
      </c>
      <c r="U241" s="451" t="str">
        <f>'No Recurrentes 24-26'!BL100</f>
        <v/>
      </c>
      <c r="V241" s="1068"/>
      <c r="W241" s="1062">
        <f>'No Recurrentes 24-26'!BM100</f>
        <v>3</v>
      </c>
      <c r="X241" s="1062" t="str">
        <f>'No Recurrentes 24-26'!BN100</f>
        <v/>
      </c>
      <c r="Y241" s="1062">
        <f>'No Recurrentes 24-26'!BO100</f>
        <v>1</v>
      </c>
      <c r="Z241" s="1062" t="str">
        <f>'No Recurrentes 24-26'!BP100</f>
        <v/>
      </c>
      <c r="AA241" s="1062" t="str">
        <f>'No Recurrentes 24-26'!BQ100</f>
        <v/>
      </c>
      <c r="AB241" s="1062" t="str">
        <f>'No Recurrentes 24-26'!BR100</f>
        <v/>
      </c>
      <c r="AC241" s="1062" t="str">
        <f>'No Recurrentes 24-26'!BS100</f>
        <v/>
      </c>
      <c r="AD241" s="1062" t="str">
        <f>'No Recurrentes 24-26'!BT100</f>
        <v/>
      </c>
      <c r="AE241" s="1062" t="str">
        <f>'No Recurrentes 24-26'!BU100</f>
        <v/>
      </c>
      <c r="AF241" s="1062" t="str">
        <f>'No Recurrentes 24-26'!BV100</f>
        <v/>
      </c>
      <c r="AG241" s="1062" t="str">
        <f>'No Recurrentes 24-26'!BW100</f>
        <v/>
      </c>
      <c r="AH241" s="1068"/>
      <c r="AI241" s="1062">
        <f>'No Recurrentes 24-26'!BX100</f>
        <v>1</v>
      </c>
      <c r="AJ241" s="1062">
        <f>'No Recurrentes 24-26'!BY100</f>
        <v>0</v>
      </c>
      <c r="AK241" s="1062">
        <f>'No Recurrentes 24-26'!BZ100</f>
        <v>0</v>
      </c>
      <c r="AL241" s="1062">
        <f>'No Recurrentes 24-26'!CA100</f>
        <v>0</v>
      </c>
      <c r="AM241" s="1062">
        <f>'No Recurrentes 24-26'!CB100</f>
        <v>0</v>
      </c>
      <c r="AN241" s="1062">
        <f>'No Recurrentes 24-26'!CC100</f>
        <v>0</v>
      </c>
      <c r="AO241" s="1062">
        <f>'No Recurrentes 24-26'!CD100</f>
        <v>0</v>
      </c>
      <c r="AP241" s="1062">
        <f>'No Recurrentes 24-26'!CE100</f>
        <v>0</v>
      </c>
      <c r="AQ241" s="1062">
        <f>'No Recurrentes 24-26'!CF100</f>
        <v>0</v>
      </c>
      <c r="AR241" s="1062">
        <f>'No Recurrentes 24-26'!CG100</f>
        <v>0</v>
      </c>
      <c r="AS241" s="1062">
        <f>'No Recurrentes 24-26'!CH100</f>
        <v>0</v>
      </c>
      <c r="AT241" s="1068"/>
      <c r="AU241" s="1062">
        <f>'No Recurrentes 24-26'!CI100</f>
        <v>0</v>
      </c>
      <c r="AV241" s="1063">
        <f>'No Recurrentes 24-26'!CJ100</f>
        <v>4</v>
      </c>
      <c r="AW241" s="1068"/>
      <c r="AX241" s="1065">
        <f>'No Recurrentes 24-26'!CK100</f>
        <v>55.42</v>
      </c>
      <c r="AY241" s="1062">
        <f>'No Recurrentes 24-26'!CL100</f>
        <v>385.7232</v>
      </c>
      <c r="AZ241" s="1068"/>
      <c r="BA241" s="1062">
        <f>'No Recurrentes 24-26'!CM100</f>
        <v>385.7232</v>
      </c>
      <c r="BB241" s="1062">
        <f>'No Recurrentes 24-26'!CN100</f>
        <v>0</v>
      </c>
      <c r="BC241" s="1062">
        <f>'No Recurrentes 24-26'!CO100</f>
        <v>385.7232</v>
      </c>
      <c r="BD241" s="1062">
        <f>'No Recurrentes 24-26'!CP100</f>
        <v>0</v>
      </c>
      <c r="BE241" s="1062">
        <f>'No Recurrentes 24-26'!CQ100</f>
        <v>0</v>
      </c>
      <c r="BF241" s="1062">
        <f>'No Recurrentes 24-26'!CR100</f>
        <v>0</v>
      </c>
      <c r="BG241" s="1062">
        <f>'No Recurrentes 24-26'!CS100</f>
        <v>0</v>
      </c>
      <c r="BH241" s="1062">
        <f>'No Recurrentes 24-26'!CT100</f>
        <v>385.7232</v>
      </c>
      <c r="BI241" s="1062">
        <f>'No Recurrentes 24-26'!CU100</f>
        <v>0</v>
      </c>
      <c r="BJ241" s="1062">
        <f>'No Recurrentes 24-26'!CV100</f>
        <v>0</v>
      </c>
      <c r="BK241" s="1068"/>
      <c r="BL241" s="1062">
        <f>'No Recurrentes 24-26'!CW100</f>
        <v>1157.1696</v>
      </c>
      <c r="BM241" s="1062">
        <f>'No Recurrentes 24-26'!CX100</f>
        <v>0</v>
      </c>
      <c r="BN241" s="1062">
        <f>'No Recurrentes 24-26'!CY100</f>
        <v>385.7232</v>
      </c>
      <c r="BO241" s="1062">
        <f>'No Recurrentes 24-26'!CZ100</f>
        <v>0</v>
      </c>
      <c r="BP241" s="1062">
        <f>'No Recurrentes 24-26'!DA100</f>
        <v>0</v>
      </c>
      <c r="BQ241" s="1062">
        <f>'No Recurrentes 24-26'!DB100</f>
        <v>0</v>
      </c>
      <c r="BR241" s="1062">
        <f>'No Recurrentes 24-26'!DC100</f>
        <v>0</v>
      </c>
      <c r="BS241" s="1062">
        <f>'No Recurrentes 24-26'!DD100</f>
        <v>0</v>
      </c>
      <c r="BT241" s="1062">
        <f>'No Recurrentes 24-26'!DE100</f>
        <v>0</v>
      </c>
      <c r="BU241" s="1062">
        <f>'No Recurrentes 24-26'!DF100</f>
        <v>0</v>
      </c>
      <c r="BV241" s="1062">
        <f>'No Recurrentes 24-26'!DG100</f>
        <v>0</v>
      </c>
      <c r="BW241" s="1068"/>
      <c r="BX241" s="1062">
        <f>'No Recurrentes 24-26'!DH100</f>
        <v>385.7232</v>
      </c>
      <c r="BY241" s="1062">
        <f>'No Recurrentes 24-26'!DI100</f>
        <v>0</v>
      </c>
      <c r="BZ241" s="1062">
        <f>'No Recurrentes 24-26'!DJ100</f>
        <v>0</v>
      </c>
      <c r="CA241" s="1062">
        <f>'No Recurrentes 24-26'!DK100</f>
        <v>0</v>
      </c>
      <c r="CB241" s="1062">
        <f>'No Recurrentes 24-26'!DL100</f>
        <v>0</v>
      </c>
      <c r="CC241" s="1062">
        <f>'No Recurrentes 24-26'!DM100</f>
        <v>0</v>
      </c>
      <c r="CD241" s="1062">
        <f>'No Recurrentes 24-26'!DN100</f>
        <v>0</v>
      </c>
      <c r="CE241" s="1062">
        <f>'No Recurrentes 24-26'!DO100</f>
        <v>0</v>
      </c>
      <c r="CF241" s="1062">
        <f>'No Recurrentes 24-26'!DP100</f>
        <v>0</v>
      </c>
      <c r="CG241" s="1062">
        <f>'No Recurrentes 24-26'!DQ100</f>
        <v>0</v>
      </c>
      <c r="CH241" s="1062">
        <f>'No Recurrentes 24-26'!DR100</f>
        <v>0</v>
      </c>
      <c r="CI241" s="1068"/>
      <c r="CJ241" s="1062">
        <f>'No Recurrentes 24-26'!DS100</f>
        <v>0</v>
      </c>
      <c r="CK241" s="1062">
        <f>'No Recurrentes 24-26'!DT100</f>
        <v>1542.8928</v>
      </c>
      <c r="CL241" s="1064" t="str">
        <f>'No Recurrentes 24-26'!DU100</f>
        <v/>
      </c>
      <c r="CM241" s="1064" t="str">
        <f>'No Recurrentes 24-26'!DV100</f>
        <v/>
      </c>
      <c r="CN241" s="1065">
        <f>'No Recurrentes 24-26'!EI99</f>
        <v>41.96</v>
      </c>
      <c r="CO241" s="1065">
        <f>'No Recurrentes 24-26'!EJ99</f>
        <v>35.67</v>
      </c>
      <c r="CP241" s="1060" t="str">
        <f>'No Recurrentes 24-26'!EK99</f>
        <v/>
      </c>
    </row>
    <row r="242">
      <c r="A242" s="451" t="str">
        <f>'No Recurrentes 24-26'!A101</f>
        <v>Repuestos Electromecánicos no recurrentes</v>
      </c>
      <c r="B242" s="451">
        <f>'No Recurrentes 24-26'!B101</f>
        <v>2</v>
      </c>
      <c r="C242" s="451" t="str">
        <f>'No Recurrentes 24-26'!C101</f>
        <v>Estación</v>
      </c>
      <c r="D242" s="451" t="str">
        <f>'No Recurrentes 24-26'!D101</f>
        <v>Manto. Eléctrico</v>
      </c>
      <c r="E242" s="451" t="str">
        <f>'No Recurrentes 24-26'!E101</f>
        <v>Repuesto Eléctrico</v>
      </c>
      <c r="F242" s="451" t="str">
        <f>'No Recurrentes 24-26'!F101</f>
        <v>TDB</v>
      </c>
      <c r="G242" s="1061" t="str">
        <f>'No Recurrentes 24-26'!G101</f>
        <v>39700</v>
      </c>
      <c r="H242" s="1061" t="str">
        <f>'No Recurrentes 24-26'!H101</f>
        <v/>
      </c>
      <c r="I242" s="1061" t="str">
        <f>'No Recurrentes 24-26'!I101</f>
        <v>11867392</v>
      </c>
      <c r="J242" s="1061" t="str">
        <f>'No Recurrentes 24-26'!J101</f>
        <v>OPTOACOPLADOR LCIS-SR-DC-2L-5000140-PI  LUETZE 764050.0140</v>
      </c>
      <c r="K242" s="451" t="str">
        <f>'No Recurrentes 24-26'!K101</f>
        <v>Pza</v>
      </c>
      <c r="L242" s="451" t="str">
        <f>'No Recurrentes 24-26'!BC101</f>
        <v/>
      </c>
      <c r="M242" s="451" t="str">
        <f>'No Recurrentes 24-26'!BD101</f>
        <v/>
      </c>
      <c r="N242" s="451" t="str">
        <f>'No Recurrentes 24-26'!BE101</f>
        <v/>
      </c>
      <c r="O242" s="451" t="str">
        <f>'No Recurrentes 24-26'!BF101</f>
        <v/>
      </c>
      <c r="P242" s="451" t="str">
        <f>'No Recurrentes 24-26'!BG101</f>
        <v/>
      </c>
      <c r="Q242" s="451" t="str">
        <f>'No Recurrentes 24-26'!BH101</f>
        <v/>
      </c>
      <c r="R242" s="451" t="str">
        <f>'No Recurrentes 24-26'!BI101</f>
        <v/>
      </c>
      <c r="S242" s="451">
        <f>'No Recurrentes 24-26'!BJ101</f>
        <v>1</v>
      </c>
      <c r="T242" s="451" t="str">
        <f>'No Recurrentes 24-26'!BK101</f>
        <v/>
      </c>
      <c r="U242" s="451" t="str">
        <f>'No Recurrentes 24-26'!BL101</f>
        <v/>
      </c>
      <c r="V242" s="1068"/>
      <c r="W242" s="1062">
        <f>'No Recurrentes 24-26'!BM101</f>
        <v>1</v>
      </c>
      <c r="X242" s="1062" t="str">
        <f>'No Recurrentes 24-26'!BN101</f>
        <v/>
      </c>
      <c r="Y242" s="1062" t="str">
        <f>'No Recurrentes 24-26'!BO101</f>
        <v/>
      </c>
      <c r="Z242" s="1062">
        <f>'No Recurrentes 24-26'!BP101</f>
        <v>1</v>
      </c>
      <c r="AA242" s="1062" t="str">
        <f>'No Recurrentes 24-26'!BQ101</f>
        <v/>
      </c>
      <c r="AB242" s="1062" t="str">
        <f>'No Recurrentes 24-26'!BR101</f>
        <v/>
      </c>
      <c r="AC242" s="1062" t="str">
        <f>'No Recurrentes 24-26'!BS101</f>
        <v/>
      </c>
      <c r="AD242" s="1062" t="str">
        <f>'No Recurrentes 24-26'!BT101</f>
        <v/>
      </c>
      <c r="AE242" s="1062" t="str">
        <f>'No Recurrentes 24-26'!BU101</f>
        <v/>
      </c>
      <c r="AF242" s="1062" t="str">
        <f>'No Recurrentes 24-26'!BV101</f>
        <v/>
      </c>
      <c r="AG242" s="1062" t="str">
        <f>'No Recurrentes 24-26'!BW101</f>
        <v/>
      </c>
      <c r="AH242" s="1068"/>
      <c r="AI242" s="1062">
        <f>'No Recurrentes 24-26'!BX101</f>
        <v>1</v>
      </c>
      <c r="AJ242" s="1062">
        <f>'No Recurrentes 24-26'!BY101</f>
        <v>1</v>
      </c>
      <c r="AK242" s="1062">
        <f>'No Recurrentes 24-26'!BZ101</f>
        <v>0</v>
      </c>
      <c r="AL242" s="1062">
        <f>'No Recurrentes 24-26'!CA101</f>
        <v>0</v>
      </c>
      <c r="AM242" s="1062">
        <f>'No Recurrentes 24-26'!CB101</f>
        <v>0</v>
      </c>
      <c r="AN242" s="1062">
        <f>'No Recurrentes 24-26'!CC101</f>
        <v>0</v>
      </c>
      <c r="AO242" s="1062">
        <f>'No Recurrentes 24-26'!CD101</f>
        <v>0</v>
      </c>
      <c r="AP242" s="1062">
        <f>'No Recurrentes 24-26'!CE101</f>
        <v>0</v>
      </c>
      <c r="AQ242" s="1062">
        <f>'No Recurrentes 24-26'!CF101</f>
        <v>0</v>
      </c>
      <c r="AR242" s="1062">
        <f>'No Recurrentes 24-26'!CG101</f>
        <v>0</v>
      </c>
      <c r="AS242" s="1062">
        <f>'No Recurrentes 24-26'!CH101</f>
        <v>0</v>
      </c>
      <c r="AT242" s="1068"/>
      <c r="AU242" s="1062">
        <f>'No Recurrentes 24-26'!CI101</f>
        <v>1</v>
      </c>
      <c r="AV242" s="1063">
        <f>'No Recurrentes 24-26'!CJ101</f>
        <v>3</v>
      </c>
      <c r="AW242" s="1068"/>
      <c r="AX242" s="1065">
        <f>'No Recurrentes 24-26'!CK101</f>
        <v>159.94</v>
      </c>
      <c r="AY242" s="1062">
        <f>'No Recurrentes 24-26'!CL101</f>
        <v>1113.1824</v>
      </c>
      <c r="AZ242" s="1068"/>
      <c r="BA242" s="1062">
        <f>'No Recurrentes 24-26'!CM101</f>
        <v>0</v>
      </c>
      <c r="BB242" s="1062">
        <f>'No Recurrentes 24-26'!CN101</f>
        <v>0</v>
      </c>
      <c r="BC242" s="1062">
        <f>'No Recurrentes 24-26'!CO101</f>
        <v>0</v>
      </c>
      <c r="BD242" s="1062">
        <f>'No Recurrentes 24-26'!CP101</f>
        <v>0</v>
      </c>
      <c r="BE242" s="1062">
        <f>'No Recurrentes 24-26'!CQ101</f>
        <v>0</v>
      </c>
      <c r="BF242" s="1062">
        <f>'No Recurrentes 24-26'!CR101</f>
        <v>0</v>
      </c>
      <c r="BG242" s="1062">
        <f>'No Recurrentes 24-26'!CS101</f>
        <v>0</v>
      </c>
      <c r="BH242" s="1062">
        <f>'No Recurrentes 24-26'!CT101</f>
        <v>1113.1824</v>
      </c>
      <c r="BI242" s="1062">
        <f>'No Recurrentes 24-26'!CU101</f>
        <v>0</v>
      </c>
      <c r="BJ242" s="1062">
        <f>'No Recurrentes 24-26'!CV101</f>
        <v>0</v>
      </c>
      <c r="BK242" s="1068"/>
      <c r="BL242" s="1062">
        <f>'No Recurrentes 24-26'!CW101</f>
        <v>1113.1824</v>
      </c>
      <c r="BM242" s="1062">
        <f>'No Recurrentes 24-26'!CX101</f>
        <v>0</v>
      </c>
      <c r="BN242" s="1062">
        <f>'No Recurrentes 24-26'!CY101</f>
        <v>0</v>
      </c>
      <c r="BO242" s="1062">
        <f>'No Recurrentes 24-26'!CZ101</f>
        <v>1113.1824</v>
      </c>
      <c r="BP242" s="1062">
        <f>'No Recurrentes 24-26'!DA101</f>
        <v>0</v>
      </c>
      <c r="BQ242" s="1062">
        <f>'No Recurrentes 24-26'!DB101</f>
        <v>0</v>
      </c>
      <c r="BR242" s="1062">
        <f>'No Recurrentes 24-26'!DC101</f>
        <v>0</v>
      </c>
      <c r="BS242" s="1062">
        <f>'No Recurrentes 24-26'!DD101</f>
        <v>0</v>
      </c>
      <c r="BT242" s="1062">
        <f>'No Recurrentes 24-26'!DE101</f>
        <v>0</v>
      </c>
      <c r="BU242" s="1062">
        <f>'No Recurrentes 24-26'!DF101</f>
        <v>0</v>
      </c>
      <c r="BV242" s="1062">
        <f>'No Recurrentes 24-26'!DG101</f>
        <v>0</v>
      </c>
      <c r="BW242" s="1068"/>
      <c r="BX242" s="1062">
        <f>'No Recurrentes 24-26'!DH101</f>
        <v>1113.1824</v>
      </c>
      <c r="BY242" s="1062">
        <f>'No Recurrentes 24-26'!DI101</f>
        <v>1113.1824</v>
      </c>
      <c r="BZ242" s="1062">
        <f>'No Recurrentes 24-26'!DJ101</f>
        <v>0</v>
      </c>
      <c r="CA242" s="1062">
        <f>'No Recurrentes 24-26'!DK101</f>
        <v>0</v>
      </c>
      <c r="CB242" s="1062">
        <f>'No Recurrentes 24-26'!DL101</f>
        <v>0</v>
      </c>
      <c r="CC242" s="1062">
        <f>'No Recurrentes 24-26'!DM101</f>
        <v>0</v>
      </c>
      <c r="CD242" s="1062">
        <f>'No Recurrentes 24-26'!DN101</f>
        <v>0</v>
      </c>
      <c r="CE242" s="1062">
        <f>'No Recurrentes 24-26'!DO101</f>
        <v>0</v>
      </c>
      <c r="CF242" s="1062">
        <f>'No Recurrentes 24-26'!DP101</f>
        <v>0</v>
      </c>
      <c r="CG242" s="1062">
        <f>'No Recurrentes 24-26'!DQ101</f>
        <v>0</v>
      </c>
      <c r="CH242" s="1062">
        <f>'No Recurrentes 24-26'!DR101</f>
        <v>0</v>
      </c>
      <c r="CI242" s="1068"/>
      <c r="CJ242" s="1062">
        <f>'No Recurrentes 24-26'!DS101</f>
        <v>1113.1824</v>
      </c>
      <c r="CK242" s="1062">
        <f>'No Recurrentes 24-26'!DT101</f>
        <v>3339.5472</v>
      </c>
      <c r="CL242" s="1064" t="str">
        <f>'No Recurrentes 24-26'!DU101</f>
        <v/>
      </c>
      <c r="CM242" s="1064" t="str">
        <f>'No Recurrentes 24-26'!DV101</f>
        <v/>
      </c>
      <c r="CN242" s="1065">
        <f>'No Recurrentes 24-26'!EI100</f>
        <v>55.42</v>
      </c>
      <c r="CO242" s="1065">
        <f>'No Recurrentes 24-26'!EJ100</f>
        <v>47.11</v>
      </c>
      <c r="CP242" s="1060" t="str">
        <f>'No Recurrentes 24-26'!EK100</f>
        <v/>
      </c>
    </row>
    <row r="243">
      <c r="A243" s="451" t="str">
        <f>'No Recurrentes 24-26'!A102</f>
        <v>Repuestos Electromecánicos no recurrentes</v>
      </c>
      <c r="B243" s="451">
        <f>'No Recurrentes 24-26'!B102</f>
        <v>2</v>
      </c>
      <c r="C243" s="451" t="str">
        <f>'No Recurrentes 24-26'!C102</f>
        <v>Estación</v>
      </c>
      <c r="D243" s="451" t="str">
        <f>'No Recurrentes 24-26'!D102</f>
        <v>Manto. Eléctrico</v>
      </c>
      <c r="E243" s="451" t="str">
        <f>'No Recurrentes 24-26'!E102</f>
        <v>Repuesto Eléctrico</v>
      </c>
      <c r="F243" s="451" t="str">
        <f>'No Recurrentes 24-26'!F102</f>
        <v>TDB</v>
      </c>
      <c r="G243" s="1061" t="str">
        <f>'No Recurrentes 24-26'!G102</f>
        <v>39700</v>
      </c>
      <c r="H243" s="1061" t="str">
        <f>'No Recurrentes 24-26'!H102</f>
        <v>2-02-00106</v>
      </c>
      <c r="I243" s="1061" t="str">
        <f>'No Recurrentes 24-26'!I102</f>
        <v>10763604</v>
      </c>
      <c r="J243" s="1061" t="str">
        <f>'No Recurrentes 24-26'!J102</f>
        <v>CONTACTOR KG3-18A10.24  24V/CC (1 CIERRE) BENEDIKT&amp;JAEGER</v>
      </c>
      <c r="K243" s="451" t="str">
        <f>'No Recurrentes 24-26'!K102</f>
        <v>Pza</v>
      </c>
      <c r="L243" s="451" t="str">
        <f>'No Recurrentes 24-26'!BC102</f>
        <v/>
      </c>
      <c r="M243" s="451" t="str">
        <f>'No Recurrentes 24-26'!BD102</f>
        <v/>
      </c>
      <c r="N243" s="451" t="str">
        <f>'No Recurrentes 24-26'!BE102</f>
        <v/>
      </c>
      <c r="O243" s="451" t="str">
        <f>'No Recurrentes 24-26'!BF102</f>
        <v/>
      </c>
      <c r="P243" s="451" t="str">
        <f>'No Recurrentes 24-26'!BG102</f>
        <v/>
      </c>
      <c r="Q243" s="451" t="str">
        <f>'No Recurrentes 24-26'!BH102</f>
        <v/>
      </c>
      <c r="R243" s="451">
        <f>'No Recurrentes 24-26'!BI102</f>
        <v>1</v>
      </c>
      <c r="S243" s="451" t="str">
        <f>'No Recurrentes 24-26'!BJ102</f>
        <v/>
      </c>
      <c r="T243" s="451" t="str">
        <f>'No Recurrentes 24-26'!BK102</f>
        <v/>
      </c>
      <c r="U243" s="451" t="str">
        <f>'No Recurrentes 24-26'!BL102</f>
        <v/>
      </c>
      <c r="V243" s="1068"/>
      <c r="W243" s="1062">
        <f>'No Recurrentes 24-26'!BM102</f>
        <v>1</v>
      </c>
      <c r="X243" s="1062" t="str">
        <f>'No Recurrentes 24-26'!BN102</f>
        <v/>
      </c>
      <c r="Y243" s="1062" t="str">
        <f>'No Recurrentes 24-26'!BO102</f>
        <v/>
      </c>
      <c r="Z243" s="1062" t="str">
        <f>'No Recurrentes 24-26'!BP102</f>
        <v/>
      </c>
      <c r="AA243" s="1062">
        <f>'No Recurrentes 24-26'!BQ102</f>
        <v>1</v>
      </c>
      <c r="AB243" s="1062">
        <f>'No Recurrentes 24-26'!BR102</f>
        <v>1</v>
      </c>
      <c r="AC243" s="1062" t="str">
        <f>'No Recurrentes 24-26'!BS102</f>
        <v/>
      </c>
      <c r="AD243" s="1062" t="str">
        <f>'No Recurrentes 24-26'!BT102</f>
        <v/>
      </c>
      <c r="AE243" s="1062" t="str">
        <f>'No Recurrentes 24-26'!BU102</f>
        <v/>
      </c>
      <c r="AF243" s="1062" t="str">
        <f>'No Recurrentes 24-26'!BV102</f>
        <v/>
      </c>
      <c r="AG243" s="1062" t="str">
        <f>'No Recurrentes 24-26'!BW102</f>
        <v/>
      </c>
      <c r="AH243" s="1068"/>
      <c r="AI243" s="1062">
        <f>'No Recurrentes 24-26'!BX102</f>
        <v>2</v>
      </c>
      <c r="AJ243" s="1062">
        <f>'No Recurrentes 24-26'!BY102</f>
        <v>1</v>
      </c>
      <c r="AK243" s="1062">
        <f>'No Recurrentes 24-26'!BZ102</f>
        <v>0</v>
      </c>
      <c r="AL243" s="1062">
        <f>'No Recurrentes 24-26'!CA102</f>
        <v>1</v>
      </c>
      <c r="AM243" s="1062">
        <f>'No Recurrentes 24-26'!CB102</f>
        <v>1</v>
      </c>
      <c r="AN243" s="1062">
        <f>'No Recurrentes 24-26'!CC102</f>
        <v>1</v>
      </c>
      <c r="AO243" s="1062">
        <f>'No Recurrentes 24-26'!CD102</f>
        <v>0</v>
      </c>
      <c r="AP243" s="1062">
        <f>'No Recurrentes 24-26'!CE102</f>
        <v>0</v>
      </c>
      <c r="AQ243" s="1062">
        <f>'No Recurrentes 24-26'!CF102</f>
        <v>0</v>
      </c>
      <c r="AR243" s="1062">
        <f>'No Recurrentes 24-26'!CG102</f>
        <v>0</v>
      </c>
      <c r="AS243" s="1062">
        <f>'No Recurrentes 24-26'!CH102</f>
        <v>0</v>
      </c>
      <c r="AT243" s="1068"/>
      <c r="AU243" s="1062">
        <f>'No Recurrentes 24-26'!CI102</f>
        <v>4</v>
      </c>
      <c r="AV243" s="1063">
        <f>'No Recurrentes 24-26'!CJ102</f>
        <v>7</v>
      </c>
      <c r="AW243" s="1068"/>
      <c r="AX243" s="1065">
        <f>'No Recurrentes 24-26'!CK102</f>
        <v>144.09</v>
      </c>
      <c r="AY243" s="1062">
        <f>'No Recurrentes 24-26'!CL102</f>
        <v>1002.8664</v>
      </c>
      <c r="AZ243" s="1068"/>
      <c r="BA243" s="1062">
        <f>'No Recurrentes 24-26'!CM102</f>
        <v>0</v>
      </c>
      <c r="BB243" s="1062">
        <f>'No Recurrentes 24-26'!CN102</f>
        <v>0</v>
      </c>
      <c r="BC243" s="1062">
        <f>'No Recurrentes 24-26'!CO102</f>
        <v>0</v>
      </c>
      <c r="BD243" s="1062">
        <f>'No Recurrentes 24-26'!CP102</f>
        <v>0</v>
      </c>
      <c r="BE243" s="1062">
        <f>'No Recurrentes 24-26'!CQ102</f>
        <v>0</v>
      </c>
      <c r="BF243" s="1062">
        <f>'No Recurrentes 24-26'!CR102</f>
        <v>0</v>
      </c>
      <c r="BG243" s="1062">
        <f>'No Recurrentes 24-26'!CS102</f>
        <v>1002.8664</v>
      </c>
      <c r="BH243" s="1062">
        <f>'No Recurrentes 24-26'!CT102</f>
        <v>0</v>
      </c>
      <c r="BI243" s="1062">
        <f>'No Recurrentes 24-26'!CU102</f>
        <v>0</v>
      </c>
      <c r="BJ243" s="1062">
        <f>'No Recurrentes 24-26'!CV102</f>
        <v>0</v>
      </c>
      <c r="BK243" s="1068"/>
      <c r="BL243" s="1062">
        <f>'No Recurrentes 24-26'!CW102</f>
        <v>1002.8664</v>
      </c>
      <c r="BM243" s="1062">
        <f>'No Recurrentes 24-26'!CX102</f>
        <v>0</v>
      </c>
      <c r="BN243" s="1062">
        <f>'No Recurrentes 24-26'!CY102</f>
        <v>0</v>
      </c>
      <c r="BO243" s="1062">
        <f>'No Recurrentes 24-26'!CZ102</f>
        <v>0</v>
      </c>
      <c r="BP243" s="1062">
        <f>'No Recurrentes 24-26'!DA102</f>
        <v>1002.8664</v>
      </c>
      <c r="BQ243" s="1062">
        <f>'No Recurrentes 24-26'!DB102</f>
        <v>1002.8664</v>
      </c>
      <c r="BR243" s="1062">
        <f>'No Recurrentes 24-26'!DC102</f>
        <v>0</v>
      </c>
      <c r="BS243" s="1062">
        <f>'No Recurrentes 24-26'!DD102</f>
        <v>0</v>
      </c>
      <c r="BT243" s="1062">
        <f>'No Recurrentes 24-26'!DE102</f>
        <v>0</v>
      </c>
      <c r="BU243" s="1062">
        <f>'No Recurrentes 24-26'!DF102</f>
        <v>0</v>
      </c>
      <c r="BV243" s="1062">
        <f>'No Recurrentes 24-26'!DG102</f>
        <v>0</v>
      </c>
      <c r="BW243" s="1068"/>
      <c r="BX243" s="1062">
        <f>'No Recurrentes 24-26'!DH102</f>
        <v>2005.7328</v>
      </c>
      <c r="BY243" s="1062">
        <f>'No Recurrentes 24-26'!DI102</f>
        <v>1002.8664</v>
      </c>
      <c r="BZ243" s="1062">
        <f>'No Recurrentes 24-26'!DJ102</f>
        <v>0</v>
      </c>
      <c r="CA243" s="1062">
        <f>'No Recurrentes 24-26'!DK102</f>
        <v>1002.8664</v>
      </c>
      <c r="CB243" s="1062">
        <f>'No Recurrentes 24-26'!DL102</f>
        <v>1002.8664</v>
      </c>
      <c r="CC243" s="1062">
        <f>'No Recurrentes 24-26'!DM102</f>
        <v>1002.8664</v>
      </c>
      <c r="CD243" s="1062">
        <f>'No Recurrentes 24-26'!DN102</f>
        <v>0</v>
      </c>
      <c r="CE243" s="1062">
        <f>'No Recurrentes 24-26'!DO102</f>
        <v>0</v>
      </c>
      <c r="CF243" s="1062">
        <f>'No Recurrentes 24-26'!DP102</f>
        <v>0</v>
      </c>
      <c r="CG243" s="1062">
        <f>'No Recurrentes 24-26'!DQ102</f>
        <v>0</v>
      </c>
      <c r="CH243" s="1062">
        <f>'No Recurrentes 24-26'!DR102</f>
        <v>0</v>
      </c>
      <c r="CI243" s="1068"/>
      <c r="CJ243" s="1062">
        <f>'No Recurrentes 24-26'!DS102</f>
        <v>4011.4656</v>
      </c>
      <c r="CK243" s="1062">
        <f>'No Recurrentes 24-26'!DT102</f>
        <v>7020.0648</v>
      </c>
      <c r="CL243" s="1064" t="str">
        <f>'No Recurrentes 24-26'!DU102</f>
        <v/>
      </c>
      <c r="CM243" s="1064" t="str">
        <f>'No Recurrentes 24-26'!DV102</f>
        <v/>
      </c>
      <c r="CN243" s="1065">
        <f>'No Recurrentes 24-26'!EI101</f>
        <v>159.94</v>
      </c>
      <c r="CO243" s="1065">
        <f>'No Recurrentes 24-26'!EJ101</f>
        <v>135.95</v>
      </c>
      <c r="CP243" s="1060" t="str">
        <f>'No Recurrentes 24-26'!EK101</f>
        <v/>
      </c>
    </row>
    <row r="244">
      <c r="A244" s="451" t="str">
        <f>'No Recurrentes 24-26'!A103</f>
        <v>Repuestos Electromecánicos no recurrentes</v>
      </c>
      <c r="B244" s="451">
        <f>'No Recurrentes 24-26'!B103</f>
        <v>2</v>
      </c>
      <c r="C244" s="451" t="str">
        <f>'No Recurrentes 24-26'!C103</f>
        <v>Estación</v>
      </c>
      <c r="D244" s="451" t="str">
        <f>'No Recurrentes 24-26'!D103</f>
        <v>Manto. Eléctrico</v>
      </c>
      <c r="E244" s="451" t="str">
        <f>'No Recurrentes 24-26'!E103</f>
        <v>Repuesto Eléctrico</v>
      </c>
      <c r="F244" s="451" t="str">
        <f>'No Recurrentes 24-26'!F103</f>
        <v>TDB</v>
      </c>
      <c r="G244" s="1061" t="str">
        <f>'No Recurrentes 24-26'!G103</f>
        <v>39700</v>
      </c>
      <c r="H244" s="1061" t="str">
        <f>'No Recurrentes 24-26'!H103</f>
        <v>2-02-00006</v>
      </c>
      <c r="I244" s="1061" t="str">
        <f>'No Recurrentes 24-26'!I103</f>
        <v>11174868</v>
      </c>
      <c r="J244" s="1061" t="str">
        <f>'No Recurrentes 24-26'!J103</f>
        <v>INTERR.PROT.MOTOR  0,25- 0,40A MS132-0.4-HKF1-11 1CI+1AP ABB</v>
      </c>
      <c r="K244" s="451" t="str">
        <f>'No Recurrentes 24-26'!K103</f>
        <v>Pza</v>
      </c>
      <c r="L244" s="451" t="str">
        <f>'No Recurrentes 24-26'!BC103</f>
        <v/>
      </c>
      <c r="M244" s="451" t="str">
        <f>'No Recurrentes 24-26'!BD103</f>
        <v/>
      </c>
      <c r="N244" s="451" t="str">
        <f>'No Recurrentes 24-26'!BE103</f>
        <v/>
      </c>
      <c r="O244" s="451" t="str">
        <f>'No Recurrentes 24-26'!BF103</f>
        <v/>
      </c>
      <c r="P244" s="451" t="str">
        <f>'No Recurrentes 24-26'!BG103</f>
        <v/>
      </c>
      <c r="Q244" s="451" t="str">
        <f>'No Recurrentes 24-26'!BH103</f>
        <v/>
      </c>
      <c r="R244" s="451">
        <f>'No Recurrentes 24-26'!BI103</f>
        <v>1</v>
      </c>
      <c r="S244" s="451" t="str">
        <f>'No Recurrentes 24-26'!BJ103</f>
        <v/>
      </c>
      <c r="T244" s="451" t="str">
        <f>'No Recurrentes 24-26'!BK103</f>
        <v/>
      </c>
      <c r="U244" s="451" t="str">
        <f>'No Recurrentes 24-26'!BL103</f>
        <v/>
      </c>
      <c r="V244" s="1068"/>
      <c r="W244" s="1062">
        <f>'No Recurrentes 24-26'!BM103</f>
        <v>1</v>
      </c>
      <c r="X244" s="1062" t="str">
        <f>'No Recurrentes 24-26'!BN103</f>
        <v/>
      </c>
      <c r="Y244" s="1062" t="str">
        <f>'No Recurrentes 24-26'!BO103</f>
        <v/>
      </c>
      <c r="Z244" s="1062" t="str">
        <f>'No Recurrentes 24-26'!BP103</f>
        <v/>
      </c>
      <c r="AA244" s="1062">
        <f>'No Recurrentes 24-26'!BQ103</f>
        <v>1</v>
      </c>
      <c r="AB244" s="1062">
        <f>'No Recurrentes 24-26'!BR103</f>
        <v>1</v>
      </c>
      <c r="AC244" s="1062" t="str">
        <f>'No Recurrentes 24-26'!BS103</f>
        <v/>
      </c>
      <c r="AD244" s="1062" t="str">
        <f>'No Recurrentes 24-26'!BT103</f>
        <v/>
      </c>
      <c r="AE244" s="1062" t="str">
        <f>'No Recurrentes 24-26'!BU103</f>
        <v/>
      </c>
      <c r="AF244" s="1062" t="str">
        <f>'No Recurrentes 24-26'!BV103</f>
        <v/>
      </c>
      <c r="AG244" s="1062" t="str">
        <f>'No Recurrentes 24-26'!BW103</f>
        <v/>
      </c>
      <c r="AH244" s="1068"/>
      <c r="AI244" s="1062">
        <f>'No Recurrentes 24-26'!BX103</f>
        <v>2</v>
      </c>
      <c r="AJ244" s="1062">
        <f>'No Recurrentes 24-26'!BY103</f>
        <v>1</v>
      </c>
      <c r="AK244" s="1062">
        <f>'No Recurrentes 24-26'!BZ103</f>
        <v>0</v>
      </c>
      <c r="AL244" s="1062">
        <f>'No Recurrentes 24-26'!CA103</f>
        <v>1</v>
      </c>
      <c r="AM244" s="1062">
        <f>'No Recurrentes 24-26'!CB103</f>
        <v>1</v>
      </c>
      <c r="AN244" s="1062">
        <f>'No Recurrentes 24-26'!CC103</f>
        <v>1</v>
      </c>
      <c r="AO244" s="1062">
        <f>'No Recurrentes 24-26'!CD103</f>
        <v>0</v>
      </c>
      <c r="AP244" s="1062">
        <f>'No Recurrentes 24-26'!CE103</f>
        <v>0</v>
      </c>
      <c r="AQ244" s="1062">
        <f>'No Recurrentes 24-26'!CF103</f>
        <v>0</v>
      </c>
      <c r="AR244" s="1062">
        <f>'No Recurrentes 24-26'!CG103</f>
        <v>0</v>
      </c>
      <c r="AS244" s="1062">
        <f>'No Recurrentes 24-26'!CH103</f>
        <v>0</v>
      </c>
      <c r="AT244" s="1068"/>
      <c r="AU244" s="1062">
        <f>'No Recurrentes 24-26'!CI103</f>
        <v>4</v>
      </c>
      <c r="AV244" s="1063">
        <f>'No Recurrentes 24-26'!CJ103</f>
        <v>7</v>
      </c>
      <c r="AW244" s="1068"/>
      <c r="AX244" s="1065">
        <f>'No Recurrentes 24-26'!CK103</f>
        <v>133.91</v>
      </c>
      <c r="AY244" s="1062">
        <f>'No Recurrentes 24-26'!CL103</f>
        <v>932.0136</v>
      </c>
      <c r="AZ244" s="1068"/>
      <c r="BA244" s="1062">
        <f>'No Recurrentes 24-26'!CM103</f>
        <v>0</v>
      </c>
      <c r="BB244" s="1062">
        <f>'No Recurrentes 24-26'!CN103</f>
        <v>0</v>
      </c>
      <c r="BC244" s="1062">
        <f>'No Recurrentes 24-26'!CO103</f>
        <v>0</v>
      </c>
      <c r="BD244" s="1062">
        <f>'No Recurrentes 24-26'!CP103</f>
        <v>0</v>
      </c>
      <c r="BE244" s="1062">
        <f>'No Recurrentes 24-26'!CQ103</f>
        <v>0</v>
      </c>
      <c r="BF244" s="1062">
        <f>'No Recurrentes 24-26'!CR103</f>
        <v>0</v>
      </c>
      <c r="BG244" s="1062">
        <f>'No Recurrentes 24-26'!CS103</f>
        <v>932.0136</v>
      </c>
      <c r="BH244" s="1062">
        <f>'No Recurrentes 24-26'!CT103</f>
        <v>0</v>
      </c>
      <c r="BI244" s="1062">
        <f>'No Recurrentes 24-26'!CU103</f>
        <v>0</v>
      </c>
      <c r="BJ244" s="1062">
        <f>'No Recurrentes 24-26'!CV103</f>
        <v>0</v>
      </c>
      <c r="BK244" s="1068"/>
      <c r="BL244" s="1062">
        <f>'No Recurrentes 24-26'!CW103</f>
        <v>932.0136</v>
      </c>
      <c r="BM244" s="1062">
        <f>'No Recurrentes 24-26'!CX103</f>
        <v>0</v>
      </c>
      <c r="BN244" s="1062">
        <f>'No Recurrentes 24-26'!CY103</f>
        <v>0</v>
      </c>
      <c r="BO244" s="1062">
        <f>'No Recurrentes 24-26'!CZ103</f>
        <v>0</v>
      </c>
      <c r="BP244" s="1062">
        <f>'No Recurrentes 24-26'!DA103</f>
        <v>932.0136</v>
      </c>
      <c r="BQ244" s="1062">
        <f>'No Recurrentes 24-26'!DB103</f>
        <v>932.0136</v>
      </c>
      <c r="BR244" s="1062">
        <f>'No Recurrentes 24-26'!DC103</f>
        <v>0</v>
      </c>
      <c r="BS244" s="1062">
        <f>'No Recurrentes 24-26'!DD103</f>
        <v>0</v>
      </c>
      <c r="BT244" s="1062">
        <f>'No Recurrentes 24-26'!DE103</f>
        <v>0</v>
      </c>
      <c r="BU244" s="1062">
        <f>'No Recurrentes 24-26'!DF103</f>
        <v>0</v>
      </c>
      <c r="BV244" s="1062">
        <f>'No Recurrentes 24-26'!DG103</f>
        <v>0</v>
      </c>
      <c r="BW244" s="1068"/>
      <c r="BX244" s="1062">
        <f>'No Recurrentes 24-26'!DH103</f>
        <v>1864.0272</v>
      </c>
      <c r="BY244" s="1062">
        <f>'No Recurrentes 24-26'!DI103</f>
        <v>932.0136</v>
      </c>
      <c r="BZ244" s="1062">
        <f>'No Recurrentes 24-26'!DJ103</f>
        <v>0</v>
      </c>
      <c r="CA244" s="1062">
        <f>'No Recurrentes 24-26'!DK103</f>
        <v>932.0136</v>
      </c>
      <c r="CB244" s="1062">
        <f>'No Recurrentes 24-26'!DL103</f>
        <v>932.0136</v>
      </c>
      <c r="CC244" s="1062">
        <f>'No Recurrentes 24-26'!DM103</f>
        <v>932.0136</v>
      </c>
      <c r="CD244" s="1062">
        <f>'No Recurrentes 24-26'!DN103</f>
        <v>0</v>
      </c>
      <c r="CE244" s="1062">
        <f>'No Recurrentes 24-26'!DO103</f>
        <v>0</v>
      </c>
      <c r="CF244" s="1062">
        <f>'No Recurrentes 24-26'!DP103</f>
        <v>0</v>
      </c>
      <c r="CG244" s="1062">
        <f>'No Recurrentes 24-26'!DQ103</f>
        <v>0</v>
      </c>
      <c r="CH244" s="1062">
        <f>'No Recurrentes 24-26'!DR103</f>
        <v>0</v>
      </c>
      <c r="CI244" s="1068"/>
      <c r="CJ244" s="1062">
        <f>'No Recurrentes 24-26'!DS103</f>
        <v>3728.0544</v>
      </c>
      <c r="CK244" s="1062">
        <f>'No Recurrentes 24-26'!DT103</f>
        <v>6524.0952</v>
      </c>
      <c r="CL244" s="1064" t="str">
        <f>'No Recurrentes 24-26'!DU103</f>
        <v/>
      </c>
      <c r="CM244" s="1064" t="str">
        <f>'No Recurrentes 24-26'!DV103</f>
        <v/>
      </c>
      <c r="CN244" s="1065">
        <f>'No Recurrentes 24-26'!EI102</f>
        <v>144.09</v>
      </c>
      <c r="CO244" s="1065">
        <f>'No Recurrentes 24-26'!EJ102</f>
        <v>122.48</v>
      </c>
      <c r="CP244" s="1060" t="str">
        <f>'No Recurrentes 24-26'!EK102</f>
        <v/>
      </c>
    </row>
    <row r="245">
      <c r="A245" s="451" t="str">
        <f>'No Recurrentes 24-26'!A104</f>
        <v>Repuestos Electromecánicos no recurrentes</v>
      </c>
      <c r="B245" s="451">
        <f>'No Recurrentes 24-26'!B104</f>
        <v>2</v>
      </c>
      <c r="C245" s="451" t="str">
        <f>'No Recurrentes 24-26'!C104</f>
        <v>Estación</v>
      </c>
      <c r="D245" s="451" t="str">
        <f>'No Recurrentes 24-26'!D104</f>
        <v>Manto. Eléctrico</v>
      </c>
      <c r="E245" s="451" t="str">
        <f>'No Recurrentes 24-26'!E104</f>
        <v>Repuesto Eléctrico</v>
      </c>
      <c r="F245" s="451" t="str">
        <f>'No Recurrentes 24-26'!F104</f>
        <v>TDB</v>
      </c>
      <c r="G245" s="1061" t="str">
        <f>'No Recurrentes 24-26'!G104</f>
        <v>39700</v>
      </c>
      <c r="H245" s="1061" t="str">
        <f>'No Recurrentes 24-26'!H104</f>
        <v>2-02-00007</v>
      </c>
      <c r="I245" s="1061" t="str">
        <f>'No Recurrentes 24-26'!I104</f>
        <v>11174869</v>
      </c>
      <c r="J245" s="1061" t="str">
        <f>'No Recurrentes 24-26'!J104</f>
        <v>INTERR.PROT.MOTOR  0,40- 0,63A MS132-0.63-HKF1-11 1CI+1AP ABB</v>
      </c>
      <c r="K245" s="451" t="str">
        <f>'No Recurrentes 24-26'!K104</f>
        <v>Pza</v>
      </c>
      <c r="L245" s="451" t="str">
        <f>'No Recurrentes 24-26'!BC104</f>
        <v/>
      </c>
      <c r="M245" s="451" t="str">
        <f>'No Recurrentes 24-26'!BD104</f>
        <v/>
      </c>
      <c r="N245" s="451" t="str">
        <f>'No Recurrentes 24-26'!BE104</f>
        <v/>
      </c>
      <c r="O245" s="451" t="str">
        <f>'No Recurrentes 24-26'!BF104</f>
        <v/>
      </c>
      <c r="P245" s="451" t="str">
        <f>'No Recurrentes 24-26'!BG104</f>
        <v/>
      </c>
      <c r="Q245" s="451" t="str">
        <f>'No Recurrentes 24-26'!BH104</f>
        <v/>
      </c>
      <c r="R245" s="451">
        <f>'No Recurrentes 24-26'!BI104</f>
        <v>1</v>
      </c>
      <c r="S245" s="451" t="str">
        <f>'No Recurrentes 24-26'!BJ104</f>
        <v/>
      </c>
      <c r="T245" s="451" t="str">
        <f>'No Recurrentes 24-26'!BK104</f>
        <v/>
      </c>
      <c r="U245" s="451" t="str">
        <f>'No Recurrentes 24-26'!BL104</f>
        <v/>
      </c>
      <c r="V245" s="1068"/>
      <c r="W245" s="1062">
        <f>'No Recurrentes 24-26'!BM104</f>
        <v>1</v>
      </c>
      <c r="X245" s="1062" t="str">
        <f>'No Recurrentes 24-26'!BN104</f>
        <v/>
      </c>
      <c r="Y245" s="1062" t="str">
        <f>'No Recurrentes 24-26'!BO104</f>
        <v/>
      </c>
      <c r="Z245" s="1062" t="str">
        <f>'No Recurrentes 24-26'!BP104</f>
        <v/>
      </c>
      <c r="AA245" s="1062">
        <f>'No Recurrentes 24-26'!BQ104</f>
        <v>1</v>
      </c>
      <c r="AB245" s="1062">
        <f>'No Recurrentes 24-26'!BR104</f>
        <v>1</v>
      </c>
      <c r="AC245" s="1062" t="str">
        <f>'No Recurrentes 24-26'!BS104</f>
        <v/>
      </c>
      <c r="AD245" s="1062" t="str">
        <f>'No Recurrentes 24-26'!BT104</f>
        <v/>
      </c>
      <c r="AE245" s="1062" t="str">
        <f>'No Recurrentes 24-26'!BU104</f>
        <v/>
      </c>
      <c r="AF245" s="1062" t="str">
        <f>'No Recurrentes 24-26'!BV104</f>
        <v/>
      </c>
      <c r="AG245" s="1062" t="str">
        <f>'No Recurrentes 24-26'!BW104</f>
        <v/>
      </c>
      <c r="AH245" s="1068"/>
      <c r="AI245" s="1062">
        <f>'No Recurrentes 24-26'!BX104</f>
        <v>2</v>
      </c>
      <c r="AJ245" s="1062">
        <f>'No Recurrentes 24-26'!BY104</f>
        <v>1</v>
      </c>
      <c r="AK245" s="1062">
        <f>'No Recurrentes 24-26'!BZ104</f>
        <v>0</v>
      </c>
      <c r="AL245" s="1062">
        <f>'No Recurrentes 24-26'!CA104</f>
        <v>1</v>
      </c>
      <c r="AM245" s="1062">
        <f>'No Recurrentes 24-26'!CB104</f>
        <v>1</v>
      </c>
      <c r="AN245" s="1062">
        <f>'No Recurrentes 24-26'!CC104</f>
        <v>1</v>
      </c>
      <c r="AO245" s="1062">
        <f>'No Recurrentes 24-26'!CD104</f>
        <v>0</v>
      </c>
      <c r="AP245" s="1062">
        <f>'No Recurrentes 24-26'!CE104</f>
        <v>0</v>
      </c>
      <c r="AQ245" s="1062">
        <f>'No Recurrentes 24-26'!CF104</f>
        <v>0</v>
      </c>
      <c r="AR245" s="1062">
        <f>'No Recurrentes 24-26'!CG104</f>
        <v>0</v>
      </c>
      <c r="AS245" s="1062">
        <f>'No Recurrentes 24-26'!CH104</f>
        <v>0</v>
      </c>
      <c r="AT245" s="1068"/>
      <c r="AU245" s="1062">
        <f>'No Recurrentes 24-26'!CI104</f>
        <v>4</v>
      </c>
      <c r="AV245" s="1063">
        <f>'No Recurrentes 24-26'!CJ104</f>
        <v>7</v>
      </c>
      <c r="AW245" s="1068"/>
      <c r="AX245" s="1065">
        <f>'No Recurrentes 24-26'!CK104</f>
        <v>133.91</v>
      </c>
      <c r="AY245" s="1062">
        <f>'No Recurrentes 24-26'!CL104</f>
        <v>932.0136</v>
      </c>
      <c r="AZ245" s="1068"/>
      <c r="BA245" s="1062">
        <f>'No Recurrentes 24-26'!CM104</f>
        <v>0</v>
      </c>
      <c r="BB245" s="1062">
        <f>'No Recurrentes 24-26'!CN104</f>
        <v>0</v>
      </c>
      <c r="BC245" s="1062">
        <f>'No Recurrentes 24-26'!CO104</f>
        <v>0</v>
      </c>
      <c r="BD245" s="1062">
        <f>'No Recurrentes 24-26'!CP104</f>
        <v>0</v>
      </c>
      <c r="BE245" s="1062">
        <f>'No Recurrentes 24-26'!CQ104</f>
        <v>0</v>
      </c>
      <c r="BF245" s="1062">
        <f>'No Recurrentes 24-26'!CR104</f>
        <v>0</v>
      </c>
      <c r="BG245" s="1062">
        <f>'No Recurrentes 24-26'!CS104</f>
        <v>932.0136</v>
      </c>
      <c r="BH245" s="1062">
        <f>'No Recurrentes 24-26'!CT104</f>
        <v>0</v>
      </c>
      <c r="BI245" s="1062">
        <f>'No Recurrentes 24-26'!CU104</f>
        <v>0</v>
      </c>
      <c r="BJ245" s="1062">
        <f>'No Recurrentes 24-26'!CV104</f>
        <v>0</v>
      </c>
      <c r="BK245" s="1068"/>
      <c r="BL245" s="1062">
        <f>'No Recurrentes 24-26'!CW104</f>
        <v>932.0136</v>
      </c>
      <c r="BM245" s="1062">
        <f>'No Recurrentes 24-26'!CX104</f>
        <v>0</v>
      </c>
      <c r="BN245" s="1062">
        <f>'No Recurrentes 24-26'!CY104</f>
        <v>0</v>
      </c>
      <c r="BO245" s="1062">
        <f>'No Recurrentes 24-26'!CZ104</f>
        <v>0</v>
      </c>
      <c r="BP245" s="1062">
        <f>'No Recurrentes 24-26'!DA104</f>
        <v>932.0136</v>
      </c>
      <c r="BQ245" s="1062">
        <f>'No Recurrentes 24-26'!DB104</f>
        <v>932.0136</v>
      </c>
      <c r="BR245" s="1062">
        <f>'No Recurrentes 24-26'!DC104</f>
        <v>0</v>
      </c>
      <c r="BS245" s="1062">
        <f>'No Recurrentes 24-26'!DD104</f>
        <v>0</v>
      </c>
      <c r="BT245" s="1062">
        <f>'No Recurrentes 24-26'!DE104</f>
        <v>0</v>
      </c>
      <c r="BU245" s="1062">
        <f>'No Recurrentes 24-26'!DF104</f>
        <v>0</v>
      </c>
      <c r="BV245" s="1062">
        <f>'No Recurrentes 24-26'!DG104</f>
        <v>0</v>
      </c>
      <c r="BW245" s="1068"/>
      <c r="BX245" s="1062">
        <f>'No Recurrentes 24-26'!DH104</f>
        <v>1864.0272</v>
      </c>
      <c r="BY245" s="1062">
        <f>'No Recurrentes 24-26'!DI104</f>
        <v>932.0136</v>
      </c>
      <c r="BZ245" s="1062">
        <f>'No Recurrentes 24-26'!DJ104</f>
        <v>0</v>
      </c>
      <c r="CA245" s="1062">
        <f>'No Recurrentes 24-26'!DK104</f>
        <v>932.0136</v>
      </c>
      <c r="CB245" s="1062">
        <f>'No Recurrentes 24-26'!DL104</f>
        <v>932.0136</v>
      </c>
      <c r="CC245" s="1062">
        <f>'No Recurrentes 24-26'!DM104</f>
        <v>932.0136</v>
      </c>
      <c r="CD245" s="1062">
        <f>'No Recurrentes 24-26'!DN104</f>
        <v>0</v>
      </c>
      <c r="CE245" s="1062">
        <f>'No Recurrentes 24-26'!DO104</f>
        <v>0</v>
      </c>
      <c r="CF245" s="1062">
        <f>'No Recurrentes 24-26'!DP104</f>
        <v>0</v>
      </c>
      <c r="CG245" s="1062">
        <f>'No Recurrentes 24-26'!DQ104</f>
        <v>0</v>
      </c>
      <c r="CH245" s="1062">
        <f>'No Recurrentes 24-26'!DR104</f>
        <v>0</v>
      </c>
      <c r="CI245" s="1068"/>
      <c r="CJ245" s="1062">
        <f>'No Recurrentes 24-26'!DS104</f>
        <v>3728.0544</v>
      </c>
      <c r="CK245" s="1062">
        <f>'No Recurrentes 24-26'!DT104</f>
        <v>6524.0952</v>
      </c>
      <c r="CL245" s="1064" t="str">
        <f>'No Recurrentes 24-26'!DU104</f>
        <v/>
      </c>
      <c r="CM245" s="1064" t="str">
        <f>'No Recurrentes 24-26'!DV104</f>
        <v/>
      </c>
      <c r="CN245" s="1065">
        <f>'No Recurrentes 24-26'!EI103</f>
        <v>133.91</v>
      </c>
      <c r="CO245" s="1065">
        <f>'No Recurrentes 24-26'!EJ103</f>
        <v>113.82</v>
      </c>
      <c r="CP245" s="1060" t="str">
        <f>'No Recurrentes 24-26'!EK103</f>
        <v/>
      </c>
    </row>
    <row r="246">
      <c r="A246" s="451" t="str">
        <f>'No Recurrentes 24-26'!A105</f>
        <v>Repuestos Electromecánicos no recurrentes</v>
      </c>
      <c r="B246" s="451">
        <f>'No Recurrentes 24-26'!B105</f>
        <v>2</v>
      </c>
      <c r="C246" s="451" t="str">
        <f>'No Recurrentes 24-26'!C105</f>
        <v>Estación</v>
      </c>
      <c r="D246" s="451" t="str">
        <f>'No Recurrentes 24-26'!D105</f>
        <v>Manto. Eléctrico</v>
      </c>
      <c r="E246" s="451" t="str">
        <f>'No Recurrentes 24-26'!E105</f>
        <v>Repuesto Eléctrico</v>
      </c>
      <c r="F246" s="451" t="str">
        <f>'No Recurrentes 24-26'!F105</f>
        <v>TDB</v>
      </c>
      <c r="G246" s="1061" t="str">
        <f>'No Recurrentes 24-26'!G105</f>
        <v>39700</v>
      </c>
      <c r="H246" s="1061" t="str">
        <f>'No Recurrentes 24-26'!H105</f>
        <v>2-02-00028</v>
      </c>
      <c r="I246" s="1061" t="str">
        <f>'No Recurrentes 24-26'!I105</f>
        <v>10756000</v>
      </c>
      <c r="J246" s="1061" t="str">
        <f>'No Recurrentes 24-26'!J105</f>
        <v>BLOQUE DE CONTACTO AUXILIAR 5ST3 010  1T +1R   SIEMENS</v>
      </c>
      <c r="K246" s="451" t="str">
        <f>'No Recurrentes 24-26'!K105</f>
        <v>Pza</v>
      </c>
      <c r="L246" s="451" t="str">
        <f>'No Recurrentes 24-26'!BC105</f>
        <v/>
      </c>
      <c r="M246" s="451" t="str">
        <f>'No Recurrentes 24-26'!BD105</f>
        <v/>
      </c>
      <c r="N246" s="451" t="str">
        <f>'No Recurrentes 24-26'!BE105</f>
        <v/>
      </c>
      <c r="O246" s="451">
        <f>'No Recurrentes 24-26'!BF105</f>
        <v>1</v>
      </c>
      <c r="P246" s="451">
        <f>'No Recurrentes 24-26'!BG105</f>
        <v>1</v>
      </c>
      <c r="Q246" s="451">
        <f>'No Recurrentes 24-26'!BH105</f>
        <v>1</v>
      </c>
      <c r="R246" s="451" t="str">
        <f>'No Recurrentes 24-26'!BI105</f>
        <v/>
      </c>
      <c r="S246" s="451" t="str">
        <f>'No Recurrentes 24-26'!BJ105</f>
        <v/>
      </c>
      <c r="T246" s="451" t="str">
        <f>'No Recurrentes 24-26'!BK105</f>
        <v/>
      </c>
      <c r="U246" s="451" t="str">
        <f>'No Recurrentes 24-26'!BL105</f>
        <v/>
      </c>
      <c r="V246" s="1068"/>
      <c r="W246" s="1062">
        <f>'No Recurrentes 24-26'!BM105</f>
        <v>3</v>
      </c>
      <c r="X246" s="1062" t="str">
        <f>'No Recurrentes 24-26'!BN105</f>
        <v/>
      </c>
      <c r="Y246" s="1062" t="str">
        <f>'No Recurrentes 24-26'!BO105</f>
        <v/>
      </c>
      <c r="Z246" s="1062" t="str">
        <f>'No Recurrentes 24-26'!BP105</f>
        <v/>
      </c>
      <c r="AA246" s="1062" t="str">
        <f>'No Recurrentes 24-26'!BQ105</f>
        <v/>
      </c>
      <c r="AB246" s="1062" t="str">
        <f>'No Recurrentes 24-26'!BR105</f>
        <v/>
      </c>
      <c r="AC246" s="1062" t="str">
        <f>'No Recurrentes 24-26'!BS105</f>
        <v/>
      </c>
      <c r="AD246" s="1062" t="str">
        <f>'No Recurrentes 24-26'!BT105</f>
        <v/>
      </c>
      <c r="AE246" s="1062" t="str">
        <f>'No Recurrentes 24-26'!BU105</f>
        <v/>
      </c>
      <c r="AF246" s="1062" t="str">
        <f>'No Recurrentes 24-26'!BV105</f>
        <v/>
      </c>
      <c r="AG246" s="1062" t="str">
        <f>'No Recurrentes 24-26'!BW105</f>
        <v/>
      </c>
      <c r="AH246" s="1068"/>
      <c r="AI246" s="1062">
        <f>'No Recurrentes 24-26'!BX105</f>
        <v>0</v>
      </c>
      <c r="AJ246" s="1062">
        <f>'No Recurrentes 24-26'!BY105</f>
        <v>0</v>
      </c>
      <c r="AK246" s="1062">
        <f>'No Recurrentes 24-26'!BZ105</f>
        <v>0</v>
      </c>
      <c r="AL246" s="1062">
        <f>'No Recurrentes 24-26'!CA105</f>
        <v>0</v>
      </c>
      <c r="AM246" s="1062">
        <f>'No Recurrentes 24-26'!CB105</f>
        <v>1</v>
      </c>
      <c r="AN246" s="1062">
        <f>'No Recurrentes 24-26'!CC105</f>
        <v>1</v>
      </c>
      <c r="AO246" s="1062">
        <f>'No Recurrentes 24-26'!CD105</f>
        <v>1</v>
      </c>
      <c r="AP246" s="1062">
        <f>'No Recurrentes 24-26'!CE105</f>
        <v>0</v>
      </c>
      <c r="AQ246" s="1062">
        <f>'No Recurrentes 24-26'!CF105</f>
        <v>0</v>
      </c>
      <c r="AR246" s="1062">
        <f>'No Recurrentes 24-26'!CG105</f>
        <v>0</v>
      </c>
      <c r="AS246" s="1062">
        <f>'No Recurrentes 24-26'!CH105</f>
        <v>0</v>
      </c>
      <c r="AT246" s="1068"/>
      <c r="AU246" s="1062">
        <f>'No Recurrentes 24-26'!CI105</f>
        <v>3</v>
      </c>
      <c r="AV246" s="1063">
        <f>'No Recurrentes 24-26'!CJ105</f>
        <v>6</v>
      </c>
      <c r="AW246" s="1068"/>
      <c r="AX246" s="1065">
        <f>'No Recurrentes 24-26'!CK105</f>
        <v>33.65</v>
      </c>
      <c r="AY246" s="1062">
        <f>'No Recurrentes 24-26'!CL105</f>
        <v>234.204</v>
      </c>
      <c r="AZ246" s="1068"/>
      <c r="BA246" s="1062">
        <f>'No Recurrentes 24-26'!CM105</f>
        <v>0</v>
      </c>
      <c r="BB246" s="1062">
        <f>'No Recurrentes 24-26'!CN105</f>
        <v>0</v>
      </c>
      <c r="BC246" s="1062">
        <f>'No Recurrentes 24-26'!CO105</f>
        <v>0</v>
      </c>
      <c r="BD246" s="1062">
        <f>'No Recurrentes 24-26'!CP105</f>
        <v>234.204</v>
      </c>
      <c r="BE246" s="1062">
        <f>'No Recurrentes 24-26'!CQ105</f>
        <v>234.204</v>
      </c>
      <c r="BF246" s="1062">
        <f>'No Recurrentes 24-26'!CR105</f>
        <v>234.204</v>
      </c>
      <c r="BG246" s="1062">
        <f>'No Recurrentes 24-26'!CS105</f>
        <v>0</v>
      </c>
      <c r="BH246" s="1062">
        <f>'No Recurrentes 24-26'!CT105</f>
        <v>0</v>
      </c>
      <c r="BI246" s="1062">
        <f>'No Recurrentes 24-26'!CU105</f>
        <v>0</v>
      </c>
      <c r="BJ246" s="1062">
        <f>'No Recurrentes 24-26'!CV105</f>
        <v>0</v>
      </c>
      <c r="BK246" s="1068"/>
      <c r="BL246" s="1062">
        <f>'No Recurrentes 24-26'!CW105</f>
        <v>702.612</v>
      </c>
      <c r="BM246" s="1062">
        <f>'No Recurrentes 24-26'!CX105</f>
        <v>0</v>
      </c>
      <c r="BN246" s="1062">
        <f>'No Recurrentes 24-26'!CY105</f>
        <v>0</v>
      </c>
      <c r="BO246" s="1062">
        <f>'No Recurrentes 24-26'!CZ105</f>
        <v>0</v>
      </c>
      <c r="BP246" s="1062">
        <f>'No Recurrentes 24-26'!DA105</f>
        <v>0</v>
      </c>
      <c r="BQ246" s="1062">
        <f>'No Recurrentes 24-26'!DB105</f>
        <v>0</v>
      </c>
      <c r="BR246" s="1062">
        <f>'No Recurrentes 24-26'!DC105</f>
        <v>0</v>
      </c>
      <c r="BS246" s="1062">
        <f>'No Recurrentes 24-26'!DD105</f>
        <v>0</v>
      </c>
      <c r="BT246" s="1062">
        <f>'No Recurrentes 24-26'!DE105</f>
        <v>0</v>
      </c>
      <c r="BU246" s="1062">
        <f>'No Recurrentes 24-26'!DF105</f>
        <v>0</v>
      </c>
      <c r="BV246" s="1062">
        <f>'No Recurrentes 24-26'!DG105</f>
        <v>0</v>
      </c>
      <c r="BW246" s="1068"/>
      <c r="BX246" s="1062">
        <f>'No Recurrentes 24-26'!DH105</f>
        <v>0</v>
      </c>
      <c r="BY246" s="1062">
        <f>'No Recurrentes 24-26'!DI105</f>
        <v>0</v>
      </c>
      <c r="BZ246" s="1062">
        <f>'No Recurrentes 24-26'!DJ105</f>
        <v>0</v>
      </c>
      <c r="CA246" s="1062">
        <f>'No Recurrentes 24-26'!DK105</f>
        <v>0</v>
      </c>
      <c r="CB246" s="1062">
        <f>'No Recurrentes 24-26'!DL105</f>
        <v>234.204</v>
      </c>
      <c r="CC246" s="1062">
        <f>'No Recurrentes 24-26'!DM105</f>
        <v>234.204</v>
      </c>
      <c r="CD246" s="1062">
        <f>'No Recurrentes 24-26'!DN105</f>
        <v>234.204</v>
      </c>
      <c r="CE246" s="1062">
        <f>'No Recurrentes 24-26'!DO105</f>
        <v>0</v>
      </c>
      <c r="CF246" s="1062">
        <f>'No Recurrentes 24-26'!DP105</f>
        <v>0</v>
      </c>
      <c r="CG246" s="1062">
        <f>'No Recurrentes 24-26'!DQ105</f>
        <v>0</v>
      </c>
      <c r="CH246" s="1062">
        <f>'No Recurrentes 24-26'!DR105</f>
        <v>0</v>
      </c>
      <c r="CI246" s="1068"/>
      <c r="CJ246" s="1062">
        <f>'No Recurrentes 24-26'!DS105</f>
        <v>702.612</v>
      </c>
      <c r="CK246" s="1062">
        <f>'No Recurrentes 24-26'!DT105</f>
        <v>1405.224</v>
      </c>
      <c r="CL246" s="1064" t="str">
        <f>'No Recurrentes 24-26'!DU105</f>
        <v/>
      </c>
      <c r="CM246" s="1064" t="str">
        <f>'No Recurrentes 24-26'!DV105</f>
        <v/>
      </c>
      <c r="CN246" s="1065">
        <f>'No Recurrentes 24-26'!EI104</f>
        <v>133.91</v>
      </c>
      <c r="CO246" s="1065">
        <f>'No Recurrentes 24-26'!EJ104</f>
        <v>113.82</v>
      </c>
      <c r="CP246" s="1060" t="str">
        <f>'No Recurrentes 24-26'!EK104</f>
        <v/>
      </c>
    </row>
    <row r="247">
      <c r="A247" s="451" t="str">
        <f>'No Recurrentes 24-26'!A106</f>
        <v>Repuestos Electromecánicos no recurrentes</v>
      </c>
      <c r="B247" s="451">
        <f>'No Recurrentes 24-26'!B106</f>
        <v>2</v>
      </c>
      <c r="C247" s="451" t="str">
        <f>'No Recurrentes 24-26'!C106</f>
        <v>Estación</v>
      </c>
      <c r="D247" s="451" t="str">
        <f>'No Recurrentes 24-26'!D106</f>
        <v>Manto. Eléctrico</v>
      </c>
      <c r="E247" s="451" t="str">
        <f>'No Recurrentes 24-26'!E106</f>
        <v>Repuesto Eléctrico</v>
      </c>
      <c r="F247" s="451" t="str">
        <f>'No Recurrentes 24-26'!F106</f>
        <v>TDB</v>
      </c>
      <c r="G247" s="1061" t="str">
        <f>'No Recurrentes 24-26'!G106</f>
        <v>39700</v>
      </c>
      <c r="H247" s="1061" t="str">
        <f>'No Recurrentes 24-26'!H106</f>
        <v/>
      </c>
      <c r="I247" s="1061" t="str">
        <f>'No Recurrentes 24-26'!I106</f>
        <v>10755946</v>
      </c>
      <c r="J247" s="1061" t="str">
        <f>'No Recurrentes 24-26'!J106</f>
        <v>FUSIBLE AUTOMÁT. CA/CC 5SY6 120-7 UNIPOL./20A/CURVA C SIEMENS</v>
      </c>
      <c r="K247" s="451" t="str">
        <f>'No Recurrentes 24-26'!K106</f>
        <v>Pza</v>
      </c>
      <c r="L247" s="451" t="str">
        <f>'No Recurrentes 24-26'!BC106</f>
        <v/>
      </c>
      <c r="M247" s="451" t="str">
        <f>'No Recurrentes 24-26'!BD106</f>
        <v/>
      </c>
      <c r="N247" s="451" t="str">
        <f>'No Recurrentes 24-26'!BE106</f>
        <v/>
      </c>
      <c r="O247" s="451">
        <f>'No Recurrentes 24-26'!BF106</f>
        <v>1</v>
      </c>
      <c r="P247" s="451">
        <f>'No Recurrentes 24-26'!BG106</f>
        <v>1</v>
      </c>
      <c r="Q247" s="451">
        <f>'No Recurrentes 24-26'!BH106</f>
        <v>1</v>
      </c>
      <c r="R247" s="451" t="str">
        <f>'No Recurrentes 24-26'!BI106</f>
        <v/>
      </c>
      <c r="S247" s="451" t="str">
        <f>'No Recurrentes 24-26'!BJ106</f>
        <v/>
      </c>
      <c r="T247" s="451" t="str">
        <f>'No Recurrentes 24-26'!BK106</f>
        <v/>
      </c>
      <c r="U247" s="451" t="str">
        <f>'No Recurrentes 24-26'!BL106</f>
        <v/>
      </c>
      <c r="V247" s="1068"/>
      <c r="W247" s="1062">
        <f>'No Recurrentes 24-26'!BM106</f>
        <v>3</v>
      </c>
      <c r="X247" s="1062" t="str">
        <f>'No Recurrentes 24-26'!BN106</f>
        <v/>
      </c>
      <c r="Y247" s="1062" t="str">
        <f>'No Recurrentes 24-26'!BO106</f>
        <v/>
      </c>
      <c r="Z247" s="1062" t="str">
        <f>'No Recurrentes 24-26'!BP106</f>
        <v/>
      </c>
      <c r="AA247" s="1062" t="str">
        <f>'No Recurrentes 24-26'!BQ106</f>
        <v/>
      </c>
      <c r="AB247" s="1062" t="str">
        <f>'No Recurrentes 24-26'!BR106</f>
        <v/>
      </c>
      <c r="AC247" s="1062" t="str">
        <f>'No Recurrentes 24-26'!BS106</f>
        <v/>
      </c>
      <c r="AD247" s="1062" t="str">
        <f>'No Recurrentes 24-26'!BT106</f>
        <v/>
      </c>
      <c r="AE247" s="1062" t="str">
        <f>'No Recurrentes 24-26'!BU106</f>
        <v/>
      </c>
      <c r="AF247" s="1062" t="str">
        <f>'No Recurrentes 24-26'!BV106</f>
        <v/>
      </c>
      <c r="AG247" s="1062" t="str">
        <f>'No Recurrentes 24-26'!BW106</f>
        <v/>
      </c>
      <c r="AH247" s="1068"/>
      <c r="AI247" s="1062">
        <f>'No Recurrentes 24-26'!BX106</f>
        <v>0</v>
      </c>
      <c r="AJ247" s="1062">
        <f>'No Recurrentes 24-26'!BY106</f>
        <v>0</v>
      </c>
      <c r="AK247" s="1062">
        <f>'No Recurrentes 24-26'!BZ106</f>
        <v>0</v>
      </c>
      <c r="AL247" s="1062">
        <f>'No Recurrentes 24-26'!CA106</f>
        <v>0</v>
      </c>
      <c r="AM247" s="1062">
        <f>'No Recurrentes 24-26'!CB106</f>
        <v>1</v>
      </c>
      <c r="AN247" s="1062">
        <f>'No Recurrentes 24-26'!CC106</f>
        <v>1</v>
      </c>
      <c r="AO247" s="1062">
        <f>'No Recurrentes 24-26'!CD106</f>
        <v>1</v>
      </c>
      <c r="AP247" s="1062">
        <f>'No Recurrentes 24-26'!CE106</f>
        <v>0</v>
      </c>
      <c r="AQ247" s="1062">
        <f>'No Recurrentes 24-26'!CF106</f>
        <v>0</v>
      </c>
      <c r="AR247" s="1062">
        <f>'No Recurrentes 24-26'!CG106</f>
        <v>0</v>
      </c>
      <c r="AS247" s="1062">
        <f>'No Recurrentes 24-26'!CH106</f>
        <v>0</v>
      </c>
      <c r="AT247" s="1068"/>
      <c r="AU247" s="1062">
        <f>'No Recurrentes 24-26'!CI106</f>
        <v>3</v>
      </c>
      <c r="AV247" s="1063">
        <f>'No Recurrentes 24-26'!CJ106</f>
        <v>6</v>
      </c>
      <c r="AW247" s="1068"/>
      <c r="AX247" s="1065">
        <f>'No Recurrentes 24-26'!CK106</f>
        <v>19.19</v>
      </c>
      <c r="AY247" s="1062">
        <f>'No Recurrentes 24-26'!CL106</f>
        <v>133.5624</v>
      </c>
      <c r="AZ247" s="1068"/>
      <c r="BA247" s="1062">
        <f>'No Recurrentes 24-26'!CM106</f>
        <v>0</v>
      </c>
      <c r="BB247" s="1062">
        <f>'No Recurrentes 24-26'!CN106</f>
        <v>0</v>
      </c>
      <c r="BC247" s="1062">
        <f>'No Recurrentes 24-26'!CO106</f>
        <v>0</v>
      </c>
      <c r="BD247" s="1062">
        <f>'No Recurrentes 24-26'!CP106</f>
        <v>133.5624</v>
      </c>
      <c r="BE247" s="1062">
        <f>'No Recurrentes 24-26'!CQ106</f>
        <v>133.5624</v>
      </c>
      <c r="BF247" s="1062">
        <f>'No Recurrentes 24-26'!CR106</f>
        <v>133.5624</v>
      </c>
      <c r="BG247" s="1062">
        <f>'No Recurrentes 24-26'!CS106</f>
        <v>0</v>
      </c>
      <c r="BH247" s="1062">
        <f>'No Recurrentes 24-26'!CT106</f>
        <v>0</v>
      </c>
      <c r="BI247" s="1062">
        <f>'No Recurrentes 24-26'!CU106</f>
        <v>0</v>
      </c>
      <c r="BJ247" s="1062">
        <f>'No Recurrentes 24-26'!CV106</f>
        <v>0</v>
      </c>
      <c r="BK247" s="1068"/>
      <c r="BL247" s="1062">
        <f>'No Recurrentes 24-26'!CW106</f>
        <v>400.6872</v>
      </c>
      <c r="BM247" s="1062">
        <f>'No Recurrentes 24-26'!CX106</f>
        <v>0</v>
      </c>
      <c r="BN247" s="1062">
        <f>'No Recurrentes 24-26'!CY106</f>
        <v>0</v>
      </c>
      <c r="BO247" s="1062">
        <f>'No Recurrentes 24-26'!CZ106</f>
        <v>0</v>
      </c>
      <c r="BP247" s="1062">
        <f>'No Recurrentes 24-26'!DA106</f>
        <v>0</v>
      </c>
      <c r="BQ247" s="1062">
        <f>'No Recurrentes 24-26'!DB106</f>
        <v>0</v>
      </c>
      <c r="BR247" s="1062">
        <f>'No Recurrentes 24-26'!DC106</f>
        <v>0</v>
      </c>
      <c r="BS247" s="1062">
        <f>'No Recurrentes 24-26'!DD106</f>
        <v>0</v>
      </c>
      <c r="BT247" s="1062">
        <f>'No Recurrentes 24-26'!DE106</f>
        <v>0</v>
      </c>
      <c r="BU247" s="1062">
        <f>'No Recurrentes 24-26'!DF106</f>
        <v>0</v>
      </c>
      <c r="BV247" s="1062">
        <f>'No Recurrentes 24-26'!DG106</f>
        <v>0</v>
      </c>
      <c r="BW247" s="1068"/>
      <c r="BX247" s="1062">
        <f>'No Recurrentes 24-26'!DH106</f>
        <v>0</v>
      </c>
      <c r="BY247" s="1062">
        <f>'No Recurrentes 24-26'!DI106</f>
        <v>0</v>
      </c>
      <c r="BZ247" s="1062">
        <f>'No Recurrentes 24-26'!DJ106</f>
        <v>0</v>
      </c>
      <c r="CA247" s="1062">
        <f>'No Recurrentes 24-26'!DK106</f>
        <v>0</v>
      </c>
      <c r="CB247" s="1062">
        <f>'No Recurrentes 24-26'!DL106</f>
        <v>133.5624</v>
      </c>
      <c r="CC247" s="1062">
        <f>'No Recurrentes 24-26'!DM106</f>
        <v>133.5624</v>
      </c>
      <c r="CD247" s="1062">
        <f>'No Recurrentes 24-26'!DN106</f>
        <v>133.5624</v>
      </c>
      <c r="CE247" s="1062">
        <f>'No Recurrentes 24-26'!DO106</f>
        <v>0</v>
      </c>
      <c r="CF247" s="1062">
        <f>'No Recurrentes 24-26'!DP106</f>
        <v>0</v>
      </c>
      <c r="CG247" s="1062">
        <f>'No Recurrentes 24-26'!DQ106</f>
        <v>0</v>
      </c>
      <c r="CH247" s="1062">
        <f>'No Recurrentes 24-26'!DR106</f>
        <v>0</v>
      </c>
      <c r="CI247" s="1068"/>
      <c r="CJ247" s="1062">
        <f>'No Recurrentes 24-26'!DS106</f>
        <v>400.6872</v>
      </c>
      <c r="CK247" s="1062">
        <f>'No Recurrentes 24-26'!DT106</f>
        <v>801.3744</v>
      </c>
      <c r="CL247" s="1064" t="str">
        <f>'No Recurrentes 24-26'!DU106</f>
        <v/>
      </c>
      <c r="CM247" s="1064" t="str">
        <f>'No Recurrentes 24-26'!DV106</f>
        <v/>
      </c>
      <c r="CN247" s="1065">
        <f>'No Recurrentes 24-26'!EI105</f>
        <v>33.65</v>
      </c>
      <c r="CO247" s="1065">
        <f>'No Recurrentes 24-26'!EJ105</f>
        <v>28.6</v>
      </c>
      <c r="CP247" s="1060" t="str">
        <f>'No Recurrentes 24-26'!EK105</f>
        <v/>
      </c>
    </row>
    <row r="248">
      <c r="A248" s="451" t="str">
        <f>'No Recurrentes 24-26'!A107</f>
        <v>Repuestos Electromecánicos no recurrentes</v>
      </c>
      <c r="B248" s="451">
        <f>'No Recurrentes 24-26'!B107</f>
        <v>2</v>
      </c>
      <c r="C248" s="451" t="str">
        <f>'No Recurrentes 24-26'!C107</f>
        <v>Estación</v>
      </c>
      <c r="D248" s="451" t="str">
        <f>'No Recurrentes 24-26'!D107</f>
        <v>Manto. Eléctrico</v>
      </c>
      <c r="E248" s="451" t="str">
        <f>'No Recurrentes 24-26'!E107</f>
        <v>Repuesto Eléctrico</v>
      </c>
      <c r="F248" s="451" t="str">
        <f>'No Recurrentes 24-26'!F107</f>
        <v>TDB</v>
      </c>
      <c r="G248" s="1061" t="str">
        <f>'No Recurrentes 24-26'!G107</f>
        <v>39700</v>
      </c>
      <c r="H248" s="1061" t="str">
        <f>'No Recurrentes 24-26'!H107</f>
        <v>2-02-00149</v>
      </c>
      <c r="I248" s="1061" t="str">
        <f>'No Recurrentes 24-26'!I107</f>
        <v>10169784</v>
      </c>
      <c r="J248" s="1061" t="str">
        <f>'No Recurrentes 24-26'!J107</f>
        <v>ENCHUFE POTEN.GDM 3009 3-AFIL. DIN 43650-A/ISO4400</v>
      </c>
      <c r="K248" s="451" t="str">
        <f>'No Recurrentes 24-26'!K107</f>
        <v>Pza</v>
      </c>
      <c r="L248" s="451" t="str">
        <f>'No Recurrentes 24-26'!BC107</f>
        <v/>
      </c>
      <c r="M248" s="451" t="str">
        <f>'No Recurrentes 24-26'!BD107</f>
        <v/>
      </c>
      <c r="N248" s="451" t="str">
        <f>'No Recurrentes 24-26'!BE107</f>
        <v/>
      </c>
      <c r="O248" s="451" t="str">
        <f>'No Recurrentes 24-26'!BF107</f>
        <v/>
      </c>
      <c r="P248" s="451" t="str">
        <f>'No Recurrentes 24-26'!BG107</f>
        <v/>
      </c>
      <c r="Q248" s="451" t="str">
        <f>'No Recurrentes 24-26'!BH107</f>
        <v/>
      </c>
      <c r="R248" s="451">
        <f>'No Recurrentes 24-26'!BI107</f>
        <v>2</v>
      </c>
      <c r="S248" s="451">
        <f>'No Recurrentes 24-26'!BJ107</f>
        <v>2</v>
      </c>
      <c r="T248" s="451" t="str">
        <f>'No Recurrentes 24-26'!BK107</f>
        <v/>
      </c>
      <c r="U248" s="451">
        <f>'No Recurrentes 24-26'!BL107</f>
        <v>2</v>
      </c>
      <c r="V248" s="1068"/>
      <c r="W248" s="1062">
        <f>'No Recurrentes 24-26'!BM107</f>
        <v>6</v>
      </c>
      <c r="X248" s="1062">
        <f>'No Recurrentes 24-26'!BN107</f>
        <v>1</v>
      </c>
      <c r="Y248" s="1062" t="str">
        <f>'No Recurrentes 24-26'!BO107</f>
        <v/>
      </c>
      <c r="Z248" s="1062">
        <f>'No Recurrentes 24-26'!BP107</f>
        <v>1</v>
      </c>
      <c r="AA248" s="1062" t="str">
        <f>'No Recurrentes 24-26'!BQ107</f>
        <v/>
      </c>
      <c r="AB248" s="1062" t="str">
        <f>'No Recurrentes 24-26'!BR107</f>
        <v/>
      </c>
      <c r="AC248" s="1062" t="str">
        <f>'No Recurrentes 24-26'!BS107</f>
        <v/>
      </c>
      <c r="AD248" s="1062" t="str">
        <f>'No Recurrentes 24-26'!BT107</f>
        <v/>
      </c>
      <c r="AE248" s="1062" t="str">
        <f>'No Recurrentes 24-26'!BU107</f>
        <v/>
      </c>
      <c r="AF248" s="1062" t="str">
        <f>'No Recurrentes 24-26'!BV107</f>
        <v/>
      </c>
      <c r="AG248" s="1062" t="str">
        <f>'No Recurrentes 24-26'!BW107</f>
        <v/>
      </c>
      <c r="AH248" s="1068"/>
      <c r="AI248" s="1062">
        <f>'No Recurrentes 24-26'!BX107</f>
        <v>2</v>
      </c>
      <c r="AJ248" s="1062">
        <f>'No Recurrentes 24-26'!BY107</f>
        <v>0</v>
      </c>
      <c r="AK248" s="1062">
        <f>'No Recurrentes 24-26'!BZ107</f>
        <v>1</v>
      </c>
      <c r="AL248" s="1062">
        <f>'No Recurrentes 24-26'!CA107</f>
        <v>2</v>
      </c>
      <c r="AM248" s="1062">
        <f>'No Recurrentes 24-26'!CB107</f>
        <v>0</v>
      </c>
      <c r="AN248" s="1062">
        <f>'No Recurrentes 24-26'!CC107</f>
        <v>0</v>
      </c>
      <c r="AO248" s="1062">
        <f>'No Recurrentes 24-26'!CD107</f>
        <v>0</v>
      </c>
      <c r="AP248" s="1062">
        <f>'No Recurrentes 24-26'!CE107</f>
        <v>2</v>
      </c>
      <c r="AQ248" s="1062">
        <f>'No Recurrentes 24-26'!CF107</f>
        <v>2</v>
      </c>
      <c r="AR248" s="1062">
        <f>'No Recurrentes 24-26'!CG107</f>
        <v>0</v>
      </c>
      <c r="AS248" s="1062">
        <f>'No Recurrentes 24-26'!CH107</f>
        <v>2</v>
      </c>
      <c r="AT248" s="1068"/>
      <c r="AU248" s="1062">
        <f>'No Recurrentes 24-26'!CI107</f>
        <v>9</v>
      </c>
      <c r="AV248" s="1063">
        <f>'No Recurrentes 24-26'!CJ107</f>
        <v>17</v>
      </c>
      <c r="AW248" s="1068"/>
      <c r="AX248" s="1065">
        <f>'No Recurrentes 24-26'!CK107</f>
        <v>7.19</v>
      </c>
      <c r="AY248" s="1062">
        <f>'No Recurrentes 24-26'!CL107</f>
        <v>50.0424</v>
      </c>
      <c r="AZ248" s="1068"/>
      <c r="BA248" s="1062">
        <f>'No Recurrentes 24-26'!CM107</f>
        <v>0</v>
      </c>
      <c r="BB248" s="1062">
        <f>'No Recurrentes 24-26'!CN107</f>
        <v>0</v>
      </c>
      <c r="BC248" s="1062">
        <f>'No Recurrentes 24-26'!CO107</f>
        <v>0</v>
      </c>
      <c r="BD248" s="1062">
        <f>'No Recurrentes 24-26'!CP107</f>
        <v>0</v>
      </c>
      <c r="BE248" s="1062">
        <f>'No Recurrentes 24-26'!CQ107</f>
        <v>0</v>
      </c>
      <c r="BF248" s="1062">
        <f>'No Recurrentes 24-26'!CR107</f>
        <v>0</v>
      </c>
      <c r="BG248" s="1062">
        <f>'No Recurrentes 24-26'!CS107</f>
        <v>100.0848</v>
      </c>
      <c r="BH248" s="1062">
        <f>'No Recurrentes 24-26'!CT107</f>
        <v>100.0848</v>
      </c>
      <c r="BI248" s="1062">
        <f>'No Recurrentes 24-26'!CU107</f>
        <v>0</v>
      </c>
      <c r="BJ248" s="1062">
        <f>'No Recurrentes 24-26'!CV107</f>
        <v>100.0848</v>
      </c>
      <c r="BK248" s="1068"/>
      <c r="BL248" s="1062">
        <f>'No Recurrentes 24-26'!CW107</f>
        <v>300.2544</v>
      </c>
      <c r="BM248" s="1062">
        <f>'No Recurrentes 24-26'!CX107</f>
        <v>50.0424</v>
      </c>
      <c r="BN248" s="1062">
        <f>'No Recurrentes 24-26'!CY107</f>
        <v>0</v>
      </c>
      <c r="BO248" s="1062">
        <f>'No Recurrentes 24-26'!CZ107</f>
        <v>50.0424</v>
      </c>
      <c r="BP248" s="1062">
        <f>'No Recurrentes 24-26'!DA107</f>
        <v>0</v>
      </c>
      <c r="BQ248" s="1062">
        <f>'No Recurrentes 24-26'!DB107</f>
        <v>0</v>
      </c>
      <c r="BR248" s="1062">
        <f>'No Recurrentes 24-26'!DC107</f>
        <v>0</v>
      </c>
      <c r="BS248" s="1062">
        <f>'No Recurrentes 24-26'!DD107</f>
        <v>0</v>
      </c>
      <c r="BT248" s="1062">
        <f>'No Recurrentes 24-26'!DE107</f>
        <v>0</v>
      </c>
      <c r="BU248" s="1062">
        <f>'No Recurrentes 24-26'!DF107</f>
        <v>0</v>
      </c>
      <c r="BV248" s="1062">
        <f>'No Recurrentes 24-26'!DG107</f>
        <v>0</v>
      </c>
      <c r="BW248" s="1068"/>
      <c r="BX248" s="1062">
        <f>'No Recurrentes 24-26'!DH107</f>
        <v>100.0848</v>
      </c>
      <c r="BY248" s="1062">
        <f>'No Recurrentes 24-26'!DI107</f>
        <v>0</v>
      </c>
      <c r="BZ248" s="1062">
        <f>'No Recurrentes 24-26'!DJ107</f>
        <v>50.0424</v>
      </c>
      <c r="CA248" s="1062">
        <f>'No Recurrentes 24-26'!DK107</f>
        <v>100.0848</v>
      </c>
      <c r="CB248" s="1062">
        <f>'No Recurrentes 24-26'!DL107</f>
        <v>0</v>
      </c>
      <c r="CC248" s="1062">
        <f>'No Recurrentes 24-26'!DM107</f>
        <v>0</v>
      </c>
      <c r="CD248" s="1062">
        <f>'No Recurrentes 24-26'!DN107</f>
        <v>0</v>
      </c>
      <c r="CE248" s="1062">
        <f>'No Recurrentes 24-26'!DO107</f>
        <v>100.0848</v>
      </c>
      <c r="CF248" s="1062">
        <f>'No Recurrentes 24-26'!DP107</f>
        <v>100.0848</v>
      </c>
      <c r="CG248" s="1062">
        <f>'No Recurrentes 24-26'!DQ107</f>
        <v>0</v>
      </c>
      <c r="CH248" s="1062">
        <f>'No Recurrentes 24-26'!DR107</f>
        <v>100.0848</v>
      </c>
      <c r="CI248" s="1068"/>
      <c r="CJ248" s="1062">
        <f>'No Recurrentes 24-26'!DS107</f>
        <v>450.3816</v>
      </c>
      <c r="CK248" s="1062">
        <f>'No Recurrentes 24-26'!DT107</f>
        <v>850.7208</v>
      </c>
      <c r="CL248" s="1064" t="str">
        <f>'No Recurrentes 24-26'!DU107</f>
        <v/>
      </c>
      <c r="CM248" s="1064" t="str">
        <f>'No Recurrentes 24-26'!DV107</f>
        <v/>
      </c>
      <c r="CN248" s="1065">
        <f>'No Recurrentes 24-26'!EI106</f>
        <v>19.19</v>
      </c>
      <c r="CO248" s="1065">
        <f>'No Recurrentes 24-26'!EJ106</f>
        <v>16.31</v>
      </c>
      <c r="CP248" s="1060" t="str">
        <f>'No Recurrentes 24-26'!EK106</f>
        <v/>
      </c>
    </row>
    <row r="249">
      <c r="A249" s="451" t="str">
        <f>'No Recurrentes 24-26'!A108</f>
        <v>Repuestos Electromecánicos no recurrentes</v>
      </c>
      <c r="B249" s="451">
        <f>'No Recurrentes 24-26'!B108</f>
        <v>2</v>
      </c>
      <c r="C249" s="451" t="str">
        <f>'No Recurrentes 24-26'!C108</f>
        <v>Estación</v>
      </c>
      <c r="D249" s="451" t="str">
        <f>'No Recurrentes 24-26'!D108</f>
        <v>Manto. Eléctrico</v>
      </c>
      <c r="E249" s="451" t="str">
        <f>'No Recurrentes 24-26'!E108</f>
        <v>Repuesto Eléctrico</v>
      </c>
      <c r="F249" s="451" t="str">
        <f>'No Recurrentes 24-26'!F108</f>
        <v>TDB</v>
      </c>
      <c r="G249" s="1061" t="str">
        <f>'No Recurrentes 24-26'!G108</f>
        <v>39700</v>
      </c>
      <c r="H249" s="1061" t="str">
        <f>'No Recurrentes 24-26'!H108</f>
        <v>2-02-00161</v>
      </c>
      <c r="I249" s="1061" t="str">
        <f>'No Recurrentes 24-26'!I108</f>
        <v>10269267</v>
      </c>
      <c r="J249" s="1061" t="str">
        <f>'No Recurrentes 24-26'!J108</f>
        <v>MICRORELÉ    MY4ZIN1 24VCC     CONTACTO INVERSOR DE 14 POLOS</v>
      </c>
      <c r="K249" s="451" t="str">
        <f>'No Recurrentes 24-26'!K108</f>
        <v>Pza</v>
      </c>
      <c r="L249" s="451" t="str">
        <f>'No Recurrentes 24-26'!BC108</f>
        <v/>
      </c>
      <c r="M249" s="451" t="str">
        <f>'No Recurrentes 24-26'!BD108</f>
        <v/>
      </c>
      <c r="N249" s="451" t="str">
        <f>'No Recurrentes 24-26'!BE108</f>
        <v/>
      </c>
      <c r="O249" s="451" t="str">
        <f>'No Recurrentes 24-26'!BF108</f>
        <v/>
      </c>
      <c r="P249" s="451" t="str">
        <f>'No Recurrentes 24-26'!BG108</f>
        <v/>
      </c>
      <c r="Q249" s="451" t="str">
        <f>'No Recurrentes 24-26'!BH108</f>
        <v/>
      </c>
      <c r="R249" s="451" t="str">
        <f>'No Recurrentes 24-26'!BI108</f>
        <v/>
      </c>
      <c r="S249" s="451">
        <f>'No Recurrentes 24-26'!BJ108</f>
        <v>1</v>
      </c>
      <c r="T249" s="451" t="str">
        <f>'No Recurrentes 24-26'!BK108</f>
        <v/>
      </c>
      <c r="U249" s="451" t="str">
        <f>'No Recurrentes 24-26'!BL108</f>
        <v/>
      </c>
      <c r="V249" s="1068"/>
      <c r="W249" s="1062">
        <f>'No Recurrentes 24-26'!BM108</f>
        <v>1</v>
      </c>
      <c r="X249" s="1062" t="str">
        <f>'No Recurrentes 24-26'!BN108</f>
        <v/>
      </c>
      <c r="Y249" s="1062" t="str">
        <f>'No Recurrentes 24-26'!BO108</f>
        <v/>
      </c>
      <c r="Z249" s="1062" t="str">
        <f>'No Recurrentes 24-26'!BP108</f>
        <v/>
      </c>
      <c r="AA249" s="1062" t="str">
        <f>'No Recurrentes 24-26'!BQ108</f>
        <v/>
      </c>
      <c r="AB249" s="1062" t="str">
        <f>'No Recurrentes 24-26'!BR108</f>
        <v/>
      </c>
      <c r="AC249" s="1062" t="str">
        <f>'No Recurrentes 24-26'!BS108</f>
        <v/>
      </c>
      <c r="AD249" s="1062" t="str">
        <f>'No Recurrentes 24-26'!BT108</f>
        <v/>
      </c>
      <c r="AE249" s="1062" t="str">
        <f>'No Recurrentes 24-26'!BU108</f>
        <v/>
      </c>
      <c r="AF249" s="1062" t="str">
        <f>'No Recurrentes 24-26'!BV108</f>
        <v/>
      </c>
      <c r="AG249" s="1062" t="str">
        <f>'No Recurrentes 24-26'!BW108</f>
        <v/>
      </c>
      <c r="AH249" s="1068"/>
      <c r="AI249" s="1062">
        <f>'No Recurrentes 24-26'!BX108</f>
        <v>0</v>
      </c>
      <c r="AJ249" s="1062">
        <f>'No Recurrentes 24-26'!BY108</f>
        <v>0</v>
      </c>
      <c r="AK249" s="1062">
        <f>'No Recurrentes 24-26'!BZ108</f>
        <v>0</v>
      </c>
      <c r="AL249" s="1062">
        <f>'No Recurrentes 24-26'!CA108</f>
        <v>0</v>
      </c>
      <c r="AM249" s="1062">
        <f>'No Recurrentes 24-26'!CB108</f>
        <v>0</v>
      </c>
      <c r="AN249" s="1062">
        <f>'No Recurrentes 24-26'!CC108</f>
        <v>0</v>
      </c>
      <c r="AO249" s="1062">
        <f>'No Recurrentes 24-26'!CD108</f>
        <v>0</v>
      </c>
      <c r="AP249" s="1062">
        <f>'No Recurrentes 24-26'!CE108</f>
        <v>0</v>
      </c>
      <c r="AQ249" s="1062">
        <f>'No Recurrentes 24-26'!CF108</f>
        <v>0</v>
      </c>
      <c r="AR249" s="1062">
        <f>'No Recurrentes 24-26'!CG108</f>
        <v>0</v>
      </c>
      <c r="AS249" s="1062">
        <f>'No Recurrentes 24-26'!CH108</f>
        <v>0</v>
      </c>
      <c r="AT249" s="1068"/>
      <c r="AU249" s="1062">
        <f>'No Recurrentes 24-26'!CI108</f>
        <v>0</v>
      </c>
      <c r="AV249" s="1063">
        <f>'No Recurrentes 24-26'!CJ108</f>
        <v>1</v>
      </c>
      <c r="AW249" s="1068"/>
      <c r="AX249" s="1065">
        <f>'No Recurrentes 24-26'!CK108</f>
        <v>40.73</v>
      </c>
      <c r="AY249" s="1062">
        <f>'No Recurrentes 24-26'!CL108</f>
        <v>283.4808</v>
      </c>
      <c r="AZ249" s="1068"/>
      <c r="BA249" s="1062">
        <f>'No Recurrentes 24-26'!CM108</f>
        <v>0</v>
      </c>
      <c r="BB249" s="1062">
        <f>'No Recurrentes 24-26'!CN108</f>
        <v>0</v>
      </c>
      <c r="BC249" s="1062">
        <f>'No Recurrentes 24-26'!CO108</f>
        <v>0</v>
      </c>
      <c r="BD249" s="1062">
        <f>'No Recurrentes 24-26'!CP108</f>
        <v>0</v>
      </c>
      <c r="BE249" s="1062">
        <f>'No Recurrentes 24-26'!CQ108</f>
        <v>0</v>
      </c>
      <c r="BF249" s="1062">
        <f>'No Recurrentes 24-26'!CR108</f>
        <v>0</v>
      </c>
      <c r="BG249" s="1062">
        <f>'No Recurrentes 24-26'!CS108</f>
        <v>0</v>
      </c>
      <c r="BH249" s="1062">
        <f>'No Recurrentes 24-26'!CT108</f>
        <v>283.4808</v>
      </c>
      <c r="BI249" s="1062">
        <f>'No Recurrentes 24-26'!CU108</f>
        <v>0</v>
      </c>
      <c r="BJ249" s="1062">
        <f>'No Recurrentes 24-26'!CV108</f>
        <v>0</v>
      </c>
      <c r="BK249" s="1068"/>
      <c r="BL249" s="1062">
        <f>'No Recurrentes 24-26'!CW108</f>
        <v>283.4808</v>
      </c>
      <c r="BM249" s="1062">
        <f>'No Recurrentes 24-26'!CX108</f>
        <v>0</v>
      </c>
      <c r="BN249" s="1062">
        <f>'No Recurrentes 24-26'!CY108</f>
        <v>0</v>
      </c>
      <c r="BO249" s="1062">
        <f>'No Recurrentes 24-26'!CZ108</f>
        <v>0</v>
      </c>
      <c r="BP249" s="1062">
        <f>'No Recurrentes 24-26'!DA108</f>
        <v>0</v>
      </c>
      <c r="BQ249" s="1062">
        <f>'No Recurrentes 24-26'!DB108</f>
        <v>0</v>
      </c>
      <c r="BR249" s="1062">
        <f>'No Recurrentes 24-26'!DC108</f>
        <v>0</v>
      </c>
      <c r="BS249" s="1062">
        <f>'No Recurrentes 24-26'!DD108</f>
        <v>0</v>
      </c>
      <c r="BT249" s="1062">
        <f>'No Recurrentes 24-26'!DE108</f>
        <v>0</v>
      </c>
      <c r="BU249" s="1062">
        <f>'No Recurrentes 24-26'!DF108</f>
        <v>0</v>
      </c>
      <c r="BV249" s="1062">
        <f>'No Recurrentes 24-26'!DG108</f>
        <v>0</v>
      </c>
      <c r="BW249" s="1068"/>
      <c r="BX249" s="1062">
        <f>'No Recurrentes 24-26'!DH108</f>
        <v>0</v>
      </c>
      <c r="BY249" s="1062">
        <f>'No Recurrentes 24-26'!DI108</f>
        <v>0</v>
      </c>
      <c r="BZ249" s="1062">
        <f>'No Recurrentes 24-26'!DJ108</f>
        <v>0</v>
      </c>
      <c r="CA249" s="1062">
        <f>'No Recurrentes 24-26'!DK108</f>
        <v>0</v>
      </c>
      <c r="CB249" s="1062">
        <f>'No Recurrentes 24-26'!DL108</f>
        <v>0</v>
      </c>
      <c r="CC249" s="1062">
        <f>'No Recurrentes 24-26'!DM108</f>
        <v>0</v>
      </c>
      <c r="CD249" s="1062">
        <f>'No Recurrentes 24-26'!DN108</f>
        <v>0</v>
      </c>
      <c r="CE249" s="1062">
        <f>'No Recurrentes 24-26'!DO108</f>
        <v>0</v>
      </c>
      <c r="CF249" s="1062">
        <f>'No Recurrentes 24-26'!DP108</f>
        <v>0</v>
      </c>
      <c r="CG249" s="1062">
        <f>'No Recurrentes 24-26'!DQ108</f>
        <v>0</v>
      </c>
      <c r="CH249" s="1062">
        <f>'No Recurrentes 24-26'!DR108</f>
        <v>0</v>
      </c>
      <c r="CI249" s="1068"/>
      <c r="CJ249" s="1062">
        <f>'No Recurrentes 24-26'!DS108</f>
        <v>0</v>
      </c>
      <c r="CK249" s="1062">
        <f>'No Recurrentes 24-26'!DT108</f>
        <v>283.4808</v>
      </c>
      <c r="CL249" s="1064" t="str">
        <f>'No Recurrentes 24-26'!DU108</f>
        <v/>
      </c>
      <c r="CM249" s="1064" t="str">
        <f>'No Recurrentes 24-26'!DV108</f>
        <v/>
      </c>
      <c r="CN249" s="1065">
        <f>'No Recurrentes 24-26'!EI107</f>
        <v>7.19</v>
      </c>
      <c r="CO249" s="1065">
        <f>'No Recurrentes 24-26'!EJ107</f>
        <v>6.11</v>
      </c>
      <c r="CP249" s="1060" t="str">
        <f>'No Recurrentes 24-26'!EK107</f>
        <v/>
      </c>
    </row>
    <row r="250">
      <c r="A250" s="451" t="str">
        <f>'No Recurrentes 24-26'!A109</f>
        <v>Repuestos Electromecánicos no recurrentes</v>
      </c>
      <c r="B250" s="451">
        <f>'No Recurrentes 24-26'!B109</f>
        <v>2</v>
      </c>
      <c r="C250" s="451" t="str">
        <f>'No Recurrentes 24-26'!C109</f>
        <v>Estación</v>
      </c>
      <c r="D250" s="451" t="str">
        <f>'No Recurrentes 24-26'!D109</f>
        <v>Manto. Eléctrico</v>
      </c>
      <c r="E250" s="451" t="str">
        <f>'No Recurrentes 24-26'!E109</f>
        <v>Repuesto Eléctrico</v>
      </c>
      <c r="F250" s="451" t="str">
        <f>'No Recurrentes 24-26'!F109</f>
        <v>TDB</v>
      </c>
      <c r="G250" s="1061" t="str">
        <f>'No Recurrentes 24-26'!G109</f>
        <v>39700</v>
      </c>
      <c r="H250" s="1061" t="str">
        <f>'No Recurrentes 24-26'!H109</f>
        <v/>
      </c>
      <c r="I250" s="1061" t="str">
        <f>'No Recurrentes 24-26'!I109</f>
        <v>10257510</v>
      </c>
      <c r="J250" s="1061" t="str">
        <f>'No Recurrentes 24-26'!J109</f>
        <v>PORTAFUSIB. RSS 214   14POLAR  ART. N°:180050            TELE</v>
      </c>
      <c r="K250" s="451" t="str">
        <f>'No Recurrentes 24-26'!K109</f>
        <v>Pza</v>
      </c>
      <c r="L250" s="451" t="str">
        <f>'No Recurrentes 24-26'!BC109</f>
        <v/>
      </c>
      <c r="M250" s="451" t="str">
        <f>'No Recurrentes 24-26'!BD109</f>
        <v/>
      </c>
      <c r="N250" s="451" t="str">
        <f>'No Recurrentes 24-26'!BE109</f>
        <v/>
      </c>
      <c r="O250" s="451">
        <f>'No Recurrentes 24-26'!BF109</f>
        <v>1</v>
      </c>
      <c r="P250" s="451">
        <f>'No Recurrentes 24-26'!BG109</f>
        <v>1</v>
      </c>
      <c r="Q250" s="451" t="str">
        <f>'No Recurrentes 24-26'!BH109</f>
        <v/>
      </c>
      <c r="R250" s="451" t="str">
        <f>'No Recurrentes 24-26'!BI109</f>
        <v/>
      </c>
      <c r="S250" s="451" t="str">
        <f>'No Recurrentes 24-26'!BJ109</f>
        <v/>
      </c>
      <c r="T250" s="451" t="str">
        <f>'No Recurrentes 24-26'!BK109</f>
        <v/>
      </c>
      <c r="U250" s="451" t="str">
        <f>'No Recurrentes 24-26'!BL109</f>
        <v/>
      </c>
      <c r="V250" s="1068"/>
      <c r="W250" s="1062">
        <f>'No Recurrentes 24-26'!BM109</f>
        <v>2</v>
      </c>
      <c r="X250" s="1062" t="str">
        <f>'No Recurrentes 24-26'!BN109</f>
        <v/>
      </c>
      <c r="Y250" s="1062" t="str">
        <f>'No Recurrentes 24-26'!BO109</f>
        <v/>
      </c>
      <c r="Z250" s="1062" t="str">
        <f>'No Recurrentes 24-26'!BP109</f>
        <v/>
      </c>
      <c r="AA250" s="1062" t="str">
        <f>'No Recurrentes 24-26'!BQ109</f>
        <v/>
      </c>
      <c r="AB250" s="1062" t="str">
        <f>'No Recurrentes 24-26'!BR109</f>
        <v/>
      </c>
      <c r="AC250" s="1062" t="str">
        <f>'No Recurrentes 24-26'!BS109</f>
        <v/>
      </c>
      <c r="AD250" s="1062" t="str">
        <f>'No Recurrentes 24-26'!BT109</f>
        <v/>
      </c>
      <c r="AE250" s="1062" t="str">
        <f>'No Recurrentes 24-26'!BU109</f>
        <v/>
      </c>
      <c r="AF250" s="1062" t="str">
        <f>'No Recurrentes 24-26'!BV109</f>
        <v/>
      </c>
      <c r="AG250" s="1062" t="str">
        <f>'No Recurrentes 24-26'!BW109</f>
        <v/>
      </c>
      <c r="AH250" s="1068"/>
      <c r="AI250" s="1062">
        <f>'No Recurrentes 24-26'!BX109</f>
        <v>0</v>
      </c>
      <c r="AJ250" s="1062">
        <f>'No Recurrentes 24-26'!BY109</f>
        <v>0</v>
      </c>
      <c r="AK250" s="1062">
        <f>'No Recurrentes 24-26'!BZ109</f>
        <v>0</v>
      </c>
      <c r="AL250" s="1062">
        <f>'No Recurrentes 24-26'!CA109</f>
        <v>0</v>
      </c>
      <c r="AM250" s="1062">
        <f>'No Recurrentes 24-26'!CB109</f>
        <v>0</v>
      </c>
      <c r="AN250" s="1062">
        <f>'No Recurrentes 24-26'!CC109</f>
        <v>0</v>
      </c>
      <c r="AO250" s="1062">
        <f>'No Recurrentes 24-26'!CD109</f>
        <v>0</v>
      </c>
      <c r="AP250" s="1062">
        <f>'No Recurrentes 24-26'!CE109</f>
        <v>0</v>
      </c>
      <c r="AQ250" s="1062">
        <f>'No Recurrentes 24-26'!CF109</f>
        <v>0</v>
      </c>
      <c r="AR250" s="1062">
        <f>'No Recurrentes 24-26'!CG109</f>
        <v>0</v>
      </c>
      <c r="AS250" s="1062">
        <f>'No Recurrentes 24-26'!CH109</f>
        <v>0</v>
      </c>
      <c r="AT250" s="1068"/>
      <c r="AU250" s="1062">
        <f>'No Recurrentes 24-26'!CI109</f>
        <v>0</v>
      </c>
      <c r="AV250" s="1063">
        <f>'No Recurrentes 24-26'!CJ109</f>
        <v>2</v>
      </c>
      <c r="AW250" s="1068"/>
      <c r="AX250" s="1065">
        <f>'No Recurrentes 24-26'!CK109</f>
        <v>7.31</v>
      </c>
      <c r="AY250" s="1062">
        <f>'No Recurrentes 24-26'!CL109</f>
        <v>50.8776</v>
      </c>
      <c r="AZ250" s="1068"/>
      <c r="BA250" s="1062">
        <f>'No Recurrentes 24-26'!CM109</f>
        <v>0</v>
      </c>
      <c r="BB250" s="1062">
        <f>'No Recurrentes 24-26'!CN109</f>
        <v>0</v>
      </c>
      <c r="BC250" s="1062">
        <f>'No Recurrentes 24-26'!CO109</f>
        <v>0</v>
      </c>
      <c r="BD250" s="1062">
        <f>'No Recurrentes 24-26'!CP109</f>
        <v>50.8776</v>
      </c>
      <c r="BE250" s="1062">
        <f>'No Recurrentes 24-26'!CQ109</f>
        <v>50.8776</v>
      </c>
      <c r="BF250" s="1062">
        <f>'No Recurrentes 24-26'!CR109</f>
        <v>0</v>
      </c>
      <c r="BG250" s="1062">
        <f>'No Recurrentes 24-26'!CS109</f>
        <v>0</v>
      </c>
      <c r="BH250" s="1062">
        <f>'No Recurrentes 24-26'!CT109</f>
        <v>0</v>
      </c>
      <c r="BI250" s="1062">
        <f>'No Recurrentes 24-26'!CU109</f>
        <v>0</v>
      </c>
      <c r="BJ250" s="1062">
        <f>'No Recurrentes 24-26'!CV109</f>
        <v>0</v>
      </c>
      <c r="BK250" s="1068"/>
      <c r="BL250" s="1062">
        <f>'No Recurrentes 24-26'!CW109</f>
        <v>101.7552</v>
      </c>
      <c r="BM250" s="1062">
        <f>'No Recurrentes 24-26'!CX109</f>
        <v>0</v>
      </c>
      <c r="BN250" s="1062">
        <f>'No Recurrentes 24-26'!CY109</f>
        <v>0</v>
      </c>
      <c r="BO250" s="1062">
        <f>'No Recurrentes 24-26'!CZ109</f>
        <v>0</v>
      </c>
      <c r="BP250" s="1062">
        <f>'No Recurrentes 24-26'!DA109</f>
        <v>0</v>
      </c>
      <c r="BQ250" s="1062">
        <f>'No Recurrentes 24-26'!DB109</f>
        <v>0</v>
      </c>
      <c r="BR250" s="1062">
        <f>'No Recurrentes 24-26'!DC109</f>
        <v>0</v>
      </c>
      <c r="BS250" s="1062">
        <f>'No Recurrentes 24-26'!DD109</f>
        <v>0</v>
      </c>
      <c r="BT250" s="1062">
        <f>'No Recurrentes 24-26'!DE109</f>
        <v>0</v>
      </c>
      <c r="BU250" s="1062">
        <f>'No Recurrentes 24-26'!DF109</f>
        <v>0</v>
      </c>
      <c r="BV250" s="1062">
        <f>'No Recurrentes 24-26'!DG109</f>
        <v>0</v>
      </c>
      <c r="BW250" s="1068"/>
      <c r="BX250" s="1062">
        <f>'No Recurrentes 24-26'!DH109</f>
        <v>0</v>
      </c>
      <c r="BY250" s="1062">
        <f>'No Recurrentes 24-26'!DI109</f>
        <v>0</v>
      </c>
      <c r="BZ250" s="1062">
        <f>'No Recurrentes 24-26'!DJ109</f>
        <v>0</v>
      </c>
      <c r="CA250" s="1062">
        <f>'No Recurrentes 24-26'!DK109</f>
        <v>0</v>
      </c>
      <c r="CB250" s="1062">
        <f>'No Recurrentes 24-26'!DL109</f>
        <v>0</v>
      </c>
      <c r="CC250" s="1062">
        <f>'No Recurrentes 24-26'!DM109</f>
        <v>0</v>
      </c>
      <c r="CD250" s="1062">
        <f>'No Recurrentes 24-26'!DN109</f>
        <v>0</v>
      </c>
      <c r="CE250" s="1062">
        <f>'No Recurrentes 24-26'!DO109</f>
        <v>0</v>
      </c>
      <c r="CF250" s="1062">
        <f>'No Recurrentes 24-26'!DP109</f>
        <v>0</v>
      </c>
      <c r="CG250" s="1062">
        <f>'No Recurrentes 24-26'!DQ109</f>
        <v>0</v>
      </c>
      <c r="CH250" s="1062">
        <f>'No Recurrentes 24-26'!DR109</f>
        <v>0</v>
      </c>
      <c r="CI250" s="1068"/>
      <c r="CJ250" s="1062">
        <f>'No Recurrentes 24-26'!DS109</f>
        <v>0</v>
      </c>
      <c r="CK250" s="1062">
        <f>'No Recurrentes 24-26'!DT109</f>
        <v>101.7552</v>
      </c>
      <c r="CL250" s="1064" t="str">
        <f>'No Recurrentes 24-26'!DU109</f>
        <v/>
      </c>
      <c r="CM250" s="1064" t="str">
        <f>'No Recurrentes 24-26'!DV109</f>
        <v>El ID correspondia a otro item, se corrigio ID</v>
      </c>
      <c r="CN250" s="1065">
        <f>'No Recurrentes 24-26'!EI108</f>
        <v>40.73</v>
      </c>
      <c r="CO250" s="1065">
        <f>'No Recurrentes 24-26'!EJ108</f>
        <v>34.62</v>
      </c>
      <c r="CP250" s="1060" t="str">
        <f>'No Recurrentes 24-26'!EK108</f>
        <v/>
      </c>
    </row>
    <row r="251">
      <c r="A251" s="451" t="str">
        <f>'No Recurrentes 24-26'!A110</f>
        <v>Repuestos Electromecánicos no recurrentes</v>
      </c>
      <c r="B251" s="451">
        <f>'No Recurrentes 24-26'!B110</f>
        <v>2</v>
      </c>
      <c r="C251" s="451" t="str">
        <f>'No Recurrentes 24-26'!C110</f>
        <v>Estación</v>
      </c>
      <c r="D251" s="451" t="str">
        <f>'No Recurrentes 24-26'!D110</f>
        <v>Manto. Eléctrico</v>
      </c>
      <c r="E251" s="451" t="str">
        <f>'No Recurrentes 24-26'!E110</f>
        <v>Repuesto Eléctrico</v>
      </c>
      <c r="F251" s="451" t="str">
        <f>'No Recurrentes 24-26'!F110</f>
        <v>TDB</v>
      </c>
      <c r="G251" s="1061" t="str">
        <f>'No Recurrentes 24-26'!G110</f>
        <v>39700</v>
      </c>
      <c r="H251" s="1061" t="str">
        <f>'No Recurrentes 24-26'!H110</f>
        <v>2-02-00150</v>
      </c>
      <c r="I251" s="1061" t="str">
        <f>'No Recurrentes 24-26'!I110</f>
        <v>10169788</v>
      </c>
      <c r="J251" s="1061" t="str">
        <f>'No Recurrentes 24-26'!J110</f>
        <v>EMPAQUETADURA PERFIL GDM 3-16  731 531-002 PARA GDM 3009</v>
      </c>
      <c r="K251" s="451" t="str">
        <f>'No Recurrentes 24-26'!K110</f>
        <v>Pza</v>
      </c>
      <c r="L251" s="451">
        <f>'No Recurrentes 24-26'!BC110</f>
        <v>4</v>
      </c>
      <c r="M251" s="451">
        <f>'No Recurrentes 24-26'!BD110</f>
        <v>3</v>
      </c>
      <c r="N251" s="451">
        <f>'No Recurrentes 24-26'!BE110</f>
        <v>4</v>
      </c>
      <c r="O251" s="451" t="str">
        <f>'No Recurrentes 24-26'!BF110</f>
        <v/>
      </c>
      <c r="P251" s="451" t="str">
        <f>'No Recurrentes 24-26'!BG110</f>
        <v/>
      </c>
      <c r="Q251" s="451" t="str">
        <f>'No Recurrentes 24-26'!BH110</f>
        <v/>
      </c>
      <c r="R251" s="451">
        <f>'No Recurrentes 24-26'!BI110</f>
        <v>2</v>
      </c>
      <c r="S251" s="451">
        <f>'No Recurrentes 24-26'!BJ110</f>
        <v>0</v>
      </c>
      <c r="T251" s="451">
        <f>'No Recurrentes 24-26'!BK110</f>
        <v>1</v>
      </c>
      <c r="U251" s="451">
        <f>'No Recurrentes 24-26'!BL110</f>
        <v>2</v>
      </c>
      <c r="V251" s="1068"/>
      <c r="W251" s="1062">
        <f>'No Recurrentes 24-26'!BM110</f>
        <v>16</v>
      </c>
      <c r="X251" s="1062" t="str">
        <f>'No Recurrentes 24-26'!BN110</f>
        <v/>
      </c>
      <c r="Y251" s="1062" t="str">
        <f>'No Recurrentes 24-26'!BO110</f>
        <v/>
      </c>
      <c r="Z251" s="1062" t="str">
        <f>'No Recurrentes 24-26'!BP110</f>
        <v/>
      </c>
      <c r="AA251" s="1062">
        <f>'No Recurrentes 24-26'!BQ110</f>
        <v>4</v>
      </c>
      <c r="AB251" s="1062">
        <f>'No Recurrentes 24-26'!BR110</f>
        <v>4</v>
      </c>
      <c r="AC251" s="1062">
        <f>'No Recurrentes 24-26'!BS110</f>
        <v>4</v>
      </c>
      <c r="AD251" s="1062" t="str">
        <f>'No Recurrentes 24-26'!BT110</f>
        <v/>
      </c>
      <c r="AE251" s="1062">
        <f>'No Recurrentes 24-26'!BU110</f>
        <v>2</v>
      </c>
      <c r="AF251" s="1062" t="str">
        <f>'No Recurrentes 24-26'!BV110</f>
        <v/>
      </c>
      <c r="AG251" s="1062" t="str">
        <f>'No Recurrentes 24-26'!BW110</f>
        <v/>
      </c>
      <c r="AH251" s="1068"/>
      <c r="AI251" s="1062">
        <f>'No Recurrentes 24-26'!BX110</f>
        <v>14</v>
      </c>
      <c r="AJ251" s="1062">
        <f>'No Recurrentes 24-26'!BY110</f>
        <v>0</v>
      </c>
      <c r="AK251" s="1062">
        <f>'No Recurrentes 24-26'!BZ110</f>
        <v>0</v>
      </c>
      <c r="AL251" s="1062">
        <f>'No Recurrentes 24-26'!CA110</f>
        <v>0</v>
      </c>
      <c r="AM251" s="1062">
        <f>'No Recurrentes 24-26'!CB110</f>
        <v>0</v>
      </c>
      <c r="AN251" s="1062">
        <f>'No Recurrentes 24-26'!CC110</f>
        <v>0</v>
      </c>
      <c r="AO251" s="1062">
        <f>'No Recurrentes 24-26'!CD110</f>
        <v>0</v>
      </c>
      <c r="AP251" s="1062">
        <f>'No Recurrentes 24-26'!CE110</f>
        <v>2</v>
      </c>
      <c r="AQ251" s="1062">
        <f>'No Recurrentes 24-26'!CF110</f>
        <v>0</v>
      </c>
      <c r="AR251" s="1062">
        <f>'No Recurrentes 24-26'!CG110</f>
        <v>1</v>
      </c>
      <c r="AS251" s="1062">
        <f>'No Recurrentes 24-26'!CH110</f>
        <v>2</v>
      </c>
      <c r="AT251" s="1068"/>
      <c r="AU251" s="1062">
        <f>'No Recurrentes 24-26'!CI110</f>
        <v>5</v>
      </c>
      <c r="AV251" s="1063">
        <f>'No Recurrentes 24-26'!CJ110</f>
        <v>35</v>
      </c>
      <c r="AW251" s="1068"/>
      <c r="AX251" s="1065">
        <f>'No Recurrentes 24-26'!CK110</f>
        <v>0.89</v>
      </c>
      <c r="AY251" s="1062">
        <f>'No Recurrentes 24-26'!CL110</f>
        <v>6.1944</v>
      </c>
      <c r="AZ251" s="1068"/>
      <c r="BA251" s="1062">
        <f>'No Recurrentes 24-26'!CM110</f>
        <v>24.7776</v>
      </c>
      <c r="BB251" s="1062">
        <f>'No Recurrentes 24-26'!CN110</f>
        <v>18.5832</v>
      </c>
      <c r="BC251" s="1062">
        <f>'No Recurrentes 24-26'!CO110</f>
        <v>24.7776</v>
      </c>
      <c r="BD251" s="1062">
        <f>'No Recurrentes 24-26'!CP110</f>
        <v>0</v>
      </c>
      <c r="BE251" s="1062">
        <f>'No Recurrentes 24-26'!CQ110</f>
        <v>0</v>
      </c>
      <c r="BF251" s="1062">
        <f>'No Recurrentes 24-26'!CR110</f>
        <v>0</v>
      </c>
      <c r="BG251" s="1062">
        <f>'No Recurrentes 24-26'!CS110</f>
        <v>12.3888</v>
      </c>
      <c r="BH251" s="1062">
        <f>'No Recurrentes 24-26'!CT110</f>
        <v>0</v>
      </c>
      <c r="BI251" s="1062">
        <f>'No Recurrentes 24-26'!CU110</f>
        <v>6.1944</v>
      </c>
      <c r="BJ251" s="1062">
        <f>'No Recurrentes 24-26'!CV110</f>
        <v>12.3888</v>
      </c>
      <c r="BK251" s="1068"/>
      <c r="BL251" s="1062">
        <f>'No Recurrentes 24-26'!CW110</f>
        <v>99.1104</v>
      </c>
      <c r="BM251" s="1062">
        <f>'No Recurrentes 24-26'!CX110</f>
        <v>0</v>
      </c>
      <c r="BN251" s="1062">
        <f>'No Recurrentes 24-26'!CY110</f>
        <v>0</v>
      </c>
      <c r="BO251" s="1062">
        <f>'No Recurrentes 24-26'!CZ110</f>
        <v>0</v>
      </c>
      <c r="BP251" s="1062">
        <f>'No Recurrentes 24-26'!DA110</f>
        <v>24.7776</v>
      </c>
      <c r="BQ251" s="1062">
        <f>'No Recurrentes 24-26'!DB110</f>
        <v>24.7776</v>
      </c>
      <c r="BR251" s="1062">
        <f>'No Recurrentes 24-26'!DC110</f>
        <v>24.7776</v>
      </c>
      <c r="BS251" s="1062">
        <f>'No Recurrentes 24-26'!DD110</f>
        <v>0</v>
      </c>
      <c r="BT251" s="1062">
        <f>'No Recurrentes 24-26'!DE110</f>
        <v>12.3888</v>
      </c>
      <c r="BU251" s="1062">
        <f>'No Recurrentes 24-26'!DF110</f>
        <v>0</v>
      </c>
      <c r="BV251" s="1062">
        <f>'No Recurrentes 24-26'!DG110</f>
        <v>0</v>
      </c>
      <c r="BW251" s="1068"/>
      <c r="BX251" s="1062">
        <f>'No Recurrentes 24-26'!DH110</f>
        <v>86.7216</v>
      </c>
      <c r="BY251" s="1062">
        <f>'No Recurrentes 24-26'!DI110</f>
        <v>0</v>
      </c>
      <c r="BZ251" s="1062">
        <f>'No Recurrentes 24-26'!DJ110</f>
        <v>0</v>
      </c>
      <c r="CA251" s="1062">
        <f>'No Recurrentes 24-26'!DK110</f>
        <v>0</v>
      </c>
      <c r="CB251" s="1062">
        <f>'No Recurrentes 24-26'!DL110</f>
        <v>0</v>
      </c>
      <c r="CC251" s="1062">
        <f>'No Recurrentes 24-26'!DM110</f>
        <v>0</v>
      </c>
      <c r="CD251" s="1062">
        <f>'No Recurrentes 24-26'!DN110</f>
        <v>0</v>
      </c>
      <c r="CE251" s="1062">
        <f>'No Recurrentes 24-26'!DO110</f>
        <v>12.3888</v>
      </c>
      <c r="CF251" s="1062">
        <f>'No Recurrentes 24-26'!DP110</f>
        <v>0</v>
      </c>
      <c r="CG251" s="1062">
        <f>'No Recurrentes 24-26'!DQ110</f>
        <v>6.1944</v>
      </c>
      <c r="CH251" s="1062">
        <f>'No Recurrentes 24-26'!DR110</f>
        <v>12.3888</v>
      </c>
      <c r="CI251" s="1068"/>
      <c r="CJ251" s="1062">
        <f>'No Recurrentes 24-26'!DS110</f>
        <v>30.972</v>
      </c>
      <c r="CK251" s="1062">
        <f>'No Recurrentes 24-26'!DT110</f>
        <v>216.804</v>
      </c>
      <c r="CL251" s="1064" t="str">
        <f>'No Recurrentes 24-26'!DU110</f>
        <v/>
      </c>
      <c r="CM251" s="1064" t="str">
        <f>'No Recurrentes 24-26'!DV110</f>
        <v/>
      </c>
      <c r="CN251" s="1065">
        <f>'No Recurrentes 24-26'!EI109</f>
        <v>7.31</v>
      </c>
      <c r="CO251" s="1065">
        <f>'No Recurrentes 24-26'!EJ109</f>
        <v>6.21</v>
      </c>
      <c r="CP251" s="1060" t="str">
        <f>'No Recurrentes 24-26'!EK109</f>
        <v/>
      </c>
    </row>
    <row r="252">
      <c r="A252" s="451" t="str">
        <f>'No Recurrentes 24-26'!A111</f>
        <v>Repuestos Electromecánicos no recurrentes</v>
      </c>
      <c r="B252" s="451">
        <f>'No Recurrentes 24-26'!B111</f>
        <v>2</v>
      </c>
      <c r="C252" s="451" t="str">
        <f>'No Recurrentes 24-26'!C111</f>
        <v>Estación</v>
      </c>
      <c r="D252" s="451" t="str">
        <f>'No Recurrentes 24-26'!D111</f>
        <v>Manto. Eléctrico</v>
      </c>
      <c r="E252" s="451" t="str">
        <f>'No Recurrentes 24-26'!E111</f>
        <v>Repuesto Eléctrico</v>
      </c>
      <c r="F252" s="451" t="str">
        <f>'No Recurrentes 24-26'!F111</f>
        <v>TDB</v>
      </c>
      <c r="G252" s="1061" t="str">
        <f>'No Recurrentes 24-26'!G111</f>
        <v>39700</v>
      </c>
      <c r="H252" s="1061" t="str">
        <f>'No Recurrentes 24-26'!H111</f>
        <v/>
      </c>
      <c r="I252" s="1061" t="str">
        <f>'No Recurrentes 24-26'!I111</f>
        <v>11142261</v>
      </c>
      <c r="J252" s="1061" t="str">
        <f>'No Recurrentes 24-26'!J111</f>
        <v>INTERR. ETHERNET MANEJADO L210-F2G LYNX PROGRAMADO</v>
      </c>
      <c r="K252" s="451" t="str">
        <f>'No Recurrentes 24-26'!K111</f>
        <v>Pza</v>
      </c>
      <c r="L252" s="451" t="str">
        <f>'No Recurrentes 24-26'!BC111</f>
        <v/>
      </c>
      <c r="M252" s="451" t="str">
        <f>'No Recurrentes 24-26'!BD111</f>
        <v/>
      </c>
      <c r="N252" s="451" t="str">
        <f>'No Recurrentes 24-26'!BE111</f>
        <v/>
      </c>
      <c r="O252" s="451" t="str">
        <f>'No Recurrentes 24-26'!BF111</f>
        <v/>
      </c>
      <c r="P252" s="451" t="str">
        <f>'No Recurrentes 24-26'!BG111</f>
        <v/>
      </c>
      <c r="Q252" s="451" t="str">
        <f>'No Recurrentes 24-26'!BH111</f>
        <v/>
      </c>
      <c r="R252" s="451" t="str">
        <f>'No Recurrentes 24-26'!BI111</f>
        <v/>
      </c>
      <c r="S252" s="451" t="str">
        <f>'No Recurrentes 24-26'!BJ111</f>
        <v/>
      </c>
      <c r="T252" s="451" t="str">
        <f>'No Recurrentes 24-26'!BK111</f>
        <v/>
      </c>
      <c r="U252" s="451" t="str">
        <f>'No Recurrentes 24-26'!BL111</f>
        <v/>
      </c>
      <c r="V252" s="1068"/>
      <c r="W252" s="1062">
        <f>'No Recurrentes 24-26'!BM111</f>
        <v>0</v>
      </c>
      <c r="X252" s="1062" t="str">
        <f>'No Recurrentes 24-26'!BN111</f>
        <v/>
      </c>
      <c r="Y252" s="1062" t="str">
        <f>'No Recurrentes 24-26'!BO111</f>
        <v/>
      </c>
      <c r="Z252" s="1062" t="str">
        <f>'No Recurrentes 24-26'!BP111</f>
        <v/>
      </c>
      <c r="AA252" s="1062">
        <f>'No Recurrentes 24-26'!BQ111</f>
        <v>1</v>
      </c>
      <c r="AB252" s="1062" t="str">
        <f>'No Recurrentes 24-26'!BR111</f>
        <v/>
      </c>
      <c r="AC252" s="1062" t="str">
        <f>'No Recurrentes 24-26'!BS111</f>
        <v/>
      </c>
      <c r="AD252" s="1062" t="str">
        <f>'No Recurrentes 24-26'!BT111</f>
        <v/>
      </c>
      <c r="AE252" s="1062" t="str">
        <f>'No Recurrentes 24-26'!BU111</f>
        <v/>
      </c>
      <c r="AF252" s="1062" t="str">
        <f>'No Recurrentes 24-26'!BV111</f>
        <v/>
      </c>
      <c r="AG252" s="1062" t="str">
        <f>'No Recurrentes 24-26'!BW111</f>
        <v/>
      </c>
      <c r="AH252" s="1068"/>
      <c r="AI252" s="1062">
        <f>'No Recurrentes 24-26'!BX111</f>
        <v>1</v>
      </c>
      <c r="AJ252" s="1062">
        <f>'No Recurrentes 24-26'!BY111</f>
        <v>0</v>
      </c>
      <c r="AK252" s="1062">
        <f>'No Recurrentes 24-26'!BZ111</f>
        <v>0</v>
      </c>
      <c r="AL252" s="1062">
        <f>'No Recurrentes 24-26'!CA111</f>
        <v>0</v>
      </c>
      <c r="AM252" s="1062">
        <f>'No Recurrentes 24-26'!CB111</f>
        <v>0</v>
      </c>
      <c r="AN252" s="1062">
        <f>'No Recurrentes 24-26'!CC111</f>
        <v>0</v>
      </c>
      <c r="AO252" s="1062">
        <f>'No Recurrentes 24-26'!CD111</f>
        <v>0</v>
      </c>
      <c r="AP252" s="1062">
        <f>'No Recurrentes 24-26'!CE111</f>
        <v>0</v>
      </c>
      <c r="AQ252" s="1062">
        <f>'No Recurrentes 24-26'!CF111</f>
        <v>0</v>
      </c>
      <c r="AR252" s="1062">
        <f>'No Recurrentes 24-26'!CG111</f>
        <v>0</v>
      </c>
      <c r="AS252" s="1062">
        <f>'No Recurrentes 24-26'!CH111</f>
        <v>0</v>
      </c>
      <c r="AT252" s="1068"/>
      <c r="AU252" s="1062">
        <f>'No Recurrentes 24-26'!CI111</f>
        <v>0</v>
      </c>
      <c r="AV252" s="1063">
        <f>'No Recurrentes 24-26'!CJ111</f>
        <v>1</v>
      </c>
      <c r="AW252" s="1068"/>
      <c r="AX252" s="1065">
        <f>'No Recurrentes 24-26'!CK111</f>
        <v>4564.72</v>
      </c>
      <c r="AY252" s="1062">
        <f>'No Recurrentes 24-26'!CL111</f>
        <v>31770.4512</v>
      </c>
      <c r="AZ252" s="1068"/>
      <c r="BA252" s="1062">
        <f>'No Recurrentes 24-26'!CM111</f>
        <v>0</v>
      </c>
      <c r="BB252" s="1062">
        <f>'No Recurrentes 24-26'!CN111</f>
        <v>0</v>
      </c>
      <c r="BC252" s="1062">
        <f>'No Recurrentes 24-26'!CO111</f>
        <v>0</v>
      </c>
      <c r="BD252" s="1062">
        <f>'No Recurrentes 24-26'!CP111</f>
        <v>0</v>
      </c>
      <c r="BE252" s="1062">
        <f>'No Recurrentes 24-26'!CQ111</f>
        <v>0</v>
      </c>
      <c r="BF252" s="1062">
        <f>'No Recurrentes 24-26'!CR111</f>
        <v>0</v>
      </c>
      <c r="BG252" s="1062">
        <f>'No Recurrentes 24-26'!CS111</f>
        <v>0</v>
      </c>
      <c r="BH252" s="1062">
        <f>'No Recurrentes 24-26'!CT111</f>
        <v>0</v>
      </c>
      <c r="BI252" s="1062">
        <f>'No Recurrentes 24-26'!CU111</f>
        <v>0</v>
      </c>
      <c r="BJ252" s="1062">
        <f>'No Recurrentes 24-26'!CV111</f>
        <v>0</v>
      </c>
      <c r="BK252" s="1068"/>
      <c r="BL252" s="1062">
        <f>'No Recurrentes 24-26'!CW111</f>
        <v>0</v>
      </c>
      <c r="BM252" s="1062">
        <f>'No Recurrentes 24-26'!CX111</f>
        <v>0</v>
      </c>
      <c r="BN252" s="1062">
        <f>'No Recurrentes 24-26'!CY111</f>
        <v>0</v>
      </c>
      <c r="BO252" s="1062">
        <f>'No Recurrentes 24-26'!CZ111</f>
        <v>0</v>
      </c>
      <c r="BP252" s="1062">
        <f>'No Recurrentes 24-26'!DA111</f>
        <v>31770.4512</v>
      </c>
      <c r="BQ252" s="1062">
        <f>'No Recurrentes 24-26'!DB111</f>
        <v>0</v>
      </c>
      <c r="BR252" s="1062">
        <f>'No Recurrentes 24-26'!DC111</f>
        <v>0</v>
      </c>
      <c r="BS252" s="1062">
        <f>'No Recurrentes 24-26'!DD111</f>
        <v>0</v>
      </c>
      <c r="BT252" s="1062">
        <f>'No Recurrentes 24-26'!DE111</f>
        <v>0</v>
      </c>
      <c r="BU252" s="1062">
        <f>'No Recurrentes 24-26'!DF111</f>
        <v>0</v>
      </c>
      <c r="BV252" s="1062">
        <f>'No Recurrentes 24-26'!DG111</f>
        <v>0</v>
      </c>
      <c r="BW252" s="1068"/>
      <c r="BX252" s="1062">
        <f>'No Recurrentes 24-26'!DH111</f>
        <v>31770.4512</v>
      </c>
      <c r="BY252" s="1062">
        <f>'No Recurrentes 24-26'!DI111</f>
        <v>0</v>
      </c>
      <c r="BZ252" s="1062">
        <f>'No Recurrentes 24-26'!DJ111</f>
        <v>0</v>
      </c>
      <c r="CA252" s="1062">
        <f>'No Recurrentes 24-26'!DK111</f>
        <v>0</v>
      </c>
      <c r="CB252" s="1062">
        <f>'No Recurrentes 24-26'!DL111</f>
        <v>0</v>
      </c>
      <c r="CC252" s="1062">
        <f>'No Recurrentes 24-26'!DM111</f>
        <v>0</v>
      </c>
      <c r="CD252" s="1062">
        <f>'No Recurrentes 24-26'!DN111</f>
        <v>0</v>
      </c>
      <c r="CE252" s="1062">
        <f>'No Recurrentes 24-26'!DO111</f>
        <v>0</v>
      </c>
      <c r="CF252" s="1062">
        <f>'No Recurrentes 24-26'!DP111</f>
        <v>0</v>
      </c>
      <c r="CG252" s="1062">
        <f>'No Recurrentes 24-26'!DQ111</f>
        <v>0</v>
      </c>
      <c r="CH252" s="1062">
        <f>'No Recurrentes 24-26'!DR111</f>
        <v>0</v>
      </c>
      <c r="CI252" s="1068"/>
      <c r="CJ252" s="1062">
        <f>'No Recurrentes 24-26'!DS111</f>
        <v>0</v>
      </c>
      <c r="CK252" s="1062">
        <f>'No Recurrentes 24-26'!DT111</f>
        <v>31770.4512</v>
      </c>
      <c r="CL252" s="1064" t="str">
        <f>'No Recurrentes 24-26'!DU111</f>
        <v/>
      </c>
      <c r="CM252" s="1064" t="str">
        <f>'No Recurrentes 24-26'!DV111</f>
        <v/>
      </c>
      <c r="CN252" s="1065">
        <f>'No Recurrentes 24-26'!EI110</f>
        <v>0.89</v>
      </c>
      <c r="CO252" s="1065">
        <f>'No Recurrentes 24-26'!EJ110</f>
        <v>0.76</v>
      </c>
      <c r="CP252" s="1060" t="str">
        <f>'No Recurrentes 24-26'!EK110</f>
        <v/>
      </c>
    </row>
    <row r="253">
      <c r="A253" s="451" t="str">
        <f>'No Recurrentes 24-26'!A112</f>
        <v>Repuestos Electromecánicos no recurrentes</v>
      </c>
      <c r="B253" s="451">
        <f>'No Recurrentes 24-26'!B112</f>
        <v>2</v>
      </c>
      <c r="C253" s="451" t="str">
        <f>'No Recurrentes 24-26'!C112</f>
        <v>Estación</v>
      </c>
      <c r="D253" s="451" t="str">
        <f>'No Recurrentes 24-26'!D112</f>
        <v>Manto. Eléctrico</v>
      </c>
      <c r="E253" s="451" t="str">
        <f>'No Recurrentes 24-26'!E112</f>
        <v>Repuesto Eléctrico</v>
      </c>
      <c r="F253" s="451" t="str">
        <f>'No Recurrentes 24-26'!F112</f>
        <v>TDB</v>
      </c>
      <c r="G253" s="1061" t="str">
        <f>'No Recurrentes 24-26'!G112</f>
        <v>39700</v>
      </c>
      <c r="H253" s="1061" t="str">
        <f>'No Recurrentes 24-26'!H112</f>
        <v>2-02-00388</v>
      </c>
      <c r="I253" s="1061" t="str">
        <f>'No Recurrentes 24-26'!I112</f>
        <v>11518383</v>
      </c>
      <c r="J253" s="1061" t="str">
        <f>'No Recurrentes 24-26'!J112</f>
        <v>ACOPLADOR FIBROÓPT. SBR-FX15000/RMD V2.0 Nº:12-20-540-80 MAES</v>
      </c>
      <c r="K253" s="451" t="str">
        <f>'No Recurrentes 24-26'!K112</f>
        <v>Pza</v>
      </c>
      <c r="L253" s="451" t="str">
        <f>'No Recurrentes 24-26'!BC112</f>
        <v/>
      </c>
      <c r="M253" s="451" t="str">
        <f>'No Recurrentes 24-26'!BD112</f>
        <v/>
      </c>
      <c r="N253" s="451" t="str">
        <f>'No Recurrentes 24-26'!BE112</f>
        <v/>
      </c>
      <c r="O253" s="451" t="str">
        <f>'No Recurrentes 24-26'!BF112</f>
        <v/>
      </c>
      <c r="P253" s="451" t="str">
        <f>'No Recurrentes 24-26'!BG112</f>
        <v/>
      </c>
      <c r="Q253" s="451">
        <f>'No Recurrentes 24-26'!BH112</f>
        <v>0</v>
      </c>
      <c r="R253" s="451" t="str">
        <f>'No Recurrentes 24-26'!BI112</f>
        <v/>
      </c>
      <c r="S253" s="451" t="str">
        <f>'No Recurrentes 24-26'!BJ112</f>
        <v/>
      </c>
      <c r="T253" s="451" t="str">
        <f>'No Recurrentes 24-26'!BK112</f>
        <v/>
      </c>
      <c r="U253" s="451" t="str">
        <f>'No Recurrentes 24-26'!BL112</f>
        <v/>
      </c>
      <c r="V253" s="1068"/>
      <c r="W253" s="1062">
        <f>'No Recurrentes 24-26'!BM112</f>
        <v>0</v>
      </c>
      <c r="X253" s="1062" t="str">
        <f>'No Recurrentes 24-26'!BN112</f>
        <v/>
      </c>
      <c r="Y253" s="1062" t="str">
        <f>'No Recurrentes 24-26'!BO112</f>
        <v/>
      </c>
      <c r="Z253" s="1062" t="str">
        <f>'No Recurrentes 24-26'!BP112</f>
        <v/>
      </c>
      <c r="AA253" s="1062" t="str">
        <f>'No Recurrentes 24-26'!BQ112</f>
        <v/>
      </c>
      <c r="AB253" s="1062" t="str">
        <f>'No Recurrentes 24-26'!BR112</f>
        <v/>
      </c>
      <c r="AC253" s="1062">
        <f>'No Recurrentes 24-26'!BS112</f>
        <v>1</v>
      </c>
      <c r="AD253" s="1062" t="str">
        <f>'No Recurrentes 24-26'!BT112</f>
        <v/>
      </c>
      <c r="AE253" s="1062" t="str">
        <f>'No Recurrentes 24-26'!BU112</f>
        <v/>
      </c>
      <c r="AF253" s="1062" t="str">
        <f>'No Recurrentes 24-26'!BV112</f>
        <v/>
      </c>
      <c r="AG253" s="1062" t="str">
        <f>'No Recurrentes 24-26'!BW112</f>
        <v/>
      </c>
      <c r="AH253" s="1068"/>
      <c r="AI253" s="1062">
        <f>'No Recurrentes 24-26'!BX112</f>
        <v>1</v>
      </c>
      <c r="AJ253" s="1062">
        <f>'No Recurrentes 24-26'!BY112</f>
        <v>0</v>
      </c>
      <c r="AK253" s="1062">
        <f>'No Recurrentes 24-26'!BZ112</f>
        <v>0</v>
      </c>
      <c r="AL253" s="1062">
        <f>'No Recurrentes 24-26'!CA112</f>
        <v>0</v>
      </c>
      <c r="AM253" s="1062">
        <f>'No Recurrentes 24-26'!CB112</f>
        <v>0</v>
      </c>
      <c r="AN253" s="1062">
        <f>'No Recurrentes 24-26'!CC112</f>
        <v>0</v>
      </c>
      <c r="AO253" s="1062">
        <f>'No Recurrentes 24-26'!CD112</f>
        <v>0</v>
      </c>
      <c r="AP253" s="1062">
        <f>'No Recurrentes 24-26'!CE112</f>
        <v>0</v>
      </c>
      <c r="AQ253" s="1062">
        <f>'No Recurrentes 24-26'!CF112</f>
        <v>0</v>
      </c>
      <c r="AR253" s="1062">
        <f>'No Recurrentes 24-26'!CG112</f>
        <v>0</v>
      </c>
      <c r="AS253" s="1062">
        <f>'No Recurrentes 24-26'!CH112</f>
        <v>0</v>
      </c>
      <c r="AT253" s="1068"/>
      <c r="AU253" s="1062">
        <f>'No Recurrentes 24-26'!CI112</f>
        <v>0</v>
      </c>
      <c r="AV253" s="1063">
        <f>'No Recurrentes 24-26'!CJ112</f>
        <v>1</v>
      </c>
      <c r="AW253" s="1068"/>
      <c r="AX253" s="1065">
        <f>'No Recurrentes 24-26'!CK112</f>
        <v>2681.4</v>
      </c>
      <c r="AY253" s="1062">
        <f>'No Recurrentes 24-26'!CL112</f>
        <v>18662.544</v>
      </c>
      <c r="AZ253" s="1068"/>
      <c r="BA253" s="1062">
        <f>'No Recurrentes 24-26'!CM112</f>
        <v>0</v>
      </c>
      <c r="BB253" s="1062">
        <f>'No Recurrentes 24-26'!CN112</f>
        <v>0</v>
      </c>
      <c r="BC253" s="1062">
        <f>'No Recurrentes 24-26'!CO112</f>
        <v>0</v>
      </c>
      <c r="BD253" s="1062">
        <f>'No Recurrentes 24-26'!CP112</f>
        <v>0</v>
      </c>
      <c r="BE253" s="1062">
        <f>'No Recurrentes 24-26'!CQ112</f>
        <v>0</v>
      </c>
      <c r="BF253" s="1062">
        <f>'No Recurrentes 24-26'!CR112</f>
        <v>0</v>
      </c>
      <c r="BG253" s="1062">
        <f>'No Recurrentes 24-26'!CS112</f>
        <v>0</v>
      </c>
      <c r="BH253" s="1062">
        <f>'No Recurrentes 24-26'!CT112</f>
        <v>0</v>
      </c>
      <c r="BI253" s="1062">
        <f>'No Recurrentes 24-26'!CU112</f>
        <v>0</v>
      </c>
      <c r="BJ253" s="1062">
        <f>'No Recurrentes 24-26'!CV112</f>
        <v>0</v>
      </c>
      <c r="BK253" s="1068"/>
      <c r="BL253" s="1062">
        <f>'No Recurrentes 24-26'!CW112</f>
        <v>0</v>
      </c>
      <c r="BM253" s="1062">
        <f>'No Recurrentes 24-26'!CX112</f>
        <v>0</v>
      </c>
      <c r="BN253" s="1062">
        <f>'No Recurrentes 24-26'!CY112</f>
        <v>0</v>
      </c>
      <c r="BO253" s="1062">
        <f>'No Recurrentes 24-26'!CZ112</f>
        <v>0</v>
      </c>
      <c r="BP253" s="1062">
        <f>'No Recurrentes 24-26'!DA112</f>
        <v>0</v>
      </c>
      <c r="BQ253" s="1062">
        <f>'No Recurrentes 24-26'!DB112</f>
        <v>0</v>
      </c>
      <c r="BR253" s="1062">
        <f>'No Recurrentes 24-26'!DC112</f>
        <v>18662.544</v>
      </c>
      <c r="BS253" s="1062">
        <f>'No Recurrentes 24-26'!DD112</f>
        <v>0</v>
      </c>
      <c r="BT253" s="1062">
        <f>'No Recurrentes 24-26'!DE112</f>
        <v>0</v>
      </c>
      <c r="BU253" s="1062">
        <f>'No Recurrentes 24-26'!DF112</f>
        <v>0</v>
      </c>
      <c r="BV253" s="1062">
        <f>'No Recurrentes 24-26'!DG112</f>
        <v>0</v>
      </c>
      <c r="BW253" s="1068"/>
      <c r="BX253" s="1062">
        <f>'No Recurrentes 24-26'!DH112</f>
        <v>18662.544</v>
      </c>
      <c r="BY253" s="1062">
        <f>'No Recurrentes 24-26'!DI112</f>
        <v>0</v>
      </c>
      <c r="BZ253" s="1062">
        <f>'No Recurrentes 24-26'!DJ112</f>
        <v>0</v>
      </c>
      <c r="CA253" s="1062">
        <f>'No Recurrentes 24-26'!DK112</f>
        <v>0</v>
      </c>
      <c r="CB253" s="1062">
        <f>'No Recurrentes 24-26'!DL112</f>
        <v>0</v>
      </c>
      <c r="CC253" s="1062">
        <f>'No Recurrentes 24-26'!DM112</f>
        <v>0</v>
      </c>
      <c r="CD253" s="1062">
        <f>'No Recurrentes 24-26'!DN112</f>
        <v>0</v>
      </c>
      <c r="CE253" s="1062">
        <f>'No Recurrentes 24-26'!DO112</f>
        <v>0</v>
      </c>
      <c r="CF253" s="1062">
        <f>'No Recurrentes 24-26'!DP112</f>
        <v>0</v>
      </c>
      <c r="CG253" s="1062">
        <f>'No Recurrentes 24-26'!DQ112</f>
        <v>0</v>
      </c>
      <c r="CH253" s="1062">
        <f>'No Recurrentes 24-26'!DR112</f>
        <v>0</v>
      </c>
      <c r="CI253" s="1068"/>
      <c r="CJ253" s="1062">
        <f>'No Recurrentes 24-26'!DS112</f>
        <v>0</v>
      </c>
      <c r="CK253" s="1062">
        <f>'No Recurrentes 24-26'!DT112</f>
        <v>18662.544</v>
      </c>
      <c r="CL253" s="1064" t="str">
        <f>'No Recurrentes 24-26'!DU112</f>
        <v>Se requiere con compatibilidad para Linea Azul</v>
      </c>
      <c r="CM253" s="1064" t="str">
        <f>'No Recurrentes 24-26'!DV112</f>
        <v>Es necesario version 1 para línea azul. Consultar que el que nos envìen sea compatible con al versión 1, en todas las estaciones de linea azul.
</v>
      </c>
      <c r="CN253" s="1065">
        <f>'No Recurrentes 24-26'!EI111</f>
        <v>4564.72</v>
      </c>
      <c r="CO253" s="1065">
        <f>'No Recurrentes 24-26'!EJ111</f>
        <v>3880.01</v>
      </c>
      <c r="CP253" s="1060" t="str">
        <f>'No Recurrentes 24-26'!EK111</f>
        <v/>
      </c>
    </row>
    <row r="254">
      <c r="A254" s="451" t="str">
        <f>'No Recurrentes 24-26'!A113</f>
        <v>Repuestos Electromecánicos no recurrentes</v>
      </c>
      <c r="B254" s="451">
        <f>'No Recurrentes 24-26'!B113</f>
        <v>2</v>
      </c>
      <c r="C254" s="451" t="str">
        <f>'No Recurrentes 24-26'!C113</f>
        <v>Estación</v>
      </c>
      <c r="D254" s="451" t="str">
        <f>'No Recurrentes 24-26'!D113</f>
        <v>Manto. Eléctrico</v>
      </c>
      <c r="E254" s="451" t="str">
        <f>'No Recurrentes 24-26'!E113</f>
        <v>Repuesto Eléctrico</v>
      </c>
      <c r="F254" s="451" t="str">
        <f>'No Recurrentes 24-26'!F113</f>
        <v>TDB</v>
      </c>
      <c r="G254" s="1061" t="str">
        <f>'No Recurrentes 24-26'!G113</f>
        <v>39700</v>
      </c>
      <c r="H254" s="1061" t="str">
        <f>'No Recurrentes 24-26'!H113</f>
        <v/>
      </c>
      <c r="I254" s="1061" t="str">
        <f>'No Recurrentes 24-26'!I113</f>
        <v>11525688</v>
      </c>
      <c r="J254" s="1061" t="str">
        <f>'No Recurrentes 24-26'!J113</f>
        <v>INTERR. ETHERNET 1XGOL          MONOMODO/4RJ45     WESTERMO</v>
      </c>
      <c r="K254" s="451" t="str">
        <f>'No Recurrentes 24-26'!K113</f>
        <v>Pza</v>
      </c>
      <c r="L254" s="451" t="str">
        <f>'No Recurrentes 24-26'!BC113</f>
        <v/>
      </c>
      <c r="M254" s="451" t="str">
        <f>'No Recurrentes 24-26'!BD113</f>
        <v/>
      </c>
      <c r="N254" s="451" t="str">
        <f>'No Recurrentes 24-26'!BE113</f>
        <v/>
      </c>
      <c r="O254" s="451" t="str">
        <f>'No Recurrentes 24-26'!BF113</f>
        <v/>
      </c>
      <c r="P254" s="451" t="str">
        <f>'No Recurrentes 24-26'!BG113</f>
        <v/>
      </c>
      <c r="Q254" s="451" t="str">
        <f>'No Recurrentes 24-26'!BH113</f>
        <v/>
      </c>
      <c r="R254" s="451" t="str">
        <f>'No Recurrentes 24-26'!BI113</f>
        <v/>
      </c>
      <c r="S254" s="451" t="str">
        <f>'No Recurrentes 24-26'!BJ113</f>
        <v/>
      </c>
      <c r="T254" s="451" t="str">
        <f>'No Recurrentes 24-26'!BK113</f>
        <v/>
      </c>
      <c r="U254" s="451" t="str">
        <f>'No Recurrentes 24-26'!BL113</f>
        <v/>
      </c>
      <c r="V254" s="1068"/>
      <c r="W254" s="1062">
        <f>'No Recurrentes 24-26'!BM113</f>
        <v>0</v>
      </c>
      <c r="X254" s="1062" t="str">
        <f>'No Recurrentes 24-26'!BN113</f>
        <v/>
      </c>
      <c r="Y254" s="1062" t="str">
        <f>'No Recurrentes 24-26'!BO113</f>
        <v/>
      </c>
      <c r="Z254" s="1062" t="str">
        <f>'No Recurrentes 24-26'!BP113</f>
        <v/>
      </c>
      <c r="AA254" s="1062">
        <f>'No Recurrentes 24-26'!BQ113</f>
        <v>1</v>
      </c>
      <c r="AB254" s="1062">
        <f>'No Recurrentes 24-26'!BR113</f>
        <v>1</v>
      </c>
      <c r="AC254" s="1062">
        <f>'No Recurrentes 24-26'!BS113</f>
        <v>1</v>
      </c>
      <c r="AD254" s="1062" t="str">
        <f>'No Recurrentes 24-26'!BT113</f>
        <v/>
      </c>
      <c r="AE254" s="1062" t="str">
        <f>'No Recurrentes 24-26'!BU113</f>
        <v/>
      </c>
      <c r="AF254" s="1062" t="str">
        <f>'No Recurrentes 24-26'!BV113</f>
        <v/>
      </c>
      <c r="AG254" s="1062">
        <f>'No Recurrentes 24-26'!BW113</f>
        <v>1</v>
      </c>
      <c r="AH254" s="1068"/>
      <c r="AI254" s="1062">
        <f>'No Recurrentes 24-26'!BX113</f>
        <v>4</v>
      </c>
      <c r="AJ254" s="1062">
        <f>'No Recurrentes 24-26'!BY113</f>
        <v>0</v>
      </c>
      <c r="AK254" s="1062">
        <f>'No Recurrentes 24-26'!BZ113</f>
        <v>0</v>
      </c>
      <c r="AL254" s="1062">
        <f>'No Recurrentes 24-26'!CA113</f>
        <v>0</v>
      </c>
      <c r="AM254" s="1062">
        <f>'No Recurrentes 24-26'!CB113</f>
        <v>0</v>
      </c>
      <c r="AN254" s="1062">
        <f>'No Recurrentes 24-26'!CC113</f>
        <v>0</v>
      </c>
      <c r="AO254" s="1062">
        <f>'No Recurrentes 24-26'!CD113</f>
        <v>0</v>
      </c>
      <c r="AP254" s="1062">
        <f>'No Recurrentes 24-26'!CE113</f>
        <v>0</v>
      </c>
      <c r="AQ254" s="1062">
        <f>'No Recurrentes 24-26'!CF113</f>
        <v>0</v>
      </c>
      <c r="AR254" s="1062">
        <f>'No Recurrentes 24-26'!CG113</f>
        <v>0</v>
      </c>
      <c r="AS254" s="1062">
        <f>'No Recurrentes 24-26'!CH113</f>
        <v>0</v>
      </c>
      <c r="AT254" s="1068"/>
      <c r="AU254" s="1062">
        <f>'No Recurrentes 24-26'!CI113</f>
        <v>0</v>
      </c>
      <c r="AV254" s="1063">
        <f>'No Recurrentes 24-26'!CJ113</f>
        <v>4</v>
      </c>
      <c r="AW254" s="1068"/>
      <c r="AX254" s="1065">
        <f>'No Recurrentes 24-26'!CK113</f>
        <v>998.02</v>
      </c>
      <c r="AY254" s="1062">
        <f>'No Recurrentes 24-26'!CL113</f>
        <v>6946.2192</v>
      </c>
      <c r="AZ254" s="1068"/>
      <c r="BA254" s="1062">
        <f>'No Recurrentes 24-26'!CM113</f>
        <v>0</v>
      </c>
      <c r="BB254" s="1062">
        <f>'No Recurrentes 24-26'!CN113</f>
        <v>0</v>
      </c>
      <c r="BC254" s="1062">
        <f>'No Recurrentes 24-26'!CO113</f>
        <v>0</v>
      </c>
      <c r="BD254" s="1062">
        <f>'No Recurrentes 24-26'!CP113</f>
        <v>0</v>
      </c>
      <c r="BE254" s="1062">
        <f>'No Recurrentes 24-26'!CQ113</f>
        <v>0</v>
      </c>
      <c r="BF254" s="1062">
        <f>'No Recurrentes 24-26'!CR113</f>
        <v>0</v>
      </c>
      <c r="BG254" s="1062">
        <f>'No Recurrentes 24-26'!CS113</f>
        <v>0</v>
      </c>
      <c r="BH254" s="1062">
        <f>'No Recurrentes 24-26'!CT113</f>
        <v>0</v>
      </c>
      <c r="BI254" s="1062">
        <f>'No Recurrentes 24-26'!CU113</f>
        <v>0</v>
      </c>
      <c r="BJ254" s="1062">
        <f>'No Recurrentes 24-26'!CV113</f>
        <v>0</v>
      </c>
      <c r="BK254" s="1068"/>
      <c r="BL254" s="1062">
        <f>'No Recurrentes 24-26'!CW113</f>
        <v>0</v>
      </c>
      <c r="BM254" s="1062">
        <f>'No Recurrentes 24-26'!CX113</f>
        <v>0</v>
      </c>
      <c r="BN254" s="1062">
        <f>'No Recurrentes 24-26'!CY113</f>
        <v>0</v>
      </c>
      <c r="BO254" s="1062">
        <f>'No Recurrentes 24-26'!CZ113</f>
        <v>0</v>
      </c>
      <c r="BP254" s="1062">
        <f>'No Recurrentes 24-26'!DA113</f>
        <v>6946.2192</v>
      </c>
      <c r="BQ254" s="1062">
        <f>'No Recurrentes 24-26'!DB113</f>
        <v>6946.2192</v>
      </c>
      <c r="BR254" s="1062">
        <f>'No Recurrentes 24-26'!DC113</f>
        <v>6946.2192</v>
      </c>
      <c r="BS254" s="1062">
        <f>'No Recurrentes 24-26'!DD113</f>
        <v>0</v>
      </c>
      <c r="BT254" s="1062">
        <f>'No Recurrentes 24-26'!DE113</f>
        <v>0</v>
      </c>
      <c r="BU254" s="1062">
        <f>'No Recurrentes 24-26'!DF113</f>
        <v>0</v>
      </c>
      <c r="BV254" s="1062">
        <f>'No Recurrentes 24-26'!DG113</f>
        <v>6946.2192</v>
      </c>
      <c r="BW254" s="1068"/>
      <c r="BX254" s="1062">
        <f>'No Recurrentes 24-26'!DH113</f>
        <v>27784.8768</v>
      </c>
      <c r="BY254" s="1062">
        <f>'No Recurrentes 24-26'!DI113</f>
        <v>0</v>
      </c>
      <c r="BZ254" s="1062">
        <f>'No Recurrentes 24-26'!DJ113</f>
        <v>0</v>
      </c>
      <c r="CA254" s="1062">
        <f>'No Recurrentes 24-26'!DK113</f>
        <v>0</v>
      </c>
      <c r="CB254" s="1062">
        <f>'No Recurrentes 24-26'!DL113</f>
        <v>0</v>
      </c>
      <c r="CC254" s="1062">
        <f>'No Recurrentes 24-26'!DM113</f>
        <v>0</v>
      </c>
      <c r="CD254" s="1062">
        <f>'No Recurrentes 24-26'!DN113</f>
        <v>0</v>
      </c>
      <c r="CE254" s="1062">
        <f>'No Recurrentes 24-26'!DO113</f>
        <v>0</v>
      </c>
      <c r="CF254" s="1062">
        <f>'No Recurrentes 24-26'!DP113</f>
        <v>0</v>
      </c>
      <c r="CG254" s="1062">
        <f>'No Recurrentes 24-26'!DQ113</f>
        <v>0</v>
      </c>
      <c r="CH254" s="1062">
        <f>'No Recurrentes 24-26'!DR113</f>
        <v>0</v>
      </c>
      <c r="CI254" s="1068"/>
      <c r="CJ254" s="1062">
        <f>'No Recurrentes 24-26'!DS113</f>
        <v>0</v>
      </c>
      <c r="CK254" s="1062">
        <f>'No Recurrentes 24-26'!DT113</f>
        <v>27784.8768</v>
      </c>
      <c r="CL254" s="1064" t="str">
        <f>'No Recurrentes 24-26'!DU113</f>
        <v/>
      </c>
      <c r="CM254" s="1064" t="str">
        <f>'No Recurrentes 24-26'!DV113</f>
        <v/>
      </c>
      <c r="CN254" s="1065">
        <f>'No Recurrentes 24-26'!EI112</f>
        <v>2681.4</v>
      </c>
      <c r="CO254" s="1065">
        <f>'No Recurrentes 24-26'!EJ112</f>
        <v>2279.19</v>
      </c>
      <c r="CP254" s="1060" t="str">
        <f>'No Recurrentes 24-26'!EK112</f>
        <v/>
      </c>
    </row>
    <row r="255">
      <c r="A255" s="451" t="str">
        <f>'No Recurrentes 24-26'!A114</f>
        <v>Repuestos Electromecánicos no recurrentes</v>
      </c>
      <c r="B255" s="451" t="str">
        <f>'No Recurrentes 24-26'!B114</f>
        <v/>
      </c>
      <c r="C255" s="451" t="str">
        <f>'No Recurrentes 24-26'!C114</f>
        <v>Estación</v>
      </c>
      <c r="D255" s="451" t="str">
        <f>'No Recurrentes 24-26'!D114</f>
        <v>Manto. Eléctrico</v>
      </c>
      <c r="E255" s="451" t="str">
        <f>'No Recurrentes 24-26'!E114</f>
        <v>Repuesto Eléctrico</v>
      </c>
      <c r="F255" s="451" t="str">
        <f>'No Recurrentes 24-26'!F114</f>
        <v>TDB</v>
      </c>
      <c r="G255" s="1061" t="str">
        <f>'No Recurrentes 24-26'!G114</f>
        <v>39700</v>
      </c>
      <c r="H255" s="1061" t="str">
        <f>'No Recurrentes 24-26'!H114</f>
        <v/>
      </c>
      <c r="I255" s="1061">
        <f>'No Recurrentes 24-26'!I114</f>
        <v>12046649</v>
      </c>
      <c r="J255" s="1061" t="str">
        <f>'No Recurrentes 24-26'!J114</f>
        <v>INTERRUPTOR DE POTENCIA (LEISTUNGSSCHALTER TMAX XT5H 630 3P KOMPL. F.AF300         ABB)</v>
      </c>
      <c r="K255" s="451" t="str">
        <f>'No Recurrentes 24-26'!K114</f>
        <v>Pza</v>
      </c>
      <c r="L255" s="451" t="str">
        <f>'No Recurrentes 24-26'!BC114</f>
        <v/>
      </c>
      <c r="M255" s="451" t="str">
        <f>'No Recurrentes 24-26'!BD114</f>
        <v/>
      </c>
      <c r="N255" s="451" t="str">
        <f>'No Recurrentes 24-26'!BE114</f>
        <v/>
      </c>
      <c r="O255" s="451">
        <f>'No Recurrentes 24-26'!BF114</f>
        <v>0</v>
      </c>
      <c r="P255" s="451" t="str">
        <f>'No Recurrentes 24-26'!BG114</f>
        <v/>
      </c>
      <c r="Q255" s="451" t="str">
        <f>'No Recurrentes 24-26'!BH114</f>
        <v/>
      </c>
      <c r="R255" s="451" t="str">
        <f>'No Recurrentes 24-26'!BI114</f>
        <v/>
      </c>
      <c r="S255" s="451" t="str">
        <f>'No Recurrentes 24-26'!BJ114</f>
        <v/>
      </c>
      <c r="T255" s="451" t="str">
        <f>'No Recurrentes 24-26'!BK114</f>
        <v/>
      </c>
      <c r="U255" s="451" t="str">
        <f>'No Recurrentes 24-26'!BL114</f>
        <v/>
      </c>
      <c r="V255" s="1068"/>
      <c r="W255" s="1062">
        <f>'No Recurrentes 24-26'!BM114</f>
        <v>0</v>
      </c>
      <c r="X255" s="1062" t="str">
        <f>'No Recurrentes 24-26'!BN114</f>
        <v/>
      </c>
      <c r="Y255" s="1062" t="str">
        <f>'No Recurrentes 24-26'!BO114</f>
        <v/>
      </c>
      <c r="Z255" s="1062" t="str">
        <f>'No Recurrentes 24-26'!BP114</f>
        <v/>
      </c>
      <c r="AA255" s="1062" t="str">
        <f>'No Recurrentes 24-26'!BQ114</f>
        <v/>
      </c>
      <c r="AB255" s="1062" t="str">
        <f>'No Recurrentes 24-26'!BR114</f>
        <v/>
      </c>
      <c r="AC255" s="1062" t="str">
        <f>'No Recurrentes 24-26'!BS114</f>
        <v/>
      </c>
      <c r="AD255" s="1062" t="str">
        <f>'No Recurrentes 24-26'!BT114</f>
        <v/>
      </c>
      <c r="AE255" s="1062" t="str">
        <f>'No Recurrentes 24-26'!BU114</f>
        <v/>
      </c>
      <c r="AF255" s="1062" t="str">
        <f>'No Recurrentes 24-26'!BV114</f>
        <v/>
      </c>
      <c r="AG255" s="1062" t="str">
        <f>'No Recurrentes 24-26'!BW114</f>
        <v/>
      </c>
      <c r="AH255" s="1068"/>
      <c r="AI255" s="1062">
        <f>'No Recurrentes 24-26'!BX114</f>
        <v>0</v>
      </c>
      <c r="AJ255" s="1062">
        <f>'No Recurrentes 24-26'!BY114</f>
        <v>0</v>
      </c>
      <c r="AK255" s="1062">
        <f>'No Recurrentes 24-26'!BZ114</f>
        <v>0</v>
      </c>
      <c r="AL255" s="1062">
        <f>'No Recurrentes 24-26'!CA114</f>
        <v>0</v>
      </c>
      <c r="AM255" s="1062">
        <f>'No Recurrentes 24-26'!CB114</f>
        <v>0</v>
      </c>
      <c r="AN255" s="1062">
        <f>'No Recurrentes 24-26'!CC114</f>
        <v>0</v>
      </c>
      <c r="AO255" s="1062">
        <f>'No Recurrentes 24-26'!CD114</f>
        <v>0</v>
      </c>
      <c r="AP255" s="1062">
        <f>'No Recurrentes 24-26'!CE114</f>
        <v>0</v>
      </c>
      <c r="AQ255" s="1062">
        <f>'No Recurrentes 24-26'!CF114</f>
        <v>0</v>
      </c>
      <c r="AR255" s="1062">
        <f>'No Recurrentes 24-26'!CG114</f>
        <v>0</v>
      </c>
      <c r="AS255" s="1062">
        <f>'No Recurrentes 24-26'!CH114</f>
        <v>0</v>
      </c>
      <c r="AT255" s="1068"/>
      <c r="AU255" s="1062">
        <f>'No Recurrentes 24-26'!CI114</f>
        <v>0</v>
      </c>
      <c r="AV255" s="1063">
        <f>'No Recurrentes 24-26'!CJ114</f>
        <v>0</v>
      </c>
      <c r="AW255" s="1068"/>
      <c r="AX255" s="1062" t="str">
        <f>'No Recurrentes 24-26'!CK114</f>
        <v/>
      </c>
      <c r="AY255" s="1062">
        <f>'No Recurrentes 24-26'!CL114</f>
        <v>26783.8978</v>
      </c>
      <c r="AZ255" s="1068"/>
      <c r="BA255" s="1062">
        <f>'No Recurrentes 24-26'!CM114</f>
        <v>0</v>
      </c>
      <c r="BB255" s="1062">
        <f>'No Recurrentes 24-26'!CN114</f>
        <v>0</v>
      </c>
      <c r="BC255" s="1062">
        <f>'No Recurrentes 24-26'!CO114</f>
        <v>0</v>
      </c>
      <c r="BD255" s="1062">
        <f>'No Recurrentes 24-26'!CP114</f>
        <v>0</v>
      </c>
      <c r="BE255" s="1062">
        <f>'No Recurrentes 24-26'!CQ114</f>
        <v>0</v>
      </c>
      <c r="BF255" s="1062">
        <f>'No Recurrentes 24-26'!CR114</f>
        <v>0</v>
      </c>
      <c r="BG255" s="1062">
        <f>'No Recurrentes 24-26'!CS114</f>
        <v>0</v>
      </c>
      <c r="BH255" s="1062">
        <f>'No Recurrentes 24-26'!CT114</f>
        <v>0</v>
      </c>
      <c r="BI255" s="1062">
        <f>'No Recurrentes 24-26'!CU114</f>
        <v>0</v>
      </c>
      <c r="BJ255" s="1062">
        <f>'No Recurrentes 24-26'!CV114</f>
        <v>0</v>
      </c>
      <c r="BK255" s="1068"/>
      <c r="BL255" s="1062">
        <f>'No Recurrentes 24-26'!CW114</f>
        <v>0</v>
      </c>
      <c r="BM255" s="1062">
        <f>'No Recurrentes 24-26'!CX114</f>
        <v>0</v>
      </c>
      <c r="BN255" s="1062">
        <f>'No Recurrentes 24-26'!CY114</f>
        <v>0</v>
      </c>
      <c r="BO255" s="1062">
        <f>'No Recurrentes 24-26'!CZ114</f>
        <v>0</v>
      </c>
      <c r="BP255" s="1062">
        <f>'No Recurrentes 24-26'!DA114</f>
        <v>0</v>
      </c>
      <c r="BQ255" s="1062">
        <f>'No Recurrentes 24-26'!DB114</f>
        <v>0</v>
      </c>
      <c r="BR255" s="1062">
        <f>'No Recurrentes 24-26'!DC114</f>
        <v>0</v>
      </c>
      <c r="BS255" s="1062">
        <f>'No Recurrentes 24-26'!DD114</f>
        <v>0</v>
      </c>
      <c r="BT255" s="1062">
        <f>'No Recurrentes 24-26'!DE114</f>
        <v>0</v>
      </c>
      <c r="BU255" s="1062">
        <f>'No Recurrentes 24-26'!DF114</f>
        <v>0</v>
      </c>
      <c r="BV255" s="1062">
        <f>'No Recurrentes 24-26'!DG114</f>
        <v>0</v>
      </c>
      <c r="BW255" s="1068"/>
      <c r="BX255" s="1062">
        <f>'No Recurrentes 24-26'!DH114</f>
        <v>0</v>
      </c>
      <c r="BY255" s="1062">
        <f>'No Recurrentes 24-26'!DI114</f>
        <v>0</v>
      </c>
      <c r="BZ255" s="1062">
        <f>'No Recurrentes 24-26'!DJ114</f>
        <v>0</v>
      </c>
      <c r="CA255" s="1062">
        <f>'No Recurrentes 24-26'!DK114</f>
        <v>0</v>
      </c>
      <c r="CB255" s="1062">
        <f>'No Recurrentes 24-26'!DL114</f>
        <v>0</v>
      </c>
      <c r="CC255" s="1062">
        <f>'No Recurrentes 24-26'!DM114</f>
        <v>0</v>
      </c>
      <c r="CD255" s="1062">
        <f>'No Recurrentes 24-26'!DN114</f>
        <v>0</v>
      </c>
      <c r="CE255" s="1062">
        <f>'No Recurrentes 24-26'!DO114</f>
        <v>0</v>
      </c>
      <c r="CF255" s="1062">
        <f>'No Recurrentes 24-26'!DP114</f>
        <v>0</v>
      </c>
      <c r="CG255" s="1062">
        <f>'No Recurrentes 24-26'!DQ114</f>
        <v>0</v>
      </c>
      <c r="CH255" s="1062">
        <f>'No Recurrentes 24-26'!DR114</f>
        <v>0</v>
      </c>
      <c r="CI255" s="1068"/>
      <c r="CJ255" s="1062">
        <f>'No Recurrentes 24-26'!DS114</f>
        <v>0</v>
      </c>
      <c r="CK255" s="1062">
        <f>'No Recurrentes 24-26'!DT114</f>
        <v>0</v>
      </c>
      <c r="CL255" s="1064" t="str">
        <f>'No Recurrentes 24-26'!DU114</f>
        <v/>
      </c>
      <c r="CM255" s="1064" t="str">
        <f>'No Recurrentes 24-26'!DV114</f>
        <v/>
      </c>
      <c r="CN255" s="1065">
        <f>'No Recurrentes 24-26'!EI113</f>
        <v>998.02</v>
      </c>
      <c r="CO255" s="1065">
        <f>'No Recurrentes 24-26'!EJ113</f>
        <v>848.32</v>
      </c>
      <c r="CP255" s="1060" t="str">
        <f>'No Recurrentes 24-26'!EK113</f>
        <v/>
      </c>
    </row>
    <row r="256">
      <c r="A256" s="451" t="str">
        <f>'No Recurrentes 24-26'!A115</f>
        <v>Repuestos Electromecánicos no recurrentes</v>
      </c>
      <c r="B256" s="451">
        <f>'No Recurrentes 24-26'!B115</f>
        <v>2</v>
      </c>
      <c r="C256" s="451" t="str">
        <f>'No Recurrentes 24-26'!C115</f>
        <v>Estación</v>
      </c>
      <c r="D256" s="451" t="str">
        <f>'No Recurrentes 24-26'!D115</f>
        <v>Manto. Eléctrico</v>
      </c>
      <c r="E256" s="451" t="str">
        <f>'No Recurrentes 24-26'!E115</f>
        <v>Repuesto Eléctrico</v>
      </c>
      <c r="F256" s="451" t="str">
        <f>'No Recurrentes 24-26'!F115</f>
        <v>TDB</v>
      </c>
      <c r="G256" s="1061" t="str">
        <f>'No Recurrentes 24-26'!G115</f>
        <v>39700</v>
      </c>
      <c r="H256" s="1061" t="str">
        <f>'No Recurrentes 24-26'!H115</f>
        <v/>
      </c>
      <c r="I256" s="1061" t="str">
        <f>'No Recurrentes 24-26'!I115</f>
        <v>10593193</v>
      </c>
      <c r="J256" s="1061" t="str">
        <f>'No Recurrentes 24-26'!J115</f>
        <v>CARGADOR SKYLLA-TG 24/50  AJUSTADO   VICTRON ENERGY</v>
      </c>
      <c r="K256" s="451" t="str">
        <f>'No Recurrentes 24-26'!K115</f>
        <v>Pza</v>
      </c>
      <c r="L256" s="451" t="str">
        <f>'No Recurrentes 24-26'!BC115</f>
        <v/>
      </c>
      <c r="M256" s="451" t="str">
        <f>'No Recurrentes 24-26'!BD115</f>
        <v/>
      </c>
      <c r="N256" s="451" t="str">
        <f>'No Recurrentes 24-26'!BE115</f>
        <v/>
      </c>
      <c r="O256" s="451" t="str">
        <f>'No Recurrentes 24-26'!BF115</f>
        <v/>
      </c>
      <c r="P256" s="451" t="str">
        <f>'No Recurrentes 24-26'!BG115</f>
        <v/>
      </c>
      <c r="Q256" s="451" t="str">
        <f>'No Recurrentes 24-26'!BH115</f>
        <v/>
      </c>
      <c r="R256" s="451" t="str">
        <f>'No Recurrentes 24-26'!BI115</f>
        <v/>
      </c>
      <c r="S256" s="451" t="str">
        <f>'No Recurrentes 24-26'!BJ115</f>
        <v/>
      </c>
      <c r="T256" s="451" t="str">
        <f>'No Recurrentes 24-26'!BK115</f>
        <v/>
      </c>
      <c r="U256" s="451" t="str">
        <f>'No Recurrentes 24-26'!BL115</f>
        <v/>
      </c>
      <c r="V256" s="1068"/>
      <c r="W256" s="1062">
        <f>'No Recurrentes 24-26'!BM115</f>
        <v>0</v>
      </c>
      <c r="X256" s="1062" t="str">
        <f>'No Recurrentes 24-26'!BN115</f>
        <v/>
      </c>
      <c r="Y256" s="1062" t="str">
        <f>'No Recurrentes 24-26'!BO115</f>
        <v/>
      </c>
      <c r="Z256" s="1062" t="str">
        <f>'No Recurrentes 24-26'!BP115</f>
        <v/>
      </c>
      <c r="AA256" s="1062" t="str">
        <f>'No Recurrentes 24-26'!BQ115</f>
        <v/>
      </c>
      <c r="AB256" s="1062" t="str">
        <f>'No Recurrentes 24-26'!BR115</f>
        <v/>
      </c>
      <c r="AC256" s="1062" t="str">
        <f>'No Recurrentes 24-26'!BS115</f>
        <v/>
      </c>
      <c r="AD256" s="1062" t="str">
        <f>'No Recurrentes 24-26'!BT115</f>
        <v/>
      </c>
      <c r="AE256" s="1062">
        <f>'No Recurrentes 24-26'!BU115</f>
        <v>1</v>
      </c>
      <c r="AF256" s="1062" t="str">
        <f>'No Recurrentes 24-26'!BV115</f>
        <v/>
      </c>
      <c r="AG256" s="1062" t="str">
        <f>'No Recurrentes 24-26'!BW115</f>
        <v/>
      </c>
      <c r="AH256" s="1068"/>
      <c r="AI256" s="1062">
        <f>'No Recurrentes 24-26'!BX115</f>
        <v>1</v>
      </c>
      <c r="AJ256" s="1062">
        <f>'No Recurrentes 24-26'!BY115</f>
        <v>0</v>
      </c>
      <c r="AK256" s="1062">
        <f>'No Recurrentes 24-26'!BZ115</f>
        <v>0</v>
      </c>
      <c r="AL256" s="1062">
        <f>'No Recurrentes 24-26'!CA115</f>
        <v>0</v>
      </c>
      <c r="AM256" s="1062">
        <f>'No Recurrentes 24-26'!CB115</f>
        <v>0</v>
      </c>
      <c r="AN256" s="1062">
        <f>'No Recurrentes 24-26'!CC115</f>
        <v>0</v>
      </c>
      <c r="AO256" s="1062">
        <f>'No Recurrentes 24-26'!CD115</f>
        <v>0</v>
      </c>
      <c r="AP256" s="1062">
        <f>'No Recurrentes 24-26'!CE115</f>
        <v>0</v>
      </c>
      <c r="AQ256" s="1062">
        <f>'No Recurrentes 24-26'!CF115</f>
        <v>0</v>
      </c>
      <c r="AR256" s="1062">
        <f>'No Recurrentes 24-26'!CG115</f>
        <v>0</v>
      </c>
      <c r="AS256" s="1062">
        <f>'No Recurrentes 24-26'!CH115</f>
        <v>0</v>
      </c>
      <c r="AT256" s="1068"/>
      <c r="AU256" s="1062">
        <f>'No Recurrentes 24-26'!CI115</f>
        <v>0</v>
      </c>
      <c r="AV256" s="1063">
        <f>'No Recurrentes 24-26'!CJ115</f>
        <v>1</v>
      </c>
      <c r="AW256" s="1068"/>
      <c r="AX256" s="1065">
        <f>'No Recurrentes 24-26'!CK115</f>
        <v>2796.23</v>
      </c>
      <c r="AY256" s="1062">
        <f>'No Recurrentes 24-26'!CL115</f>
        <v>19461.7608</v>
      </c>
      <c r="AZ256" s="1068"/>
      <c r="BA256" s="1062">
        <f>'No Recurrentes 24-26'!CM115</f>
        <v>0</v>
      </c>
      <c r="BB256" s="1062">
        <f>'No Recurrentes 24-26'!CN115</f>
        <v>0</v>
      </c>
      <c r="BC256" s="1062">
        <f>'No Recurrentes 24-26'!CO115</f>
        <v>0</v>
      </c>
      <c r="BD256" s="1062">
        <f>'No Recurrentes 24-26'!CP115</f>
        <v>0</v>
      </c>
      <c r="BE256" s="1062">
        <f>'No Recurrentes 24-26'!CQ115</f>
        <v>0</v>
      </c>
      <c r="BF256" s="1062">
        <f>'No Recurrentes 24-26'!CR115</f>
        <v>0</v>
      </c>
      <c r="BG256" s="1062">
        <f>'No Recurrentes 24-26'!CS115</f>
        <v>0</v>
      </c>
      <c r="BH256" s="1062">
        <f>'No Recurrentes 24-26'!CT115</f>
        <v>0</v>
      </c>
      <c r="BI256" s="1062">
        <f>'No Recurrentes 24-26'!CU115</f>
        <v>0</v>
      </c>
      <c r="BJ256" s="1062">
        <f>'No Recurrentes 24-26'!CV115</f>
        <v>0</v>
      </c>
      <c r="BK256" s="1068"/>
      <c r="BL256" s="1062">
        <f>'No Recurrentes 24-26'!CW115</f>
        <v>0</v>
      </c>
      <c r="BM256" s="1062">
        <f>'No Recurrentes 24-26'!CX115</f>
        <v>0</v>
      </c>
      <c r="BN256" s="1062">
        <f>'No Recurrentes 24-26'!CY115</f>
        <v>0</v>
      </c>
      <c r="BO256" s="1062">
        <f>'No Recurrentes 24-26'!CZ115</f>
        <v>0</v>
      </c>
      <c r="BP256" s="1062">
        <f>'No Recurrentes 24-26'!DA115</f>
        <v>0</v>
      </c>
      <c r="BQ256" s="1062">
        <f>'No Recurrentes 24-26'!DB115</f>
        <v>0</v>
      </c>
      <c r="BR256" s="1062">
        <f>'No Recurrentes 24-26'!DC115</f>
        <v>0</v>
      </c>
      <c r="BS256" s="1062">
        <f>'No Recurrentes 24-26'!DD115</f>
        <v>0</v>
      </c>
      <c r="BT256" s="1062">
        <f>'No Recurrentes 24-26'!DE115</f>
        <v>19461.7608</v>
      </c>
      <c r="BU256" s="1062">
        <f>'No Recurrentes 24-26'!DF115</f>
        <v>0</v>
      </c>
      <c r="BV256" s="1062">
        <f>'No Recurrentes 24-26'!DG115</f>
        <v>0</v>
      </c>
      <c r="BW256" s="1068"/>
      <c r="BX256" s="1062">
        <f>'No Recurrentes 24-26'!DH115</f>
        <v>19461.7608</v>
      </c>
      <c r="BY256" s="1062">
        <f>'No Recurrentes 24-26'!DI115</f>
        <v>0</v>
      </c>
      <c r="BZ256" s="1062">
        <f>'No Recurrentes 24-26'!DJ115</f>
        <v>0</v>
      </c>
      <c r="CA256" s="1062">
        <f>'No Recurrentes 24-26'!DK115</f>
        <v>0</v>
      </c>
      <c r="CB256" s="1062">
        <f>'No Recurrentes 24-26'!DL115</f>
        <v>0</v>
      </c>
      <c r="CC256" s="1062">
        <f>'No Recurrentes 24-26'!DM115</f>
        <v>0</v>
      </c>
      <c r="CD256" s="1062">
        <f>'No Recurrentes 24-26'!DN115</f>
        <v>0</v>
      </c>
      <c r="CE256" s="1062">
        <f>'No Recurrentes 24-26'!DO115</f>
        <v>0</v>
      </c>
      <c r="CF256" s="1062">
        <f>'No Recurrentes 24-26'!DP115</f>
        <v>0</v>
      </c>
      <c r="CG256" s="1062">
        <f>'No Recurrentes 24-26'!DQ115</f>
        <v>0</v>
      </c>
      <c r="CH256" s="1062">
        <f>'No Recurrentes 24-26'!DR115</f>
        <v>0</v>
      </c>
      <c r="CI256" s="1068"/>
      <c r="CJ256" s="1062">
        <f>'No Recurrentes 24-26'!DS115</f>
        <v>0</v>
      </c>
      <c r="CK256" s="1062">
        <f>'No Recurrentes 24-26'!DT115</f>
        <v>19461.7608</v>
      </c>
      <c r="CL256" s="1064" t="str">
        <f>'No Recurrentes 24-26'!DU115</f>
        <v/>
      </c>
      <c r="CM256" s="1064" t="str">
        <f>'No Recurrentes 24-26'!DV115</f>
        <v>Se tuvo un incremento del 74%</v>
      </c>
      <c r="CN256" s="1060">
        <f>'No Recurrentes 24-26'!EI114</f>
        <v>1</v>
      </c>
      <c r="CO256" s="1060" t="str">
        <f>'No Recurrentes 24-26'!EJ114</f>
        <v/>
      </c>
      <c r="CP256" s="1060" t="str">
        <f>'No Recurrentes 24-26'!EK114</f>
        <v/>
      </c>
    </row>
    <row r="257">
      <c r="A257" s="451" t="str">
        <f>'No Recurrentes 24-26'!A116</f>
        <v>Repuestos Electromecánicos no recurrentes</v>
      </c>
      <c r="B257" s="451">
        <f>'No Recurrentes 24-26'!B116</f>
        <v>2</v>
      </c>
      <c r="C257" s="451" t="str">
        <f>'No Recurrentes 24-26'!C116</f>
        <v>Estación</v>
      </c>
      <c r="D257" s="451" t="str">
        <f>'No Recurrentes 24-26'!D116</f>
        <v>Manto. Eléctrico</v>
      </c>
      <c r="E257" s="451" t="str">
        <f>'No Recurrentes 24-26'!E116</f>
        <v>Repuesto Eléctrico</v>
      </c>
      <c r="F257" s="451" t="str">
        <f>'No Recurrentes 24-26'!F116</f>
        <v>TDB</v>
      </c>
      <c r="G257" s="1061" t="str">
        <f>'No Recurrentes 24-26'!G116</f>
        <v>39700</v>
      </c>
      <c r="H257" s="1061" t="str">
        <f>'No Recurrentes 24-26'!H116</f>
        <v>2-02-00003</v>
      </c>
      <c r="I257" s="1061" t="str">
        <f>'No Recurrentes 24-26'!I116</f>
        <v>10763595</v>
      </c>
      <c r="J257" s="1061" t="str">
        <f>'No Recurrentes 24-26'!J116</f>
        <v>CONTACTOR K3-50A00.230      CA                BENEDIKT&amp;JAEGER</v>
      </c>
      <c r="K257" s="451" t="str">
        <f>'No Recurrentes 24-26'!K116</f>
        <v>Pza</v>
      </c>
      <c r="L257" s="451" t="str">
        <f>'No Recurrentes 24-26'!BC116</f>
        <v/>
      </c>
      <c r="M257" s="451" t="str">
        <f>'No Recurrentes 24-26'!BD116</f>
        <v/>
      </c>
      <c r="N257" s="451" t="str">
        <f>'No Recurrentes 24-26'!BE116</f>
        <v/>
      </c>
      <c r="O257" s="451" t="str">
        <f>'No Recurrentes 24-26'!BF116</f>
        <v/>
      </c>
      <c r="P257" s="451" t="str">
        <f>'No Recurrentes 24-26'!BG116</f>
        <v/>
      </c>
      <c r="Q257" s="451" t="str">
        <f>'No Recurrentes 24-26'!BH116</f>
        <v/>
      </c>
      <c r="R257" s="451" t="str">
        <f>'No Recurrentes 24-26'!BI116</f>
        <v/>
      </c>
      <c r="S257" s="451" t="str">
        <f>'No Recurrentes 24-26'!BJ116</f>
        <v/>
      </c>
      <c r="T257" s="451" t="str">
        <f>'No Recurrentes 24-26'!BK116</f>
        <v/>
      </c>
      <c r="U257" s="451" t="str">
        <f>'No Recurrentes 24-26'!BL116</f>
        <v/>
      </c>
      <c r="V257" s="1068"/>
      <c r="W257" s="1062">
        <f>'No Recurrentes 24-26'!BM116</f>
        <v>0</v>
      </c>
      <c r="X257" s="1062" t="str">
        <f>'No Recurrentes 24-26'!BN116</f>
        <v/>
      </c>
      <c r="Y257" s="1062" t="str">
        <f>'No Recurrentes 24-26'!BO116</f>
        <v/>
      </c>
      <c r="Z257" s="1062">
        <f>'No Recurrentes 24-26'!BP116</f>
        <v>1</v>
      </c>
      <c r="AA257" s="1062">
        <f>'No Recurrentes 24-26'!BQ116</f>
        <v>2</v>
      </c>
      <c r="AB257" s="1062">
        <f>'No Recurrentes 24-26'!BR116</f>
        <v>1</v>
      </c>
      <c r="AC257" s="1062">
        <f>'No Recurrentes 24-26'!BS116</f>
        <v>1</v>
      </c>
      <c r="AD257" s="1062" t="str">
        <f>'No Recurrentes 24-26'!BT116</f>
        <v/>
      </c>
      <c r="AE257" s="1062" t="str">
        <f>'No Recurrentes 24-26'!BU116</f>
        <v/>
      </c>
      <c r="AF257" s="1062" t="str">
        <f>'No Recurrentes 24-26'!BV116</f>
        <v/>
      </c>
      <c r="AG257" s="1062" t="str">
        <f>'No Recurrentes 24-26'!BW116</f>
        <v/>
      </c>
      <c r="AH257" s="1068"/>
      <c r="AI257" s="1062">
        <f>'No Recurrentes 24-26'!BX116</f>
        <v>5</v>
      </c>
      <c r="AJ257" s="1062">
        <f>'No Recurrentes 24-26'!BY116</f>
        <v>1</v>
      </c>
      <c r="AK257" s="1062">
        <f>'No Recurrentes 24-26'!BZ116</f>
        <v>0</v>
      </c>
      <c r="AL257" s="1062">
        <f>'No Recurrentes 24-26'!CA116</f>
        <v>0</v>
      </c>
      <c r="AM257" s="1062">
        <f>'No Recurrentes 24-26'!CB116</f>
        <v>2</v>
      </c>
      <c r="AN257" s="1062">
        <f>'No Recurrentes 24-26'!CC116</f>
        <v>1</v>
      </c>
      <c r="AO257" s="1062">
        <f>'No Recurrentes 24-26'!CD116</f>
        <v>1</v>
      </c>
      <c r="AP257" s="1062">
        <f>'No Recurrentes 24-26'!CE116</f>
        <v>0</v>
      </c>
      <c r="AQ257" s="1062">
        <f>'No Recurrentes 24-26'!CF116</f>
        <v>0</v>
      </c>
      <c r="AR257" s="1062">
        <f>'No Recurrentes 24-26'!CG116</f>
        <v>0</v>
      </c>
      <c r="AS257" s="1062">
        <f>'No Recurrentes 24-26'!CH116</f>
        <v>0</v>
      </c>
      <c r="AT257" s="1068"/>
      <c r="AU257" s="1062">
        <f>'No Recurrentes 24-26'!CI116</f>
        <v>5</v>
      </c>
      <c r="AV257" s="1063">
        <f>'No Recurrentes 24-26'!CJ116</f>
        <v>10</v>
      </c>
      <c r="AW257" s="1068"/>
      <c r="AX257" s="1065">
        <f>'No Recurrentes 24-26'!CK116</f>
        <v>244.2</v>
      </c>
      <c r="AY257" s="1062">
        <f>'No Recurrentes 24-26'!CL116</f>
        <v>1699.632</v>
      </c>
      <c r="AZ257" s="1068"/>
      <c r="BA257" s="1062">
        <f>'No Recurrentes 24-26'!CM116</f>
        <v>0</v>
      </c>
      <c r="BB257" s="1062">
        <f>'No Recurrentes 24-26'!CN116</f>
        <v>0</v>
      </c>
      <c r="BC257" s="1062">
        <f>'No Recurrentes 24-26'!CO116</f>
        <v>0</v>
      </c>
      <c r="BD257" s="1062">
        <f>'No Recurrentes 24-26'!CP116</f>
        <v>0</v>
      </c>
      <c r="BE257" s="1062">
        <f>'No Recurrentes 24-26'!CQ116</f>
        <v>0</v>
      </c>
      <c r="BF257" s="1062">
        <f>'No Recurrentes 24-26'!CR116</f>
        <v>0</v>
      </c>
      <c r="BG257" s="1062">
        <f>'No Recurrentes 24-26'!CS116</f>
        <v>0</v>
      </c>
      <c r="BH257" s="1062">
        <f>'No Recurrentes 24-26'!CT116</f>
        <v>0</v>
      </c>
      <c r="BI257" s="1062">
        <f>'No Recurrentes 24-26'!CU116</f>
        <v>0</v>
      </c>
      <c r="BJ257" s="1062">
        <f>'No Recurrentes 24-26'!CV116</f>
        <v>0</v>
      </c>
      <c r="BK257" s="1068"/>
      <c r="BL257" s="1062">
        <f>'No Recurrentes 24-26'!CW116</f>
        <v>0</v>
      </c>
      <c r="BM257" s="1062">
        <f>'No Recurrentes 24-26'!CX116</f>
        <v>0</v>
      </c>
      <c r="BN257" s="1062">
        <f>'No Recurrentes 24-26'!CY116</f>
        <v>0</v>
      </c>
      <c r="BO257" s="1062">
        <f>'No Recurrentes 24-26'!CZ116</f>
        <v>1699.632</v>
      </c>
      <c r="BP257" s="1062">
        <f>'No Recurrentes 24-26'!DA116</f>
        <v>3399.264</v>
      </c>
      <c r="BQ257" s="1062">
        <f>'No Recurrentes 24-26'!DB116</f>
        <v>1699.632</v>
      </c>
      <c r="BR257" s="1062">
        <f>'No Recurrentes 24-26'!DC116</f>
        <v>1699.632</v>
      </c>
      <c r="BS257" s="1062">
        <f>'No Recurrentes 24-26'!DD116</f>
        <v>0</v>
      </c>
      <c r="BT257" s="1062">
        <f>'No Recurrentes 24-26'!DE116</f>
        <v>0</v>
      </c>
      <c r="BU257" s="1062">
        <f>'No Recurrentes 24-26'!DF116</f>
        <v>0</v>
      </c>
      <c r="BV257" s="1062">
        <f>'No Recurrentes 24-26'!DG116</f>
        <v>0</v>
      </c>
      <c r="BW257" s="1068"/>
      <c r="BX257" s="1062">
        <f>'No Recurrentes 24-26'!DH116</f>
        <v>8498.16</v>
      </c>
      <c r="BY257" s="1062">
        <f>'No Recurrentes 24-26'!DI116</f>
        <v>1699.632</v>
      </c>
      <c r="BZ257" s="1062">
        <f>'No Recurrentes 24-26'!DJ116</f>
        <v>0</v>
      </c>
      <c r="CA257" s="1062">
        <f>'No Recurrentes 24-26'!DK116</f>
        <v>0</v>
      </c>
      <c r="CB257" s="1062">
        <f>'No Recurrentes 24-26'!DL116</f>
        <v>3399.264</v>
      </c>
      <c r="CC257" s="1062">
        <f>'No Recurrentes 24-26'!DM116</f>
        <v>1699.632</v>
      </c>
      <c r="CD257" s="1062">
        <f>'No Recurrentes 24-26'!DN116</f>
        <v>1699.632</v>
      </c>
      <c r="CE257" s="1062">
        <f>'No Recurrentes 24-26'!DO116</f>
        <v>0</v>
      </c>
      <c r="CF257" s="1062">
        <f>'No Recurrentes 24-26'!DP116</f>
        <v>0</v>
      </c>
      <c r="CG257" s="1062">
        <f>'No Recurrentes 24-26'!DQ116</f>
        <v>0</v>
      </c>
      <c r="CH257" s="1062">
        <f>'No Recurrentes 24-26'!DR116</f>
        <v>0</v>
      </c>
      <c r="CI257" s="1068"/>
      <c r="CJ257" s="1062">
        <f>'No Recurrentes 24-26'!DS116</f>
        <v>8498.16</v>
      </c>
      <c r="CK257" s="1062">
        <f>'No Recurrentes 24-26'!DT116</f>
        <v>16996.32</v>
      </c>
      <c r="CL257" s="1064" t="str">
        <f>'No Recurrentes 24-26'!DU116</f>
        <v/>
      </c>
      <c r="CM257" s="1064" t="str">
        <f>'No Recurrentes 24-26'!DV116</f>
        <v/>
      </c>
      <c r="CN257" s="1065">
        <f>'No Recurrentes 24-26'!EI115</f>
        <v>2796.23</v>
      </c>
      <c r="CO257" s="1065">
        <f>'No Recurrentes 24-26'!EJ115</f>
        <v>2376.8</v>
      </c>
      <c r="CP257" s="1060" t="str">
        <f>'No Recurrentes 24-26'!EK115</f>
        <v/>
      </c>
    </row>
    <row r="258">
      <c r="A258" s="451" t="str">
        <f>'No Recurrentes 24-26'!A117</f>
        <v>Repuestos Electromecánicos no recurrentes</v>
      </c>
      <c r="B258" s="451">
        <f>'No Recurrentes 24-26'!B117</f>
        <v>2</v>
      </c>
      <c r="C258" s="451" t="str">
        <f>'No Recurrentes 24-26'!C117</f>
        <v>Estación</v>
      </c>
      <c r="D258" s="451" t="str">
        <f>'No Recurrentes 24-26'!D117</f>
        <v>Manto. Eléctrico</v>
      </c>
      <c r="E258" s="451" t="str">
        <f>'No Recurrentes 24-26'!E117</f>
        <v>Repuesto Eléctrico</v>
      </c>
      <c r="F258" s="451" t="str">
        <f>'No Recurrentes 24-26'!F117</f>
        <v>TDB</v>
      </c>
      <c r="G258" s="1061" t="str">
        <f>'No Recurrentes 24-26'!G117</f>
        <v>39700</v>
      </c>
      <c r="H258" s="1061" t="str">
        <f>'No Recurrentes 24-26'!H117</f>
        <v/>
      </c>
      <c r="I258" s="1061" t="str">
        <f>'No Recurrentes 24-26'!I117</f>
        <v>11867163</v>
      </c>
      <c r="J258" s="1061" t="str">
        <f>'No Recurrentes 24-26'!J117</f>
        <v>MOTORSCHUTZSCHALT. 30,0- 42,0A MS165-42                   ABB</v>
      </c>
      <c r="K258" s="451" t="str">
        <f>'No Recurrentes 24-26'!K117</f>
        <v>Pza</v>
      </c>
      <c r="L258" s="451" t="str">
        <f>'No Recurrentes 24-26'!BC117</f>
        <v/>
      </c>
      <c r="M258" s="451" t="str">
        <f>'No Recurrentes 24-26'!BD117</f>
        <v/>
      </c>
      <c r="N258" s="451" t="str">
        <f>'No Recurrentes 24-26'!BE117</f>
        <v/>
      </c>
      <c r="O258" s="451" t="str">
        <f>'No Recurrentes 24-26'!BF117</f>
        <v/>
      </c>
      <c r="P258" s="451" t="str">
        <f>'No Recurrentes 24-26'!BG117</f>
        <v/>
      </c>
      <c r="Q258" s="451" t="str">
        <f>'No Recurrentes 24-26'!BH117</f>
        <v/>
      </c>
      <c r="R258" s="451" t="str">
        <f>'No Recurrentes 24-26'!BI117</f>
        <v/>
      </c>
      <c r="S258" s="451" t="str">
        <f>'No Recurrentes 24-26'!BJ117</f>
        <v/>
      </c>
      <c r="T258" s="451" t="str">
        <f>'No Recurrentes 24-26'!BK117</f>
        <v/>
      </c>
      <c r="U258" s="451" t="str">
        <f>'No Recurrentes 24-26'!BL117</f>
        <v/>
      </c>
      <c r="V258" s="1068"/>
      <c r="W258" s="1062">
        <f>'No Recurrentes 24-26'!BM117</f>
        <v>0</v>
      </c>
      <c r="X258" s="1062" t="str">
        <f>'No Recurrentes 24-26'!BN117</f>
        <v/>
      </c>
      <c r="Y258" s="1062" t="str">
        <f>'No Recurrentes 24-26'!BO117</f>
        <v/>
      </c>
      <c r="Z258" s="1062" t="str">
        <f>'No Recurrentes 24-26'!BP117</f>
        <v/>
      </c>
      <c r="AA258" s="1062">
        <f>'No Recurrentes 24-26'!BQ117</f>
        <v>1</v>
      </c>
      <c r="AB258" s="1062">
        <f>'No Recurrentes 24-26'!BR117</f>
        <v>1</v>
      </c>
      <c r="AC258" s="1062" t="str">
        <f>'No Recurrentes 24-26'!BS117</f>
        <v/>
      </c>
      <c r="AD258" s="1062" t="str">
        <f>'No Recurrentes 24-26'!BT117</f>
        <v/>
      </c>
      <c r="AE258" s="1062" t="str">
        <f>'No Recurrentes 24-26'!BU117</f>
        <v/>
      </c>
      <c r="AF258" s="1062" t="str">
        <f>'No Recurrentes 24-26'!BV117</f>
        <v/>
      </c>
      <c r="AG258" s="1062" t="str">
        <f>'No Recurrentes 24-26'!BW117</f>
        <v/>
      </c>
      <c r="AH258" s="1068"/>
      <c r="AI258" s="1062">
        <f>'No Recurrentes 24-26'!BX117</f>
        <v>2</v>
      </c>
      <c r="AJ258" s="1062">
        <f>'No Recurrentes 24-26'!BY117</f>
        <v>0</v>
      </c>
      <c r="AK258" s="1062">
        <f>'No Recurrentes 24-26'!BZ117</f>
        <v>0</v>
      </c>
      <c r="AL258" s="1062">
        <f>'No Recurrentes 24-26'!CA117</f>
        <v>0</v>
      </c>
      <c r="AM258" s="1062">
        <f>'No Recurrentes 24-26'!CB117</f>
        <v>1</v>
      </c>
      <c r="AN258" s="1062">
        <f>'No Recurrentes 24-26'!CC117</f>
        <v>1</v>
      </c>
      <c r="AO258" s="1062">
        <f>'No Recurrentes 24-26'!CD117</f>
        <v>0</v>
      </c>
      <c r="AP258" s="1062">
        <f>'No Recurrentes 24-26'!CE117</f>
        <v>0</v>
      </c>
      <c r="AQ258" s="1062">
        <f>'No Recurrentes 24-26'!CF117</f>
        <v>0</v>
      </c>
      <c r="AR258" s="1062">
        <f>'No Recurrentes 24-26'!CG117</f>
        <v>0</v>
      </c>
      <c r="AS258" s="1062">
        <f>'No Recurrentes 24-26'!CH117</f>
        <v>0</v>
      </c>
      <c r="AT258" s="1068"/>
      <c r="AU258" s="1062">
        <f>'No Recurrentes 24-26'!CI117</f>
        <v>2</v>
      </c>
      <c r="AV258" s="1063">
        <f>'No Recurrentes 24-26'!CJ117</f>
        <v>4</v>
      </c>
      <c r="AW258" s="1068"/>
      <c r="AX258" s="1065">
        <f>'No Recurrentes 24-26'!CK117</f>
        <v>473.94</v>
      </c>
      <c r="AY258" s="1062">
        <f>'No Recurrentes 24-26'!CL117</f>
        <v>3298.6224</v>
      </c>
      <c r="AZ258" s="1068"/>
      <c r="BA258" s="1062">
        <f>'No Recurrentes 24-26'!CM117</f>
        <v>0</v>
      </c>
      <c r="BB258" s="1062">
        <f>'No Recurrentes 24-26'!CN117</f>
        <v>0</v>
      </c>
      <c r="BC258" s="1062">
        <f>'No Recurrentes 24-26'!CO117</f>
        <v>0</v>
      </c>
      <c r="BD258" s="1062">
        <f>'No Recurrentes 24-26'!CP117</f>
        <v>0</v>
      </c>
      <c r="BE258" s="1062">
        <f>'No Recurrentes 24-26'!CQ117</f>
        <v>0</v>
      </c>
      <c r="BF258" s="1062">
        <f>'No Recurrentes 24-26'!CR117</f>
        <v>0</v>
      </c>
      <c r="BG258" s="1062">
        <f>'No Recurrentes 24-26'!CS117</f>
        <v>0</v>
      </c>
      <c r="BH258" s="1062">
        <f>'No Recurrentes 24-26'!CT117</f>
        <v>0</v>
      </c>
      <c r="BI258" s="1062">
        <f>'No Recurrentes 24-26'!CU117</f>
        <v>0</v>
      </c>
      <c r="BJ258" s="1062">
        <f>'No Recurrentes 24-26'!CV117</f>
        <v>0</v>
      </c>
      <c r="BK258" s="1068"/>
      <c r="BL258" s="1062">
        <f>'No Recurrentes 24-26'!CW117</f>
        <v>0</v>
      </c>
      <c r="BM258" s="1062">
        <f>'No Recurrentes 24-26'!CX117</f>
        <v>0</v>
      </c>
      <c r="BN258" s="1062">
        <f>'No Recurrentes 24-26'!CY117</f>
        <v>0</v>
      </c>
      <c r="BO258" s="1062">
        <f>'No Recurrentes 24-26'!CZ117</f>
        <v>0</v>
      </c>
      <c r="BP258" s="1062">
        <f>'No Recurrentes 24-26'!DA117</f>
        <v>3298.6224</v>
      </c>
      <c r="BQ258" s="1062">
        <f>'No Recurrentes 24-26'!DB117</f>
        <v>3298.6224</v>
      </c>
      <c r="BR258" s="1062">
        <f>'No Recurrentes 24-26'!DC117</f>
        <v>0</v>
      </c>
      <c r="BS258" s="1062">
        <f>'No Recurrentes 24-26'!DD117</f>
        <v>0</v>
      </c>
      <c r="BT258" s="1062">
        <f>'No Recurrentes 24-26'!DE117</f>
        <v>0</v>
      </c>
      <c r="BU258" s="1062">
        <f>'No Recurrentes 24-26'!DF117</f>
        <v>0</v>
      </c>
      <c r="BV258" s="1062">
        <f>'No Recurrentes 24-26'!DG117</f>
        <v>0</v>
      </c>
      <c r="BW258" s="1068"/>
      <c r="BX258" s="1062">
        <f>'No Recurrentes 24-26'!DH117</f>
        <v>6597.2448</v>
      </c>
      <c r="BY258" s="1062">
        <f>'No Recurrentes 24-26'!DI117</f>
        <v>0</v>
      </c>
      <c r="BZ258" s="1062">
        <f>'No Recurrentes 24-26'!DJ117</f>
        <v>0</v>
      </c>
      <c r="CA258" s="1062">
        <f>'No Recurrentes 24-26'!DK117</f>
        <v>0</v>
      </c>
      <c r="CB258" s="1062">
        <f>'No Recurrentes 24-26'!DL117</f>
        <v>3298.6224</v>
      </c>
      <c r="CC258" s="1062">
        <f>'No Recurrentes 24-26'!DM117</f>
        <v>3298.6224</v>
      </c>
      <c r="CD258" s="1062">
        <f>'No Recurrentes 24-26'!DN117</f>
        <v>0</v>
      </c>
      <c r="CE258" s="1062">
        <f>'No Recurrentes 24-26'!DO117</f>
        <v>0</v>
      </c>
      <c r="CF258" s="1062">
        <f>'No Recurrentes 24-26'!DP117</f>
        <v>0</v>
      </c>
      <c r="CG258" s="1062">
        <f>'No Recurrentes 24-26'!DQ117</f>
        <v>0</v>
      </c>
      <c r="CH258" s="1062">
        <f>'No Recurrentes 24-26'!DR117</f>
        <v>0</v>
      </c>
      <c r="CI258" s="1068"/>
      <c r="CJ258" s="1062">
        <f>'No Recurrentes 24-26'!DS117</f>
        <v>6597.2448</v>
      </c>
      <c r="CK258" s="1062">
        <f>'No Recurrentes 24-26'!DT117</f>
        <v>13194.4896</v>
      </c>
      <c r="CL258" s="1064" t="str">
        <f>'No Recurrentes 24-26'!DU117</f>
        <v/>
      </c>
      <c r="CM258" s="1064" t="str">
        <f>'No Recurrentes 24-26'!DV117</f>
        <v/>
      </c>
      <c r="CN258" s="1065">
        <f>'No Recurrentes 24-26'!EI116</f>
        <v>244.2</v>
      </c>
      <c r="CO258" s="1065">
        <f>'No Recurrentes 24-26'!EJ116</f>
        <v>207.57</v>
      </c>
      <c r="CP258" s="1060" t="str">
        <f>'No Recurrentes 24-26'!EK116</f>
        <v/>
      </c>
    </row>
    <row r="259">
      <c r="A259" s="451" t="str">
        <f>'No Recurrentes 24-26'!A118</f>
        <v>Repuestos Electromecánicos no recurrentes</v>
      </c>
      <c r="B259" s="451">
        <f>'No Recurrentes 24-26'!B118</f>
        <v>2</v>
      </c>
      <c r="C259" s="451" t="str">
        <f>'No Recurrentes 24-26'!C118</f>
        <v>Estación</v>
      </c>
      <c r="D259" s="451" t="str">
        <f>'No Recurrentes 24-26'!D118</f>
        <v>Manto. Eléctrico</v>
      </c>
      <c r="E259" s="451" t="str">
        <f>'No Recurrentes 24-26'!E118</f>
        <v>Repuesto Eléctrico</v>
      </c>
      <c r="F259" s="451" t="str">
        <f>'No Recurrentes 24-26'!F118</f>
        <v>TDB</v>
      </c>
      <c r="G259" s="1061" t="str">
        <f>'No Recurrentes 24-26'!G118</f>
        <v>39700</v>
      </c>
      <c r="H259" s="1061" t="str">
        <f>'No Recurrentes 24-26'!H118</f>
        <v/>
      </c>
      <c r="I259" s="1061" t="str">
        <f>'No Recurrentes 24-26'!I118</f>
        <v>11536054</v>
      </c>
      <c r="J259" s="1061" t="str">
        <f>'No Recurrentes 24-26'!J118</f>
        <v>FI-SCHALTER 5SV3 646-8     63A AUSLOESESTROM 0,3A     SIEMENS</v>
      </c>
      <c r="K259" s="451" t="str">
        <f>'No Recurrentes 24-26'!K118</f>
        <v>Pza</v>
      </c>
      <c r="L259" s="451" t="str">
        <f>'No Recurrentes 24-26'!BC118</f>
        <v/>
      </c>
      <c r="M259" s="451" t="str">
        <f>'No Recurrentes 24-26'!BD118</f>
        <v/>
      </c>
      <c r="N259" s="451" t="str">
        <f>'No Recurrentes 24-26'!BE118</f>
        <v/>
      </c>
      <c r="O259" s="451" t="str">
        <f>'No Recurrentes 24-26'!BF118</f>
        <v/>
      </c>
      <c r="P259" s="451" t="str">
        <f>'No Recurrentes 24-26'!BG118</f>
        <v/>
      </c>
      <c r="Q259" s="451" t="str">
        <f>'No Recurrentes 24-26'!BH118</f>
        <v/>
      </c>
      <c r="R259" s="451" t="str">
        <f>'No Recurrentes 24-26'!BI118</f>
        <v/>
      </c>
      <c r="S259" s="451" t="str">
        <f>'No Recurrentes 24-26'!BJ118</f>
        <v/>
      </c>
      <c r="T259" s="451" t="str">
        <f>'No Recurrentes 24-26'!BK118</f>
        <v/>
      </c>
      <c r="U259" s="451" t="str">
        <f>'No Recurrentes 24-26'!BL118</f>
        <v/>
      </c>
      <c r="V259" s="1068"/>
      <c r="W259" s="1062">
        <f>'No Recurrentes 24-26'!BM118</f>
        <v>0</v>
      </c>
      <c r="X259" s="1062" t="str">
        <f>'No Recurrentes 24-26'!BN118</f>
        <v/>
      </c>
      <c r="Y259" s="1062" t="str">
        <f>'No Recurrentes 24-26'!BO118</f>
        <v/>
      </c>
      <c r="Z259" s="1062" t="str">
        <f>'No Recurrentes 24-26'!BP118</f>
        <v/>
      </c>
      <c r="AA259" s="1062">
        <f>'No Recurrentes 24-26'!BQ118</f>
        <v>1</v>
      </c>
      <c r="AB259" s="1062">
        <f>'No Recurrentes 24-26'!BR118</f>
        <v>1</v>
      </c>
      <c r="AC259" s="1062" t="str">
        <f>'No Recurrentes 24-26'!BS118</f>
        <v/>
      </c>
      <c r="AD259" s="1062" t="str">
        <f>'No Recurrentes 24-26'!BT118</f>
        <v/>
      </c>
      <c r="AE259" s="1062" t="str">
        <f>'No Recurrentes 24-26'!BU118</f>
        <v/>
      </c>
      <c r="AF259" s="1062" t="str">
        <f>'No Recurrentes 24-26'!BV118</f>
        <v/>
      </c>
      <c r="AG259" s="1062" t="str">
        <f>'No Recurrentes 24-26'!BW118</f>
        <v/>
      </c>
      <c r="AH259" s="1068"/>
      <c r="AI259" s="1062">
        <f>'No Recurrentes 24-26'!BX118</f>
        <v>2</v>
      </c>
      <c r="AJ259" s="1062">
        <f>'No Recurrentes 24-26'!BY118</f>
        <v>0</v>
      </c>
      <c r="AK259" s="1062">
        <f>'No Recurrentes 24-26'!BZ118</f>
        <v>0</v>
      </c>
      <c r="AL259" s="1062">
        <f>'No Recurrentes 24-26'!CA118</f>
        <v>0</v>
      </c>
      <c r="AM259" s="1062">
        <f>'No Recurrentes 24-26'!CB118</f>
        <v>1</v>
      </c>
      <c r="AN259" s="1062">
        <f>'No Recurrentes 24-26'!CC118</f>
        <v>1</v>
      </c>
      <c r="AO259" s="1062">
        <f>'No Recurrentes 24-26'!CD118</f>
        <v>0</v>
      </c>
      <c r="AP259" s="1062">
        <f>'No Recurrentes 24-26'!CE118</f>
        <v>0</v>
      </c>
      <c r="AQ259" s="1062">
        <f>'No Recurrentes 24-26'!CF118</f>
        <v>0</v>
      </c>
      <c r="AR259" s="1062">
        <f>'No Recurrentes 24-26'!CG118</f>
        <v>0</v>
      </c>
      <c r="AS259" s="1062">
        <f>'No Recurrentes 24-26'!CH118</f>
        <v>0</v>
      </c>
      <c r="AT259" s="1068"/>
      <c r="AU259" s="1062">
        <f>'No Recurrentes 24-26'!CI118</f>
        <v>2</v>
      </c>
      <c r="AV259" s="1063">
        <f>'No Recurrentes 24-26'!CJ118</f>
        <v>4</v>
      </c>
      <c r="AW259" s="1068"/>
      <c r="AX259" s="1065">
        <f>'No Recurrentes 24-26'!CK118</f>
        <v>447.44</v>
      </c>
      <c r="AY259" s="1062">
        <f>'No Recurrentes 24-26'!CL118</f>
        <v>3114.1824</v>
      </c>
      <c r="AZ259" s="1068"/>
      <c r="BA259" s="1062">
        <f>'No Recurrentes 24-26'!CM118</f>
        <v>0</v>
      </c>
      <c r="BB259" s="1062">
        <f>'No Recurrentes 24-26'!CN118</f>
        <v>0</v>
      </c>
      <c r="BC259" s="1062">
        <f>'No Recurrentes 24-26'!CO118</f>
        <v>0</v>
      </c>
      <c r="BD259" s="1062">
        <f>'No Recurrentes 24-26'!CP118</f>
        <v>0</v>
      </c>
      <c r="BE259" s="1062">
        <f>'No Recurrentes 24-26'!CQ118</f>
        <v>0</v>
      </c>
      <c r="BF259" s="1062">
        <f>'No Recurrentes 24-26'!CR118</f>
        <v>0</v>
      </c>
      <c r="BG259" s="1062">
        <f>'No Recurrentes 24-26'!CS118</f>
        <v>0</v>
      </c>
      <c r="BH259" s="1062">
        <f>'No Recurrentes 24-26'!CT118</f>
        <v>0</v>
      </c>
      <c r="BI259" s="1062">
        <f>'No Recurrentes 24-26'!CU118</f>
        <v>0</v>
      </c>
      <c r="BJ259" s="1062">
        <f>'No Recurrentes 24-26'!CV118</f>
        <v>0</v>
      </c>
      <c r="BK259" s="1068"/>
      <c r="BL259" s="1062">
        <f>'No Recurrentes 24-26'!CW118</f>
        <v>0</v>
      </c>
      <c r="BM259" s="1062">
        <f>'No Recurrentes 24-26'!CX118</f>
        <v>0</v>
      </c>
      <c r="BN259" s="1062">
        <f>'No Recurrentes 24-26'!CY118</f>
        <v>0</v>
      </c>
      <c r="BO259" s="1062">
        <f>'No Recurrentes 24-26'!CZ118</f>
        <v>0</v>
      </c>
      <c r="BP259" s="1062">
        <f>'No Recurrentes 24-26'!DA118</f>
        <v>3114.1824</v>
      </c>
      <c r="BQ259" s="1062">
        <f>'No Recurrentes 24-26'!DB118</f>
        <v>3114.1824</v>
      </c>
      <c r="BR259" s="1062">
        <f>'No Recurrentes 24-26'!DC118</f>
        <v>0</v>
      </c>
      <c r="BS259" s="1062">
        <f>'No Recurrentes 24-26'!DD118</f>
        <v>0</v>
      </c>
      <c r="BT259" s="1062">
        <f>'No Recurrentes 24-26'!DE118</f>
        <v>0</v>
      </c>
      <c r="BU259" s="1062">
        <f>'No Recurrentes 24-26'!DF118</f>
        <v>0</v>
      </c>
      <c r="BV259" s="1062">
        <f>'No Recurrentes 24-26'!DG118</f>
        <v>0</v>
      </c>
      <c r="BW259" s="1068"/>
      <c r="BX259" s="1062">
        <f>'No Recurrentes 24-26'!DH118</f>
        <v>6228.3648</v>
      </c>
      <c r="BY259" s="1062">
        <f>'No Recurrentes 24-26'!DI118</f>
        <v>0</v>
      </c>
      <c r="BZ259" s="1062">
        <f>'No Recurrentes 24-26'!DJ118</f>
        <v>0</v>
      </c>
      <c r="CA259" s="1062">
        <f>'No Recurrentes 24-26'!DK118</f>
        <v>0</v>
      </c>
      <c r="CB259" s="1062">
        <f>'No Recurrentes 24-26'!DL118</f>
        <v>3114.1824</v>
      </c>
      <c r="CC259" s="1062">
        <f>'No Recurrentes 24-26'!DM118</f>
        <v>3114.1824</v>
      </c>
      <c r="CD259" s="1062">
        <f>'No Recurrentes 24-26'!DN118</f>
        <v>0</v>
      </c>
      <c r="CE259" s="1062">
        <f>'No Recurrentes 24-26'!DO118</f>
        <v>0</v>
      </c>
      <c r="CF259" s="1062">
        <f>'No Recurrentes 24-26'!DP118</f>
        <v>0</v>
      </c>
      <c r="CG259" s="1062">
        <f>'No Recurrentes 24-26'!DQ118</f>
        <v>0</v>
      </c>
      <c r="CH259" s="1062">
        <f>'No Recurrentes 24-26'!DR118</f>
        <v>0</v>
      </c>
      <c r="CI259" s="1068"/>
      <c r="CJ259" s="1062">
        <f>'No Recurrentes 24-26'!DS118</f>
        <v>6228.3648</v>
      </c>
      <c r="CK259" s="1062">
        <f>'No Recurrentes 24-26'!DT118</f>
        <v>12456.7296</v>
      </c>
      <c r="CL259" s="1064" t="str">
        <f>'No Recurrentes 24-26'!DU118</f>
        <v/>
      </c>
      <c r="CM259" s="1064" t="str">
        <f>'No Recurrentes 24-26'!DV118</f>
        <v/>
      </c>
      <c r="CN259" s="1065">
        <f>'No Recurrentes 24-26'!EI117</f>
        <v>473.94</v>
      </c>
      <c r="CO259" s="1065">
        <f>'No Recurrentes 24-26'!EJ117</f>
        <v>402.85</v>
      </c>
      <c r="CP259" s="1060" t="str">
        <f>'No Recurrentes 24-26'!EK117</f>
        <v/>
      </c>
    </row>
    <row r="260">
      <c r="A260" s="451" t="str">
        <f>'No Recurrentes 24-26'!A119</f>
        <v>Repuestos Electromecánicos no recurrentes</v>
      </c>
      <c r="B260" s="451">
        <f>'No Recurrentes 24-26'!B119</f>
        <v>2</v>
      </c>
      <c r="C260" s="451" t="str">
        <f>'No Recurrentes 24-26'!C119</f>
        <v>Estación</v>
      </c>
      <c r="D260" s="451" t="str">
        <f>'No Recurrentes 24-26'!D119</f>
        <v>Manto. Eléctrico</v>
      </c>
      <c r="E260" s="451" t="str">
        <f>'No Recurrentes 24-26'!E119</f>
        <v>Repuesto Eléctrico</v>
      </c>
      <c r="F260" s="451" t="str">
        <f>'No Recurrentes 24-26'!F119</f>
        <v>TDB</v>
      </c>
      <c r="G260" s="1061" t="str">
        <f>'No Recurrentes 24-26'!G119</f>
        <v>39700</v>
      </c>
      <c r="H260" s="1061" t="str">
        <f>'No Recurrentes 24-26'!H119</f>
        <v>2-02-00379</v>
      </c>
      <c r="I260" s="1061" t="str">
        <f>'No Recurrentes 24-26'!I119</f>
        <v>11100172</v>
      </c>
      <c r="J260" s="1061" t="str">
        <f>'No Recurrentes 24-26'!J119</f>
        <v>INTERRUPT.CORR.FI 5SU1 354-6KK06 6A CORR.LIBER. 0,03A SIEMENS</v>
      </c>
      <c r="K260" s="451" t="str">
        <f>'No Recurrentes 24-26'!K119</f>
        <v>Pza</v>
      </c>
      <c r="L260" s="451" t="str">
        <f>'No Recurrentes 24-26'!BC119</f>
        <v/>
      </c>
      <c r="M260" s="451" t="str">
        <f>'No Recurrentes 24-26'!BD119</f>
        <v/>
      </c>
      <c r="N260" s="451" t="str">
        <f>'No Recurrentes 24-26'!BE119</f>
        <v/>
      </c>
      <c r="O260" s="451" t="str">
        <f>'No Recurrentes 24-26'!BF119</f>
        <v/>
      </c>
      <c r="P260" s="451" t="str">
        <f>'No Recurrentes 24-26'!BG119</f>
        <v/>
      </c>
      <c r="Q260" s="451" t="str">
        <f>'No Recurrentes 24-26'!BH119</f>
        <v/>
      </c>
      <c r="R260" s="451" t="str">
        <f>'No Recurrentes 24-26'!BI119</f>
        <v/>
      </c>
      <c r="S260" s="451" t="str">
        <f>'No Recurrentes 24-26'!BJ119</f>
        <v/>
      </c>
      <c r="T260" s="451" t="str">
        <f>'No Recurrentes 24-26'!BK119</f>
        <v/>
      </c>
      <c r="U260" s="451" t="str">
        <f>'No Recurrentes 24-26'!BL119</f>
        <v/>
      </c>
      <c r="V260" s="1068"/>
      <c r="W260" s="1062">
        <f>'No Recurrentes 24-26'!BM119</f>
        <v>0</v>
      </c>
      <c r="X260" s="1062" t="str">
        <f>'No Recurrentes 24-26'!BN119</f>
        <v/>
      </c>
      <c r="Y260" s="1062" t="str">
        <f>'No Recurrentes 24-26'!BO119</f>
        <v/>
      </c>
      <c r="Z260" s="1062" t="str">
        <f>'No Recurrentes 24-26'!BP119</f>
        <v/>
      </c>
      <c r="AA260" s="1062">
        <f>'No Recurrentes 24-26'!BQ119</f>
        <v>1</v>
      </c>
      <c r="AB260" s="1062">
        <f>'No Recurrentes 24-26'!BR119</f>
        <v>1</v>
      </c>
      <c r="AC260" s="1062">
        <f>'No Recurrentes 24-26'!BS119</f>
        <v>1</v>
      </c>
      <c r="AD260" s="1062" t="str">
        <f>'No Recurrentes 24-26'!BT119</f>
        <v/>
      </c>
      <c r="AE260" s="1062" t="str">
        <f>'No Recurrentes 24-26'!BU119</f>
        <v/>
      </c>
      <c r="AF260" s="1062" t="str">
        <f>'No Recurrentes 24-26'!BV119</f>
        <v/>
      </c>
      <c r="AG260" s="1062">
        <f>'No Recurrentes 24-26'!BW119</f>
        <v>1</v>
      </c>
      <c r="AH260" s="1068"/>
      <c r="AI260" s="1062">
        <f>'No Recurrentes 24-26'!BX119</f>
        <v>4</v>
      </c>
      <c r="AJ260" s="1062">
        <f>'No Recurrentes 24-26'!BY119</f>
        <v>0</v>
      </c>
      <c r="AK260" s="1062">
        <f>'No Recurrentes 24-26'!BZ119</f>
        <v>0</v>
      </c>
      <c r="AL260" s="1062">
        <f>'No Recurrentes 24-26'!CA119</f>
        <v>0</v>
      </c>
      <c r="AM260" s="1062">
        <f>'No Recurrentes 24-26'!CB119</f>
        <v>1</v>
      </c>
      <c r="AN260" s="1062">
        <f>'No Recurrentes 24-26'!CC119</f>
        <v>1</v>
      </c>
      <c r="AO260" s="1062">
        <f>'No Recurrentes 24-26'!CD119</f>
        <v>1</v>
      </c>
      <c r="AP260" s="1062">
        <f>'No Recurrentes 24-26'!CE119</f>
        <v>0</v>
      </c>
      <c r="AQ260" s="1062">
        <f>'No Recurrentes 24-26'!CF119</f>
        <v>0</v>
      </c>
      <c r="AR260" s="1062">
        <f>'No Recurrentes 24-26'!CG119</f>
        <v>0</v>
      </c>
      <c r="AS260" s="1062">
        <f>'No Recurrentes 24-26'!CH119</f>
        <v>0</v>
      </c>
      <c r="AT260" s="1068"/>
      <c r="AU260" s="1062">
        <f>'No Recurrentes 24-26'!CI119</f>
        <v>3</v>
      </c>
      <c r="AV260" s="1063">
        <f>'No Recurrentes 24-26'!CJ119</f>
        <v>7</v>
      </c>
      <c r="AW260" s="1068"/>
      <c r="AX260" s="1065">
        <f>'No Recurrentes 24-26'!CK119</f>
        <v>268.12</v>
      </c>
      <c r="AY260" s="1062">
        <f>'No Recurrentes 24-26'!CL119</f>
        <v>1866.1152</v>
      </c>
      <c r="AZ260" s="1068"/>
      <c r="BA260" s="1062">
        <f>'No Recurrentes 24-26'!CM119</f>
        <v>0</v>
      </c>
      <c r="BB260" s="1062">
        <f>'No Recurrentes 24-26'!CN119</f>
        <v>0</v>
      </c>
      <c r="BC260" s="1062">
        <f>'No Recurrentes 24-26'!CO119</f>
        <v>0</v>
      </c>
      <c r="BD260" s="1062">
        <f>'No Recurrentes 24-26'!CP119</f>
        <v>0</v>
      </c>
      <c r="BE260" s="1062">
        <f>'No Recurrentes 24-26'!CQ119</f>
        <v>0</v>
      </c>
      <c r="BF260" s="1062">
        <f>'No Recurrentes 24-26'!CR119</f>
        <v>0</v>
      </c>
      <c r="BG260" s="1062">
        <f>'No Recurrentes 24-26'!CS119</f>
        <v>0</v>
      </c>
      <c r="BH260" s="1062">
        <f>'No Recurrentes 24-26'!CT119</f>
        <v>0</v>
      </c>
      <c r="BI260" s="1062">
        <f>'No Recurrentes 24-26'!CU119</f>
        <v>0</v>
      </c>
      <c r="BJ260" s="1062">
        <f>'No Recurrentes 24-26'!CV119</f>
        <v>0</v>
      </c>
      <c r="BK260" s="1068"/>
      <c r="BL260" s="1062">
        <f>'No Recurrentes 24-26'!CW119</f>
        <v>0</v>
      </c>
      <c r="BM260" s="1062">
        <f>'No Recurrentes 24-26'!CX119</f>
        <v>0</v>
      </c>
      <c r="BN260" s="1062">
        <f>'No Recurrentes 24-26'!CY119</f>
        <v>0</v>
      </c>
      <c r="BO260" s="1062">
        <f>'No Recurrentes 24-26'!CZ119</f>
        <v>0</v>
      </c>
      <c r="BP260" s="1062">
        <f>'No Recurrentes 24-26'!DA119</f>
        <v>1866.1152</v>
      </c>
      <c r="BQ260" s="1062">
        <f>'No Recurrentes 24-26'!DB119</f>
        <v>1866.1152</v>
      </c>
      <c r="BR260" s="1062">
        <f>'No Recurrentes 24-26'!DC119</f>
        <v>1866.1152</v>
      </c>
      <c r="BS260" s="1062">
        <f>'No Recurrentes 24-26'!DD119</f>
        <v>0</v>
      </c>
      <c r="BT260" s="1062">
        <f>'No Recurrentes 24-26'!DE119</f>
        <v>0</v>
      </c>
      <c r="BU260" s="1062">
        <f>'No Recurrentes 24-26'!DF119</f>
        <v>0</v>
      </c>
      <c r="BV260" s="1062">
        <f>'No Recurrentes 24-26'!DG119</f>
        <v>1866.1152</v>
      </c>
      <c r="BW260" s="1068"/>
      <c r="BX260" s="1062">
        <f>'No Recurrentes 24-26'!DH119</f>
        <v>7464.4608</v>
      </c>
      <c r="BY260" s="1062">
        <f>'No Recurrentes 24-26'!DI119</f>
        <v>0</v>
      </c>
      <c r="BZ260" s="1062">
        <f>'No Recurrentes 24-26'!DJ119</f>
        <v>0</v>
      </c>
      <c r="CA260" s="1062">
        <f>'No Recurrentes 24-26'!DK119</f>
        <v>0</v>
      </c>
      <c r="CB260" s="1062">
        <f>'No Recurrentes 24-26'!DL119</f>
        <v>1866.1152</v>
      </c>
      <c r="CC260" s="1062">
        <f>'No Recurrentes 24-26'!DM119</f>
        <v>1866.1152</v>
      </c>
      <c r="CD260" s="1062">
        <f>'No Recurrentes 24-26'!DN119</f>
        <v>1866.1152</v>
      </c>
      <c r="CE260" s="1062">
        <f>'No Recurrentes 24-26'!DO119</f>
        <v>0</v>
      </c>
      <c r="CF260" s="1062">
        <f>'No Recurrentes 24-26'!DP119</f>
        <v>0</v>
      </c>
      <c r="CG260" s="1062">
        <f>'No Recurrentes 24-26'!DQ119</f>
        <v>0</v>
      </c>
      <c r="CH260" s="1062">
        <f>'No Recurrentes 24-26'!DR119</f>
        <v>0</v>
      </c>
      <c r="CI260" s="1068"/>
      <c r="CJ260" s="1062">
        <f>'No Recurrentes 24-26'!DS119</f>
        <v>5598.3456</v>
      </c>
      <c r="CK260" s="1062">
        <f>'No Recurrentes 24-26'!DT119</f>
        <v>13062.8064</v>
      </c>
      <c r="CL260" s="1064" t="str">
        <f>'No Recurrentes 24-26'!DU119</f>
        <v/>
      </c>
      <c r="CM260" s="1064" t="str">
        <f>'No Recurrentes 24-26'!DV119</f>
        <v/>
      </c>
      <c r="CN260" s="1065">
        <f>'No Recurrentes 24-26'!EI118</f>
        <v>447.44</v>
      </c>
      <c r="CO260" s="1065">
        <f>'No Recurrentes 24-26'!EJ118</f>
        <v>380.32</v>
      </c>
      <c r="CP260" s="1060" t="str">
        <f>'No Recurrentes 24-26'!EK118</f>
        <v/>
      </c>
    </row>
    <row r="261">
      <c r="A261" s="451" t="str">
        <f>'No Recurrentes 24-26'!A120</f>
        <v>Repuestos Electromecánicos no recurrentes</v>
      </c>
      <c r="B261" s="451">
        <f>'No Recurrentes 24-26'!B120</f>
        <v>2</v>
      </c>
      <c r="C261" s="451" t="str">
        <f>'No Recurrentes 24-26'!C120</f>
        <v>Estación</v>
      </c>
      <c r="D261" s="451" t="str">
        <f>'No Recurrentes 24-26'!D120</f>
        <v>Manto. Eléctrico</v>
      </c>
      <c r="E261" s="451" t="str">
        <f>'No Recurrentes 24-26'!E120</f>
        <v>Repuesto Eléctrico</v>
      </c>
      <c r="F261" s="451" t="str">
        <f>'No Recurrentes 24-26'!F120</f>
        <v>TDB</v>
      </c>
      <c r="G261" s="1061" t="str">
        <f>'No Recurrentes 24-26'!G120</f>
        <v>39700</v>
      </c>
      <c r="H261" s="1061" t="str">
        <f>'No Recurrentes 24-26'!H120</f>
        <v>2-02-00177</v>
      </c>
      <c r="I261" s="1061" t="str">
        <f>'No Recurrentes 24-26'!I120</f>
        <v>10848411</v>
      </c>
      <c r="J261" s="1061" t="str">
        <f>'No Recurrentes 24-26'!J120</f>
        <v>BLITZDUCTOR  Nº ART. 920324     MÓDULO DE PROT. BXT ML4 BE 24</v>
      </c>
      <c r="K261" s="451" t="str">
        <f>'No Recurrentes 24-26'!K120</f>
        <v>Pza</v>
      </c>
      <c r="L261" s="451" t="str">
        <f>'No Recurrentes 24-26'!BC120</f>
        <v/>
      </c>
      <c r="M261" s="451" t="str">
        <f>'No Recurrentes 24-26'!BD120</f>
        <v/>
      </c>
      <c r="N261" s="451" t="str">
        <f>'No Recurrentes 24-26'!BE120</f>
        <v/>
      </c>
      <c r="O261" s="451" t="str">
        <f>'No Recurrentes 24-26'!BF120</f>
        <v/>
      </c>
      <c r="P261" s="451" t="str">
        <f>'No Recurrentes 24-26'!BG120</f>
        <v/>
      </c>
      <c r="Q261" s="451" t="str">
        <f>'No Recurrentes 24-26'!BH120</f>
        <v/>
      </c>
      <c r="R261" s="451" t="str">
        <f>'No Recurrentes 24-26'!BI120</f>
        <v/>
      </c>
      <c r="S261" s="451" t="str">
        <f>'No Recurrentes 24-26'!BJ120</f>
        <v/>
      </c>
      <c r="T261" s="451" t="str">
        <f>'No Recurrentes 24-26'!BK120</f>
        <v/>
      </c>
      <c r="U261" s="451" t="str">
        <f>'No Recurrentes 24-26'!BL120</f>
        <v/>
      </c>
      <c r="V261" s="1068"/>
      <c r="W261" s="1062">
        <f>'No Recurrentes 24-26'!BM120</f>
        <v>0</v>
      </c>
      <c r="X261" s="1062" t="str">
        <f>'No Recurrentes 24-26'!BN120</f>
        <v/>
      </c>
      <c r="Y261" s="1062" t="str">
        <f>'No Recurrentes 24-26'!BO120</f>
        <v/>
      </c>
      <c r="Z261" s="1062" t="str">
        <f>'No Recurrentes 24-26'!BP120</f>
        <v/>
      </c>
      <c r="AA261" s="1062">
        <f>'No Recurrentes 24-26'!BQ120</f>
        <v>1</v>
      </c>
      <c r="AB261" s="1062">
        <f>'No Recurrentes 24-26'!BR120</f>
        <v>1</v>
      </c>
      <c r="AC261" s="1062" t="str">
        <f>'No Recurrentes 24-26'!BS120</f>
        <v/>
      </c>
      <c r="AD261" s="1062" t="str">
        <f>'No Recurrentes 24-26'!BT120</f>
        <v/>
      </c>
      <c r="AE261" s="1062" t="str">
        <f>'No Recurrentes 24-26'!BU120</f>
        <v/>
      </c>
      <c r="AF261" s="1062" t="str">
        <f>'No Recurrentes 24-26'!BV120</f>
        <v/>
      </c>
      <c r="AG261" s="1062" t="str">
        <f>'No Recurrentes 24-26'!BW120</f>
        <v/>
      </c>
      <c r="AH261" s="1068"/>
      <c r="AI261" s="1062">
        <f>'No Recurrentes 24-26'!BX120</f>
        <v>2</v>
      </c>
      <c r="AJ261" s="1062">
        <f>'No Recurrentes 24-26'!BY120</f>
        <v>0</v>
      </c>
      <c r="AK261" s="1062">
        <f>'No Recurrentes 24-26'!BZ120</f>
        <v>0</v>
      </c>
      <c r="AL261" s="1062">
        <f>'No Recurrentes 24-26'!CA120</f>
        <v>0</v>
      </c>
      <c r="AM261" s="1062">
        <f>'No Recurrentes 24-26'!CB120</f>
        <v>0</v>
      </c>
      <c r="AN261" s="1062">
        <f>'No Recurrentes 24-26'!CC120</f>
        <v>0</v>
      </c>
      <c r="AO261" s="1062">
        <f>'No Recurrentes 24-26'!CD120</f>
        <v>0</v>
      </c>
      <c r="AP261" s="1062">
        <f>'No Recurrentes 24-26'!CE120</f>
        <v>0</v>
      </c>
      <c r="AQ261" s="1062">
        <f>'No Recurrentes 24-26'!CF120</f>
        <v>0</v>
      </c>
      <c r="AR261" s="1062">
        <f>'No Recurrentes 24-26'!CG120</f>
        <v>0</v>
      </c>
      <c r="AS261" s="1062">
        <f>'No Recurrentes 24-26'!CH120</f>
        <v>0</v>
      </c>
      <c r="AT261" s="1068"/>
      <c r="AU261" s="1062">
        <f>'No Recurrentes 24-26'!CI120</f>
        <v>0</v>
      </c>
      <c r="AV261" s="1063">
        <f>'No Recurrentes 24-26'!CJ120</f>
        <v>2</v>
      </c>
      <c r="AW261" s="1068"/>
      <c r="AX261" s="1065">
        <f>'No Recurrentes 24-26'!CK120</f>
        <v>448.71</v>
      </c>
      <c r="AY261" s="1062">
        <f>'No Recurrentes 24-26'!CL120</f>
        <v>3123.0216</v>
      </c>
      <c r="AZ261" s="1068"/>
      <c r="BA261" s="1062">
        <f>'No Recurrentes 24-26'!CM120</f>
        <v>0</v>
      </c>
      <c r="BB261" s="1062">
        <f>'No Recurrentes 24-26'!CN120</f>
        <v>0</v>
      </c>
      <c r="BC261" s="1062">
        <f>'No Recurrentes 24-26'!CO120</f>
        <v>0</v>
      </c>
      <c r="BD261" s="1062">
        <f>'No Recurrentes 24-26'!CP120</f>
        <v>0</v>
      </c>
      <c r="BE261" s="1062">
        <f>'No Recurrentes 24-26'!CQ120</f>
        <v>0</v>
      </c>
      <c r="BF261" s="1062">
        <f>'No Recurrentes 24-26'!CR120</f>
        <v>0</v>
      </c>
      <c r="BG261" s="1062">
        <f>'No Recurrentes 24-26'!CS120</f>
        <v>0</v>
      </c>
      <c r="BH261" s="1062">
        <f>'No Recurrentes 24-26'!CT120</f>
        <v>0</v>
      </c>
      <c r="BI261" s="1062">
        <f>'No Recurrentes 24-26'!CU120</f>
        <v>0</v>
      </c>
      <c r="BJ261" s="1062">
        <f>'No Recurrentes 24-26'!CV120</f>
        <v>0</v>
      </c>
      <c r="BK261" s="1068"/>
      <c r="BL261" s="1062">
        <f>'No Recurrentes 24-26'!CW120</f>
        <v>0</v>
      </c>
      <c r="BM261" s="1062">
        <f>'No Recurrentes 24-26'!CX120</f>
        <v>0</v>
      </c>
      <c r="BN261" s="1062">
        <f>'No Recurrentes 24-26'!CY120</f>
        <v>0</v>
      </c>
      <c r="BO261" s="1062">
        <f>'No Recurrentes 24-26'!CZ120</f>
        <v>0</v>
      </c>
      <c r="BP261" s="1062">
        <f>'No Recurrentes 24-26'!DA120</f>
        <v>3123.0216</v>
      </c>
      <c r="BQ261" s="1062">
        <f>'No Recurrentes 24-26'!DB120</f>
        <v>3123.0216</v>
      </c>
      <c r="BR261" s="1062">
        <f>'No Recurrentes 24-26'!DC120</f>
        <v>0</v>
      </c>
      <c r="BS261" s="1062">
        <f>'No Recurrentes 24-26'!DD120</f>
        <v>0</v>
      </c>
      <c r="BT261" s="1062">
        <f>'No Recurrentes 24-26'!DE120</f>
        <v>0</v>
      </c>
      <c r="BU261" s="1062">
        <f>'No Recurrentes 24-26'!DF120</f>
        <v>0</v>
      </c>
      <c r="BV261" s="1062">
        <f>'No Recurrentes 24-26'!DG120</f>
        <v>0</v>
      </c>
      <c r="BW261" s="1068"/>
      <c r="BX261" s="1062">
        <f>'No Recurrentes 24-26'!DH120</f>
        <v>6246.0432</v>
      </c>
      <c r="BY261" s="1062">
        <f>'No Recurrentes 24-26'!DI120</f>
        <v>0</v>
      </c>
      <c r="BZ261" s="1062">
        <f>'No Recurrentes 24-26'!DJ120</f>
        <v>0</v>
      </c>
      <c r="CA261" s="1062">
        <f>'No Recurrentes 24-26'!DK120</f>
        <v>0</v>
      </c>
      <c r="CB261" s="1062">
        <f>'No Recurrentes 24-26'!DL120</f>
        <v>0</v>
      </c>
      <c r="CC261" s="1062">
        <f>'No Recurrentes 24-26'!DM120</f>
        <v>0</v>
      </c>
      <c r="CD261" s="1062">
        <f>'No Recurrentes 24-26'!DN120</f>
        <v>0</v>
      </c>
      <c r="CE261" s="1062">
        <f>'No Recurrentes 24-26'!DO120</f>
        <v>0</v>
      </c>
      <c r="CF261" s="1062">
        <f>'No Recurrentes 24-26'!DP120</f>
        <v>0</v>
      </c>
      <c r="CG261" s="1062">
        <f>'No Recurrentes 24-26'!DQ120</f>
        <v>0</v>
      </c>
      <c r="CH261" s="1062">
        <f>'No Recurrentes 24-26'!DR120</f>
        <v>0</v>
      </c>
      <c r="CI261" s="1068"/>
      <c r="CJ261" s="1062">
        <f>'No Recurrentes 24-26'!DS120</f>
        <v>0</v>
      </c>
      <c r="CK261" s="1062">
        <f>'No Recurrentes 24-26'!DT120</f>
        <v>6246.0432</v>
      </c>
      <c r="CL261" s="1064" t="str">
        <f>'No Recurrentes 24-26'!DU120</f>
        <v/>
      </c>
      <c r="CM261" s="1064" t="str">
        <f>'No Recurrentes 24-26'!DV120</f>
        <v/>
      </c>
      <c r="CN261" s="1065">
        <f>'No Recurrentes 24-26'!EI119</f>
        <v>268.12</v>
      </c>
      <c r="CO261" s="1065">
        <f>'No Recurrentes 24-26'!EJ119</f>
        <v>227.9</v>
      </c>
      <c r="CP261" s="1060" t="str">
        <f>'No Recurrentes 24-26'!EK119</f>
        <v/>
      </c>
    </row>
    <row r="262">
      <c r="A262" s="451" t="str">
        <f>'No Recurrentes 24-26'!A121</f>
        <v>Repuestos Electromecánicos no recurrentes</v>
      </c>
      <c r="B262" s="451">
        <f>'No Recurrentes 24-26'!B121</f>
        <v>2</v>
      </c>
      <c r="C262" s="451" t="str">
        <f>'No Recurrentes 24-26'!C121</f>
        <v>Estación</v>
      </c>
      <c r="D262" s="451" t="str">
        <f>'No Recurrentes 24-26'!D121</f>
        <v>Manto. Eléctrico</v>
      </c>
      <c r="E262" s="451" t="str">
        <f>'No Recurrentes 24-26'!E121</f>
        <v>Repuesto Eléctrico</v>
      </c>
      <c r="F262" s="451" t="str">
        <f>'No Recurrentes 24-26'!F121</f>
        <v>TDB</v>
      </c>
      <c r="G262" s="1061" t="str">
        <f>'No Recurrentes 24-26'!G121</f>
        <v>39700</v>
      </c>
      <c r="H262" s="1061" t="str">
        <f>'No Recurrentes 24-26'!H121</f>
        <v>2-02-00380</v>
      </c>
      <c r="I262" s="1061" t="str">
        <f>'No Recurrentes 24-26'!I121</f>
        <v>10755953</v>
      </c>
      <c r="J262" s="1061" t="str">
        <f>'No Recurrentes 24-26'!J121</f>
        <v>FUSIBLE AUTOMÁT. CA/CC 5SY6 302-7 TRIPOL./2A/CURVA C  SIEMENS</v>
      </c>
      <c r="K262" s="451" t="str">
        <f>'No Recurrentes 24-26'!K121</f>
        <v>Pza</v>
      </c>
      <c r="L262" s="451" t="str">
        <f>'No Recurrentes 24-26'!BC121</f>
        <v/>
      </c>
      <c r="M262" s="451" t="str">
        <f>'No Recurrentes 24-26'!BD121</f>
        <v/>
      </c>
      <c r="N262" s="451" t="str">
        <f>'No Recurrentes 24-26'!BE121</f>
        <v/>
      </c>
      <c r="O262" s="451" t="str">
        <f>'No Recurrentes 24-26'!BF121</f>
        <v/>
      </c>
      <c r="P262" s="451" t="str">
        <f>'No Recurrentes 24-26'!BG121</f>
        <v/>
      </c>
      <c r="Q262" s="451" t="str">
        <f>'No Recurrentes 24-26'!BH121</f>
        <v/>
      </c>
      <c r="R262" s="451" t="str">
        <f>'No Recurrentes 24-26'!BI121</f>
        <v/>
      </c>
      <c r="S262" s="451" t="str">
        <f>'No Recurrentes 24-26'!BJ121</f>
        <v/>
      </c>
      <c r="T262" s="451" t="str">
        <f>'No Recurrentes 24-26'!BK121</f>
        <v/>
      </c>
      <c r="U262" s="451" t="str">
        <f>'No Recurrentes 24-26'!BL121</f>
        <v/>
      </c>
      <c r="V262" s="1068"/>
      <c r="W262" s="1062">
        <f>'No Recurrentes 24-26'!BM121</f>
        <v>0</v>
      </c>
      <c r="X262" s="1062">
        <f>'No Recurrentes 24-26'!BN121</f>
        <v>2</v>
      </c>
      <c r="Y262" s="1062" t="str">
        <f>'No Recurrentes 24-26'!BO121</f>
        <v/>
      </c>
      <c r="Z262" s="1062">
        <f>'No Recurrentes 24-26'!BP121</f>
        <v>1</v>
      </c>
      <c r="AA262" s="1062">
        <f>'No Recurrentes 24-26'!BQ121</f>
        <v>1</v>
      </c>
      <c r="AB262" s="1062">
        <f>'No Recurrentes 24-26'!BR121</f>
        <v>1</v>
      </c>
      <c r="AC262" s="1062">
        <f>'No Recurrentes 24-26'!BS121</f>
        <v>1</v>
      </c>
      <c r="AD262" s="1062" t="str">
        <f>'No Recurrentes 24-26'!BT121</f>
        <v/>
      </c>
      <c r="AE262" s="1062" t="str">
        <f>'No Recurrentes 24-26'!BU121</f>
        <v/>
      </c>
      <c r="AF262" s="1062" t="str">
        <f>'No Recurrentes 24-26'!BV121</f>
        <v/>
      </c>
      <c r="AG262" s="1062" t="str">
        <f>'No Recurrentes 24-26'!BW121</f>
        <v/>
      </c>
      <c r="AH262" s="1068"/>
      <c r="AI262" s="1062">
        <f>'No Recurrentes 24-26'!BX121</f>
        <v>6</v>
      </c>
      <c r="AJ262" s="1062">
        <f>'No Recurrentes 24-26'!BY121</f>
        <v>0</v>
      </c>
      <c r="AK262" s="1062">
        <f>'No Recurrentes 24-26'!BZ121</f>
        <v>0</v>
      </c>
      <c r="AL262" s="1062">
        <f>'No Recurrentes 24-26'!CA121</f>
        <v>0</v>
      </c>
      <c r="AM262" s="1062">
        <f>'No Recurrentes 24-26'!CB121</f>
        <v>1</v>
      </c>
      <c r="AN262" s="1062">
        <f>'No Recurrentes 24-26'!CC121</f>
        <v>1</v>
      </c>
      <c r="AO262" s="1062">
        <f>'No Recurrentes 24-26'!CD121</f>
        <v>1</v>
      </c>
      <c r="AP262" s="1062">
        <f>'No Recurrentes 24-26'!CE121</f>
        <v>0</v>
      </c>
      <c r="AQ262" s="1062">
        <f>'No Recurrentes 24-26'!CF121</f>
        <v>0</v>
      </c>
      <c r="AR262" s="1062">
        <f>'No Recurrentes 24-26'!CG121</f>
        <v>0</v>
      </c>
      <c r="AS262" s="1062">
        <f>'No Recurrentes 24-26'!CH121</f>
        <v>0</v>
      </c>
      <c r="AT262" s="1068"/>
      <c r="AU262" s="1062">
        <f>'No Recurrentes 24-26'!CI121</f>
        <v>3</v>
      </c>
      <c r="AV262" s="1063">
        <f>'No Recurrentes 24-26'!CJ121</f>
        <v>9</v>
      </c>
      <c r="AW262" s="1068"/>
      <c r="AX262" s="1065">
        <f>'No Recurrentes 24-26'!CK121</f>
        <v>125.37</v>
      </c>
      <c r="AY262" s="1062">
        <f>'No Recurrentes 24-26'!CL121</f>
        <v>872.5752</v>
      </c>
      <c r="AZ262" s="1068"/>
      <c r="BA262" s="1062">
        <f>'No Recurrentes 24-26'!CM121</f>
        <v>0</v>
      </c>
      <c r="BB262" s="1062">
        <f>'No Recurrentes 24-26'!CN121</f>
        <v>0</v>
      </c>
      <c r="BC262" s="1062">
        <f>'No Recurrentes 24-26'!CO121</f>
        <v>0</v>
      </c>
      <c r="BD262" s="1062">
        <f>'No Recurrentes 24-26'!CP121</f>
        <v>0</v>
      </c>
      <c r="BE262" s="1062">
        <f>'No Recurrentes 24-26'!CQ121</f>
        <v>0</v>
      </c>
      <c r="BF262" s="1062">
        <f>'No Recurrentes 24-26'!CR121</f>
        <v>0</v>
      </c>
      <c r="BG262" s="1062">
        <f>'No Recurrentes 24-26'!CS121</f>
        <v>0</v>
      </c>
      <c r="BH262" s="1062">
        <f>'No Recurrentes 24-26'!CT121</f>
        <v>0</v>
      </c>
      <c r="BI262" s="1062">
        <f>'No Recurrentes 24-26'!CU121</f>
        <v>0</v>
      </c>
      <c r="BJ262" s="1062">
        <f>'No Recurrentes 24-26'!CV121</f>
        <v>0</v>
      </c>
      <c r="BK262" s="1068"/>
      <c r="BL262" s="1062">
        <f>'No Recurrentes 24-26'!CW121</f>
        <v>0</v>
      </c>
      <c r="BM262" s="1062">
        <f>'No Recurrentes 24-26'!CX121</f>
        <v>1745.1504</v>
      </c>
      <c r="BN262" s="1062">
        <f>'No Recurrentes 24-26'!CY121</f>
        <v>0</v>
      </c>
      <c r="BO262" s="1062">
        <f>'No Recurrentes 24-26'!CZ121</f>
        <v>872.5752</v>
      </c>
      <c r="BP262" s="1062">
        <f>'No Recurrentes 24-26'!DA121</f>
        <v>872.5752</v>
      </c>
      <c r="BQ262" s="1062">
        <f>'No Recurrentes 24-26'!DB121</f>
        <v>872.5752</v>
      </c>
      <c r="BR262" s="1062">
        <f>'No Recurrentes 24-26'!DC121</f>
        <v>872.5752</v>
      </c>
      <c r="BS262" s="1062">
        <f>'No Recurrentes 24-26'!DD121</f>
        <v>0</v>
      </c>
      <c r="BT262" s="1062">
        <f>'No Recurrentes 24-26'!DE121</f>
        <v>0</v>
      </c>
      <c r="BU262" s="1062">
        <f>'No Recurrentes 24-26'!DF121</f>
        <v>0</v>
      </c>
      <c r="BV262" s="1062">
        <f>'No Recurrentes 24-26'!DG121</f>
        <v>0</v>
      </c>
      <c r="BW262" s="1068"/>
      <c r="BX262" s="1062">
        <f>'No Recurrentes 24-26'!DH121</f>
        <v>5235.4512</v>
      </c>
      <c r="BY262" s="1062">
        <f>'No Recurrentes 24-26'!DI121</f>
        <v>0</v>
      </c>
      <c r="BZ262" s="1062">
        <f>'No Recurrentes 24-26'!DJ121</f>
        <v>0</v>
      </c>
      <c r="CA262" s="1062">
        <f>'No Recurrentes 24-26'!DK121</f>
        <v>0</v>
      </c>
      <c r="CB262" s="1062">
        <f>'No Recurrentes 24-26'!DL121</f>
        <v>872.5752</v>
      </c>
      <c r="CC262" s="1062">
        <f>'No Recurrentes 24-26'!DM121</f>
        <v>872.5752</v>
      </c>
      <c r="CD262" s="1062">
        <f>'No Recurrentes 24-26'!DN121</f>
        <v>872.5752</v>
      </c>
      <c r="CE262" s="1062">
        <f>'No Recurrentes 24-26'!DO121</f>
        <v>0</v>
      </c>
      <c r="CF262" s="1062">
        <f>'No Recurrentes 24-26'!DP121</f>
        <v>0</v>
      </c>
      <c r="CG262" s="1062">
        <f>'No Recurrentes 24-26'!DQ121</f>
        <v>0</v>
      </c>
      <c r="CH262" s="1062">
        <f>'No Recurrentes 24-26'!DR121</f>
        <v>0</v>
      </c>
      <c r="CI262" s="1068"/>
      <c r="CJ262" s="1062">
        <f>'No Recurrentes 24-26'!DS121</f>
        <v>2617.7256</v>
      </c>
      <c r="CK262" s="1062">
        <f>'No Recurrentes 24-26'!DT121</f>
        <v>7853.1768</v>
      </c>
      <c r="CL262" s="1064" t="str">
        <f>'No Recurrentes 24-26'!DU121</f>
        <v/>
      </c>
      <c r="CM262" s="1064" t="str">
        <f>'No Recurrentes 24-26'!DV121</f>
        <v/>
      </c>
      <c r="CN262" s="1065">
        <f>'No Recurrentes 24-26'!EI120</f>
        <v>448.71</v>
      </c>
      <c r="CO262" s="1065">
        <f>'No Recurrentes 24-26'!EJ120</f>
        <v>381.4</v>
      </c>
      <c r="CP262" s="1060" t="str">
        <f>'No Recurrentes 24-26'!EK120</f>
        <v/>
      </c>
    </row>
    <row r="263">
      <c r="A263" s="451" t="str">
        <f>'No Recurrentes 24-26'!A122</f>
        <v>Repuestos Electromecánicos no recurrentes</v>
      </c>
      <c r="B263" s="451">
        <f>'No Recurrentes 24-26'!B122</f>
        <v>2</v>
      </c>
      <c r="C263" s="451" t="str">
        <f>'No Recurrentes 24-26'!C122</f>
        <v>Estación</v>
      </c>
      <c r="D263" s="451" t="str">
        <f>'No Recurrentes 24-26'!D122</f>
        <v>Manto. Eléctrico</v>
      </c>
      <c r="E263" s="451" t="str">
        <f>'No Recurrentes 24-26'!E122</f>
        <v>Repuesto Eléctrico</v>
      </c>
      <c r="F263" s="451" t="str">
        <f>'No Recurrentes 24-26'!F122</f>
        <v>TDB</v>
      </c>
      <c r="G263" s="1061" t="str">
        <f>'No Recurrentes 24-26'!G122</f>
        <v>39700</v>
      </c>
      <c r="H263" s="1061" t="str">
        <f>'No Recurrentes 24-26'!H122</f>
        <v/>
      </c>
      <c r="I263" s="1061" t="str">
        <f>'No Recurrentes 24-26'!I122</f>
        <v>11536046</v>
      </c>
      <c r="J263" s="1061" t="str">
        <f>'No Recurrentes 24-26'!J122</f>
        <v>INTERR. CORR. DEF. 5SV3 344-6LA01 40A CORR.ACT. 0,03A SIEMENS</v>
      </c>
      <c r="K263" s="451" t="str">
        <f>'No Recurrentes 24-26'!K122</f>
        <v>Pza</v>
      </c>
      <c r="L263" s="451" t="str">
        <f>'No Recurrentes 24-26'!BC122</f>
        <v/>
      </c>
      <c r="M263" s="451" t="str">
        <f>'No Recurrentes 24-26'!BD122</f>
        <v/>
      </c>
      <c r="N263" s="451" t="str">
        <f>'No Recurrentes 24-26'!BE122</f>
        <v/>
      </c>
      <c r="O263" s="451" t="str">
        <f>'No Recurrentes 24-26'!BF122</f>
        <v/>
      </c>
      <c r="P263" s="451" t="str">
        <f>'No Recurrentes 24-26'!BG122</f>
        <v/>
      </c>
      <c r="Q263" s="451" t="str">
        <f>'No Recurrentes 24-26'!BH122</f>
        <v/>
      </c>
      <c r="R263" s="451" t="str">
        <f>'No Recurrentes 24-26'!BI122</f>
        <v/>
      </c>
      <c r="S263" s="451" t="str">
        <f>'No Recurrentes 24-26'!BJ122</f>
        <v/>
      </c>
      <c r="T263" s="451" t="str">
        <f>'No Recurrentes 24-26'!BK122</f>
        <v/>
      </c>
      <c r="U263" s="451" t="str">
        <f>'No Recurrentes 24-26'!BL122</f>
        <v/>
      </c>
      <c r="V263" s="1068"/>
      <c r="W263" s="1062">
        <f>'No Recurrentes 24-26'!BM122</f>
        <v>0</v>
      </c>
      <c r="X263" s="1062">
        <f>'No Recurrentes 24-26'!BN122</f>
        <v>1</v>
      </c>
      <c r="Y263" s="1062" t="str">
        <f>'No Recurrentes 24-26'!BO122</f>
        <v/>
      </c>
      <c r="Z263" s="1062" t="str">
        <f>'No Recurrentes 24-26'!BP122</f>
        <v/>
      </c>
      <c r="AA263" s="1062">
        <f>'No Recurrentes 24-26'!BQ122</f>
        <v>1</v>
      </c>
      <c r="AB263" s="1062">
        <f>'No Recurrentes 24-26'!BR122</f>
        <v>1</v>
      </c>
      <c r="AC263" s="1062" t="str">
        <f>'No Recurrentes 24-26'!BS122</f>
        <v/>
      </c>
      <c r="AD263" s="1062" t="str">
        <f>'No Recurrentes 24-26'!BT122</f>
        <v/>
      </c>
      <c r="AE263" s="1062" t="str">
        <f>'No Recurrentes 24-26'!BU122</f>
        <v/>
      </c>
      <c r="AF263" s="1062" t="str">
        <f>'No Recurrentes 24-26'!BV122</f>
        <v/>
      </c>
      <c r="AG263" s="1062" t="str">
        <f>'No Recurrentes 24-26'!BW122</f>
        <v/>
      </c>
      <c r="AH263" s="1068"/>
      <c r="AI263" s="1062">
        <f>'No Recurrentes 24-26'!BX122</f>
        <v>3</v>
      </c>
      <c r="AJ263" s="1062">
        <f>'No Recurrentes 24-26'!BY122</f>
        <v>0</v>
      </c>
      <c r="AK263" s="1062">
        <f>'No Recurrentes 24-26'!BZ122</f>
        <v>0</v>
      </c>
      <c r="AL263" s="1062">
        <f>'No Recurrentes 24-26'!CA122</f>
        <v>0</v>
      </c>
      <c r="AM263" s="1062">
        <f>'No Recurrentes 24-26'!CB122</f>
        <v>1</v>
      </c>
      <c r="AN263" s="1062">
        <f>'No Recurrentes 24-26'!CC122</f>
        <v>1</v>
      </c>
      <c r="AO263" s="1062">
        <f>'No Recurrentes 24-26'!CD122</f>
        <v>0</v>
      </c>
      <c r="AP263" s="1062">
        <f>'No Recurrentes 24-26'!CE122</f>
        <v>0</v>
      </c>
      <c r="AQ263" s="1062">
        <f>'No Recurrentes 24-26'!CF122</f>
        <v>0</v>
      </c>
      <c r="AR263" s="1062">
        <f>'No Recurrentes 24-26'!CG122</f>
        <v>0</v>
      </c>
      <c r="AS263" s="1062">
        <f>'No Recurrentes 24-26'!CH122</f>
        <v>0</v>
      </c>
      <c r="AT263" s="1068"/>
      <c r="AU263" s="1062">
        <f>'No Recurrentes 24-26'!CI122</f>
        <v>2</v>
      </c>
      <c r="AV263" s="1063">
        <f>'No Recurrentes 24-26'!CJ122</f>
        <v>5</v>
      </c>
      <c r="AW263" s="1068"/>
      <c r="AX263" s="1065">
        <f>'No Recurrentes 24-26'!CK122</f>
        <v>354.76</v>
      </c>
      <c r="AY263" s="1062">
        <f>'No Recurrentes 24-26'!CL122</f>
        <v>2469.1296</v>
      </c>
      <c r="AZ263" s="1068"/>
      <c r="BA263" s="1062">
        <f>'No Recurrentes 24-26'!CM122</f>
        <v>0</v>
      </c>
      <c r="BB263" s="1062">
        <f>'No Recurrentes 24-26'!CN122</f>
        <v>0</v>
      </c>
      <c r="BC263" s="1062">
        <f>'No Recurrentes 24-26'!CO122</f>
        <v>0</v>
      </c>
      <c r="BD263" s="1062">
        <f>'No Recurrentes 24-26'!CP122</f>
        <v>0</v>
      </c>
      <c r="BE263" s="1062">
        <f>'No Recurrentes 24-26'!CQ122</f>
        <v>0</v>
      </c>
      <c r="BF263" s="1062">
        <f>'No Recurrentes 24-26'!CR122</f>
        <v>0</v>
      </c>
      <c r="BG263" s="1062">
        <f>'No Recurrentes 24-26'!CS122</f>
        <v>0</v>
      </c>
      <c r="BH263" s="1062">
        <f>'No Recurrentes 24-26'!CT122</f>
        <v>0</v>
      </c>
      <c r="BI263" s="1062">
        <f>'No Recurrentes 24-26'!CU122</f>
        <v>0</v>
      </c>
      <c r="BJ263" s="1062">
        <f>'No Recurrentes 24-26'!CV122</f>
        <v>0</v>
      </c>
      <c r="BK263" s="1068"/>
      <c r="BL263" s="1062">
        <f>'No Recurrentes 24-26'!CW122</f>
        <v>0</v>
      </c>
      <c r="BM263" s="1062">
        <f>'No Recurrentes 24-26'!CX122</f>
        <v>2469.1296</v>
      </c>
      <c r="BN263" s="1062">
        <f>'No Recurrentes 24-26'!CY122</f>
        <v>0</v>
      </c>
      <c r="BO263" s="1062">
        <f>'No Recurrentes 24-26'!CZ122</f>
        <v>0</v>
      </c>
      <c r="BP263" s="1062">
        <f>'No Recurrentes 24-26'!DA122</f>
        <v>2469.1296</v>
      </c>
      <c r="BQ263" s="1062">
        <f>'No Recurrentes 24-26'!DB122</f>
        <v>2469.1296</v>
      </c>
      <c r="BR263" s="1062">
        <f>'No Recurrentes 24-26'!DC122</f>
        <v>0</v>
      </c>
      <c r="BS263" s="1062">
        <f>'No Recurrentes 24-26'!DD122</f>
        <v>0</v>
      </c>
      <c r="BT263" s="1062">
        <f>'No Recurrentes 24-26'!DE122</f>
        <v>0</v>
      </c>
      <c r="BU263" s="1062">
        <f>'No Recurrentes 24-26'!DF122</f>
        <v>0</v>
      </c>
      <c r="BV263" s="1062">
        <f>'No Recurrentes 24-26'!DG122</f>
        <v>0</v>
      </c>
      <c r="BW263" s="1068"/>
      <c r="BX263" s="1062">
        <f>'No Recurrentes 24-26'!DH122</f>
        <v>7407.3888</v>
      </c>
      <c r="BY263" s="1062">
        <f>'No Recurrentes 24-26'!DI122</f>
        <v>0</v>
      </c>
      <c r="BZ263" s="1062">
        <f>'No Recurrentes 24-26'!DJ122</f>
        <v>0</v>
      </c>
      <c r="CA263" s="1062">
        <f>'No Recurrentes 24-26'!DK122</f>
        <v>0</v>
      </c>
      <c r="CB263" s="1062">
        <f>'No Recurrentes 24-26'!DL122</f>
        <v>2469.1296</v>
      </c>
      <c r="CC263" s="1062">
        <f>'No Recurrentes 24-26'!DM122</f>
        <v>2469.1296</v>
      </c>
      <c r="CD263" s="1062">
        <f>'No Recurrentes 24-26'!DN122</f>
        <v>0</v>
      </c>
      <c r="CE263" s="1062">
        <f>'No Recurrentes 24-26'!DO122</f>
        <v>0</v>
      </c>
      <c r="CF263" s="1062">
        <f>'No Recurrentes 24-26'!DP122</f>
        <v>0</v>
      </c>
      <c r="CG263" s="1062">
        <f>'No Recurrentes 24-26'!DQ122</f>
        <v>0</v>
      </c>
      <c r="CH263" s="1062">
        <f>'No Recurrentes 24-26'!DR122</f>
        <v>0</v>
      </c>
      <c r="CI263" s="1068"/>
      <c r="CJ263" s="1062">
        <f>'No Recurrentes 24-26'!DS122</f>
        <v>4938.2592</v>
      </c>
      <c r="CK263" s="1062">
        <f>'No Recurrentes 24-26'!DT122</f>
        <v>12345.648</v>
      </c>
      <c r="CL263" s="1064" t="str">
        <f>'No Recurrentes 24-26'!DU122</f>
        <v/>
      </c>
      <c r="CM263" s="1064" t="str">
        <f>'No Recurrentes 24-26'!DV122</f>
        <v/>
      </c>
      <c r="CN263" s="1065">
        <f>'No Recurrentes 24-26'!EI121</f>
        <v>125.37</v>
      </c>
      <c r="CO263" s="1065">
        <f>'No Recurrentes 24-26'!EJ121</f>
        <v>106.56</v>
      </c>
      <c r="CP263" s="1060" t="str">
        <f>'No Recurrentes 24-26'!EK121</f>
        <v/>
      </c>
    </row>
    <row r="264">
      <c r="A264" s="451" t="str">
        <f>'No Recurrentes 24-26'!A123</f>
        <v>Repuestos Electromecánicos no recurrentes</v>
      </c>
      <c r="B264" s="451">
        <f>'No Recurrentes 24-26'!B123</f>
        <v>2</v>
      </c>
      <c r="C264" s="451" t="str">
        <f>'No Recurrentes 24-26'!C123</f>
        <v>Estación</v>
      </c>
      <c r="D264" s="451" t="str">
        <f>'No Recurrentes 24-26'!D123</f>
        <v>Manto. Eléctrico</v>
      </c>
      <c r="E264" s="451" t="str">
        <f>'No Recurrentes 24-26'!E123</f>
        <v>Repuesto Eléctrico</v>
      </c>
      <c r="F264" s="451" t="str">
        <f>'No Recurrentes 24-26'!F123</f>
        <v>TDB</v>
      </c>
      <c r="G264" s="1061" t="str">
        <f>'No Recurrentes 24-26'!G123</f>
        <v>39700</v>
      </c>
      <c r="H264" s="1061" t="str">
        <f>'No Recurrentes 24-26'!H123</f>
        <v>2-02-00001</v>
      </c>
      <c r="I264" s="1061" t="str">
        <f>'No Recurrentes 24-26'!I123</f>
        <v>10763588</v>
      </c>
      <c r="J264" s="1061" t="str">
        <f>'No Recurrentes 24-26'!J123</f>
        <v>CONTACTOR K3-24A00.230      CC                BENEDIKT&amp;JAEGER</v>
      </c>
      <c r="K264" s="451" t="str">
        <f>'No Recurrentes 24-26'!K123</f>
        <v>Pza</v>
      </c>
      <c r="L264" s="451" t="str">
        <f>'No Recurrentes 24-26'!BC123</f>
        <v/>
      </c>
      <c r="M264" s="451" t="str">
        <f>'No Recurrentes 24-26'!BD123</f>
        <v/>
      </c>
      <c r="N264" s="451" t="str">
        <f>'No Recurrentes 24-26'!BE123</f>
        <v/>
      </c>
      <c r="O264" s="451" t="str">
        <f>'No Recurrentes 24-26'!BF123</f>
        <v/>
      </c>
      <c r="P264" s="451" t="str">
        <f>'No Recurrentes 24-26'!BG123</f>
        <v/>
      </c>
      <c r="Q264" s="451" t="str">
        <f>'No Recurrentes 24-26'!BH123</f>
        <v/>
      </c>
      <c r="R264" s="451" t="str">
        <f>'No Recurrentes 24-26'!BI123</f>
        <v/>
      </c>
      <c r="S264" s="451" t="str">
        <f>'No Recurrentes 24-26'!BJ123</f>
        <v/>
      </c>
      <c r="T264" s="451" t="str">
        <f>'No Recurrentes 24-26'!BK123</f>
        <v/>
      </c>
      <c r="U264" s="451" t="str">
        <f>'No Recurrentes 24-26'!BL123</f>
        <v/>
      </c>
      <c r="V264" s="1068"/>
      <c r="W264" s="1062">
        <f>'No Recurrentes 24-26'!BM123</f>
        <v>0</v>
      </c>
      <c r="X264" s="1062" t="str">
        <f>'No Recurrentes 24-26'!BN123</f>
        <v/>
      </c>
      <c r="Y264" s="1062" t="str">
        <f>'No Recurrentes 24-26'!BO123</f>
        <v/>
      </c>
      <c r="Z264" s="1062" t="str">
        <f>'No Recurrentes 24-26'!BP123</f>
        <v/>
      </c>
      <c r="AA264" s="1062">
        <f>'No Recurrentes 24-26'!BQ123</f>
        <v>1</v>
      </c>
      <c r="AB264" s="1062">
        <f>'No Recurrentes 24-26'!BR123</f>
        <v>1</v>
      </c>
      <c r="AC264" s="1062">
        <f>'No Recurrentes 24-26'!BS123</f>
        <v>1</v>
      </c>
      <c r="AD264" s="1062" t="str">
        <f>'No Recurrentes 24-26'!BT123</f>
        <v/>
      </c>
      <c r="AE264" s="1062" t="str">
        <f>'No Recurrentes 24-26'!BU123</f>
        <v/>
      </c>
      <c r="AF264" s="1062" t="str">
        <f>'No Recurrentes 24-26'!BV123</f>
        <v/>
      </c>
      <c r="AG264" s="1062" t="str">
        <f>'No Recurrentes 24-26'!BW123</f>
        <v/>
      </c>
      <c r="AH264" s="1068"/>
      <c r="AI264" s="1062">
        <f>'No Recurrentes 24-26'!BX123</f>
        <v>3</v>
      </c>
      <c r="AJ264" s="1062">
        <f>'No Recurrentes 24-26'!BY123</f>
        <v>0</v>
      </c>
      <c r="AK264" s="1062">
        <f>'No Recurrentes 24-26'!BZ123</f>
        <v>0</v>
      </c>
      <c r="AL264" s="1062">
        <f>'No Recurrentes 24-26'!CA123</f>
        <v>0</v>
      </c>
      <c r="AM264" s="1062">
        <f>'No Recurrentes 24-26'!CB123</f>
        <v>1</v>
      </c>
      <c r="AN264" s="1062">
        <f>'No Recurrentes 24-26'!CC123</f>
        <v>1</v>
      </c>
      <c r="AO264" s="1062">
        <f>'No Recurrentes 24-26'!CD123</f>
        <v>1</v>
      </c>
      <c r="AP264" s="1062">
        <f>'No Recurrentes 24-26'!CE123</f>
        <v>0</v>
      </c>
      <c r="AQ264" s="1062">
        <f>'No Recurrentes 24-26'!CF123</f>
        <v>0</v>
      </c>
      <c r="AR264" s="1062">
        <f>'No Recurrentes 24-26'!CG123</f>
        <v>0</v>
      </c>
      <c r="AS264" s="1062">
        <f>'No Recurrentes 24-26'!CH123</f>
        <v>0</v>
      </c>
      <c r="AT264" s="1068"/>
      <c r="AU264" s="1062">
        <f>'No Recurrentes 24-26'!CI123</f>
        <v>3</v>
      </c>
      <c r="AV264" s="1063">
        <f>'No Recurrentes 24-26'!CJ123</f>
        <v>6</v>
      </c>
      <c r="AW264" s="1068"/>
      <c r="AX264" s="1065">
        <f>'No Recurrentes 24-26'!CK123</f>
        <v>109.72</v>
      </c>
      <c r="AY264" s="1062">
        <f>'No Recurrentes 24-26'!CL123</f>
        <v>763.6512</v>
      </c>
      <c r="AZ264" s="1068"/>
      <c r="BA264" s="1062">
        <f>'No Recurrentes 24-26'!CM123</f>
        <v>0</v>
      </c>
      <c r="BB264" s="1062">
        <f>'No Recurrentes 24-26'!CN123</f>
        <v>0</v>
      </c>
      <c r="BC264" s="1062">
        <f>'No Recurrentes 24-26'!CO123</f>
        <v>0</v>
      </c>
      <c r="BD264" s="1062">
        <f>'No Recurrentes 24-26'!CP123</f>
        <v>0</v>
      </c>
      <c r="BE264" s="1062">
        <f>'No Recurrentes 24-26'!CQ123</f>
        <v>0</v>
      </c>
      <c r="BF264" s="1062">
        <f>'No Recurrentes 24-26'!CR123</f>
        <v>0</v>
      </c>
      <c r="BG264" s="1062">
        <f>'No Recurrentes 24-26'!CS123</f>
        <v>0</v>
      </c>
      <c r="BH264" s="1062">
        <f>'No Recurrentes 24-26'!CT123</f>
        <v>0</v>
      </c>
      <c r="BI264" s="1062">
        <f>'No Recurrentes 24-26'!CU123</f>
        <v>0</v>
      </c>
      <c r="BJ264" s="1062">
        <f>'No Recurrentes 24-26'!CV123</f>
        <v>0</v>
      </c>
      <c r="BK264" s="1068"/>
      <c r="BL264" s="1062">
        <f>'No Recurrentes 24-26'!CW123</f>
        <v>0</v>
      </c>
      <c r="BM264" s="1062">
        <f>'No Recurrentes 24-26'!CX123</f>
        <v>0</v>
      </c>
      <c r="BN264" s="1062">
        <f>'No Recurrentes 24-26'!CY123</f>
        <v>0</v>
      </c>
      <c r="BO264" s="1062">
        <f>'No Recurrentes 24-26'!CZ123</f>
        <v>0</v>
      </c>
      <c r="BP264" s="1062">
        <f>'No Recurrentes 24-26'!DA123</f>
        <v>763.6512</v>
      </c>
      <c r="BQ264" s="1062">
        <f>'No Recurrentes 24-26'!DB123</f>
        <v>763.6512</v>
      </c>
      <c r="BR264" s="1062">
        <f>'No Recurrentes 24-26'!DC123</f>
        <v>763.6512</v>
      </c>
      <c r="BS264" s="1062">
        <f>'No Recurrentes 24-26'!DD123</f>
        <v>0</v>
      </c>
      <c r="BT264" s="1062">
        <f>'No Recurrentes 24-26'!DE123</f>
        <v>0</v>
      </c>
      <c r="BU264" s="1062">
        <f>'No Recurrentes 24-26'!DF123</f>
        <v>0</v>
      </c>
      <c r="BV264" s="1062">
        <f>'No Recurrentes 24-26'!DG123</f>
        <v>0</v>
      </c>
      <c r="BW264" s="1068"/>
      <c r="BX264" s="1062">
        <f>'No Recurrentes 24-26'!DH123</f>
        <v>2290.9536</v>
      </c>
      <c r="BY264" s="1062">
        <f>'No Recurrentes 24-26'!DI123</f>
        <v>0</v>
      </c>
      <c r="BZ264" s="1062">
        <f>'No Recurrentes 24-26'!DJ123</f>
        <v>0</v>
      </c>
      <c r="CA264" s="1062">
        <f>'No Recurrentes 24-26'!DK123</f>
        <v>0</v>
      </c>
      <c r="CB264" s="1062">
        <f>'No Recurrentes 24-26'!DL123</f>
        <v>763.6512</v>
      </c>
      <c r="CC264" s="1062">
        <f>'No Recurrentes 24-26'!DM123</f>
        <v>763.6512</v>
      </c>
      <c r="CD264" s="1062">
        <f>'No Recurrentes 24-26'!DN123</f>
        <v>763.6512</v>
      </c>
      <c r="CE264" s="1062">
        <f>'No Recurrentes 24-26'!DO123</f>
        <v>0</v>
      </c>
      <c r="CF264" s="1062">
        <f>'No Recurrentes 24-26'!DP123</f>
        <v>0</v>
      </c>
      <c r="CG264" s="1062">
        <f>'No Recurrentes 24-26'!DQ123</f>
        <v>0</v>
      </c>
      <c r="CH264" s="1062">
        <f>'No Recurrentes 24-26'!DR123</f>
        <v>0</v>
      </c>
      <c r="CI264" s="1068"/>
      <c r="CJ264" s="1062">
        <f>'No Recurrentes 24-26'!DS123</f>
        <v>2290.9536</v>
      </c>
      <c r="CK264" s="1062">
        <f>'No Recurrentes 24-26'!DT123</f>
        <v>4581.9072</v>
      </c>
      <c r="CL264" s="1064" t="str">
        <f>'No Recurrentes 24-26'!DU123</f>
        <v/>
      </c>
      <c r="CM264" s="1064" t="str">
        <f>'No Recurrentes 24-26'!DV123</f>
        <v/>
      </c>
      <c r="CN264" s="1065">
        <f>'No Recurrentes 24-26'!EI122</f>
        <v>354.76</v>
      </c>
      <c r="CO264" s="1065">
        <f>'No Recurrentes 24-26'!EJ122</f>
        <v>301.55</v>
      </c>
      <c r="CP264" s="1060" t="str">
        <f>'No Recurrentes 24-26'!EK122</f>
        <v/>
      </c>
    </row>
    <row r="265">
      <c r="A265" s="451" t="str">
        <f>'No Recurrentes 24-26'!A124</f>
        <v>Repuestos Electromecánicos no recurrentes</v>
      </c>
      <c r="B265" s="451">
        <f>'No Recurrentes 24-26'!B124</f>
        <v>2</v>
      </c>
      <c r="C265" s="451" t="str">
        <f>'No Recurrentes 24-26'!C124</f>
        <v>Estación</v>
      </c>
      <c r="D265" s="451" t="str">
        <f>'No Recurrentes 24-26'!D124</f>
        <v>Manto. Eléctrico</v>
      </c>
      <c r="E265" s="451" t="str">
        <f>'No Recurrentes 24-26'!E124</f>
        <v>Manto. Eléctrico</v>
      </c>
      <c r="F265" s="451" t="str">
        <f>'No Recurrentes 24-26'!F124</f>
        <v>TDB</v>
      </c>
      <c r="G265" s="1061" t="str">
        <f>'No Recurrentes 24-26'!G124</f>
        <v>39700</v>
      </c>
      <c r="H265" s="1061" t="str">
        <f>'No Recurrentes 24-26'!H124</f>
        <v/>
      </c>
      <c r="I265" s="1061" t="str">
        <f>'No Recurrentes 24-26'!I124</f>
        <v>11131929</v>
      </c>
      <c r="J265" s="1061" t="str">
        <f>'No Recurrentes 24-26'!J124</f>
        <v>PROTECC.SOBREVOLTAJE ALIM.CORRIENTE PHOENIX CONTACT NO.2839..</v>
      </c>
      <c r="K265" s="451" t="str">
        <f>'No Recurrentes 24-26'!K124</f>
        <v>Pza</v>
      </c>
      <c r="L265" s="451" t="str">
        <f>'No Recurrentes 24-26'!BC124</f>
        <v/>
      </c>
      <c r="M265" s="451" t="str">
        <f>'No Recurrentes 24-26'!BD124</f>
        <v/>
      </c>
      <c r="N265" s="451" t="str">
        <f>'No Recurrentes 24-26'!BE124</f>
        <v/>
      </c>
      <c r="O265" s="451" t="str">
        <f>'No Recurrentes 24-26'!BF124</f>
        <v/>
      </c>
      <c r="P265" s="451" t="str">
        <f>'No Recurrentes 24-26'!BG124</f>
        <v/>
      </c>
      <c r="Q265" s="451" t="str">
        <f>'No Recurrentes 24-26'!BH124</f>
        <v/>
      </c>
      <c r="R265" s="451" t="str">
        <f>'No Recurrentes 24-26'!BI124</f>
        <v/>
      </c>
      <c r="S265" s="451" t="str">
        <f>'No Recurrentes 24-26'!BJ124</f>
        <v/>
      </c>
      <c r="T265" s="451" t="str">
        <f>'No Recurrentes 24-26'!BK124</f>
        <v/>
      </c>
      <c r="U265" s="451" t="str">
        <f>'No Recurrentes 24-26'!BL124</f>
        <v/>
      </c>
      <c r="V265" s="1068"/>
      <c r="W265" s="1062">
        <f>'No Recurrentes 24-26'!BM124</f>
        <v>0</v>
      </c>
      <c r="X265" s="1062" t="str">
        <f>'No Recurrentes 24-26'!BN124</f>
        <v/>
      </c>
      <c r="Y265" s="1062" t="str">
        <f>'No Recurrentes 24-26'!BO124</f>
        <v/>
      </c>
      <c r="Z265" s="1062" t="str">
        <f>'No Recurrentes 24-26'!BP124</f>
        <v/>
      </c>
      <c r="AA265" s="1062" t="str">
        <f>'No Recurrentes 24-26'!BQ124</f>
        <v/>
      </c>
      <c r="AB265" s="1062" t="str">
        <f>'No Recurrentes 24-26'!BR124</f>
        <v/>
      </c>
      <c r="AC265" s="1062">
        <f>'No Recurrentes 24-26'!BS124</f>
        <v>1</v>
      </c>
      <c r="AD265" s="1062" t="str">
        <f>'No Recurrentes 24-26'!BT124</f>
        <v/>
      </c>
      <c r="AE265" s="1062" t="str">
        <f>'No Recurrentes 24-26'!BU124</f>
        <v/>
      </c>
      <c r="AF265" s="1062" t="str">
        <f>'No Recurrentes 24-26'!BV124</f>
        <v/>
      </c>
      <c r="AG265" s="1062" t="str">
        <f>'No Recurrentes 24-26'!BW124</f>
        <v/>
      </c>
      <c r="AH265" s="1068"/>
      <c r="AI265" s="1062">
        <f>'No Recurrentes 24-26'!BX124</f>
        <v>1</v>
      </c>
      <c r="AJ265" s="1062">
        <f>'No Recurrentes 24-26'!BY124</f>
        <v>0</v>
      </c>
      <c r="AK265" s="1062">
        <f>'No Recurrentes 24-26'!BZ124</f>
        <v>0</v>
      </c>
      <c r="AL265" s="1062">
        <f>'No Recurrentes 24-26'!CA124</f>
        <v>0</v>
      </c>
      <c r="AM265" s="1062">
        <f>'No Recurrentes 24-26'!CB124</f>
        <v>0</v>
      </c>
      <c r="AN265" s="1062">
        <f>'No Recurrentes 24-26'!CC124</f>
        <v>0</v>
      </c>
      <c r="AO265" s="1062">
        <f>'No Recurrentes 24-26'!CD124</f>
        <v>1</v>
      </c>
      <c r="AP265" s="1062">
        <f>'No Recurrentes 24-26'!CE124</f>
        <v>0</v>
      </c>
      <c r="AQ265" s="1062">
        <f>'No Recurrentes 24-26'!CF124</f>
        <v>0</v>
      </c>
      <c r="AR265" s="1062">
        <f>'No Recurrentes 24-26'!CG124</f>
        <v>0</v>
      </c>
      <c r="AS265" s="1062">
        <f>'No Recurrentes 24-26'!CH124</f>
        <v>0</v>
      </c>
      <c r="AT265" s="1068"/>
      <c r="AU265" s="1062">
        <f>'No Recurrentes 24-26'!CI124</f>
        <v>1</v>
      </c>
      <c r="AV265" s="1063">
        <f>'No Recurrentes 24-26'!CJ124</f>
        <v>2</v>
      </c>
      <c r="AW265" s="1068"/>
      <c r="AX265" s="1065">
        <f>'No Recurrentes 24-26'!CK124</f>
        <v>288.42</v>
      </c>
      <c r="AY265" s="1062">
        <f>'No Recurrentes 24-26'!CL124</f>
        <v>2007.4032</v>
      </c>
      <c r="AZ265" s="1068"/>
      <c r="BA265" s="1062">
        <f>'No Recurrentes 24-26'!CM124</f>
        <v>0</v>
      </c>
      <c r="BB265" s="1062">
        <f>'No Recurrentes 24-26'!CN124</f>
        <v>0</v>
      </c>
      <c r="BC265" s="1062">
        <f>'No Recurrentes 24-26'!CO124</f>
        <v>0</v>
      </c>
      <c r="BD265" s="1062">
        <f>'No Recurrentes 24-26'!CP124</f>
        <v>0</v>
      </c>
      <c r="BE265" s="1062">
        <f>'No Recurrentes 24-26'!CQ124</f>
        <v>0</v>
      </c>
      <c r="BF265" s="1062">
        <f>'No Recurrentes 24-26'!CR124</f>
        <v>0</v>
      </c>
      <c r="BG265" s="1062">
        <f>'No Recurrentes 24-26'!CS124</f>
        <v>0</v>
      </c>
      <c r="BH265" s="1062">
        <f>'No Recurrentes 24-26'!CT124</f>
        <v>0</v>
      </c>
      <c r="BI265" s="1062">
        <f>'No Recurrentes 24-26'!CU124</f>
        <v>0</v>
      </c>
      <c r="BJ265" s="1062">
        <f>'No Recurrentes 24-26'!CV124</f>
        <v>0</v>
      </c>
      <c r="BK265" s="1068"/>
      <c r="BL265" s="1062">
        <f>'No Recurrentes 24-26'!CW124</f>
        <v>0</v>
      </c>
      <c r="BM265" s="1062">
        <f>'No Recurrentes 24-26'!CX124</f>
        <v>0</v>
      </c>
      <c r="BN265" s="1062">
        <f>'No Recurrentes 24-26'!CY124</f>
        <v>0</v>
      </c>
      <c r="BO265" s="1062">
        <f>'No Recurrentes 24-26'!CZ124</f>
        <v>0</v>
      </c>
      <c r="BP265" s="1062">
        <f>'No Recurrentes 24-26'!DA124</f>
        <v>0</v>
      </c>
      <c r="BQ265" s="1062">
        <f>'No Recurrentes 24-26'!DB124</f>
        <v>0</v>
      </c>
      <c r="BR265" s="1062">
        <f>'No Recurrentes 24-26'!DC124</f>
        <v>2007.4032</v>
      </c>
      <c r="BS265" s="1062">
        <f>'No Recurrentes 24-26'!DD124</f>
        <v>0</v>
      </c>
      <c r="BT265" s="1062">
        <f>'No Recurrentes 24-26'!DE124</f>
        <v>0</v>
      </c>
      <c r="BU265" s="1062">
        <f>'No Recurrentes 24-26'!DF124</f>
        <v>0</v>
      </c>
      <c r="BV265" s="1062">
        <f>'No Recurrentes 24-26'!DG124</f>
        <v>0</v>
      </c>
      <c r="BW265" s="1068"/>
      <c r="BX265" s="1062">
        <f>'No Recurrentes 24-26'!DH124</f>
        <v>2007.4032</v>
      </c>
      <c r="BY265" s="1062">
        <f>'No Recurrentes 24-26'!DI124</f>
        <v>0</v>
      </c>
      <c r="BZ265" s="1062">
        <f>'No Recurrentes 24-26'!DJ124</f>
        <v>0</v>
      </c>
      <c r="CA265" s="1062">
        <f>'No Recurrentes 24-26'!DK124</f>
        <v>0</v>
      </c>
      <c r="CB265" s="1062">
        <f>'No Recurrentes 24-26'!DL124</f>
        <v>0</v>
      </c>
      <c r="CC265" s="1062">
        <f>'No Recurrentes 24-26'!DM124</f>
        <v>0</v>
      </c>
      <c r="CD265" s="1062">
        <f>'No Recurrentes 24-26'!DN124</f>
        <v>2007.4032</v>
      </c>
      <c r="CE265" s="1062">
        <f>'No Recurrentes 24-26'!DO124</f>
        <v>0</v>
      </c>
      <c r="CF265" s="1062">
        <f>'No Recurrentes 24-26'!DP124</f>
        <v>0</v>
      </c>
      <c r="CG265" s="1062">
        <f>'No Recurrentes 24-26'!DQ124</f>
        <v>0</v>
      </c>
      <c r="CH265" s="1062">
        <f>'No Recurrentes 24-26'!DR124</f>
        <v>0</v>
      </c>
      <c r="CI265" s="1068"/>
      <c r="CJ265" s="1062">
        <f>'No Recurrentes 24-26'!DS124</f>
        <v>2007.4032</v>
      </c>
      <c r="CK265" s="1062">
        <f>'No Recurrentes 24-26'!DT124</f>
        <v>4014.8064</v>
      </c>
      <c r="CL265" s="1064" t="str">
        <f>'No Recurrentes 24-26'!DU124</f>
        <v/>
      </c>
      <c r="CM265" s="1064" t="str">
        <f>'No Recurrentes 24-26'!DV124</f>
        <v>Descripcion indicaba FILTRO DE RAVO</v>
      </c>
      <c r="CN265" s="1065">
        <f>'No Recurrentes 24-26'!EI123</f>
        <v>109.72</v>
      </c>
      <c r="CO265" s="1065">
        <f>'No Recurrentes 24-26'!EJ123</f>
        <v>93.26</v>
      </c>
      <c r="CP265" s="1060" t="str">
        <f>'No Recurrentes 24-26'!EK123</f>
        <v/>
      </c>
    </row>
    <row r="266">
      <c r="A266" s="451" t="str">
        <f>'No Recurrentes 24-26'!A125</f>
        <v>Repuestos Electromecánicos no recurrentes</v>
      </c>
      <c r="B266" s="451">
        <f>'No Recurrentes 24-26'!B125</f>
        <v>2</v>
      </c>
      <c r="C266" s="451" t="str">
        <f>'No Recurrentes 24-26'!C125</f>
        <v>Estación</v>
      </c>
      <c r="D266" s="451" t="str">
        <f>'No Recurrentes 24-26'!D125</f>
        <v>Manto. Eléctrico</v>
      </c>
      <c r="E266" s="451" t="str">
        <f>'No Recurrentes 24-26'!E125</f>
        <v>Repuesto Eléctrico</v>
      </c>
      <c r="F266" s="451" t="str">
        <f>'No Recurrentes 24-26'!F125</f>
        <v>TDB</v>
      </c>
      <c r="G266" s="1061" t="str">
        <f>'No Recurrentes 24-26'!G125</f>
        <v>39700</v>
      </c>
      <c r="H266" s="1061" t="str">
        <f>'No Recurrentes 24-26'!H125</f>
        <v/>
      </c>
      <c r="I266" s="1061" t="str">
        <f>'No Recurrentes 24-26'!I125</f>
        <v>11435529</v>
      </c>
      <c r="J266" s="1061" t="str">
        <f>'No Recurrentes 24-26'!J125</f>
        <v>RELE DE TIEMPO K3ZM20P-D    2-240V AC/DC        TELE HAASE</v>
      </c>
      <c r="K266" s="451" t="str">
        <f>'No Recurrentes 24-26'!K125</f>
        <v>Pza</v>
      </c>
      <c r="L266" s="451" t="str">
        <f>'No Recurrentes 24-26'!BC125</f>
        <v/>
      </c>
      <c r="M266" s="451" t="str">
        <f>'No Recurrentes 24-26'!BD125</f>
        <v/>
      </c>
      <c r="N266" s="451" t="str">
        <f>'No Recurrentes 24-26'!BE125</f>
        <v/>
      </c>
      <c r="O266" s="451" t="str">
        <f>'No Recurrentes 24-26'!BF125</f>
        <v/>
      </c>
      <c r="P266" s="451" t="str">
        <f>'No Recurrentes 24-26'!BG125</f>
        <v/>
      </c>
      <c r="Q266" s="451" t="str">
        <f>'No Recurrentes 24-26'!BH125</f>
        <v/>
      </c>
      <c r="R266" s="451" t="str">
        <f>'No Recurrentes 24-26'!BI125</f>
        <v/>
      </c>
      <c r="S266" s="451" t="str">
        <f>'No Recurrentes 24-26'!BJ125</f>
        <v/>
      </c>
      <c r="T266" s="451" t="str">
        <f>'No Recurrentes 24-26'!BK125</f>
        <v/>
      </c>
      <c r="U266" s="451" t="str">
        <f>'No Recurrentes 24-26'!BL125</f>
        <v/>
      </c>
      <c r="V266" s="1068"/>
      <c r="W266" s="1062">
        <f>'No Recurrentes 24-26'!BM125</f>
        <v>0</v>
      </c>
      <c r="X266" s="1062" t="str">
        <f>'No Recurrentes 24-26'!BN125</f>
        <v/>
      </c>
      <c r="Y266" s="1062" t="str">
        <f>'No Recurrentes 24-26'!BO125</f>
        <v/>
      </c>
      <c r="Z266" s="1062" t="str">
        <f>'No Recurrentes 24-26'!BP125</f>
        <v/>
      </c>
      <c r="AA266" s="1062">
        <f>'No Recurrentes 24-26'!BQ125</f>
        <v>1</v>
      </c>
      <c r="AB266" s="1062" t="str">
        <f>'No Recurrentes 24-26'!BR125</f>
        <v/>
      </c>
      <c r="AC266" s="1062" t="str">
        <f>'No Recurrentes 24-26'!BS125</f>
        <v/>
      </c>
      <c r="AD266" s="1062" t="str">
        <f>'No Recurrentes 24-26'!BT125</f>
        <v/>
      </c>
      <c r="AE266" s="1062" t="str">
        <f>'No Recurrentes 24-26'!BU125</f>
        <v/>
      </c>
      <c r="AF266" s="1062" t="str">
        <f>'No Recurrentes 24-26'!BV125</f>
        <v/>
      </c>
      <c r="AG266" s="1062" t="str">
        <f>'No Recurrentes 24-26'!BW125</f>
        <v/>
      </c>
      <c r="AH266" s="1068"/>
      <c r="AI266" s="1062">
        <f>'No Recurrentes 24-26'!BX125</f>
        <v>1</v>
      </c>
      <c r="AJ266" s="1062">
        <f>'No Recurrentes 24-26'!BY125</f>
        <v>0</v>
      </c>
      <c r="AK266" s="1062">
        <f>'No Recurrentes 24-26'!BZ125</f>
        <v>0</v>
      </c>
      <c r="AL266" s="1062">
        <f>'No Recurrentes 24-26'!CA125</f>
        <v>0</v>
      </c>
      <c r="AM266" s="1062">
        <f>'No Recurrentes 24-26'!CB125</f>
        <v>1</v>
      </c>
      <c r="AN266" s="1062">
        <f>'No Recurrentes 24-26'!CC125</f>
        <v>0</v>
      </c>
      <c r="AO266" s="1062">
        <f>'No Recurrentes 24-26'!CD125</f>
        <v>0</v>
      </c>
      <c r="AP266" s="1062">
        <f>'No Recurrentes 24-26'!CE125</f>
        <v>0</v>
      </c>
      <c r="AQ266" s="1062">
        <f>'No Recurrentes 24-26'!CF125</f>
        <v>0</v>
      </c>
      <c r="AR266" s="1062">
        <f>'No Recurrentes 24-26'!CG125</f>
        <v>0</v>
      </c>
      <c r="AS266" s="1062">
        <f>'No Recurrentes 24-26'!CH125</f>
        <v>0</v>
      </c>
      <c r="AT266" s="1068"/>
      <c r="AU266" s="1062">
        <f>'No Recurrentes 24-26'!CI125</f>
        <v>1</v>
      </c>
      <c r="AV266" s="1063">
        <f>'No Recurrentes 24-26'!CJ125</f>
        <v>2</v>
      </c>
      <c r="AW266" s="1068"/>
      <c r="AX266" s="1065">
        <f>'No Recurrentes 24-26'!CK125</f>
        <v>226.93</v>
      </c>
      <c r="AY266" s="1062">
        <f>'No Recurrentes 24-26'!CL125</f>
        <v>1579.4328</v>
      </c>
      <c r="AZ266" s="1068"/>
      <c r="BA266" s="1062">
        <f>'No Recurrentes 24-26'!CM125</f>
        <v>0</v>
      </c>
      <c r="BB266" s="1062">
        <f>'No Recurrentes 24-26'!CN125</f>
        <v>0</v>
      </c>
      <c r="BC266" s="1062">
        <f>'No Recurrentes 24-26'!CO125</f>
        <v>0</v>
      </c>
      <c r="BD266" s="1062">
        <f>'No Recurrentes 24-26'!CP125</f>
        <v>0</v>
      </c>
      <c r="BE266" s="1062">
        <f>'No Recurrentes 24-26'!CQ125</f>
        <v>0</v>
      </c>
      <c r="BF266" s="1062">
        <f>'No Recurrentes 24-26'!CR125</f>
        <v>0</v>
      </c>
      <c r="BG266" s="1062">
        <f>'No Recurrentes 24-26'!CS125</f>
        <v>0</v>
      </c>
      <c r="BH266" s="1062">
        <f>'No Recurrentes 24-26'!CT125</f>
        <v>0</v>
      </c>
      <c r="BI266" s="1062">
        <f>'No Recurrentes 24-26'!CU125</f>
        <v>0</v>
      </c>
      <c r="BJ266" s="1062">
        <f>'No Recurrentes 24-26'!CV125</f>
        <v>0</v>
      </c>
      <c r="BK266" s="1068"/>
      <c r="BL266" s="1062">
        <f>'No Recurrentes 24-26'!CW125</f>
        <v>0</v>
      </c>
      <c r="BM266" s="1062">
        <f>'No Recurrentes 24-26'!CX125</f>
        <v>0</v>
      </c>
      <c r="BN266" s="1062">
        <f>'No Recurrentes 24-26'!CY125</f>
        <v>0</v>
      </c>
      <c r="BO266" s="1062">
        <f>'No Recurrentes 24-26'!CZ125</f>
        <v>0</v>
      </c>
      <c r="BP266" s="1062">
        <f>'No Recurrentes 24-26'!DA125</f>
        <v>1579.4328</v>
      </c>
      <c r="BQ266" s="1062">
        <f>'No Recurrentes 24-26'!DB125</f>
        <v>0</v>
      </c>
      <c r="BR266" s="1062">
        <f>'No Recurrentes 24-26'!DC125</f>
        <v>0</v>
      </c>
      <c r="BS266" s="1062">
        <f>'No Recurrentes 24-26'!DD125</f>
        <v>0</v>
      </c>
      <c r="BT266" s="1062">
        <f>'No Recurrentes 24-26'!DE125</f>
        <v>0</v>
      </c>
      <c r="BU266" s="1062">
        <f>'No Recurrentes 24-26'!DF125</f>
        <v>0</v>
      </c>
      <c r="BV266" s="1062">
        <f>'No Recurrentes 24-26'!DG125</f>
        <v>0</v>
      </c>
      <c r="BW266" s="1068"/>
      <c r="BX266" s="1062">
        <f>'No Recurrentes 24-26'!DH125</f>
        <v>1579.4328</v>
      </c>
      <c r="BY266" s="1062">
        <f>'No Recurrentes 24-26'!DI125</f>
        <v>0</v>
      </c>
      <c r="BZ266" s="1062">
        <f>'No Recurrentes 24-26'!DJ125</f>
        <v>0</v>
      </c>
      <c r="CA266" s="1062">
        <f>'No Recurrentes 24-26'!DK125</f>
        <v>0</v>
      </c>
      <c r="CB266" s="1062">
        <f>'No Recurrentes 24-26'!DL125</f>
        <v>1579.4328</v>
      </c>
      <c r="CC266" s="1062">
        <f>'No Recurrentes 24-26'!DM125</f>
        <v>0</v>
      </c>
      <c r="CD266" s="1062">
        <f>'No Recurrentes 24-26'!DN125</f>
        <v>0</v>
      </c>
      <c r="CE266" s="1062">
        <f>'No Recurrentes 24-26'!DO125</f>
        <v>0</v>
      </c>
      <c r="CF266" s="1062">
        <f>'No Recurrentes 24-26'!DP125</f>
        <v>0</v>
      </c>
      <c r="CG266" s="1062">
        <f>'No Recurrentes 24-26'!DQ125</f>
        <v>0</v>
      </c>
      <c r="CH266" s="1062">
        <f>'No Recurrentes 24-26'!DR125</f>
        <v>0</v>
      </c>
      <c r="CI266" s="1068"/>
      <c r="CJ266" s="1062">
        <f>'No Recurrentes 24-26'!DS125</f>
        <v>1579.4328</v>
      </c>
      <c r="CK266" s="1062">
        <f>'No Recurrentes 24-26'!DT125</f>
        <v>3158.8656</v>
      </c>
      <c r="CL266" s="1064" t="str">
        <f>'No Recurrentes 24-26'!DU125</f>
        <v/>
      </c>
      <c r="CM266" s="1064" t="str">
        <f>'No Recurrentes 24-26'!DV125</f>
        <v/>
      </c>
      <c r="CN266" s="1065">
        <f>'No Recurrentes 24-26'!EI124</f>
        <v>288.42</v>
      </c>
      <c r="CO266" s="1065">
        <f>'No Recurrentes 24-26'!EJ124</f>
        <v>245.16</v>
      </c>
      <c r="CP266" s="1060" t="str">
        <f>'No Recurrentes 24-26'!EK124</f>
        <v/>
      </c>
    </row>
    <row r="267">
      <c r="A267" s="451" t="str">
        <f>'No Recurrentes 24-26'!A126</f>
        <v>Repuestos Electromecánicos no recurrentes</v>
      </c>
      <c r="B267" s="451">
        <f>'No Recurrentes 24-26'!B126</f>
        <v>2</v>
      </c>
      <c r="C267" s="451" t="str">
        <f>'No Recurrentes 24-26'!C126</f>
        <v>Estación</v>
      </c>
      <c r="D267" s="451" t="str">
        <f>'No Recurrentes 24-26'!D126</f>
        <v>Manto. Eléctrico</v>
      </c>
      <c r="E267" s="451" t="str">
        <f>'No Recurrentes 24-26'!E126</f>
        <v>Repuesto Eléctrico</v>
      </c>
      <c r="F267" s="451" t="str">
        <f>'No Recurrentes 24-26'!F126</f>
        <v>TDB</v>
      </c>
      <c r="G267" s="1061" t="str">
        <f>'No Recurrentes 24-26'!G126</f>
        <v>39700</v>
      </c>
      <c r="H267" s="1061" t="str">
        <f>'No Recurrentes 24-26'!H126</f>
        <v>2-02-00030</v>
      </c>
      <c r="I267" s="1061" t="str">
        <f>'No Recurrentes 24-26'!I126</f>
        <v>10755956</v>
      </c>
      <c r="J267" s="1061" t="str">
        <f>'No Recurrentes 24-26'!J126</f>
        <v>FUSIBLE AUTOMÁT. CA/CC 5SY6 316-7 TRIPOL./16A/CURVA C SIEMENS</v>
      </c>
      <c r="K267" s="451" t="str">
        <f>'No Recurrentes 24-26'!K126</f>
        <v>Pza</v>
      </c>
      <c r="L267" s="451" t="str">
        <f>'No Recurrentes 24-26'!BC126</f>
        <v/>
      </c>
      <c r="M267" s="451" t="str">
        <f>'No Recurrentes 24-26'!BD126</f>
        <v/>
      </c>
      <c r="N267" s="451" t="str">
        <f>'No Recurrentes 24-26'!BE126</f>
        <v/>
      </c>
      <c r="O267" s="451" t="str">
        <f>'No Recurrentes 24-26'!BF126</f>
        <v/>
      </c>
      <c r="P267" s="451" t="str">
        <f>'No Recurrentes 24-26'!BG126</f>
        <v/>
      </c>
      <c r="Q267" s="451" t="str">
        <f>'No Recurrentes 24-26'!BH126</f>
        <v/>
      </c>
      <c r="R267" s="451" t="str">
        <f>'No Recurrentes 24-26'!BI126</f>
        <v/>
      </c>
      <c r="S267" s="451" t="str">
        <f>'No Recurrentes 24-26'!BJ126</f>
        <v/>
      </c>
      <c r="T267" s="451" t="str">
        <f>'No Recurrentes 24-26'!BK126</f>
        <v/>
      </c>
      <c r="U267" s="451" t="str">
        <f>'No Recurrentes 24-26'!BL126</f>
        <v/>
      </c>
      <c r="V267" s="1068"/>
      <c r="W267" s="1062">
        <f>'No Recurrentes 24-26'!BM126</f>
        <v>0</v>
      </c>
      <c r="X267" s="1062" t="str">
        <f>'No Recurrentes 24-26'!BN126</f>
        <v/>
      </c>
      <c r="Y267" s="1062" t="str">
        <f>'No Recurrentes 24-26'!BO126</f>
        <v/>
      </c>
      <c r="Z267" s="1062" t="str">
        <f>'No Recurrentes 24-26'!BP126</f>
        <v/>
      </c>
      <c r="AA267" s="1062">
        <f>'No Recurrentes 24-26'!BQ126</f>
        <v>1</v>
      </c>
      <c r="AB267" s="1062">
        <f>'No Recurrentes 24-26'!BR126</f>
        <v>1</v>
      </c>
      <c r="AC267" s="1062">
        <f>'No Recurrentes 24-26'!BS126</f>
        <v>1</v>
      </c>
      <c r="AD267" s="1062" t="str">
        <f>'No Recurrentes 24-26'!BT126</f>
        <v/>
      </c>
      <c r="AE267" s="1062" t="str">
        <f>'No Recurrentes 24-26'!BU126</f>
        <v/>
      </c>
      <c r="AF267" s="1062" t="str">
        <f>'No Recurrentes 24-26'!BV126</f>
        <v/>
      </c>
      <c r="AG267" s="1062">
        <f>'No Recurrentes 24-26'!BW126</f>
        <v>1</v>
      </c>
      <c r="AH267" s="1068"/>
      <c r="AI267" s="1062">
        <f>'No Recurrentes 24-26'!BX126</f>
        <v>4</v>
      </c>
      <c r="AJ267" s="1062">
        <f>'No Recurrentes 24-26'!BY126</f>
        <v>0</v>
      </c>
      <c r="AK267" s="1062">
        <f>'No Recurrentes 24-26'!BZ126</f>
        <v>0</v>
      </c>
      <c r="AL267" s="1062">
        <f>'No Recurrentes 24-26'!CA126</f>
        <v>0</v>
      </c>
      <c r="AM267" s="1062">
        <f>'No Recurrentes 24-26'!CB126</f>
        <v>1</v>
      </c>
      <c r="AN267" s="1062">
        <f>'No Recurrentes 24-26'!CC126</f>
        <v>1</v>
      </c>
      <c r="AO267" s="1062">
        <f>'No Recurrentes 24-26'!CD126</f>
        <v>1</v>
      </c>
      <c r="AP267" s="1062">
        <f>'No Recurrentes 24-26'!CE126</f>
        <v>0</v>
      </c>
      <c r="AQ267" s="1062">
        <f>'No Recurrentes 24-26'!CF126</f>
        <v>0</v>
      </c>
      <c r="AR267" s="1062">
        <f>'No Recurrentes 24-26'!CG126</f>
        <v>0</v>
      </c>
      <c r="AS267" s="1062">
        <f>'No Recurrentes 24-26'!CH126</f>
        <v>0</v>
      </c>
      <c r="AT267" s="1068"/>
      <c r="AU267" s="1062">
        <f>'No Recurrentes 24-26'!CI126</f>
        <v>3</v>
      </c>
      <c r="AV267" s="1063">
        <f>'No Recurrentes 24-26'!CJ126</f>
        <v>7</v>
      </c>
      <c r="AW267" s="1068"/>
      <c r="AX267" s="1065">
        <f>'No Recurrentes 24-26'!CK126</f>
        <v>71.14</v>
      </c>
      <c r="AY267" s="1062">
        <f>'No Recurrentes 24-26'!CL126</f>
        <v>495.1344</v>
      </c>
      <c r="AZ267" s="1068"/>
      <c r="BA267" s="1062">
        <f>'No Recurrentes 24-26'!CM126</f>
        <v>0</v>
      </c>
      <c r="BB267" s="1062">
        <f>'No Recurrentes 24-26'!CN126</f>
        <v>0</v>
      </c>
      <c r="BC267" s="1062">
        <f>'No Recurrentes 24-26'!CO126</f>
        <v>0</v>
      </c>
      <c r="BD267" s="1062">
        <f>'No Recurrentes 24-26'!CP126</f>
        <v>0</v>
      </c>
      <c r="BE267" s="1062">
        <f>'No Recurrentes 24-26'!CQ126</f>
        <v>0</v>
      </c>
      <c r="BF267" s="1062">
        <f>'No Recurrentes 24-26'!CR126</f>
        <v>0</v>
      </c>
      <c r="BG267" s="1062">
        <f>'No Recurrentes 24-26'!CS126</f>
        <v>0</v>
      </c>
      <c r="BH267" s="1062">
        <f>'No Recurrentes 24-26'!CT126</f>
        <v>0</v>
      </c>
      <c r="BI267" s="1062">
        <f>'No Recurrentes 24-26'!CU126</f>
        <v>0</v>
      </c>
      <c r="BJ267" s="1062">
        <f>'No Recurrentes 24-26'!CV126</f>
        <v>0</v>
      </c>
      <c r="BK267" s="1068"/>
      <c r="BL267" s="1062">
        <f>'No Recurrentes 24-26'!CW126</f>
        <v>0</v>
      </c>
      <c r="BM267" s="1062">
        <f>'No Recurrentes 24-26'!CX126</f>
        <v>0</v>
      </c>
      <c r="BN267" s="1062">
        <f>'No Recurrentes 24-26'!CY126</f>
        <v>0</v>
      </c>
      <c r="BO267" s="1062">
        <f>'No Recurrentes 24-26'!CZ126</f>
        <v>0</v>
      </c>
      <c r="BP267" s="1062">
        <f>'No Recurrentes 24-26'!DA126</f>
        <v>495.1344</v>
      </c>
      <c r="BQ267" s="1062">
        <f>'No Recurrentes 24-26'!DB126</f>
        <v>495.1344</v>
      </c>
      <c r="BR267" s="1062">
        <f>'No Recurrentes 24-26'!DC126</f>
        <v>495.1344</v>
      </c>
      <c r="BS267" s="1062">
        <f>'No Recurrentes 24-26'!DD126</f>
        <v>0</v>
      </c>
      <c r="BT267" s="1062">
        <f>'No Recurrentes 24-26'!DE126</f>
        <v>0</v>
      </c>
      <c r="BU267" s="1062">
        <f>'No Recurrentes 24-26'!DF126</f>
        <v>0</v>
      </c>
      <c r="BV267" s="1062">
        <f>'No Recurrentes 24-26'!DG126</f>
        <v>495.1344</v>
      </c>
      <c r="BW267" s="1068"/>
      <c r="BX267" s="1062">
        <f>'No Recurrentes 24-26'!DH126</f>
        <v>1980.5376</v>
      </c>
      <c r="BY267" s="1062">
        <f>'No Recurrentes 24-26'!DI126</f>
        <v>0</v>
      </c>
      <c r="BZ267" s="1062">
        <f>'No Recurrentes 24-26'!DJ126</f>
        <v>0</v>
      </c>
      <c r="CA267" s="1062">
        <f>'No Recurrentes 24-26'!DK126</f>
        <v>0</v>
      </c>
      <c r="CB267" s="1062">
        <f>'No Recurrentes 24-26'!DL126</f>
        <v>495.1344</v>
      </c>
      <c r="CC267" s="1062">
        <f>'No Recurrentes 24-26'!DM126</f>
        <v>495.1344</v>
      </c>
      <c r="CD267" s="1062">
        <f>'No Recurrentes 24-26'!DN126</f>
        <v>495.1344</v>
      </c>
      <c r="CE267" s="1062">
        <f>'No Recurrentes 24-26'!DO126</f>
        <v>0</v>
      </c>
      <c r="CF267" s="1062">
        <f>'No Recurrentes 24-26'!DP126</f>
        <v>0</v>
      </c>
      <c r="CG267" s="1062">
        <f>'No Recurrentes 24-26'!DQ126</f>
        <v>0</v>
      </c>
      <c r="CH267" s="1062">
        <f>'No Recurrentes 24-26'!DR126</f>
        <v>0</v>
      </c>
      <c r="CI267" s="1068"/>
      <c r="CJ267" s="1062">
        <f>'No Recurrentes 24-26'!DS126</f>
        <v>1485.4032</v>
      </c>
      <c r="CK267" s="1062">
        <f>'No Recurrentes 24-26'!DT126</f>
        <v>3465.9408</v>
      </c>
      <c r="CL267" s="1064" t="str">
        <f>'No Recurrentes 24-26'!DU126</f>
        <v/>
      </c>
      <c r="CM267" s="1064" t="str">
        <f>'No Recurrentes 24-26'!DV126</f>
        <v/>
      </c>
      <c r="CN267" s="1065">
        <f>'No Recurrentes 24-26'!EI125</f>
        <v>226.93</v>
      </c>
      <c r="CO267" s="1065">
        <f>'No Recurrentes 24-26'!EJ125</f>
        <v>192.89</v>
      </c>
      <c r="CP267" s="1060" t="str">
        <f>'No Recurrentes 24-26'!EK125</f>
        <v/>
      </c>
    </row>
    <row r="268">
      <c r="A268" s="451" t="str">
        <f>'No Recurrentes 24-26'!A127</f>
        <v>Repuestos Electromecánicos no recurrentes</v>
      </c>
      <c r="B268" s="451">
        <f>'No Recurrentes 24-26'!B127</f>
        <v>2</v>
      </c>
      <c r="C268" s="451" t="str">
        <f>'No Recurrentes 24-26'!C127</f>
        <v>Estación</v>
      </c>
      <c r="D268" s="451" t="str">
        <f>'No Recurrentes 24-26'!D127</f>
        <v>Manto. Eléctrico</v>
      </c>
      <c r="E268" s="451" t="str">
        <f>'No Recurrentes 24-26'!E127</f>
        <v>Repuesto Eléctrico</v>
      </c>
      <c r="F268" s="451" t="str">
        <f>'No Recurrentes 24-26'!F127</f>
        <v>TDB</v>
      </c>
      <c r="G268" s="1061" t="str">
        <f>'No Recurrentes 24-26'!G127</f>
        <v>39700</v>
      </c>
      <c r="H268" s="1061" t="str">
        <f>'No Recurrentes 24-26'!H127</f>
        <v/>
      </c>
      <c r="I268" s="1061" t="str">
        <f>'No Recurrentes 24-26'!I127</f>
        <v>10753716</v>
      </c>
      <c r="J268" s="1061" t="str">
        <f>'No Recurrentes 24-26'!J127</f>
        <v>VORRATSANZEIGE 0-1/4-4/4   24V P/N 0015ECT</v>
      </c>
      <c r="K268" s="451" t="str">
        <f>'No Recurrentes 24-26'!K127</f>
        <v>Pza</v>
      </c>
      <c r="L268" s="451" t="str">
        <f>'No Recurrentes 24-26'!BC127</f>
        <v/>
      </c>
      <c r="M268" s="451" t="str">
        <f>'No Recurrentes 24-26'!BD127</f>
        <v/>
      </c>
      <c r="N268" s="451" t="str">
        <f>'No Recurrentes 24-26'!BE127</f>
        <v/>
      </c>
      <c r="O268" s="451" t="str">
        <f>'No Recurrentes 24-26'!BF127</f>
        <v/>
      </c>
      <c r="P268" s="451" t="str">
        <f>'No Recurrentes 24-26'!BG127</f>
        <v/>
      </c>
      <c r="Q268" s="451" t="str">
        <f>'No Recurrentes 24-26'!BH127</f>
        <v/>
      </c>
      <c r="R268" s="451" t="str">
        <f>'No Recurrentes 24-26'!BI127</f>
        <v/>
      </c>
      <c r="S268" s="451" t="str">
        <f>'No Recurrentes 24-26'!BJ127</f>
        <v/>
      </c>
      <c r="T268" s="451" t="str">
        <f>'No Recurrentes 24-26'!BK127</f>
        <v/>
      </c>
      <c r="U268" s="451" t="str">
        <f>'No Recurrentes 24-26'!BL127</f>
        <v/>
      </c>
      <c r="V268" s="1068"/>
      <c r="W268" s="1062">
        <f>'No Recurrentes 24-26'!BM127</f>
        <v>0</v>
      </c>
      <c r="X268" s="1062" t="str">
        <f>'No Recurrentes 24-26'!BN127</f>
        <v/>
      </c>
      <c r="Y268" s="1062" t="str">
        <f>'No Recurrentes 24-26'!BO127</f>
        <v/>
      </c>
      <c r="Z268" s="1062" t="str">
        <f>'No Recurrentes 24-26'!BP127</f>
        <v/>
      </c>
      <c r="AA268" s="1062" t="str">
        <f>'No Recurrentes 24-26'!BQ127</f>
        <v/>
      </c>
      <c r="AB268" s="1062">
        <f>'No Recurrentes 24-26'!BR127</f>
        <v>1</v>
      </c>
      <c r="AC268" s="1062" t="str">
        <f>'No Recurrentes 24-26'!BS127</f>
        <v/>
      </c>
      <c r="AD268" s="1062" t="str">
        <f>'No Recurrentes 24-26'!BT127</f>
        <v/>
      </c>
      <c r="AE268" s="1062" t="str">
        <f>'No Recurrentes 24-26'!BU127</f>
        <v/>
      </c>
      <c r="AF268" s="1062" t="str">
        <f>'No Recurrentes 24-26'!BV127</f>
        <v/>
      </c>
      <c r="AG268" s="1062" t="str">
        <f>'No Recurrentes 24-26'!BW127</f>
        <v/>
      </c>
      <c r="AH268" s="1068"/>
      <c r="AI268" s="1062">
        <f>'No Recurrentes 24-26'!BX127</f>
        <v>1</v>
      </c>
      <c r="AJ268" s="1062">
        <f>'No Recurrentes 24-26'!BY127</f>
        <v>0</v>
      </c>
      <c r="AK268" s="1062">
        <f>'No Recurrentes 24-26'!BZ127</f>
        <v>0</v>
      </c>
      <c r="AL268" s="1062">
        <f>'No Recurrentes 24-26'!CA127</f>
        <v>0</v>
      </c>
      <c r="AM268" s="1062">
        <f>'No Recurrentes 24-26'!CB127</f>
        <v>0</v>
      </c>
      <c r="AN268" s="1062">
        <f>'No Recurrentes 24-26'!CC127</f>
        <v>0</v>
      </c>
      <c r="AO268" s="1062">
        <f>'No Recurrentes 24-26'!CD127</f>
        <v>0</v>
      </c>
      <c r="AP268" s="1062">
        <f>'No Recurrentes 24-26'!CE127</f>
        <v>0</v>
      </c>
      <c r="AQ268" s="1062">
        <f>'No Recurrentes 24-26'!CF127</f>
        <v>0</v>
      </c>
      <c r="AR268" s="1062">
        <f>'No Recurrentes 24-26'!CG127</f>
        <v>0</v>
      </c>
      <c r="AS268" s="1062">
        <f>'No Recurrentes 24-26'!CH127</f>
        <v>0</v>
      </c>
      <c r="AT268" s="1068"/>
      <c r="AU268" s="1062">
        <f>'No Recurrentes 24-26'!CI127</f>
        <v>0</v>
      </c>
      <c r="AV268" s="1063">
        <f>'No Recurrentes 24-26'!CJ127</f>
        <v>1</v>
      </c>
      <c r="AW268" s="1068"/>
      <c r="AX268" s="1065">
        <f>'No Recurrentes 24-26'!CK127</f>
        <v>406.68</v>
      </c>
      <c r="AY268" s="1062">
        <f>'No Recurrentes 24-26'!CL127</f>
        <v>2830.4928</v>
      </c>
      <c r="AZ268" s="1068"/>
      <c r="BA268" s="1062">
        <f>'No Recurrentes 24-26'!CM127</f>
        <v>0</v>
      </c>
      <c r="BB268" s="1062">
        <f>'No Recurrentes 24-26'!CN127</f>
        <v>0</v>
      </c>
      <c r="BC268" s="1062">
        <f>'No Recurrentes 24-26'!CO127</f>
        <v>0</v>
      </c>
      <c r="BD268" s="1062">
        <f>'No Recurrentes 24-26'!CP127</f>
        <v>0</v>
      </c>
      <c r="BE268" s="1062">
        <f>'No Recurrentes 24-26'!CQ127</f>
        <v>0</v>
      </c>
      <c r="BF268" s="1062">
        <f>'No Recurrentes 24-26'!CR127</f>
        <v>0</v>
      </c>
      <c r="BG268" s="1062">
        <f>'No Recurrentes 24-26'!CS127</f>
        <v>0</v>
      </c>
      <c r="BH268" s="1062">
        <f>'No Recurrentes 24-26'!CT127</f>
        <v>0</v>
      </c>
      <c r="BI268" s="1062">
        <f>'No Recurrentes 24-26'!CU127</f>
        <v>0</v>
      </c>
      <c r="BJ268" s="1062">
        <f>'No Recurrentes 24-26'!CV127</f>
        <v>0</v>
      </c>
      <c r="BK268" s="1068"/>
      <c r="BL268" s="1062">
        <f>'No Recurrentes 24-26'!CW127</f>
        <v>0</v>
      </c>
      <c r="BM268" s="1062">
        <f>'No Recurrentes 24-26'!CX127</f>
        <v>0</v>
      </c>
      <c r="BN268" s="1062">
        <f>'No Recurrentes 24-26'!CY127</f>
        <v>0</v>
      </c>
      <c r="BO268" s="1062">
        <f>'No Recurrentes 24-26'!CZ127</f>
        <v>0</v>
      </c>
      <c r="BP268" s="1062">
        <f>'No Recurrentes 24-26'!DA127</f>
        <v>0</v>
      </c>
      <c r="BQ268" s="1062">
        <f>'No Recurrentes 24-26'!DB127</f>
        <v>2830.4928</v>
      </c>
      <c r="BR268" s="1062">
        <f>'No Recurrentes 24-26'!DC127</f>
        <v>0</v>
      </c>
      <c r="BS268" s="1062">
        <f>'No Recurrentes 24-26'!DD127</f>
        <v>0</v>
      </c>
      <c r="BT268" s="1062">
        <f>'No Recurrentes 24-26'!DE127</f>
        <v>0</v>
      </c>
      <c r="BU268" s="1062">
        <f>'No Recurrentes 24-26'!DF127</f>
        <v>0</v>
      </c>
      <c r="BV268" s="1062">
        <f>'No Recurrentes 24-26'!DG127</f>
        <v>0</v>
      </c>
      <c r="BW268" s="1068"/>
      <c r="BX268" s="1062">
        <f>'No Recurrentes 24-26'!DH127</f>
        <v>2830.4928</v>
      </c>
      <c r="BY268" s="1062">
        <f>'No Recurrentes 24-26'!DI127</f>
        <v>0</v>
      </c>
      <c r="BZ268" s="1062">
        <f>'No Recurrentes 24-26'!DJ127</f>
        <v>0</v>
      </c>
      <c r="CA268" s="1062">
        <f>'No Recurrentes 24-26'!DK127</f>
        <v>0</v>
      </c>
      <c r="CB268" s="1062">
        <f>'No Recurrentes 24-26'!DL127</f>
        <v>0</v>
      </c>
      <c r="CC268" s="1062">
        <f>'No Recurrentes 24-26'!DM127</f>
        <v>0</v>
      </c>
      <c r="CD268" s="1062">
        <f>'No Recurrentes 24-26'!DN127</f>
        <v>0</v>
      </c>
      <c r="CE268" s="1062">
        <f>'No Recurrentes 24-26'!DO127</f>
        <v>0</v>
      </c>
      <c r="CF268" s="1062">
        <f>'No Recurrentes 24-26'!DP127</f>
        <v>0</v>
      </c>
      <c r="CG268" s="1062">
        <f>'No Recurrentes 24-26'!DQ127</f>
        <v>0</v>
      </c>
      <c r="CH268" s="1062">
        <f>'No Recurrentes 24-26'!DR127</f>
        <v>0</v>
      </c>
      <c r="CI268" s="1068"/>
      <c r="CJ268" s="1062">
        <f>'No Recurrentes 24-26'!DS127</f>
        <v>0</v>
      </c>
      <c r="CK268" s="1062">
        <f>'No Recurrentes 24-26'!DT127</f>
        <v>2830.4928</v>
      </c>
      <c r="CL268" s="1064" t="str">
        <f>'No Recurrentes 24-26'!DU127</f>
        <v/>
      </c>
      <c r="CM268" s="1064" t="str">
        <f>'No Recurrentes 24-26'!DV127</f>
        <v/>
      </c>
      <c r="CN268" s="1065">
        <f>'No Recurrentes 24-26'!EI126</f>
        <v>71.14</v>
      </c>
      <c r="CO268" s="1065">
        <f>'No Recurrentes 24-26'!EJ126</f>
        <v>60.47</v>
      </c>
      <c r="CP268" s="1060" t="str">
        <f>'No Recurrentes 24-26'!EK126</f>
        <v/>
      </c>
    </row>
    <row r="269">
      <c r="A269" s="451" t="str">
        <f>'No Recurrentes 24-26'!A128</f>
        <v>Repuestos Electromecánicos no recurrentes</v>
      </c>
      <c r="B269" s="451">
        <f>'No Recurrentes 24-26'!B128</f>
        <v>2</v>
      </c>
      <c r="C269" s="451" t="str">
        <f>'No Recurrentes 24-26'!C128</f>
        <v>Estación</v>
      </c>
      <c r="D269" s="451" t="str">
        <f>'No Recurrentes 24-26'!D128</f>
        <v>Manto. Eléctrico</v>
      </c>
      <c r="E269" s="451" t="str">
        <f>'No Recurrentes 24-26'!E128</f>
        <v>Repuesto Eléctrico</v>
      </c>
      <c r="F269" s="451" t="str">
        <f>'No Recurrentes 24-26'!F128</f>
        <v>TDB</v>
      </c>
      <c r="G269" s="1061" t="str">
        <f>'No Recurrentes 24-26'!G128</f>
        <v>39700</v>
      </c>
      <c r="H269" s="1061" t="str">
        <f>'No Recurrentes 24-26'!H128</f>
        <v>2-02-00023</v>
      </c>
      <c r="I269" s="1061" t="str">
        <f>'No Recurrentes 24-26'!I128</f>
        <v>10755941</v>
      </c>
      <c r="J269" s="1061" t="str">
        <f>'No Recurrentes 24-26'!J128</f>
        <v>FUSIBLE AUTOMÁT. CA/CC 5SY6 104-7  UNIPOL/4A/CURVA C  SIEMENS</v>
      </c>
      <c r="K269" s="451" t="str">
        <f>'No Recurrentes 24-26'!K128</f>
        <v>Pza</v>
      </c>
      <c r="L269" s="451" t="str">
        <f>'No Recurrentes 24-26'!BC128</f>
        <v/>
      </c>
      <c r="M269" s="451" t="str">
        <f>'No Recurrentes 24-26'!BD128</f>
        <v/>
      </c>
      <c r="N269" s="451" t="str">
        <f>'No Recurrentes 24-26'!BE128</f>
        <v/>
      </c>
      <c r="O269" s="451" t="str">
        <f>'No Recurrentes 24-26'!BF128</f>
        <v/>
      </c>
      <c r="P269" s="451" t="str">
        <f>'No Recurrentes 24-26'!BG128</f>
        <v/>
      </c>
      <c r="Q269" s="451" t="str">
        <f>'No Recurrentes 24-26'!BH128</f>
        <v/>
      </c>
      <c r="R269" s="451" t="str">
        <f>'No Recurrentes 24-26'!BI128</f>
        <v/>
      </c>
      <c r="S269" s="451" t="str">
        <f>'No Recurrentes 24-26'!BJ128</f>
        <v/>
      </c>
      <c r="T269" s="451" t="str">
        <f>'No Recurrentes 24-26'!BK128</f>
        <v/>
      </c>
      <c r="U269" s="451" t="str">
        <f>'No Recurrentes 24-26'!BL128</f>
        <v/>
      </c>
      <c r="V269" s="1068"/>
      <c r="W269" s="1062">
        <f>'No Recurrentes 24-26'!BM128</f>
        <v>0</v>
      </c>
      <c r="X269" s="1062" t="str">
        <f>'No Recurrentes 24-26'!BN128</f>
        <v/>
      </c>
      <c r="Y269" s="1062" t="str">
        <f>'No Recurrentes 24-26'!BO128</f>
        <v/>
      </c>
      <c r="Z269" s="1062" t="str">
        <f>'No Recurrentes 24-26'!BP128</f>
        <v/>
      </c>
      <c r="AA269" s="1062">
        <f>'No Recurrentes 24-26'!BQ128</f>
        <v>1</v>
      </c>
      <c r="AB269" s="1062">
        <f>'No Recurrentes 24-26'!BR128</f>
        <v>1</v>
      </c>
      <c r="AC269" s="1062" t="str">
        <f>'No Recurrentes 24-26'!BS128</f>
        <v/>
      </c>
      <c r="AD269" s="1062" t="str">
        <f>'No Recurrentes 24-26'!BT128</f>
        <v/>
      </c>
      <c r="AE269" s="1062" t="str">
        <f>'No Recurrentes 24-26'!BU128</f>
        <v/>
      </c>
      <c r="AF269" s="1062" t="str">
        <f>'No Recurrentes 24-26'!BV128</f>
        <v/>
      </c>
      <c r="AG269" s="1062" t="str">
        <f>'No Recurrentes 24-26'!BW128</f>
        <v/>
      </c>
      <c r="AH269" s="1068"/>
      <c r="AI269" s="1062">
        <f>'No Recurrentes 24-26'!BX128</f>
        <v>2</v>
      </c>
      <c r="AJ269" s="1062">
        <f>'No Recurrentes 24-26'!BY128</f>
        <v>0</v>
      </c>
      <c r="AK269" s="1062">
        <f>'No Recurrentes 24-26'!BZ128</f>
        <v>0</v>
      </c>
      <c r="AL269" s="1062">
        <f>'No Recurrentes 24-26'!CA128</f>
        <v>0</v>
      </c>
      <c r="AM269" s="1062">
        <f>'No Recurrentes 24-26'!CB128</f>
        <v>1</v>
      </c>
      <c r="AN269" s="1062">
        <f>'No Recurrentes 24-26'!CC128</f>
        <v>1</v>
      </c>
      <c r="AO269" s="1062">
        <f>'No Recurrentes 24-26'!CD128</f>
        <v>0</v>
      </c>
      <c r="AP269" s="1062">
        <f>'No Recurrentes 24-26'!CE128</f>
        <v>0</v>
      </c>
      <c r="AQ269" s="1062">
        <f>'No Recurrentes 24-26'!CF128</f>
        <v>0</v>
      </c>
      <c r="AR269" s="1062">
        <f>'No Recurrentes 24-26'!CG128</f>
        <v>0</v>
      </c>
      <c r="AS269" s="1062">
        <f>'No Recurrentes 24-26'!CH128</f>
        <v>0</v>
      </c>
      <c r="AT269" s="1068"/>
      <c r="AU269" s="1062">
        <f>'No Recurrentes 24-26'!CI128</f>
        <v>2</v>
      </c>
      <c r="AV269" s="1063">
        <f>'No Recurrentes 24-26'!CJ128</f>
        <v>4</v>
      </c>
      <c r="AW269" s="1068"/>
      <c r="AX269" s="1065">
        <f>'No Recurrentes 24-26'!CK128</f>
        <v>73.57</v>
      </c>
      <c r="AY269" s="1062">
        <f>'No Recurrentes 24-26'!CL128</f>
        <v>512.0472</v>
      </c>
      <c r="AZ269" s="1068"/>
      <c r="BA269" s="1062">
        <f>'No Recurrentes 24-26'!CM128</f>
        <v>0</v>
      </c>
      <c r="BB269" s="1062">
        <f>'No Recurrentes 24-26'!CN128</f>
        <v>0</v>
      </c>
      <c r="BC269" s="1062">
        <f>'No Recurrentes 24-26'!CO128</f>
        <v>0</v>
      </c>
      <c r="BD269" s="1062">
        <f>'No Recurrentes 24-26'!CP128</f>
        <v>0</v>
      </c>
      <c r="BE269" s="1062">
        <f>'No Recurrentes 24-26'!CQ128</f>
        <v>0</v>
      </c>
      <c r="BF269" s="1062">
        <f>'No Recurrentes 24-26'!CR128</f>
        <v>0</v>
      </c>
      <c r="BG269" s="1062">
        <f>'No Recurrentes 24-26'!CS128</f>
        <v>0</v>
      </c>
      <c r="BH269" s="1062">
        <f>'No Recurrentes 24-26'!CT128</f>
        <v>0</v>
      </c>
      <c r="BI269" s="1062">
        <f>'No Recurrentes 24-26'!CU128</f>
        <v>0</v>
      </c>
      <c r="BJ269" s="1062">
        <f>'No Recurrentes 24-26'!CV128</f>
        <v>0</v>
      </c>
      <c r="BK269" s="1068"/>
      <c r="BL269" s="1062">
        <f>'No Recurrentes 24-26'!CW128</f>
        <v>0</v>
      </c>
      <c r="BM269" s="1062">
        <f>'No Recurrentes 24-26'!CX128</f>
        <v>0</v>
      </c>
      <c r="BN269" s="1062">
        <f>'No Recurrentes 24-26'!CY128</f>
        <v>0</v>
      </c>
      <c r="BO269" s="1062">
        <f>'No Recurrentes 24-26'!CZ128</f>
        <v>0</v>
      </c>
      <c r="BP269" s="1062">
        <f>'No Recurrentes 24-26'!DA128</f>
        <v>512.0472</v>
      </c>
      <c r="BQ269" s="1062">
        <f>'No Recurrentes 24-26'!DB128</f>
        <v>512.0472</v>
      </c>
      <c r="BR269" s="1062">
        <f>'No Recurrentes 24-26'!DC128</f>
        <v>0</v>
      </c>
      <c r="BS269" s="1062">
        <f>'No Recurrentes 24-26'!DD128</f>
        <v>0</v>
      </c>
      <c r="BT269" s="1062">
        <f>'No Recurrentes 24-26'!DE128</f>
        <v>0</v>
      </c>
      <c r="BU269" s="1062">
        <f>'No Recurrentes 24-26'!DF128</f>
        <v>0</v>
      </c>
      <c r="BV269" s="1062">
        <f>'No Recurrentes 24-26'!DG128</f>
        <v>0</v>
      </c>
      <c r="BW269" s="1068"/>
      <c r="BX269" s="1062">
        <f>'No Recurrentes 24-26'!DH128</f>
        <v>1024.0944</v>
      </c>
      <c r="BY269" s="1062">
        <f>'No Recurrentes 24-26'!DI128</f>
        <v>0</v>
      </c>
      <c r="BZ269" s="1062">
        <f>'No Recurrentes 24-26'!DJ128</f>
        <v>0</v>
      </c>
      <c r="CA269" s="1062">
        <f>'No Recurrentes 24-26'!DK128</f>
        <v>0</v>
      </c>
      <c r="CB269" s="1062">
        <f>'No Recurrentes 24-26'!DL128</f>
        <v>512.0472</v>
      </c>
      <c r="CC269" s="1062">
        <f>'No Recurrentes 24-26'!DM128</f>
        <v>512.0472</v>
      </c>
      <c r="CD269" s="1062">
        <f>'No Recurrentes 24-26'!DN128</f>
        <v>0</v>
      </c>
      <c r="CE269" s="1062">
        <f>'No Recurrentes 24-26'!DO128</f>
        <v>0</v>
      </c>
      <c r="CF269" s="1062">
        <f>'No Recurrentes 24-26'!DP128</f>
        <v>0</v>
      </c>
      <c r="CG269" s="1062">
        <f>'No Recurrentes 24-26'!DQ128</f>
        <v>0</v>
      </c>
      <c r="CH269" s="1062">
        <f>'No Recurrentes 24-26'!DR128</f>
        <v>0</v>
      </c>
      <c r="CI269" s="1068"/>
      <c r="CJ269" s="1062">
        <f>'No Recurrentes 24-26'!DS128</f>
        <v>1024.0944</v>
      </c>
      <c r="CK269" s="1062">
        <f>'No Recurrentes 24-26'!DT128</f>
        <v>2048.1888</v>
      </c>
      <c r="CL269" s="1064" t="str">
        <f>'No Recurrentes 24-26'!DU128</f>
        <v/>
      </c>
      <c r="CM269" s="1064" t="str">
        <f>'No Recurrentes 24-26'!DV128</f>
        <v/>
      </c>
      <c r="CN269" s="1065">
        <f>'No Recurrentes 24-26'!EI127</f>
        <v>406.68</v>
      </c>
      <c r="CO269" s="1065">
        <f>'No Recurrentes 24-26'!EJ127</f>
        <v>345.68</v>
      </c>
      <c r="CP269" s="1060" t="str">
        <f>'No Recurrentes 24-26'!EK127</f>
        <v/>
      </c>
    </row>
    <row r="270">
      <c r="A270" s="451" t="str">
        <f>'No Recurrentes 24-26'!A129</f>
        <v>Repuestos Electromecánicos no recurrentes</v>
      </c>
      <c r="B270" s="451">
        <f>'No Recurrentes 24-26'!B129</f>
        <v>2</v>
      </c>
      <c r="C270" s="451" t="str">
        <f>'No Recurrentes 24-26'!C129</f>
        <v>Estación</v>
      </c>
      <c r="D270" s="451" t="str">
        <f>'No Recurrentes 24-26'!D129</f>
        <v>Manto. Eléctrico</v>
      </c>
      <c r="E270" s="451" t="str">
        <f>'No Recurrentes 24-26'!E129</f>
        <v>Repuesto Eléctrico</v>
      </c>
      <c r="F270" s="451" t="str">
        <f>'No Recurrentes 24-26'!F129</f>
        <v>TDB</v>
      </c>
      <c r="G270" s="1061" t="str">
        <f>'No Recurrentes 24-26'!G129</f>
        <v>39700</v>
      </c>
      <c r="H270" s="1061" t="str">
        <f>'No Recurrentes 24-26'!H129</f>
        <v>2-06-00039</v>
      </c>
      <c r="I270" s="1061" t="str">
        <f>'No Recurrentes 24-26'!I129</f>
        <v>10059382</v>
      </c>
      <c r="J270" s="1061" t="str">
        <f>'No Recurrentes 24-26'!J129</f>
        <v>INTERRUPT.PROXIM.IFRM 12P1701/ S14L INDUCTIVO DIA.12  PNP NO</v>
      </c>
      <c r="K270" s="451" t="str">
        <f>'No Recurrentes 24-26'!K129</f>
        <v>Pza</v>
      </c>
      <c r="L270" s="451" t="str">
        <f>'No Recurrentes 24-26'!BC129</f>
        <v/>
      </c>
      <c r="M270" s="451" t="str">
        <f>'No Recurrentes 24-26'!BD129</f>
        <v/>
      </c>
      <c r="N270" s="451" t="str">
        <f>'No Recurrentes 24-26'!BE129</f>
        <v/>
      </c>
      <c r="O270" s="451" t="str">
        <f>'No Recurrentes 24-26'!BF129</f>
        <v/>
      </c>
      <c r="P270" s="451" t="str">
        <f>'No Recurrentes 24-26'!BG129</f>
        <v/>
      </c>
      <c r="Q270" s="451" t="str">
        <f>'No Recurrentes 24-26'!BH129</f>
        <v/>
      </c>
      <c r="R270" s="451" t="str">
        <f>'No Recurrentes 24-26'!BI129</f>
        <v/>
      </c>
      <c r="S270" s="451" t="str">
        <f>'No Recurrentes 24-26'!BJ129</f>
        <v/>
      </c>
      <c r="T270" s="451" t="str">
        <f>'No Recurrentes 24-26'!BK129</f>
        <v/>
      </c>
      <c r="U270" s="451" t="str">
        <f>'No Recurrentes 24-26'!BL129</f>
        <v/>
      </c>
      <c r="V270" s="1068"/>
      <c r="W270" s="1062">
        <f>'No Recurrentes 24-26'!BM129</f>
        <v>0</v>
      </c>
      <c r="X270" s="1062" t="str">
        <f>'No Recurrentes 24-26'!BN129</f>
        <v/>
      </c>
      <c r="Y270" s="1062" t="str">
        <f>'No Recurrentes 24-26'!BO129</f>
        <v/>
      </c>
      <c r="Z270" s="1062" t="str">
        <f>'No Recurrentes 24-26'!BP129</f>
        <v/>
      </c>
      <c r="AA270" s="1062">
        <f>'No Recurrentes 24-26'!BQ129</f>
        <v>2</v>
      </c>
      <c r="AB270" s="1062" t="str">
        <f>'No Recurrentes 24-26'!BR129</f>
        <v/>
      </c>
      <c r="AC270" s="1062" t="str">
        <f>'No Recurrentes 24-26'!BS129</f>
        <v/>
      </c>
      <c r="AD270" s="1062" t="str">
        <f>'No Recurrentes 24-26'!BT129</f>
        <v/>
      </c>
      <c r="AE270" s="1062" t="str">
        <f>'No Recurrentes 24-26'!BU129</f>
        <v/>
      </c>
      <c r="AF270" s="1062" t="str">
        <f>'No Recurrentes 24-26'!BV129</f>
        <v/>
      </c>
      <c r="AG270" s="1062" t="str">
        <f>'No Recurrentes 24-26'!BW129</f>
        <v/>
      </c>
      <c r="AH270" s="1068"/>
      <c r="AI270" s="1062">
        <f>'No Recurrentes 24-26'!BX129</f>
        <v>2</v>
      </c>
      <c r="AJ270" s="1062">
        <f>'No Recurrentes 24-26'!BY129</f>
        <v>2</v>
      </c>
      <c r="AK270" s="1062">
        <f>'No Recurrentes 24-26'!BZ129</f>
        <v>1</v>
      </c>
      <c r="AL270" s="1062">
        <f>'No Recurrentes 24-26'!CA129</f>
        <v>2</v>
      </c>
      <c r="AM270" s="1062">
        <f>'No Recurrentes 24-26'!CB129</f>
        <v>0</v>
      </c>
      <c r="AN270" s="1062">
        <f>'No Recurrentes 24-26'!CC129</f>
        <v>0</v>
      </c>
      <c r="AO270" s="1062">
        <f>'No Recurrentes 24-26'!CD129</f>
        <v>0</v>
      </c>
      <c r="AP270" s="1062">
        <f>'No Recurrentes 24-26'!CE129</f>
        <v>0</v>
      </c>
      <c r="AQ270" s="1062">
        <f>'No Recurrentes 24-26'!CF129</f>
        <v>0</v>
      </c>
      <c r="AR270" s="1062">
        <f>'No Recurrentes 24-26'!CG129</f>
        <v>0</v>
      </c>
      <c r="AS270" s="1062">
        <f>'No Recurrentes 24-26'!CH129</f>
        <v>0</v>
      </c>
      <c r="AT270" s="1068"/>
      <c r="AU270" s="1062">
        <f>'No Recurrentes 24-26'!CI129</f>
        <v>5</v>
      </c>
      <c r="AV270" s="1063">
        <f>'No Recurrentes 24-26'!CJ129</f>
        <v>7</v>
      </c>
      <c r="AW270" s="1068"/>
      <c r="AX270" s="1065">
        <f>'No Recurrentes 24-26'!CK129</f>
        <v>131.21</v>
      </c>
      <c r="AY270" s="1062">
        <f>'No Recurrentes 24-26'!CL129</f>
        <v>913.2216</v>
      </c>
      <c r="AZ270" s="1068"/>
      <c r="BA270" s="1062">
        <f>'No Recurrentes 24-26'!CM129</f>
        <v>0</v>
      </c>
      <c r="BB270" s="1062">
        <f>'No Recurrentes 24-26'!CN129</f>
        <v>0</v>
      </c>
      <c r="BC270" s="1062">
        <f>'No Recurrentes 24-26'!CO129</f>
        <v>0</v>
      </c>
      <c r="BD270" s="1062">
        <f>'No Recurrentes 24-26'!CP129</f>
        <v>0</v>
      </c>
      <c r="BE270" s="1062">
        <f>'No Recurrentes 24-26'!CQ129</f>
        <v>0</v>
      </c>
      <c r="BF270" s="1062">
        <f>'No Recurrentes 24-26'!CR129</f>
        <v>0</v>
      </c>
      <c r="BG270" s="1062">
        <f>'No Recurrentes 24-26'!CS129</f>
        <v>0</v>
      </c>
      <c r="BH270" s="1062">
        <f>'No Recurrentes 24-26'!CT129</f>
        <v>0</v>
      </c>
      <c r="BI270" s="1062">
        <f>'No Recurrentes 24-26'!CU129</f>
        <v>0</v>
      </c>
      <c r="BJ270" s="1062">
        <f>'No Recurrentes 24-26'!CV129</f>
        <v>0</v>
      </c>
      <c r="BK270" s="1068"/>
      <c r="BL270" s="1062">
        <f>'No Recurrentes 24-26'!CW129</f>
        <v>0</v>
      </c>
      <c r="BM270" s="1062">
        <f>'No Recurrentes 24-26'!CX129</f>
        <v>0</v>
      </c>
      <c r="BN270" s="1062">
        <f>'No Recurrentes 24-26'!CY129</f>
        <v>0</v>
      </c>
      <c r="BO270" s="1062">
        <f>'No Recurrentes 24-26'!CZ129</f>
        <v>0</v>
      </c>
      <c r="BP270" s="1062">
        <f>'No Recurrentes 24-26'!DA129</f>
        <v>1826.4432</v>
      </c>
      <c r="BQ270" s="1062">
        <f>'No Recurrentes 24-26'!DB129</f>
        <v>0</v>
      </c>
      <c r="BR270" s="1062">
        <f>'No Recurrentes 24-26'!DC129</f>
        <v>0</v>
      </c>
      <c r="BS270" s="1062">
        <f>'No Recurrentes 24-26'!DD129</f>
        <v>0</v>
      </c>
      <c r="BT270" s="1062">
        <f>'No Recurrentes 24-26'!DE129</f>
        <v>0</v>
      </c>
      <c r="BU270" s="1062">
        <f>'No Recurrentes 24-26'!DF129</f>
        <v>0</v>
      </c>
      <c r="BV270" s="1062">
        <f>'No Recurrentes 24-26'!DG129</f>
        <v>0</v>
      </c>
      <c r="BW270" s="1068"/>
      <c r="BX270" s="1062">
        <f>'No Recurrentes 24-26'!DH129</f>
        <v>1826.4432</v>
      </c>
      <c r="BY270" s="1062">
        <f>'No Recurrentes 24-26'!DI129</f>
        <v>1826.4432</v>
      </c>
      <c r="BZ270" s="1062">
        <f>'No Recurrentes 24-26'!DJ129</f>
        <v>913.2216</v>
      </c>
      <c r="CA270" s="1062">
        <f>'No Recurrentes 24-26'!DK129</f>
        <v>1826.4432</v>
      </c>
      <c r="CB270" s="1062">
        <f>'No Recurrentes 24-26'!DL129</f>
        <v>0</v>
      </c>
      <c r="CC270" s="1062">
        <f>'No Recurrentes 24-26'!DM129</f>
        <v>0</v>
      </c>
      <c r="CD270" s="1062">
        <f>'No Recurrentes 24-26'!DN129</f>
        <v>0</v>
      </c>
      <c r="CE270" s="1062">
        <f>'No Recurrentes 24-26'!DO129</f>
        <v>0</v>
      </c>
      <c r="CF270" s="1062">
        <f>'No Recurrentes 24-26'!DP129</f>
        <v>0</v>
      </c>
      <c r="CG270" s="1062">
        <f>'No Recurrentes 24-26'!DQ129</f>
        <v>0</v>
      </c>
      <c r="CH270" s="1062">
        <f>'No Recurrentes 24-26'!DR129</f>
        <v>0</v>
      </c>
      <c r="CI270" s="1068"/>
      <c r="CJ270" s="1062">
        <f>'No Recurrentes 24-26'!DS129</f>
        <v>4566.108</v>
      </c>
      <c r="CK270" s="1062">
        <f>'No Recurrentes 24-26'!DT129</f>
        <v>6392.5512</v>
      </c>
      <c r="CL270" s="1064" t="str">
        <f>'No Recurrentes 24-26'!DU129</f>
        <v/>
      </c>
      <c r="CM270" s="1064" t="str">
        <f>'No Recurrentes 24-26'!DV129</f>
        <v/>
      </c>
      <c r="CN270" s="1065">
        <f>'No Recurrentes 24-26'!EI128</f>
        <v>73.57</v>
      </c>
      <c r="CO270" s="1065">
        <f>'No Recurrentes 24-26'!EJ128</f>
        <v>62.53</v>
      </c>
      <c r="CP270" s="1060" t="str">
        <f>'No Recurrentes 24-26'!EK128</f>
        <v/>
      </c>
    </row>
    <row r="271">
      <c r="A271" s="451" t="str">
        <f>'No Recurrentes 24-26'!A130</f>
        <v>Repuestos Electromecánicos no recurrentes</v>
      </c>
      <c r="B271" s="451">
        <f>'No Recurrentes 24-26'!B130</f>
        <v>2</v>
      </c>
      <c r="C271" s="451" t="str">
        <f>'No Recurrentes 24-26'!C130</f>
        <v>Estación</v>
      </c>
      <c r="D271" s="451" t="str">
        <f>'No Recurrentes 24-26'!D130</f>
        <v>Manto. Eléctrico</v>
      </c>
      <c r="E271" s="451" t="str">
        <f>'No Recurrentes 24-26'!E130</f>
        <v>Repuesto Eléctrico</v>
      </c>
      <c r="F271" s="451" t="str">
        <f>'No Recurrentes 24-26'!F130</f>
        <v>TDB</v>
      </c>
      <c r="G271" s="1061" t="str">
        <f>'No Recurrentes 24-26'!G130</f>
        <v>39700</v>
      </c>
      <c r="H271" s="1061" t="str">
        <f>'No Recurrentes 24-26'!H130</f>
        <v>2-02-00024</v>
      </c>
      <c r="I271" s="1061" t="str">
        <f>'No Recurrentes 24-26'!I130</f>
        <v>10755943</v>
      </c>
      <c r="J271" s="1061" t="str">
        <f>'No Recurrentes 24-26'!J130</f>
        <v>FUSIBLE AUTOM. CA/CC 5SY6 106-7  UNIPOL./6A/CURVA C  SIEMENS</v>
      </c>
      <c r="K271" s="451" t="str">
        <f>'No Recurrentes 24-26'!K130</f>
        <v>Pza</v>
      </c>
      <c r="L271" s="451" t="str">
        <f>'No Recurrentes 24-26'!BC130</f>
        <v/>
      </c>
      <c r="M271" s="451" t="str">
        <f>'No Recurrentes 24-26'!BD130</f>
        <v/>
      </c>
      <c r="N271" s="451" t="str">
        <f>'No Recurrentes 24-26'!BE130</f>
        <v/>
      </c>
      <c r="O271" s="451" t="str">
        <f>'No Recurrentes 24-26'!BF130</f>
        <v/>
      </c>
      <c r="P271" s="451" t="str">
        <f>'No Recurrentes 24-26'!BG130</f>
        <v/>
      </c>
      <c r="Q271" s="451" t="str">
        <f>'No Recurrentes 24-26'!BH130</f>
        <v/>
      </c>
      <c r="R271" s="451" t="str">
        <f>'No Recurrentes 24-26'!BI130</f>
        <v/>
      </c>
      <c r="S271" s="451" t="str">
        <f>'No Recurrentes 24-26'!BJ130</f>
        <v/>
      </c>
      <c r="T271" s="451" t="str">
        <f>'No Recurrentes 24-26'!BK130</f>
        <v/>
      </c>
      <c r="U271" s="451" t="str">
        <f>'No Recurrentes 24-26'!BL130</f>
        <v/>
      </c>
      <c r="V271" s="1068"/>
      <c r="W271" s="1062">
        <f>'No Recurrentes 24-26'!BM130</f>
        <v>0</v>
      </c>
      <c r="X271" s="1062" t="str">
        <f>'No Recurrentes 24-26'!BN130</f>
        <v/>
      </c>
      <c r="Y271" s="1062" t="str">
        <f>'No Recurrentes 24-26'!BO130</f>
        <v/>
      </c>
      <c r="Z271" s="1062" t="str">
        <f>'No Recurrentes 24-26'!BP130</f>
        <v/>
      </c>
      <c r="AA271" s="1062">
        <f>'No Recurrentes 24-26'!BQ130</f>
        <v>1</v>
      </c>
      <c r="AB271" s="1062">
        <f>'No Recurrentes 24-26'!BR130</f>
        <v>1</v>
      </c>
      <c r="AC271" s="1062" t="str">
        <f>'No Recurrentes 24-26'!BS130</f>
        <v/>
      </c>
      <c r="AD271" s="1062" t="str">
        <f>'No Recurrentes 24-26'!BT130</f>
        <v/>
      </c>
      <c r="AE271" s="1062" t="str">
        <f>'No Recurrentes 24-26'!BU130</f>
        <v/>
      </c>
      <c r="AF271" s="1062" t="str">
        <f>'No Recurrentes 24-26'!BV130</f>
        <v/>
      </c>
      <c r="AG271" s="1062" t="str">
        <f>'No Recurrentes 24-26'!BW130</f>
        <v/>
      </c>
      <c r="AH271" s="1068"/>
      <c r="AI271" s="1062">
        <f>'No Recurrentes 24-26'!BX130</f>
        <v>2</v>
      </c>
      <c r="AJ271" s="1062">
        <f>'No Recurrentes 24-26'!BY130</f>
        <v>0</v>
      </c>
      <c r="AK271" s="1062">
        <f>'No Recurrentes 24-26'!BZ130</f>
        <v>0</v>
      </c>
      <c r="AL271" s="1062">
        <f>'No Recurrentes 24-26'!CA130</f>
        <v>0</v>
      </c>
      <c r="AM271" s="1062">
        <f>'No Recurrentes 24-26'!CB130</f>
        <v>1</v>
      </c>
      <c r="AN271" s="1062">
        <f>'No Recurrentes 24-26'!CC130</f>
        <v>1</v>
      </c>
      <c r="AO271" s="1062">
        <f>'No Recurrentes 24-26'!CD130</f>
        <v>0</v>
      </c>
      <c r="AP271" s="1062">
        <f>'No Recurrentes 24-26'!CE130</f>
        <v>0</v>
      </c>
      <c r="AQ271" s="1062">
        <f>'No Recurrentes 24-26'!CF130</f>
        <v>0</v>
      </c>
      <c r="AR271" s="1062">
        <f>'No Recurrentes 24-26'!CG130</f>
        <v>0</v>
      </c>
      <c r="AS271" s="1062">
        <f>'No Recurrentes 24-26'!CH130</f>
        <v>0</v>
      </c>
      <c r="AT271" s="1068"/>
      <c r="AU271" s="1062">
        <f>'No Recurrentes 24-26'!CI130</f>
        <v>2</v>
      </c>
      <c r="AV271" s="1063">
        <f>'No Recurrentes 24-26'!CJ130</f>
        <v>4</v>
      </c>
      <c r="AW271" s="1068"/>
      <c r="AX271" s="1065">
        <f>'No Recurrentes 24-26'!CK130</f>
        <v>56.07</v>
      </c>
      <c r="AY271" s="1062">
        <f>'No Recurrentes 24-26'!CL130</f>
        <v>390.2472</v>
      </c>
      <c r="AZ271" s="1068"/>
      <c r="BA271" s="1062">
        <f>'No Recurrentes 24-26'!CM130</f>
        <v>0</v>
      </c>
      <c r="BB271" s="1062">
        <f>'No Recurrentes 24-26'!CN130</f>
        <v>0</v>
      </c>
      <c r="BC271" s="1062">
        <f>'No Recurrentes 24-26'!CO130</f>
        <v>0</v>
      </c>
      <c r="BD271" s="1062">
        <f>'No Recurrentes 24-26'!CP130</f>
        <v>0</v>
      </c>
      <c r="BE271" s="1062">
        <f>'No Recurrentes 24-26'!CQ130</f>
        <v>0</v>
      </c>
      <c r="BF271" s="1062">
        <f>'No Recurrentes 24-26'!CR130</f>
        <v>0</v>
      </c>
      <c r="BG271" s="1062">
        <f>'No Recurrentes 24-26'!CS130</f>
        <v>0</v>
      </c>
      <c r="BH271" s="1062">
        <f>'No Recurrentes 24-26'!CT130</f>
        <v>0</v>
      </c>
      <c r="BI271" s="1062">
        <f>'No Recurrentes 24-26'!CU130</f>
        <v>0</v>
      </c>
      <c r="BJ271" s="1062">
        <f>'No Recurrentes 24-26'!CV130</f>
        <v>0</v>
      </c>
      <c r="BK271" s="1068"/>
      <c r="BL271" s="1062">
        <f>'No Recurrentes 24-26'!CW130</f>
        <v>0</v>
      </c>
      <c r="BM271" s="1062">
        <f>'No Recurrentes 24-26'!CX130</f>
        <v>0</v>
      </c>
      <c r="BN271" s="1062">
        <f>'No Recurrentes 24-26'!CY130</f>
        <v>0</v>
      </c>
      <c r="BO271" s="1062">
        <f>'No Recurrentes 24-26'!CZ130</f>
        <v>0</v>
      </c>
      <c r="BP271" s="1062">
        <f>'No Recurrentes 24-26'!DA130</f>
        <v>390.2472</v>
      </c>
      <c r="BQ271" s="1062">
        <f>'No Recurrentes 24-26'!DB130</f>
        <v>390.2472</v>
      </c>
      <c r="BR271" s="1062">
        <f>'No Recurrentes 24-26'!DC130</f>
        <v>0</v>
      </c>
      <c r="BS271" s="1062">
        <f>'No Recurrentes 24-26'!DD130</f>
        <v>0</v>
      </c>
      <c r="BT271" s="1062">
        <f>'No Recurrentes 24-26'!DE130</f>
        <v>0</v>
      </c>
      <c r="BU271" s="1062">
        <f>'No Recurrentes 24-26'!DF130</f>
        <v>0</v>
      </c>
      <c r="BV271" s="1062">
        <f>'No Recurrentes 24-26'!DG130</f>
        <v>0</v>
      </c>
      <c r="BW271" s="1068"/>
      <c r="BX271" s="1062">
        <f>'No Recurrentes 24-26'!DH130</f>
        <v>780.4944</v>
      </c>
      <c r="BY271" s="1062">
        <f>'No Recurrentes 24-26'!DI130</f>
        <v>0</v>
      </c>
      <c r="BZ271" s="1062">
        <f>'No Recurrentes 24-26'!DJ130</f>
        <v>0</v>
      </c>
      <c r="CA271" s="1062">
        <f>'No Recurrentes 24-26'!DK130</f>
        <v>0</v>
      </c>
      <c r="CB271" s="1062">
        <f>'No Recurrentes 24-26'!DL130</f>
        <v>390.2472</v>
      </c>
      <c r="CC271" s="1062">
        <f>'No Recurrentes 24-26'!DM130</f>
        <v>390.2472</v>
      </c>
      <c r="CD271" s="1062">
        <f>'No Recurrentes 24-26'!DN130</f>
        <v>0</v>
      </c>
      <c r="CE271" s="1062">
        <f>'No Recurrentes 24-26'!DO130</f>
        <v>0</v>
      </c>
      <c r="CF271" s="1062">
        <f>'No Recurrentes 24-26'!DP130</f>
        <v>0</v>
      </c>
      <c r="CG271" s="1062">
        <f>'No Recurrentes 24-26'!DQ130</f>
        <v>0</v>
      </c>
      <c r="CH271" s="1062">
        <f>'No Recurrentes 24-26'!DR130</f>
        <v>0</v>
      </c>
      <c r="CI271" s="1068"/>
      <c r="CJ271" s="1062">
        <f>'No Recurrentes 24-26'!DS130</f>
        <v>780.4944</v>
      </c>
      <c r="CK271" s="1062">
        <f>'No Recurrentes 24-26'!DT130</f>
        <v>1560.9888</v>
      </c>
      <c r="CL271" s="1064" t="str">
        <f>'No Recurrentes 24-26'!DU130</f>
        <v/>
      </c>
      <c r="CM271" s="1064" t="str">
        <f>'No Recurrentes 24-26'!DV130</f>
        <v/>
      </c>
      <c r="CN271" s="1065">
        <f>'No Recurrentes 24-26'!EI129</f>
        <v>131.21</v>
      </c>
      <c r="CO271" s="1065">
        <f>'No Recurrentes 24-26'!EJ129</f>
        <v>111.53</v>
      </c>
      <c r="CP271" s="1060" t="str">
        <f>'No Recurrentes 24-26'!EK129</f>
        <v/>
      </c>
    </row>
    <row r="272">
      <c r="A272" s="451" t="str">
        <f>'No Recurrentes 24-26'!A131</f>
        <v>Repuestos Electromecánicos no recurrentes</v>
      </c>
      <c r="B272" s="451">
        <f>'No Recurrentes 24-26'!B131</f>
        <v>2</v>
      </c>
      <c r="C272" s="451" t="str">
        <f>'No Recurrentes 24-26'!C131</f>
        <v>Estación</v>
      </c>
      <c r="D272" s="451" t="str">
        <f>'No Recurrentes 24-26'!D131</f>
        <v>Manto. Eléctrico</v>
      </c>
      <c r="E272" s="451" t="str">
        <f>'No Recurrentes 24-26'!E131</f>
        <v>Repuesto Eléctrico</v>
      </c>
      <c r="F272" s="451" t="str">
        <f>'No Recurrentes 24-26'!F131</f>
        <v>TDB</v>
      </c>
      <c r="G272" s="1061" t="str">
        <f>'No Recurrentes 24-26'!G131</f>
        <v>39700</v>
      </c>
      <c r="H272" s="1061" t="str">
        <f>'No Recurrentes 24-26'!H131</f>
        <v>2-02-00372</v>
      </c>
      <c r="I272" s="1061" t="str">
        <f>'No Recurrentes 24-26'!I131</f>
        <v>10755939</v>
      </c>
      <c r="J272" s="1061" t="str">
        <f>'No Recurrentes 24-26'!J131</f>
        <v>FUSIBLE AUTOM. CA/CC 5SY6 101-7       1P/1A/CURVA C  SIEMENS</v>
      </c>
      <c r="K272" s="451" t="str">
        <f>'No Recurrentes 24-26'!K131</f>
        <v>Pza</v>
      </c>
      <c r="L272" s="451" t="str">
        <f>'No Recurrentes 24-26'!BC131</f>
        <v/>
      </c>
      <c r="M272" s="451" t="str">
        <f>'No Recurrentes 24-26'!BD131</f>
        <v/>
      </c>
      <c r="N272" s="451" t="str">
        <f>'No Recurrentes 24-26'!BE131</f>
        <v/>
      </c>
      <c r="O272" s="451" t="str">
        <f>'No Recurrentes 24-26'!BF131</f>
        <v/>
      </c>
      <c r="P272" s="451" t="str">
        <f>'No Recurrentes 24-26'!BG131</f>
        <v/>
      </c>
      <c r="Q272" s="451" t="str">
        <f>'No Recurrentes 24-26'!BH131</f>
        <v/>
      </c>
      <c r="R272" s="451" t="str">
        <f>'No Recurrentes 24-26'!BI131</f>
        <v/>
      </c>
      <c r="S272" s="451" t="str">
        <f>'No Recurrentes 24-26'!BJ131</f>
        <v/>
      </c>
      <c r="T272" s="451" t="str">
        <f>'No Recurrentes 24-26'!BK131</f>
        <v/>
      </c>
      <c r="U272" s="451" t="str">
        <f>'No Recurrentes 24-26'!BL131</f>
        <v/>
      </c>
      <c r="V272" s="1068"/>
      <c r="W272" s="1062">
        <f>'No Recurrentes 24-26'!BM131</f>
        <v>0</v>
      </c>
      <c r="X272" s="1062" t="str">
        <f>'No Recurrentes 24-26'!BN131</f>
        <v/>
      </c>
      <c r="Y272" s="1062" t="str">
        <f>'No Recurrentes 24-26'!BO131</f>
        <v/>
      </c>
      <c r="Z272" s="1062" t="str">
        <f>'No Recurrentes 24-26'!BP131</f>
        <v/>
      </c>
      <c r="AA272" s="1062">
        <f>'No Recurrentes 24-26'!BQ131</f>
        <v>1</v>
      </c>
      <c r="AB272" s="1062">
        <f>'No Recurrentes 24-26'!BR131</f>
        <v>1</v>
      </c>
      <c r="AC272" s="1062">
        <f>'No Recurrentes 24-26'!BS131</f>
        <v>1</v>
      </c>
      <c r="AD272" s="1062" t="str">
        <f>'No Recurrentes 24-26'!BT131</f>
        <v/>
      </c>
      <c r="AE272" s="1062" t="str">
        <f>'No Recurrentes 24-26'!BU131</f>
        <v/>
      </c>
      <c r="AF272" s="1062" t="str">
        <f>'No Recurrentes 24-26'!BV131</f>
        <v/>
      </c>
      <c r="AG272" s="1062">
        <f>'No Recurrentes 24-26'!BW131</f>
        <v>1</v>
      </c>
      <c r="AH272" s="1068"/>
      <c r="AI272" s="1062">
        <f>'No Recurrentes 24-26'!BX131</f>
        <v>4</v>
      </c>
      <c r="AJ272" s="1062">
        <f>'No Recurrentes 24-26'!BY131</f>
        <v>0</v>
      </c>
      <c r="AK272" s="1062">
        <f>'No Recurrentes 24-26'!BZ131</f>
        <v>0</v>
      </c>
      <c r="AL272" s="1062">
        <f>'No Recurrentes 24-26'!CA131</f>
        <v>0</v>
      </c>
      <c r="AM272" s="1062">
        <f>'No Recurrentes 24-26'!CB131</f>
        <v>1</v>
      </c>
      <c r="AN272" s="1062">
        <f>'No Recurrentes 24-26'!CC131</f>
        <v>1</v>
      </c>
      <c r="AO272" s="1062">
        <f>'No Recurrentes 24-26'!CD131</f>
        <v>1</v>
      </c>
      <c r="AP272" s="1062">
        <f>'No Recurrentes 24-26'!CE131</f>
        <v>0</v>
      </c>
      <c r="AQ272" s="1062">
        <f>'No Recurrentes 24-26'!CF131</f>
        <v>0</v>
      </c>
      <c r="AR272" s="1062">
        <f>'No Recurrentes 24-26'!CG131</f>
        <v>0</v>
      </c>
      <c r="AS272" s="1062">
        <f>'No Recurrentes 24-26'!CH131</f>
        <v>0</v>
      </c>
      <c r="AT272" s="1068"/>
      <c r="AU272" s="1062">
        <f>'No Recurrentes 24-26'!CI131</f>
        <v>3</v>
      </c>
      <c r="AV272" s="1063">
        <f>'No Recurrentes 24-26'!CJ131</f>
        <v>7</v>
      </c>
      <c r="AW272" s="1068"/>
      <c r="AX272" s="1065">
        <f>'No Recurrentes 24-26'!CK131</f>
        <v>30.57</v>
      </c>
      <c r="AY272" s="1062">
        <f>'No Recurrentes 24-26'!CL131</f>
        <v>212.7672</v>
      </c>
      <c r="AZ272" s="1068"/>
      <c r="BA272" s="1062">
        <f>'No Recurrentes 24-26'!CM131</f>
        <v>0</v>
      </c>
      <c r="BB272" s="1062">
        <f>'No Recurrentes 24-26'!CN131</f>
        <v>0</v>
      </c>
      <c r="BC272" s="1062">
        <f>'No Recurrentes 24-26'!CO131</f>
        <v>0</v>
      </c>
      <c r="BD272" s="1062">
        <f>'No Recurrentes 24-26'!CP131</f>
        <v>0</v>
      </c>
      <c r="BE272" s="1062">
        <f>'No Recurrentes 24-26'!CQ131</f>
        <v>0</v>
      </c>
      <c r="BF272" s="1062">
        <f>'No Recurrentes 24-26'!CR131</f>
        <v>0</v>
      </c>
      <c r="BG272" s="1062">
        <f>'No Recurrentes 24-26'!CS131</f>
        <v>0</v>
      </c>
      <c r="BH272" s="1062">
        <f>'No Recurrentes 24-26'!CT131</f>
        <v>0</v>
      </c>
      <c r="BI272" s="1062">
        <f>'No Recurrentes 24-26'!CU131</f>
        <v>0</v>
      </c>
      <c r="BJ272" s="1062">
        <f>'No Recurrentes 24-26'!CV131</f>
        <v>0</v>
      </c>
      <c r="BK272" s="1068"/>
      <c r="BL272" s="1062">
        <f>'No Recurrentes 24-26'!CW131</f>
        <v>0</v>
      </c>
      <c r="BM272" s="1062">
        <f>'No Recurrentes 24-26'!CX131</f>
        <v>0</v>
      </c>
      <c r="BN272" s="1062">
        <f>'No Recurrentes 24-26'!CY131</f>
        <v>0</v>
      </c>
      <c r="BO272" s="1062">
        <f>'No Recurrentes 24-26'!CZ131</f>
        <v>0</v>
      </c>
      <c r="BP272" s="1062">
        <f>'No Recurrentes 24-26'!DA131</f>
        <v>212.7672</v>
      </c>
      <c r="BQ272" s="1062">
        <f>'No Recurrentes 24-26'!DB131</f>
        <v>212.7672</v>
      </c>
      <c r="BR272" s="1062">
        <f>'No Recurrentes 24-26'!DC131</f>
        <v>212.7672</v>
      </c>
      <c r="BS272" s="1062">
        <f>'No Recurrentes 24-26'!DD131</f>
        <v>0</v>
      </c>
      <c r="BT272" s="1062">
        <f>'No Recurrentes 24-26'!DE131</f>
        <v>0</v>
      </c>
      <c r="BU272" s="1062">
        <f>'No Recurrentes 24-26'!DF131</f>
        <v>0</v>
      </c>
      <c r="BV272" s="1062">
        <f>'No Recurrentes 24-26'!DG131</f>
        <v>212.7672</v>
      </c>
      <c r="BW272" s="1068"/>
      <c r="BX272" s="1062">
        <f>'No Recurrentes 24-26'!DH131</f>
        <v>851.0688</v>
      </c>
      <c r="BY272" s="1062">
        <f>'No Recurrentes 24-26'!DI131</f>
        <v>0</v>
      </c>
      <c r="BZ272" s="1062">
        <f>'No Recurrentes 24-26'!DJ131</f>
        <v>0</v>
      </c>
      <c r="CA272" s="1062">
        <f>'No Recurrentes 24-26'!DK131</f>
        <v>0</v>
      </c>
      <c r="CB272" s="1062">
        <f>'No Recurrentes 24-26'!DL131</f>
        <v>212.7672</v>
      </c>
      <c r="CC272" s="1062">
        <f>'No Recurrentes 24-26'!DM131</f>
        <v>212.7672</v>
      </c>
      <c r="CD272" s="1062">
        <f>'No Recurrentes 24-26'!DN131</f>
        <v>212.7672</v>
      </c>
      <c r="CE272" s="1062">
        <f>'No Recurrentes 24-26'!DO131</f>
        <v>0</v>
      </c>
      <c r="CF272" s="1062">
        <f>'No Recurrentes 24-26'!DP131</f>
        <v>0</v>
      </c>
      <c r="CG272" s="1062">
        <f>'No Recurrentes 24-26'!DQ131</f>
        <v>0</v>
      </c>
      <c r="CH272" s="1062">
        <f>'No Recurrentes 24-26'!DR131</f>
        <v>0</v>
      </c>
      <c r="CI272" s="1068"/>
      <c r="CJ272" s="1062">
        <f>'No Recurrentes 24-26'!DS131</f>
        <v>638.3016</v>
      </c>
      <c r="CK272" s="1062">
        <f>'No Recurrentes 24-26'!DT131</f>
        <v>1489.3704</v>
      </c>
      <c r="CL272" s="1064" t="str">
        <f>'No Recurrentes 24-26'!DU131</f>
        <v/>
      </c>
      <c r="CM272" s="1064" t="str">
        <f>'No Recurrentes 24-26'!DV131</f>
        <v/>
      </c>
      <c r="CN272" s="1065">
        <f>'No Recurrentes 24-26'!EI130</f>
        <v>56.07</v>
      </c>
      <c r="CO272" s="1065">
        <f>'No Recurrentes 24-26'!EJ130</f>
        <v>47.66</v>
      </c>
      <c r="CP272" s="1060" t="str">
        <f>'No Recurrentes 24-26'!EK130</f>
        <v/>
      </c>
    </row>
    <row r="273">
      <c r="A273" s="451" t="str">
        <f>'No Recurrentes 24-26'!A132</f>
        <v>Repuestos Electromecánicos no recurrentes</v>
      </c>
      <c r="B273" s="451" t="str">
        <f>'No Recurrentes 24-26'!B132</f>
        <v/>
      </c>
      <c r="C273" s="451" t="str">
        <f>'No Recurrentes 24-26'!C132</f>
        <v>Estación</v>
      </c>
      <c r="D273" s="451" t="str">
        <f>'No Recurrentes 24-26'!D132</f>
        <v>Manto. Eléctrico</v>
      </c>
      <c r="E273" s="451" t="str">
        <f>'No Recurrentes 24-26'!E132</f>
        <v>Repuesto Eléctrico</v>
      </c>
      <c r="F273" s="451" t="str">
        <f>'No Recurrentes 24-26'!F132</f>
        <v>TDB</v>
      </c>
      <c r="G273" s="1061" t="str">
        <f>'No Recurrentes 24-26'!G132</f>
        <v>39700</v>
      </c>
      <c r="H273" s="1061" t="str">
        <f>'No Recurrentes 24-26'!H132</f>
        <v/>
      </c>
      <c r="I273" s="1061">
        <f>'No Recurrentes 24-26'!I132</f>
        <v>11176987</v>
      </c>
      <c r="J273" s="1061" t="str">
        <f>'No Recurrentes 24-26'!J132</f>
        <v>MODULO DE INTERFACE, RJ45 IF, GOGATECH GMBH</v>
      </c>
      <c r="K273" s="451" t="str">
        <f>'No Recurrentes 24-26'!K132</f>
        <v>Pza</v>
      </c>
      <c r="L273" s="451" t="str">
        <f>'No Recurrentes 24-26'!BC132</f>
        <v/>
      </c>
      <c r="M273" s="451" t="str">
        <f>'No Recurrentes 24-26'!BD132</f>
        <v/>
      </c>
      <c r="N273" s="451" t="str">
        <f>'No Recurrentes 24-26'!BE132</f>
        <v/>
      </c>
      <c r="O273" s="451">
        <f>'No Recurrentes 24-26'!BF132</f>
        <v>0</v>
      </c>
      <c r="P273" s="451" t="str">
        <f>'No Recurrentes 24-26'!BG132</f>
        <v/>
      </c>
      <c r="Q273" s="451" t="str">
        <f>'No Recurrentes 24-26'!BH132</f>
        <v/>
      </c>
      <c r="R273" s="451" t="str">
        <f>'No Recurrentes 24-26'!BI132</f>
        <v/>
      </c>
      <c r="S273" s="451" t="str">
        <f>'No Recurrentes 24-26'!BJ132</f>
        <v/>
      </c>
      <c r="T273" s="451" t="str">
        <f>'No Recurrentes 24-26'!BK132</f>
        <v/>
      </c>
      <c r="U273" s="451" t="str">
        <f>'No Recurrentes 24-26'!BL132</f>
        <v/>
      </c>
      <c r="V273" s="1068"/>
      <c r="W273" s="1062">
        <f>'No Recurrentes 24-26'!BM132</f>
        <v>0</v>
      </c>
      <c r="X273" s="1062" t="str">
        <f>'No Recurrentes 24-26'!BN132</f>
        <v/>
      </c>
      <c r="Y273" s="1062" t="str">
        <f>'No Recurrentes 24-26'!BO132</f>
        <v/>
      </c>
      <c r="Z273" s="1062" t="str">
        <f>'No Recurrentes 24-26'!BP132</f>
        <v/>
      </c>
      <c r="AA273" s="1062" t="str">
        <f>'No Recurrentes 24-26'!BQ132</f>
        <v/>
      </c>
      <c r="AB273" s="1062" t="str">
        <f>'No Recurrentes 24-26'!BR132</f>
        <v/>
      </c>
      <c r="AC273" s="1062" t="str">
        <f>'No Recurrentes 24-26'!BS132</f>
        <v/>
      </c>
      <c r="AD273" s="1062" t="str">
        <f>'No Recurrentes 24-26'!BT132</f>
        <v/>
      </c>
      <c r="AE273" s="1062" t="str">
        <f>'No Recurrentes 24-26'!BU132</f>
        <v/>
      </c>
      <c r="AF273" s="1062" t="str">
        <f>'No Recurrentes 24-26'!BV132</f>
        <v/>
      </c>
      <c r="AG273" s="1062" t="str">
        <f>'No Recurrentes 24-26'!BW132</f>
        <v/>
      </c>
      <c r="AH273" s="1068"/>
      <c r="AI273" s="1062">
        <f>'No Recurrentes 24-26'!BX132</f>
        <v>0</v>
      </c>
      <c r="AJ273" s="1062">
        <f>'No Recurrentes 24-26'!BY132</f>
        <v>0</v>
      </c>
      <c r="AK273" s="1062">
        <f>'No Recurrentes 24-26'!BZ132</f>
        <v>0</v>
      </c>
      <c r="AL273" s="1062">
        <f>'No Recurrentes 24-26'!CA132</f>
        <v>0</v>
      </c>
      <c r="AM273" s="1062">
        <f>'No Recurrentes 24-26'!CB132</f>
        <v>0</v>
      </c>
      <c r="AN273" s="1062">
        <f>'No Recurrentes 24-26'!CC132</f>
        <v>0</v>
      </c>
      <c r="AO273" s="1062">
        <f>'No Recurrentes 24-26'!CD132</f>
        <v>0</v>
      </c>
      <c r="AP273" s="1062">
        <f>'No Recurrentes 24-26'!CE132</f>
        <v>0</v>
      </c>
      <c r="AQ273" s="1062">
        <f>'No Recurrentes 24-26'!CF132</f>
        <v>0</v>
      </c>
      <c r="AR273" s="1062">
        <f>'No Recurrentes 24-26'!CG132</f>
        <v>0</v>
      </c>
      <c r="AS273" s="1062">
        <f>'No Recurrentes 24-26'!CH132</f>
        <v>0</v>
      </c>
      <c r="AT273" s="1068"/>
      <c r="AU273" s="1062">
        <f>'No Recurrentes 24-26'!CI132</f>
        <v>0</v>
      </c>
      <c r="AV273" s="1063">
        <f>'No Recurrentes 24-26'!CJ132</f>
        <v>0</v>
      </c>
      <c r="AW273" s="1068"/>
      <c r="AX273" s="1062" t="str">
        <f>'No Recurrentes 24-26'!CK132</f>
        <v/>
      </c>
      <c r="AY273" s="1062">
        <f>'No Recurrentes 24-26'!CL132</f>
        <v>850.4794</v>
      </c>
      <c r="AZ273" s="1068"/>
      <c r="BA273" s="1062">
        <f>'No Recurrentes 24-26'!CM132</f>
        <v>0</v>
      </c>
      <c r="BB273" s="1062">
        <f>'No Recurrentes 24-26'!CN132</f>
        <v>0</v>
      </c>
      <c r="BC273" s="1062">
        <f>'No Recurrentes 24-26'!CO132</f>
        <v>0</v>
      </c>
      <c r="BD273" s="1062">
        <f>'No Recurrentes 24-26'!CP132</f>
        <v>0</v>
      </c>
      <c r="BE273" s="1062">
        <f>'No Recurrentes 24-26'!CQ132</f>
        <v>0</v>
      </c>
      <c r="BF273" s="1062">
        <f>'No Recurrentes 24-26'!CR132</f>
        <v>0</v>
      </c>
      <c r="BG273" s="1062">
        <f>'No Recurrentes 24-26'!CS132</f>
        <v>0</v>
      </c>
      <c r="BH273" s="1062">
        <f>'No Recurrentes 24-26'!CT132</f>
        <v>0</v>
      </c>
      <c r="BI273" s="1062">
        <f>'No Recurrentes 24-26'!CU132</f>
        <v>0</v>
      </c>
      <c r="BJ273" s="1062">
        <f>'No Recurrentes 24-26'!CV132</f>
        <v>0</v>
      </c>
      <c r="BK273" s="1068"/>
      <c r="BL273" s="1062">
        <f>'No Recurrentes 24-26'!CW132</f>
        <v>0</v>
      </c>
      <c r="BM273" s="1062">
        <f>'No Recurrentes 24-26'!CX132</f>
        <v>0</v>
      </c>
      <c r="BN273" s="1062">
        <f>'No Recurrentes 24-26'!CY132</f>
        <v>0</v>
      </c>
      <c r="BO273" s="1062">
        <f>'No Recurrentes 24-26'!CZ132</f>
        <v>0</v>
      </c>
      <c r="BP273" s="1062">
        <f>'No Recurrentes 24-26'!DA132</f>
        <v>0</v>
      </c>
      <c r="BQ273" s="1062">
        <f>'No Recurrentes 24-26'!DB132</f>
        <v>0</v>
      </c>
      <c r="BR273" s="1062">
        <f>'No Recurrentes 24-26'!DC132</f>
        <v>0</v>
      </c>
      <c r="BS273" s="1062">
        <f>'No Recurrentes 24-26'!DD132</f>
        <v>0</v>
      </c>
      <c r="BT273" s="1062">
        <f>'No Recurrentes 24-26'!DE132</f>
        <v>0</v>
      </c>
      <c r="BU273" s="1062">
        <f>'No Recurrentes 24-26'!DF132</f>
        <v>0</v>
      </c>
      <c r="BV273" s="1062">
        <f>'No Recurrentes 24-26'!DG132</f>
        <v>0</v>
      </c>
      <c r="BW273" s="1068"/>
      <c r="BX273" s="1062">
        <f>'No Recurrentes 24-26'!DH132</f>
        <v>0</v>
      </c>
      <c r="BY273" s="1062">
        <f>'No Recurrentes 24-26'!DI132</f>
        <v>0</v>
      </c>
      <c r="BZ273" s="1062">
        <f>'No Recurrentes 24-26'!DJ132</f>
        <v>0</v>
      </c>
      <c r="CA273" s="1062">
        <f>'No Recurrentes 24-26'!DK132</f>
        <v>0</v>
      </c>
      <c r="CB273" s="1062">
        <f>'No Recurrentes 24-26'!DL132</f>
        <v>0</v>
      </c>
      <c r="CC273" s="1062">
        <f>'No Recurrentes 24-26'!DM132</f>
        <v>0</v>
      </c>
      <c r="CD273" s="1062">
        <f>'No Recurrentes 24-26'!DN132</f>
        <v>0</v>
      </c>
      <c r="CE273" s="1062">
        <f>'No Recurrentes 24-26'!DO132</f>
        <v>0</v>
      </c>
      <c r="CF273" s="1062">
        <f>'No Recurrentes 24-26'!DP132</f>
        <v>0</v>
      </c>
      <c r="CG273" s="1062">
        <f>'No Recurrentes 24-26'!DQ132</f>
        <v>0</v>
      </c>
      <c r="CH273" s="1062">
        <f>'No Recurrentes 24-26'!DR132</f>
        <v>0</v>
      </c>
      <c r="CI273" s="1068"/>
      <c r="CJ273" s="1062">
        <f>'No Recurrentes 24-26'!DS132</f>
        <v>0</v>
      </c>
      <c r="CK273" s="1062">
        <f>'No Recurrentes 24-26'!DT132</f>
        <v>0</v>
      </c>
      <c r="CL273" s="1064" t="str">
        <f>'No Recurrentes 24-26'!DU132</f>
        <v/>
      </c>
      <c r="CM273" s="1064" t="str">
        <f>'No Recurrentes 24-26'!DV132</f>
        <v>Descripción indicaba -5556 (TARJETA)</v>
      </c>
      <c r="CN273" s="1065">
        <f>'No Recurrentes 24-26'!EI131</f>
        <v>30.57</v>
      </c>
      <c r="CO273" s="1065">
        <f>'No Recurrentes 24-26'!EJ131</f>
        <v>25.98</v>
      </c>
      <c r="CP273" s="1060" t="str">
        <f>'No Recurrentes 24-26'!EK131</f>
        <v/>
      </c>
    </row>
    <row r="274">
      <c r="A274" s="451" t="str">
        <f>'No Recurrentes 24-26'!A133</f>
        <v>Repuestos Electromecánicos no recurrentes</v>
      </c>
      <c r="B274" s="451">
        <f>'No Recurrentes 24-26'!B133</f>
        <v>2</v>
      </c>
      <c r="C274" s="451" t="str">
        <f>'No Recurrentes 24-26'!C133</f>
        <v>Estación</v>
      </c>
      <c r="D274" s="451" t="str">
        <f>'No Recurrentes 24-26'!D133</f>
        <v>Manto. Eléctrico</v>
      </c>
      <c r="E274" s="451" t="str">
        <f>'No Recurrentes 24-26'!E133</f>
        <v>Repuesto Eléctrico</v>
      </c>
      <c r="F274" s="451" t="str">
        <f>'No Recurrentes 24-26'!F133</f>
        <v>TDB</v>
      </c>
      <c r="G274" s="1061" t="str">
        <f>'No Recurrentes 24-26'!G133</f>
        <v>39700</v>
      </c>
      <c r="H274" s="1061" t="str">
        <f>'No Recurrentes 24-26'!H133</f>
        <v>2-02-00169</v>
      </c>
      <c r="I274" s="1061" t="str">
        <f>'No Recurrentes 24-26'!I133</f>
        <v>10821130</v>
      </c>
      <c r="J274" s="1061" t="str">
        <f>'No Recurrentes 24-26'!J133</f>
        <v>CONTACTOR KG3-07D04.24  CC (4 APERTURA)     BENEDIKT&amp;JAEGER</v>
      </c>
      <c r="K274" s="451" t="str">
        <f>'No Recurrentes 24-26'!K133</f>
        <v>Pza</v>
      </c>
      <c r="L274" s="451" t="str">
        <f>'No Recurrentes 24-26'!BC133</f>
        <v/>
      </c>
      <c r="M274" s="451" t="str">
        <f>'No Recurrentes 24-26'!BD133</f>
        <v/>
      </c>
      <c r="N274" s="451" t="str">
        <f>'No Recurrentes 24-26'!BE133</f>
        <v/>
      </c>
      <c r="O274" s="451" t="str">
        <f>'No Recurrentes 24-26'!BF133</f>
        <v/>
      </c>
      <c r="P274" s="451" t="str">
        <f>'No Recurrentes 24-26'!BG133</f>
        <v/>
      </c>
      <c r="Q274" s="451" t="str">
        <f>'No Recurrentes 24-26'!BH133</f>
        <v/>
      </c>
      <c r="R274" s="451" t="str">
        <f>'No Recurrentes 24-26'!BI133</f>
        <v/>
      </c>
      <c r="S274" s="451" t="str">
        <f>'No Recurrentes 24-26'!BJ133</f>
        <v/>
      </c>
      <c r="T274" s="451" t="str">
        <f>'No Recurrentes 24-26'!BK133</f>
        <v/>
      </c>
      <c r="U274" s="451" t="str">
        <f>'No Recurrentes 24-26'!BL133</f>
        <v/>
      </c>
      <c r="V274" s="1068"/>
      <c r="W274" s="1062">
        <f>'No Recurrentes 24-26'!BM133</f>
        <v>0</v>
      </c>
      <c r="X274" s="1062" t="str">
        <f>'No Recurrentes 24-26'!BN133</f>
        <v/>
      </c>
      <c r="Y274" s="1062" t="str">
        <f>'No Recurrentes 24-26'!BO133</f>
        <v/>
      </c>
      <c r="Z274" s="1062" t="str">
        <f>'No Recurrentes 24-26'!BP133</f>
        <v/>
      </c>
      <c r="AA274" s="1062">
        <f>'No Recurrentes 24-26'!BQ133</f>
        <v>1</v>
      </c>
      <c r="AB274" s="1062" t="str">
        <f>'No Recurrentes 24-26'!BR133</f>
        <v/>
      </c>
      <c r="AC274" s="1062" t="str">
        <f>'No Recurrentes 24-26'!BS133</f>
        <v/>
      </c>
      <c r="AD274" s="1062" t="str">
        <f>'No Recurrentes 24-26'!BT133</f>
        <v/>
      </c>
      <c r="AE274" s="1062" t="str">
        <f>'No Recurrentes 24-26'!BU133</f>
        <v/>
      </c>
      <c r="AF274" s="1062" t="str">
        <f>'No Recurrentes 24-26'!BV133</f>
        <v/>
      </c>
      <c r="AG274" s="1062" t="str">
        <f>'No Recurrentes 24-26'!BW133</f>
        <v/>
      </c>
      <c r="AH274" s="1068"/>
      <c r="AI274" s="1062">
        <f>'No Recurrentes 24-26'!BX133</f>
        <v>1</v>
      </c>
      <c r="AJ274" s="1062">
        <f>'No Recurrentes 24-26'!BY133</f>
        <v>1</v>
      </c>
      <c r="AK274" s="1062">
        <f>'No Recurrentes 24-26'!BZ133</f>
        <v>0</v>
      </c>
      <c r="AL274" s="1062">
        <f>'No Recurrentes 24-26'!CA133</f>
        <v>1</v>
      </c>
      <c r="AM274" s="1062">
        <f>'No Recurrentes 24-26'!CB133</f>
        <v>0</v>
      </c>
      <c r="AN274" s="1062">
        <f>'No Recurrentes 24-26'!CC133</f>
        <v>0</v>
      </c>
      <c r="AO274" s="1062">
        <f>'No Recurrentes 24-26'!CD133</f>
        <v>0</v>
      </c>
      <c r="AP274" s="1062">
        <f>'No Recurrentes 24-26'!CE133</f>
        <v>0</v>
      </c>
      <c r="AQ274" s="1062">
        <f>'No Recurrentes 24-26'!CF133</f>
        <v>0</v>
      </c>
      <c r="AR274" s="1062">
        <f>'No Recurrentes 24-26'!CG133</f>
        <v>0</v>
      </c>
      <c r="AS274" s="1062">
        <f>'No Recurrentes 24-26'!CH133</f>
        <v>0</v>
      </c>
      <c r="AT274" s="1068"/>
      <c r="AU274" s="1062">
        <f>'No Recurrentes 24-26'!CI133</f>
        <v>2</v>
      </c>
      <c r="AV274" s="1063">
        <f>'No Recurrentes 24-26'!CJ133</f>
        <v>3</v>
      </c>
      <c r="AW274" s="1068"/>
      <c r="AX274" s="1065">
        <f>'No Recurrentes 24-26'!CK133</f>
        <v>112.25</v>
      </c>
      <c r="AY274" s="1062">
        <f>'No Recurrentes 24-26'!CL133</f>
        <v>781.26</v>
      </c>
      <c r="AZ274" s="1068"/>
      <c r="BA274" s="1062">
        <f>'No Recurrentes 24-26'!CM133</f>
        <v>0</v>
      </c>
      <c r="BB274" s="1062">
        <f>'No Recurrentes 24-26'!CN133</f>
        <v>0</v>
      </c>
      <c r="BC274" s="1062">
        <f>'No Recurrentes 24-26'!CO133</f>
        <v>0</v>
      </c>
      <c r="BD274" s="1062">
        <f>'No Recurrentes 24-26'!CP133</f>
        <v>0</v>
      </c>
      <c r="BE274" s="1062">
        <f>'No Recurrentes 24-26'!CQ133</f>
        <v>0</v>
      </c>
      <c r="BF274" s="1062">
        <f>'No Recurrentes 24-26'!CR133</f>
        <v>0</v>
      </c>
      <c r="BG274" s="1062">
        <f>'No Recurrentes 24-26'!CS133</f>
        <v>0</v>
      </c>
      <c r="BH274" s="1062">
        <f>'No Recurrentes 24-26'!CT133</f>
        <v>0</v>
      </c>
      <c r="BI274" s="1062">
        <f>'No Recurrentes 24-26'!CU133</f>
        <v>0</v>
      </c>
      <c r="BJ274" s="1062">
        <f>'No Recurrentes 24-26'!CV133</f>
        <v>0</v>
      </c>
      <c r="BK274" s="1068"/>
      <c r="BL274" s="1062">
        <f>'No Recurrentes 24-26'!CW133</f>
        <v>0</v>
      </c>
      <c r="BM274" s="1062">
        <f>'No Recurrentes 24-26'!CX133</f>
        <v>0</v>
      </c>
      <c r="BN274" s="1062">
        <f>'No Recurrentes 24-26'!CY133</f>
        <v>0</v>
      </c>
      <c r="BO274" s="1062">
        <f>'No Recurrentes 24-26'!CZ133</f>
        <v>0</v>
      </c>
      <c r="BP274" s="1062">
        <f>'No Recurrentes 24-26'!DA133</f>
        <v>781.26</v>
      </c>
      <c r="BQ274" s="1062">
        <f>'No Recurrentes 24-26'!DB133</f>
        <v>0</v>
      </c>
      <c r="BR274" s="1062">
        <f>'No Recurrentes 24-26'!DC133</f>
        <v>0</v>
      </c>
      <c r="BS274" s="1062">
        <f>'No Recurrentes 24-26'!DD133</f>
        <v>0</v>
      </c>
      <c r="BT274" s="1062">
        <f>'No Recurrentes 24-26'!DE133</f>
        <v>0</v>
      </c>
      <c r="BU274" s="1062">
        <f>'No Recurrentes 24-26'!DF133</f>
        <v>0</v>
      </c>
      <c r="BV274" s="1062">
        <f>'No Recurrentes 24-26'!DG133</f>
        <v>0</v>
      </c>
      <c r="BW274" s="1068"/>
      <c r="BX274" s="1062">
        <f>'No Recurrentes 24-26'!DH133</f>
        <v>781.26</v>
      </c>
      <c r="BY274" s="1062">
        <f>'No Recurrentes 24-26'!DI133</f>
        <v>781.26</v>
      </c>
      <c r="BZ274" s="1062">
        <f>'No Recurrentes 24-26'!DJ133</f>
        <v>0</v>
      </c>
      <c r="CA274" s="1062">
        <f>'No Recurrentes 24-26'!DK133</f>
        <v>781.26</v>
      </c>
      <c r="CB274" s="1062">
        <f>'No Recurrentes 24-26'!DL133</f>
        <v>0</v>
      </c>
      <c r="CC274" s="1062">
        <f>'No Recurrentes 24-26'!DM133</f>
        <v>0</v>
      </c>
      <c r="CD274" s="1062">
        <f>'No Recurrentes 24-26'!DN133</f>
        <v>0</v>
      </c>
      <c r="CE274" s="1062">
        <f>'No Recurrentes 24-26'!DO133</f>
        <v>0</v>
      </c>
      <c r="CF274" s="1062">
        <f>'No Recurrentes 24-26'!DP133</f>
        <v>0</v>
      </c>
      <c r="CG274" s="1062">
        <f>'No Recurrentes 24-26'!DQ133</f>
        <v>0</v>
      </c>
      <c r="CH274" s="1062">
        <f>'No Recurrentes 24-26'!DR133</f>
        <v>0</v>
      </c>
      <c r="CI274" s="1068"/>
      <c r="CJ274" s="1062">
        <f>'No Recurrentes 24-26'!DS133</f>
        <v>1562.52</v>
      </c>
      <c r="CK274" s="1062">
        <f>'No Recurrentes 24-26'!DT133</f>
        <v>2343.78</v>
      </c>
      <c r="CL274" s="1064" t="str">
        <f>'No Recurrentes 24-26'!DU133</f>
        <v/>
      </c>
      <c r="CM274" s="1064" t="str">
        <f>'No Recurrentes 24-26'!DV133</f>
        <v/>
      </c>
      <c r="CN274" s="1060">
        <f>'No Recurrentes 24-26'!EI132</f>
        <v>1</v>
      </c>
      <c r="CO274" s="1060" t="str">
        <f>'No Recurrentes 24-26'!EJ132</f>
        <v/>
      </c>
      <c r="CP274" s="1060" t="str">
        <f>'No Recurrentes 24-26'!EK132</f>
        <v/>
      </c>
    </row>
    <row r="275">
      <c r="A275" s="451" t="str">
        <f>'No Recurrentes 24-26'!A134</f>
        <v>Repuestos Electromecánicos no recurrentes</v>
      </c>
      <c r="B275" s="451">
        <f>'No Recurrentes 24-26'!B134</f>
        <v>2</v>
      </c>
      <c r="C275" s="451" t="str">
        <f>'No Recurrentes 24-26'!C134</f>
        <v>Estación</v>
      </c>
      <c r="D275" s="451" t="str">
        <f>'No Recurrentes 24-26'!D134</f>
        <v>Manto. Eléctrico</v>
      </c>
      <c r="E275" s="451" t="str">
        <f>'No Recurrentes 24-26'!E134</f>
        <v>Repuesto Eléctrico</v>
      </c>
      <c r="F275" s="451" t="str">
        <f>'No Recurrentes 24-26'!F134</f>
        <v>TDB</v>
      </c>
      <c r="G275" s="1061" t="str">
        <f>'No Recurrentes 24-26'!G134</f>
        <v>39700</v>
      </c>
      <c r="H275" s="1061" t="str">
        <f>'No Recurrentes 24-26'!H134</f>
        <v>2-02-00025</v>
      </c>
      <c r="I275" s="1061" t="str">
        <f>'No Recurrentes 24-26'!I134</f>
        <v>10755944</v>
      </c>
      <c r="J275" s="1061" t="str">
        <f>'No Recurrentes 24-26'!J134</f>
        <v>FUSIBLE AUTOM. CA/CC 5SY6 110-7  UNIPOL./10A/CURVA C  SIEMENS</v>
      </c>
      <c r="K275" s="451" t="str">
        <f>'No Recurrentes 24-26'!K134</f>
        <v>Pza</v>
      </c>
      <c r="L275" s="451" t="str">
        <f>'No Recurrentes 24-26'!BC134</f>
        <v/>
      </c>
      <c r="M275" s="451" t="str">
        <f>'No Recurrentes 24-26'!BD134</f>
        <v/>
      </c>
      <c r="N275" s="451" t="str">
        <f>'No Recurrentes 24-26'!BE134</f>
        <v/>
      </c>
      <c r="O275" s="451" t="str">
        <f>'No Recurrentes 24-26'!BF134</f>
        <v/>
      </c>
      <c r="P275" s="451" t="str">
        <f>'No Recurrentes 24-26'!BG134</f>
        <v/>
      </c>
      <c r="Q275" s="451" t="str">
        <f>'No Recurrentes 24-26'!BH134</f>
        <v/>
      </c>
      <c r="R275" s="451" t="str">
        <f>'No Recurrentes 24-26'!BI134</f>
        <v/>
      </c>
      <c r="S275" s="451" t="str">
        <f>'No Recurrentes 24-26'!BJ134</f>
        <v/>
      </c>
      <c r="T275" s="451" t="str">
        <f>'No Recurrentes 24-26'!BK134</f>
        <v/>
      </c>
      <c r="U275" s="451" t="str">
        <f>'No Recurrentes 24-26'!BL134</f>
        <v/>
      </c>
      <c r="V275" s="1068"/>
      <c r="W275" s="1062">
        <f>'No Recurrentes 24-26'!BM134</f>
        <v>0</v>
      </c>
      <c r="X275" s="1062" t="str">
        <f>'No Recurrentes 24-26'!BN134</f>
        <v/>
      </c>
      <c r="Y275" s="1062" t="str">
        <f>'No Recurrentes 24-26'!BO134</f>
        <v/>
      </c>
      <c r="Z275" s="1062" t="str">
        <f>'No Recurrentes 24-26'!BP134</f>
        <v/>
      </c>
      <c r="AA275" s="1062">
        <f>'No Recurrentes 24-26'!BQ134</f>
        <v>1</v>
      </c>
      <c r="AB275" s="1062">
        <f>'No Recurrentes 24-26'!BR134</f>
        <v>1</v>
      </c>
      <c r="AC275" s="1062">
        <f>'No Recurrentes 24-26'!BS134</f>
        <v>1</v>
      </c>
      <c r="AD275" s="1062" t="str">
        <f>'No Recurrentes 24-26'!BT134</f>
        <v/>
      </c>
      <c r="AE275" s="1062" t="str">
        <f>'No Recurrentes 24-26'!BU134</f>
        <v/>
      </c>
      <c r="AF275" s="1062" t="str">
        <f>'No Recurrentes 24-26'!BV134</f>
        <v/>
      </c>
      <c r="AG275" s="1062" t="str">
        <f>'No Recurrentes 24-26'!BW134</f>
        <v/>
      </c>
      <c r="AH275" s="1068"/>
      <c r="AI275" s="1062">
        <f>'No Recurrentes 24-26'!BX134</f>
        <v>3</v>
      </c>
      <c r="AJ275" s="1062">
        <f>'No Recurrentes 24-26'!BY134</f>
        <v>0</v>
      </c>
      <c r="AK275" s="1062">
        <f>'No Recurrentes 24-26'!BZ134</f>
        <v>0</v>
      </c>
      <c r="AL275" s="1062">
        <f>'No Recurrentes 24-26'!CA134</f>
        <v>0</v>
      </c>
      <c r="AM275" s="1062">
        <f>'No Recurrentes 24-26'!CB134</f>
        <v>1</v>
      </c>
      <c r="AN275" s="1062">
        <f>'No Recurrentes 24-26'!CC134</f>
        <v>1</v>
      </c>
      <c r="AO275" s="1062">
        <f>'No Recurrentes 24-26'!CD134</f>
        <v>1</v>
      </c>
      <c r="AP275" s="1062">
        <f>'No Recurrentes 24-26'!CE134</f>
        <v>0</v>
      </c>
      <c r="AQ275" s="1062">
        <f>'No Recurrentes 24-26'!CF134</f>
        <v>0</v>
      </c>
      <c r="AR275" s="1062">
        <f>'No Recurrentes 24-26'!CG134</f>
        <v>0</v>
      </c>
      <c r="AS275" s="1062">
        <f>'No Recurrentes 24-26'!CH134</f>
        <v>0</v>
      </c>
      <c r="AT275" s="1068"/>
      <c r="AU275" s="1062">
        <f>'No Recurrentes 24-26'!CI134</f>
        <v>3</v>
      </c>
      <c r="AV275" s="1063">
        <f>'No Recurrentes 24-26'!CJ134</f>
        <v>6</v>
      </c>
      <c r="AW275" s="1068"/>
      <c r="AX275" s="1065">
        <f>'No Recurrentes 24-26'!CK134</f>
        <v>17.34</v>
      </c>
      <c r="AY275" s="1062">
        <f>'No Recurrentes 24-26'!CL134</f>
        <v>120.6864</v>
      </c>
      <c r="AZ275" s="1068"/>
      <c r="BA275" s="1062">
        <f>'No Recurrentes 24-26'!CM134</f>
        <v>0</v>
      </c>
      <c r="BB275" s="1062">
        <f>'No Recurrentes 24-26'!CN134</f>
        <v>0</v>
      </c>
      <c r="BC275" s="1062">
        <f>'No Recurrentes 24-26'!CO134</f>
        <v>0</v>
      </c>
      <c r="BD275" s="1062">
        <f>'No Recurrentes 24-26'!CP134</f>
        <v>0</v>
      </c>
      <c r="BE275" s="1062">
        <f>'No Recurrentes 24-26'!CQ134</f>
        <v>0</v>
      </c>
      <c r="BF275" s="1062">
        <f>'No Recurrentes 24-26'!CR134</f>
        <v>0</v>
      </c>
      <c r="BG275" s="1062">
        <f>'No Recurrentes 24-26'!CS134</f>
        <v>0</v>
      </c>
      <c r="BH275" s="1062">
        <f>'No Recurrentes 24-26'!CT134</f>
        <v>0</v>
      </c>
      <c r="BI275" s="1062">
        <f>'No Recurrentes 24-26'!CU134</f>
        <v>0</v>
      </c>
      <c r="BJ275" s="1062">
        <f>'No Recurrentes 24-26'!CV134</f>
        <v>0</v>
      </c>
      <c r="BK275" s="1068"/>
      <c r="BL275" s="1062">
        <f>'No Recurrentes 24-26'!CW134</f>
        <v>0</v>
      </c>
      <c r="BM275" s="1062">
        <f>'No Recurrentes 24-26'!CX134</f>
        <v>0</v>
      </c>
      <c r="BN275" s="1062">
        <f>'No Recurrentes 24-26'!CY134</f>
        <v>0</v>
      </c>
      <c r="BO275" s="1062">
        <f>'No Recurrentes 24-26'!CZ134</f>
        <v>0</v>
      </c>
      <c r="BP275" s="1062">
        <f>'No Recurrentes 24-26'!DA134</f>
        <v>120.6864</v>
      </c>
      <c r="BQ275" s="1062">
        <f>'No Recurrentes 24-26'!DB134</f>
        <v>120.6864</v>
      </c>
      <c r="BR275" s="1062">
        <f>'No Recurrentes 24-26'!DC134</f>
        <v>120.6864</v>
      </c>
      <c r="BS275" s="1062">
        <f>'No Recurrentes 24-26'!DD134</f>
        <v>0</v>
      </c>
      <c r="BT275" s="1062">
        <f>'No Recurrentes 24-26'!DE134</f>
        <v>0</v>
      </c>
      <c r="BU275" s="1062">
        <f>'No Recurrentes 24-26'!DF134</f>
        <v>0</v>
      </c>
      <c r="BV275" s="1062">
        <f>'No Recurrentes 24-26'!DG134</f>
        <v>0</v>
      </c>
      <c r="BW275" s="1068"/>
      <c r="BX275" s="1062">
        <f>'No Recurrentes 24-26'!DH134</f>
        <v>362.0592</v>
      </c>
      <c r="BY275" s="1062">
        <f>'No Recurrentes 24-26'!DI134</f>
        <v>0</v>
      </c>
      <c r="BZ275" s="1062">
        <f>'No Recurrentes 24-26'!DJ134</f>
        <v>0</v>
      </c>
      <c r="CA275" s="1062">
        <f>'No Recurrentes 24-26'!DK134</f>
        <v>0</v>
      </c>
      <c r="CB275" s="1062">
        <f>'No Recurrentes 24-26'!DL134</f>
        <v>120.6864</v>
      </c>
      <c r="CC275" s="1062">
        <f>'No Recurrentes 24-26'!DM134</f>
        <v>120.6864</v>
      </c>
      <c r="CD275" s="1062">
        <f>'No Recurrentes 24-26'!DN134</f>
        <v>120.6864</v>
      </c>
      <c r="CE275" s="1062">
        <f>'No Recurrentes 24-26'!DO134</f>
        <v>0</v>
      </c>
      <c r="CF275" s="1062">
        <f>'No Recurrentes 24-26'!DP134</f>
        <v>0</v>
      </c>
      <c r="CG275" s="1062">
        <f>'No Recurrentes 24-26'!DQ134</f>
        <v>0</v>
      </c>
      <c r="CH275" s="1062">
        <f>'No Recurrentes 24-26'!DR134</f>
        <v>0</v>
      </c>
      <c r="CI275" s="1068"/>
      <c r="CJ275" s="1062">
        <f>'No Recurrentes 24-26'!DS134</f>
        <v>362.0592</v>
      </c>
      <c r="CK275" s="1062">
        <f>'No Recurrentes 24-26'!DT134</f>
        <v>724.1184</v>
      </c>
      <c r="CL275" s="1064" t="str">
        <f>'No Recurrentes 24-26'!DU134</f>
        <v/>
      </c>
      <c r="CM275" s="1064" t="str">
        <f>'No Recurrentes 24-26'!DV134</f>
        <v/>
      </c>
      <c r="CN275" s="1065">
        <f>'No Recurrentes 24-26'!EI133</f>
        <v>112.25</v>
      </c>
      <c r="CO275" s="1065">
        <f>'No Recurrentes 24-26'!EJ133</f>
        <v>95.41</v>
      </c>
      <c r="CP275" s="1060" t="str">
        <f>'No Recurrentes 24-26'!EK133</f>
        <v/>
      </c>
    </row>
    <row r="276">
      <c r="A276" s="451" t="str">
        <f>'No Recurrentes 24-26'!A135</f>
        <v>Repuestos Electromecánicos no recurrentes</v>
      </c>
      <c r="B276" s="451">
        <f>'No Recurrentes 24-26'!B135</f>
        <v>2</v>
      </c>
      <c r="C276" s="451" t="str">
        <f>'No Recurrentes 24-26'!C135</f>
        <v>Estación</v>
      </c>
      <c r="D276" s="451" t="str">
        <f>'No Recurrentes 24-26'!D135</f>
        <v>Manto. Eléctrico</v>
      </c>
      <c r="E276" s="451" t="str">
        <f>'No Recurrentes 24-26'!E135</f>
        <v>Repuesto Eléctrico</v>
      </c>
      <c r="F276" s="451" t="str">
        <f>'No Recurrentes 24-26'!F135</f>
        <v>TDB</v>
      </c>
      <c r="G276" s="1061" t="str">
        <f>'No Recurrentes 24-26'!G135</f>
        <v>39700</v>
      </c>
      <c r="H276" s="1061" t="str">
        <f>'No Recurrentes 24-26'!H135</f>
        <v>2-02-00026</v>
      </c>
      <c r="I276" s="1061" t="str">
        <f>'No Recurrentes 24-26'!I135</f>
        <v>10755945</v>
      </c>
      <c r="J276" s="1061" t="str">
        <f>'No Recurrentes 24-26'!J135</f>
        <v>FUSIBLE AUTOM. CA/CC 5SY6 116-7  UNIPOL./16A/CURVA C  SIEMENS</v>
      </c>
      <c r="K276" s="451" t="str">
        <f>'No Recurrentes 24-26'!K135</f>
        <v>Pza</v>
      </c>
      <c r="L276" s="451" t="str">
        <f>'No Recurrentes 24-26'!BC135</f>
        <v/>
      </c>
      <c r="M276" s="451" t="str">
        <f>'No Recurrentes 24-26'!BD135</f>
        <v/>
      </c>
      <c r="N276" s="451" t="str">
        <f>'No Recurrentes 24-26'!BE135</f>
        <v/>
      </c>
      <c r="O276" s="451" t="str">
        <f>'No Recurrentes 24-26'!BF135</f>
        <v/>
      </c>
      <c r="P276" s="451" t="str">
        <f>'No Recurrentes 24-26'!BG135</f>
        <v/>
      </c>
      <c r="Q276" s="451" t="str">
        <f>'No Recurrentes 24-26'!BH135</f>
        <v/>
      </c>
      <c r="R276" s="451" t="str">
        <f>'No Recurrentes 24-26'!BI135</f>
        <v/>
      </c>
      <c r="S276" s="451" t="str">
        <f>'No Recurrentes 24-26'!BJ135</f>
        <v/>
      </c>
      <c r="T276" s="451" t="str">
        <f>'No Recurrentes 24-26'!BK135</f>
        <v/>
      </c>
      <c r="U276" s="451" t="str">
        <f>'No Recurrentes 24-26'!BL135</f>
        <v/>
      </c>
      <c r="V276" s="1068"/>
      <c r="W276" s="1062">
        <f>'No Recurrentes 24-26'!BM135</f>
        <v>0</v>
      </c>
      <c r="X276" s="1062" t="str">
        <f>'No Recurrentes 24-26'!BN135</f>
        <v/>
      </c>
      <c r="Y276" s="1062" t="str">
        <f>'No Recurrentes 24-26'!BO135</f>
        <v/>
      </c>
      <c r="Z276" s="1062" t="str">
        <f>'No Recurrentes 24-26'!BP135</f>
        <v/>
      </c>
      <c r="AA276" s="1062">
        <f>'No Recurrentes 24-26'!BQ135</f>
        <v>1</v>
      </c>
      <c r="AB276" s="1062">
        <f>'No Recurrentes 24-26'!BR135</f>
        <v>1</v>
      </c>
      <c r="AC276" s="1062">
        <f>'No Recurrentes 24-26'!BS135</f>
        <v>1</v>
      </c>
      <c r="AD276" s="1062" t="str">
        <f>'No Recurrentes 24-26'!BT135</f>
        <v/>
      </c>
      <c r="AE276" s="1062" t="str">
        <f>'No Recurrentes 24-26'!BU135</f>
        <v/>
      </c>
      <c r="AF276" s="1062" t="str">
        <f>'No Recurrentes 24-26'!BV135</f>
        <v/>
      </c>
      <c r="AG276" s="1062" t="str">
        <f>'No Recurrentes 24-26'!BW135</f>
        <v/>
      </c>
      <c r="AH276" s="1068"/>
      <c r="AI276" s="1062">
        <f>'No Recurrentes 24-26'!BX135</f>
        <v>3</v>
      </c>
      <c r="AJ276" s="1062">
        <f>'No Recurrentes 24-26'!BY135</f>
        <v>0</v>
      </c>
      <c r="AK276" s="1062">
        <f>'No Recurrentes 24-26'!BZ135</f>
        <v>0</v>
      </c>
      <c r="AL276" s="1062">
        <f>'No Recurrentes 24-26'!CA135</f>
        <v>0</v>
      </c>
      <c r="AM276" s="1062">
        <f>'No Recurrentes 24-26'!CB135</f>
        <v>1</v>
      </c>
      <c r="AN276" s="1062">
        <f>'No Recurrentes 24-26'!CC135</f>
        <v>1</v>
      </c>
      <c r="AO276" s="1062">
        <f>'No Recurrentes 24-26'!CD135</f>
        <v>1</v>
      </c>
      <c r="AP276" s="1062">
        <f>'No Recurrentes 24-26'!CE135</f>
        <v>0</v>
      </c>
      <c r="AQ276" s="1062">
        <f>'No Recurrentes 24-26'!CF135</f>
        <v>0</v>
      </c>
      <c r="AR276" s="1062">
        <f>'No Recurrentes 24-26'!CG135</f>
        <v>0</v>
      </c>
      <c r="AS276" s="1062">
        <f>'No Recurrentes 24-26'!CH135</f>
        <v>0</v>
      </c>
      <c r="AT276" s="1068"/>
      <c r="AU276" s="1062">
        <f>'No Recurrentes 24-26'!CI135</f>
        <v>3</v>
      </c>
      <c r="AV276" s="1063">
        <f>'No Recurrentes 24-26'!CJ135</f>
        <v>6</v>
      </c>
      <c r="AW276" s="1068"/>
      <c r="AX276" s="1065">
        <f>'No Recurrentes 24-26'!CK135</f>
        <v>16.19</v>
      </c>
      <c r="AY276" s="1062">
        <f>'No Recurrentes 24-26'!CL135</f>
        <v>112.6824</v>
      </c>
      <c r="AZ276" s="1068"/>
      <c r="BA276" s="1062">
        <f>'No Recurrentes 24-26'!CM135</f>
        <v>0</v>
      </c>
      <c r="BB276" s="1062">
        <f>'No Recurrentes 24-26'!CN135</f>
        <v>0</v>
      </c>
      <c r="BC276" s="1062">
        <f>'No Recurrentes 24-26'!CO135</f>
        <v>0</v>
      </c>
      <c r="BD276" s="1062">
        <f>'No Recurrentes 24-26'!CP135</f>
        <v>0</v>
      </c>
      <c r="BE276" s="1062">
        <f>'No Recurrentes 24-26'!CQ135</f>
        <v>0</v>
      </c>
      <c r="BF276" s="1062">
        <f>'No Recurrentes 24-26'!CR135</f>
        <v>0</v>
      </c>
      <c r="BG276" s="1062">
        <f>'No Recurrentes 24-26'!CS135</f>
        <v>0</v>
      </c>
      <c r="BH276" s="1062">
        <f>'No Recurrentes 24-26'!CT135</f>
        <v>0</v>
      </c>
      <c r="BI276" s="1062">
        <f>'No Recurrentes 24-26'!CU135</f>
        <v>0</v>
      </c>
      <c r="BJ276" s="1062">
        <f>'No Recurrentes 24-26'!CV135</f>
        <v>0</v>
      </c>
      <c r="BK276" s="1068"/>
      <c r="BL276" s="1062">
        <f>'No Recurrentes 24-26'!CW135</f>
        <v>0</v>
      </c>
      <c r="BM276" s="1062">
        <f>'No Recurrentes 24-26'!CX135</f>
        <v>0</v>
      </c>
      <c r="BN276" s="1062">
        <f>'No Recurrentes 24-26'!CY135</f>
        <v>0</v>
      </c>
      <c r="BO276" s="1062">
        <f>'No Recurrentes 24-26'!CZ135</f>
        <v>0</v>
      </c>
      <c r="BP276" s="1062">
        <f>'No Recurrentes 24-26'!DA135</f>
        <v>112.6824</v>
      </c>
      <c r="BQ276" s="1062">
        <f>'No Recurrentes 24-26'!DB135</f>
        <v>112.6824</v>
      </c>
      <c r="BR276" s="1062">
        <f>'No Recurrentes 24-26'!DC135</f>
        <v>112.6824</v>
      </c>
      <c r="BS276" s="1062">
        <f>'No Recurrentes 24-26'!DD135</f>
        <v>0</v>
      </c>
      <c r="BT276" s="1062">
        <f>'No Recurrentes 24-26'!DE135</f>
        <v>0</v>
      </c>
      <c r="BU276" s="1062">
        <f>'No Recurrentes 24-26'!DF135</f>
        <v>0</v>
      </c>
      <c r="BV276" s="1062">
        <f>'No Recurrentes 24-26'!DG135</f>
        <v>0</v>
      </c>
      <c r="BW276" s="1068"/>
      <c r="BX276" s="1062">
        <f>'No Recurrentes 24-26'!DH135</f>
        <v>338.0472</v>
      </c>
      <c r="BY276" s="1062">
        <f>'No Recurrentes 24-26'!DI135</f>
        <v>0</v>
      </c>
      <c r="BZ276" s="1062">
        <f>'No Recurrentes 24-26'!DJ135</f>
        <v>0</v>
      </c>
      <c r="CA276" s="1062">
        <f>'No Recurrentes 24-26'!DK135</f>
        <v>0</v>
      </c>
      <c r="CB276" s="1062">
        <f>'No Recurrentes 24-26'!DL135</f>
        <v>112.6824</v>
      </c>
      <c r="CC276" s="1062">
        <f>'No Recurrentes 24-26'!DM135</f>
        <v>112.6824</v>
      </c>
      <c r="CD276" s="1062">
        <f>'No Recurrentes 24-26'!DN135</f>
        <v>112.6824</v>
      </c>
      <c r="CE276" s="1062">
        <f>'No Recurrentes 24-26'!DO135</f>
        <v>0</v>
      </c>
      <c r="CF276" s="1062">
        <f>'No Recurrentes 24-26'!DP135</f>
        <v>0</v>
      </c>
      <c r="CG276" s="1062">
        <f>'No Recurrentes 24-26'!DQ135</f>
        <v>0</v>
      </c>
      <c r="CH276" s="1062">
        <f>'No Recurrentes 24-26'!DR135</f>
        <v>0</v>
      </c>
      <c r="CI276" s="1068"/>
      <c r="CJ276" s="1062">
        <f>'No Recurrentes 24-26'!DS135</f>
        <v>338.0472</v>
      </c>
      <c r="CK276" s="1062">
        <f>'No Recurrentes 24-26'!DT135</f>
        <v>676.0944</v>
      </c>
      <c r="CL276" s="1064" t="str">
        <f>'No Recurrentes 24-26'!DU135</f>
        <v/>
      </c>
      <c r="CM276" s="1064" t="str">
        <f>'No Recurrentes 24-26'!DV135</f>
        <v/>
      </c>
      <c r="CN276" s="1065">
        <f>'No Recurrentes 24-26'!EI134</f>
        <v>17.34</v>
      </c>
      <c r="CO276" s="1065">
        <f>'No Recurrentes 24-26'!EJ134</f>
        <v>14.74</v>
      </c>
      <c r="CP276" s="1060" t="str">
        <f>'No Recurrentes 24-26'!EK134</f>
        <v/>
      </c>
    </row>
    <row r="277">
      <c r="A277" s="451" t="str">
        <f>'No Recurrentes 24-26'!A136</f>
        <v>Repuestos Electromecánicos no recurrentes</v>
      </c>
      <c r="B277" s="451">
        <f>'No Recurrentes 24-26'!B136</f>
        <v>2</v>
      </c>
      <c r="C277" s="451" t="str">
        <f>'No Recurrentes 24-26'!C136</f>
        <v>Estación</v>
      </c>
      <c r="D277" s="451" t="str">
        <f>'No Recurrentes 24-26'!D136</f>
        <v>Manto. Eléctrico</v>
      </c>
      <c r="E277" s="451" t="str">
        <f>'No Recurrentes 24-26'!E136</f>
        <v>Repuesto Eléctrico</v>
      </c>
      <c r="F277" s="451" t="str">
        <f>'No Recurrentes 24-26'!F136</f>
        <v>TDB</v>
      </c>
      <c r="G277" s="1061" t="str">
        <f>'No Recurrentes 24-26'!G136</f>
        <v>39700</v>
      </c>
      <c r="H277" s="1061" t="str">
        <f>'No Recurrentes 24-26'!H136</f>
        <v>2-02-00193</v>
      </c>
      <c r="I277" s="1061" t="str">
        <f>'No Recurrentes 24-26'!I136</f>
        <v>10124176</v>
      </c>
      <c r="J277" s="1061" t="str">
        <f>'No Recurrentes 24-26'!J136</f>
        <v>BLOQUE DE CONTACTO 1OE B3T01 (INSTAL.FRONTAL) BENEDIKT&amp;JAEGER</v>
      </c>
      <c r="K277" s="451" t="str">
        <f>'No Recurrentes 24-26'!K136</f>
        <v>Pza</v>
      </c>
      <c r="L277" s="451" t="str">
        <f>'No Recurrentes 24-26'!BC136</f>
        <v/>
      </c>
      <c r="M277" s="451" t="str">
        <f>'No Recurrentes 24-26'!BD136</f>
        <v/>
      </c>
      <c r="N277" s="451" t="str">
        <f>'No Recurrentes 24-26'!BE136</f>
        <v/>
      </c>
      <c r="O277" s="451" t="str">
        <f>'No Recurrentes 24-26'!BF136</f>
        <v/>
      </c>
      <c r="P277" s="451" t="str">
        <f>'No Recurrentes 24-26'!BG136</f>
        <v/>
      </c>
      <c r="Q277" s="451" t="str">
        <f>'No Recurrentes 24-26'!BH136</f>
        <v/>
      </c>
      <c r="R277" s="451" t="str">
        <f>'No Recurrentes 24-26'!BI136</f>
        <v/>
      </c>
      <c r="S277" s="451" t="str">
        <f>'No Recurrentes 24-26'!BJ136</f>
        <v/>
      </c>
      <c r="T277" s="451" t="str">
        <f>'No Recurrentes 24-26'!BK136</f>
        <v/>
      </c>
      <c r="U277" s="451" t="str">
        <f>'No Recurrentes 24-26'!BL136</f>
        <v/>
      </c>
      <c r="V277" s="1068"/>
      <c r="W277" s="1062">
        <f>'No Recurrentes 24-26'!BM136</f>
        <v>0</v>
      </c>
      <c r="X277" s="1062" t="str">
        <f>'No Recurrentes 24-26'!BN136</f>
        <v/>
      </c>
      <c r="Y277" s="1062" t="str">
        <f>'No Recurrentes 24-26'!BO136</f>
        <v/>
      </c>
      <c r="Z277" s="1062" t="str">
        <f>'No Recurrentes 24-26'!BP136</f>
        <v/>
      </c>
      <c r="AA277" s="1062">
        <f>'No Recurrentes 24-26'!BQ136</f>
        <v>1</v>
      </c>
      <c r="AB277" s="1062">
        <f>'No Recurrentes 24-26'!BR136</f>
        <v>1</v>
      </c>
      <c r="AC277" s="1062">
        <f>'No Recurrentes 24-26'!BS136</f>
        <v>2</v>
      </c>
      <c r="AD277" s="1062" t="str">
        <f>'No Recurrentes 24-26'!BT136</f>
        <v/>
      </c>
      <c r="AE277" s="1062" t="str">
        <f>'No Recurrentes 24-26'!BU136</f>
        <v/>
      </c>
      <c r="AF277" s="1062" t="str">
        <f>'No Recurrentes 24-26'!BV136</f>
        <v/>
      </c>
      <c r="AG277" s="1062" t="str">
        <f>'No Recurrentes 24-26'!BW136</f>
        <v/>
      </c>
      <c r="AH277" s="1068"/>
      <c r="AI277" s="1062">
        <f>'No Recurrentes 24-26'!BX136</f>
        <v>4</v>
      </c>
      <c r="AJ277" s="1062">
        <f>'No Recurrentes 24-26'!BY136</f>
        <v>0</v>
      </c>
      <c r="AK277" s="1062">
        <f>'No Recurrentes 24-26'!BZ136</f>
        <v>0</v>
      </c>
      <c r="AL277" s="1062">
        <f>'No Recurrentes 24-26'!CA136</f>
        <v>0</v>
      </c>
      <c r="AM277" s="1062">
        <f>'No Recurrentes 24-26'!CB136</f>
        <v>1</v>
      </c>
      <c r="AN277" s="1062">
        <f>'No Recurrentes 24-26'!CC136</f>
        <v>1</v>
      </c>
      <c r="AO277" s="1062">
        <f>'No Recurrentes 24-26'!CD136</f>
        <v>2</v>
      </c>
      <c r="AP277" s="1062">
        <f>'No Recurrentes 24-26'!CE136</f>
        <v>0</v>
      </c>
      <c r="AQ277" s="1062">
        <f>'No Recurrentes 24-26'!CF136</f>
        <v>0</v>
      </c>
      <c r="AR277" s="1062">
        <f>'No Recurrentes 24-26'!CG136</f>
        <v>0</v>
      </c>
      <c r="AS277" s="1062">
        <f>'No Recurrentes 24-26'!CH136</f>
        <v>0</v>
      </c>
      <c r="AT277" s="1068"/>
      <c r="AU277" s="1062">
        <f>'No Recurrentes 24-26'!CI136</f>
        <v>4</v>
      </c>
      <c r="AV277" s="1063">
        <f>'No Recurrentes 24-26'!CJ136</f>
        <v>8</v>
      </c>
      <c r="AW277" s="1068"/>
      <c r="AX277" s="1065">
        <f>'No Recurrentes 24-26'!CK136</f>
        <v>8.08</v>
      </c>
      <c r="AY277" s="1062">
        <f>'No Recurrentes 24-26'!CL136</f>
        <v>56.2368</v>
      </c>
      <c r="AZ277" s="1068"/>
      <c r="BA277" s="1062">
        <f>'No Recurrentes 24-26'!CM136</f>
        <v>0</v>
      </c>
      <c r="BB277" s="1062">
        <f>'No Recurrentes 24-26'!CN136</f>
        <v>0</v>
      </c>
      <c r="BC277" s="1062">
        <f>'No Recurrentes 24-26'!CO136</f>
        <v>0</v>
      </c>
      <c r="BD277" s="1062">
        <f>'No Recurrentes 24-26'!CP136</f>
        <v>0</v>
      </c>
      <c r="BE277" s="1062">
        <f>'No Recurrentes 24-26'!CQ136</f>
        <v>0</v>
      </c>
      <c r="BF277" s="1062">
        <f>'No Recurrentes 24-26'!CR136</f>
        <v>0</v>
      </c>
      <c r="BG277" s="1062">
        <f>'No Recurrentes 24-26'!CS136</f>
        <v>0</v>
      </c>
      <c r="BH277" s="1062">
        <f>'No Recurrentes 24-26'!CT136</f>
        <v>0</v>
      </c>
      <c r="BI277" s="1062">
        <f>'No Recurrentes 24-26'!CU136</f>
        <v>0</v>
      </c>
      <c r="BJ277" s="1062">
        <f>'No Recurrentes 24-26'!CV136</f>
        <v>0</v>
      </c>
      <c r="BK277" s="1068"/>
      <c r="BL277" s="1062">
        <f>'No Recurrentes 24-26'!CW136</f>
        <v>0</v>
      </c>
      <c r="BM277" s="1062">
        <f>'No Recurrentes 24-26'!CX136</f>
        <v>0</v>
      </c>
      <c r="BN277" s="1062">
        <f>'No Recurrentes 24-26'!CY136</f>
        <v>0</v>
      </c>
      <c r="BO277" s="1062">
        <f>'No Recurrentes 24-26'!CZ136</f>
        <v>0</v>
      </c>
      <c r="BP277" s="1062">
        <f>'No Recurrentes 24-26'!DA136</f>
        <v>56.2368</v>
      </c>
      <c r="BQ277" s="1062">
        <f>'No Recurrentes 24-26'!DB136</f>
        <v>56.2368</v>
      </c>
      <c r="BR277" s="1062">
        <f>'No Recurrentes 24-26'!DC136</f>
        <v>112.4736</v>
      </c>
      <c r="BS277" s="1062">
        <f>'No Recurrentes 24-26'!DD136</f>
        <v>0</v>
      </c>
      <c r="BT277" s="1062">
        <f>'No Recurrentes 24-26'!DE136</f>
        <v>0</v>
      </c>
      <c r="BU277" s="1062">
        <f>'No Recurrentes 24-26'!DF136</f>
        <v>0</v>
      </c>
      <c r="BV277" s="1062">
        <f>'No Recurrentes 24-26'!DG136</f>
        <v>0</v>
      </c>
      <c r="BW277" s="1068"/>
      <c r="BX277" s="1062">
        <f>'No Recurrentes 24-26'!DH136</f>
        <v>224.9472</v>
      </c>
      <c r="BY277" s="1062">
        <f>'No Recurrentes 24-26'!DI136</f>
        <v>0</v>
      </c>
      <c r="BZ277" s="1062">
        <f>'No Recurrentes 24-26'!DJ136</f>
        <v>0</v>
      </c>
      <c r="CA277" s="1062">
        <f>'No Recurrentes 24-26'!DK136</f>
        <v>0</v>
      </c>
      <c r="CB277" s="1062">
        <f>'No Recurrentes 24-26'!DL136</f>
        <v>56.2368</v>
      </c>
      <c r="CC277" s="1062">
        <f>'No Recurrentes 24-26'!DM136</f>
        <v>56.2368</v>
      </c>
      <c r="CD277" s="1062">
        <f>'No Recurrentes 24-26'!DN136</f>
        <v>112.4736</v>
      </c>
      <c r="CE277" s="1062">
        <f>'No Recurrentes 24-26'!DO136</f>
        <v>0</v>
      </c>
      <c r="CF277" s="1062">
        <f>'No Recurrentes 24-26'!DP136</f>
        <v>0</v>
      </c>
      <c r="CG277" s="1062">
        <f>'No Recurrentes 24-26'!DQ136</f>
        <v>0</v>
      </c>
      <c r="CH277" s="1062">
        <f>'No Recurrentes 24-26'!DR136</f>
        <v>0</v>
      </c>
      <c r="CI277" s="1068"/>
      <c r="CJ277" s="1062">
        <f>'No Recurrentes 24-26'!DS136</f>
        <v>224.9472</v>
      </c>
      <c r="CK277" s="1062">
        <f>'No Recurrentes 24-26'!DT136</f>
        <v>449.8944</v>
      </c>
      <c r="CL277" s="1064" t="str">
        <f>'No Recurrentes 24-26'!DU136</f>
        <v/>
      </c>
      <c r="CM277" s="1064" t="str">
        <f>'No Recurrentes 24-26'!DV136</f>
        <v/>
      </c>
      <c r="CN277" s="1065">
        <f>'No Recurrentes 24-26'!EI135</f>
        <v>16.19</v>
      </c>
      <c r="CO277" s="1065">
        <f>'No Recurrentes 24-26'!EJ135</f>
        <v>13.76</v>
      </c>
      <c r="CP277" s="1060" t="str">
        <f>'No Recurrentes 24-26'!EK135</f>
        <v/>
      </c>
    </row>
    <row r="278">
      <c r="A278" s="451" t="str">
        <f>'No Recurrentes 24-26'!A137</f>
        <v>Repuestos Electromecánicos no recurrentes</v>
      </c>
      <c r="B278" s="451">
        <f>'No Recurrentes 24-26'!B137</f>
        <v>2</v>
      </c>
      <c r="C278" s="451" t="str">
        <f>'No Recurrentes 24-26'!C137</f>
        <v>Estación</v>
      </c>
      <c r="D278" s="451" t="str">
        <f>'No Recurrentes 24-26'!D137</f>
        <v>Manto. Eléctrico</v>
      </c>
      <c r="E278" s="451" t="str">
        <f>'No Recurrentes 24-26'!E137</f>
        <v>Repuesto Eléctrico</v>
      </c>
      <c r="F278" s="451" t="str">
        <f>'No Recurrentes 24-26'!F137</f>
        <v>TDB</v>
      </c>
      <c r="G278" s="1061" t="str">
        <f>'No Recurrentes 24-26'!G137</f>
        <v>39700</v>
      </c>
      <c r="H278" s="1061" t="str">
        <f>'No Recurrentes 24-26'!H137</f>
        <v>2-02-00040</v>
      </c>
      <c r="I278" s="1061" t="str">
        <f>'No Recurrentes 24-26'!I137</f>
        <v>10414546</v>
      </c>
      <c r="J278" s="1061" t="str">
        <f>'No Recurrentes 24-26'!J137</f>
        <v>MICRORELÉ    RT425024          TENSION BOBINA: 24V/DC SCHRACK</v>
      </c>
      <c r="K278" s="451" t="str">
        <f>'No Recurrentes 24-26'!K137</f>
        <v>Pza</v>
      </c>
      <c r="L278" s="451" t="str">
        <f>'No Recurrentes 24-26'!BC137</f>
        <v/>
      </c>
      <c r="M278" s="451" t="str">
        <f>'No Recurrentes 24-26'!BD137</f>
        <v/>
      </c>
      <c r="N278" s="451" t="str">
        <f>'No Recurrentes 24-26'!BE137</f>
        <v/>
      </c>
      <c r="O278" s="451" t="str">
        <f>'No Recurrentes 24-26'!BF137</f>
        <v/>
      </c>
      <c r="P278" s="451" t="str">
        <f>'No Recurrentes 24-26'!BG137</f>
        <v/>
      </c>
      <c r="Q278" s="451" t="str">
        <f>'No Recurrentes 24-26'!BH137</f>
        <v/>
      </c>
      <c r="R278" s="451" t="str">
        <f>'No Recurrentes 24-26'!BI137</f>
        <v/>
      </c>
      <c r="S278" s="451" t="str">
        <f>'No Recurrentes 24-26'!BJ137</f>
        <v/>
      </c>
      <c r="T278" s="451" t="str">
        <f>'No Recurrentes 24-26'!BK137</f>
        <v/>
      </c>
      <c r="U278" s="451" t="str">
        <f>'No Recurrentes 24-26'!BL137</f>
        <v/>
      </c>
      <c r="V278" s="1068"/>
      <c r="W278" s="1062">
        <f>'No Recurrentes 24-26'!BM137</f>
        <v>0</v>
      </c>
      <c r="X278" s="1062" t="str">
        <f>'No Recurrentes 24-26'!BN137</f>
        <v/>
      </c>
      <c r="Y278" s="1062" t="str">
        <f>'No Recurrentes 24-26'!BO137</f>
        <v/>
      </c>
      <c r="Z278" s="1062" t="str">
        <f>'No Recurrentes 24-26'!BP137</f>
        <v/>
      </c>
      <c r="AA278" s="1062">
        <f>'No Recurrentes 24-26'!BQ137</f>
        <v>2</v>
      </c>
      <c r="AB278" s="1062">
        <f>'No Recurrentes 24-26'!BR137</f>
        <v>1</v>
      </c>
      <c r="AC278" s="1062" t="str">
        <f>'No Recurrentes 24-26'!BS137</f>
        <v/>
      </c>
      <c r="AD278" s="1062" t="str">
        <f>'No Recurrentes 24-26'!BT137</f>
        <v/>
      </c>
      <c r="AE278" s="1062" t="str">
        <f>'No Recurrentes 24-26'!BU137</f>
        <v/>
      </c>
      <c r="AF278" s="1062" t="str">
        <f>'No Recurrentes 24-26'!BV137</f>
        <v/>
      </c>
      <c r="AG278" s="1062" t="str">
        <f>'No Recurrentes 24-26'!BW137</f>
        <v/>
      </c>
      <c r="AH278" s="1068"/>
      <c r="AI278" s="1062">
        <f>'No Recurrentes 24-26'!BX137</f>
        <v>3</v>
      </c>
      <c r="AJ278" s="1062">
        <f>'No Recurrentes 24-26'!BY137</f>
        <v>0</v>
      </c>
      <c r="AK278" s="1062">
        <f>'No Recurrentes 24-26'!BZ137</f>
        <v>0</v>
      </c>
      <c r="AL278" s="1062">
        <f>'No Recurrentes 24-26'!CA137</f>
        <v>0</v>
      </c>
      <c r="AM278" s="1062">
        <f>'No Recurrentes 24-26'!CB137</f>
        <v>2</v>
      </c>
      <c r="AN278" s="1062">
        <f>'No Recurrentes 24-26'!CC137</f>
        <v>1</v>
      </c>
      <c r="AO278" s="1062">
        <f>'No Recurrentes 24-26'!CD137</f>
        <v>0</v>
      </c>
      <c r="AP278" s="1062">
        <f>'No Recurrentes 24-26'!CE137</f>
        <v>0</v>
      </c>
      <c r="AQ278" s="1062">
        <f>'No Recurrentes 24-26'!CF137</f>
        <v>0</v>
      </c>
      <c r="AR278" s="1062">
        <f>'No Recurrentes 24-26'!CG137</f>
        <v>0</v>
      </c>
      <c r="AS278" s="1062">
        <f>'No Recurrentes 24-26'!CH137</f>
        <v>0</v>
      </c>
      <c r="AT278" s="1068"/>
      <c r="AU278" s="1062">
        <f>'No Recurrentes 24-26'!CI137</f>
        <v>3</v>
      </c>
      <c r="AV278" s="1063">
        <f>'No Recurrentes 24-26'!CJ137</f>
        <v>6</v>
      </c>
      <c r="AW278" s="1068"/>
      <c r="AX278" s="1065">
        <f>'No Recurrentes 24-26'!CK137</f>
        <v>8.31</v>
      </c>
      <c r="AY278" s="1062">
        <f>'No Recurrentes 24-26'!CL137</f>
        <v>57.8376</v>
      </c>
      <c r="AZ278" s="1068"/>
      <c r="BA278" s="1062">
        <f>'No Recurrentes 24-26'!CM137</f>
        <v>0</v>
      </c>
      <c r="BB278" s="1062">
        <f>'No Recurrentes 24-26'!CN137</f>
        <v>0</v>
      </c>
      <c r="BC278" s="1062">
        <f>'No Recurrentes 24-26'!CO137</f>
        <v>0</v>
      </c>
      <c r="BD278" s="1062">
        <f>'No Recurrentes 24-26'!CP137</f>
        <v>0</v>
      </c>
      <c r="BE278" s="1062">
        <f>'No Recurrentes 24-26'!CQ137</f>
        <v>0</v>
      </c>
      <c r="BF278" s="1062">
        <f>'No Recurrentes 24-26'!CR137</f>
        <v>0</v>
      </c>
      <c r="BG278" s="1062">
        <f>'No Recurrentes 24-26'!CS137</f>
        <v>0</v>
      </c>
      <c r="BH278" s="1062">
        <f>'No Recurrentes 24-26'!CT137</f>
        <v>0</v>
      </c>
      <c r="BI278" s="1062">
        <f>'No Recurrentes 24-26'!CU137</f>
        <v>0</v>
      </c>
      <c r="BJ278" s="1062">
        <f>'No Recurrentes 24-26'!CV137</f>
        <v>0</v>
      </c>
      <c r="BK278" s="1068"/>
      <c r="BL278" s="1062">
        <f>'No Recurrentes 24-26'!CW137</f>
        <v>0</v>
      </c>
      <c r="BM278" s="1062">
        <f>'No Recurrentes 24-26'!CX137</f>
        <v>0</v>
      </c>
      <c r="BN278" s="1062">
        <f>'No Recurrentes 24-26'!CY137</f>
        <v>0</v>
      </c>
      <c r="BO278" s="1062">
        <f>'No Recurrentes 24-26'!CZ137</f>
        <v>0</v>
      </c>
      <c r="BP278" s="1062">
        <f>'No Recurrentes 24-26'!DA137</f>
        <v>115.6752</v>
      </c>
      <c r="BQ278" s="1062">
        <f>'No Recurrentes 24-26'!DB137</f>
        <v>57.8376</v>
      </c>
      <c r="BR278" s="1062">
        <f>'No Recurrentes 24-26'!DC137</f>
        <v>0</v>
      </c>
      <c r="BS278" s="1062">
        <f>'No Recurrentes 24-26'!DD137</f>
        <v>0</v>
      </c>
      <c r="BT278" s="1062">
        <f>'No Recurrentes 24-26'!DE137</f>
        <v>0</v>
      </c>
      <c r="BU278" s="1062">
        <f>'No Recurrentes 24-26'!DF137</f>
        <v>0</v>
      </c>
      <c r="BV278" s="1062">
        <f>'No Recurrentes 24-26'!DG137</f>
        <v>0</v>
      </c>
      <c r="BW278" s="1068"/>
      <c r="BX278" s="1062">
        <f>'No Recurrentes 24-26'!DH137</f>
        <v>173.5128</v>
      </c>
      <c r="BY278" s="1062">
        <f>'No Recurrentes 24-26'!DI137</f>
        <v>0</v>
      </c>
      <c r="BZ278" s="1062">
        <f>'No Recurrentes 24-26'!DJ137</f>
        <v>0</v>
      </c>
      <c r="CA278" s="1062">
        <f>'No Recurrentes 24-26'!DK137</f>
        <v>0</v>
      </c>
      <c r="CB278" s="1062">
        <f>'No Recurrentes 24-26'!DL137</f>
        <v>115.6752</v>
      </c>
      <c r="CC278" s="1062">
        <f>'No Recurrentes 24-26'!DM137</f>
        <v>57.8376</v>
      </c>
      <c r="CD278" s="1062">
        <f>'No Recurrentes 24-26'!DN137</f>
        <v>0</v>
      </c>
      <c r="CE278" s="1062">
        <f>'No Recurrentes 24-26'!DO137</f>
        <v>0</v>
      </c>
      <c r="CF278" s="1062">
        <f>'No Recurrentes 24-26'!DP137</f>
        <v>0</v>
      </c>
      <c r="CG278" s="1062">
        <f>'No Recurrentes 24-26'!DQ137</f>
        <v>0</v>
      </c>
      <c r="CH278" s="1062">
        <f>'No Recurrentes 24-26'!DR137</f>
        <v>0</v>
      </c>
      <c r="CI278" s="1068"/>
      <c r="CJ278" s="1062">
        <f>'No Recurrentes 24-26'!DS137</f>
        <v>173.5128</v>
      </c>
      <c r="CK278" s="1062">
        <f>'No Recurrentes 24-26'!DT137</f>
        <v>347.0256</v>
      </c>
      <c r="CL278" s="1064" t="str">
        <f>'No Recurrentes 24-26'!DU137</f>
        <v/>
      </c>
      <c r="CM278" s="1064" t="str">
        <f>'No Recurrentes 24-26'!DV137</f>
        <v/>
      </c>
      <c r="CN278" s="1065">
        <f>'No Recurrentes 24-26'!EI136</f>
        <v>8.08</v>
      </c>
      <c r="CO278" s="1065">
        <f>'No Recurrentes 24-26'!EJ136</f>
        <v>6.87</v>
      </c>
      <c r="CP278" s="1060" t="str">
        <f>'No Recurrentes 24-26'!EK136</f>
        <v/>
      </c>
    </row>
    <row r="279">
      <c r="A279" s="451" t="str">
        <f>'No Recurrentes 24-26'!A138</f>
        <v>Repuestos Electromecánicos no recurrentes</v>
      </c>
      <c r="B279" s="451">
        <f>'No Recurrentes 24-26'!B138</f>
        <v>2</v>
      </c>
      <c r="C279" s="451" t="str">
        <f>'No Recurrentes 24-26'!C138</f>
        <v>Estación</v>
      </c>
      <c r="D279" s="451" t="str">
        <f>'No Recurrentes 24-26'!D138</f>
        <v>Manto. Eléctrico</v>
      </c>
      <c r="E279" s="451" t="str">
        <f>'No Recurrentes 24-26'!E138</f>
        <v>Repuesto Eléctrico</v>
      </c>
      <c r="F279" s="451" t="str">
        <f>'No Recurrentes 24-26'!F138</f>
        <v>TDB</v>
      </c>
      <c r="G279" s="1061" t="str">
        <f>'No Recurrentes 24-26'!G138</f>
        <v>39700</v>
      </c>
      <c r="H279" s="1061" t="str">
        <f>'No Recurrentes 24-26'!H138</f>
        <v/>
      </c>
      <c r="I279" s="1061" t="str">
        <f>'No Recurrentes 24-26'!I138</f>
        <v>11174925</v>
      </c>
      <c r="J279" s="1061" t="str">
        <f>'No Recurrentes 24-26'!J138</f>
        <v>INTERR. AUXIL. P. MS4XX   1NO/1NC HK4-11                  ABB</v>
      </c>
      <c r="K279" s="451" t="str">
        <f>'No Recurrentes 24-26'!K138</f>
        <v>Pza</v>
      </c>
      <c r="L279" s="451" t="str">
        <f>'No Recurrentes 24-26'!BC138</f>
        <v/>
      </c>
      <c r="M279" s="451" t="str">
        <f>'No Recurrentes 24-26'!BD138</f>
        <v/>
      </c>
      <c r="N279" s="451" t="str">
        <f>'No Recurrentes 24-26'!BE138</f>
        <v/>
      </c>
      <c r="O279" s="451" t="str">
        <f>'No Recurrentes 24-26'!BF138</f>
        <v/>
      </c>
      <c r="P279" s="451" t="str">
        <f>'No Recurrentes 24-26'!BG138</f>
        <v/>
      </c>
      <c r="Q279" s="451" t="str">
        <f>'No Recurrentes 24-26'!BH138</f>
        <v/>
      </c>
      <c r="R279" s="451" t="str">
        <f>'No Recurrentes 24-26'!BI138</f>
        <v/>
      </c>
      <c r="S279" s="451" t="str">
        <f>'No Recurrentes 24-26'!BJ138</f>
        <v/>
      </c>
      <c r="T279" s="451" t="str">
        <f>'No Recurrentes 24-26'!BK138</f>
        <v/>
      </c>
      <c r="U279" s="451" t="str">
        <f>'No Recurrentes 24-26'!BL138</f>
        <v/>
      </c>
      <c r="V279" s="1068"/>
      <c r="W279" s="1062">
        <f>'No Recurrentes 24-26'!BM138</f>
        <v>0</v>
      </c>
      <c r="X279" s="1062" t="str">
        <f>'No Recurrentes 24-26'!BN138</f>
        <v/>
      </c>
      <c r="Y279" s="1062" t="str">
        <f>'No Recurrentes 24-26'!BO138</f>
        <v/>
      </c>
      <c r="Z279" s="1062" t="str">
        <f>'No Recurrentes 24-26'!BP138</f>
        <v/>
      </c>
      <c r="AA279" s="1062">
        <f>'No Recurrentes 24-26'!BQ138</f>
        <v>1</v>
      </c>
      <c r="AB279" s="1062" t="str">
        <f>'No Recurrentes 24-26'!BR138</f>
        <v/>
      </c>
      <c r="AC279" s="1062" t="str">
        <f>'No Recurrentes 24-26'!BS138</f>
        <v/>
      </c>
      <c r="AD279" s="1062" t="str">
        <f>'No Recurrentes 24-26'!BT138</f>
        <v/>
      </c>
      <c r="AE279" s="1062" t="str">
        <f>'No Recurrentes 24-26'!BU138</f>
        <v/>
      </c>
      <c r="AF279" s="1062" t="str">
        <f>'No Recurrentes 24-26'!BV138</f>
        <v/>
      </c>
      <c r="AG279" s="1062" t="str">
        <f>'No Recurrentes 24-26'!BW138</f>
        <v/>
      </c>
      <c r="AH279" s="1068"/>
      <c r="AI279" s="1062">
        <f>'No Recurrentes 24-26'!BX138</f>
        <v>1</v>
      </c>
      <c r="AJ279" s="1062">
        <f>'No Recurrentes 24-26'!BY138</f>
        <v>0</v>
      </c>
      <c r="AK279" s="1062">
        <f>'No Recurrentes 24-26'!BZ138</f>
        <v>0</v>
      </c>
      <c r="AL279" s="1062">
        <f>'No Recurrentes 24-26'!CA138</f>
        <v>0</v>
      </c>
      <c r="AM279" s="1062">
        <f>'No Recurrentes 24-26'!CB138</f>
        <v>1</v>
      </c>
      <c r="AN279" s="1062">
        <f>'No Recurrentes 24-26'!CC138</f>
        <v>0</v>
      </c>
      <c r="AO279" s="1062">
        <f>'No Recurrentes 24-26'!CD138</f>
        <v>0</v>
      </c>
      <c r="AP279" s="1062">
        <f>'No Recurrentes 24-26'!CE138</f>
        <v>0</v>
      </c>
      <c r="AQ279" s="1062">
        <f>'No Recurrentes 24-26'!CF138</f>
        <v>0</v>
      </c>
      <c r="AR279" s="1062">
        <f>'No Recurrentes 24-26'!CG138</f>
        <v>0</v>
      </c>
      <c r="AS279" s="1062">
        <f>'No Recurrentes 24-26'!CH138</f>
        <v>0</v>
      </c>
      <c r="AT279" s="1068"/>
      <c r="AU279" s="1062">
        <f>'No Recurrentes 24-26'!CI138</f>
        <v>1</v>
      </c>
      <c r="AV279" s="1063">
        <f>'No Recurrentes 24-26'!CJ138</f>
        <v>2</v>
      </c>
      <c r="AW279" s="1068"/>
      <c r="AX279" s="1065">
        <f>'No Recurrentes 24-26'!CK138</f>
        <v>23.5</v>
      </c>
      <c r="AY279" s="1062">
        <f>'No Recurrentes 24-26'!CL138</f>
        <v>163.56</v>
      </c>
      <c r="AZ279" s="1068"/>
      <c r="BA279" s="1062">
        <f>'No Recurrentes 24-26'!CM138</f>
        <v>0</v>
      </c>
      <c r="BB279" s="1062">
        <f>'No Recurrentes 24-26'!CN138</f>
        <v>0</v>
      </c>
      <c r="BC279" s="1062">
        <f>'No Recurrentes 24-26'!CO138</f>
        <v>0</v>
      </c>
      <c r="BD279" s="1062">
        <f>'No Recurrentes 24-26'!CP138</f>
        <v>0</v>
      </c>
      <c r="BE279" s="1062">
        <f>'No Recurrentes 24-26'!CQ138</f>
        <v>0</v>
      </c>
      <c r="BF279" s="1062">
        <f>'No Recurrentes 24-26'!CR138</f>
        <v>0</v>
      </c>
      <c r="BG279" s="1062">
        <f>'No Recurrentes 24-26'!CS138</f>
        <v>0</v>
      </c>
      <c r="BH279" s="1062">
        <f>'No Recurrentes 24-26'!CT138</f>
        <v>0</v>
      </c>
      <c r="BI279" s="1062">
        <f>'No Recurrentes 24-26'!CU138</f>
        <v>0</v>
      </c>
      <c r="BJ279" s="1062">
        <f>'No Recurrentes 24-26'!CV138</f>
        <v>0</v>
      </c>
      <c r="BK279" s="1068"/>
      <c r="BL279" s="1062">
        <f>'No Recurrentes 24-26'!CW138</f>
        <v>0</v>
      </c>
      <c r="BM279" s="1062">
        <f>'No Recurrentes 24-26'!CX138</f>
        <v>0</v>
      </c>
      <c r="BN279" s="1062">
        <f>'No Recurrentes 24-26'!CY138</f>
        <v>0</v>
      </c>
      <c r="BO279" s="1062">
        <f>'No Recurrentes 24-26'!CZ138</f>
        <v>0</v>
      </c>
      <c r="BP279" s="1062">
        <f>'No Recurrentes 24-26'!DA138</f>
        <v>163.56</v>
      </c>
      <c r="BQ279" s="1062">
        <f>'No Recurrentes 24-26'!DB138</f>
        <v>0</v>
      </c>
      <c r="BR279" s="1062">
        <f>'No Recurrentes 24-26'!DC138</f>
        <v>0</v>
      </c>
      <c r="BS279" s="1062">
        <f>'No Recurrentes 24-26'!DD138</f>
        <v>0</v>
      </c>
      <c r="BT279" s="1062">
        <f>'No Recurrentes 24-26'!DE138</f>
        <v>0</v>
      </c>
      <c r="BU279" s="1062">
        <f>'No Recurrentes 24-26'!DF138</f>
        <v>0</v>
      </c>
      <c r="BV279" s="1062">
        <f>'No Recurrentes 24-26'!DG138</f>
        <v>0</v>
      </c>
      <c r="BW279" s="1068"/>
      <c r="BX279" s="1062">
        <f>'No Recurrentes 24-26'!DH138</f>
        <v>163.56</v>
      </c>
      <c r="BY279" s="1062">
        <f>'No Recurrentes 24-26'!DI138</f>
        <v>0</v>
      </c>
      <c r="BZ279" s="1062">
        <f>'No Recurrentes 24-26'!DJ138</f>
        <v>0</v>
      </c>
      <c r="CA279" s="1062">
        <f>'No Recurrentes 24-26'!DK138</f>
        <v>0</v>
      </c>
      <c r="CB279" s="1062">
        <f>'No Recurrentes 24-26'!DL138</f>
        <v>163.56</v>
      </c>
      <c r="CC279" s="1062">
        <f>'No Recurrentes 24-26'!DM138</f>
        <v>0</v>
      </c>
      <c r="CD279" s="1062">
        <f>'No Recurrentes 24-26'!DN138</f>
        <v>0</v>
      </c>
      <c r="CE279" s="1062">
        <f>'No Recurrentes 24-26'!DO138</f>
        <v>0</v>
      </c>
      <c r="CF279" s="1062">
        <f>'No Recurrentes 24-26'!DP138</f>
        <v>0</v>
      </c>
      <c r="CG279" s="1062">
        <f>'No Recurrentes 24-26'!DQ138</f>
        <v>0</v>
      </c>
      <c r="CH279" s="1062">
        <f>'No Recurrentes 24-26'!DR138</f>
        <v>0</v>
      </c>
      <c r="CI279" s="1068"/>
      <c r="CJ279" s="1062">
        <f>'No Recurrentes 24-26'!DS138</f>
        <v>163.56</v>
      </c>
      <c r="CK279" s="1062">
        <f>'No Recurrentes 24-26'!DT138</f>
        <v>327.12</v>
      </c>
      <c r="CL279" s="1064" t="str">
        <f>'No Recurrentes 24-26'!DU138</f>
        <v/>
      </c>
      <c r="CM279" s="1064" t="str">
        <f>'No Recurrentes 24-26'!DV138</f>
        <v/>
      </c>
      <c r="CN279" s="1065">
        <f>'No Recurrentes 24-26'!EI137</f>
        <v>8.31</v>
      </c>
      <c r="CO279" s="1065">
        <f>'No Recurrentes 24-26'!EJ137</f>
        <v>7.06</v>
      </c>
      <c r="CP279" s="1060" t="str">
        <f>'No Recurrentes 24-26'!EK137</f>
        <v/>
      </c>
    </row>
    <row r="280">
      <c r="A280" s="451" t="str">
        <f>'No Recurrentes 24-26'!A139</f>
        <v>Repuestos Electromecánicos no recurrentes</v>
      </c>
      <c r="B280" s="451" t="str">
        <f>'No Recurrentes 24-26'!B139</f>
        <v/>
      </c>
      <c r="C280" s="451" t="str">
        <f>'No Recurrentes 24-26'!C139</f>
        <v>Estación</v>
      </c>
      <c r="D280" s="451" t="str">
        <f>'No Recurrentes 24-26'!D139</f>
        <v>Manto. Eléctrico</v>
      </c>
      <c r="E280" s="451" t="str">
        <f>'No Recurrentes 24-26'!E139</f>
        <v>Repuesto Eléctrico</v>
      </c>
      <c r="F280" s="451" t="str">
        <f>'No Recurrentes 24-26'!F139</f>
        <v>TDB</v>
      </c>
      <c r="G280" s="1061" t="str">
        <f>'No Recurrentes 24-26'!G139</f>
        <v>39700</v>
      </c>
      <c r="H280" s="1061" t="str">
        <f>'No Recurrentes 24-26'!H139</f>
        <v>2-01-00211</v>
      </c>
      <c r="I280" s="1061">
        <f>'No Recurrentes 24-26'!I139</f>
        <v>10274814</v>
      </c>
      <c r="J280" s="1061" t="str">
        <f>'No Recurrentes 24-26'!J139</f>
        <v>cabezal de final de carrera</v>
      </c>
      <c r="K280" s="451" t="str">
        <f>'No Recurrentes 24-26'!K139</f>
        <v>Pza</v>
      </c>
      <c r="L280" s="451" t="str">
        <f>'No Recurrentes 24-26'!BC139</f>
        <v/>
      </c>
      <c r="M280" s="451" t="str">
        <f>'No Recurrentes 24-26'!BD139</f>
        <v/>
      </c>
      <c r="N280" s="451" t="str">
        <f>'No Recurrentes 24-26'!BE139</f>
        <v/>
      </c>
      <c r="O280" s="451" t="str">
        <f>'No Recurrentes 24-26'!BF139</f>
        <v/>
      </c>
      <c r="P280" s="451" t="str">
        <f>'No Recurrentes 24-26'!BG139</f>
        <v/>
      </c>
      <c r="Q280" s="451" t="str">
        <f>'No Recurrentes 24-26'!BH139</f>
        <v/>
      </c>
      <c r="R280" s="451" t="str">
        <f>'No Recurrentes 24-26'!BI139</f>
        <v/>
      </c>
      <c r="S280" s="451">
        <f>'No Recurrentes 24-26'!BJ139</f>
        <v>0</v>
      </c>
      <c r="T280" s="451" t="str">
        <f>'No Recurrentes 24-26'!BK139</f>
        <v/>
      </c>
      <c r="U280" s="451" t="str">
        <f>'No Recurrentes 24-26'!BL139</f>
        <v/>
      </c>
      <c r="V280" s="1068"/>
      <c r="W280" s="1062">
        <f>'No Recurrentes 24-26'!BM139</f>
        <v>0</v>
      </c>
      <c r="X280" s="1062" t="str">
        <f>'No Recurrentes 24-26'!BN139</f>
        <v/>
      </c>
      <c r="Y280" s="1062" t="str">
        <f>'No Recurrentes 24-26'!BO139</f>
        <v/>
      </c>
      <c r="Z280" s="1062" t="str">
        <f>'No Recurrentes 24-26'!BP139</f>
        <v/>
      </c>
      <c r="AA280" s="1062" t="str">
        <f>'No Recurrentes 24-26'!BQ139</f>
        <v/>
      </c>
      <c r="AB280" s="1062" t="str">
        <f>'No Recurrentes 24-26'!BR139</f>
        <v/>
      </c>
      <c r="AC280" s="1062" t="str">
        <f>'No Recurrentes 24-26'!BS139</f>
        <v/>
      </c>
      <c r="AD280" s="1062" t="str">
        <f>'No Recurrentes 24-26'!BT139</f>
        <v/>
      </c>
      <c r="AE280" s="1062" t="str">
        <f>'No Recurrentes 24-26'!BU139</f>
        <v/>
      </c>
      <c r="AF280" s="1062" t="str">
        <f>'No Recurrentes 24-26'!BV139</f>
        <v/>
      </c>
      <c r="AG280" s="1062" t="str">
        <f>'No Recurrentes 24-26'!BW139</f>
        <v/>
      </c>
      <c r="AH280" s="1068"/>
      <c r="AI280" s="1062">
        <f>'No Recurrentes 24-26'!BX139</f>
        <v>0</v>
      </c>
      <c r="AJ280" s="1062">
        <f>'No Recurrentes 24-26'!BY139</f>
        <v>0</v>
      </c>
      <c r="AK280" s="1062">
        <f>'No Recurrentes 24-26'!BZ139</f>
        <v>0</v>
      </c>
      <c r="AL280" s="1062">
        <f>'No Recurrentes 24-26'!CA139</f>
        <v>0</v>
      </c>
      <c r="AM280" s="1062">
        <f>'No Recurrentes 24-26'!CB139</f>
        <v>0</v>
      </c>
      <c r="AN280" s="1062">
        <f>'No Recurrentes 24-26'!CC139</f>
        <v>0</v>
      </c>
      <c r="AO280" s="1062">
        <f>'No Recurrentes 24-26'!CD139</f>
        <v>0</v>
      </c>
      <c r="AP280" s="1062">
        <f>'No Recurrentes 24-26'!CE139</f>
        <v>0</v>
      </c>
      <c r="AQ280" s="1062">
        <f>'No Recurrentes 24-26'!CF139</f>
        <v>0</v>
      </c>
      <c r="AR280" s="1062">
        <f>'No Recurrentes 24-26'!CG139</f>
        <v>0</v>
      </c>
      <c r="AS280" s="1062">
        <f>'No Recurrentes 24-26'!CH139</f>
        <v>0</v>
      </c>
      <c r="AT280" s="1068"/>
      <c r="AU280" s="1062">
        <f>'No Recurrentes 24-26'!CI139</f>
        <v>0</v>
      </c>
      <c r="AV280" s="1063">
        <f>'No Recurrentes 24-26'!CJ139</f>
        <v>0</v>
      </c>
      <c r="AW280" s="1068"/>
      <c r="AX280" s="1062" t="str">
        <f>'No Recurrentes 24-26'!CK139</f>
        <v/>
      </c>
      <c r="AY280" s="1062">
        <f>'No Recurrentes 24-26'!CL139</f>
        <v>318.6684</v>
      </c>
      <c r="AZ280" s="1068"/>
      <c r="BA280" s="1062">
        <f>'No Recurrentes 24-26'!CM139</f>
        <v>0</v>
      </c>
      <c r="BB280" s="1062">
        <f>'No Recurrentes 24-26'!CN139</f>
        <v>0</v>
      </c>
      <c r="BC280" s="1062">
        <f>'No Recurrentes 24-26'!CO139</f>
        <v>0</v>
      </c>
      <c r="BD280" s="1062">
        <f>'No Recurrentes 24-26'!CP139</f>
        <v>0</v>
      </c>
      <c r="BE280" s="1062">
        <f>'No Recurrentes 24-26'!CQ139</f>
        <v>0</v>
      </c>
      <c r="BF280" s="1062">
        <f>'No Recurrentes 24-26'!CR139</f>
        <v>0</v>
      </c>
      <c r="BG280" s="1062">
        <f>'No Recurrentes 24-26'!CS139</f>
        <v>0</v>
      </c>
      <c r="BH280" s="1062">
        <f>'No Recurrentes 24-26'!CT139</f>
        <v>0</v>
      </c>
      <c r="BI280" s="1062">
        <f>'No Recurrentes 24-26'!CU139</f>
        <v>0</v>
      </c>
      <c r="BJ280" s="1062">
        <f>'No Recurrentes 24-26'!CV139</f>
        <v>0</v>
      </c>
      <c r="BK280" s="1068"/>
      <c r="BL280" s="1062">
        <f>'No Recurrentes 24-26'!CW139</f>
        <v>0</v>
      </c>
      <c r="BM280" s="1062">
        <f>'No Recurrentes 24-26'!CX139</f>
        <v>0</v>
      </c>
      <c r="BN280" s="1062">
        <f>'No Recurrentes 24-26'!CY139</f>
        <v>0</v>
      </c>
      <c r="BO280" s="1062">
        <f>'No Recurrentes 24-26'!CZ139</f>
        <v>0</v>
      </c>
      <c r="BP280" s="1062">
        <f>'No Recurrentes 24-26'!DA139</f>
        <v>0</v>
      </c>
      <c r="BQ280" s="1062">
        <f>'No Recurrentes 24-26'!DB139</f>
        <v>0</v>
      </c>
      <c r="BR280" s="1062">
        <f>'No Recurrentes 24-26'!DC139</f>
        <v>0</v>
      </c>
      <c r="BS280" s="1062">
        <f>'No Recurrentes 24-26'!DD139</f>
        <v>0</v>
      </c>
      <c r="BT280" s="1062">
        <f>'No Recurrentes 24-26'!DE139</f>
        <v>0</v>
      </c>
      <c r="BU280" s="1062">
        <f>'No Recurrentes 24-26'!DF139</f>
        <v>0</v>
      </c>
      <c r="BV280" s="1062">
        <f>'No Recurrentes 24-26'!DG139</f>
        <v>0</v>
      </c>
      <c r="BW280" s="1068"/>
      <c r="BX280" s="1062">
        <f>'No Recurrentes 24-26'!DH139</f>
        <v>0</v>
      </c>
      <c r="BY280" s="1062">
        <f>'No Recurrentes 24-26'!DI139</f>
        <v>0</v>
      </c>
      <c r="BZ280" s="1062">
        <f>'No Recurrentes 24-26'!DJ139</f>
        <v>0</v>
      </c>
      <c r="CA280" s="1062">
        <f>'No Recurrentes 24-26'!DK139</f>
        <v>0</v>
      </c>
      <c r="CB280" s="1062">
        <f>'No Recurrentes 24-26'!DL139</f>
        <v>0</v>
      </c>
      <c r="CC280" s="1062">
        <f>'No Recurrentes 24-26'!DM139</f>
        <v>0</v>
      </c>
      <c r="CD280" s="1062">
        <f>'No Recurrentes 24-26'!DN139</f>
        <v>0</v>
      </c>
      <c r="CE280" s="1062">
        <f>'No Recurrentes 24-26'!DO139</f>
        <v>0</v>
      </c>
      <c r="CF280" s="1062">
        <f>'No Recurrentes 24-26'!DP139</f>
        <v>0</v>
      </c>
      <c r="CG280" s="1062">
        <f>'No Recurrentes 24-26'!DQ139</f>
        <v>0</v>
      </c>
      <c r="CH280" s="1062">
        <f>'No Recurrentes 24-26'!DR139</f>
        <v>0</v>
      </c>
      <c r="CI280" s="1068"/>
      <c r="CJ280" s="1062">
        <f>'No Recurrentes 24-26'!DS139</f>
        <v>0</v>
      </c>
      <c r="CK280" s="1062">
        <f>'No Recurrentes 24-26'!DT139</f>
        <v>0</v>
      </c>
      <c r="CL280" s="1064" t="str">
        <f>'No Recurrentes 24-26'!DU139</f>
        <v/>
      </c>
      <c r="CM280" s="1064" t="str">
        <f>'No Recurrentes 24-26'!DV139</f>
        <v/>
      </c>
      <c r="CN280" s="1065">
        <f>'No Recurrentes 24-26'!EI138</f>
        <v>23.5</v>
      </c>
      <c r="CO280" s="1065">
        <f>'No Recurrentes 24-26'!EJ138</f>
        <v>19.98</v>
      </c>
      <c r="CP280" s="1060" t="str">
        <f>'No Recurrentes 24-26'!EK138</f>
        <v/>
      </c>
    </row>
    <row r="281">
      <c r="A281" s="451" t="str">
        <f>'No Recurrentes 24-26'!A140</f>
        <v>Repuestos Electromecánicos no recurrentes</v>
      </c>
      <c r="B281" s="451">
        <f>'No Recurrentes 24-26'!B140</f>
        <v>2</v>
      </c>
      <c r="C281" s="451" t="str">
        <f>'No Recurrentes 24-26'!C140</f>
        <v>Estación</v>
      </c>
      <c r="D281" s="451" t="str">
        <f>'No Recurrentes 24-26'!D140</f>
        <v>Manto. Eléctrico</v>
      </c>
      <c r="E281" s="451" t="str">
        <f>'No Recurrentes 24-26'!E140</f>
        <v>Repuesto Eléctrico</v>
      </c>
      <c r="F281" s="451" t="str">
        <f>'No Recurrentes 24-26'!F140</f>
        <v>TDB</v>
      </c>
      <c r="G281" s="1061" t="str">
        <f>'No Recurrentes 24-26'!G140</f>
        <v>39700</v>
      </c>
      <c r="H281" s="1061" t="str">
        <f>'No Recurrentes 24-26'!H140</f>
        <v>2-02-00190</v>
      </c>
      <c r="I281" s="1061" t="str">
        <f>'No Recurrentes 24-26'!I140</f>
        <v>10026293</v>
      </c>
      <c r="J281" s="1061" t="str">
        <f>'No Recurrentes 24-26'!J140</f>
        <v>CONTACTO AUXILIAR 1S   HN 10       BENEDIKT&amp;JAEGER</v>
      </c>
      <c r="K281" s="451" t="str">
        <f>'No Recurrentes 24-26'!K140</f>
        <v>Pza</v>
      </c>
      <c r="L281" s="451" t="str">
        <f>'No Recurrentes 24-26'!BC140</f>
        <v/>
      </c>
      <c r="M281" s="451" t="str">
        <f>'No Recurrentes 24-26'!BD140</f>
        <v/>
      </c>
      <c r="N281" s="451" t="str">
        <f>'No Recurrentes 24-26'!BE140</f>
        <v/>
      </c>
      <c r="O281" s="451" t="str">
        <f>'No Recurrentes 24-26'!BF140</f>
        <v/>
      </c>
      <c r="P281" s="451" t="str">
        <f>'No Recurrentes 24-26'!BG140</f>
        <v/>
      </c>
      <c r="Q281" s="451" t="str">
        <f>'No Recurrentes 24-26'!BH140</f>
        <v/>
      </c>
      <c r="R281" s="451" t="str">
        <f>'No Recurrentes 24-26'!BI140</f>
        <v/>
      </c>
      <c r="S281" s="451" t="str">
        <f>'No Recurrentes 24-26'!BJ140</f>
        <v/>
      </c>
      <c r="T281" s="451" t="str">
        <f>'No Recurrentes 24-26'!BK140</f>
        <v/>
      </c>
      <c r="U281" s="451" t="str">
        <f>'No Recurrentes 24-26'!BL140</f>
        <v/>
      </c>
      <c r="V281" s="1068"/>
      <c r="W281" s="1062">
        <f>'No Recurrentes 24-26'!BM140</f>
        <v>0</v>
      </c>
      <c r="X281" s="1062">
        <f>'No Recurrentes 24-26'!BN140</f>
        <v>2</v>
      </c>
      <c r="Y281" s="1062" t="str">
        <f>'No Recurrentes 24-26'!BO140</f>
        <v/>
      </c>
      <c r="Z281" s="1062">
        <f>'No Recurrentes 24-26'!BP140</f>
        <v>2</v>
      </c>
      <c r="AA281" s="1062">
        <f>'No Recurrentes 24-26'!BQ140</f>
        <v>1</v>
      </c>
      <c r="AB281" s="1062">
        <f>'No Recurrentes 24-26'!BR140</f>
        <v>1</v>
      </c>
      <c r="AC281" s="1062">
        <f>'No Recurrentes 24-26'!BS140</f>
        <v>2</v>
      </c>
      <c r="AD281" s="1062" t="str">
        <f>'No Recurrentes 24-26'!BT140</f>
        <v/>
      </c>
      <c r="AE281" s="1062" t="str">
        <f>'No Recurrentes 24-26'!BU140</f>
        <v/>
      </c>
      <c r="AF281" s="1062" t="str">
        <f>'No Recurrentes 24-26'!BV140</f>
        <v/>
      </c>
      <c r="AG281" s="1062" t="str">
        <f>'No Recurrentes 24-26'!BW140</f>
        <v/>
      </c>
      <c r="AH281" s="1068"/>
      <c r="AI281" s="1062">
        <f>'No Recurrentes 24-26'!BX140</f>
        <v>8</v>
      </c>
      <c r="AJ281" s="1062">
        <f>'No Recurrentes 24-26'!BY140</f>
        <v>0</v>
      </c>
      <c r="AK281" s="1062">
        <f>'No Recurrentes 24-26'!BZ140</f>
        <v>2</v>
      </c>
      <c r="AL281" s="1062">
        <f>'No Recurrentes 24-26'!CA140</f>
        <v>0</v>
      </c>
      <c r="AM281" s="1062">
        <f>'No Recurrentes 24-26'!CB140</f>
        <v>1</v>
      </c>
      <c r="AN281" s="1062">
        <f>'No Recurrentes 24-26'!CC140</f>
        <v>0</v>
      </c>
      <c r="AO281" s="1062">
        <f>'No Recurrentes 24-26'!CD140</f>
        <v>2</v>
      </c>
      <c r="AP281" s="1062">
        <f>'No Recurrentes 24-26'!CE140</f>
        <v>0</v>
      </c>
      <c r="AQ281" s="1062">
        <f>'No Recurrentes 24-26'!CF140</f>
        <v>0</v>
      </c>
      <c r="AR281" s="1062">
        <f>'No Recurrentes 24-26'!CG140</f>
        <v>0</v>
      </c>
      <c r="AS281" s="1062">
        <f>'No Recurrentes 24-26'!CH140</f>
        <v>0</v>
      </c>
      <c r="AT281" s="1068"/>
      <c r="AU281" s="1062">
        <f>'No Recurrentes 24-26'!CI140</f>
        <v>5</v>
      </c>
      <c r="AV281" s="1063">
        <f>'No Recurrentes 24-26'!CJ140</f>
        <v>13</v>
      </c>
      <c r="AW281" s="1068"/>
      <c r="AX281" s="1065">
        <f>'No Recurrentes 24-26'!CK140</f>
        <v>7</v>
      </c>
      <c r="AY281" s="1062">
        <f>'No Recurrentes 24-26'!CL140</f>
        <v>48.72</v>
      </c>
      <c r="AZ281" s="1068"/>
      <c r="BA281" s="1062">
        <f>'No Recurrentes 24-26'!CM140</f>
        <v>0</v>
      </c>
      <c r="BB281" s="1062">
        <f>'No Recurrentes 24-26'!CN140</f>
        <v>0</v>
      </c>
      <c r="BC281" s="1062">
        <f>'No Recurrentes 24-26'!CO140</f>
        <v>0</v>
      </c>
      <c r="BD281" s="1062">
        <f>'No Recurrentes 24-26'!CP140</f>
        <v>0</v>
      </c>
      <c r="BE281" s="1062">
        <f>'No Recurrentes 24-26'!CQ140</f>
        <v>0</v>
      </c>
      <c r="BF281" s="1062">
        <f>'No Recurrentes 24-26'!CR140</f>
        <v>0</v>
      </c>
      <c r="BG281" s="1062">
        <f>'No Recurrentes 24-26'!CS140</f>
        <v>0</v>
      </c>
      <c r="BH281" s="1062">
        <f>'No Recurrentes 24-26'!CT140</f>
        <v>0</v>
      </c>
      <c r="BI281" s="1062">
        <f>'No Recurrentes 24-26'!CU140</f>
        <v>0</v>
      </c>
      <c r="BJ281" s="1062">
        <f>'No Recurrentes 24-26'!CV140</f>
        <v>0</v>
      </c>
      <c r="BK281" s="1068"/>
      <c r="BL281" s="1062">
        <f>'No Recurrentes 24-26'!CW140</f>
        <v>0</v>
      </c>
      <c r="BM281" s="1062">
        <f>'No Recurrentes 24-26'!CX140</f>
        <v>97.44</v>
      </c>
      <c r="BN281" s="1062">
        <f>'No Recurrentes 24-26'!CY140</f>
        <v>0</v>
      </c>
      <c r="BO281" s="1062">
        <f>'No Recurrentes 24-26'!CZ140</f>
        <v>97.44</v>
      </c>
      <c r="BP281" s="1062">
        <f>'No Recurrentes 24-26'!DA140</f>
        <v>48.72</v>
      </c>
      <c r="BQ281" s="1062">
        <f>'No Recurrentes 24-26'!DB140</f>
        <v>48.72</v>
      </c>
      <c r="BR281" s="1062">
        <f>'No Recurrentes 24-26'!DC140</f>
        <v>97.44</v>
      </c>
      <c r="BS281" s="1062">
        <f>'No Recurrentes 24-26'!DD140</f>
        <v>0</v>
      </c>
      <c r="BT281" s="1062">
        <f>'No Recurrentes 24-26'!DE140</f>
        <v>0</v>
      </c>
      <c r="BU281" s="1062">
        <f>'No Recurrentes 24-26'!DF140</f>
        <v>0</v>
      </c>
      <c r="BV281" s="1062">
        <f>'No Recurrentes 24-26'!DG140</f>
        <v>0</v>
      </c>
      <c r="BW281" s="1068"/>
      <c r="BX281" s="1062">
        <f>'No Recurrentes 24-26'!DH140</f>
        <v>389.76</v>
      </c>
      <c r="BY281" s="1062">
        <f>'No Recurrentes 24-26'!DI140</f>
        <v>0</v>
      </c>
      <c r="BZ281" s="1062">
        <f>'No Recurrentes 24-26'!DJ140</f>
        <v>97.44</v>
      </c>
      <c r="CA281" s="1062">
        <f>'No Recurrentes 24-26'!DK140</f>
        <v>0</v>
      </c>
      <c r="CB281" s="1062">
        <f>'No Recurrentes 24-26'!DL140</f>
        <v>48.72</v>
      </c>
      <c r="CC281" s="1062">
        <f>'No Recurrentes 24-26'!DM140</f>
        <v>0</v>
      </c>
      <c r="CD281" s="1062">
        <f>'No Recurrentes 24-26'!DN140</f>
        <v>97.44</v>
      </c>
      <c r="CE281" s="1062">
        <f>'No Recurrentes 24-26'!DO140</f>
        <v>0</v>
      </c>
      <c r="CF281" s="1062">
        <f>'No Recurrentes 24-26'!DP140</f>
        <v>0</v>
      </c>
      <c r="CG281" s="1062">
        <f>'No Recurrentes 24-26'!DQ140</f>
        <v>0</v>
      </c>
      <c r="CH281" s="1062">
        <f>'No Recurrentes 24-26'!DR140</f>
        <v>0</v>
      </c>
      <c r="CI281" s="1068"/>
      <c r="CJ281" s="1062">
        <f>'No Recurrentes 24-26'!DS140</f>
        <v>243.6</v>
      </c>
      <c r="CK281" s="1062">
        <f>'No Recurrentes 24-26'!DT140</f>
        <v>633.36</v>
      </c>
      <c r="CL281" s="1064" t="str">
        <f>'No Recurrentes 24-26'!DU140</f>
        <v/>
      </c>
      <c r="CM281" s="1064" t="str">
        <f>'No Recurrentes 24-26'!DV140</f>
        <v/>
      </c>
      <c r="CN281" s="1060">
        <f>'No Recurrentes 24-26'!EI139</f>
        <v>1</v>
      </c>
      <c r="CO281" s="1060" t="str">
        <f>'No Recurrentes 24-26'!EJ139</f>
        <v/>
      </c>
      <c r="CP281" s="1060" t="str">
        <f>'No Recurrentes 24-26'!EK139</f>
        <v/>
      </c>
    </row>
    <row r="282">
      <c r="A282" s="451" t="str">
        <f>'No Recurrentes 24-26'!A141</f>
        <v>Repuestos Electromecánicos no recurrentes</v>
      </c>
      <c r="B282" s="451">
        <f>'No Recurrentes 24-26'!B141</f>
        <v>2</v>
      </c>
      <c r="C282" s="451" t="str">
        <f>'No Recurrentes 24-26'!C141</f>
        <v>Estación</v>
      </c>
      <c r="D282" s="451" t="str">
        <f>'No Recurrentes 24-26'!D141</f>
        <v>Manto. Eléctrico</v>
      </c>
      <c r="E282" s="451" t="str">
        <f>'No Recurrentes 24-26'!E141</f>
        <v>Repuesto Eléctrico</v>
      </c>
      <c r="F282" s="451" t="str">
        <f>'No Recurrentes 24-26'!F141</f>
        <v>TDB</v>
      </c>
      <c r="G282" s="1061" t="str">
        <f>'No Recurrentes 24-26'!G141</f>
        <v>39700</v>
      </c>
      <c r="H282" s="1061" t="str">
        <f>'No Recurrentes 24-26'!H141</f>
        <v/>
      </c>
      <c r="I282" s="1061" t="str">
        <f>'No Recurrentes 24-26'!I141</f>
        <v>11320520</v>
      </c>
      <c r="J282" s="1061" t="str">
        <f>'No Recurrentes 24-26'!J141</f>
        <v>COMPONENTE RC 110-230V RC-K3N 230 (CA/CC) BENEDIKT&amp;JAEGER</v>
      </c>
      <c r="K282" s="451" t="str">
        <f>'No Recurrentes 24-26'!K141</f>
        <v>Pza</v>
      </c>
      <c r="L282" s="451" t="str">
        <f>'No Recurrentes 24-26'!BC141</f>
        <v/>
      </c>
      <c r="M282" s="451" t="str">
        <f>'No Recurrentes 24-26'!BD141</f>
        <v/>
      </c>
      <c r="N282" s="451" t="str">
        <f>'No Recurrentes 24-26'!BE141</f>
        <v/>
      </c>
      <c r="O282" s="451" t="str">
        <f>'No Recurrentes 24-26'!BF141</f>
        <v/>
      </c>
      <c r="P282" s="451" t="str">
        <f>'No Recurrentes 24-26'!BG141</f>
        <v/>
      </c>
      <c r="Q282" s="451" t="str">
        <f>'No Recurrentes 24-26'!BH141</f>
        <v/>
      </c>
      <c r="R282" s="451" t="str">
        <f>'No Recurrentes 24-26'!BI141</f>
        <v/>
      </c>
      <c r="S282" s="451" t="str">
        <f>'No Recurrentes 24-26'!BJ141</f>
        <v/>
      </c>
      <c r="T282" s="451" t="str">
        <f>'No Recurrentes 24-26'!BK141</f>
        <v/>
      </c>
      <c r="U282" s="451" t="str">
        <f>'No Recurrentes 24-26'!BL141</f>
        <v/>
      </c>
      <c r="V282" s="1068"/>
      <c r="W282" s="1062">
        <f>'No Recurrentes 24-26'!BM141</f>
        <v>0</v>
      </c>
      <c r="X282" s="1062" t="str">
        <f>'No Recurrentes 24-26'!BN141</f>
        <v/>
      </c>
      <c r="Y282" s="1062" t="str">
        <f>'No Recurrentes 24-26'!BO141</f>
        <v/>
      </c>
      <c r="Z282" s="1062" t="str">
        <f>'No Recurrentes 24-26'!BP141</f>
        <v/>
      </c>
      <c r="AA282" s="1062">
        <f>'No Recurrentes 24-26'!BQ141</f>
        <v>2</v>
      </c>
      <c r="AB282" s="1062" t="str">
        <f>'No Recurrentes 24-26'!BR141</f>
        <v/>
      </c>
      <c r="AC282" s="1062" t="str">
        <f>'No Recurrentes 24-26'!BS141</f>
        <v/>
      </c>
      <c r="AD282" s="1062" t="str">
        <f>'No Recurrentes 24-26'!BT141</f>
        <v/>
      </c>
      <c r="AE282" s="1062" t="str">
        <f>'No Recurrentes 24-26'!BU141</f>
        <v/>
      </c>
      <c r="AF282" s="1062" t="str">
        <f>'No Recurrentes 24-26'!BV141</f>
        <v/>
      </c>
      <c r="AG282" s="1062" t="str">
        <f>'No Recurrentes 24-26'!BW141</f>
        <v/>
      </c>
      <c r="AH282" s="1068"/>
      <c r="AI282" s="1062">
        <f>'No Recurrentes 24-26'!BX141</f>
        <v>2</v>
      </c>
      <c r="AJ282" s="1062">
        <f>'No Recurrentes 24-26'!BY141</f>
        <v>0</v>
      </c>
      <c r="AK282" s="1062">
        <f>'No Recurrentes 24-26'!BZ141</f>
        <v>0</v>
      </c>
      <c r="AL282" s="1062">
        <f>'No Recurrentes 24-26'!CA141</f>
        <v>0</v>
      </c>
      <c r="AM282" s="1062">
        <f>'No Recurrentes 24-26'!CB141</f>
        <v>0</v>
      </c>
      <c r="AN282" s="1062">
        <f>'No Recurrentes 24-26'!CC141</f>
        <v>0</v>
      </c>
      <c r="AO282" s="1062">
        <f>'No Recurrentes 24-26'!CD141</f>
        <v>0</v>
      </c>
      <c r="AP282" s="1062">
        <f>'No Recurrentes 24-26'!CE141</f>
        <v>0</v>
      </c>
      <c r="AQ282" s="1062">
        <f>'No Recurrentes 24-26'!CF141</f>
        <v>0</v>
      </c>
      <c r="AR282" s="1062">
        <f>'No Recurrentes 24-26'!CG141</f>
        <v>0</v>
      </c>
      <c r="AS282" s="1062">
        <f>'No Recurrentes 24-26'!CH141</f>
        <v>0</v>
      </c>
      <c r="AT282" s="1068"/>
      <c r="AU282" s="1062">
        <f>'No Recurrentes 24-26'!CI141</f>
        <v>0</v>
      </c>
      <c r="AV282" s="1063">
        <f>'No Recurrentes 24-26'!CJ141</f>
        <v>2</v>
      </c>
      <c r="AW282" s="1068"/>
      <c r="AX282" s="1065">
        <f>'No Recurrentes 24-26'!CK141</f>
        <v>11.88</v>
      </c>
      <c r="AY282" s="1062">
        <f>'No Recurrentes 24-26'!CL141</f>
        <v>82.6848</v>
      </c>
      <c r="AZ282" s="1068"/>
      <c r="BA282" s="1062">
        <f>'No Recurrentes 24-26'!CM141</f>
        <v>0</v>
      </c>
      <c r="BB282" s="1062">
        <f>'No Recurrentes 24-26'!CN141</f>
        <v>0</v>
      </c>
      <c r="BC282" s="1062">
        <f>'No Recurrentes 24-26'!CO141</f>
        <v>0</v>
      </c>
      <c r="BD282" s="1062">
        <f>'No Recurrentes 24-26'!CP141</f>
        <v>0</v>
      </c>
      <c r="BE282" s="1062">
        <f>'No Recurrentes 24-26'!CQ141</f>
        <v>0</v>
      </c>
      <c r="BF282" s="1062">
        <f>'No Recurrentes 24-26'!CR141</f>
        <v>0</v>
      </c>
      <c r="BG282" s="1062">
        <f>'No Recurrentes 24-26'!CS141</f>
        <v>0</v>
      </c>
      <c r="BH282" s="1062">
        <f>'No Recurrentes 24-26'!CT141</f>
        <v>0</v>
      </c>
      <c r="BI282" s="1062">
        <f>'No Recurrentes 24-26'!CU141</f>
        <v>0</v>
      </c>
      <c r="BJ282" s="1062">
        <f>'No Recurrentes 24-26'!CV141</f>
        <v>0</v>
      </c>
      <c r="BK282" s="1068"/>
      <c r="BL282" s="1062">
        <f>'No Recurrentes 24-26'!CW141</f>
        <v>0</v>
      </c>
      <c r="BM282" s="1062">
        <f>'No Recurrentes 24-26'!CX141</f>
        <v>0</v>
      </c>
      <c r="BN282" s="1062">
        <f>'No Recurrentes 24-26'!CY141</f>
        <v>0</v>
      </c>
      <c r="BO282" s="1062">
        <f>'No Recurrentes 24-26'!CZ141</f>
        <v>0</v>
      </c>
      <c r="BP282" s="1062">
        <f>'No Recurrentes 24-26'!DA141</f>
        <v>165.3696</v>
      </c>
      <c r="BQ282" s="1062">
        <f>'No Recurrentes 24-26'!DB141</f>
        <v>0</v>
      </c>
      <c r="BR282" s="1062">
        <f>'No Recurrentes 24-26'!DC141</f>
        <v>0</v>
      </c>
      <c r="BS282" s="1062">
        <f>'No Recurrentes 24-26'!DD141</f>
        <v>0</v>
      </c>
      <c r="BT282" s="1062">
        <f>'No Recurrentes 24-26'!DE141</f>
        <v>0</v>
      </c>
      <c r="BU282" s="1062">
        <f>'No Recurrentes 24-26'!DF141</f>
        <v>0</v>
      </c>
      <c r="BV282" s="1062">
        <f>'No Recurrentes 24-26'!DG141</f>
        <v>0</v>
      </c>
      <c r="BW282" s="1068"/>
      <c r="BX282" s="1062">
        <f>'No Recurrentes 24-26'!DH141</f>
        <v>165.3696</v>
      </c>
      <c r="BY282" s="1062">
        <f>'No Recurrentes 24-26'!DI141</f>
        <v>0</v>
      </c>
      <c r="BZ282" s="1062">
        <f>'No Recurrentes 24-26'!DJ141</f>
        <v>0</v>
      </c>
      <c r="CA282" s="1062">
        <f>'No Recurrentes 24-26'!DK141</f>
        <v>0</v>
      </c>
      <c r="CB282" s="1062">
        <f>'No Recurrentes 24-26'!DL141</f>
        <v>0</v>
      </c>
      <c r="CC282" s="1062">
        <f>'No Recurrentes 24-26'!DM141</f>
        <v>0</v>
      </c>
      <c r="CD282" s="1062">
        <f>'No Recurrentes 24-26'!DN141</f>
        <v>0</v>
      </c>
      <c r="CE282" s="1062">
        <f>'No Recurrentes 24-26'!DO141</f>
        <v>0</v>
      </c>
      <c r="CF282" s="1062">
        <f>'No Recurrentes 24-26'!DP141</f>
        <v>0</v>
      </c>
      <c r="CG282" s="1062">
        <f>'No Recurrentes 24-26'!DQ141</f>
        <v>0</v>
      </c>
      <c r="CH282" s="1062">
        <f>'No Recurrentes 24-26'!DR141</f>
        <v>0</v>
      </c>
      <c r="CI282" s="1068"/>
      <c r="CJ282" s="1062">
        <f>'No Recurrentes 24-26'!DS141</f>
        <v>0</v>
      </c>
      <c r="CK282" s="1062">
        <f>'No Recurrentes 24-26'!DT141</f>
        <v>165.3696</v>
      </c>
      <c r="CL282" s="1064" t="str">
        <f>'No Recurrentes 24-26'!DU141</f>
        <v/>
      </c>
      <c r="CM282" s="1064" t="str">
        <f>'No Recurrentes 24-26'!DV141</f>
        <v>UNIDAD - RC</v>
      </c>
      <c r="CN282" s="1065">
        <f>'No Recurrentes 24-26'!EI140</f>
        <v>7</v>
      </c>
      <c r="CO282" s="1065">
        <f>'No Recurrentes 24-26'!EJ140</f>
        <v>5.95</v>
      </c>
      <c r="CP282" s="1060" t="str">
        <f>'No Recurrentes 24-26'!EK140</f>
        <v/>
      </c>
    </row>
    <row r="283">
      <c r="A283" s="451" t="str">
        <f>'No Recurrentes 24-26'!A142</f>
        <v>Repuestos Electromecánicos no recurrentes</v>
      </c>
      <c r="B283" s="451">
        <f>'No Recurrentes 24-26'!B142</f>
        <v>2</v>
      </c>
      <c r="C283" s="451" t="str">
        <f>'No Recurrentes 24-26'!C142</f>
        <v>Estación</v>
      </c>
      <c r="D283" s="451" t="str">
        <f>'No Recurrentes 24-26'!D142</f>
        <v>Manto. Eléctrico</v>
      </c>
      <c r="E283" s="451" t="str">
        <f>'No Recurrentes 24-26'!E142</f>
        <v>Repuesto Eléctrico</v>
      </c>
      <c r="F283" s="451" t="str">
        <f>'No Recurrentes 24-26'!F142</f>
        <v>TDB</v>
      </c>
      <c r="G283" s="1061" t="str">
        <f>'No Recurrentes 24-26'!G142</f>
        <v>39700</v>
      </c>
      <c r="H283" s="1061" t="str">
        <f>'No Recurrentes 24-26'!H142</f>
        <v/>
      </c>
      <c r="I283" s="1061" t="str">
        <f>'No Recurrentes 24-26'!I142</f>
        <v>11884484</v>
      </c>
      <c r="J283" s="1061" t="str">
        <f>'No Recurrentes 24-26'!J142</f>
        <v>LÁMPARA LED ROJA 24V CA/CC P. CASQUILLO BA 9S N.°18602350</v>
      </c>
      <c r="K283" s="451" t="str">
        <f>'No Recurrentes 24-26'!K142</f>
        <v>Pza</v>
      </c>
      <c r="L283" s="451" t="str">
        <f>'No Recurrentes 24-26'!BC142</f>
        <v/>
      </c>
      <c r="M283" s="451" t="str">
        <f>'No Recurrentes 24-26'!BD142</f>
        <v/>
      </c>
      <c r="N283" s="451" t="str">
        <f>'No Recurrentes 24-26'!BE142</f>
        <v/>
      </c>
      <c r="O283" s="451" t="str">
        <f>'No Recurrentes 24-26'!BF142</f>
        <v/>
      </c>
      <c r="P283" s="451" t="str">
        <f>'No Recurrentes 24-26'!BG142</f>
        <v/>
      </c>
      <c r="Q283" s="451" t="str">
        <f>'No Recurrentes 24-26'!BH142</f>
        <v/>
      </c>
      <c r="R283" s="451" t="str">
        <f>'No Recurrentes 24-26'!BI142</f>
        <v/>
      </c>
      <c r="S283" s="451" t="str">
        <f>'No Recurrentes 24-26'!BJ142</f>
        <v/>
      </c>
      <c r="T283" s="451" t="str">
        <f>'No Recurrentes 24-26'!BK142</f>
        <v/>
      </c>
      <c r="U283" s="451" t="str">
        <f>'No Recurrentes 24-26'!BL142</f>
        <v/>
      </c>
      <c r="V283" s="1068"/>
      <c r="W283" s="1062">
        <f>'No Recurrentes 24-26'!BM142</f>
        <v>0</v>
      </c>
      <c r="X283" s="1062" t="str">
        <f>'No Recurrentes 24-26'!BN142</f>
        <v/>
      </c>
      <c r="Y283" s="1062" t="str">
        <f>'No Recurrentes 24-26'!BO142</f>
        <v/>
      </c>
      <c r="Z283" s="1062" t="str">
        <f>'No Recurrentes 24-26'!BP142</f>
        <v/>
      </c>
      <c r="AA283" s="1062">
        <f>'No Recurrentes 24-26'!BQ142</f>
        <v>2</v>
      </c>
      <c r="AB283" s="1062" t="str">
        <f>'No Recurrentes 24-26'!BR142</f>
        <v/>
      </c>
      <c r="AC283" s="1062" t="str">
        <f>'No Recurrentes 24-26'!BS142</f>
        <v/>
      </c>
      <c r="AD283" s="1062" t="str">
        <f>'No Recurrentes 24-26'!BT142</f>
        <v/>
      </c>
      <c r="AE283" s="1062" t="str">
        <f>'No Recurrentes 24-26'!BU142</f>
        <v/>
      </c>
      <c r="AF283" s="1062" t="str">
        <f>'No Recurrentes 24-26'!BV142</f>
        <v/>
      </c>
      <c r="AG283" s="1062" t="str">
        <f>'No Recurrentes 24-26'!BW142</f>
        <v/>
      </c>
      <c r="AH283" s="1068"/>
      <c r="AI283" s="1062">
        <f>'No Recurrentes 24-26'!BX142</f>
        <v>2</v>
      </c>
      <c r="AJ283" s="1062">
        <f>'No Recurrentes 24-26'!BY142</f>
        <v>0</v>
      </c>
      <c r="AK283" s="1062">
        <f>'No Recurrentes 24-26'!BZ142</f>
        <v>0</v>
      </c>
      <c r="AL283" s="1062">
        <f>'No Recurrentes 24-26'!CA142</f>
        <v>0</v>
      </c>
      <c r="AM283" s="1062">
        <f>'No Recurrentes 24-26'!CB142</f>
        <v>0</v>
      </c>
      <c r="AN283" s="1062">
        <f>'No Recurrentes 24-26'!CC142</f>
        <v>0</v>
      </c>
      <c r="AO283" s="1062">
        <f>'No Recurrentes 24-26'!CD142</f>
        <v>0</v>
      </c>
      <c r="AP283" s="1062">
        <f>'No Recurrentes 24-26'!CE142</f>
        <v>0</v>
      </c>
      <c r="AQ283" s="1062">
        <f>'No Recurrentes 24-26'!CF142</f>
        <v>0</v>
      </c>
      <c r="AR283" s="1062">
        <f>'No Recurrentes 24-26'!CG142</f>
        <v>0</v>
      </c>
      <c r="AS283" s="1062">
        <f>'No Recurrentes 24-26'!CH142</f>
        <v>0</v>
      </c>
      <c r="AT283" s="1068"/>
      <c r="AU283" s="1062">
        <f>'No Recurrentes 24-26'!CI142</f>
        <v>0</v>
      </c>
      <c r="AV283" s="1063">
        <f>'No Recurrentes 24-26'!CJ142</f>
        <v>2</v>
      </c>
      <c r="AW283" s="1068"/>
      <c r="AX283" s="1065">
        <f>'No Recurrentes 24-26'!CK142</f>
        <v>9.77</v>
      </c>
      <c r="AY283" s="1062">
        <f>'No Recurrentes 24-26'!CL142</f>
        <v>67.9992</v>
      </c>
      <c r="AZ283" s="1068"/>
      <c r="BA283" s="1062">
        <f>'No Recurrentes 24-26'!CM142</f>
        <v>0</v>
      </c>
      <c r="BB283" s="1062">
        <f>'No Recurrentes 24-26'!CN142</f>
        <v>0</v>
      </c>
      <c r="BC283" s="1062">
        <f>'No Recurrentes 24-26'!CO142</f>
        <v>0</v>
      </c>
      <c r="BD283" s="1062">
        <f>'No Recurrentes 24-26'!CP142</f>
        <v>0</v>
      </c>
      <c r="BE283" s="1062">
        <f>'No Recurrentes 24-26'!CQ142</f>
        <v>0</v>
      </c>
      <c r="BF283" s="1062">
        <f>'No Recurrentes 24-26'!CR142</f>
        <v>0</v>
      </c>
      <c r="BG283" s="1062">
        <f>'No Recurrentes 24-26'!CS142</f>
        <v>0</v>
      </c>
      <c r="BH283" s="1062">
        <f>'No Recurrentes 24-26'!CT142</f>
        <v>0</v>
      </c>
      <c r="BI283" s="1062">
        <f>'No Recurrentes 24-26'!CU142</f>
        <v>0</v>
      </c>
      <c r="BJ283" s="1062">
        <f>'No Recurrentes 24-26'!CV142</f>
        <v>0</v>
      </c>
      <c r="BK283" s="1068"/>
      <c r="BL283" s="1062">
        <f>'No Recurrentes 24-26'!CW142</f>
        <v>0</v>
      </c>
      <c r="BM283" s="1062">
        <f>'No Recurrentes 24-26'!CX142</f>
        <v>0</v>
      </c>
      <c r="BN283" s="1062">
        <f>'No Recurrentes 24-26'!CY142</f>
        <v>0</v>
      </c>
      <c r="BO283" s="1062">
        <f>'No Recurrentes 24-26'!CZ142</f>
        <v>0</v>
      </c>
      <c r="BP283" s="1062">
        <f>'No Recurrentes 24-26'!DA142</f>
        <v>135.9984</v>
      </c>
      <c r="BQ283" s="1062">
        <f>'No Recurrentes 24-26'!DB142</f>
        <v>0</v>
      </c>
      <c r="BR283" s="1062">
        <f>'No Recurrentes 24-26'!DC142</f>
        <v>0</v>
      </c>
      <c r="BS283" s="1062">
        <f>'No Recurrentes 24-26'!DD142</f>
        <v>0</v>
      </c>
      <c r="BT283" s="1062">
        <f>'No Recurrentes 24-26'!DE142</f>
        <v>0</v>
      </c>
      <c r="BU283" s="1062">
        <f>'No Recurrentes 24-26'!DF142</f>
        <v>0</v>
      </c>
      <c r="BV283" s="1062">
        <f>'No Recurrentes 24-26'!DG142</f>
        <v>0</v>
      </c>
      <c r="BW283" s="1068"/>
      <c r="BX283" s="1062">
        <f>'No Recurrentes 24-26'!DH142</f>
        <v>135.9984</v>
      </c>
      <c r="BY283" s="1062">
        <f>'No Recurrentes 24-26'!DI142</f>
        <v>0</v>
      </c>
      <c r="BZ283" s="1062">
        <f>'No Recurrentes 24-26'!DJ142</f>
        <v>0</v>
      </c>
      <c r="CA283" s="1062">
        <f>'No Recurrentes 24-26'!DK142</f>
        <v>0</v>
      </c>
      <c r="CB283" s="1062">
        <f>'No Recurrentes 24-26'!DL142</f>
        <v>0</v>
      </c>
      <c r="CC283" s="1062">
        <f>'No Recurrentes 24-26'!DM142</f>
        <v>0</v>
      </c>
      <c r="CD283" s="1062">
        <f>'No Recurrentes 24-26'!DN142</f>
        <v>0</v>
      </c>
      <c r="CE283" s="1062">
        <f>'No Recurrentes 24-26'!DO142</f>
        <v>0</v>
      </c>
      <c r="CF283" s="1062">
        <f>'No Recurrentes 24-26'!DP142</f>
        <v>0</v>
      </c>
      <c r="CG283" s="1062">
        <f>'No Recurrentes 24-26'!DQ142</f>
        <v>0</v>
      </c>
      <c r="CH283" s="1062">
        <f>'No Recurrentes 24-26'!DR142</f>
        <v>0</v>
      </c>
      <c r="CI283" s="1068"/>
      <c r="CJ283" s="1062">
        <f>'No Recurrentes 24-26'!DS142</f>
        <v>0</v>
      </c>
      <c r="CK283" s="1062">
        <f>'No Recurrentes 24-26'!DT142</f>
        <v>135.9984</v>
      </c>
      <c r="CL283" s="1064" t="str">
        <f>'No Recurrentes 24-26'!DU142</f>
        <v/>
      </c>
      <c r="CM283" s="1064" t="str">
        <f>'No Recurrentes 24-26'!DV142</f>
        <v>LAMPARA DE DIODO LUMINISCENTES</v>
      </c>
      <c r="CN283" s="1065">
        <f>'No Recurrentes 24-26'!EI141</f>
        <v>11.88</v>
      </c>
      <c r="CO283" s="1065">
        <f>'No Recurrentes 24-26'!EJ141</f>
        <v>10.1</v>
      </c>
      <c r="CP283" s="1060" t="str">
        <f>'No Recurrentes 24-26'!EK141</f>
        <v/>
      </c>
    </row>
    <row r="284">
      <c r="A284" s="451" t="str">
        <f>'No Recurrentes 24-26'!A143</f>
        <v>Repuestos Electromecánicos no recurrentes</v>
      </c>
      <c r="B284" s="451">
        <f>'No Recurrentes 24-26'!B143</f>
        <v>2</v>
      </c>
      <c r="C284" s="451" t="str">
        <f>'No Recurrentes 24-26'!C143</f>
        <v>Estación</v>
      </c>
      <c r="D284" s="451" t="str">
        <f>'No Recurrentes 24-26'!D143</f>
        <v>Manto. Eléctrico</v>
      </c>
      <c r="E284" s="451" t="str">
        <f>'No Recurrentes 24-26'!E143</f>
        <v>Repuesto Eléctrico</v>
      </c>
      <c r="F284" s="451" t="str">
        <f>'No Recurrentes 24-26'!F143</f>
        <v>TDB</v>
      </c>
      <c r="G284" s="1061" t="str">
        <f>'No Recurrentes 24-26'!G143</f>
        <v>39700</v>
      </c>
      <c r="H284" s="1061" t="str">
        <f>'No Recurrentes 24-26'!H143</f>
        <v/>
      </c>
      <c r="I284" s="1061" t="str">
        <f>'No Recurrentes 24-26'!I143</f>
        <v>10123834</v>
      </c>
      <c r="J284" s="1061" t="str">
        <f>'No Recurrentes 24-26'!J143</f>
        <v>PORTALÁMPARA     B3F   FRONTAL       BENEDIKT&amp;JAEGER</v>
      </c>
      <c r="K284" s="451" t="str">
        <f>'No Recurrentes 24-26'!K143</f>
        <v>Pza</v>
      </c>
      <c r="L284" s="451" t="str">
        <f>'No Recurrentes 24-26'!BC143</f>
        <v/>
      </c>
      <c r="M284" s="451" t="str">
        <f>'No Recurrentes 24-26'!BD143</f>
        <v/>
      </c>
      <c r="N284" s="451" t="str">
        <f>'No Recurrentes 24-26'!BE143</f>
        <v/>
      </c>
      <c r="O284" s="451" t="str">
        <f>'No Recurrentes 24-26'!BF143</f>
        <v/>
      </c>
      <c r="P284" s="451" t="str">
        <f>'No Recurrentes 24-26'!BG143</f>
        <v/>
      </c>
      <c r="Q284" s="451" t="str">
        <f>'No Recurrentes 24-26'!BH143</f>
        <v/>
      </c>
      <c r="R284" s="451" t="str">
        <f>'No Recurrentes 24-26'!BI143</f>
        <v/>
      </c>
      <c r="S284" s="451" t="str">
        <f>'No Recurrentes 24-26'!BJ143</f>
        <v/>
      </c>
      <c r="T284" s="451" t="str">
        <f>'No Recurrentes 24-26'!BK143</f>
        <v/>
      </c>
      <c r="U284" s="451" t="str">
        <f>'No Recurrentes 24-26'!BL143</f>
        <v/>
      </c>
      <c r="V284" s="1068"/>
      <c r="W284" s="1062">
        <f>'No Recurrentes 24-26'!BM143</f>
        <v>0</v>
      </c>
      <c r="X284" s="1062" t="str">
        <f>'No Recurrentes 24-26'!BN143</f>
        <v/>
      </c>
      <c r="Y284" s="1062" t="str">
        <f>'No Recurrentes 24-26'!BO143</f>
        <v/>
      </c>
      <c r="Z284" s="1062" t="str">
        <f>'No Recurrentes 24-26'!BP143</f>
        <v/>
      </c>
      <c r="AA284" s="1062">
        <f>'No Recurrentes 24-26'!BQ143</f>
        <v>1</v>
      </c>
      <c r="AB284" s="1062" t="str">
        <f>'No Recurrentes 24-26'!BR143</f>
        <v/>
      </c>
      <c r="AC284" s="1062" t="str">
        <f>'No Recurrentes 24-26'!BS143</f>
        <v/>
      </c>
      <c r="AD284" s="1062" t="str">
        <f>'No Recurrentes 24-26'!BT143</f>
        <v/>
      </c>
      <c r="AE284" s="1062" t="str">
        <f>'No Recurrentes 24-26'!BU143</f>
        <v/>
      </c>
      <c r="AF284" s="1062" t="str">
        <f>'No Recurrentes 24-26'!BV143</f>
        <v/>
      </c>
      <c r="AG284" s="1062" t="str">
        <f>'No Recurrentes 24-26'!BW143</f>
        <v/>
      </c>
      <c r="AH284" s="1068"/>
      <c r="AI284" s="1062">
        <f>'No Recurrentes 24-26'!BX143</f>
        <v>1</v>
      </c>
      <c r="AJ284" s="1062">
        <f>'No Recurrentes 24-26'!BY143</f>
        <v>0</v>
      </c>
      <c r="AK284" s="1062">
        <f>'No Recurrentes 24-26'!BZ143</f>
        <v>0</v>
      </c>
      <c r="AL284" s="1062">
        <f>'No Recurrentes 24-26'!CA143</f>
        <v>0</v>
      </c>
      <c r="AM284" s="1062">
        <f>'No Recurrentes 24-26'!CB143</f>
        <v>1</v>
      </c>
      <c r="AN284" s="1062">
        <f>'No Recurrentes 24-26'!CC143</f>
        <v>0</v>
      </c>
      <c r="AO284" s="1062">
        <f>'No Recurrentes 24-26'!CD143</f>
        <v>0</v>
      </c>
      <c r="AP284" s="1062">
        <f>'No Recurrentes 24-26'!CE143</f>
        <v>0</v>
      </c>
      <c r="AQ284" s="1062">
        <f>'No Recurrentes 24-26'!CF143</f>
        <v>0</v>
      </c>
      <c r="AR284" s="1062">
        <f>'No Recurrentes 24-26'!CG143</f>
        <v>0</v>
      </c>
      <c r="AS284" s="1062">
        <f>'No Recurrentes 24-26'!CH143</f>
        <v>0</v>
      </c>
      <c r="AT284" s="1068"/>
      <c r="AU284" s="1062">
        <f>'No Recurrentes 24-26'!CI143</f>
        <v>1</v>
      </c>
      <c r="AV284" s="1063">
        <f>'No Recurrentes 24-26'!CJ143</f>
        <v>2</v>
      </c>
      <c r="AW284" s="1068"/>
      <c r="AX284" s="1065">
        <f>'No Recurrentes 24-26'!CK143</f>
        <v>8.58</v>
      </c>
      <c r="AY284" s="1062">
        <f>'No Recurrentes 24-26'!CL143</f>
        <v>59.7168</v>
      </c>
      <c r="AZ284" s="1068"/>
      <c r="BA284" s="1062">
        <f>'No Recurrentes 24-26'!CM143</f>
        <v>0</v>
      </c>
      <c r="BB284" s="1062">
        <f>'No Recurrentes 24-26'!CN143</f>
        <v>0</v>
      </c>
      <c r="BC284" s="1062">
        <f>'No Recurrentes 24-26'!CO143</f>
        <v>0</v>
      </c>
      <c r="BD284" s="1062">
        <f>'No Recurrentes 24-26'!CP143</f>
        <v>0</v>
      </c>
      <c r="BE284" s="1062">
        <f>'No Recurrentes 24-26'!CQ143</f>
        <v>0</v>
      </c>
      <c r="BF284" s="1062">
        <f>'No Recurrentes 24-26'!CR143</f>
        <v>0</v>
      </c>
      <c r="BG284" s="1062">
        <f>'No Recurrentes 24-26'!CS143</f>
        <v>0</v>
      </c>
      <c r="BH284" s="1062">
        <f>'No Recurrentes 24-26'!CT143</f>
        <v>0</v>
      </c>
      <c r="BI284" s="1062">
        <f>'No Recurrentes 24-26'!CU143</f>
        <v>0</v>
      </c>
      <c r="BJ284" s="1062">
        <f>'No Recurrentes 24-26'!CV143</f>
        <v>0</v>
      </c>
      <c r="BK284" s="1068"/>
      <c r="BL284" s="1062">
        <f>'No Recurrentes 24-26'!CW143</f>
        <v>0</v>
      </c>
      <c r="BM284" s="1062">
        <f>'No Recurrentes 24-26'!CX143</f>
        <v>0</v>
      </c>
      <c r="BN284" s="1062">
        <f>'No Recurrentes 24-26'!CY143</f>
        <v>0</v>
      </c>
      <c r="BO284" s="1062">
        <f>'No Recurrentes 24-26'!CZ143</f>
        <v>0</v>
      </c>
      <c r="BP284" s="1062">
        <f>'No Recurrentes 24-26'!DA143</f>
        <v>59.7168</v>
      </c>
      <c r="BQ284" s="1062">
        <f>'No Recurrentes 24-26'!DB143</f>
        <v>0</v>
      </c>
      <c r="BR284" s="1062">
        <f>'No Recurrentes 24-26'!DC143</f>
        <v>0</v>
      </c>
      <c r="BS284" s="1062">
        <f>'No Recurrentes 24-26'!DD143</f>
        <v>0</v>
      </c>
      <c r="BT284" s="1062">
        <f>'No Recurrentes 24-26'!DE143</f>
        <v>0</v>
      </c>
      <c r="BU284" s="1062">
        <f>'No Recurrentes 24-26'!DF143</f>
        <v>0</v>
      </c>
      <c r="BV284" s="1062">
        <f>'No Recurrentes 24-26'!DG143</f>
        <v>0</v>
      </c>
      <c r="BW284" s="1068"/>
      <c r="BX284" s="1062">
        <f>'No Recurrentes 24-26'!DH143</f>
        <v>59.7168</v>
      </c>
      <c r="BY284" s="1062">
        <f>'No Recurrentes 24-26'!DI143</f>
        <v>0</v>
      </c>
      <c r="BZ284" s="1062">
        <f>'No Recurrentes 24-26'!DJ143</f>
        <v>0</v>
      </c>
      <c r="CA284" s="1062">
        <f>'No Recurrentes 24-26'!DK143</f>
        <v>0</v>
      </c>
      <c r="CB284" s="1062">
        <f>'No Recurrentes 24-26'!DL143</f>
        <v>59.7168</v>
      </c>
      <c r="CC284" s="1062">
        <f>'No Recurrentes 24-26'!DM143</f>
        <v>0</v>
      </c>
      <c r="CD284" s="1062">
        <f>'No Recurrentes 24-26'!DN143</f>
        <v>0</v>
      </c>
      <c r="CE284" s="1062">
        <f>'No Recurrentes 24-26'!DO143</f>
        <v>0</v>
      </c>
      <c r="CF284" s="1062">
        <f>'No Recurrentes 24-26'!DP143</f>
        <v>0</v>
      </c>
      <c r="CG284" s="1062">
        <f>'No Recurrentes 24-26'!DQ143</f>
        <v>0</v>
      </c>
      <c r="CH284" s="1062">
        <f>'No Recurrentes 24-26'!DR143</f>
        <v>0</v>
      </c>
      <c r="CI284" s="1068"/>
      <c r="CJ284" s="1062">
        <f>'No Recurrentes 24-26'!DS143</f>
        <v>59.7168</v>
      </c>
      <c r="CK284" s="1062">
        <f>'No Recurrentes 24-26'!DT143</f>
        <v>119.4336</v>
      </c>
      <c r="CL284" s="1064" t="str">
        <f>'No Recurrentes 24-26'!DU143</f>
        <v/>
      </c>
      <c r="CM284" s="1064" t="str">
        <f>'No Recurrentes 24-26'!DV143</f>
        <v/>
      </c>
      <c r="CN284" s="1065">
        <f>'No Recurrentes 24-26'!EI142</f>
        <v>9.77</v>
      </c>
      <c r="CO284" s="1065">
        <f>'No Recurrentes 24-26'!EJ142</f>
        <v>8.3</v>
      </c>
      <c r="CP284" s="1060" t="str">
        <f>'No Recurrentes 24-26'!EK142</f>
        <v/>
      </c>
    </row>
    <row r="285">
      <c r="A285" s="451" t="str">
        <f>'No Recurrentes 24-26'!A144</f>
        <v>Repuestos Electromecánicos no recurrentes</v>
      </c>
      <c r="B285" s="451">
        <f>'No Recurrentes 24-26'!B144</f>
        <v>2</v>
      </c>
      <c r="C285" s="451" t="str">
        <f>'No Recurrentes 24-26'!C144</f>
        <v>Estación</v>
      </c>
      <c r="D285" s="451" t="str">
        <f>'No Recurrentes 24-26'!D144</f>
        <v>Manto. Eléctrico</v>
      </c>
      <c r="E285" s="451" t="str">
        <f>'No Recurrentes 24-26'!E144</f>
        <v>Repuesto Eléctrico</v>
      </c>
      <c r="F285" s="451" t="str">
        <f>'No Recurrentes 24-26'!F144</f>
        <v>TDB</v>
      </c>
      <c r="G285" s="1061" t="str">
        <f>'No Recurrentes 24-26'!G144</f>
        <v>39700</v>
      </c>
      <c r="H285" s="1061" t="str">
        <f>'No Recurrentes 24-26'!H144</f>
        <v>2-02-00100</v>
      </c>
      <c r="I285" s="1061" t="str">
        <f>'No Recurrentes 24-26'!I144</f>
        <v>10124175</v>
      </c>
      <c r="J285" s="1061" t="str">
        <f>'No Recurrentes 24-26'!J144</f>
        <v>BLOQUE DE CONTACTO 1S  B3T10 INSTAL.FRONTAL BENEDIKT&amp;JAEGER</v>
      </c>
      <c r="K285" s="451" t="str">
        <f>'No Recurrentes 24-26'!K144</f>
        <v>Pza</v>
      </c>
      <c r="L285" s="451" t="str">
        <f>'No Recurrentes 24-26'!BC144</f>
        <v/>
      </c>
      <c r="M285" s="451" t="str">
        <f>'No Recurrentes 24-26'!BD144</f>
        <v/>
      </c>
      <c r="N285" s="451" t="str">
        <f>'No Recurrentes 24-26'!BE144</f>
        <v/>
      </c>
      <c r="O285" s="451" t="str">
        <f>'No Recurrentes 24-26'!BF144</f>
        <v/>
      </c>
      <c r="P285" s="451" t="str">
        <f>'No Recurrentes 24-26'!BG144</f>
        <v/>
      </c>
      <c r="Q285" s="451" t="str">
        <f>'No Recurrentes 24-26'!BH144</f>
        <v/>
      </c>
      <c r="R285" s="451" t="str">
        <f>'No Recurrentes 24-26'!BI144</f>
        <v/>
      </c>
      <c r="S285" s="451" t="str">
        <f>'No Recurrentes 24-26'!BJ144</f>
        <v/>
      </c>
      <c r="T285" s="451" t="str">
        <f>'No Recurrentes 24-26'!BK144</f>
        <v/>
      </c>
      <c r="U285" s="451" t="str">
        <f>'No Recurrentes 24-26'!BL144</f>
        <v/>
      </c>
      <c r="V285" s="1068"/>
      <c r="W285" s="1062">
        <f>'No Recurrentes 24-26'!BM144</f>
        <v>0</v>
      </c>
      <c r="X285" s="1062" t="str">
        <f>'No Recurrentes 24-26'!BN144</f>
        <v/>
      </c>
      <c r="Y285" s="1062" t="str">
        <f>'No Recurrentes 24-26'!BO144</f>
        <v/>
      </c>
      <c r="Z285" s="1062" t="str">
        <f>'No Recurrentes 24-26'!BP144</f>
        <v/>
      </c>
      <c r="AA285" s="1062">
        <f>'No Recurrentes 24-26'!BQ144</f>
        <v>1</v>
      </c>
      <c r="AB285" s="1062" t="str">
        <f>'No Recurrentes 24-26'!BR144</f>
        <v/>
      </c>
      <c r="AC285" s="1062" t="str">
        <f>'No Recurrentes 24-26'!BS144</f>
        <v/>
      </c>
      <c r="AD285" s="1062" t="str">
        <f>'No Recurrentes 24-26'!BT144</f>
        <v/>
      </c>
      <c r="AE285" s="1062" t="str">
        <f>'No Recurrentes 24-26'!BU144</f>
        <v/>
      </c>
      <c r="AF285" s="1062" t="str">
        <f>'No Recurrentes 24-26'!BV144</f>
        <v/>
      </c>
      <c r="AG285" s="1062" t="str">
        <f>'No Recurrentes 24-26'!BW144</f>
        <v/>
      </c>
      <c r="AH285" s="1068"/>
      <c r="AI285" s="1062">
        <f>'No Recurrentes 24-26'!BX144</f>
        <v>1</v>
      </c>
      <c r="AJ285" s="1062">
        <f>'No Recurrentes 24-26'!BY144</f>
        <v>0</v>
      </c>
      <c r="AK285" s="1062">
        <f>'No Recurrentes 24-26'!BZ144</f>
        <v>0</v>
      </c>
      <c r="AL285" s="1062">
        <f>'No Recurrentes 24-26'!CA144</f>
        <v>0</v>
      </c>
      <c r="AM285" s="1062">
        <f>'No Recurrentes 24-26'!CB144</f>
        <v>1</v>
      </c>
      <c r="AN285" s="1062">
        <f>'No Recurrentes 24-26'!CC144</f>
        <v>0</v>
      </c>
      <c r="AO285" s="1062">
        <f>'No Recurrentes 24-26'!CD144</f>
        <v>0</v>
      </c>
      <c r="AP285" s="1062">
        <f>'No Recurrentes 24-26'!CE144</f>
        <v>0</v>
      </c>
      <c r="AQ285" s="1062">
        <f>'No Recurrentes 24-26'!CF144</f>
        <v>0</v>
      </c>
      <c r="AR285" s="1062">
        <f>'No Recurrentes 24-26'!CG144</f>
        <v>0</v>
      </c>
      <c r="AS285" s="1062">
        <f>'No Recurrentes 24-26'!CH144</f>
        <v>0</v>
      </c>
      <c r="AT285" s="1068"/>
      <c r="AU285" s="1062">
        <f>'No Recurrentes 24-26'!CI144</f>
        <v>1</v>
      </c>
      <c r="AV285" s="1063">
        <f>'No Recurrentes 24-26'!CJ144</f>
        <v>2</v>
      </c>
      <c r="AW285" s="1068"/>
      <c r="AX285" s="1065">
        <f>'No Recurrentes 24-26'!CK144</f>
        <v>8.08</v>
      </c>
      <c r="AY285" s="1062">
        <f>'No Recurrentes 24-26'!CL144</f>
        <v>56.2368</v>
      </c>
      <c r="AZ285" s="1068"/>
      <c r="BA285" s="1062">
        <f>'No Recurrentes 24-26'!CM144</f>
        <v>0</v>
      </c>
      <c r="BB285" s="1062">
        <f>'No Recurrentes 24-26'!CN144</f>
        <v>0</v>
      </c>
      <c r="BC285" s="1062">
        <f>'No Recurrentes 24-26'!CO144</f>
        <v>0</v>
      </c>
      <c r="BD285" s="1062">
        <f>'No Recurrentes 24-26'!CP144</f>
        <v>0</v>
      </c>
      <c r="BE285" s="1062">
        <f>'No Recurrentes 24-26'!CQ144</f>
        <v>0</v>
      </c>
      <c r="BF285" s="1062">
        <f>'No Recurrentes 24-26'!CR144</f>
        <v>0</v>
      </c>
      <c r="BG285" s="1062">
        <f>'No Recurrentes 24-26'!CS144</f>
        <v>0</v>
      </c>
      <c r="BH285" s="1062">
        <f>'No Recurrentes 24-26'!CT144</f>
        <v>0</v>
      </c>
      <c r="BI285" s="1062">
        <f>'No Recurrentes 24-26'!CU144</f>
        <v>0</v>
      </c>
      <c r="BJ285" s="1062">
        <f>'No Recurrentes 24-26'!CV144</f>
        <v>0</v>
      </c>
      <c r="BK285" s="1068"/>
      <c r="BL285" s="1062">
        <f>'No Recurrentes 24-26'!CW144</f>
        <v>0</v>
      </c>
      <c r="BM285" s="1062">
        <f>'No Recurrentes 24-26'!CX144</f>
        <v>0</v>
      </c>
      <c r="BN285" s="1062">
        <f>'No Recurrentes 24-26'!CY144</f>
        <v>0</v>
      </c>
      <c r="BO285" s="1062">
        <f>'No Recurrentes 24-26'!CZ144</f>
        <v>0</v>
      </c>
      <c r="BP285" s="1062">
        <f>'No Recurrentes 24-26'!DA144</f>
        <v>56.2368</v>
      </c>
      <c r="BQ285" s="1062">
        <f>'No Recurrentes 24-26'!DB144</f>
        <v>0</v>
      </c>
      <c r="BR285" s="1062">
        <f>'No Recurrentes 24-26'!DC144</f>
        <v>0</v>
      </c>
      <c r="BS285" s="1062">
        <f>'No Recurrentes 24-26'!DD144</f>
        <v>0</v>
      </c>
      <c r="BT285" s="1062">
        <f>'No Recurrentes 24-26'!DE144</f>
        <v>0</v>
      </c>
      <c r="BU285" s="1062">
        <f>'No Recurrentes 24-26'!DF144</f>
        <v>0</v>
      </c>
      <c r="BV285" s="1062">
        <f>'No Recurrentes 24-26'!DG144</f>
        <v>0</v>
      </c>
      <c r="BW285" s="1068"/>
      <c r="BX285" s="1062">
        <f>'No Recurrentes 24-26'!DH144</f>
        <v>56.2368</v>
      </c>
      <c r="BY285" s="1062">
        <f>'No Recurrentes 24-26'!DI144</f>
        <v>0</v>
      </c>
      <c r="BZ285" s="1062">
        <f>'No Recurrentes 24-26'!DJ144</f>
        <v>0</v>
      </c>
      <c r="CA285" s="1062">
        <f>'No Recurrentes 24-26'!DK144</f>
        <v>0</v>
      </c>
      <c r="CB285" s="1062">
        <f>'No Recurrentes 24-26'!DL144</f>
        <v>56.2368</v>
      </c>
      <c r="CC285" s="1062">
        <f>'No Recurrentes 24-26'!DM144</f>
        <v>0</v>
      </c>
      <c r="CD285" s="1062">
        <f>'No Recurrentes 24-26'!DN144</f>
        <v>0</v>
      </c>
      <c r="CE285" s="1062">
        <f>'No Recurrentes 24-26'!DO144</f>
        <v>0</v>
      </c>
      <c r="CF285" s="1062">
        <f>'No Recurrentes 24-26'!DP144</f>
        <v>0</v>
      </c>
      <c r="CG285" s="1062">
        <f>'No Recurrentes 24-26'!DQ144</f>
        <v>0</v>
      </c>
      <c r="CH285" s="1062">
        <f>'No Recurrentes 24-26'!DR144</f>
        <v>0</v>
      </c>
      <c r="CI285" s="1068"/>
      <c r="CJ285" s="1062">
        <f>'No Recurrentes 24-26'!DS144</f>
        <v>56.2368</v>
      </c>
      <c r="CK285" s="1062">
        <f>'No Recurrentes 24-26'!DT144</f>
        <v>112.4736</v>
      </c>
      <c r="CL285" s="1064" t="str">
        <f>'No Recurrentes 24-26'!DU144</f>
        <v/>
      </c>
      <c r="CM285" s="1064" t="str">
        <f>'No Recurrentes 24-26'!DV144</f>
        <v/>
      </c>
      <c r="CN285" s="1065">
        <f>'No Recurrentes 24-26'!EI143</f>
        <v>8.58</v>
      </c>
      <c r="CO285" s="1065">
        <f>'No Recurrentes 24-26'!EJ143</f>
        <v>7.29</v>
      </c>
      <c r="CP285" s="1060" t="str">
        <f>'No Recurrentes 24-26'!EK143</f>
        <v/>
      </c>
    </row>
    <row r="286">
      <c r="A286" s="451" t="str">
        <f>'No Recurrentes 24-26'!A145</f>
        <v>Repuestos Electromecánicos no recurrentes</v>
      </c>
      <c r="B286" s="451">
        <f>'No Recurrentes 24-26'!B145</f>
        <v>2</v>
      </c>
      <c r="C286" s="451" t="str">
        <f>'No Recurrentes 24-26'!C145</f>
        <v>Estación</v>
      </c>
      <c r="D286" s="451" t="str">
        <f>'No Recurrentes 24-26'!D145</f>
        <v>Manto. Eléctrico</v>
      </c>
      <c r="E286" s="451" t="str">
        <f>'No Recurrentes 24-26'!E145</f>
        <v>Repuesto Eléctrico</v>
      </c>
      <c r="F286" s="451" t="str">
        <f>'No Recurrentes 24-26'!F145</f>
        <v>TDB</v>
      </c>
      <c r="G286" s="1061" t="str">
        <f>'No Recurrentes 24-26'!G145</f>
        <v>39700</v>
      </c>
      <c r="H286" s="1061" t="str">
        <f>'No Recurrentes 24-26'!H145</f>
        <v>2-02-00099</v>
      </c>
      <c r="I286" s="1061" t="str">
        <f>'No Recurrentes 24-26'!I145</f>
        <v>10109100</v>
      </c>
      <c r="J286" s="1061" t="str">
        <f>'No Recurrentes 24-26'!J145</f>
        <v>PIEZA DE ACOPLAM. P. BOTÓN B3M      BENEDIKT&amp;JAEGER</v>
      </c>
      <c r="K286" s="451" t="str">
        <f>'No Recurrentes 24-26'!K145</f>
        <v>Pza</v>
      </c>
      <c r="L286" s="451" t="str">
        <f>'No Recurrentes 24-26'!BC145</f>
        <v/>
      </c>
      <c r="M286" s="451" t="str">
        <f>'No Recurrentes 24-26'!BD145</f>
        <v/>
      </c>
      <c r="N286" s="451" t="str">
        <f>'No Recurrentes 24-26'!BE145</f>
        <v/>
      </c>
      <c r="O286" s="451" t="str">
        <f>'No Recurrentes 24-26'!BF145</f>
        <v/>
      </c>
      <c r="P286" s="451" t="str">
        <f>'No Recurrentes 24-26'!BG145</f>
        <v/>
      </c>
      <c r="Q286" s="451" t="str">
        <f>'No Recurrentes 24-26'!BH145</f>
        <v/>
      </c>
      <c r="R286" s="451" t="str">
        <f>'No Recurrentes 24-26'!BI145</f>
        <v/>
      </c>
      <c r="S286" s="451" t="str">
        <f>'No Recurrentes 24-26'!BJ145</f>
        <v/>
      </c>
      <c r="T286" s="451" t="str">
        <f>'No Recurrentes 24-26'!BK145</f>
        <v/>
      </c>
      <c r="U286" s="451" t="str">
        <f>'No Recurrentes 24-26'!BL145</f>
        <v/>
      </c>
      <c r="V286" s="1068"/>
      <c r="W286" s="1062">
        <f>'No Recurrentes 24-26'!BM145</f>
        <v>0</v>
      </c>
      <c r="X286" s="1062" t="str">
        <f>'No Recurrentes 24-26'!BN145</f>
        <v/>
      </c>
      <c r="Y286" s="1062" t="str">
        <f>'No Recurrentes 24-26'!BO145</f>
        <v/>
      </c>
      <c r="Z286" s="1062" t="str">
        <f>'No Recurrentes 24-26'!BP145</f>
        <v/>
      </c>
      <c r="AA286" s="1062">
        <f>'No Recurrentes 24-26'!BQ145</f>
        <v>1</v>
      </c>
      <c r="AB286" s="1062">
        <f>'No Recurrentes 24-26'!BR145</f>
        <v>1</v>
      </c>
      <c r="AC286" s="1062">
        <f>'No Recurrentes 24-26'!BS145</f>
        <v>1</v>
      </c>
      <c r="AD286" s="1062" t="str">
        <f>'No Recurrentes 24-26'!BT145</f>
        <v/>
      </c>
      <c r="AE286" s="1062" t="str">
        <f>'No Recurrentes 24-26'!BU145</f>
        <v/>
      </c>
      <c r="AF286" s="1062" t="str">
        <f>'No Recurrentes 24-26'!BV145</f>
        <v/>
      </c>
      <c r="AG286" s="1062" t="str">
        <f>'No Recurrentes 24-26'!BW145</f>
        <v/>
      </c>
      <c r="AH286" s="1068"/>
      <c r="AI286" s="1062">
        <f>'No Recurrentes 24-26'!BX145</f>
        <v>3</v>
      </c>
      <c r="AJ286" s="1062">
        <f>'No Recurrentes 24-26'!BY145</f>
        <v>0</v>
      </c>
      <c r="AK286" s="1062">
        <f>'No Recurrentes 24-26'!BZ145</f>
        <v>0</v>
      </c>
      <c r="AL286" s="1062">
        <f>'No Recurrentes 24-26'!CA145</f>
        <v>0</v>
      </c>
      <c r="AM286" s="1062">
        <f>'No Recurrentes 24-26'!CB145</f>
        <v>0</v>
      </c>
      <c r="AN286" s="1062">
        <f>'No Recurrentes 24-26'!CC145</f>
        <v>0</v>
      </c>
      <c r="AO286" s="1062">
        <f>'No Recurrentes 24-26'!CD145</f>
        <v>0</v>
      </c>
      <c r="AP286" s="1062">
        <f>'No Recurrentes 24-26'!CE145</f>
        <v>0</v>
      </c>
      <c r="AQ286" s="1062">
        <f>'No Recurrentes 24-26'!CF145</f>
        <v>0</v>
      </c>
      <c r="AR286" s="1062">
        <f>'No Recurrentes 24-26'!CG145</f>
        <v>0</v>
      </c>
      <c r="AS286" s="1062">
        <f>'No Recurrentes 24-26'!CH145</f>
        <v>0</v>
      </c>
      <c r="AT286" s="1068"/>
      <c r="AU286" s="1062">
        <f>'No Recurrentes 24-26'!CI145</f>
        <v>0</v>
      </c>
      <c r="AV286" s="1063">
        <f>'No Recurrentes 24-26'!CJ145</f>
        <v>3</v>
      </c>
      <c r="AW286" s="1068"/>
      <c r="AX286" s="1065">
        <f>'No Recurrentes 24-26'!CK145</f>
        <v>1.96</v>
      </c>
      <c r="AY286" s="1062">
        <f>'No Recurrentes 24-26'!CL145</f>
        <v>13.6416</v>
      </c>
      <c r="AZ286" s="1068"/>
      <c r="BA286" s="1062">
        <f>'No Recurrentes 24-26'!CM145</f>
        <v>0</v>
      </c>
      <c r="BB286" s="1062">
        <f>'No Recurrentes 24-26'!CN145</f>
        <v>0</v>
      </c>
      <c r="BC286" s="1062">
        <f>'No Recurrentes 24-26'!CO145</f>
        <v>0</v>
      </c>
      <c r="BD286" s="1062">
        <f>'No Recurrentes 24-26'!CP145</f>
        <v>0</v>
      </c>
      <c r="BE286" s="1062">
        <f>'No Recurrentes 24-26'!CQ145</f>
        <v>0</v>
      </c>
      <c r="BF286" s="1062">
        <f>'No Recurrentes 24-26'!CR145</f>
        <v>0</v>
      </c>
      <c r="BG286" s="1062">
        <f>'No Recurrentes 24-26'!CS145</f>
        <v>0</v>
      </c>
      <c r="BH286" s="1062">
        <f>'No Recurrentes 24-26'!CT145</f>
        <v>0</v>
      </c>
      <c r="BI286" s="1062">
        <f>'No Recurrentes 24-26'!CU145</f>
        <v>0</v>
      </c>
      <c r="BJ286" s="1062">
        <f>'No Recurrentes 24-26'!CV145</f>
        <v>0</v>
      </c>
      <c r="BK286" s="1068"/>
      <c r="BL286" s="1062">
        <f>'No Recurrentes 24-26'!CW145</f>
        <v>0</v>
      </c>
      <c r="BM286" s="1062">
        <f>'No Recurrentes 24-26'!CX145</f>
        <v>0</v>
      </c>
      <c r="BN286" s="1062">
        <f>'No Recurrentes 24-26'!CY145</f>
        <v>0</v>
      </c>
      <c r="BO286" s="1062">
        <f>'No Recurrentes 24-26'!CZ145</f>
        <v>0</v>
      </c>
      <c r="BP286" s="1062">
        <f>'No Recurrentes 24-26'!DA145</f>
        <v>13.6416</v>
      </c>
      <c r="BQ286" s="1062">
        <f>'No Recurrentes 24-26'!DB145</f>
        <v>13.6416</v>
      </c>
      <c r="BR286" s="1062">
        <f>'No Recurrentes 24-26'!DC145</f>
        <v>13.6416</v>
      </c>
      <c r="BS286" s="1062">
        <f>'No Recurrentes 24-26'!DD145</f>
        <v>0</v>
      </c>
      <c r="BT286" s="1062">
        <f>'No Recurrentes 24-26'!DE145</f>
        <v>0</v>
      </c>
      <c r="BU286" s="1062">
        <f>'No Recurrentes 24-26'!DF145</f>
        <v>0</v>
      </c>
      <c r="BV286" s="1062">
        <f>'No Recurrentes 24-26'!DG145</f>
        <v>0</v>
      </c>
      <c r="BW286" s="1068"/>
      <c r="BX286" s="1062">
        <f>'No Recurrentes 24-26'!DH145</f>
        <v>40.9248</v>
      </c>
      <c r="BY286" s="1062">
        <f>'No Recurrentes 24-26'!DI145</f>
        <v>0</v>
      </c>
      <c r="BZ286" s="1062">
        <f>'No Recurrentes 24-26'!DJ145</f>
        <v>0</v>
      </c>
      <c r="CA286" s="1062">
        <f>'No Recurrentes 24-26'!DK145</f>
        <v>0</v>
      </c>
      <c r="CB286" s="1062">
        <f>'No Recurrentes 24-26'!DL145</f>
        <v>0</v>
      </c>
      <c r="CC286" s="1062">
        <f>'No Recurrentes 24-26'!DM145</f>
        <v>0</v>
      </c>
      <c r="CD286" s="1062">
        <f>'No Recurrentes 24-26'!DN145</f>
        <v>0</v>
      </c>
      <c r="CE286" s="1062">
        <f>'No Recurrentes 24-26'!DO145</f>
        <v>0</v>
      </c>
      <c r="CF286" s="1062">
        <f>'No Recurrentes 24-26'!DP145</f>
        <v>0</v>
      </c>
      <c r="CG286" s="1062">
        <f>'No Recurrentes 24-26'!DQ145</f>
        <v>0</v>
      </c>
      <c r="CH286" s="1062">
        <f>'No Recurrentes 24-26'!DR145</f>
        <v>0</v>
      </c>
      <c r="CI286" s="1068"/>
      <c r="CJ286" s="1062">
        <f>'No Recurrentes 24-26'!DS145</f>
        <v>0</v>
      </c>
      <c r="CK286" s="1062">
        <f>'No Recurrentes 24-26'!DT145</f>
        <v>40.9248</v>
      </c>
      <c r="CL286" s="1064" t="str">
        <f>'No Recurrentes 24-26'!DU145</f>
        <v/>
      </c>
      <c r="CM286" s="1064" t="str">
        <f>'No Recurrentes 24-26'!DV145</f>
        <v/>
      </c>
      <c r="CN286" s="1065">
        <f>'No Recurrentes 24-26'!EI144</f>
        <v>8.08</v>
      </c>
      <c r="CO286" s="1065">
        <f>'No Recurrentes 24-26'!EJ144</f>
        <v>6.87</v>
      </c>
      <c r="CP286" s="1060" t="str">
        <f>'No Recurrentes 24-26'!EK144</f>
        <v/>
      </c>
    </row>
    <row r="287">
      <c r="A287" s="451" t="str">
        <f>'No Recurrentes 24-26'!A146</f>
        <v>Repuestos Electromecánicos no recurrentes</v>
      </c>
      <c r="B287" s="451">
        <f>'No Recurrentes 24-26'!B146</f>
        <v>2</v>
      </c>
      <c r="C287" s="451" t="str">
        <f>'No Recurrentes 24-26'!C146</f>
        <v>Estación</v>
      </c>
      <c r="D287" s="451" t="str">
        <f>'No Recurrentes 24-26'!D146</f>
        <v>Manto. Eléctrico</v>
      </c>
      <c r="E287" s="451" t="str">
        <f>'No Recurrentes 24-26'!E146</f>
        <v>Repuesto Eléctrico</v>
      </c>
      <c r="F287" s="451" t="str">
        <f>'No Recurrentes 24-26'!F146</f>
        <v>TDB</v>
      </c>
      <c r="G287" s="1061" t="str">
        <f>'No Recurrentes 24-26'!G146</f>
        <v>39700</v>
      </c>
      <c r="H287" s="1061" t="str">
        <f>'No Recurrentes 24-26'!H146</f>
        <v>2-04-00009</v>
      </c>
      <c r="I287" s="1061" t="str">
        <f>'No Recurrentes 24-26'!I146</f>
        <v>11439227</v>
      </c>
      <c r="J287" s="1061" t="str">
        <f>'No Recurrentes 24-26'!J146</f>
        <v>CONV.MANOMÉTR. TIPO 8254.65.2317.32.0000.  0000.19.44.83 TRAF</v>
      </c>
      <c r="K287" s="451" t="str">
        <f>'No Recurrentes 24-26'!K146</f>
        <v>Pza</v>
      </c>
      <c r="L287" s="451" t="str">
        <f>'No Recurrentes 24-26'!BC146</f>
        <v/>
      </c>
      <c r="M287" s="451" t="str">
        <f>'No Recurrentes 24-26'!BD146</f>
        <v/>
      </c>
      <c r="N287" s="451" t="str">
        <f>'No Recurrentes 24-26'!BE146</f>
        <v/>
      </c>
      <c r="O287" s="451" t="str">
        <f>'No Recurrentes 24-26'!BF146</f>
        <v/>
      </c>
      <c r="P287" s="451" t="str">
        <f>'No Recurrentes 24-26'!BG146</f>
        <v/>
      </c>
      <c r="Q287" s="451" t="str">
        <f>'No Recurrentes 24-26'!BH146</f>
        <v/>
      </c>
      <c r="R287" s="451" t="str">
        <f>'No Recurrentes 24-26'!BI146</f>
        <v/>
      </c>
      <c r="S287" s="451" t="str">
        <f>'No Recurrentes 24-26'!BJ146</f>
        <v/>
      </c>
      <c r="T287" s="451" t="str">
        <f>'No Recurrentes 24-26'!BK146</f>
        <v/>
      </c>
      <c r="U287" s="451" t="str">
        <f>'No Recurrentes 24-26'!BL146</f>
        <v/>
      </c>
      <c r="V287" s="1068"/>
      <c r="W287" s="1062">
        <f>'No Recurrentes 24-26'!BM146</f>
        <v>0</v>
      </c>
      <c r="X287" s="1062" t="str">
        <f>'No Recurrentes 24-26'!BN146</f>
        <v/>
      </c>
      <c r="Y287" s="1062" t="str">
        <f>'No Recurrentes 24-26'!BO146</f>
        <v/>
      </c>
      <c r="Z287" s="1062" t="str">
        <f>'No Recurrentes 24-26'!BP146</f>
        <v/>
      </c>
      <c r="AA287" s="1062">
        <f>'No Recurrentes 24-26'!BQ146</f>
        <v>2</v>
      </c>
      <c r="AB287" s="1062">
        <f>'No Recurrentes 24-26'!BR146</f>
        <v>1</v>
      </c>
      <c r="AC287" s="1062">
        <f>'No Recurrentes 24-26'!BS146</f>
        <v>1</v>
      </c>
      <c r="AD287" s="1062" t="str">
        <f>'No Recurrentes 24-26'!BT146</f>
        <v/>
      </c>
      <c r="AE287" s="1062" t="str">
        <f>'No Recurrentes 24-26'!BU146</f>
        <v/>
      </c>
      <c r="AF287" s="1062" t="str">
        <f>'No Recurrentes 24-26'!BV146</f>
        <v/>
      </c>
      <c r="AG287" s="1062" t="str">
        <f>'No Recurrentes 24-26'!BW146</f>
        <v/>
      </c>
      <c r="AH287" s="1068"/>
      <c r="AI287" s="1062">
        <f>'No Recurrentes 24-26'!BX146</f>
        <v>4</v>
      </c>
      <c r="AJ287" s="1062">
        <f>'No Recurrentes 24-26'!BY146</f>
        <v>0</v>
      </c>
      <c r="AK287" s="1062">
        <f>'No Recurrentes 24-26'!BZ146</f>
        <v>0</v>
      </c>
      <c r="AL287" s="1062">
        <f>'No Recurrentes 24-26'!CA146</f>
        <v>1</v>
      </c>
      <c r="AM287" s="1062">
        <f>'No Recurrentes 24-26'!CB146</f>
        <v>0</v>
      </c>
      <c r="AN287" s="1062">
        <f>'No Recurrentes 24-26'!CC146</f>
        <v>0</v>
      </c>
      <c r="AO287" s="1062">
        <f>'No Recurrentes 24-26'!CD146</f>
        <v>0</v>
      </c>
      <c r="AP287" s="1062">
        <f>'No Recurrentes 24-26'!CE146</f>
        <v>0</v>
      </c>
      <c r="AQ287" s="1062">
        <f>'No Recurrentes 24-26'!CF146</f>
        <v>0</v>
      </c>
      <c r="AR287" s="1062">
        <f>'No Recurrentes 24-26'!CG146</f>
        <v>0</v>
      </c>
      <c r="AS287" s="1062">
        <f>'No Recurrentes 24-26'!CH146</f>
        <v>0</v>
      </c>
      <c r="AT287" s="1068"/>
      <c r="AU287" s="1062">
        <f>'No Recurrentes 24-26'!CI146</f>
        <v>1</v>
      </c>
      <c r="AV287" s="1063">
        <f>'No Recurrentes 24-26'!CJ146</f>
        <v>5</v>
      </c>
      <c r="AW287" s="1068"/>
      <c r="AX287" s="1065">
        <f>'No Recurrentes 24-26'!CK146</f>
        <v>416.02</v>
      </c>
      <c r="AY287" s="1062">
        <f>'No Recurrentes 24-26'!CL146</f>
        <v>2895.4992</v>
      </c>
      <c r="AZ287" s="1068"/>
      <c r="BA287" s="1062">
        <f>'No Recurrentes 24-26'!CM146</f>
        <v>0</v>
      </c>
      <c r="BB287" s="1062">
        <f>'No Recurrentes 24-26'!CN146</f>
        <v>0</v>
      </c>
      <c r="BC287" s="1062">
        <f>'No Recurrentes 24-26'!CO146</f>
        <v>0</v>
      </c>
      <c r="BD287" s="1062">
        <f>'No Recurrentes 24-26'!CP146</f>
        <v>0</v>
      </c>
      <c r="BE287" s="1062">
        <f>'No Recurrentes 24-26'!CQ146</f>
        <v>0</v>
      </c>
      <c r="BF287" s="1062">
        <f>'No Recurrentes 24-26'!CR146</f>
        <v>0</v>
      </c>
      <c r="BG287" s="1062">
        <f>'No Recurrentes 24-26'!CS146</f>
        <v>0</v>
      </c>
      <c r="BH287" s="1062">
        <f>'No Recurrentes 24-26'!CT146</f>
        <v>0</v>
      </c>
      <c r="BI287" s="1062">
        <f>'No Recurrentes 24-26'!CU146</f>
        <v>0</v>
      </c>
      <c r="BJ287" s="1062">
        <f>'No Recurrentes 24-26'!CV146</f>
        <v>0</v>
      </c>
      <c r="BK287" s="1068"/>
      <c r="BL287" s="1062">
        <f>'No Recurrentes 24-26'!CW146</f>
        <v>0</v>
      </c>
      <c r="BM287" s="1062">
        <f>'No Recurrentes 24-26'!CX146</f>
        <v>0</v>
      </c>
      <c r="BN287" s="1062">
        <f>'No Recurrentes 24-26'!CY146</f>
        <v>0</v>
      </c>
      <c r="BO287" s="1062">
        <f>'No Recurrentes 24-26'!CZ146</f>
        <v>0</v>
      </c>
      <c r="BP287" s="1062">
        <f>'No Recurrentes 24-26'!DA146</f>
        <v>5790.9984</v>
      </c>
      <c r="BQ287" s="1062">
        <f>'No Recurrentes 24-26'!DB146</f>
        <v>2895.4992</v>
      </c>
      <c r="BR287" s="1062">
        <f>'No Recurrentes 24-26'!DC146</f>
        <v>2895.4992</v>
      </c>
      <c r="BS287" s="1062">
        <f>'No Recurrentes 24-26'!DD146</f>
        <v>0</v>
      </c>
      <c r="BT287" s="1062">
        <f>'No Recurrentes 24-26'!DE146</f>
        <v>0</v>
      </c>
      <c r="BU287" s="1062">
        <f>'No Recurrentes 24-26'!DF146</f>
        <v>0</v>
      </c>
      <c r="BV287" s="1062">
        <f>'No Recurrentes 24-26'!DG146</f>
        <v>0</v>
      </c>
      <c r="BW287" s="1068"/>
      <c r="BX287" s="1062">
        <f>'No Recurrentes 24-26'!DH146</f>
        <v>11581.9968</v>
      </c>
      <c r="BY287" s="1062">
        <f>'No Recurrentes 24-26'!DI146</f>
        <v>0</v>
      </c>
      <c r="BZ287" s="1062">
        <f>'No Recurrentes 24-26'!DJ146</f>
        <v>0</v>
      </c>
      <c r="CA287" s="1062">
        <f>'No Recurrentes 24-26'!DK146</f>
        <v>2895.4992</v>
      </c>
      <c r="CB287" s="1062">
        <f>'No Recurrentes 24-26'!DL146</f>
        <v>0</v>
      </c>
      <c r="CC287" s="1062">
        <f>'No Recurrentes 24-26'!DM146</f>
        <v>0</v>
      </c>
      <c r="CD287" s="1062">
        <f>'No Recurrentes 24-26'!DN146</f>
        <v>0</v>
      </c>
      <c r="CE287" s="1062">
        <f>'No Recurrentes 24-26'!DO146</f>
        <v>0</v>
      </c>
      <c r="CF287" s="1062">
        <f>'No Recurrentes 24-26'!DP146</f>
        <v>0</v>
      </c>
      <c r="CG287" s="1062">
        <f>'No Recurrentes 24-26'!DQ146</f>
        <v>0</v>
      </c>
      <c r="CH287" s="1062">
        <f>'No Recurrentes 24-26'!DR146</f>
        <v>0</v>
      </c>
      <c r="CI287" s="1068"/>
      <c r="CJ287" s="1062">
        <f>'No Recurrentes 24-26'!DS146</f>
        <v>2895.4992</v>
      </c>
      <c r="CK287" s="1062">
        <f>'No Recurrentes 24-26'!DT146</f>
        <v>14477.496</v>
      </c>
      <c r="CL287" s="1064" t="str">
        <f>'No Recurrentes 24-26'!DU146</f>
        <v/>
      </c>
      <c r="CM287" s="1064" t="str">
        <f>'No Recurrentes 24-26'!DV146</f>
        <v/>
      </c>
      <c r="CN287" s="1065">
        <f>'No Recurrentes 24-26'!EI145</f>
        <v>1.96</v>
      </c>
      <c r="CO287" s="1065">
        <f>'No Recurrentes 24-26'!EJ145</f>
        <v>1.67</v>
      </c>
      <c r="CP287" s="1060" t="str">
        <f>'No Recurrentes 24-26'!EK145</f>
        <v/>
      </c>
    </row>
    <row r="288">
      <c r="A288" s="451" t="str">
        <f>'No Recurrentes 24-26'!A147</f>
        <v>Repuestos Electromecánicos no recurrentes</v>
      </c>
      <c r="B288" s="451">
        <f>'No Recurrentes 24-26'!B147</f>
        <v>2</v>
      </c>
      <c r="C288" s="451" t="str">
        <f>'No Recurrentes 24-26'!C147</f>
        <v>Estación</v>
      </c>
      <c r="D288" s="451" t="str">
        <f>'No Recurrentes 24-26'!D147</f>
        <v>Manto. Eléctrico</v>
      </c>
      <c r="E288" s="451" t="str">
        <f>'No Recurrentes 24-26'!E147</f>
        <v>Repuesto Eléctrico</v>
      </c>
      <c r="F288" s="451" t="str">
        <f>'No Recurrentes 24-26'!F147</f>
        <v>TDB</v>
      </c>
      <c r="G288" s="1061" t="str">
        <f>'No Recurrentes 24-26'!G147</f>
        <v>39700</v>
      </c>
      <c r="H288" s="1061" t="str">
        <f>'No Recurrentes 24-26'!H147</f>
        <v/>
      </c>
      <c r="I288" s="1061" t="str">
        <f>'No Recurrentes 24-26'!I147</f>
        <v>11246907</v>
      </c>
      <c r="J288" s="1061" t="str">
        <f>'No Recurrentes 24-26'!J147</f>
        <v>INVALID: CLAVIJA BFA CON CABLE 3 POLOS N°: 7000-18021-6361000   MURR</v>
      </c>
      <c r="K288" s="451" t="str">
        <f>'No Recurrentes 24-26'!K147</f>
        <v>Pza</v>
      </c>
      <c r="L288" s="451" t="str">
        <f>'No Recurrentes 24-26'!BC147</f>
        <v/>
      </c>
      <c r="M288" s="451" t="str">
        <f>'No Recurrentes 24-26'!BD147</f>
        <v/>
      </c>
      <c r="N288" s="451" t="str">
        <f>'No Recurrentes 24-26'!BE147</f>
        <v/>
      </c>
      <c r="O288" s="451" t="str">
        <f>'No Recurrentes 24-26'!BF147</f>
        <v/>
      </c>
      <c r="P288" s="451" t="str">
        <f>'No Recurrentes 24-26'!BG147</f>
        <v/>
      </c>
      <c r="Q288" s="451" t="str">
        <f>'No Recurrentes 24-26'!BH147</f>
        <v/>
      </c>
      <c r="R288" s="451" t="str">
        <f>'No Recurrentes 24-26'!BI147</f>
        <v/>
      </c>
      <c r="S288" s="451" t="str">
        <f>'No Recurrentes 24-26'!BJ147</f>
        <v/>
      </c>
      <c r="T288" s="451" t="str">
        <f>'No Recurrentes 24-26'!BK147</f>
        <v/>
      </c>
      <c r="U288" s="451" t="str">
        <f>'No Recurrentes 24-26'!BL147</f>
        <v/>
      </c>
      <c r="V288" s="1068"/>
      <c r="W288" s="1062">
        <f>'No Recurrentes 24-26'!BM147</f>
        <v>0</v>
      </c>
      <c r="X288" s="1062" t="str">
        <f>'No Recurrentes 24-26'!BN147</f>
        <v/>
      </c>
      <c r="Y288" s="1062" t="str">
        <f>'No Recurrentes 24-26'!BO147</f>
        <v/>
      </c>
      <c r="Z288" s="1062" t="str">
        <f>'No Recurrentes 24-26'!BP147</f>
        <v/>
      </c>
      <c r="AA288" s="1062" t="str">
        <f>'No Recurrentes 24-26'!BQ147</f>
        <v/>
      </c>
      <c r="AB288" s="1062">
        <f>'No Recurrentes 24-26'!BR147</f>
        <v>2</v>
      </c>
      <c r="AC288" s="1062" t="str">
        <f>'No Recurrentes 24-26'!BS147</f>
        <v/>
      </c>
      <c r="AD288" s="1062" t="str">
        <f>'No Recurrentes 24-26'!BT147</f>
        <v/>
      </c>
      <c r="AE288" s="1062" t="str">
        <f>'No Recurrentes 24-26'!BU147</f>
        <v/>
      </c>
      <c r="AF288" s="1062" t="str">
        <f>'No Recurrentes 24-26'!BV147</f>
        <v/>
      </c>
      <c r="AG288" s="1062" t="str">
        <f>'No Recurrentes 24-26'!BW147</f>
        <v/>
      </c>
      <c r="AH288" s="1068"/>
      <c r="AI288" s="1062">
        <f>'No Recurrentes 24-26'!BX147</f>
        <v>2</v>
      </c>
      <c r="AJ288" s="1062">
        <f>'No Recurrentes 24-26'!BY147</f>
        <v>0</v>
      </c>
      <c r="AK288" s="1062">
        <f>'No Recurrentes 24-26'!BZ147</f>
        <v>0</v>
      </c>
      <c r="AL288" s="1062">
        <f>'No Recurrentes 24-26'!CA147</f>
        <v>0</v>
      </c>
      <c r="AM288" s="1062">
        <f>'No Recurrentes 24-26'!CB147</f>
        <v>0</v>
      </c>
      <c r="AN288" s="1062">
        <f>'No Recurrentes 24-26'!CC147</f>
        <v>0</v>
      </c>
      <c r="AO288" s="1062">
        <f>'No Recurrentes 24-26'!CD147</f>
        <v>0</v>
      </c>
      <c r="AP288" s="1062">
        <f>'No Recurrentes 24-26'!CE147</f>
        <v>0</v>
      </c>
      <c r="AQ288" s="1062">
        <f>'No Recurrentes 24-26'!CF147</f>
        <v>0</v>
      </c>
      <c r="AR288" s="1062">
        <f>'No Recurrentes 24-26'!CG147</f>
        <v>0</v>
      </c>
      <c r="AS288" s="1062">
        <f>'No Recurrentes 24-26'!CH147</f>
        <v>0</v>
      </c>
      <c r="AT288" s="1068"/>
      <c r="AU288" s="1062">
        <f>'No Recurrentes 24-26'!CI147</f>
        <v>0</v>
      </c>
      <c r="AV288" s="1063">
        <f>'No Recurrentes 24-26'!CJ147</f>
        <v>2</v>
      </c>
      <c r="AW288" s="1068"/>
      <c r="AX288" s="1065">
        <f>'No Recurrentes 24-26'!CK147</f>
        <v>88.95</v>
      </c>
      <c r="AY288" s="1062">
        <f>'No Recurrentes 24-26'!CL147</f>
        <v>619.092</v>
      </c>
      <c r="AZ288" s="1068"/>
      <c r="BA288" s="1062">
        <f>'No Recurrentes 24-26'!CM147</f>
        <v>0</v>
      </c>
      <c r="BB288" s="1062">
        <f>'No Recurrentes 24-26'!CN147</f>
        <v>0</v>
      </c>
      <c r="BC288" s="1062">
        <f>'No Recurrentes 24-26'!CO147</f>
        <v>0</v>
      </c>
      <c r="BD288" s="1062">
        <f>'No Recurrentes 24-26'!CP147</f>
        <v>0</v>
      </c>
      <c r="BE288" s="1062">
        <f>'No Recurrentes 24-26'!CQ147</f>
        <v>0</v>
      </c>
      <c r="BF288" s="1062">
        <f>'No Recurrentes 24-26'!CR147</f>
        <v>0</v>
      </c>
      <c r="BG288" s="1062">
        <f>'No Recurrentes 24-26'!CS147</f>
        <v>0</v>
      </c>
      <c r="BH288" s="1062">
        <f>'No Recurrentes 24-26'!CT147</f>
        <v>0</v>
      </c>
      <c r="BI288" s="1062">
        <f>'No Recurrentes 24-26'!CU147</f>
        <v>0</v>
      </c>
      <c r="BJ288" s="1062">
        <f>'No Recurrentes 24-26'!CV147</f>
        <v>0</v>
      </c>
      <c r="BK288" s="1068"/>
      <c r="BL288" s="1062">
        <f>'No Recurrentes 24-26'!CW147</f>
        <v>0</v>
      </c>
      <c r="BM288" s="1062">
        <f>'No Recurrentes 24-26'!CX147</f>
        <v>0</v>
      </c>
      <c r="BN288" s="1062">
        <f>'No Recurrentes 24-26'!CY147</f>
        <v>0</v>
      </c>
      <c r="BO288" s="1062">
        <f>'No Recurrentes 24-26'!CZ147</f>
        <v>0</v>
      </c>
      <c r="BP288" s="1062">
        <f>'No Recurrentes 24-26'!DA147</f>
        <v>0</v>
      </c>
      <c r="BQ288" s="1062">
        <f>'No Recurrentes 24-26'!DB147</f>
        <v>1238.184</v>
      </c>
      <c r="BR288" s="1062">
        <f>'No Recurrentes 24-26'!DC147</f>
        <v>0</v>
      </c>
      <c r="BS288" s="1062">
        <f>'No Recurrentes 24-26'!DD147</f>
        <v>0</v>
      </c>
      <c r="BT288" s="1062">
        <f>'No Recurrentes 24-26'!DE147</f>
        <v>0</v>
      </c>
      <c r="BU288" s="1062">
        <f>'No Recurrentes 24-26'!DF147</f>
        <v>0</v>
      </c>
      <c r="BV288" s="1062">
        <f>'No Recurrentes 24-26'!DG147</f>
        <v>0</v>
      </c>
      <c r="BW288" s="1068"/>
      <c r="BX288" s="1062">
        <f>'No Recurrentes 24-26'!DH147</f>
        <v>1238.184</v>
      </c>
      <c r="BY288" s="1062">
        <f>'No Recurrentes 24-26'!DI147</f>
        <v>0</v>
      </c>
      <c r="BZ288" s="1062">
        <f>'No Recurrentes 24-26'!DJ147</f>
        <v>0</v>
      </c>
      <c r="CA288" s="1062">
        <f>'No Recurrentes 24-26'!DK147</f>
        <v>0</v>
      </c>
      <c r="CB288" s="1062">
        <f>'No Recurrentes 24-26'!DL147</f>
        <v>0</v>
      </c>
      <c r="CC288" s="1062">
        <f>'No Recurrentes 24-26'!DM147</f>
        <v>0</v>
      </c>
      <c r="CD288" s="1062">
        <f>'No Recurrentes 24-26'!DN147</f>
        <v>0</v>
      </c>
      <c r="CE288" s="1062">
        <f>'No Recurrentes 24-26'!DO147</f>
        <v>0</v>
      </c>
      <c r="CF288" s="1062">
        <f>'No Recurrentes 24-26'!DP147</f>
        <v>0</v>
      </c>
      <c r="CG288" s="1062">
        <f>'No Recurrentes 24-26'!DQ147</f>
        <v>0</v>
      </c>
      <c r="CH288" s="1062">
        <f>'No Recurrentes 24-26'!DR147</f>
        <v>0</v>
      </c>
      <c r="CI288" s="1068"/>
      <c r="CJ288" s="1062">
        <f>'No Recurrentes 24-26'!DS147</f>
        <v>0</v>
      </c>
      <c r="CK288" s="1062">
        <f>'No Recurrentes 24-26'!DT147</f>
        <v>1238.184</v>
      </c>
      <c r="CL288" s="1064" t="str">
        <f>'No Recurrentes 24-26'!DU147</f>
        <v/>
      </c>
      <c r="CM288" s="1064" t="str">
        <f>'No Recurrentes 24-26'!DV147</f>
        <v/>
      </c>
      <c r="CN288" s="1065">
        <f>'No Recurrentes 24-26'!EI146</f>
        <v>416.02</v>
      </c>
      <c r="CO288" s="1065">
        <f>'No Recurrentes 24-26'!EJ146</f>
        <v>353.62</v>
      </c>
      <c r="CP288" s="1060" t="str">
        <f>'No Recurrentes 24-26'!EK146</f>
        <v/>
      </c>
    </row>
    <row r="289">
      <c r="A289" s="451" t="str">
        <f>'No Recurrentes 24-26'!A148</f>
        <v>Repuestos Electromecánicos no recurrentes</v>
      </c>
      <c r="B289" s="451">
        <f>'No Recurrentes 24-26'!B148</f>
        <v>2</v>
      </c>
      <c r="C289" s="451" t="str">
        <f>'No Recurrentes 24-26'!C148</f>
        <v>Estación</v>
      </c>
      <c r="D289" s="451" t="str">
        <f>'No Recurrentes 24-26'!D148</f>
        <v>Manto. Forros de frenos</v>
      </c>
      <c r="E289" s="451" t="str">
        <f>'No Recurrentes 24-26'!E148</f>
        <v>Repuesto Hidráulico</v>
      </c>
      <c r="F289" s="451" t="str">
        <f>'No Recurrentes 24-26'!F148</f>
        <v>TDB</v>
      </c>
      <c r="G289" s="1025" t="str">
        <f>'No Recurrentes 24-26'!G148</f>
        <v>39800</v>
      </c>
      <c r="H289" s="1061" t="str">
        <f>'No Recurrentes 24-26'!H148</f>
        <v>2-01-00553</v>
      </c>
      <c r="I289" s="1061" t="str">
        <f>'No Recurrentes 24-26'!I148</f>
        <v>10020270</v>
      </c>
      <c r="J289" s="1061" t="str">
        <f>'No Recurrentes 24-26'!J148</f>
        <v>ZAPATA FRENO 260X120/10 COMPL. FRENO DE EMERG. 50KN</v>
      </c>
      <c r="K289" s="451" t="str">
        <f>'No Recurrentes 24-26'!K148</f>
        <v>Pza</v>
      </c>
      <c r="L289" s="451" t="str">
        <f>'No Recurrentes 24-26'!BC148</f>
        <v/>
      </c>
      <c r="M289" s="451" t="str">
        <f>'No Recurrentes 24-26'!BD148</f>
        <v/>
      </c>
      <c r="N289" s="451" t="str">
        <f>'No Recurrentes 24-26'!BE148</f>
        <v/>
      </c>
      <c r="O289" s="451" t="str">
        <f>'No Recurrentes 24-26'!BF148</f>
        <v/>
      </c>
      <c r="P289" s="451" t="str">
        <f>'No Recurrentes 24-26'!BG148</f>
        <v/>
      </c>
      <c r="Q289" s="451" t="str">
        <f>'No Recurrentes 24-26'!BH148</f>
        <v/>
      </c>
      <c r="R289" s="451" t="str">
        <f>'No Recurrentes 24-26'!BI148</f>
        <v/>
      </c>
      <c r="S289" s="451" t="str">
        <f>'No Recurrentes 24-26'!BJ148</f>
        <v/>
      </c>
      <c r="T289" s="451" t="str">
        <f>'No Recurrentes 24-26'!BK148</f>
        <v/>
      </c>
      <c r="U289" s="451" t="str">
        <f>'No Recurrentes 24-26'!BL148</f>
        <v/>
      </c>
      <c r="V289" s="1068"/>
      <c r="W289" s="1062">
        <f>'No Recurrentes 24-26'!BM148</f>
        <v>0</v>
      </c>
      <c r="X289" s="1062" t="str">
        <f>'No Recurrentes 24-26'!BN148</f>
        <v/>
      </c>
      <c r="Y289" s="1062" t="str">
        <f>'No Recurrentes 24-26'!BO148</f>
        <v/>
      </c>
      <c r="Z289" s="1062" t="str">
        <f>'No Recurrentes 24-26'!BP148</f>
        <v/>
      </c>
      <c r="AA289" s="1062" t="str">
        <f>'No Recurrentes 24-26'!BQ148</f>
        <v/>
      </c>
      <c r="AB289" s="1062" t="str">
        <f>'No Recurrentes 24-26'!BR148</f>
        <v/>
      </c>
      <c r="AC289" s="1062" t="str">
        <f>'No Recurrentes 24-26'!BS148</f>
        <v/>
      </c>
      <c r="AD289" s="1062">
        <f>'No Recurrentes 24-26'!BT148</f>
        <v>4</v>
      </c>
      <c r="AE289" s="1062">
        <f>'No Recurrentes 24-26'!BU148</f>
        <v>6</v>
      </c>
      <c r="AF289" s="1062" t="str">
        <f>'No Recurrentes 24-26'!BV148</f>
        <v/>
      </c>
      <c r="AG289" s="1062">
        <f>'No Recurrentes 24-26'!BW148</f>
        <v>4</v>
      </c>
      <c r="AH289" s="1068"/>
      <c r="AI289" s="1062">
        <f>'No Recurrentes 24-26'!BX148</f>
        <v>14</v>
      </c>
      <c r="AJ289" s="1062">
        <f>'No Recurrentes 24-26'!BY148</f>
        <v>0</v>
      </c>
      <c r="AK289" s="1062">
        <f>'No Recurrentes 24-26'!BZ148</f>
        <v>0</v>
      </c>
      <c r="AL289" s="1062">
        <f>'No Recurrentes 24-26'!CA148</f>
        <v>0</v>
      </c>
      <c r="AM289" s="1062">
        <f>'No Recurrentes 24-26'!CB148</f>
        <v>0</v>
      </c>
      <c r="AN289" s="1062">
        <f>'No Recurrentes 24-26'!CC148</f>
        <v>0</v>
      </c>
      <c r="AO289" s="1062">
        <f>'No Recurrentes 24-26'!CD148</f>
        <v>0</v>
      </c>
      <c r="AP289" s="1062">
        <f>'No Recurrentes 24-26'!CE148</f>
        <v>0</v>
      </c>
      <c r="AQ289" s="1062">
        <f>'No Recurrentes 24-26'!CF148</f>
        <v>0</v>
      </c>
      <c r="AR289" s="1062">
        <f>'No Recurrentes 24-26'!CG148</f>
        <v>0</v>
      </c>
      <c r="AS289" s="1062">
        <f>'No Recurrentes 24-26'!CH148</f>
        <v>0</v>
      </c>
      <c r="AT289" s="1068"/>
      <c r="AU289" s="1062">
        <f>'No Recurrentes 24-26'!CI148</f>
        <v>0</v>
      </c>
      <c r="AV289" s="1063">
        <f>'No Recurrentes 24-26'!CJ148</f>
        <v>14</v>
      </c>
      <c r="AW289" s="1068"/>
      <c r="AX289" s="1065">
        <f>'No Recurrentes 24-26'!CK148</f>
        <v>491.05</v>
      </c>
      <c r="AY289" s="1062">
        <f>'No Recurrentes 24-26'!CL148</f>
        <v>3417.708</v>
      </c>
      <c r="AZ289" s="1068"/>
      <c r="BA289" s="1062">
        <f>'No Recurrentes 24-26'!CM148</f>
        <v>0</v>
      </c>
      <c r="BB289" s="1062">
        <f>'No Recurrentes 24-26'!CN148</f>
        <v>0</v>
      </c>
      <c r="BC289" s="1062">
        <f>'No Recurrentes 24-26'!CO148</f>
        <v>0</v>
      </c>
      <c r="BD289" s="1062">
        <f>'No Recurrentes 24-26'!CP148</f>
        <v>0</v>
      </c>
      <c r="BE289" s="1062">
        <f>'No Recurrentes 24-26'!CQ148</f>
        <v>0</v>
      </c>
      <c r="BF289" s="1062">
        <f>'No Recurrentes 24-26'!CR148</f>
        <v>0</v>
      </c>
      <c r="BG289" s="1062">
        <f>'No Recurrentes 24-26'!CS148</f>
        <v>0</v>
      </c>
      <c r="BH289" s="1062">
        <f>'No Recurrentes 24-26'!CT148</f>
        <v>0</v>
      </c>
      <c r="BI289" s="1062">
        <f>'No Recurrentes 24-26'!CU148</f>
        <v>0</v>
      </c>
      <c r="BJ289" s="1062">
        <f>'No Recurrentes 24-26'!CV148</f>
        <v>0</v>
      </c>
      <c r="BK289" s="1068"/>
      <c r="BL289" s="1062">
        <f>'No Recurrentes 24-26'!CW148</f>
        <v>0</v>
      </c>
      <c r="BM289" s="1062">
        <f>'No Recurrentes 24-26'!CX148</f>
        <v>0</v>
      </c>
      <c r="BN289" s="1062">
        <f>'No Recurrentes 24-26'!CY148</f>
        <v>0</v>
      </c>
      <c r="BO289" s="1062">
        <f>'No Recurrentes 24-26'!CZ148</f>
        <v>0</v>
      </c>
      <c r="BP289" s="1062">
        <f>'No Recurrentes 24-26'!DA148</f>
        <v>0</v>
      </c>
      <c r="BQ289" s="1062">
        <f>'No Recurrentes 24-26'!DB148</f>
        <v>0</v>
      </c>
      <c r="BR289" s="1062">
        <f>'No Recurrentes 24-26'!DC148</f>
        <v>0</v>
      </c>
      <c r="BS289" s="1062">
        <f>'No Recurrentes 24-26'!DD148</f>
        <v>13670.832</v>
      </c>
      <c r="BT289" s="1062">
        <f>'No Recurrentes 24-26'!DE148</f>
        <v>20506.248</v>
      </c>
      <c r="BU289" s="1062">
        <f>'No Recurrentes 24-26'!DF148</f>
        <v>0</v>
      </c>
      <c r="BV289" s="1062">
        <f>'No Recurrentes 24-26'!DG148</f>
        <v>13670.832</v>
      </c>
      <c r="BW289" s="1068"/>
      <c r="BX289" s="1062">
        <f>'No Recurrentes 24-26'!DH148</f>
        <v>47847.912</v>
      </c>
      <c r="BY289" s="1062">
        <f>'No Recurrentes 24-26'!DI148</f>
        <v>0</v>
      </c>
      <c r="BZ289" s="1062">
        <f>'No Recurrentes 24-26'!DJ148</f>
        <v>0</v>
      </c>
      <c r="CA289" s="1062">
        <f>'No Recurrentes 24-26'!DK148</f>
        <v>0</v>
      </c>
      <c r="CB289" s="1062">
        <f>'No Recurrentes 24-26'!DL148</f>
        <v>0</v>
      </c>
      <c r="CC289" s="1062">
        <f>'No Recurrentes 24-26'!DM148</f>
        <v>0</v>
      </c>
      <c r="CD289" s="1062">
        <f>'No Recurrentes 24-26'!DN148</f>
        <v>0</v>
      </c>
      <c r="CE289" s="1062">
        <f>'No Recurrentes 24-26'!DO148</f>
        <v>0</v>
      </c>
      <c r="CF289" s="1062">
        <f>'No Recurrentes 24-26'!DP148</f>
        <v>0</v>
      </c>
      <c r="CG289" s="1062">
        <f>'No Recurrentes 24-26'!DQ148</f>
        <v>0</v>
      </c>
      <c r="CH289" s="1062">
        <f>'No Recurrentes 24-26'!DR148</f>
        <v>0</v>
      </c>
      <c r="CI289" s="1068"/>
      <c r="CJ289" s="1062">
        <f>'No Recurrentes 24-26'!DS148</f>
        <v>0</v>
      </c>
      <c r="CK289" s="1062">
        <f>'No Recurrentes 24-26'!DT148</f>
        <v>47847.912</v>
      </c>
      <c r="CL289" s="1064" t="str">
        <f>'No Recurrentes 24-26'!DU148</f>
        <v/>
      </c>
      <c r="CM289" s="1064" t="str">
        <f>'No Recurrentes 24-26'!DV148</f>
        <v/>
      </c>
      <c r="CN289" s="1065">
        <f>'No Recurrentes 24-26'!EI147</f>
        <v>88.95</v>
      </c>
      <c r="CO289" s="1065">
        <f>'No Recurrentes 24-26'!EJ147</f>
        <v>75.61</v>
      </c>
      <c r="CP289" s="1060" t="str">
        <f>'No Recurrentes 24-26'!EK147</f>
        <v/>
      </c>
    </row>
    <row r="290">
      <c r="A290" s="451" t="str">
        <f>'No Recurrentes 24-26'!A149</f>
        <v>Repuestos Electromecánicos no recurrentes</v>
      </c>
      <c r="B290" s="451">
        <f>'No Recurrentes 24-26'!B149</f>
        <v>2</v>
      </c>
      <c r="C290" s="451" t="str">
        <f>'No Recurrentes 24-26'!C149</f>
        <v>Estación</v>
      </c>
      <c r="D290" s="451" t="str">
        <f>'No Recurrentes 24-26'!D149</f>
        <v>Manto. Forros de frenos</v>
      </c>
      <c r="E290" s="451" t="str">
        <f>'No Recurrentes 24-26'!E149</f>
        <v>Repuesto Hidráulico</v>
      </c>
      <c r="F290" s="451" t="str">
        <f>'No Recurrentes 24-26'!F149</f>
        <v>TDB</v>
      </c>
      <c r="G290" s="1025" t="str">
        <f>'No Recurrentes 24-26'!G149</f>
        <v>39800</v>
      </c>
      <c r="H290" s="1061" t="str">
        <f>'No Recurrentes 24-26'!H149</f>
        <v>2-01-00222</v>
      </c>
      <c r="I290" s="1061" t="str">
        <f>'No Recurrentes 24-26'!I149</f>
        <v>10450482</v>
      </c>
      <c r="J290" s="1061" t="str">
        <f>'No Recurrentes 24-26'!J149</f>
        <v>ZAPATA DE FRENO     190X120X27 </v>
      </c>
      <c r="K290" s="451" t="str">
        <f>'No Recurrentes 24-26'!K149</f>
        <v>Pza</v>
      </c>
      <c r="L290" s="451" t="str">
        <f>'No Recurrentes 24-26'!BC149</f>
        <v/>
      </c>
      <c r="M290" s="451">
        <f>'No Recurrentes 24-26'!BD149</f>
        <v>0</v>
      </c>
      <c r="N290" s="451">
        <f>'No Recurrentes 24-26'!BE149</f>
        <v>0</v>
      </c>
      <c r="O290" s="451">
        <f>'No Recurrentes 24-26'!BF149</f>
        <v>0</v>
      </c>
      <c r="P290" s="451">
        <f>'No Recurrentes 24-26'!BG149</f>
        <v>0</v>
      </c>
      <c r="Q290" s="451">
        <f>'No Recurrentes 24-26'!BH149</f>
        <v>0</v>
      </c>
      <c r="R290" s="451">
        <f>'No Recurrentes 24-26'!BI149</f>
        <v>0</v>
      </c>
      <c r="S290" s="451">
        <f>'No Recurrentes 24-26'!BJ149</f>
        <v>0</v>
      </c>
      <c r="T290" s="451">
        <f>'No Recurrentes 24-26'!BK149</f>
        <v>0</v>
      </c>
      <c r="U290" s="451">
        <f>'No Recurrentes 24-26'!BL149</f>
        <v>0</v>
      </c>
      <c r="V290" s="1068"/>
      <c r="W290" s="1062">
        <f>'No Recurrentes 24-26'!BM149</f>
        <v>0</v>
      </c>
      <c r="X290" s="1062" t="str">
        <f>'No Recurrentes 24-26'!BN149</f>
        <v/>
      </c>
      <c r="Y290" s="1062" t="str">
        <f>'No Recurrentes 24-26'!BO149</f>
        <v/>
      </c>
      <c r="Z290" s="1062">
        <f>'No Recurrentes 24-26'!BP149</f>
        <v>2</v>
      </c>
      <c r="AA290" s="1062" t="str">
        <f>'No Recurrentes 24-26'!BQ149</f>
        <v/>
      </c>
      <c r="AB290" s="1062" t="str">
        <f>'No Recurrentes 24-26'!BR149</f>
        <v/>
      </c>
      <c r="AC290" s="1062" t="str">
        <f>'No Recurrentes 24-26'!BS149</f>
        <v/>
      </c>
      <c r="AD290" s="1062" t="str">
        <f>'No Recurrentes 24-26'!BT149</f>
        <v/>
      </c>
      <c r="AE290" s="1062">
        <f>'No Recurrentes 24-26'!BU149</f>
        <v>4</v>
      </c>
      <c r="AF290" s="1062" t="str">
        <f>'No Recurrentes 24-26'!BV149</f>
        <v/>
      </c>
      <c r="AG290" s="1062">
        <f>'No Recurrentes 24-26'!BW149</f>
        <v>6</v>
      </c>
      <c r="AH290" s="1068"/>
      <c r="AI290" s="1062">
        <f>'No Recurrentes 24-26'!BX149</f>
        <v>12</v>
      </c>
      <c r="AJ290" s="1062">
        <f>'No Recurrentes 24-26'!BY149</f>
        <v>4</v>
      </c>
      <c r="AK290" s="1062">
        <f>'No Recurrentes 24-26'!BZ149</f>
        <v>2</v>
      </c>
      <c r="AL290" s="1062">
        <f>'No Recurrentes 24-26'!CA149</f>
        <v>0</v>
      </c>
      <c r="AM290" s="1062">
        <f>'No Recurrentes 24-26'!CB149</f>
        <v>2</v>
      </c>
      <c r="AN290" s="1062">
        <f>'No Recurrentes 24-26'!CC149</f>
        <v>2</v>
      </c>
      <c r="AO290" s="1062">
        <f>'No Recurrentes 24-26'!CD149</f>
        <v>2</v>
      </c>
      <c r="AP290" s="1062">
        <f>'No Recurrentes 24-26'!CE149</f>
        <v>4</v>
      </c>
      <c r="AQ290" s="1062">
        <f>'No Recurrentes 24-26'!CF149</f>
        <v>0</v>
      </c>
      <c r="AR290" s="1062">
        <f>'No Recurrentes 24-26'!CG149</f>
        <v>2</v>
      </c>
      <c r="AS290" s="1062">
        <f>'No Recurrentes 24-26'!CH149</f>
        <v>0</v>
      </c>
      <c r="AT290" s="1068"/>
      <c r="AU290" s="1062">
        <f>'No Recurrentes 24-26'!CI149</f>
        <v>18</v>
      </c>
      <c r="AV290" s="1063">
        <f>'No Recurrentes 24-26'!CJ149</f>
        <v>30</v>
      </c>
      <c r="AW290" s="1068"/>
      <c r="AX290" s="1065">
        <f>'No Recurrentes 24-26'!CK149</f>
        <v>536.31</v>
      </c>
      <c r="AY290" s="1062">
        <f>'No Recurrentes 24-26'!CL149</f>
        <v>3732.7176</v>
      </c>
      <c r="AZ290" s="1068"/>
      <c r="BA290" s="1062">
        <f>'No Recurrentes 24-26'!CM149</f>
        <v>0</v>
      </c>
      <c r="BB290" s="1062">
        <f>'No Recurrentes 24-26'!CN149</f>
        <v>0</v>
      </c>
      <c r="BC290" s="1062">
        <f>'No Recurrentes 24-26'!CO149</f>
        <v>0</v>
      </c>
      <c r="BD290" s="1062">
        <f>'No Recurrentes 24-26'!CP149</f>
        <v>0</v>
      </c>
      <c r="BE290" s="1062">
        <f>'No Recurrentes 24-26'!CQ149</f>
        <v>0</v>
      </c>
      <c r="BF290" s="1062">
        <f>'No Recurrentes 24-26'!CR149</f>
        <v>0</v>
      </c>
      <c r="BG290" s="1062">
        <f>'No Recurrentes 24-26'!CS149</f>
        <v>0</v>
      </c>
      <c r="BH290" s="1062">
        <f>'No Recurrentes 24-26'!CT149</f>
        <v>0</v>
      </c>
      <c r="BI290" s="1062">
        <f>'No Recurrentes 24-26'!CU149</f>
        <v>0</v>
      </c>
      <c r="BJ290" s="1062">
        <f>'No Recurrentes 24-26'!CV149</f>
        <v>0</v>
      </c>
      <c r="BK290" s="1068"/>
      <c r="BL290" s="1062">
        <f>'No Recurrentes 24-26'!CW149</f>
        <v>0</v>
      </c>
      <c r="BM290" s="1062">
        <f>'No Recurrentes 24-26'!CX149</f>
        <v>0</v>
      </c>
      <c r="BN290" s="1062">
        <f>'No Recurrentes 24-26'!CY149</f>
        <v>0</v>
      </c>
      <c r="BO290" s="1062">
        <f>'No Recurrentes 24-26'!CZ149</f>
        <v>7465.4352</v>
      </c>
      <c r="BP290" s="1062">
        <f>'No Recurrentes 24-26'!DA149</f>
        <v>0</v>
      </c>
      <c r="BQ290" s="1062">
        <f>'No Recurrentes 24-26'!DB149</f>
        <v>0</v>
      </c>
      <c r="BR290" s="1062">
        <f>'No Recurrentes 24-26'!DC149</f>
        <v>0</v>
      </c>
      <c r="BS290" s="1062">
        <f>'No Recurrentes 24-26'!DD149</f>
        <v>0</v>
      </c>
      <c r="BT290" s="1062">
        <f>'No Recurrentes 24-26'!DE149</f>
        <v>14930.8704</v>
      </c>
      <c r="BU290" s="1062">
        <f>'No Recurrentes 24-26'!DF149</f>
        <v>0</v>
      </c>
      <c r="BV290" s="1062">
        <f>'No Recurrentes 24-26'!DG149</f>
        <v>22396.3056</v>
      </c>
      <c r="BW290" s="1068"/>
      <c r="BX290" s="1062">
        <f>'No Recurrentes 24-26'!DH149</f>
        <v>44792.6112</v>
      </c>
      <c r="BY290" s="1062">
        <f>'No Recurrentes 24-26'!DI149</f>
        <v>14930.8704</v>
      </c>
      <c r="BZ290" s="1062">
        <f>'No Recurrentes 24-26'!DJ149</f>
        <v>7465.4352</v>
      </c>
      <c r="CA290" s="1062">
        <f>'No Recurrentes 24-26'!DK149</f>
        <v>0</v>
      </c>
      <c r="CB290" s="1062">
        <f>'No Recurrentes 24-26'!DL149</f>
        <v>7465.4352</v>
      </c>
      <c r="CC290" s="1062">
        <f>'No Recurrentes 24-26'!DM149</f>
        <v>7465.4352</v>
      </c>
      <c r="CD290" s="1062">
        <f>'No Recurrentes 24-26'!DN149</f>
        <v>7465.4352</v>
      </c>
      <c r="CE290" s="1062">
        <f>'No Recurrentes 24-26'!DO149</f>
        <v>14930.8704</v>
      </c>
      <c r="CF290" s="1062">
        <f>'No Recurrentes 24-26'!DP149</f>
        <v>0</v>
      </c>
      <c r="CG290" s="1062">
        <f>'No Recurrentes 24-26'!DQ149</f>
        <v>7465.4352</v>
      </c>
      <c r="CH290" s="1062">
        <f>'No Recurrentes 24-26'!DR149</f>
        <v>0</v>
      </c>
      <c r="CI290" s="1068"/>
      <c r="CJ290" s="1062">
        <f>'No Recurrentes 24-26'!DS149</f>
        <v>67188.9168</v>
      </c>
      <c r="CK290" s="1062">
        <f>'No Recurrentes 24-26'!DT149</f>
        <v>111981.528</v>
      </c>
      <c r="CL290" s="1064" t="str">
        <f>'No Recurrentes 24-26'!DU149</f>
        <v/>
      </c>
      <c r="CM290" s="1064" t="str">
        <f>'No Recurrentes 24-26'!DV149</f>
        <v/>
      </c>
      <c r="CN290" s="1065">
        <f>'No Recurrentes 24-26'!EI148</f>
        <v>491.05</v>
      </c>
      <c r="CO290" s="1065">
        <f>'No Recurrentes 24-26'!EJ148</f>
        <v>417.39</v>
      </c>
      <c r="CP290" s="1060" t="str">
        <f>'No Recurrentes 24-26'!EK148</f>
        <v/>
      </c>
    </row>
    <row r="291">
      <c r="A291" s="451" t="str">
        <f>'No Recurrentes 24-26'!A150</f>
        <v>Repuestos Electromecánicos no recurrentes</v>
      </c>
      <c r="B291" s="451">
        <f>'No Recurrentes 24-26'!B150</f>
        <v>38</v>
      </c>
      <c r="C291" s="451" t="str">
        <f>'No Recurrentes 24-26'!C150</f>
        <v>Vehiculo</v>
      </c>
      <c r="D291" s="451" t="str">
        <f>'No Recurrentes 24-26'!D150</f>
        <v>Manto. gral. Cabina</v>
      </c>
      <c r="E291" s="451" t="str">
        <f>'No Recurrentes 24-26'!E150</f>
        <v>Repuesto Mecánico</v>
      </c>
      <c r="F291" s="451" t="str">
        <f>'No Recurrentes 24-26'!F150</f>
        <v>LOCAL</v>
      </c>
      <c r="G291" s="1061" t="str">
        <f>'No Recurrentes 24-26'!G150</f>
        <v>39800</v>
      </c>
      <c r="H291" s="1061" t="str">
        <f>'No Recurrentes 24-26'!H150</f>
        <v>2-01-00425</v>
      </c>
      <c r="I291" s="1061" t="str">
        <f>'No Recurrentes 24-26'!I150</f>
        <v/>
      </c>
      <c r="J291" s="1061" t="str">
        <f>'No Recurrentes 24-26'!J150</f>
        <v>SOPORTE DE PLATAFORMA PARA LA CABINA, PERFIL</v>
      </c>
      <c r="K291" s="451" t="str">
        <f>'No Recurrentes 24-26'!K150</f>
        <v>Pza</v>
      </c>
      <c r="L291" s="451" t="str">
        <f>'No Recurrentes 24-26'!BC150</f>
        <v/>
      </c>
      <c r="M291" s="451" t="str">
        <f>'No Recurrentes 24-26'!BD150</f>
        <v/>
      </c>
      <c r="N291" s="451" t="str">
        <f>'No Recurrentes 24-26'!BE150</f>
        <v/>
      </c>
      <c r="O291" s="451" t="str">
        <f>'No Recurrentes 24-26'!BF150</f>
        <v/>
      </c>
      <c r="P291" s="451" t="str">
        <f>'No Recurrentes 24-26'!BG150</f>
        <v/>
      </c>
      <c r="Q291" s="451">
        <f>'No Recurrentes 24-26'!BH150</f>
        <v>50</v>
      </c>
      <c r="R291" s="451" t="str">
        <f>'No Recurrentes 24-26'!BI150</f>
        <v/>
      </c>
      <c r="S291" s="451" t="str">
        <f>'No Recurrentes 24-26'!BJ150</f>
        <v/>
      </c>
      <c r="T291" s="451" t="str">
        <f>'No Recurrentes 24-26'!BK150</f>
        <v/>
      </c>
      <c r="U291" s="451" t="str">
        <f>'No Recurrentes 24-26'!BL150</f>
        <v/>
      </c>
      <c r="V291" s="1068"/>
      <c r="W291" s="1062">
        <f>'No Recurrentes 24-26'!BM150</f>
        <v>50</v>
      </c>
      <c r="X291" s="1062" t="str">
        <f>'No Recurrentes 24-26'!BN150</f>
        <v/>
      </c>
      <c r="Y291" s="1062" t="str">
        <f>'No Recurrentes 24-26'!BO150</f>
        <v/>
      </c>
      <c r="Z291" s="1062" t="str">
        <f>'No Recurrentes 24-26'!BP150</f>
        <v/>
      </c>
      <c r="AA291" s="1062" t="str">
        <f>'No Recurrentes 24-26'!BQ150</f>
        <v/>
      </c>
      <c r="AB291" s="1062" t="str">
        <f>'No Recurrentes 24-26'!BR150</f>
        <v/>
      </c>
      <c r="AC291" s="1062">
        <f>'No Recurrentes 24-26'!BS150</f>
        <v>80</v>
      </c>
      <c r="AD291" s="1062" t="str">
        <f>'No Recurrentes 24-26'!BT150</f>
        <v/>
      </c>
      <c r="AE291" s="1062" t="str">
        <f>'No Recurrentes 24-26'!BU150</f>
        <v/>
      </c>
      <c r="AF291" s="1062" t="str">
        <f>'No Recurrentes 24-26'!BV150</f>
        <v/>
      </c>
      <c r="AG291" s="1062" t="str">
        <f>'No Recurrentes 24-26'!BW150</f>
        <v/>
      </c>
      <c r="AH291" s="1068"/>
      <c r="AI291" s="1062">
        <f>'No Recurrentes 24-26'!BX150</f>
        <v>80</v>
      </c>
      <c r="AJ291" s="1062">
        <f>'No Recurrentes 24-26'!BY150</f>
        <v>0</v>
      </c>
      <c r="AK291" s="1062">
        <f>'No Recurrentes 24-26'!BZ150</f>
        <v>0</v>
      </c>
      <c r="AL291" s="1062">
        <f>'No Recurrentes 24-26'!CA150</f>
        <v>0</v>
      </c>
      <c r="AM291" s="1062">
        <f>'No Recurrentes 24-26'!CB150</f>
        <v>0</v>
      </c>
      <c r="AN291" s="1062">
        <f>'No Recurrentes 24-26'!CC150</f>
        <v>0</v>
      </c>
      <c r="AO291" s="1062">
        <f>'No Recurrentes 24-26'!CD150</f>
        <v>80</v>
      </c>
      <c r="AP291" s="1062">
        <f>'No Recurrentes 24-26'!CE150</f>
        <v>0</v>
      </c>
      <c r="AQ291" s="1062">
        <f>'No Recurrentes 24-26'!CF150</f>
        <v>0</v>
      </c>
      <c r="AR291" s="1062">
        <f>'No Recurrentes 24-26'!CG150</f>
        <v>0</v>
      </c>
      <c r="AS291" s="1062">
        <f>'No Recurrentes 24-26'!CH150</f>
        <v>0</v>
      </c>
      <c r="AT291" s="1068"/>
      <c r="AU291" s="1062">
        <f>'No Recurrentes 24-26'!CI150</f>
        <v>80</v>
      </c>
      <c r="AV291" s="1063">
        <f>'No Recurrentes 24-26'!CJ150</f>
        <v>210</v>
      </c>
      <c r="AW291" s="1068"/>
      <c r="AX291" s="1062" t="str">
        <f>'No Recurrentes 24-26'!CK150</f>
        <v/>
      </c>
      <c r="AY291" s="1062">
        <f>'No Recurrentes 24-26'!CL150</f>
        <v>3500</v>
      </c>
      <c r="AZ291" s="1068"/>
      <c r="BA291" s="1062">
        <f>'No Recurrentes 24-26'!CM150</f>
        <v>0</v>
      </c>
      <c r="BB291" s="1062">
        <f>'No Recurrentes 24-26'!CN150</f>
        <v>0</v>
      </c>
      <c r="BC291" s="1062">
        <f>'No Recurrentes 24-26'!CO150</f>
        <v>0</v>
      </c>
      <c r="BD291" s="1062">
        <f>'No Recurrentes 24-26'!CP150</f>
        <v>0</v>
      </c>
      <c r="BE291" s="1062">
        <f>'No Recurrentes 24-26'!CQ150</f>
        <v>0</v>
      </c>
      <c r="BF291" s="1062">
        <f>'No Recurrentes 24-26'!CR150</f>
        <v>175000</v>
      </c>
      <c r="BG291" s="1062">
        <f>'No Recurrentes 24-26'!CS150</f>
        <v>0</v>
      </c>
      <c r="BH291" s="1062">
        <f>'No Recurrentes 24-26'!CT150</f>
        <v>0</v>
      </c>
      <c r="BI291" s="1062">
        <f>'No Recurrentes 24-26'!CU150</f>
        <v>0</v>
      </c>
      <c r="BJ291" s="1062">
        <f>'No Recurrentes 24-26'!CV150</f>
        <v>0</v>
      </c>
      <c r="BK291" s="1068"/>
      <c r="BL291" s="1062">
        <f>'No Recurrentes 24-26'!CW150</f>
        <v>175000</v>
      </c>
      <c r="BM291" s="1062">
        <f>'No Recurrentes 24-26'!CX150</f>
        <v>0</v>
      </c>
      <c r="BN291" s="1062">
        <f>'No Recurrentes 24-26'!CY150</f>
        <v>0</v>
      </c>
      <c r="BO291" s="1062">
        <f>'No Recurrentes 24-26'!CZ150</f>
        <v>0</v>
      </c>
      <c r="BP291" s="1062">
        <f>'No Recurrentes 24-26'!DA150</f>
        <v>0</v>
      </c>
      <c r="BQ291" s="1062">
        <f>'No Recurrentes 24-26'!DB150</f>
        <v>0</v>
      </c>
      <c r="BR291" s="1062">
        <f>'No Recurrentes 24-26'!DC150</f>
        <v>280000</v>
      </c>
      <c r="BS291" s="1062">
        <f>'No Recurrentes 24-26'!DD150</f>
        <v>0</v>
      </c>
      <c r="BT291" s="1062">
        <f>'No Recurrentes 24-26'!DE150</f>
        <v>0</v>
      </c>
      <c r="BU291" s="1062">
        <f>'No Recurrentes 24-26'!DF150</f>
        <v>0</v>
      </c>
      <c r="BV291" s="1062">
        <f>'No Recurrentes 24-26'!DG150</f>
        <v>0</v>
      </c>
      <c r="BW291" s="1068"/>
      <c r="BX291" s="1062">
        <f>'No Recurrentes 24-26'!DH150</f>
        <v>280000</v>
      </c>
      <c r="BY291" s="1062">
        <f>'No Recurrentes 24-26'!DI150</f>
        <v>0</v>
      </c>
      <c r="BZ291" s="1062">
        <f>'No Recurrentes 24-26'!DJ150</f>
        <v>0</v>
      </c>
      <c r="CA291" s="1062">
        <f>'No Recurrentes 24-26'!DK150</f>
        <v>0</v>
      </c>
      <c r="CB291" s="1062">
        <f>'No Recurrentes 24-26'!DL150</f>
        <v>0</v>
      </c>
      <c r="CC291" s="1062">
        <f>'No Recurrentes 24-26'!DM150</f>
        <v>0</v>
      </c>
      <c r="CD291" s="1062">
        <f>'No Recurrentes 24-26'!DN150</f>
        <v>280000</v>
      </c>
      <c r="CE291" s="1062">
        <f>'No Recurrentes 24-26'!DO150</f>
        <v>0</v>
      </c>
      <c r="CF291" s="1062">
        <f>'No Recurrentes 24-26'!DP150</f>
        <v>0</v>
      </c>
      <c r="CG291" s="1062">
        <f>'No Recurrentes 24-26'!DQ150</f>
        <v>0</v>
      </c>
      <c r="CH291" s="1062">
        <f>'No Recurrentes 24-26'!DR150</f>
        <v>0</v>
      </c>
      <c r="CI291" s="1068"/>
      <c r="CJ291" s="1062">
        <f>'No Recurrentes 24-26'!DS150</f>
        <v>280000</v>
      </c>
      <c r="CK291" s="1062">
        <f>'No Recurrentes 24-26'!DT150</f>
        <v>735000</v>
      </c>
      <c r="CL291" s="1064" t="str">
        <f>'No Recurrentes 24-26'!DU150</f>
        <v/>
      </c>
      <c r="CM291" s="1064" t="str">
        <f>'No Recurrentes 24-26'!DV150</f>
        <v>Se divide en 3 años las bases de las pisaderas</v>
      </c>
      <c r="CN291" s="1065">
        <f>'No Recurrentes 24-26'!EI149</f>
        <v>536.31</v>
      </c>
      <c r="CO291" s="1065">
        <f>'No Recurrentes 24-26'!EJ149</f>
        <v>455.86</v>
      </c>
      <c r="CP291" s="1060" t="str">
        <f>'No Recurrentes 24-26'!EK149</f>
        <v/>
      </c>
    </row>
    <row r="292">
      <c r="A292" s="451" t="str">
        <f>'No Recurrentes 24-26'!A151</f>
        <v>Repuestos Electromecánicos no recurrentes</v>
      </c>
      <c r="B292" s="451">
        <f>'No Recurrentes 24-26'!B151</f>
        <v>39</v>
      </c>
      <c r="C292" s="451" t="str">
        <f>'No Recurrentes 24-26'!C151</f>
        <v>Vehiculo</v>
      </c>
      <c r="D292" s="451" t="str">
        <f>'No Recurrentes 24-26'!D151</f>
        <v>Manto. gral. Cabina</v>
      </c>
      <c r="E292" s="451" t="str">
        <f>'No Recurrentes 24-26'!E151</f>
        <v>Repuesto Eléctrico</v>
      </c>
      <c r="F292" s="451" t="str">
        <f>'No Recurrentes 24-26'!F151</f>
        <v>LOCAL</v>
      </c>
      <c r="G292" s="1061" t="str">
        <f>'No Recurrentes 24-26'!G151</f>
        <v>39700</v>
      </c>
      <c r="H292" s="1061" t="str">
        <f>'No Recurrentes 24-26'!H151</f>
        <v>2-02-00653</v>
      </c>
      <c r="I292" s="1061">
        <f>'No Recurrentes 24-26'!I151</f>
        <v>0</v>
      </c>
      <c r="J292" s="1061" t="str">
        <f>'No Recurrentes 24-26'!J151</f>
        <v>BATERÍA LIBRE DE MANTENIMIENTO
12V - 9Ah, 2-02-00653</v>
      </c>
      <c r="K292" s="451" t="str">
        <f>'No Recurrentes 24-26'!K151</f>
        <v>Pza</v>
      </c>
      <c r="L292" s="451" t="str">
        <f>'No Recurrentes 24-26'!BC151</f>
        <v/>
      </c>
      <c r="M292" s="451" t="str">
        <f>'No Recurrentes 24-26'!BD151</f>
        <v/>
      </c>
      <c r="N292" s="451">
        <f>'No Recurrentes 24-26'!BE151</f>
        <v>60</v>
      </c>
      <c r="O292" s="451">
        <f>'No Recurrentes 24-26'!BF151</f>
        <v>280</v>
      </c>
      <c r="P292" s="451" t="str">
        <f>'No Recurrentes 24-26'!BG151</f>
        <v/>
      </c>
      <c r="Q292" s="451" t="str">
        <f>'No Recurrentes 24-26'!BH151</f>
        <v/>
      </c>
      <c r="R292" s="451" t="str">
        <f>'No Recurrentes 24-26'!BI151</f>
        <v/>
      </c>
      <c r="S292" s="451" t="str">
        <f>'No Recurrentes 24-26'!BJ151</f>
        <v/>
      </c>
      <c r="T292" s="451" t="str">
        <f>'No Recurrentes 24-26'!BK151</f>
        <v/>
      </c>
      <c r="U292" s="451">
        <f>'No Recurrentes 24-26'!BL151</f>
        <v>315</v>
      </c>
      <c r="V292" s="1068"/>
      <c r="W292" s="1062">
        <f>'No Recurrentes 24-26'!BM151</f>
        <v>655</v>
      </c>
      <c r="X292" s="1062" t="str">
        <f>'No Recurrentes 24-26'!BN151</f>
        <v/>
      </c>
      <c r="Y292" s="1062" t="str">
        <f>'No Recurrentes 24-26'!BO151</f>
        <v/>
      </c>
      <c r="Z292" s="1062" t="str">
        <f>'No Recurrentes 24-26'!BP151</f>
        <v/>
      </c>
      <c r="AA292" s="1062" t="str">
        <f>'No Recurrentes 24-26'!BQ151</f>
        <v/>
      </c>
      <c r="AB292" s="1062" t="str">
        <f>'No Recurrentes 24-26'!BR151</f>
        <v/>
      </c>
      <c r="AC292" s="1062" t="str">
        <f>'No Recurrentes 24-26'!BS151</f>
        <v/>
      </c>
      <c r="AD292" s="1062" t="str">
        <f>'No Recurrentes 24-26'!BT151</f>
        <v/>
      </c>
      <c r="AE292" s="1062" t="str">
        <f>'No Recurrentes 24-26'!BU151</f>
        <v/>
      </c>
      <c r="AF292" s="1062" t="str">
        <f>'No Recurrentes 24-26'!BV151</f>
        <v/>
      </c>
      <c r="AG292" s="1062" t="str">
        <f>'No Recurrentes 24-26'!BW151</f>
        <v/>
      </c>
      <c r="AH292" s="1068"/>
      <c r="AI292" s="1062">
        <f>'No Recurrentes 24-26'!BX151</f>
        <v>0</v>
      </c>
      <c r="AJ292" s="1062">
        <f>'No Recurrentes 24-26'!BY151</f>
        <v>0</v>
      </c>
      <c r="AK292" s="1062">
        <f>'No Recurrentes 24-26'!BZ151</f>
        <v>0</v>
      </c>
      <c r="AL292" s="1062">
        <f>'No Recurrentes 24-26'!CA151</f>
        <v>0</v>
      </c>
      <c r="AM292" s="1062">
        <f>'No Recurrentes 24-26'!CB151</f>
        <v>0</v>
      </c>
      <c r="AN292" s="1062">
        <f>'No Recurrentes 24-26'!CC151</f>
        <v>0</v>
      </c>
      <c r="AO292" s="1062">
        <f>'No Recurrentes 24-26'!CD151</f>
        <v>0</v>
      </c>
      <c r="AP292" s="1062">
        <f>'No Recurrentes 24-26'!CE151</f>
        <v>0</v>
      </c>
      <c r="AQ292" s="1062">
        <f>'No Recurrentes 24-26'!CF151</f>
        <v>0</v>
      </c>
      <c r="AR292" s="1062">
        <f>'No Recurrentes 24-26'!CG151</f>
        <v>0</v>
      </c>
      <c r="AS292" s="1062">
        <f>'No Recurrentes 24-26'!CH151</f>
        <v>0</v>
      </c>
      <c r="AT292" s="1068"/>
      <c r="AU292" s="1062">
        <f>'No Recurrentes 24-26'!CI151</f>
        <v>0</v>
      </c>
      <c r="AV292" s="1063">
        <f>'No Recurrentes 24-26'!CJ151</f>
        <v>655</v>
      </c>
      <c r="AW292" s="1068"/>
      <c r="AX292" s="1062" t="str">
        <f>'No Recurrentes 24-26'!CK151</f>
        <v/>
      </c>
      <c r="AY292" s="1062">
        <f>'No Recurrentes 24-26'!CL151</f>
        <v>205</v>
      </c>
      <c r="AZ292" s="1068"/>
      <c r="BA292" s="1062">
        <f>'No Recurrentes 24-26'!CM151</f>
        <v>0</v>
      </c>
      <c r="BB292" s="1062">
        <f>'No Recurrentes 24-26'!CN151</f>
        <v>0</v>
      </c>
      <c r="BC292" s="1062">
        <f>'No Recurrentes 24-26'!CO151</f>
        <v>12300</v>
      </c>
      <c r="BD292" s="1062">
        <f>'No Recurrentes 24-26'!CP151</f>
        <v>57400</v>
      </c>
      <c r="BE292" s="1062">
        <f>'No Recurrentes 24-26'!CQ151</f>
        <v>0</v>
      </c>
      <c r="BF292" s="1062">
        <f>'No Recurrentes 24-26'!CR151</f>
        <v>0</v>
      </c>
      <c r="BG292" s="1062">
        <f>'No Recurrentes 24-26'!CS151</f>
        <v>0</v>
      </c>
      <c r="BH292" s="1062">
        <f>'No Recurrentes 24-26'!CT151</f>
        <v>0</v>
      </c>
      <c r="BI292" s="1062">
        <f>'No Recurrentes 24-26'!CU151</f>
        <v>0</v>
      </c>
      <c r="BJ292" s="1062">
        <f>'No Recurrentes 24-26'!CV151</f>
        <v>64575</v>
      </c>
      <c r="BK292" s="1068"/>
      <c r="BL292" s="1062">
        <f>'No Recurrentes 24-26'!CW151</f>
        <v>134275</v>
      </c>
      <c r="BM292" s="1062">
        <f>'No Recurrentes 24-26'!CX151</f>
        <v>0</v>
      </c>
      <c r="BN292" s="1062">
        <f>'No Recurrentes 24-26'!CY151</f>
        <v>0</v>
      </c>
      <c r="BO292" s="1062">
        <f>'No Recurrentes 24-26'!CZ151</f>
        <v>0</v>
      </c>
      <c r="BP292" s="1062">
        <f>'No Recurrentes 24-26'!DA151</f>
        <v>0</v>
      </c>
      <c r="BQ292" s="1062">
        <f>'No Recurrentes 24-26'!DB151</f>
        <v>0</v>
      </c>
      <c r="BR292" s="1062">
        <f>'No Recurrentes 24-26'!DC151</f>
        <v>0</v>
      </c>
      <c r="BS292" s="1062">
        <f>'No Recurrentes 24-26'!DD151</f>
        <v>0</v>
      </c>
      <c r="BT292" s="1062">
        <f>'No Recurrentes 24-26'!DE151</f>
        <v>0</v>
      </c>
      <c r="BU292" s="1062">
        <f>'No Recurrentes 24-26'!DF151</f>
        <v>0</v>
      </c>
      <c r="BV292" s="1062">
        <f>'No Recurrentes 24-26'!DG151</f>
        <v>0</v>
      </c>
      <c r="BW292" s="1068"/>
      <c r="BX292" s="1062">
        <f>'No Recurrentes 24-26'!DH151</f>
        <v>0</v>
      </c>
      <c r="BY292" s="1062">
        <f>'No Recurrentes 24-26'!DI151</f>
        <v>0</v>
      </c>
      <c r="BZ292" s="1062">
        <f>'No Recurrentes 24-26'!DJ151</f>
        <v>0</v>
      </c>
      <c r="CA292" s="1062">
        <f>'No Recurrentes 24-26'!DK151</f>
        <v>0</v>
      </c>
      <c r="CB292" s="1062">
        <f>'No Recurrentes 24-26'!DL151</f>
        <v>0</v>
      </c>
      <c r="CC292" s="1062">
        <f>'No Recurrentes 24-26'!DM151</f>
        <v>0</v>
      </c>
      <c r="CD292" s="1062">
        <f>'No Recurrentes 24-26'!DN151</f>
        <v>0</v>
      </c>
      <c r="CE292" s="1062">
        <f>'No Recurrentes 24-26'!DO151</f>
        <v>0</v>
      </c>
      <c r="CF292" s="1062">
        <f>'No Recurrentes 24-26'!DP151</f>
        <v>0</v>
      </c>
      <c r="CG292" s="1062">
        <f>'No Recurrentes 24-26'!DQ151</f>
        <v>0</v>
      </c>
      <c r="CH292" s="1062">
        <f>'No Recurrentes 24-26'!DR151</f>
        <v>0</v>
      </c>
      <c r="CI292" s="1068"/>
      <c r="CJ292" s="1062">
        <f>'No Recurrentes 24-26'!DS151</f>
        <v>0</v>
      </c>
      <c r="CK292" s="1062">
        <f>'No Recurrentes 24-26'!DT151</f>
        <v>134275</v>
      </c>
      <c r="CL292" s="1064" t="str">
        <f>'No Recurrentes 24-26'!DU151</f>
        <v/>
      </c>
      <c r="CM292" s="1064" t="str">
        <f>'No Recurrentes 24-26'!DV151</f>
        <v>Precio referencial, segun cotizacion</v>
      </c>
      <c r="CN292" s="1060">
        <f>'No Recurrentes 24-26'!EI150</f>
        <v>1</v>
      </c>
      <c r="CO292" s="1060" t="str">
        <f>'No Recurrentes 24-26'!EJ150</f>
        <v/>
      </c>
      <c r="CP292" s="1060" t="str">
        <f>'No Recurrentes 24-26'!EK150</f>
        <v/>
      </c>
    </row>
    <row r="293">
      <c r="A293" s="451" t="str">
        <f>'No Recurrentes 24-26'!A152</f>
        <v>Repuestos Electromecánicos no recurrentes</v>
      </c>
      <c r="B293" s="451">
        <f>'No Recurrentes 24-26'!B152</f>
        <v>2</v>
      </c>
      <c r="C293" s="451" t="str">
        <f>'No Recurrentes 24-26'!C152</f>
        <v>Vehiculo</v>
      </c>
      <c r="D293" s="451" t="str">
        <f>'No Recurrentes 24-26'!D152</f>
        <v>Manto. gral. Cabina</v>
      </c>
      <c r="E293" s="451" t="str">
        <f>'No Recurrentes 24-26'!E152</f>
        <v>Insumo mecánico</v>
      </c>
      <c r="F293" s="451" t="str">
        <f>'No Recurrentes 24-26'!F152</f>
        <v>TDB</v>
      </c>
      <c r="G293" s="1025" t="str">
        <f>'No Recurrentes 24-26'!G152</f>
        <v>39800</v>
      </c>
      <c r="H293" s="1061" t="str">
        <f>'No Recurrentes 24-26'!H152</f>
        <v>2-01-00634</v>
      </c>
      <c r="I293" s="1061" t="str">
        <f>'No Recurrentes 24-26'!I152</f>
        <v>11673191</v>
      </c>
      <c r="J293" s="1061" t="str">
        <f>'No Recurrentes 24-26'!J152</f>
        <v>BULÓN DE BLOQUEO P. ASIENTOS Nº ART.: 10-000477 CWA</v>
      </c>
      <c r="K293" s="451" t="str">
        <f>'No Recurrentes 24-26'!K152</f>
        <v>Pza</v>
      </c>
      <c r="L293" s="451" t="str">
        <f>'No Recurrentes 24-26'!BC152</f>
        <v/>
      </c>
      <c r="M293" s="451" t="str">
        <f>'No Recurrentes 24-26'!BD152</f>
        <v/>
      </c>
      <c r="N293" s="451" t="str">
        <f>'No Recurrentes 24-26'!BE152</f>
        <v/>
      </c>
      <c r="O293" s="451" t="str">
        <f>'No Recurrentes 24-26'!BF152</f>
        <v/>
      </c>
      <c r="P293" s="451" t="str">
        <f>'No Recurrentes 24-26'!BG152</f>
        <v/>
      </c>
      <c r="Q293" s="451" t="str">
        <f>'No Recurrentes 24-26'!BH152</f>
        <v/>
      </c>
      <c r="R293" s="451" t="str">
        <f>'No Recurrentes 24-26'!BI152</f>
        <v/>
      </c>
      <c r="S293" s="451" t="str">
        <f>'No Recurrentes 24-26'!BJ152</f>
        <v/>
      </c>
      <c r="T293" s="451" t="str">
        <f>'No Recurrentes 24-26'!BK152</f>
        <v/>
      </c>
      <c r="U293" s="451" t="str">
        <f>'No Recurrentes 24-26'!BL152</f>
        <v/>
      </c>
      <c r="V293" s="1068"/>
      <c r="W293" s="1062">
        <f>'No Recurrentes 24-26'!BM152</f>
        <v>0</v>
      </c>
      <c r="X293" s="1062">
        <f>'No Recurrentes 24-26'!BN152</f>
        <v>15</v>
      </c>
      <c r="Y293" s="1062">
        <f>'No Recurrentes 24-26'!BO152</f>
        <v>10</v>
      </c>
      <c r="Z293" s="1062">
        <f>'No Recurrentes 24-26'!BP152</f>
        <v>15</v>
      </c>
      <c r="AA293" s="1062">
        <f>'No Recurrentes 24-26'!BQ152</f>
        <v>5</v>
      </c>
      <c r="AB293" s="1062">
        <f>'No Recurrentes 24-26'!BR152</f>
        <v>7</v>
      </c>
      <c r="AC293" s="1062">
        <f>'No Recurrentes 24-26'!BS152</f>
        <v>10</v>
      </c>
      <c r="AD293" s="1062">
        <f>'No Recurrentes 24-26'!BT152</f>
        <v>5</v>
      </c>
      <c r="AE293" s="1062">
        <f>'No Recurrentes 24-26'!BU152</f>
        <v>5</v>
      </c>
      <c r="AF293" s="1062" t="str">
        <f>'No Recurrentes 24-26'!BV152</f>
        <v/>
      </c>
      <c r="AG293" s="1062" t="str">
        <f>'No Recurrentes 24-26'!BW152</f>
        <v/>
      </c>
      <c r="AH293" s="1068"/>
      <c r="AI293" s="1062">
        <f>'No Recurrentes 24-26'!BX152</f>
        <v>72</v>
      </c>
      <c r="AJ293" s="1062">
        <f>'No Recurrentes 24-26'!BY152</f>
        <v>0</v>
      </c>
      <c r="AK293" s="1062">
        <f>'No Recurrentes 24-26'!BZ152</f>
        <v>0</v>
      </c>
      <c r="AL293" s="1062">
        <f>'No Recurrentes 24-26'!CA152</f>
        <v>0</v>
      </c>
      <c r="AM293" s="1062">
        <f>'No Recurrentes 24-26'!CB152</f>
        <v>0</v>
      </c>
      <c r="AN293" s="1062">
        <f>'No Recurrentes 24-26'!CC152</f>
        <v>0</v>
      </c>
      <c r="AO293" s="1062">
        <f>'No Recurrentes 24-26'!CD152</f>
        <v>0</v>
      </c>
      <c r="AP293" s="1062">
        <f>'No Recurrentes 24-26'!CE152</f>
        <v>0</v>
      </c>
      <c r="AQ293" s="1062">
        <f>'No Recurrentes 24-26'!CF152</f>
        <v>0</v>
      </c>
      <c r="AR293" s="1062">
        <f>'No Recurrentes 24-26'!CG152</f>
        <v>0</v>
      </c>
      <c r="AS293" s="1062">
        <f>'No Recurrentes 24-26'!CH152</f>
        <v>0</v>
      </c>
      <c r="AT293" s="1068"/>
      <c r="AU293" s="1062">
        <f>'No Recurrentes 24-26'!CI152</f>
        <v>0</v>
      </c>
      <c r="AV293" s="1063">
        <f>'No Recurrentes 24-26'!CJ152</f>
        <v>72</v>
      </c>
      <c r="AW293" s="1068"/>
      <c r="AX293" s="1065">
        <f>'No Recurrentes 24-26'!CK152</f>
        <v>106.68</v>
      </c>
      <c r="AY293" s="1062">
        <f>'No Recurrentes 24-26'!CL152</f>
        <v>742.4928</v>
      </c>
      <c r="AZ293" s="1068"/>
      <c r="BA293" s="1062">
        <f>'No Recurrentes 24-26'!CM152</f>
        <v>0</v>
      </c>
      <c r="BB293" s="1062">
        <f>'No Recurrentes 24-26'!CN152</f>
        <v>0</v>
      </c>
      <c r="BC293" s="1062">
        <f>'No Recurrentes 24-26'!CO152</f>
        <v>0</v>
      </c>
      <c r="BD293" s="1062">
        <f>'No Recurrentes 24-26'!CP152</f>
        <v>0</v>
      </c>
      <c r="BE293" s="1062">
        <f>'No Recurrentes 24-26'!CQ152</f>
        <v>0</v>
      </c>
      <c r="BF293" s="1062">
        <f>'No Recurrentes 24-26'!CR152</f>
        <v>0</v>
      </c>
      <c r="BG293" s="1062">
        <f>'No Recurrentes 24-26'!CS152</f>
        <v>0</v>
      </c>
      <c r="BH293" s="1062">
        <f>'No Recurrentes 24-26'!CT152</f>
        <v>0</v>
      </c>
      <c r="BI293" s="1062">
        <f>'No Recurrentes 24-26'!CU152</f>
        <v>0</v>
      </c>
      <c r="BJ293" s="1062">
        <f>'No Recurrentes 24-26'!CV152</f>
        <v>0</v>
      </c>
      <c r="BK293" s="1068"/>
      <c r="BL293" s="1062">
        <f>'No Recurrentes 24-26'!CW152</f>
        <v>0</v>
      </c>
      <c r="BM293" s="1062">
        <f>'No Recurrentes 24-26'!CX152</f>
        <v>11137.392</v>
      </c>
      <c r="BN293" s="1062">
        <f>'No Recurrentes 24-26'!CY152</f>
        <v>7424.928</v>
      </c>
      <c r="BO293" s="1062">
        <f>'No Recurrentes 24-26'!CZ152</f>
        <v>11137.392</v>
      </c>
      <c r="BP293" s="1062">
        <f>'No Recurrentes 24-26'!DA152</f>
        <v>3712.464</v>
      </c>
      <c r="BQ293" s="1062">
        <f>'No Recurrentes 24-26'!DB152</f>
        <v>5197.4496</v>
      </c>
      <c r="BR293" s="1062">
        <f>'No Recurrentes 24-26'!DC152</f>
        <v>7424.928</v>
      </c>
      <c r="BS293" s="1062">
        <f>'No Recurrentes 24-26'!DD152</f>
        <v>3712.464</v>
      </c>
      <c r="BT293" s="1062">
        <f>'No Recurrentes 24-26'!DE152</f>
        <v>3712.464</v>
      </c>
      <c r="BU293" s="1062">
        <f>'No Recurrentes 24-26'!DF152</f>
        <v>0</v>
      </c>
      <c r="BV293" s="1062">
        <f>'No Recurrentes 24-26'!DG152</f>
        <v>0</v>
      </c>
      <c r="BW293" s="1068"/>
      <c r="BX293" s="1062">
        <f>'No Recurrentes 24-26'!DH152</f>
        <v>53459.4816</v>
      </c>
      <c r="BY293" s="1062">
        <f>'No Recurrentes 24-26'!DI152</f>
        <v>0</v>
      </c>
      <c r="BZ293" s="1062">
        <f>'No Recurrentes 24-26'!DJ152</f>
        <v>0</v>
      </c>
      <c r="CA293" s="1062">
        <f>'No Recurrentes 24-26'!DK152</f>
        <v>0</v>
      </c>
      <c r="CB293" s="1062">
        <f>'No Recurrentes 24-26'!DL152</f>
        <v>0</v>
      </c>
      <c r="CC293" s="1062">
        <f>'No Recurrentes 24-26'!DM152</f>
        <v>0</v>
      </c>
      <c r="CD293" s="1062">
        <f>'No Recurrentes 24-26'!DN152</f>
        <v>0</v>
      </c>
      <c r="CE293" s="1062">
        <f>'No Recurrentes 24-26'!DO152</f>
        <v>0</v>
      </c>
      <c r="CF293" s="1062">
        <f>'No Recurrentes 24-26'!DP152</f>
        <v>0</v>
      </c>
      <c r="CG293" s="1062">
        <f>'No Recurrentes 24-26'!DQ152</f>
        <v>0</v>
      </c>
      <c r="CH293" s="1062">
        <f>'No Recurrentes 24-26'!DR152</f>
        <v>0</v>
      </c>
      <c r="CI293" s="1068"/>
      <c r="CJ293" s="1062">
        <f>'No Recurrentes 24-26'!DS152</f>
        <v>0</v>
      </c>
      <c r="CK293" s="1062">
        <f>'No Recurrentes 24-26'!DT152</f>
        <v>53459.4816</v>
      </c>
      <c r="CL293" s="1064" t="str">
        <f>'No Recurrentes 24-26'!DU152</f>
        <v/>
      </c>
      <c r="CM293" s="1064" t="str">
        <f>'No Recurrentes 24-26'!DV152</f>
        <v>Mover, del 2024 al 2025 al 2026</v>
      </c>
      <c r="CN293" s="1060">
        <f>'No Recurrentes 24-26'!EI151</f>
        <v>1</v>
      </c>
      <c r="CO293" s="1060" t="str">
        <f>'No Recurrentes 24-26'!EJ151</f>
        <v/>
      </c>
      <c r="CP293" s="1060" t="str">
        <f>'No Recurrentes 24-26'!EK151</f>
        <v/>
      </c>
    </row>
    <row r="294">
      <c r="A294" s="451" t="str">
        <f>'No Recurrentes 24-26'!A153</f>
        <v>Repuestos Electromecánicos no recurrentes</v>
      </c>
      <c r="B294" s="451">
        <f>'No Recurrentes 24-26'!B153</f>
        <v>2</v>
      </c>
      <c r="C294" s="451" t="str">
        <f>'No Recurrentes 24-26'!C153</f>
        <v>Vehiculo</v>
      </c>
      <c r="D294" s="451" t="str">
        <f>'No Recurrentes 24-26'!D153</f>
        <v>Manto. gral. Cabina</v>
      </c>
      <c r="E294" s="451" t="str">
        <f>'No Recurrentes 24-26'!E153</f>
        <v>Insumo mecánico</v>
      </c>
      <c r="F294" s="451" t="str">
        <f>'No Recurrentes 24-26'!F153</f>
        <v>TDB</v>
      </c>
      <c r="G294" s="1025" t="str">
        <f>'No Recurrentes 24-26'!G153</f>
        <v>39800</v>
      </c>
      <c r="H294" s="1061" t="str">
        <f>'No Recurrentes 24-26'!H153</f>
        <v/>
      </c>
      <c r="I294" s="1061" t="str">
        <f>'No Recurrentes 24-26'!I153</f>
        <v>11101309</v>
      </c>
      <c r="J294" s="1061" t="str">
        <f>'No Recurrentes 24-26'!J153</f>
        <v>RODAMIENTO C.SOP:ABRIDADO BK1 20/23/30X20+1,5 NO.ART.: 806568</v>
      </c>
      <c r="K294" s="451" t="str">
        <f>'No Recurrentes 24-26'!K153</f>
        <v>Pza</v>
      </c>
      <c r="L294" s="451">
        <f>'No Recurrentes 24-26'!BC153</f>
        <v>170</v>
      </c>
      <c r="M294" s="451">
        <f>'No Recurrentes 24-26'!BD153</f>
        <v>100</v>
      </c>
      <c r="N294" s="451">
        <f>'No Recurrentes 24-26'!BE153</f>
        <v>350</v>
      </c>
      <c r="O294" s="451" t="str">
        <f>'No Recurrentes 24-26'!BF153</f>
        <v/>
      </c>
      <c r="P294" s="451" t="str">
        <f>'No Recurrentes 24-26'!BG153</f>
        <v/>
      </c>
      <c r="Q294" s="451" t="str">
        <f>'No Recurrentes 24-26'!BH153</f>
        <v/>
      </c>
      <c r="R294" s="451">
        <f>'No Recurrentes 24-26'!BI153</f>
        <v>133</v>
      </c>
      <c r="S294" s="451">
        <f>'No Recurrentes 24-26'!BJ153</f>
        <v>156</v>
      </c>
      <c r="T294" s="451">
        <f>'No Recurrentes 24-26'!BK153</f>
        <v>26</v>
      </c>
      <c r="U294" s="451" t="str">
        <f>'No Recurrentes 24-26'!BL153</f>
        <v/>
      </c>
      <c r="V294" s="1068"/>
      <c r="W294" s="1062">
        <f>'No Recurrentes 24-26'!BM153</f>
        <v>935</v>
      </c>
      <c r="X294" s="1062" t="str">
        <f>'No Recurrentes 24-26'!BN153</f>
        <v/>
      </c>
      <c r="Y294" s="1062" t="str">
        <f>'No Recurrentes 24-26'!BO153</f>
        <v/>
      </c>
      <c r="Z294" s="1062" t="str">
        <f>'No Recurrentes 24-26'!BP153</f>
        <v/>
      </c>
      <c r="AA294" s="1062">
        <f>'No Recurrentes 24-26'!BQ153</f>
        <v>220</v>
      </c>
      <c r="AB294" s="1062">
        <f>'No Recurrentes 24-26'!BR153</f>
        <v>252</v>
      </c>
      <c r="AC294" s="1062">
        <f>'No Recurrentes 24-26'!BS153</f>
        <v>416</v>
      </c>
      <c r="AD294" s="1062">
        <f>'No Recurrentes 24-26'!BT153</f>
        <v>133</v>
      </c>
      <c r="AE294" s="1062">
        <f>'No Recurrentes 24-26'!BU153</f>
        <v>156</v>
      </c>
      <c r="AF294" s="1062">
        <f>'No Recurrentes 24-26'!BV153</f>
        <v>26</v>
      </c>
      <c r="AG294" s="1062" t="str">
        <f>'No Recurrentes 24-26'!BW153</f>
        <v/>
      </c>
      <c r="AH294" s="1068"/>
      <c r="AI294" s="1062">
        <f>'No Recurrentes 24-26'!BX153</f>
        <v>1203</v>
      </c>
      <c r="AJ294" s="1062">
        <f>'No Recurrentes 24-26'!BY153</f>
        <v>0</v>
      </c>
      <c r="AK294" s="1062">
        <f>'No Recurrentes 24-26'!BZ153</f>
        <v>0</v>
      </c>
      <c r="AL294" s="1062">
        <f>'No Recurrentes 24-26'!CA153</f>
        <v>0</v>
      </c>
      <c r="AM294" s="1062">
        <f>'No Recurrentes 24-26'!CB153</f>
        <v>0</v>
      </c>
      <c r="AN294" s="1062">
        <f>'No Recurrentes 24-26'!CC153</f>
        <v>0</v>
      </c>
      <c r="AO294" s="1062">
        <f>'No Recurrentes 24-26'!CD153</f>
        <v>0</v>
      </c>
      <c r="AP294" s="1062">
        <f>'No Recurrentes 24-26'!CE153</f>
        <v>133</v>
      </c>
      <c r="AQ294" s="1062">
        <f>'No Recurrentes 24-26'!CF153</f>
        <v>156</v>
      </c>
      <c r="AR294" s="1062">
        <f>'No Recurrentes 24-26'!CG153</f>
        <v>26</v>
      </c>
      <c r="AS294" s="1062">
        <f>'No Recurrentes 24-26'!CH153</f>
        <v>0</v>
      </c>
      <c r="AT294" s="1068"/>
      <c r="AU294" s="1062">
        <f>'No Recurrentes 24-26'!CI153</f>
        <v>315</v>
      </c>
      <c r="AV294" s="1063">
        <f>'No Recurrentes 24-26'!CJ153</f>
        <v>2453</v>
      </c>
      <c r="AW294" s="1068"/>
      <c r="AX294" s="1065">
        <f>'No Recurrentes 24-26'!CK153</f>
        <v>13.69</v>
      </c>
      <c r="AY294" s="1062">
        <f>'No Recurrentes 24-26'!CL153</f>
        <v>95.2824</v>
      </c>
      <c r="AZ294" s="1068"/>
      <c r="BA294" s="1062">
        <f>'No Recurrentes 24-26'!CM153</f>
        <v>16198.008</v>
      </c>
      <c r="BB294" s="1062">
        <f>'No Recurrentes 24-26'!CN153</f>
        <v>9528.24</v>
      </c>
      <c r="BC294" s="1062">
        <f>'No Recurrentes 24-26'!CO153</f>
        <v>33348.84</v>
      </c>
      <c r="BD294" s="1062">
        <f>'No Recurrentes 24-26'!CP153</f>
        <v>0</v>
      </c>
      <c r="BE294" s="1062">
        <f>'No Recurrentes 24-26'!CQ153</f>
        <v>0</v>
      </c>
      <c r="BF294" s="1062">
        <f>'No Recurrentes 24-26'!CR153</f>
        <v>0</v>
      </c>
      <c r="BG294" s="1062">
        <f>'No Recurrentes 24-26'!CS153</f>
        <v>12672.5592</v>
      </c>
      <c r="BH294" s="1062">
        <f>'No Recurrentes 24-26'!CT153</f>
        <v>14864.0544</v>
      </c>
      <c r="BI294" s="1062">
        <f>'No Recurrentes 24-26'!CU153</f>
        <v>2477.3424</v>
      </c>
      <c r="BJ294" s="1062">
        <f>'No Recurrentes 24-26'!CV153</f>
        <v>0</v>
      </c>
      <c r="BK294" s="1068"/>
      <c r="BL294" s="1062">
        <f>'No Recurrentes 24-26'!CW153</f>
        <v>89089.044</v>
      </c>
      <c r="BM294" s="1062">
        <f>'No Recurrentes 24-26'!CX153</f>
        <v>0</v>
      </c>
      <c r="BN294" s="1062">
        <f>'No Recurrentes 24-26'!CY153</f>
        <v>0</v>
      </c>
      <c r="BO294" s="1062">
        <f>'No Recurrentes 24-26'!CZ153</f>
        <v>0</v>
      </c>
      <c r="BP294" s="1062">
        <f>'No Recurrentes 24-26'!DA153</f>
        <v>20962.128</v>
      </c>
      <c r="BQ294" s="1062">
        <f>'No Recurrentes 24-26'!DB153</f>
        <v>24011.1648</v>
      </c>
      <c r="BR294" s="1062">
        <f>'No Recurrentes 24-26'!DC153</f>
        <v>39637.4784</v>
      </c>
      <c r="BS294" s="1062">
        <f>'No Recurrentes 24-26'!DD153</f>
        <v>12672.5592</v>
      </c>
      <c r="BT294" s="1062">
        <f>'No Recurrentes 24-26'!DE153</f>
        <v>14864.0544</v>
      </c>
      <c r="BU294" s="1062">
        <f>'No Recurrentes 24-26'!DF153</f>
        <v>2477.3424</v>
      </c>
      <c r="BV294" s="1062">
        <f>'No Recurrentes 24-26'!DG153</f>
        <v>0</v>
      </c>
      <c r="BW294" s="1068"/>
      <c r="BX294" s="1062">
        <f>'No Recurrentes 24-26'!DH153</f>
        <v>114624.7272</v>
      </c>
      <c r="BY294" s="1062">
        <f>'No Recurrentes 24-26'!DI153</f>
        <v>0</v>
      </c>
      <c r="BZ294" s="1062">
        <f>'No Recurrentes 24-26'!DJ153</f>
        <v>0</v>
      </c>
      <c r="CA294" s="1062">
        <f>'No Recurrentes 24-26'!DK153</f>
        <v>0</v>
      </c>
      <c r="CB294" s="1062">
        <f>'No Recurrentes 24-26'!DL153</f>
        <v>0</v>
      </c>
      <c r="CC294" s="1062">
        <f>'No Recurrentes 24-26'!DM153</f>
        <v>0</v>
      </c>
      <c r="CD294" s="1062">
        <f>'No Recurrentes 24-26'!DN153</f>
        <v>0</v>
      </c>
      <c r="CE294" s="1062">
        <f>'No Recurrentes 24-26'!DO153</f>
        <v>12672.5592</v>
      </c>
      <c r="CF294" s="1062">
        <f>'No Recurrentes 24-26'!DP153</f>
        <v>14864.0544</v>
      </c>
      <c r="CG294" s="1062">
        <f>'No Recurrentes 24-26'!DQ153</f>
        <v>2477.3424</v>
      </c>
      <c r="CH294" s="1062">
        <f>'No Recurrentes 24-26'!DR153</f>
        <v>0</v>
      </c>
      <c r="CI294" s="1068"/>
      <c r="CJ294" s="1062">
        <f>'No Recurrentes 24-26'!DS153</f>
        <v>30013.956</v>
      </c>
      <c r="CK294" s="1062">
        <f>'No Recurrentes 24-26'!DT153</f>
        <v>233727.7272</v>
      </c>
      <c r="CL294" s="1064" t="str">
        <f>'No Recurrentes 24-26'!DU153</f>
        <v/>
      </c>
      <c r="CM294" s="1064" t="str">
        <f>'No Recurrentes 24-26'!DV153</f>
        <v>Efectivamente es el casquillo indicado</v>
      </c>
      <c r="CN294" s="1065">
        <f>'No Recurrentes 24-26'!EI152</f>
        <v>106.68</v>
      </c>
      <c r="CO294" s="1065">
        <f>'No Recurrentes 24-26'!EJ152</f>
        <v>90.68</v>
      </c>
      <c r="CP294" s="1060" t="str">
        <f>'No Recurrentes 24-26'!EK152</f>
        <v/>
      </c>
    </row>
    <row r="295">
      <c r="A295" s="451" t="str">
        <f>'No Recurrentes 24-26'!A154</f>
        <v>Repuestos Electromecánicos no recurrentes</v>
      </c>
      <c r="B295" s="451">
        <f>'No Recurrentes 24-26'!B154</f>
        <v>38</v>
      </c>
      <c r="C295" s="451" t="str">
        <f>'No Recurrentes 24-26'!C154</f>
        <v>Vehiculo</v>
      </c>
      <c r="D295" s="451" t="str">
        <f>'No Recurrentes 24-26'!D154</f>
        <v>Manto. gral. Cabina</v>
      </c>
      <c r="E295" s="451" t="str">
        <f>'No Recurrentes 24-26'!E154</f>
        <v>Insumo mecánico</v>
      </c>
      <c r="F295" s="451" t="str">
        <f>'No Recurrentes 24-26'!F154</f>
        <v>LOCAL</v>
      </c>
      <c r="G295" s="1061" t="str">
        <f>'No Recurrentes 24-26'!G154</f>
        <v>39800</v>
      </c>
      <c r="H295" s="1061" t="str">
        <f>'No Recurrentes 24-26'!H154</f>
        <v/>
      </c>
      <c r="I295" s="1061" t="str">
        <f>'No Recurrentes 24-26'!I154</f>
        <v/>
      </c>
      <c r="J295" s="1061" t="str">
        <f>'No Recurrentes 24-26'!J154</f>
        <v>PASADOR P. PEDESTAL INOX 58,7X40X400MM ART.: 11-067649</v>
      </c>
      <c r="K295" s="451" t="str">
        <f>'No Recurrentes 24-26'!K154</f>
        <v>Pza</v>
      </c>
      <c r="L295" s="451">
        <f>'No Recurrentes 24-26'!BC154</f>
        <v>60</v>
      </c>
      <c r="M295" s="451" t="str">
        <f>'No Recurrentes 24-26'!BD154</f>
        <v/>
      </c>
      <c r="N295" s="451" t="str">
        <f>'No Recurrentes 24-26'!BE154</f>
        <v/>
      </c>
      <c r="O295" s="451" t="str">
        <f>'No Recurrentes 24-26'!BF154</f>
        <v/>
      </c>
      <c r="P295" s="451" t="str">
        <f>'No Recurrentes 24-26'!BG154</f>
        <v/>
      </c>
      <c r="Q295" s="451" t="str">
        <f>'No Recurrentes 24-26'!BH154</f>
        <v/>
      </c>
      <c r="R295" s="451" t="str">
        <f>'No Recurrentes 24-26'!BI154</f>
        <v/>
      </c>
      <c r="S295" s="451" t="str">
        <f>'No Recurrentes 24-26'!BJ154</f>
        <v/>
      </c>
      <c r="T295" s="451" t="str">
        <f>'No Recurrentes 24-26'!BK154</f>
        <v/>
      </c>
      <c r="U295" s="451" t="str">
        <f>'No Recurrentes 24-26'!BL154</f>
        <v/>
      </c>
      <c r="V295" s="1068"/>
      <c r="W295" s="1062">
        <f>'No Recurrentes 24-26'!BM154</f>
        <v>60</v>
      </c>
      <c r="X295" s="1062">
        <f>'No Recurrentes 24-26'!BN154</f>
        <v>60</v>
      </c>
      <c r="Y295" s="1062">
        <f>'No Recurrentes 24-26'!BO154</f>
        <v>30</v>
      </c>
      <c r="Z295" s="1062" t="str">
        <f>'No Recurrentes 24-26'!BP154</f>
        <v/>
      </c>
      <c r="AA295" s="1062" t="str">
        <f>'No Recurrentes 24-26'!BQ154</f>
        <v/>
      </c>
      <c r="AB295" s="1062">
        <f>'No Recurrentes 24-26'!BR154</f>
        <v>126</v>
      </c>
      <c r="AC295" s="1062" t="str">
        <f>'No Recurrentes 24-26'!BS154</f>
        <v/>
      </c>
      <c r="AD295" s="1062" t="str">
        <f>'No Recurrentes 24-26'!BT154</f>
        <v/>
      </c>
      <c r="AE295" s="1062" t="str">
        <f>'No Recurrentes 24-26'!BU154</f>
        <v/>
      </c>
      <c r="AF295" s="1062" t="str">
        <f>'No Recurrentes 24-26'!BV154</f>
        <v/>
      </c>
      <c r="AG295" s="1062" t="str">
        <f>'No Recurrentes 24-26'!BW154</f>
        <v/>
      </c>
      <c r="AH295" s="1068"/>
      <c r="AI295" s="1062">
        <f>'No Recurrentes 24-26'!BX154</f>
        <v>216</v>
      </c>
      <c r="AJ295" s="1062">
        <f>'No Recurrentes 24-26'!BY154</f>
        <v>0</v>
      </c>
      <c r="AK295" s="1062">
        <f>'No Recurrentes 24-26'!BZ154</f>
        <v>0</v>
      </c>
      <c r="AL295" s="1062">
        <f>'No Recurrentes 24-26'!CA154</f>
        <v>0</v>
      </c>
      <c r="AM295" s="1062">
        <f>'No Recurrentes 24-26'!CB154</f>
        <v>0</v>
      </c>
      <c r="AN295" s="1062">
        <f>'No Recurrentes 24-26'!CC154</f>
        <v>0</v>
      </c>
      <c r="AO295" s="1062">
        <f>'No Recurrentes 24-26'!CD154</f>
        <v>0</v>
      </c>
      <c r="AP295" s="1062">
        <f>'No Recurrentes 24-26'!CE154</f>
        <v>0</v>
      </c>
      <c r="AQ295" s="1062">
        <f>'No Recurrentes 24-26'!CF154</f>
        <v>0</v>
      </c>
      <c r="AR295" s="1062">
        <f>'No Recurrentes 24-26'!CG154</f>
        <v>0</v>
      </c>
      <c r="AS295" s="1062">
        <f>'No Recurrentes 24-26'!CH154</f>
        <v>0</v>
      </c>
      <c r="AT295" s="1068"/>
      <c r="AU295" s="1062">
        <f>'No Recurrentes 24-26'!CI154</f>
        <v>0</v>
      </c>
      <c r="AV295" s="1063">
        <f>'No Recurrentes 24-26'!CJ154</f>
        <v>276</v>
      </c>
      <c r="AW295" s="1068"/>
      <c r="AX295" s="1062" t="str">
        <f>'No Recurrentes 24-26'!CK154</f>
        <v/>
      </c>
      <c r="AY295" s="1062">
        <f>'No Recurrentes 24-26'!CL154</f>
        <v>594.5</v>
      </c>
      <c r="AZ295" s="1068"/>
      <c r="BA295" s="1062">
        <f>'No Recurrentes 24-26'!CM154</f>
        <v>35670</v>
      </c>
      <c r="BB295" s="1062">
        <f>'No Recurrentes 24-26'!CN154</f>
        <v>0</v>
      </c>
      <c r="BC295" s="1062">
        <f>'No Recurrentes 24-26'!CO154</f>
        <v>0</v>
      </c>
      <c r="BD295" s="1062">
        <f>'No Recurrentes 24-26'!CP154</f>
        <v>0</v>
      </c>
      <c r="BE295" s="1062">
        <f>'No Recurrentes 24-26'!CQ154</f>
        <v>0</v>
      </c>
      <c r="BF295" s="1062">
        <f>'No Recurrentes 24-26'!CR154</f>
        <v>0</v>
      </c>
      <c r="BG295" s="1062">
        <f>'No Recurrentes 24-26'!CS154</f>
        <v>0</v>
      </c>
      <c r="BH295" s="1062">
        <f>'No Recurrentes 24-26'!CT154</f>
        <v>0</v>
      </c>
      <c r="BI295" s="1062">
        <f>'No Recurrentes 24-26'!CU154</f>
        <v>0</v>
      </c>
      <c r="BJ295" s="1062">
        <f>'No Recurrentes 24-26'!CV154</f>
        <v>0</v>
      </c>
      <c r="BK295" s="1068"/>
      <c r="BL295" s="1062">
        <f>'No Recurrentes 24-26'!CW154</f>
        <v>35670</v>
      </c>
      <c r="BM295" s="1062">
        <f>'No Recurrentes 24-26'!CX154</f>
        <v>35670</v>
      </c>
      <c r="BN295" s="1062">
        <f>'No Recurrentes 24-26'!CY154</f>
        <v>17835</v>
      </c>
      <c r="BO295" s="1062">
        <f>'No Recurrentes 24-26'!CZ154</f>
        <v>0</v>
      </c>
      <c r="BP295" s="1062">
        <f>'No Recurrentes 24-26'!DA154</f>
        <v>0</v>
      </c>
      <c r="BQ295" s="1062">
        <f>'No Recurrentes 24-26'!DB154</f>
        <v>74907</v>
      </c>
      <c r="BR295" s="1062">
        <f>'No Recurrentes 24-26'!DC154</f>
        <v>0</v>
      </c>
      <c r="BS295" s="1062">
        <f>'No Recurrentes 24-26'!DD154</f>
        <v>0</v>
      </c>
      <c r="BT295" s="1062">
        <f>'No Recurrentes 24-26'!DE154</f>
        <v>0</v>
      </c>
      <c r="BU295" s="1062">
        <f>'No Recurrentes 24-26'!DF154</f>
        <v>0</v>
      </c>
      <c r="BV295" s="1062">
        <f>'No Recurrentes 24-26'!DG154</f>
        <v>0</v>
      </c>
      <c r="BW295" s="1068"/>
      <c r="BX295" s="1062">
        <f>'No Recurrentes 24-26'!DH154</f>
        <v>128412</v>
      </c>
      <c r="BY295" s="1062">
        <f>'No Recurrentes 24-26'!DI154</f>
        <v>0</v>
      </c>
      <c r="BZ295" s="1062">
        <f>'No Recurrentes 24-26'!DJ154</f>
        <v>0</v>
      </c>
      <c r="CA295" s="1062">
        <f>'No Recurrentes 24-26'!DK154</f>
        <v>0</v>
      </c>
      <c r="CB295" s="1062">
        <f>'No Recurrentes 24-26'!DL154</f>
        <v>0</v>
      </c>
      <c r="CC295" s="1062">
        <f>'No Recurrentes 24-26'!DM154</f>
        <v>0</v>
      </c>
      <c r="CD295" s="1062">
        <f>'No Recurrentes 24-26'!DN154</f>
        <v>0</v>
      </c>
      <c r="CE295" s="1062">
        <f>'No Recurrentes 24-26'!DO154</f>
        <v>0</v>
      </c>
      <c r="CF295" s="1062">
        <f>'No Recurrentes 24-26'!DP154</f>
        <v>0</v>
      </c>
      <c r="CG295" s="1062">
        <f>'No Recurrentes 24-26'!DQ154</f>
        <v>0</v>
      </c>
      <c r="CH295" s="1062">
        <f>'No Recurrentes 24-26'!DR154</f>
        <v>0</v>
      </c>
      <c r="CI295" s="1068"/>
      <c r="CJ295" s="1062">
        <f>'No Recurrentes 24-26'!DS154</f>
        <v>0</v>
      </c>
      <c r="CK295" s="1062">
        <f>'No Recurrentes 24-26'!DT154</f>
        <v>164082</v>
      </c>
      <c r="CL295" s="1064" t="str">
        <f>'No Recurrentes 24-26'!DU154</f>
        <v/>
      </c>
      <c r="CM295" s="1064" t="str">
        <f>'No Recurrentes 24-26'!DV154</f>
        <v>Consultar Reducción de cantidad (MO, PL, NA), se sugiere realizar el cambio con la cotización de Indumar, cada inserto cuesta Bs.594,50</v>
      </c>
      <c r="CN295" s="1065">
        <f>'No Recurrentes 24-26'!EI153</f>
        <v>13.69</v>
      </c>
      <c r="CO295" s="1065">
        <f>'No Recurrentes 24-26'!EJ153</f>
        <v>11.64</v>
      </c>
      <c r="CP295" s="1060" t="str">
        <f>'No Recurrentes 24-26'!EK153</f>
        <v/>
      </c>
    </row>
    <row r="296">
      <c r="A296" s="451" t="str">
        <f>'No Recurrentes 24-26'!A156</f>
        <v>Repuestos Electromecánicos no recurrentes</v>
      </c>
      <c r="B296" s="451">
        <f>'No Recurrentes 24-26'!B156</f>
        <v>2</v>
      </c>
      <c r="C296" s="451" t="str">
        <f>'No Recurrentes 24-26'!C156</f>
        <v>Vehiculo</v>
      </c>
      <c r="D296" s="451" t="str">
        <f>'No Recurrentes 24-26'!D156</f>
        <v>Manto. gral. Cabina</v>
      </c>
      <c r="E296" s="451" t="str">
        <f>'No Recurrentes 24-26'!E156</f>
        <v>Insumo mecánico</v>
      </c>
      <c r="F296" s="451" t="str">
        <f>'No Recurrentes 24-26'!F156</f>
        <v>TDB</v>
      </c>
      <c r="G296" s="1025" t="str">
        <f>'No Recurrentes 24-26'!G156</f>
        <v>39800</v>
      </c>
      <c r="H296" s="1061" t="str">
        <f>'No Recurrentes 24-26'!H156</f>
        <v/>
      </c>
      <c r="I296" s="1061" t="str">
        <f>'No Recurrentes 24-26'!I156</f>
        <v>90-041648</v>
      </c>
      <c r="J296" s="1061" t="str">
        <f>'No Recurrentes 24-26'!J156</f>
        <v>CERRADURA DE PESTILLO, OMIV
PARA CUBIERTAS LATERALES Y SUPERIORES</v>
      </c>
      <c r="K296" s="451" t="str">
        <f>'No Recurrentes 24-26'!K156</f>
        <v>Pza</v>
      </c>
      <c r="L296" s="451" t="str">
        <f>'No Recurrentes 24-26'!BC156</f>
        <v/>
      </c>
      <c r="M296" s="451" t="str">
        <f>'No Recurrentes 24-26'!BD156</f>
        <v/>
      </c>
      <c r="N296" s="451" t="str">
        <f>'No Recurrentes 24-26'!BE156</f>
        <v/>
      </c>
      <c r="O296" s="451" t="str">
        <f>'No Recurrentes 24-26'!BF156</f>
        <v/>
      </c>
      <c r="P296" s="451" t="str">
        <f>'No Recurrentes 24-26'!BG156</f>
        <v/>
      </c>
      <c r="Q296" s="451" t="str">
        <f>'No Recurrentes 24-26'!BH156</f>
        <v/>
      </c>
      <c r="R296" s="451" t="str">
        <f>'No Recurrentes 24-26'!BI156</f>
        <v/>
      </c>
      <c r="S296" s="451" t="str">
        <f>'No Recurrentes 24-26'!BJ156</f>
        <v/>
      </c>
      <c r="T296" s="451" t="str">
        <f>'No Recurrentes 24-26'!BK156</f>
        <v/>
      </c>
      <c r="U296" s="451" t="str">
        <f>'No Recurrentes 24-26'!BL156</f>
        <v/>
      </c>
      <c r="V296" s="1068"/>
      <c r="W296" s="1062">
        <f>'No Recurrentes 24-26'!BM156</f>
        <v>0</v>
      </c>
      <c r="X296" s="1062" t="str">
        <f>'No Recurrentes 24-26'!BN156</f>
        <v/>
      </c>
      <c r="Y296" s="1062" t="str">
        <f>'No Recurrentes 24-26'!BO156</f>
        <v/>
      </c>
      <c r="Z296" s="1062">
        <f>'No Recurrentes 24-26'!BP156</f>
        <v>100</v>
      </c>
      <c r="AA296" s="1062">
        <f>'No Recurrentes 24-26'!BQ156</f>
        <v>218</v>
      </c>
      <c r="AB296" s="1062" t="str">
        <f>'No Recurrentes 24-26'!BR156</f>
        <v/>
      </c>
      <c r="AC296" s="1062" t="str">
        <f>'No Recurrentes 24-26'!BS156</f>
        <v/>
      </c>
      <c r="AD296" s="1062" t="str">
        <f>'No Recurrentes 24-26'!BT156</f>
        <v/>
      </c>
      <c r="AE296" s="1062" t="str">
        <f>'No Recurrentes 24-26'!BU156</f>
        <v/>
      </c>
      <c r="AF296" s="1062" t="str">
        <f>'No Recurrentes 24-26'!BV156</f>
        <v/>
      </c>
      <c r="AG296" s="1062" t="str">
        <f>'No Recurrentes 24-26'!BW156</f>
        <v/>
      </c>
      <c r="AH296" s="1068"/>
      <c r="AI296" s="1062">
        <f>'No Recurrentes 24-26'!BX156</f>
        <v>318</v>
      </c>
      <c r="AJ296" s="1062">
        <f>'No Recurrentes 24-26'!BY156</f>
        <v>0</v>
      </c>
      <c r="AK296" s="1062">
        <f>'No Recurrentes 24-26'!BZ156</f>
        <v>0</v>
      </c>
      <c r="AL296" s="1062">
        <f>'No Recurrentes 24-26'!CA156</f>
        <v>100</v>
      </c>
      <c r="AM296" s="1062">
        <f>'No Recurrentes 24-26'!CB156</f>
        <v>218</v>
      </c>
      <c r="AN296" s="1062">
        <f>'No Recurrentes 24-26'!CC156</f>
        <v>0</v>
      </c>
      <c r="AO296" s="1062">
        <f>'No Recurrentes 24-26'!CD156</f>
        <v>0</v>
      </c>
      <c r="AP296" s="1062">
        <f>'No Recurrentes 24-26'!CE156</f>
        <v>0</v>
      </c>
      <c r="AQ296" s="1062">
        <f>'No Recurrentes 24-26'!CF156</f>
        <v>0</v>
      </c>
      <c r="AR296" s="1062">
        <f>'No Recurrentes 24-26'!CG156</f>
        <v>0</v>
      </c>
      <c r="AS296" s="1062">
        <f>'No Recurrentes 24-26'!CH156</f>
        <v>0</v>
      </c>
      <c r="AT296" s="1068"/>
      <c r="AU296" s="1062">
        <f>'No Recurrentes 24-26'!CI156</f>
        <v>318</v>
      </c>
      <c r="AV296" s="1063">
        <f>'No Recurrentes 24-26'!CJ156</f>
        <v>636</v>
      </c>
      <c r="AW296" s="1068"/>
      <c r="AX296" s="1065">
        <f>'No Recurrentes 24-26'!CK156</f>
        <v>69.03</v>
      </c>
      <c r="AY296" s="1062">
        <f>'No Recurrentes 24-26'!CL156</f>
        <v>480.4488</v>
      </c>
      <c r="AZ296" s="1068"/>
      <c r="BA296" s="1062">
        <f>'No Recurrentes 24-26'!CM156</f>
        <v>0</v>
      </c>
      <c r="BB296" s="1062">
        <f>'No Recurrentes 24-26'!CN156</f>
        <v>0</v>
      </c>
      <c r="BC296" s="1062">
        <f>'No Recurrentes 24-26'!CO156</f>
        <v>0</v>
      </c>
      <c r="BD296" s="1062">
        <f>'No Recurrentes 24-26'!CP156</f>
        <v>0</v>
      </c>
      <c r="BE296" s="1062">
        <f>'No Recurrentes 24-26'!CQ156</f>
        <v>0</v>
      </c>
      <c r="BF296" s="1062">
        <f>'No Recurrentes 24-26'!CR156</f>
        <v>0</v>
      </c>
      <c r="BG296" s="1062">
        <f>'No Recurrentes 24-26'!CS156</f>
        <v>0</v>
      </c>
      <c r="BH296" s="1062">
        <f>'No Recurrentes 24-26'!CT156</f>
        <v>0</v>
      </c>
      <c r="BI296" s="1062">
        <f>'No Recurrentes 24-26'!CU156</f>
        <v>0</v>
      </c>
      <c r="BJ296" s="1062">
        <f>'No Recurrentes 24-26'!CV156</f>
        <v>0</v>
      </c>
      <c r="BK296" s="1068"/>
      <c r="BL296" s="1062">
        <f>'No Recurrentes 24-26'!CW156</f>
        <v>0</v>
      </c>
      <c r="BM296" s="1062">
        <f>'No Recurrentes 24-26'!CX156</f>
        <v>0</v>
      </c>
      <c r="BN296" s="1062">
        <f>'No Recurrentes 24-26'!CY156</f>
        <v>0</v>
      </c>
      <c r="BO296" s="1062">
        <f>'No Recurrentes 24-26'!CZ156</f>
        <v>48044.88</v>
      </c>
      <c r="BP296" s="1062">
        <f>'No Recurrentes 24-26'!DA156</f>
        <v>104737.8384</v>
      </c>
      <c r="BQ296" s="1062">
        <f>'No Recurrentes 24-26'!DB156</f>
        <v>0</v>
      </c>
      <c r="BR296" s="1062">
        <f>'No Recurrentes 24-26'!DC156</f>
        <v>0</v>
      </c>
      <c r="BS296" s="1062">
        <f>'No Recurrentes 24-26'!DD156</f>
        <v>0</v>
      </c>
      <c r="BT296" s="1062">
        <f>'No Recurrentes 24-26'!DE156</f>
        <v>0</v>
      </c>
      <c r="BU296" s="1062">
        <f>'No Recurrentes 24-26'!DF156</f>
        <v>0</v>
      </c>
      <c r="BV296" s="1062">
        <f>'No Recurrentes 24-26'!DG156</f>
        <v>0</v>
      </c>
      <c r="BW296" s="1068"/>
      <c r="BX296" s="1062">
        <f>'No Recurrentes 24-26'!DH156</f>
        <v>152782.7184</v>
      </c>
      <c r="BY296" s="1062">
        <f>'No Recurrentes 24-26'!DI156</f>
        <v>0</v>
      </c>
      <c r="BZ296" s="1062">
        <f>'No Recurrentes 24-26'!DJ156</f>
        <v>0</v>
      </c>
      <c r="CA296" s="1062">
        <f>'No Recurrentes 24-26'!DK156</f>
        <v>48044.88</v>
      </c>
      <c r="CB296" s="1062">
        <f>'No Recurrentes 24-26'!DL156</f>
        <v>104737.8384</v>
      </c>
      <c r="CC296" s="1062">
        <f>'No Recurrentes 24-26'!DM156</f>
        <v>0</v>
      </c>
      <c r="CD296" s="1062">
        <f>'No Recurrentes 24-26'!DN156</f>
        <v>0</v>
      </c>
      <c r="CE296" s="1062">
        <f>'No Recurrentes 24-26'!DO156</f>
        <v>0</v>
      </c>
      <c r="CF296" s="1062">
        <f>'No Recurrentes 24-26'!DP156</f>
        <v>0</v>
      </c>
      <c r="CG296" s="1062">
        <f>'No Recurrentes 24-26'!DQ156</f>
        <v>0</v>
      </c>
      <c r="CH296" s="1062">
        <f>'No Recurrentes 24-26'!DR156</f>
        <v>0</v>
      </c>
      <c r="CI296" s="1068"/>
      <c r="CJ296" s="1062">
        <f>'No Recurrentes 24-26'!DS156</f>
        <v>152782.7184</v>
      </c>
      <c r="CK296" s="1062">
        <f>'No Recurrentes 24-26'!DT156</f>
        <v>305565.4368</v>
      </c>
      <c r="CL296" s="1064" t="str">
        <f>'No Recurrentes 24-26'!DU156</f>
        <v/>
      </c>
      <c r="CM296" s="1064" t="str">
        <f>'No Recurrentes 24-26'!DV156</f>
        <v>Investigar compra local. Investigacion</v>
      </c>
      <c r="CN296" s="1060">
        <f>'No Recurrentes 24-26'!EI154</f>
        <v>1</v>
      </c>
      <c r="CO296" s="1060" t="str">
        <f>'No Recurrentes 24-26'!EJ154</f>
        <v/>
      </c>
      <c r="CP296" s="1060" t="str">
        <f>'No Recurrentes 24-26'!EK154</f>
        <v/>
      </c>
    </row>
    <row r="297">
      <c r="A297" s="451" t="str">
        <f>'No Recurrentes 24-26'!A157</f>
        <v>Repuestos Electromecánicos no recurrentes</v>
      </c>
      <c r="B297" s="451">
        <f>'No Recurrentes 24-26'!B157</f>
        <v>2</v>
      </c>
      <c r="C297" s="451" t="str">
        <f>'No Recurrentes 24-26'!C157</f>
        <v>Vehiculo</v>
      </c>
      <c r="D297" s="451" t="str">
        <f>'No Recurrentes 24-26'!D157</f>
        <v>Manto. gral. Cabina</v>
      </c>
      <c r="E297" s="451" t="str">
        <f>'No Recurrentes 24-26'!E157</f>
        <v>Insumo mecánico</v>
      </c>
      <c r="F297" s="451" t="str">
        <f>'No Recurrentes 24-26'!F157</f>
        <v>TDB</v>
      </c>
      <c r="G297" s="1025" t="str">
        <f>'No Recurrentes 24-26'!G157</f>
        <v>39800</v>
      </c>
      <c r="H297" s="1061" t="str">
        <f>'No Recurrentes 24-26'!H157</f>
        <v/>
      </c>
      <c r="I297" s="1061" t="str">
        <f>'No Recurrentes 24-26'!I157</f>
        <v>11876051</v>
      </c>
      <c r="J297" s="1061" t="str">
        <f>'No Recurrentes 24-26'!J157</f>
        <v>TUERARM LI+RE OMIV ET-SET KPL. ARTNR.:11-096246    BEST. AUS:</v>
      </c>
      <c r="K297" s="451" t="str">
        <f>'No Recurrentes 24-26'!K157</f>
        <v>Pza</v>
      </c>
      <c r="L297" s="451" t="str">
        <f>'No Recurrentes 24-26'!BC157</f>
        <v/>
      </c>
      <c r="M297" s="451" t="str">
        <f>'No Recurrentes 24-26'!BD157</f>
        <v/>
      </c>
      <c r="N297" s="451" t="str">
        <f>'No Recurrentes 24-26'!BE157</f>
        <v/>
      </c>
      <c r="O297" s="451">
        <f>'No Recurrentes 24-26'!BF157</f>
        <v>0</v>
      </c>
      <c r="P297" s="451">
        <f>'No Recurrentes 24-26'!BG157</f>
        <v>1</v>
      </c>
      <c r="Q297" s="451">
        <f>'No Recurrentes 24-26'!BH157</f>
        <v>1</v>
      </c>
      <c r="R297" s="451" t="str">
        <f>'No Recurrentes 24-26'!BI157</f>
        <v/>
      </c>
      <c r="S297" s="451" t="str">
        <f>'No Recurrentes 24-26'!BJ157</f>
        <v/>
      </c>
      <c r="T297" s="451" t="str">
        <f>'No Recurrentes 24-26'!BK157</f>
        <v/>
      </c>
      <c r="U297" s="451" t="str">
        <f>'No Recurrentes 24-26'!BL157</f>
        <v/>
      </c>
      <c r="V297" s="1068"/>
      <c r="W297" s="1062">
        <f>'No Recurrentes 24-26'!BM157</f>
        <v>2</v>
      </c>
      <c r="X297" s="1062" t="str">
        <f>'No Recurrentes 24-26'!BN157</f>
        <v/>
      </c>
      <c r="Y297" s="1062" t="str">
        <f>'No Recurrentes 24-26'!BO157</f>
        <v/>
      </c>
      <c r="Z297" s="1062" t="str">
        <f>'No Recurrentes 24-26'!BP157</f>
        <v/>
      </c>
      <c r="AA297" s="1062" t="str">
        <f>'No Recurrentes 24-26'!BQ157</f>
        <v/>
      </c>
      <c r="AB297" s="1062" t="str">
        <f>'No Recurrentes 24-26'!BR157</f>
        <v/>
      </c>
      <c r="AC297" s="1062" t="str">
        <f>'No Recurrentes 24-26'!BS157</f>
        <v/>
      </c>
      <c r="AD297" s="1062" t="str">
        <f>'No Recurrentes 24-26'!BT157</f>
        <v/>
      </c>
      <c r="AE297" s="1062" t="str">
        <f>'No Recurrentes 24-26'!BU157</f>
        <v/>
      </c>
      <c r="AF297" s="1062" t="str">
        <f>'No Recurrentes 24-26'!BV157</f>
        <v/>
      </c>
      <c r="AG297" s="1062" t="str">
        <f>'No Recurrentes 24-26'!BW157</f>
        <v/>
      </c>
      <c r="AH297" s="1068"/>
      <c r="AI297" s="1062">
        <f>'No Recurrentes 24-26'!BX157</f>
        <v>0</v>
      </c>
      <c r="AJ297" s="1062">
        <f>'No Recurrentes 24-26'!BY157</f>
        <v>0</v>
      </c>
      <c r="AK297" s="1062">
        <f>'No Recurrentes 24-26'!BZ157</f>
        <v>0</v>
      </c>
      <c r="AL297" s="1062">
        <f>'No Recurrentes 24-26'!CA157</f>
        <v>0</v>
      </c>
      <c r="AM297" s="1062">
        <f>'No Recurrentes 24-26'!CB157</f>
        <v>0</v>
      </c>
      <c r="AN297" s="1062">
        <f>'No Recurrentes 24-26'!CC157</f>
        <v>0</v>
      </c>
      <c r="AO297" s="1062">
        <f>'No Recurrentes 24-26'!CD157</f>
        <v>0</v>
      </c>
      <c r="AP297" s="1062">
        <f>'No Recurrentes 24-26'!CE157</f>
        <v>0</v>
      </c>
      <c r="AQ297" s="1062">
        <f>'No Recurrentes 24-26'!CF157</f>
        <v>0</v>
      </c>
      <c r="AR297" s="1062">
        <f>'No Recurrentes 24-26'!CG157</f>
        <v>0</v>
      </c>
      <c r="AS297" s="1062">
        <f>'No Recurrentes 24-26'!CH157</f>
        <v>0</v>
      </c>
      <c r="AT297" s="1068"/>
      <c r="AU297" s="1062">
        <f>'No Recurrentes 24-26'!CI157</f>
        <v>0</v>
      </c>
      <c r="AV297" s="1063">
        <f>'No Recurrentes 24-26'!CJ157</f>
        <v>2</v>
      </c>
      <c r="AW297" s="1068"/>
      <c r="AX297" s="1065">
        <f>'No Recurrentes 24-26'!CK157</f>
        <v>2804.61</v>
      </c>
      <c r="AY297" s="1062">
        <f>'No Recurrentes 24-26'!CL157</f>
        <v>19520.0856</v>
      </c>
      <c r="AZ297" s="1068"/>
      <c r="BA297" s="1062">
        <f>'No Recurrentes 24-26'!CM157</f>
        <v>0</v>
      </c>
      <c r="BB297" s="1062">
        <f>'No Recurrentes 24-26'!CN157</f>
        <v>0</v>
      </c>
      <c r="BC297" s="1062">
        <f>'No Recurrentes 24-26'!CO157</f>
        <v>0</v>
      </c>
      <c r="BD297" s="1062">
        <f>'No Recurrentes 24-26'!CP157</f>
        <v>0</v>
      </c>
      <c r="BE297" s="1062">
        <f>'No Recurrentes 24-26'!CQ157</f>
        <v>19520.0856</v>
      </c>
      <c r="BF297" s="1062">
        <f>'No Recurrentes 24-26'!CR157</f>
        <v>19520.0856</v>
      </c>
      <c r="BG297" s="1062">
        <f>'No Recurrentes 24-26'!CS157</f>
        <v>0</v>
      </c>
      <c r="BH297" s="1062">
        <f>'No Recurrentes 24-26'!CT157</f>
        <v>0</v>
      </c>
      <c r="BI297" s="1062">
        <f>'No Recurrentes 24-26'!CU157</f>
        <v>0</v>
      </c>
      <c r="BJ297" s="1062">
        <f>'No Recurrentes 24-26'!CV157</f>
        <v>0</v>
      </c>
      <c r="BK297" s="1068"/>
      <c r="BL297" s="1062">
        <f>'No Recurrentes 24-26'!CW157</f>
        <v>39040.1712</v>
      </c>
      <c r="BM297" s="1062">
        <f>'No Recurrentes 24-26'!CX157</f>
        <v>0</v>
      </c>
      <c r="BN297" s="1062">
        <f>'No Recurrentes 24-26'!CY157</f>
        <v>0</v>
      </c>
      <c r="BO297" s="1062">
        <f>'No Recurrentes 24-26'!CZ157</f>
        <v>0</v>
      </c>
      <c r="BP297" s="1062">
        <f>'No Recurrentes 24-26'!DA157</f>
        <v>0</v>
      </c>
      <c r="BQ297" s="1062">
        <f>'No Recurrentes 24-26'!DB157</f>
        <v>0</v>
      </c>
      <c r="BR297" s="1062">
        <f>'No Recurrentes 24-26'!DC157</f>
        <v>0</v>
      </c>
      <c r="BS297" s="1062">
        <f>'No Recurrentes 24-26'!DD157</f>
        <v>0</v>
      </c>
      <c r="BT297" s="1062">
        <f>'No Recurrentes 24-26'!DE157</f>
        <v>0</v>
      </c>
      <c r="BU297" s="1062">
        <f>'No Recurrentes 24-26'!DF157</f>
        <v>0</v>
      </c>
      <c r="BV297" s="1062">
        <f>'No Recurrentes 24-26'!DG157</f>
        <v>0</v>
      </c>
      <c r="BW297" s="1068"/>
      <c r="BX297" s="1062">
        <f>'No Recurrentes 24-26'!DH157</f>
        <v>0</v>
      </c>
      <c r="BY297" s="1062">
        <f>'No Recurrentes 24-26'!DI157</f>
        <v>0</v>
      </c>
      <c r="BZ297" s="1062">
        <f>'No Recurrentes 24-26'!DJ157</f>
        <v>0</v>
      </c>
      <c r="CA297" s="1062">
        <f>'No Recurrentes 24-26'!DK157</f>
        <v>0</v>
      </c>
      <c r="CB297" s="1062">
        <f>'No Recurrentes 24-26'!DL157</f>
        <v>0</v>
      </c>
      <c r="CC297" s="1062">
        <f>'No Recurrentes 24-26'!DM157</f>
        <v>0</v>
      </c>
      <c r="CD297" s="1062">
        <f>'No Recurrentes 24-26'!DN157</f>
        <v>0</v>
      </c>
      <c r="CE297" s="1062">
        <f>'No Recurrentes 24-26'!DO157</f>
        <v>0</v>
      </c>
      <c r="CF297" s="1062">
        <f>'No Recurrentes 24-26'!DP157</f>
        <v>0</v>
      </c>
      <c r="CG297" s="1062">
        <f>'No Recurrentes 24-26'!DQ157</f>
        <v>0</v>
      </c>
      <c r="CH297" s="1062">
        <f>'No Recurrentes 24-26'!DR157</f>
        <v>0</v>
      </c>
      <c r="CI297" s="1068"/>
      <c r="CJ297" s="1062">
        <f>'No Recurrentes 24-26'!DS157</f>
        <v>0</v>
      </c>
      <c r="CK297" s="1062">
        <f>'No Recurrentes 24-26'!DT157</f>
        <v>39040.1712</v>
      </c>
      <c r="CL297" s="1064" t="str">
        <f>'No Recurrentes 24-26'!DU157</f>
        <v/>
      </c>
      <c r="CM297" s="1064" t="str">
        <f>'No Recurrentes 24-26'!DV157</f>
        <v/>
      </c>
      <c r="CN297" s="1060">
        <f>'No Recurrentes 24-26'!EI155</f>
        <v>1</v>
      </c>
      <c r="CO297" s="1060" t="str">
        <f>'No Recurrentes 24-26'!EJ155</f>
        <v/>
      </c>
      <c r="CP297" s="1060" t="str">
        <f>'No Recurrentes 24-26'!EK155</f>
        <v/>
      </c>
    </row>
    <row r="298">
      <c r="A298" s="451" t="str">
        <f>'No Recurrentes 24-26'!A158</f>
        <v>Repuestos Electromecánicos no recurrentes</v>
      </c>
      <c r="B298" s="451">
        <f>'No Recurrentes 24-26'!B158</f>
        <v>2</v>
      </c>
      <c r="C298" s="451" t="str">
        <f>'No Recurrentes 24-26'!C158</f>
        <v>Vehiculo</v>
      </c>
      <c r="D298" s="451" t="str">
        <f>'No Recurrentes 24-26'!D158</f>
        <v>Manto. gral. Cabina</v>
      </c>
      <c r="E298" s="451" t="str">
        <f>'No Recurrentes 24-26'!E158</f>
        <v>Insumo mecánico</v>
      </c>
      <c r="F298" s="451" t="str">
        <f>'No Recurrentes 24-26'!F158</f>
        <v>TDB</v>
      </c>
      <c r="G298" s="1025" t="str">
        <f>'No Recurrentes 24-26'!G158</f>
        <v>39800</v>
      </c>
      <c r="H298" s="1061" t="str">
        <f>'No Recurrentes 24-26'!H158</f>
        <v>2-02-00598</v>
      </c>
      <c r="I298" s="1061" t="str">
        <f>'No Recurrentes 24-26'!I158</f>
        <v>11808104</v>
      </c>
      <c r="J298" s="1061" t="str">
        <f>'No Recurrentes 24-26'!J158</f>
        <v>MANDO A DIST. CWA DERECHA-EXER. Nº ART. 11-080638</v>
      </c>
      <c r="K298" s="451" t="str">
        <f>'No Recurrentes 24-26'!K158</f>
        <v>Pza</v>
      </c>
      <c r="L298" s="451">
        <f>'No Recurrentes 24-26'!BC158</f>
        <v>2</v>
      </c>
      <c r="M298" s="451" t="str">
        <f>'No Recurrentes 24-26'!BD158</f>
        <v/>
      </c>
      <c r="N298" s="451">
        <f>'No Recurrentes 24-26'!BE158</f>
        <v>1</v>
      </c>
      <c r="O298" s="451" t="str">
        <f>'No Recurrentes 24-26'!BF158</f>
        <v/>
      </c>
      <c r="P298" s="451" t="str">
        <f>'No Recurrentes 24-26'!BG158</f>
        <v/>
      </c>
      <c r="Q298" s="451" t="str">
        <f>'No Recurrentes 24-26'!BH158</f>
        <v/>
      </c>
      <c r="R298" s="451" t="str">
        <f>'No Recurrentes 24-26'!BI158</f>
        <v/>
      </c>
      <c r="S298" s="451" t="str">
        <f>'No Recurrentes 24-26'!BJ158</f>
        <v/>
      </c>
      <c r="T298" s="451" t="str">
        <f>'No Recurrentes 24-26'!BK158</f>
        <v/>
      </c>
      <c r="U298" s="451" t="str">
        <f>'No Recurrentes 24-26'!BL158</f>
        <v/>
      </c>
      <c r="V298" s="1068"/>
      <c r="W298" s="1062">
        <f>'No Recurrentes 24-26'!BM158</f>
        <v>3</v>
      </c>
      <c r="X298" s="1062" t="str">
        <f>'No Recurrentes 24-26'!BN158</f>
        <v/>
      </c>
      <c r="Y298" s="1062" t="str">
        <f>'No Recurrentes 24-26'!BO158</f>
        <v/>
      </c>
      <c r="Z298" s="1062" t="str">
        <f>'No Recurrentes 24-26'!BP158</f>
        <v/>
      </c>
      <c r="AA298" s="1062" t="str">
        <f>'No Recurrentes 24-26'!BQ158</f>
        <v/>
      </c>
      <c r="AB298" s="1062" t="str">
        <f>'No Recurrentes 24-26'!BR158</f>
        <v/>
      </c>
      <c r="AC298" s="1062" t="str">
        <f>'No Recurrentes 24-26'!BS158</f>
        <v/>
      </c>
      <c r="AD298" s="1062" t="str">
        <f>'No Recurrentes 24-26'!BT158</f>
        <v/>
      </c>
      <c r="AE298" s="1062" t="str">
        <f>'No Recurrentes 24-26'!BU158</f>
        <v/>
      </c>
      <c r="AF298" s="1062" t="str">
        <f>'No Recurrentes 24-26'!BV158</f>
        <v/>
      </c>
      <c r="AG298" s="1062" t="str">
        <f>'No Recurrentes 24-26'!BW158</f>
        <v/>
      </c>
      <c r="AH298" s="1068"/>
      <c r="AI298" s="1062">
        <f>'No Recurrentes 24-26'!BX158</f>
        <v>0</v>
      </c>
      <c r="AJ298" s="1062">
        <f>'No Recurrentes 24-26'!BY158</f>
        <v>0</v>
      </c>
      <c r="AK298" s="1062">
        <f>'No Recurrentes 24-26'!BZ158</f>
        <v>0</v>
      </c>
      <c r="AL298" s="1062">
        <f>'No Recurrentes 24-26'!CA158</f>
        <v>0</v>
      </c>
      <c r="AM298" s="1062">
        <f>'No Recurrentes 24-26'!CB158</f>
        <v>0</v>
      </c>
      <c r="AN298" s="1062">
        <f>'No Recurrentes 24-26'!CC158</f>
        <v>0</v>
      </c>
      <c r="AO298" s="1062">
        <f>'No Recurrentes 24-26'!CD158</f>
        <v>0</v>
      </c>
      <c r="AP298" s="1062">
        <f>'No Recurrentes 24-26'!CE158</f>
        <v>0</v>
      </c>
      <c r="AQ298" s="1062">
        <f>'No Recurrentes 24-26'!CF158</f>
        <v>0</v>
      </c>
      <c r="AR298" s="1062">
        <f>'No Recurrentes 24-26'!CG158</f>
        <v>0</v>
      </c>
      <c r="AS298" s="1062">
        <f>'No Recurrentes 24-26'!CH158</f>
        <v>0</v>
      </c>
      <c r="AT298" s="1068"/>
      <c r="AU298" s="1062">
        <f>'No Recurrentes 24-26'!CI158</f>
        <v>0</v>
      </c>
      <c r="AV298" s="1063">
        <f>'No Recurrentes 24-26'!CJ158</f>
        <v>3</v>
      </c>
      <c r="AW298" s="1068"/>
      <c r="AX298" s="1065">
        <f>'No Recurrentes 24-26'!CK158</f>
        <v>1705.53</v>
      </c>
      <c r="AY298" s="1062">
        <f>'No Recurrentes 24-26'!CL158</f>
        <v>11870.4888</v>
      </c>
      <c r="AZ298" s="1068"/>
      <c r="BA298" s="1062">
        <f>'No Recurrentes 24-26'!CM158</f>
        <v>23740.9776</v>
      </c>
      <c r="BB298" s="1062">
        <f>'No Recurrentes 24-26'!CN158</f>
        <v>0</v>
      </c>
      <c r="BC298" s="1062">
        <f>'No Recurrentes 24-26'!CO158</f>
        <v>11870.4888</v>
      </c>
      <c r="BD298" s="1062">
        <f>'No Recurrentes 24-26'!CP158</f>
        <v>0</v>
      </c>
      <c r="BE298" s="1062">
        <f>'No Recurrentes 24-26'!CQ158</f>
        <v>0</v>
      </c>
      <c r="BF298" s="1062">
        <f>'No Recurrentes 24-26'!CR158</f>
        <v>0</v>
      </c>
      <c r="BG298" s="1062">
        <f>'No Recurrentes 24-26'!CS158</f>
        <v>0</v>
      </c>
      <c r="BH298" s="1062">
        <f>'No Recurrentes 24-26'!CT158</f>
        <v>0</v>
      </c>
      <c r="BI298" s="1062">
        <f>'No Recurrentes 24-26'!CU158</f>
        <v>0</v>
      </c>
      <c r="BJ298" s="1062">
        <f>'No Recurrentes 24-26'!CV158</f>
        <v>0</v>
      </c>
      <c r="BK298" s="1068"/>
      <c r="BL298" s="1062">
        <f>'No Recurrentes 24-26'!CW158</f>
        <v>35611.4664</v>
      </c>
      <c r="BM298" s="1062">
        <f>'No Recurrentes 24-26'!CX158</f>
        <v>0</v>
      </c>
      <c r="BN298" s="1062">
        <f>'No Recurrentes 24-26'!CY158</f>
        <v>0</v>
      </c>
      <c r="BO298" s="1062">
        <f>'No Recurrentes 24-26'!CZ158</f>
        <v>0</v>
      </c>
      <c r="BP298" s="1062">
        <f>'No Recurrentes 24-26'!DA158</f>
        <v>0</v>
      </c>
      <c r="BQ298" s="1062">
        <f>'No Recurrentes 24-26'!DB158</f>
        <v>0</v>
      </c>
      <c r="BR298" s="1062">
        <f>'No Recurrentes 24-26'!DC158</f>
        <v>0</v>
      </c>
      <c r="BS298" s="1062">
        <f>'No Recurrentes 24-26'!DD158</f>
        <v>0</v>
      </c>
      <c r="BT298" s="1062">
        <f>'No Recurrentes 24-26'!DE158</f>
        <v>0</v>
      </c>
      <c r="BU298" s="1062">
        <f>'No Recurrentes 24-26'!DF158</f>
        <v>0</v>
      </c>
      <c r="BV298" s="1062">
        <f>'No Recurrentes 24-26'!DG158</f>
        <v>0</v>
      </c>
      <c r="BW298" s="1068"/>
      <c r="BX298" s="1062">
        <f>'No Recurrentes 24-26'!DH158</f>
        <v>0</v>
      </c>
      <c r="BY298" s="1062">
        <f>'No Recurrentes 24-26'!DI158</f>
        <v>0</v>
      </c>
      <c r="BZ298" s="1062">
        <f>'No Recurrentes 24-26'!DJ158</f>
        <v>0</v>
      </c>
      <c r="CA298" s="1062">
        <f>'No Recurrentes 24-26'!DK158</f>
        <v>0</v>
      </c>
      <c r="CB298" s="1062">
        <f>'No Recurrentes 24-26'!DL158</f>
        <v>0</v>
      </c>
      <c r="CC298" s="1062">
        <f>'No Recurrentes 24-26'!DM158</f>
        <v>0</v>
      </c>
      <c r="CD298" s="1062">
        <f>'No Recurrentes 24-26'!DN158</f>
        <v>0</v>
      </c>
      <c r="CE298" s="1062">
        <f>'No Recurrentes 24-26'!DO158</f>
        <v>0</v>
      </c>
      <c r="CF298" s="1062">
        <f>'No Recurrentes 24-26'!DP158</f>
        <v>0</v>
      </c>
      <c r="CG298" s="1062">
        <f>'No Recurrentes 24-26'!DQ158</f>
        <v>0</v>
      </c>
      <c r="CH298" s="1062">
        <f>'No Recurrentes 24-26'!DR158</f>
        <v>0</v>
      </c>
      <c r="CI298" s="1068"/>
      <c r="CJ298" s="1062">
        <f>'No Recurrentes 24-26'!DS158</f>
        <v>0</v>
      </c>
      <c r="CK298" s="1062">
        <f>'No Recurrentes 24-26'!DT158</f>
        <v>35611.4664</v>
      </c>
      <c r="CL298" s="451" t="str">
        <f>'No Recurrentes 24-26'!DU158</f>
        <v/>
      </c>
      <c r="CM298" s="451" t="str">
        <f>'No Recurrentes 24-26'!DV158</f>
        <v>Id anterior: 10865976</v>
      </c>
      <c r="CN298" s="1065">
        <f>'No Recurrentes 24-26'!EI156</f>
        <v>69.03</v>
      </c>
      <c r="CO298" s="1065">
        <f>'No Recurrentes 24-26'!EJ156</f>
        <v>58.68</v>
      </c>
      <c r="CP298" s="1060" t="str">
        <f>'No Recurrentes 24-26'!EK156</f>
        <v/>
      </c>
    </row>
    <row r="299">
      <c r="A299" s="451" t="str">
        <f>'No Recurrentes 24-26'!A159</f>
        <v>Repuestos Electromecánicos no recurrentes</v>
      </c>
      <c r="B299" s="451">
        <f>'No Recurrentes 24-26'!B159</f>
        <v>40</v>
      </c>
      <c r="C299" s="451" t="str">
        <f>'No Recurrentes 24-26'!C159</f>
        <v>Vehiculo</v>
      </c>
      <c r="D299" s="451" t="str">
        <f>'No Recurrentes 24-26'!D159</f>
        <v>Manto. gral. Cabina</v>
      </c>
      <c r="E299" s="451" t="str">
        <f>'No Recurrentes 24-26'!E159</f>
        <v>Insumo mecánico</v>
      </c>
      <c r="F299" s="451" t="str">
        <f>'No Recurrentes 24-26'!F159</f>
        <v>LOCAL</v>
      </c>
      <c r="G299" s="1061" t="str">
        <f>'No Recurrentes 24-26'!G159</f>
        <v>39800</v>
      </c>
      <c r="H299" s="1061" t="str">
        <f>'No Recurrentes 24-26'!H159</f>
        <v>2-01-00486</v>
      </c>
      <c r="I299" s="1061">
        <f>'No Recurrentes 24-26'!I159</f>
        <v>0</v>
      </c>
      <c r="J299" s="1061" t="str">
        <f>'No Recurrentes 24-26'!J159</f>
        <v>RODAMIENTO CONICO (MM) HR30203J-NSK 9585 MEDIDAS: 17.00X40.00X13.30 MM</v>
      </c>
      <c r="K299" s="451" t="str">
        <f>'No Recurrentes 24-26'!K159</f>
        <v>Pza</v>
      </c>
      <c r="L299" s="451" t="str">
        <f>'No Recurrentes 24-26'!BC159</f>
        <v/>
      </c>
      <c r="M299" s="451" t="str">
        <f>'No Recurrentes 24-26'!BD159</f>
        <v/>
      </c>
      <c r="N299" s="451" t="str">
        <f>'No Recurrentes 24-26'!BE159</f>
        <v/>
      </c>
      <c r="O299" s="451" t="str">
        <f>'No Recurrentes 24-26'!BF159</f>
        <v/>
      </c>
      <c r="P299" s="451" t="str">
        <f>'No Recurrentes 24-26'!BG159</f>
        <v/>
      </c>
      <c r="Q299" s="451" t="str">
        <f>'No Recurrentes 24-26'!BH159</f>
        <v/>
      </c>
      <c r="R299" s="451" t="str">
        <f>'No Recurrentes 24-26'!BI159</f>
        <v/>
      </c>
      <c r="S299" s="451" t="str">
        <f>'No Recurrentes 24-26'!BJ159</f>
        <v/>
      </c>
      <c r="T299" s="451" t="str">
        <f>'No Recurrentes 24-26'!BK159</f>
        <v/>
      </c>
      <c r="U299" s="451" t="str">
        <f>'No Recurrentes 24-26'!BL159</f>
        <v/>
      </c>
      <c r="V299" s="1068"/>
      <c r="W299" s="1062">
        <f>'No Recurrentes 24-26'!BM159</f>
        <v>0</v>
      </c>
      <c r="X299" s="1062">
        <f>'No Recurrentes 24-26'!BN159</f>
        <v>228</v>
      </c>
      <c r="Y299" s="1062" t="str">
        <f>'No Recurrentes 24-26'!BO159</f>
        <v/>
      </c>
      <c r="Z299" s="1062" t="str">
        <f>'No Recurrentes 24-26'!BP159</f>
        <v/>
      </c>
      <c r="AA299" s="1062" t="str">
        <f>'No Recurrentes 24-26'!BQ159</f>
        <v/>
      </c>
      <c r="AB299" s="1062" t="str">
        <f>'No Recurrentes 24-26'!BR159</f>
        <v/>
      </c>
      <c r="AC299" s="1062" t="str">
        <f>'No Recurrentes 24-26'!BS159</f>
        <v/>
      </c>
      <c r="AD299" s="1062">
        <f>'No Recurrentes 24-26'!BT159</f>
        <v>65</v>
      </c>
      <c r="AE299" s="1062">
        <f>'No Recurrentes 24-26'!BU159</f>
        <v>78</v>
      </c>
      <c r="AF299" s="1062">
        <f>'No Recurrentes 24-26'!BV159</f>
        <v>13</v>
      </c>
      <c r="AG299" s="1062" t="str">
        <f>'No Recurrentes 24-26'!BW159</f>
        <v/>
      </c>
      <c r="AH299" s="1068"/>
      <c r="AI299" s="1062">
        <f>'No Recurrentes 24-26'!BX159</f>
        <v>384</v>
      </c>
      <c r="AJ299" s="1062">
        <f>'No Recurrentes 24-26'!BY159</f>
        <v>228</v>
      </c>
      <c r="AK299" s="1062">
        <f>'No Recurrentes 24-26'!BZ159</f>
        <v>140</v>
      </c>
      <c r="AL299" s="1062" t="str">
        <f>'No Recurrentes 24-26'!CA159</f>
        <v/>
      </c>
      <c r="AM299" s="1062">
        <f>'No Recurrentes 24-26'!CB159</f>
        <v>25</v>
      </c>
      <c r="AN299" s="1062">
        <f>'No Recurrentes 24-26'!CC159</f>
        <v>70</v>
      </c>
      <c r="AO299" s="1062">
        <f>'No Recurrentes 24-26'!CD159</f>
        <v>50</v>
      </c>
      <c r="AP299" s="1062" t="str">
        <f>'No Recurrentes 24-26'!CE159</f>
        <v/>
      </c>
      <c r="AQ299" s="1062" t="str">
        <f>'No Recurrentes 24-26'!CF159</f>
        <v/>
      </c>
      <c r="AR299" s="1062" t="str">
        <f>'No Recurrentes 24-26'!CG159</f>
        <v/>
      </c>
      <c r="AS299" s="1062">
        <f>'No Recurrentes 24-26'!CH159</f>
        <v>83</v>
      </c>
      <c r="AT299" s="1068"/>
      <c r="AU299" s="1062">
        <f>'No Recurrentes 24-26'!CI159</f>
        <v>596</v>
      </c>
      <c r="AV299" s="1063">
        <f>'No Recurrentes 24-26'!CJ159</f>
        <v>980</v>
      </c>
      <c r="AW299" s="1068"/>
      <c r="AX299" s="1062" t="str">
        <f>'No Recurrentes 24-26'!CK159</f>
        <v/>
      </c>
      <c r="AY299" s="1062">
        <f>'No Recurrentes 24-26'!CL159</f>
        <v>66</v>
      </c>
      <c r="AZ299" s="1068"/>
      <c r="BA299" s="1062">
        <f>'No Recurrentes 24-26'!CM159</f>
        <v>0</v>
      </c>
      <c r="BB299" s="1062">
        <f>'No Recurrentes 24-26'!CN159</f>
        <v>0</v>
      </c>
      <c r="BC299" s="1062">
        <f>'No Recurrentes 24-26'!CO159</f>
        <v>0</v>
      </c>
      <c r="BD299" s="1062">
        <f>'No Recurrentes 24-26'!CP159</f>
        <v>0</v>
      </c>
      <c r="BE299" s="1062">
        <f>'No Recurrentes 24-26'!CQ159</f>
        <v>0</v>
      </c>
      <c r="BF299" s="1062">
        <f>'No Recurrentes 24-26'!CR159</f>
        <v>0</v>
      </c>
      <c r="BG299" s="1062">
        <f>'No Recurrentes 24-26'!CS159</f>
        <v>0</v>
      </c>
      <c r="BH299" s="1062">
        <f>'No Recurrentes 24-26'!CT159</f>
        <v>0</v>
      </c>
      <c r="BI299" s="1062">
        <f>'No Recurrentes 24-26'!CU159</f>
        <v>0</v>
      </c>
      <c r="BJ299" s="1062">
        <f>'No Recurrentes 24-26'!CV159</f>
        <v>0</v>
      </c>
      <c r="BK299" s="1068"/>
      <c r="BL299" s="1062">
        <f>'No Recurrentes 24-26'!CW159</f>
        <v>0</v>
      </c>
      <c r="BM299" s="1062">
        <f>'No Recurrentes 24-26'!CX159</f>
        <v>15048</v>
      </c>
      <c r="BN299" s="1062">
        <f>'No Recurrentes 24-26'!CY159</f>
        <v>0</v>
      </c>
      <c r="BO299" s="1062">
        <f>'No Recurrentes 24-26'!CZ159</f>
        <v>0</v>
      </c>
      <c r="BP299" s="1062">
        <f>'No Recurrentes 24-26'!DA159</f>
        <v>0</v>
      </c>
      <c r="BQ299" s="1062">
        <f>'No Recurrentes 24-26'!DB159</f>
        <v>0</v>
      </c>
      <c r="BR299" s="1062">
        <f>'No Recurrentes 24-26'!DC159</f>
        <v>0</v>
      </c>
      <c r="BS299" s="1062">
        <f>'No Recurrentes 24-26'!DD159</f>
        <v>4290</v>
      </c>
      <c r="BT299" s="1062">
        <f>'No Recurrentes 24-26'!DE159</f>
        <v>5148</v>
      </c>
      <c r="BU299" s="1062">
        <f>'No Recurrentes 24-26'!DF159</f>
        <v>858</v>
      </c>
      <c r="BV299" s="1062">
        <f>'No Recurrentes 24-26'!DG159</f>
        <v>0</v>
      </c>
      <c r="BW299" s="1068"/>
      <c r="BX299" s="1062">
        <f>'No Recurrentes 24-26'!DH159</f>
        <v>25344</v>
      </c>
      <c r="BY299" s="1062">
        <f>'No Recurrentes 24-26'!DI159</f>
        <v>15048</v>
      </c>
      <c r="BZ299" s="1062">
        <f>'No Recurrentes 24-26'!DJ159</f>
        <v>9240</v>
      </c>
      <c r="CA299" s="1062">
        <f>'No Recurrentes 24-26'!DK159</f>
        <v>0</v>
      </c>
      <c r="CB299" s="1062">
        <f>'No Recurrentes 24-26'!DL159</f>
        <v>1650</v>
      </c>
      <c r="CC299" s="1062">
        <f>'No Recurrentes 24-26'!DM159</f>
        <v>4620</v>
      </c>
      <c r="CD299" s="1062">
        <f>'No Recurrentes 24-26'!DN159</f>
        <v>3300</v>
      </c>
      <c r="CE299" s="1062">
        <f>'No Recurrentes 24-26'!DO159</f>
        <v>0</v>
      </c>
      <c r="CF299" s="1062">
        <f>'No Recurrentes 24-26'!DP159</f>
        <v>0</v>
      </c>
      <c r="CG299" s="1062">
        <f>'No Recurrentes 24-26'!DQ159</f>
        <v>0</v>
      </c>
      <c r="CH299" s="1062">
        <f>'No Recurrentes 24-26'!DR159</f>
        <v>5478</v>
      </c>
      <c r="CI299" s="1068"/>
      <c r="CJ299" s="1062">
        <f>'No Recurrentes 24-26'!DS159</f>
        <v>39336</v>
      </c>
      <c r="CK299" s="1062">
        <f>'No Recurrentes 24-26'!DT159</f>
        <v>64680</v>
      </c>
      <c r="CL299" s="1064" t="str">
        <f>'No Recurrentes 24-26'!DU159</f>
        <v/>
      </c>
      <c r="CM299" s="1064" t="str">
        <f>'No Recurrentes 24-26'!DV159</f>
        <v>Preio referencial</v>
      </c>
      <c r="CN299" s="1065">
        <f>'No Recurrentes 24-26'!EI157</f>
        <v>2804.61</v>
      </c>
      <c r="CO299" s="1065">
        <f>'No Recurrentes 24-26'!EJ157</f>
        <v>2383.92</v>
      </c>
      <c r="CP299" s="1060" t="str">
        <f>'No Recurrentes 24-26'!EK157</f>
        <v/>
      </c>
    </row>
    <row r="300">
      <c r="A300" s="451" t="str">
        <f>'No Recurrentes 24-26'!A160</f>
        <v>Repuestos Electromecánicos no recurrentes</v>
      </c>
      <c r="B300" s="451" t="str">
        <f>'No Recurrentes 24-26'!B160</f>
        <v/>
      </c>
      <c r="C300" s="451" t="str">
        <f>'No Recurrentes 24-26'!C160</f>
        <v>Vehiculo</v>
      </c>
      <c r="D300" s="451" t="str">
        <f>'No Recurrentes 24-26'!D160</f>
        <v>Manto. gral. Cabina</v>
      </c>
      <c r="E300" s="451" t="str">
        <f>'No Recurrentes 24-26'!E160</f>
        <v>Repuesto Eléctrico</v>
      </c>
      <c r="F300" s="451" t="str">
        <f>'No Recurrentes 24-26'!F160</f>
        <v>TDB</v>
      </c>
      <c r="G300" s="1061" t="str">
        <f>'No Recurrentes 24-26'!G160</f>
        <v>39700</v>
      </c>
      <c r="H300" s="1061" t="str">
        <f>'No Recurrentes 24-26'!H160</f>
        <v/>
      </c>
      <c r="I300" s="1061">
        <f>'No Recurrentes 24-26'!I160</f>
        <v>0</v>
      </c>
      <c r="J300" s="1061" t="str">
        <f>'No Recurrentes 24-26'!J160</f>
        <v>CONVERSOR DE TENSION CC10-F-350NB Inout: 10-52 VDC, Output: 3V</v>
      </c>
      <c r="K300" s="451" t="str">
        <f>'No Recurrentes 24-26'!K160</f>
        <v>Pza</v>
      </c>
      <c r="L300" s="451" t="str">
        <f>'No Recurrentes 24-26'!BC160</f>
        <v/>
      </c>
      <c r="M300" s="451" t="str">
        <f>'No Recurrentes 24-26'!BD160</f>
        <v/>
      </c>
      <c r="N300" s="451">
        <f>'No Recurrentes 24-26'!BE160</f>
        <v>0</v>
      </c>
      <c r="O300" s="451" t="str">
        <f>'No Recurrentes 24-26'!BF160</f>
        <v/>
      </c>
      <c r="P300" s="451" t="str">
        <f>'No Recurrentes 24-26'!BG160</f>
        <v/>
      </c>
      <c r="Q300" s="451" t="str">
        <f>'No Recurrentes 24-26'!BH160</f>
        <v/>
      </c>
      <c r="R300" s="451" t="str">
        <f>'No Recurrentes 24-26'!BI160</f>
        <v/>
      </c>
      <c r="S300" s="451" t="str">
        <f>'No Recurrentes 24-26'!BJ160</f>
        <v/>
      </c>
      <c r="T300" s="451" t="str">
        <f>'No Recurrentes 24-26'!BK160</f>
        <v/>
      </c>
      <c r="U300" s="451" t="str">
        <f>'No Recurrentes 24-26'!BL160</f>
        <v/>
      </c>
      <c r="V300" s="1068"/>
      <c r="W300" s="1062">
        <f>'No Recurrentes 24-26'!BM160</f>
        <v>0</v>
      </c>
      <c r="X300" s="1062" t="str">
        <f>'No Recurrentes 24-26'!BN160</f>
        <v/>
      </c>
      <c r="Y300" s="1062" t="str">
        <f>'No Recurrentes 24-26'!BO160</f>
        <v/>
      </c>
      <c r="Z300" s="1062">
        <f>'No Recurrentes 24-26'!BP160</f>
        <v>0</v>
      </c>
      <c r="AA300" s="1062" t="str">
        <f>'No Recurrentes 24-26'!BQ160</f>
        <v/>
      </c>
      <c r="AB300" s="1062" t="str">
        <f>'No Recurrentes 24-26'!BR160</f>
        <v/>
      </c>
      <c r="AC300" s="1062" t="str">
        <f>'No Recurrentes 24-26'!BS160</f>
        <v/>
      </c>
      <c r="AD300" s="1062" t="str">
        <f>'No Recurrentes 24-26'!BT160</f>
        <v/>
      </c>
      <c r="AE300" s="1062" t="str">
        <f>'No Recurrentes 24-26'!BU160</f>
        <v/>
      </c>
      <c r="AF300" s="1062" t="str">
        <f>'No Recurrentes 24-26'!BV160</f>
        <v/>
      </c>
      <c r="AG300" s="1062" t="str">
        <f>'No Recurrentes 24-26'!BW160</f>
        <v/>
      </c>
      <c r="AH300" s="1068"/>
      <c r="AI300" s="1062">
        <f>'No Recurrentes 24-26'!BX160</f>
        <v>0</v>
      </c>
      <c r="AJ300" s="1062">
        <f>'No Recurrentes 24-26'!BY160</f>
        <v>0</v>
      </c>
      <c r="AK300" s="1062">
        <f>'No Recurrentes 24-26'!BZ160</f>
        <v>0</v>
      </c>
      <c r="AL300" s="1062">
        <f>'No Recurrentes 24-26'!CA160</f>
        <v>0</v>
      </c>
      <c r="AM300" s="1062">
        <f>'No Recurrentes 24-26'!CB160</f>
        <v>0</v>
      </c>
      <c r="AN300" s="1062">
        <f>'No Recurrentes 24-26'!CC160</f>
        <v>0</v>
      </c>
      <c r="AO300" s="1062">
        <f>'No Recurrentes 24-26'!CD160</f>
        <v>0</v>
      </c>
      <c r="AP300" s="1062">
        <f>'No Recurrentes 24-26'!CE160</f>
        <v>0</v>
      </c>
      <c r="AQ300" s="1062">
        <f>'No Recurrentes 24-26'!CF160</f>
        <v>0</v>
      </c>
      <c r="AR300" s="1062">
        <f>'No Recurrentes 24-26'!CG160</f>
        <v>0</v>
      </c>
      <c r="AS300" s="1062">
        <f>'No Recurrentes 24-26'!CH160</f>
        <v>0</v>
      </c>
      <c r="AT300" s="1068"/>
      <c r="AU300" s="1062">
        <f>'No Recurrentes 24-26'!CI160</f>
        <v>0</v>
      </c>
      <c r="AV300" s="1063">
        <f>'No Recurrentes 24-26'!CJ160</f>
        <v>0</v>
      </c>
      <c r="AW300" s="1068"/>
      <c r="AX300" s="1062" t="str">
        <f>'No Recurrentes 24-26'!CK160</f>
        <v/>
      </c>
      <c r="AY300" s="1062">
        <f>'No Recurrentes 24-26'!CL160</f>
        <v>21325.7605</v>
      </c>
      <c r="AZ300" s="1068"/>
      <c r="BA300" s="1062">
        <f>'No Recurrentes 24-26'!CM160</f>
        <v>0</v>
      </c>
      <c r="BB300" s="1062">
        <f>'No Recurrentes 24-26'!CN160</f>
        <v>0</v>
      </c>
      <c r="BC300" s="1062">
        <f>'No Recurrentes 24-26'!CO160</f>
        <v>0</v>
      </c>
      <c r="BD300" s="1062">
        <f>'No Recurrentes 24-26'!CP160</f>
        <v>0</v>
      </c>
      <c r="BE300" s="1062">
        <f>'No Recurrentes 24-26'!CQ160</f>
        <v>0</v>
      </c>
      <c r="BF300" s="1062">
        <f>'No Recurrentes 24-26'!CR160</f>
        <v>0</v>
      </c>
      <c r="BG300" s="1062">
        <f>'No Recurrentes 24-26'!CS160</f>
        <v>0</v>
      </c>
      <c r="BH300" s="1062">
        <f>'No Recurrentes 24-26'!CT160</f>
        <v>0</v>
      </c>
      <c r="BI300" s="1062">
        <f>'No Recurrentes 24-26'!CU160</f>
        <v>0</v>
      </c>
      <c r="BJ300" s="1062">
        <f>'No Recurrentes 24-26'!CV160</f>
        <v>0</v>
      </c>
      <c r="BK300" s="1068"/>
      <c r="BL300" s="1062">
        <f>'No Recurrentes 24-26'!CW160</f>
        <v>0</v>
      </c>
      <c r="BM300" s="1062">
        <f>'No Recurrentes 24-26'!CX160</f>
        <v>0</v>
      </c>
      <c r="BN300" s="1062">
        <f>'No Recurrentes 24-26'!CY160</f>
        <v>0</v>
      </c>
      <c r="BO300" s="1062">
        <f>'No Recurrentes 24-26'!CZ160</f>
        <v>0</v>
      </c>
      <c r="BP300" s="1062">
        <f>'No Recurrentes 24-26'!DA160</f>
        <v>0</v>
      </c>
      <c r="BQ300" s="1062">
        <f>'No Recurrentes 24-26'!DB160</f>
        <v>0</v>
      </c>
      <c r="BR300" s="1062">
        <f>'No Recurrentes 24-26'!DC160</f>
        <v>0</v>
      </c>
      <c r="BS300" s="1062">
        <f>'No Recurrentes 24-26'!DD160</f>
        <v>0</v>
      </c>
      <c r="BT300" s="1062">
        <f>'No Recurrentes 24-26'!DE160</f>
        <v>0</v>
      </c>
      <c r="BU300" s="1062">
        <f>'No Recurrentes 24-26'!DF160</f>
        <v>0</v>
      </c>
      <c r="BV300" s="1062">
        <f>'No Recurrentes 24-26'!DG160</f>
        <v>0</v>
      </c>
      <c r="BW300" s="1068"/>
      <c r="BX300" s="1062">
        <f>'No Recurrentes 24-26'!DH160</f>
        <v>0</v>
      </c>
      <c r="BY300" s="1062">
        <f>'No Recurrentes 24-26'!DI160</f>
        <v>0</v>
      </c>
      <c r="BZ300" s="1062">
        <f>'No Recurrentes 24-26'!DJ160</f>
        <v>0</v>
      </c>
      <c r="CA300" s="1062">
        <f>'No Recurrentes 24-26'!DK160</f>
        <v>0</v>
      </c>
      <c r="CB300" s="1062">
        <f>'No Recurrentes 24-26'!DL160</f>
        <v>0</v>
      </c>
      <c r="CC300" s="1062">
        <f>'No Recurrentes 24-26'!DM160</f>
        <v>0</v>
      </c>
      <c r="CD300" s="1062">
        <f>'No Recurrentes 24-26'!DN160</f>
        <v>0</v>
      </c>
      <c r="CE300" s="1062">
        <f>'No Recurrentes 24-26'!DO160</f>
        <v>0</v>
      </c>
      <c r="CF300" s="1062">
        <f>'No Recurrentes 24-26'!DP160</f>
        <v>0</v>
      </c>
      <c r="CG300" s="1062">
        <f>'No Recurrentes 24-26'!DQ160</f>
        <v>0</v>
      </c>
      <c r="CH300" s="1062">
        <f>'No Recurrentes 24-26'!DR160</f>
        <v>0</v>
      </c>
      <c r="CI300" s="1068"/>
      <c r="CJ300" s="1062">
        <f>'No Recurrentes 24-26'!DS160</f>
        <v>0</v>
      </c>
      <c r="CK300" s="1062">
        <f>'No Recurrentes 24-26'!DT160</f>
        <v>0</v>
      </c>
      <c r="CL300" s="451" t="str">
        <f>'No Recurrentes 24-26'!DU160</f>
        <v/>
      </c>
      <c r="CM300" s="1064" t="str">
        <f>'No Recurrentes 24-26'!DV160</f>
        <v>Se requiere compra local, se quita</v>
      </c>
      <c r="CN300" s="1065">
        <f>'No Recurrentes 24-26'!EI158</f>
        <v>1705.53</v>
      </c>
      <c r="CO300" s="1065">
        <f>'No Recurrentes 24-26'!EJ158</f>
        <v>1449.7</v>
      </c>
      <c r="CP300" s="1060" t="str">
        <f>'No Recurrentes 24-26'!EK158</f>
        <v/>
      </c>
    </row>
    <row r="301">
      <c r="A301" s="451" t="str">
        <f>'No Recurrentes 24-26'!A161</f>
        <v>Repuestos Electromecánicos no recurrentes</v>
      </c>
      <c r="B301" s="451">
        <f>'No Recurrentes 24-26'!B161</f>
        <v>2</v>
      </c>
      <c r="C301" s="451" t="str">
        <f>'No Recurrentes 24-26'!C161</f>
        <v>Vehiculo</v>
      </c>
      <c r="D301" s="451" t="str">
        <f>'No Recurrentes 24-26'!D161</f>
        <v>Manto. gral. Cabina</v>
      </c>
      <c r="E301" s="451" t="str">
        <f>'No Recurrentes 24-26'!E161</f>
        <v>Repuesto Mecánico</v>
      </c>
      <c r="F301" s="451" t="str">
        <f>'No Recurrentes 24-26'!F161</f>
        <v>TDB</v>
      </c>
      <c r="G301" s="1025" t="str">
        <f>'No Recurrentes 24-26'!G161</f>
        <v>39800</v>
      </c>
      <c r="H301" s="1061" t="str">
        <f>'No Recurrentes 24-26'!H161</f>
        <v>2-01-00115</v>
      </c>
      <c r="I301" s="1061" t="str">
        <f>'No Recurrentes 24-26'!I161</f>
        <v>11157571</v>
      </c>
      <c r="J301" s="1061" t="str">
        <f>'No Recurrentes 24-26'!J161</f>
        <v>INVALID: RESORTE DE BRAZOS 1 OMIII/OMIV/CO VE=5 STK ANR.:409533</v>
      </c>
      <c r="K301" s="451" t="str">
        <f>'No Recurrentes 24-26'!K161</f>
        <v>Pza</v>
      </c>
      <c r="L301" s="451" t="str">
        <f>'No Recurrentes 24-26'!BC161</f>
        <v/>
      </c>
      <c r="M301" s="451" t="str">
        <f>'No Recurrentes 24-26'!BD161</f>
        <v/>
      </c>
      <c r="N301" s="451" t="str">
        <f>'No Recurrentes 24-26'!BE161</f>
        <v/>
      </c>
      <c r="O301" s="451" t="str">
        <f>'No Recurrentes 24-26'!BF161</f>
        <v/>
      </c>
      <c r="P301" s="451" t="str">
        <f>'No Recurrentes 24-26'!BG161</f>
        <v/>
      </c>
      <c r="Q301" s="451" t="str">
        <f>'No Recurrentes 24-26'!BH161</f>
        <v/>
      </c>
      <c r="R301" s="451">
        <f>'No Recurrentes 24-26'!BI161</f>
        <v>10</v>
      </c>
      <c r="S301" s="451">
        <f>'No Recurrentes 24-26'!BJ161</f>
        <v>6</v>
      </c>
      <c r="T301" s="451">
        <f>'No Recurrentes 24-26'!BK161</f>
        <v>2</v>
      </c>
      <c r="U301" s="451">
        <f>'No Recurrentes 24-26'!BL161</f>
        <v>10</v>
      </c>
      <c r="V301" s="1068"/>
      <c r="W301" s="1062">
        <f>'No Recurrentes 24-26'!BM161</f>
        <v>28</v>
      </c>
      <c r="X301" s="1062">
        <f>'No Recurrentes 24-26'!BN161</f>
        <v>68</v>
      </c>
      <c r="Y301" s="1062">
        <f>'No Recurrentes 24-26'!BO161</f>
        <v>20</v>
      </c>
      <c r="Z301" s="1062">
        <f>'No Recurrentes 24-26'!BP161</f>
        <v>78</v>
      </c>
      <c r="AA301" s="1062">
        <f>'No Recurrentes 24-26'!BQ161</f>
        <v>50</v>
      </c>
      <c r="AB301" s="1062">
        <f>'No Recurrentes 24-26'!BR161</f>
        <v>20</v>
      </c>
      <c r="AC301" s="1062" t="str">
        <f>'No Recurrentes 24-26'!BS161</f>
        <v/>
      </c>
      <c r="AD301" s="1062">
        <f>'No Recurrentes 24-26'!BT161</f>
        <v>10</v>
      </c>
      <c r="AE301" s="1062" t="str">
        <f>'No Recurrentes 24-26'!BU161</f>
        <v/>
      </c>
      <c r="AF301" s="1062">
        <f>'No Recurrentes 24-26'!BV161</f>
        <v>2</v>
      </c>
      <c r="AG301" s="1062" t="str">
        <f>'No Recurrentes 24-26'!BW161</f>
        <v/>
      </c>
      <c r="AH301" s="1068"/>
      <c r="AI301" s="1062">
        <f>'No Recurrentes 24-26'!BX161</f>
        <v>248</v>
      </c>
      <c r="AJ301" s="1062" t="str">
        <f>'No Recurrentes 24-26'!BY161</f>
        <v/>
      </c>
      <c r="AK301" s="1062" t="str">
        <f>'No Recurrentes 24-26'!BZ161</f>
        <v/>
      </c>
      <c r="AL301" s="1062" t="str">
        <f>'No Recurrentes 24-26'!CA161</f>
        <v/>
      </c>
      <c r="AM301" s="1062">
        <f>'No Recurrentes 24-26'!CB161</f>
        <v>0</v>
      </c>
      <c r="AN301" s="1062">
        <f>'No Recurrentes 24-26'!CC161</f>
        <v>0</v>
      </c>
      <c r="AO301" s="1062">
        <f>'No Recurrentes 24-26'!CD161</f>
        <v>0</v>
      </c>
      <c r="AP301" s="1062">
        <f>'No Recurrentes 24-26'!CE161</f>
        <v>0</v>
      </c>
      <c r="AQ301" s="1062">
        <f>'No Recurrentes 24-26'!CF161</f>
        <v>6</v>
      </c>
      <c r="AR301" s="1062">
        <f>'No Recurrentes 24-26'!CG161</f>
        <v>0</v>
      </c>
      <c r="AS301" s="1062">
        <f>'No Recurrentes 24-26'!CH161</f>
        <v>10</v>
      </c>
      <c r="AT301" s="1068"/>
      <c r="AU301" s="1062">
        <f>'No Recurrentes 24-26'!CI161</f>
        <v>16</v>
      </c>
      <c r="AV301" s="1063">
        <f>'No Recurrentes 24-26'!CJ161</f>
        <v>292</v>
      </c>
      <c r="AW301" s="1068"/>
      <c r="AX301" s="1065">
        <f>'No Recurrentes 24-26'!CK161</f>
        <v>106.68</v>
      </c>
      <c r="AY301" s="1062">
        <f>'No Recurrentes 24-26'!CL161</f>
        <v>742.4928</v>
      </c>
      <c r="AZ301" s="1068"/>
      <c r="BA301" s="1062">
        <f>'No Recurrentes 24-26'!CM161</f>
        <v>0</v>
      </c>
      <c r="BB301" s="1062">
        <f>'No Recurrentes 24-26'!CN161</f>
        <v>0</v>
      </c>
      <c r="BC301" s="1062">
        <f>'No Recurrentes 24-26'!CO161</f>
        <v>0</v>
      </c>
      <c r="BD301" s="1062">
        <f>'No Recurrentes 24-26'!CP161</f>
        <v>0</v>
      </c>
      <c r="BE301" s="1062">
        <f>'No Recurrentes 24-26'!CQ161</f>
        <v>0</v>
      </c>
      <c r="BF301" s="1062">
        <f>'No Recurrentes 24-26'!CR161</f>
        <v>0</v>
      </c>
      <c r="BG301" s="1062">
        <f>'No Recurrentes 24-26'!CS161</f>
        <v>7424.928</v>
      </c>
      <c r="BH301" s="1062">
        <f>'No Recurrentes 24-26'!CT161</f>
        <v>4454.9568</v>
      </c>
      <c r="BI301" s="1062">
        <f>'No Recurrentes 24-26'!CU161</f>
        <v>1484.9856</v>
      </c>
      <c r="BJ301" s="1062">
        <f>'No Recurrentes 24-26'!CV161</f>
        <v>7424.928</v>
      </c>
      <c r="BK301" s="1068"/>
      <c r="BL301" s="1062">
        <f>'No Recurrentes 24-26'!CW161</f>
        <v>20789.7984</v>
      </c>
      <c r="BM301" s="1062">
        <f>'No Recurrentes 24-26'!CX161</f>
        <v>50489.5104</v>
      </c>
      <c r="BN301" s="1062">
        <f>'No Recurrentes 24-26'!CY161</f>
        <v>14849.856</v>
      </c>
      <c r="BO301" s="1062">
        <f>'No Recurrentes 24-26'!CZ161</f>
        <v>57914.4384</v>
      </c>
      <c r="BP301" s="1062">
        <f>'No Recurrentes 24-26'!DA161</f>
        <v>37124.64</v>
      </c>
      <c r="BQ301" s="1062">
        <f>'No Recurrentes 24-26'!DB161</f>
        <v>14849.856</v>
      </c>
      <c r="BR301" s="1062">
        <f>'No Recurrentes 24-26'!DC161</f>
        <v>0</v>
      </c>
      <c r="BS301" s="1062">
        <f>'No Recurrentes 24-26'!DD161</f>
        <v>7424.928</v>
      </c>
      <c r="BT301" s="1062">
        <f>'No Recurrentes 24-26'!DE161</f>
        <v>0</v>
      </c>
      <c r="BU301" s="1062">
        <f>'No Recurrentes 24-26'!DF161</f>
        <v>1484.9856</v>
      </c>
      <c r="BV301" s="1062">
        <f>'No Recurrentes 24-26'!DG161</f>
        <v>0</v>
      </c>
      <c r="BW301" s="1068"/>
      <c r="BX301" s="1062">
        <f>'No Recurrentes 24-26'!DH161</f>
        <v>184138.2144</v>
      </c>
      <c r="BY301" s="1062">
        <f>'No Recurrentes 24-26'!DI161</f>
        <v>0</v>
      </c>
      <c r="BZ301" s="1062">
        <f>'No Recurrentes 24-26'!DJ161</f>
        <v>0</v>
      </c>
      <c r="CA301" s="1062">
        <f>'No Recurrentes 24-26'!DK161</f>
        <v>0</v>
      </c>
      <c r="CB301" s="1062">
        <f>'No Recurrentes 24-26'!DL161</f>
        <v>0</v>
      </c>
      <c r="CC301" s="1062">
        <f>'No Recurrentes 24-26'!DM161</f>
        <v>0</v>
      </c>
      <c r="CD301" s="1062">
        <f>'No Recurrentes 24-26'!DN161</f>
        <v>0</v>
      </c>
      <c r="CE301" s="1062">
        <f>'No Recurrentes 24-26'!DO161</f>
        <v>0</v>
      </c>
      <c r="CF301" s="1062">
        <f>'No Recurrentes 24-26'!DP161</f>
        <v>4454.9568</v>
      </c>
      <c r="CG301" s="1062">
        <f>'No Recurrentes 24-26'!DQ161</f>
        <v>0</v>
      </c>
      <c r="CH301" s="1062">
        <f>'No Recurrentes 24-26'!DR161</f>
        <v>7424.928</v>
      </c>
      <c r="CI301" s="1068"/>
      <c r="CJ301" s="1062">
        <f>'No Recurrentes 24-26'!DS161</f>
        <v>11879.8848</v>
      </c>
      <c r="CK301" s="1062">
        <f>'No Recurrentes 24-26'!DT161</f>
        <v>216807.8976</v>
      </c>
      <c r="CL301" s="451" t="str">
        <f>'No Recurrentes 24-26'!DU161</f>
        <v/>
      </c>
      <c r="CM301" s="1064" t="str">
        <f>'No Recurrentes 24-26'!DV161</f>
        <v>Analizar fabricacion</v>
      </c>
      <c r="CN301" s="1060">
        <f>'No Recurrentes 24-26'!EI159</f>
        <v>1</v>
      </c>
      <c r="CO301" s="1060" t="str">
        <f>'No Recurrentes 24-26'!EJ159</f>
        <v/>
      </c>
      <c r="CP301" s="1060" t="str">
        <f>'No Recurrentes 24-26'!EK159</f>
        <v/>
      </c>
    </row>
    <row r="302">
      <c r="A302" s="451" t="str">
        <f>'No Recurrentes 24-26'!A162</f>
        <v>Repuestos Electromecánicos no recurrentes</v>
      </c>
      <c r="B302" s="451">
        <f>'No Recurrentes 24-26'!B162</f>
        <v>2</v>
      </c>
      <c r="C302" s="451" t="str">
        <f>'No Recurrentes 24-26'!C162</f>
        <v>Vehiculo</v>
      </c>
      <c r="D302" s="451" t="str">
        <f>'No Recurrentes 24-26'!D162</f>
        <v>Manto. gral. Cabina</v>
      </c>
      <c r="E302" s="451" t="str">
        <f>'No Recurrentes 24-26'!E162</f>
        <v>Repuesto Mecánico</v>
      </c>
      <c r="F302" s="451" t="str">
        <f>'No Recurrentes 24-26'!F162</f>
        <v>TDB</v>
      </c>
      <c r="G302" s="1025" t="str">
        <f>'No Recurrentes 24-26'!G162</f>
        <v>39800</v>
      </c>
      <c r="H302" s="1061" t="str">
        <f>'No Recurrentes 24-26'!H162</f>
        <v/>
      </c>
      <c r="I302" s="1061" t="str">
        <f>'No Recurrentes 24-26'!I162</f>
        <v>11001896</v>
      </c>
      <c r="J302" s="1061" t="str">
        <f>'No Recurrentes 24-26'!J162</f>
        <v>BRAZO DE PUERTA LADO IZQUIERDO, OMIV</v>
      </c>
      <c r="K302" s="451" t="str">
        <f>'No Recurrentes 24-26'!K162</f>
        <v>Pza</v>
      </c>
      <c r="L302" s="451" t="str">
        <f>'No Recurrentes 24-26'!BC162</f>
        <v/>
      </c>
      <c r="M302" s="451" t="str">
        <f>'No Recurrentes 24-26'!BD162</f>
        <v/>
      </c>
      <c r="N302" s="451" t="str">
        <f>'No Recurrentes 24-26'!BE162</f>
        <v/>
      </c>
      <c r="O302" s="451" t="str">
        <f>'No Recurrentes 24-26'!BF162</f>
        <v/>
      </c>
      <c r="P302" s="451" t="str">
        <f>'No Recurrentes 24-26'!BG162</f>
        <v/>
      </c>
      <c r="Q302" s="451" t="str">
        <f>'No Recurrentes 24-26'!BH162</f>
        <v/>
      </c>
      <c r="R302" s="451" t="str">
        <f>'No Recurrentes 24-26'!BI162</f>
        <v/>
      </c>
      <c r="S302" s="451" t="str">
        <f>'No Recurrentes 24-26'!BJ162</f>
        <v/>
      </c>
      <c r="T302" s="451" t="str">
        <f>'No Recurrentes 24-26'!BK162</f>
        <v/>
      </c>
      <c r="U302" s="451">
        <f>'No Recurrentes 24-26'!BL162</f>
        <v>1</v>
      </c>
      <c r="V302" s="1068"/>
      <c r="W302" s="1062">
        <f>'No Recurrentes 24-26'!BM162</f>
        <v>1</v>
      </c>
      <c r="X302" s="1062" t="str">
        <f>'No Recurrentes 24-26'!BN162</f>
        <v/>
      </c>
      <c r="Y302" s="1062" t="str">
        <f>'No Recurrentes 24-26'!BO162</f>
        <v/>
      </c>
      <c r="Z302" s="1062" t="str">
        <f>'No Recurrentes 24-26'!BP162</f>
        <v/>
      </c>
      <c r="AA302" s="1062" t="str">
        <f>'No Recurrentes 24-26'!BQ162</f>
        <v/>
      </c>
      <c r="AB302" s="1062" t="str">
        <f>'No Recurrentes 24-26'!BR162</f>
        <v/>
      </c>
      <c r="AC302" s="1062" t="str">
        <f>'No Recurrentes 24-26'!BS162</f>
        <v/>
      </c>
      <c r="AD302" s="1062" t="str">
        <f>'No Recurrentes 24-26'!BT162</f>
        <v/>
      </c>
      <c r="AE302" s="1062" t="str">
        <f>'No Recurrentes 24-26'!BU162</f>
        <v/>
      </c>
      <c r="AF302" s="1062" t="str">
        <f>'No Recurrentes 24-26'!BV162</f>
        <v/>
      </c>
      <c r="AG302" s="1062" t="str">
        <f>'No Recurrentes 24-26'!BW162</f>
        <v/>
      </c>
      <c r="AH302" s="1068"/>
      <c r="AI302" s="1062">
        <f>'No Recurrentes 24-26'!BX162</f>
        <v>0</v>
      </c>
      <c r="AJ302" s="1062">
        <f>'No Recurrentes 24-26'!BY162</f>
        <v>0</v>
      </c>
      <c r="AK302" s="1062">
        <f>'No Recurrentes 24-26'!BZ162</f>
        <v>0</v>
      </c>
      <c r="AL302" s="1062">
        <f>'No Recurrentes 24-26'!CA162</f>
        <v>0</v>
      </c>
      <c r="AM302" s="1062">
        <f>'No Recurrentes 24-26'!CB162</f>
        <v>0</v>
      </c>
      <c r="AN302" s="1062">
        <f>'No Recurrentes 24-26'!CC162</f>
        <v>0</v>
      </c>
      <c r="AO302" s="1062">
        <f>'No Recurrentes 24-26'!CD162</f>
        <v>0</v>
      </c>
      <c r="AP302" s="1062">
        <f>'No Recurrentes 24-26'!CE162</f>
        <v>0</v>
      </c>
      <c r="AQ302" s="1062">
        <f>'No Recurrentes 24-26'!CF162</f>
        <v>0</v>
      </c>
      <c r="AR302" s="1062">
        <f>'No Recurrentes 24-26'!CG162</f>
        <v>0</v>
      </c>
      <c r="AS302" s="1062">
        <f>'No Recurrentes 24-26'!CH162</f>
        <v>0</v>
      </c>
      <c r="AT302" s="1068"/>
      <c r="AU302" s="1062">
        <f>'No Recurrentes 24-26'!CI162</f>
        <v>0</v>
      </c>
      <c r="AV302" s="1063">
        <f>'No Recurrentes 24-26'!CJ162</f>
        <v>1</v>
      </c>
      <c r="AW302" s="1068"/>
      <c r="AX302" s="1065">
        <f>'No Recurrentes 24-26'!CK162</f>
        <v>1604.45</v>
      </c>
      <c r="AY302" s="1062">
        <f>'No Recurrentes 24-26'!CL162</f>
        <v>11166.972</v>
      </c>
      <c r="AZ302" s="1068"/>
      <c r="BA302" s="1062">
        <f>'No Recurrentes 24-26'!CM162</f>
        <v>0</v>
      </c>
      <c r="BB302" s="1062">
        <f>'No Recurrentes 24-26'!CN162</f>
        <v>0</v>
      </c>
      <c r="BC302" s="1062">
        <f>'No Recurrentes 24-26'!CO162</f>
        <v>0</v>
      </c>
      <c r="BD302" s="1062">
        <f>'No Recurrentes 24-26'!CP162</f>
        <v>0</v>
      </c>
      <c r="BE302" s="1062">
        <f>'No Recurrentes 24-26'!CQ162</f>
        <v>0</v>
      </c>
      <c r="BF302" s="1062">
        <f>'No Recurrentes 24-26'!CR162</f>
        <v>0</v>
      </c>
      <c r="BG302" s="1062">
        <f>'No Recurrentes 24-26'!CS162</f>
        <v>0</v>
      </c>
      <c r="BH302" s="1062">
        <f>'No Recurrentes 24-26'!CT162</f>
        <v>0</v>
      </c>
      <c r="BI302" s="1062">
        <f>'No Recurrentes 24-26'!CU162</f>
        <v>0</v>
      </c>
      <c r="BJ302" s="1062">
        <f>'No Recurrentes 24-26'!CV162</f>
        <v>11166.972</v>
      </c>
      <c r="BK302" s="1068"/>
      <c r="BL302" s="1062">
        <f>'No Recurrentes 24-26'!CW162</f>
        <v>11166.972</v>
      </c>
      <c r="BM302" s="1062">
        <f>'No Recurrentes 24-26'!CX162</f>
        <v>0</v>
      </c>
      <c r="BN302" s="1062">
        <f>'No Recurrentes 24-26'!CY162</f>
        <v>0</v>
      </c>
      <c r="BO302" s="1062">
        <f>'No Recurrentes 24-26'!CZ162</f>
        <v>0</v>
      </c>
      <c r="BP302" s="1062">
        <f>'No Recurrentes 24-26'!DA162</f>
        <v>0</v>
      </c>
      <c r="BQ302" s="1062">
        <f>'No Recurrentes 24-26'!DB162</f>
        <v>0</v>
      </c>
      <c r="BR302" s="1062">
        <f>'No Recurrentes 24-26'!DC162</f>
        <v>0</v>
      </c>
      <c r="BS302" s="1062">
        <f>'No Recurrentes 24-26'!DD162</f>
        <v>0</v>
      </c>
      <c r="BT302" s="1062">
        <f>'No Recurrentes 24-26'!DE162</f>
        <v>0</v>
      </c>
      <c r="BU302" s="1062">
        <f>'No Recurrentes 24-26'!DF162</f>
        <v>0</v>
      </c>
      <c r="BV302" s="1062">
        <f>'No Recurrentes 24-26'!DG162</f>
        <v>0</v>
      </c>
      <c r="BW302" s="1068"/>
      <c r="BX302" s="1062">
        <f>'No Recurrentes 24-26'!DH162</f>
        <v>0</v>
      </c>
      <c r="BY302" s="1062">
        <f>'No Recurrentes 24-26'!DI162</f>
        <v>0</v>
      </c>
      <c r="BZ302" s="1062">
        <f>'No Recurrentes 24-26'!DJ162</f>
        <v>0</v>
      </c>
      <c r="CA302" s="1062">
        <f>'No Recurrentes 24-26'!DK162</f>
        <v>0</v>
      </c>
      <c r="CB302" s="1062">
        <f>'No Recurrentes 24-26'!DL162</f>
        <v>0</v>
      </c>
      <c r="CC302" s="1062">
        <f>'No Recurrentes 24-26'!DM162</f>
        <v>0</v>
      </c>
      <c r="CD302" s="1062">
        <f>'No Recurrentes 24-26'!DN162</f>
        <v>0</v>
      </c>
      <c r="CE302" s="1062">
        <f>'No Recurrentes 24-26'!DO162</f>
        <v>0</v>
      </c>
      <c r="CF302" s="1062">
        <f>'No Recurrentes 24-26'!DP162</f>
        <v>0</v>
      </c>
      <c r="CG302" s="1062">
        <f>'No Recurrentes 24-26'!DQ162</f>
        <v>0</v>
      </c>
      <c r="CH302" s="1062">
        <f>'No Recurrentes 24-26'!DR162</f>
        <v>0</v>
      </c>
      <c r="CI302" s="1068"/>
      <c r="CJ302" s="1062">
        <f>'No Recurrentes 24-26'!DS162</f>
        <v>0</v>
      </c>
      <c r="CK302" s="1062">
        <f>'No Recurrentes 24-26'!DT162</f>
        <v>11166.972</v>
      </c>
      <c r="CL302" s="1064" t="str">
        <f>'No Recurrentes 24-26'!DU162</f>
        <v/>
      </c>
      <c r="CM302" s="1064" t="str">
        <f>'No Recurrentes 24-26'!DV162</f>
        <v/>
      </c>
      <c r="CN302" s="1060">
        <f>'No Recurrentes 24-26'!EI160</f>
        <v>1</v>
      </c>
      <c r="CO302" s="1060" t="str">
        <f>'No Recurrentes 24-26'!EJ160</f>
        <v/>
      </c>
      <c r="CP302" s="1060" t="str">
        <f>'No Recurrentes 24-26'!EK160</f>
        <v/>
      </c>
    </row>
    <row r="303">
      <c r="A303" s="451" t="str">
        <f>'No Recurrentes 24-26'!A163</f>
        <v>Repuestos Electromecánicos no recurrentes</v>
      </c>
      <c r="B303" s="451">
        <f>'No Recurrentes 24-26'!B163</f>
        <v>2</v>
      </c>
      <c r="C303" s="451" t="str">
        <f>'No Recurrentes 24-26'!C163</f>
        <v>Vehiculo</v>
      </c>
      <c r="D303" s="451" t="str">
        <f>'No Recurrentes 24-26'!D163</f>
        <v>Manto. gral. Cabina</v>
      </c>
      <c r="E303" s="451" t="str">
        <f>'No Recurrentes 24-26'!E163</f>
        <v>Insumo mecánico</v>
      </c>
      <c r="F303" s="451" t="str">
        <f>'No Recurrentes 24-26'!F163</f>
        <v>TDB</v>
      </c>
      <c r="G303" s="1025" t="str">
        <f>'No Recurrentes 24-26'!G163</f>
        <v>39800</v>
      </c>
      <c r="H303" s="1061" t="str">
        <f>'No Recurrentes 24-26'!H163</f>
        <v/>
      </c>
      <c r="I303" s="1061" t="str">
        <f>'No Recurrentes 24-26'!I163</f>
        <v>11129582</v>
      </c>
      <c r="J303" s="1061" t="str">
        <f>'No Recurrentes 24-26'!J163</f>
        <v>TORNILLO HEXAG. M10X50 GALV. Nº ART. 809559 C. REV. TUFLOK</v>
      </c>
      <c r="K303" s="451" t="str">
        <f>'No Recurrentes 24-26'!K163</f>
        <v>Pza</v>
      </c>
      <c r="L303" s="451">
        <f>'No Recurrentes 24-26'!BC163</f>
        <v>10</v>
      </c>
      <c r="M303" s="451">
        <f>'No Recurrentes 24-26'!BD163</f>
        <v>2</v>
      </c>
      <c r="N303" s="451">
        <f>'No Recurrentes 24-26'!BE163</f>
        <v>100</v>
      </c>
      <c r="O303" s="451" t="str">
        <f>'No Recurrentes 24-26'!BF163</f>
        <v/>
      </c>
      <c r="P303" s="451" t="str">
        <f>'No Recurrentes 24-26'!BG163</f>
        <v/>
      </c>
      <c r="Q303" s="451" t="str">
        <f>'No Recurrentes 24-26'!BH163</f>
        <v/>
      </c>
      <c r="R303" s="451">
        <f>'No Recurrentes 24-26'!BI163</f>
        <v>6</v>
      </c>
      <c r="S303" s="451" t="str">
        <f>'No Recurrentes 24-26'!BJ163</f>
        <v/>
      </c>
      <c r="T303" s="451">
        <f>'No Recurrentes 24-26'!BK163</f>
        <v>2</v>
      </c>
      <c r="U303" s="451" t="str">
        <f>'No Recurrentes 24-26'!BL163</f>
        <v/>
      </c>
      <c r="V303" s="1068"/>
      <c r="W303" s="1062">
        <f>'No Recurrentes 24-26'!BM163</f>
        <v>120</v>
      </c>
      <c r="X303" s="1062" t="str">
        <f>'No Recurrentes 24-26'!BN163</f>
        <v/>
      </c>
      <c r="Y303" s="1062" t="str">
        <f>'No Recurrentes 24-26'!BO163</f>
        <v/>
      </c>
      <c r="Z303" s="1062" t="str">
        <f>'No Recurrentes 24-26'!BP163</f>
        <v/>
      </c>
      <c r="AA303" s="1062">
        <f>'No Recurrentes 24-26'!BQ163</f>
        <v>110</v>
      </c>
      <c r="AB303" s="1062">
        <f>'No Recurrentes 24-26'!BR163</f>
        <v>30</v>
      </c>
      <c r="AC303" s="1062">
        <f>'No Recurrentes 24-26'!BS163</f>
        <v>10</v>
      </c>
      <c r="AD303" s="1062" t="str">
        <f>'No Recurrentes 24-26'!BT163</f>
        <v/>
      </c>
      <c r="AE303" s="1062" t="str">
        <f>'No Recurrentes 24-26'!BU163</f>
        <v/>
      </c>
      <c r="AF303" s="1062" t="str">
        <f>'No Recurrentes 24-26'!BV163</f>
        <v/>
      </c>
      <c r="AG303" s="1062" t="str">
        <f>'No Recurrentes 24-26'!BW163</f>
        <v/>
      </c>
      <c r="AH303" s="1068"/>
      <c r="AI303" s="1062">
        <f>'No Recurrentes 24-26'!BX163</f>
        <v>150</v>
      </c>
      <c r="AJ303" s="1062">
        <f>'No Recurrentes 24-26'!BY163</f>
        <v>0</v>
      </c>
      <c r="AK303" s="1062">
        <f>'No Recurrentes 24-26'!BZ163</f>
        <v>0</v>
      </c>
      <c r="AL303" s="1062">
        <f>'No Recurrentes 24-26'!CA163</f>
        <v>0</v>
      </c>
      <c r="AM303" s="1062">
        <f>'No Recurrentes 24-26'!CB163</f>
        <v>0</v>
      </c>
      <c r="AN303" s="1062">
        <f>'No Recurrentes 24-26'!CC163</f>
        <v>0</v>
      </c>
      <c r="AO303" s="1062">
        <f>'No Recurrentes 24-26'!CD163</f>
        <v>0</v>
      </c>
      <c r="AP303" s="1062">
        <f>'No Recurrentes 24-26'!CE163</f>
        <v>0</v>
      </c>
      <c r="AQ303" s="1062">
        <f>'No Recurrentes 24-26'!CF163</f>
        <v>0</v>
      </c>
      <c r="AR303" s="1062">
        <f>'No Recurrentes 24-26'!CG163</f>
        <v>0</v>
      </c>
      <c r="AS303" s="1062">
        <f>'No Recurrentes 24-26'!CH163</f>
        <v>0</v>
      </c>
      <c r="AT303" s="1068"/>
      <c r="AU303" s="1062">
        <f>'No Recurrentes 24-26'!CI163</f>
        <v>0</v>
      </c>
      <c r="AV303" s="1063">
        <f>'No Recurrentes 24-26'!CJ163</f>
        <v>270</v>
      </c>
      <c r="AW303" s="1068"/>
      <c r="AX303" s="1065">
        <f>'No Recurrentes 24-26'!CK163</f>
        <v>11.57</v>
      </c>
      <c r="AY303" s="1062">
        <f>'No Recurrentes 24-26'!CL163</f>
        <v>80.5272</v>
      </c>
      <c r="AZ303" s="1068"/>
      <c r="BA303" s="1062">
        <f>'No Recurrentes 24-26'!CM163</f>
        <v>805.272</v>
      </c>
      <c r="BB303" s="1062">
        <f>'No Recurrentes 24-26'!CN163</f>
        <v>161.0544</v>
      </c>
      <c r="BC303" s="1062">
        <f>'No Recurrentes 24-26'!CO163</f>
        <v>8052.72</v>
      </c>
      <c r="BD303" s="1062">
        <f>'No Recurrentes 24-26'!CP163</f>
        <v>0</v>
      </c>
      <c r="BE303" s="1062">
        <f>'No Recurrentes 24-26'!CQ163</f>
        <v>0</v>
      </c>
      <c r="BF303" s="1062">
        <f>'No Recurrentes 24-26'!CR163</f>
        <v>0</v>
      </c>
      <c r="BG303" s="1062">
        <f>'No Recurrentes 24-26'!CS163</f>
        <v>483.1632</v>
      </c>
      <c r="BH303" s="1062">
        <f>'No Recurrentes 24-26'!CT163</f>
        <v>0</v>
      </c>
      <c r="BI303" s="1062">
        <f>'No Recurrentes 24-26'!CU163</f>
        <v>161.0544</v>
      </c>
      <c r="BJ303" s="1062">
        <f>'No Recurrentes 24-26'!CV163</f>
        <v>0</v>
      </c>
      <c r="BK303" s="1068"/>
      <c r="BL303" s="1062">
        <f>'No Recurrentes 24-26'!CW163</f>
        <v>9663.264</v>
      </c>
      <c r="BM303" s="1062">
        <f>'No Recurrentes 24-26'!CX163</f>
        <v>0</v>
      </c>
      <c r="BN303" s="1062">
        <f>'No Recurrentes 24-26'!CY163</f>
        <v>0</v>
      </c>
      <c r="BO303" s="1062">
        <f>'No Recurrentes 24-26'!CZ163</f>
        <v>0</v>
      </c>
      <c r="BP303" s="1062">
        <f>'No Recurrentes 24-26'!DA163</f>
        <v>8857.992</v>
      </c>
      <c r="BQ303" s="1062">
        <f>'No Recurrentes 24-26'!DB163</f>
        <v>2415.816</v>
      </c>
      <c r="BR303" s="1062">
        <f>'No Recurrentes 24-26'!DC163</f>
        <v>805.272</v>
      </c>
      <c r="BS303" s="1062">
        <f>'No Recurrentes 24-26'!DD163</f>
        <v>0</v>
      </c>
      <c r="BT303" s="1062">
        <f>'No Recurrentes 24-26'!DE163</f>
        <v>0</v>
      </c>
      <c r="BU303" s="1062">
        <f>'No Recurrentes 24-26'!DF163</f>
        <v>0</v>
      </c>
      <c r="BV303" s="1062">
        <f>'No Recurrentes 24-26'!DG163</f>
        <v>0</v>
      </c>
      <c r="BW303" s="1068"/>
      <c r="BX303" s="1062">
        <f>'No Recurrentes 24-26'!DH163</f>
        <v>12079.08</v>
      </c>
      <c r="BY303" s="1062">
        <f>'No Recurrentes 24-26'!DI163</f>
        <v>0</v>
      </c>
      <c r="BZ303" s="1062">
        <f>'No Recurrentes 24-26'!DJ163</f>
        <v>0</v>
      </c>
      <c r="CA303" s="1062">
        <f>'No Recurrentes 24-26'!DK163</f>
        <v>0</v>
      </c>
      <c r="CB303" s="1062">
        <f>'No Recurrentes 24-26'!DL163</f>
        <v>0</v>
      </c>
      <c r="CC303" s="1062">
        <f>'No Recurrentes 24-26'!DM163</f>
        <v>0</v>
      </c>
      <c r="CD303" s="1062">
        <f>'No Recurrentes 24-26'!DN163</f>
        <v>0</v>
      </c>
      <c r="CE303" s="1062">
        <f>'No Recurrentes 24-26'!DO163</f>
        <v>0</v>
      </c>
      <c r="CF303" s="1062">
        <f>'No Recurrentes 24-26'!DP163</f>
        <v>0</v>
      </c>
      <c r="CG303" s="1062">
        <f>'No Recurrentes 24-26'!DQ163</f>
        <v>0</v>
      </c>
      <c r="CH303" s="1062">
        <f>'No Recurrentes 24-26'!DR163</f>
        <v>0</v>
      </c>
      <c r="CI303" s="1068"/>
      <c r="CJ303" s="1062">
        <f>'No Recurrentes 24-26'!DS163</f>
        <v>0</v>
      </c>
      <c r="CK303" s="1062">
        <f>'No Recurrentes 24-26'!DT163</f>
        <v>21742.344</v>
      </c>
      <c r="CL303" s="1064" t="str">
        <f>'No Recurrentes 24-26'!DU163</f>
        <v/>
      </c>
      <c r="CM303" s="1064" t="str">
        <f>'No Recurrentes 24-26'!DV163</f>
        <v>No cotizo: Cotiza con ID: 11129582</v>
      </c>
      <c r="CN303" s="1065">
        <f>'No Recurrentes 24-26'!EI161</f>
        <v>106.68</v>
      </c>
      <c r="CO303" s="1065">
        <f>'No Recurrentes 24-26'!EJ161</f>
        <v>90.68</v>
      </c>
      <c r="CP303" s="1060" t="str">
        <f>'No Recurrentes 24-26'!EK161</f>
        <v/>
      </c>
    </row>
    <row r="304">
      <c r="A304" s="451" t="str">
        <f>'No Recurrentes 24-26'!A165</f>
        <v>Repuestos Electromecánicos no recurrentes</v>
      </c>
      <c r="B304" s="451">
        <f>'No Recurrentes 24-26'!B165</f>
        <v>2</v>
      </c>
      <c r="C304" s="451" t="str">
        <f>'No Recurrentes 24-26'!C165</f>
        <v>Vehiculo</v>
      </c>
      <c r="D304" s="451" t="str">
        <f>'No Recurrentes 24-26'!D165</f>
        <v>Manto. gral. Cabina</v>
      </c>
      <c r="E304" s="451" t="str">
        <f>'No Recurrentes 24-26'!E165</f>
        <v>Insumo mecánico</v>
      </c>
      <c r="F304" s="451" t="str">
        <f>'No Recurrentes 24-26'!F165</f>
        <v>TDB</v>
      </c>
      <c r="G304" s="1025" t="str">
        <f>'No Recurrentes 24-26'!G165</f>
        <v>39800</v>
      </c>
      <c r="H304" s="1061" t="str">
        <f>'No Recurrentes 24-26'!H165</f>
        <v>2-01-00866</v>
      </c>
      <c r="I304" s="1061" t="str">
        <f>'No Recurrentes 24-26'!I165</f>
        <v>10752724</v>
      </c>
      <c r="J304" s="1061" t="str">
        <f>'No Recurrentes 24-26'!J165</f>
        <v>BULÓN P. CILINDRO AMORT. MGD Y CLD</v>
      </c>
      <c r="K304" s="451" t="str">
        <f>'No Recurrentes 24-26'!K165</f>
        <v>Pza</v>
      </c>
      <c r="L304" s="451" t="str">
        <f>'No Recurrentes 24-26'!BC165</f>
        <v/>
      </c>
      <c r="M304" s="451" t="str">
        <f>'No Recurrentes 24-26'!BD165</f>
        <v/>
      </c>
      <c r="N304" s="451">
        <f>'No Recurrentes 24-26'!BE165</f>
        <v>20</v>
      </c>
      <c r="O304" s="451" t="str">
        <f>'No Recurrentes 24-26'!BF165</f>
        <v/>
      </c>
      <c r="P304" s="451" t="str">
        <f>'No Recurrentes 24-26'!BG165</f>
        <v/>
      </c>
      <c r="Q304" s="451" t="str">
        <f>'No Recurrentes 24-26'!BH165</f>
        <v/>
      </c>
      <c r="R304" s="451" t="str">
        <f>'No Recurrentes 24-26'!BI165</f>
        <v/>
      </c>
      <c r="S304" s="451" t="str">
        <f>'No Recurrentes 24-26'!BJ165</f>
        <v/>
      </c>
      <c r="T304" s="451" t="str">
        <f>'No Recurrentes 24-26'!BK165</f>
        <v/>
      </c>
      <c r="U304" s="451" t="str">
        <f>'No Recurrentes 24-26'!BL165</f>
        <v/>
      </c>
      <c r="V304" s="1068"/>
      <c r="W304" s="1062">
        <f>'No Recurrentes 24-26'!BM165</f>
        <v>20</v>
      </c>
      <c r="X304" s="1062">
        <f>'No Recurrentes 24-26'!BN165</f>
        <v>10</v>
      </c>
      <c r="Y304" s="1062">
        <f>'No Recurrentes 24-26'!BO165</f>
        <v>10</v>
      </c>
      <c r="Z304" s="1062" t="str">
        <f>'No Recurrentes 24-26'!BP165</f>
        <v/>
      </c>
      <c r="AA304" s="1062" t="str">
        <f>'No Recurrentes 24-26'!BQ165</f>
        <v/>
      </c>
      <c r="AB304" s="1062" t="str">
        <f>'No Recurrentes 24-26'!BR165</f>
        <v/>
      </c>
      <c r="AC304" s="1062" t="str">
        <f>'No Recurrentes 24-26'!BS165</f>
        <v/>
      </c>
      <c r="AD304" s="1062" t="str">
        <f>'No Recurrentes 24-26'!BT165</f>
        <v/>
      </c>
      <c r="AE304" s="1062" t="str">
        <f>'No Recurrentes 24-26'!BU165</f>
        <v/>
      </c>
      <c r="AF304" s="1062" t="str">
        <f>'No Recurrentes 24-26'!BV165</f>
        <v/>
      </c>
      <c r="AG304" s="1062" t="str">
        <f>'No Recurrentes 24-26'!BW165</f>
        <v/>
      </c>
      <c r="AH304" s="1068"/>
      <c r="AI304" s="1062">
        <f>'No Recurrentes 24-26'!BX165</f>
        <v>20</v>
      </c>
      <c r="AJ304" s="1062">
        <f>'No Recurrentes 24-26'!BY165</f>
        <v>10</v>
      </c>
      <c r="AK304" s="1062">
        <f>'No Recurrentes 24-26'!BZ165</f>
        <v>10</v>
      </c>
      <c r="AL304" s="1062">
        <f>'No Recurrentes 24-26'!CA165</f>
        <v>0</v>
      </c>
      <c r="AM304" s="1062">
        <f>'No Recurrentes 24-26'!CB165</f>
        <v>0</v>
      </c>
      <c r="AN304" s="1062">
        <f>'No Recurrentes 24-26'!CC165</f>
        <v>0</v>
      </c>
      <c r="AO304" s="1062">
        <f>'No Recurrentes 24-26'!CD165</f>
        <v>0</v>
      </c>
      <c r="AP304" s="1062">
        <f>'No Recurrentes 24-26'!CE165</f>
        <v>0</v>
      </c>
      <c r="AQ304" s="1062">
        <f>'No Recurrentes 24-26'!CF165</f>
        <v>0</v>
      </c>
      <c r="AR304" s="1062">
        <f>'No Recurrentes 24-26'!CG165</f>
        <v>0</v>
      </c>
      <c r="AS304" s="1062">
        <f>'No Recurrentes 24-26'!CH165</f>
        <v>0</v>
      </c>
      <c r="AT304" s="1068"/>
      <c r="AU304" s="1062">
        <f>'No Recurrentes 24-26'!CI165</f>
        <v>20</v>
      </c>
      <c r="AV304" s="1063">
        <f>'No Recurrentes 24-26'!CJ165</f>
        <v>60</v>
      </c>
      <c r="AW304" s="1068"/>
      <c r="AX304" s="1065">
        <f>'No Recurrentes 24-26'!CK165</f>
        <v>32.92</v>
      </c>
      <c r="AY304" s="1062">
        <f>'No Recurrentes 24-26'!CL165</f>
        <v>229.1232</v>
      </c>
      <c r="AZ304" s="1068"/>
      <c r="BA304" s="1062">
        <f>'No Recurrentes 24-26'!CM165</f>
        <v>0</v>
      </c>
      <c r="BB304" s="1062">
        <f>'No Recurrentes 24-26'!CN165</f>
        <v>0</v>
      </c>
      <c r="BC304" s="1062">
        <f>'No Recurrentes 24-26'!CO165</f>
        <v>4582.464</v>
      </c>
      <c r="BD304" s="1062">
        <f>'No Recurrentes 24-26'!CP165</f>
        <v>0</v>
      </c>
      <c r="BE304" s="1062">
        <f>'No Recurrentes 24-26'!CQ165</f>
        <v>0</v>
      </c>
      <c r="BF304" s="1062">
        <f>'No Recurrentes 24-26'!CR165</f>
        <v>0</v>
      </c>
      <c r="BG304" s="1062">
        <f>'No Recurrentes 24-26'!CS165</f>
        <v>0</v>
      </c>
      <c r="BH304" s="1062">
        <f>'No Recurrentes 24-26'!CT165</f>
        <v>0</v>
      </c>
      <c r="BI304" s="1062">
        <f>'No Recurrentes 24-26'!CU165</f>
        <v>0</v>
      </c>
      <c r="BJ304" s="1062">
        <f>'No Recurrentes 24-26'!CV165</f>
        <v>0</v>
      </c>
      <c r="BK304" s="1068"/>
      <c r="BL304" s="1062">
        <f>'No Recurrentes 24-26'!CW165</f>
        <v>4582.464</v>
      </c>
      <c r="BM304" s="1062">
        <f>'No Recurrentes 24-26'!CX165</f>
        <v>2291.232</v>
      </c>
      <c r="BN304" s="1062">
        <f>'No Recurrentes 24-26'!CY165</f>
        <v>2291.232</v>
      </c>
      <c r="BO304" s="1062">
        <f>'No Recurrentes 24-26'!CZ165</f>
        <v>0</v>
      </c>
      <c r="BP304" s="1062">
        <f>'No Recurrentes 24-26'!DA165</f>
        <v>0</v>
      </c>
      <c r="BQ304" s="1062">
        <f>'No Recurrentes 24-26'!DB165</f>
        <v>0</v>
      </c>
      <c r="BR304" s="1062">
        <f>'No Recurrentes 24-26'!DC165</f>
        <v>0</v>
      </c>
      <c r="BS304" s="1062">
        <f>'No Recurrentes 24-26'!DD165</f>
        <v>0</v>
      </c>
      <c r="BT304" s="1062">
        <f>'No Recurrentes 24-26'!DE165</f>
        <v>0</v>
      </c>
      <c r="BU304" s="1062">
        <f>'No Recurrentes 24-26'!DF165</f>
        <v>0</v>
      </c>
      <c r="BV304" s="1062">
        <f>'No Recurrentes 24-26'!DG165</f>
        <v>0</v>
      </c>
      <c r="BW304" s="1068"/>
      <c r="BX304" s="1062">
        <f>'No Recurrentes 24-26'!DH165</f>
        <v>4582.464</v>
      </c>
      <c r="BY304" s="1062">
        <f>'No Recurrentes 24-26'!DI165</f>
        <v>2291.232</v>
      </c>
      <c r="BZ304" s="1062">
        <f>'No Recurrentes 24-26'!DJ165</f>
        <v>2291.232</v>
      </c>
      <c r="CA304" s="1062">
        <f>'No Recurrentes 24-26'!DK165</f>
        <v>0</v>
      </c>
      <c r="CB304" s="1062">
        <f>'No Recurrentes 24-26'!DL165</f>
        <v>0</v>
      </c>
      <c r="CC304" s="1062">
        <f>'No Recurrentes 24-26'!DM165</f>
        <v>0</v>
      </c>
      <c r="CD304" s="1062">
        <f>'No Recurrentes 24-26'!DN165</f>
        <v>0</v>
      </c>
      <c r="CE304" s="1062">
        <f>'No Recurrentes 24-26'!DO165</f>
        <v>0</v>
      </c>
      <c r="CF304" s="1062">
        <f>'No Recurrentes 24-26'!DP165</f>
        <v>0</v>
      </c>
      <c r="CG304" s="1062">
        <f>'No Recurrentes 24-26'!DQ165</f>
        <v>0</v>
      </c>
      <c r="CH304" s="1062">
        <f>'No Recurrentes 24-26'!DR165</f>
        <v>0</v>
      </c>
      <c r="CI304" s="1068"/>
      <c r="CJ304" s="1062">
        <f>'No Recurrentes 24-26'!DS165</f>
        <v>4582.464</v>
      </c>
      <c r="CK304" s="1062">
        <f>'No Recurrentes 24-26'!DT165</f>
        <v>13747.392</v>
      </c>
      <c r="CL304" s="1064" t="str">
        <f>'No Recurrentes 24-26'!DU165</f>
        <v/>
      </c>
      <c r="CM304" s="1064" t="str">
        <f>'No Recurrentes 24-26'!DV165</f>
        <v/>
      </c>
      <c r="CN304" s="1065">
        <f>'No Recurrentes 24-26'!EI162</f>
        <v>1604.45</v>
      </c>
      <c r="CO304" s="1065">
        <f>'No Recurrentes 24-26'!EJ162</f>
        <v>1363.78</v>
      </c>
      <c r="CP304" s="1060" t="str">
        <f>'No Recurrentes 24-26'!EK162</f>
        <v/>
      </c>
    </row>
    <row r="305">
      <c r="A305" s="451" t="str">
        <f>'No Recurrentes 24-26'!A167</f>
        <v>Repuestos Electromecánicos no recurrentes</v>
      </c>
      <c r="B305" s="451">
        <f>'No Recurrentes 24-26'!B167</f>
        <v>2</v>
      </c>
      <c r="C305" s="451" t="str">
        <f>'No Recurrentes 24-26'!C167</f>
        <v>Vehiculo</v>
      </c>
      <c r="D305" s="451" t="str">
        <f>'No Recurrentes 24-26'!D167</f>
        <v>Manto. gral. Cabina</v>
      </c>
      <c r="E305" s="451" t="str">
        <f>'No Recurrentes 24-26'!E167</f>
        <v>Insumo mecánico</v>
      </c>
      <c r="F305" s="451" t="str">
        <f>'No Recurrentes 24-26'!F167</f>
        <v>TDB</v>
      </c>
      <c r="G305" s="1025" t="str">
        <f>'No Recurrentes 24-26'!G167</f>
        <v>39800</v>
      </c>
      <c r="H305" s="1061" t="str">
        <f>'No Recurrentes 24-26'!H167</f>
        <v>2-01-00645</v>
      </c>
      <c r="I305" s="1061" t="str">
        <f>'No Recurrentes 24-26'!I167</f>
        <v>11412554</v>
      </c>
      <c r="J305" s="1061" t="str">
        <f>'No Recurrentes 24-26'!J167</f>
        <v>TORNILLO DE FIJACION M6, NO.10.100.365 C.COLLAR DE PL.+ANILLO</v>
      </c>
      <c r="K305" s="451" t="str">
        <f>'No Recurrentes 24-26'!K167</f>
        <v>Pza</v>
      </c>
      <c r="L305" s="451" t="str">
        <f>'No Recurrentes 24-26'!BC167</f>
        <v/>
      </c>
      <c r="M305" s="451" t="str">
        <f>'No Recurrentes 24-26'!BD167</f>
        <v/>
      </c>
      <c r="N305" s="451" t="str">
        <f>'No Recurrentes 24-26'!BE167</f>
        <v/>
      </c>
      <c r="O305" s="451" t="str">
        <f>'No Recurrentes 24-26'!BF167</f>
        <v/>
      </c>
      <c r="P305" s="451" t="str">
        <f>'No Recurrentes 24-26'!BG167</f>
        <v/>
      </c>
      <c r="Q305" s="451" t="str">
        <f>'No Recurrentes 24-26'!BH167</f>
        <v/>
      </c>
      <c r="R305" s="451">
        <f>'No Recurrentes 24-26'!BI167</f>
        <v>2</v>
      </c>
      <c r="S305" s="451">
        <f>'No Recurrentes 24-26'!BJ167</f>
        <v>2</v>
      </c>
      <c r="T305" s="451" t="str">
        <f>'No Recurrentes 24-26'!BK167</f>
        <v/>
      </c>
      <c r="U305" s="451">
        <f>'No Recurrentes 24-26'!BL167</f>
        <v>2</v>
      </c>
      <c r="V305" s="1068"/>
      <c r="W305" s="1062">
        <f>'No Recurrentes 24-26'!BM167</f>
        <v>6</v>
      </c>
      <c r="X305" s="1062" t="str">
        <f>'No Recurrentes 24-26'!BN167</f>
        <v/>
      </c>
      <c r="Y305" s="1062" t="str">
        <f>'No Recurrentes 24-26'!BO167</f>
        <v/>
      </c>
      <c r="Z305" s="1062" t="str">
        <f>'No Recurrentes 24-26'!BP167</f>
        <v/>
      </c>
      <c r="AA305" s="1062" t="str">
        <f>'No Recurrentes 24-26'!BQ167</f>
        <v/>
      </c>
      <c r="AB305" s="1062" t="str">
        <f>'No Recurrentes 24-26'!BR167</f>
        <v/>
      </c>
      <c r="AC305" s="1062" t="str">
        <f>'No Recurrentes 24-26'!BS167</f>
        <v/>
      </c>
      <c r="AD305" s="1062" t="str">
        <f>'No Recurrentes 24-26'!BT167</f>
        <v/>
      </c>
      <c r="AE305" s="1062" t="str">
        <f>'No Recurrentes 24-26'!BU167</f>
        <v/>
      </c>
      <c r="AF305" s="1062" t="str">
        <f>'No Recurrentes 24-26'!BV167</f>
        <v/>
      </c>
      <c r="AG305" s="1062" t="str">
        <f>'No Recurrentes 24-26'!BW167</f>
        <v/>
      </c>
      <c r="AH305" s="1068"/>
      <c r="AI305" s="1062">
        <f>'No Recurrentes 24-26'!BX167</f>
        <v>0</v>
      </c>
      <c r="AJ305" s="1062">
        <f>'No Recurrentes 24-26'!BY167</f>
        <v>0</v>
      </c>
      <c r="AK305" s="1062">
        <f>'No Recurrentes 24-26'!BZ167</f>
        <v>0</v>
      </c>
      <c r="AL305" s="1062">
        <f>'No Recurrentes 24-26'!CA167</f>
        <v>0</v>
      </c>
      <c r="AM305" s="1062">
        <f>'No Recurrentes 24-26'!CB167</f>
        <v>0</v>
      </c>
      <c r="AN305" s="1062">
        <f>'No Recurrentes 24-26'!CC167</f>
        <v>0</v>
      </c>
      <c r="AO305" s="1062">
        <f>'No Recurrentes 24-26'!CD167</f>
        <v>0</v>
      </c>
      <c r="AP305" s="1062">
        <f>'No Recurrentes 24-26'!CE167</f>
        <v>0</v>
      </c>
      <c r="AQ305" s="1062">
        <f>'No Recurrentes 24-26'!CF167</f>
        <v>0</v>
      </c>
      <c r="AR305" s="1062">
        <f>'No Recurrentes 24-26'!CG167</f>
        <v>0</v>
      </c>
      <c r="AS305" s="1062">
        <f>'No Recurrentes 24-26'!CH167</f>
        <v>0</v>
      </c>
      <c r="AT305" s="1068"/>
      <c r="AU305" s="1062">
        <f>'No Recurrentes 24-26'!CI167</f>
        <v>0</v>
      </c>
      <c r="AV305" s="1063">
        <f>'No Recurrentes 24-26'!CJ167</f>
        <v>6</v>
      </c>
      <c r="AW305" s="1068"/>
      <c r="AX305" s="1065">
        <f>'No Recurrentes 24-26'!CK167</f>
        <v>4.31</v>
      </c>
      <c r="AY305" s="1062">
        <f>'No Recurrentes 24-26'!CL167</f>
        <v>29.9976</v>
      </c>
      <c r="AZ305" s="1068"/>
      <c r="BA305" s="1062">
        <f>'No Recurrentes 24-26'!CM167</f>
        <v>0</v>
      </c>
      <c r="BB305" s="1062">
        <f>'No Recurrentes 24-26'!CN167</f>
        <v>0</v>
      </c>
      <c r="BC305" s="1062">
        <f>'No Recurrentes 24-26'!CO167</f>
        <v>0</v>
      </c>
      <c r="BD305" s="1062">
        <f>'No Recurrentes 24-26'!CP167</f>
        <v>0</v>
      </c>
      <c r="BE305" s="1062">
        <f>'No Recurrentes 24-26'!CQ167</f>
        <v>0</v>
      </c>
      <c r="BF305" s="1062">
        <f>'No Recurrentes 24-26'!CR167</f>
        <v>0</v>
      </c>
      <c r="BG305" s="1062">
        <f>'No Recurrentes 24-26'!CS167</f>
        <v>59.9952</v>
      </c>
      <c r="BH305" s="1062">
        <f>'No Recurrentes 24-26'!CT167</f>
        <v>59.9952</v>
      </c>
      <c r="BI305" s="1062">
        <f>'No Recurrentes 24-26'!CU167</f>
        <v>0</v>
      </c>
      <c r="BJ305" s="1062">
        <f>'No Recurrentes 24-26'!CV167</f>
        <v>59.9952</v>
      </c>
      <c r="BK305" s="1068"/>
      <c r="BL305" s="1062">
        <f>'No Recurrentes 24-26'!CW167</f>
        <v>179.9856</v>
      </c>
      <c r="BM305" s="1062">
        <f>'No Recurrentes 24-26'!CX167</f>
        <v>0</v>
      </c>
      <c r="BN305" s="1062">
        <f>'No Recurrentes 24-26'!CY167</f>
        <v>0</v>
      </c>
      <c r="BO305" s="1062">
        <f>'No Recurrentes 24-26'!CZ167</f>
        <v>0</v>
      </c>
      <c r="BP305" s="1062">
        <f>'No Recurrentes 24-26'!DA167</f>
        <v>0</v>
      </c>
      <c r="BQ305" s="1062">
        <f>'No Recurrentes 24-26'!DB167</f>
        <v>0</v>
      </c>
      <c r="BR305" s="1062">
        <f>'No Recurrentes 24-26'!DC167</f>
        <v>0</v>
      </c>
      <c r="BS305" s="1062">
        <f>'No Recurrentes 24-26'!DD167</f>
        <v>0</v>
      </c>
      <c r="BT305" s="1062">
        <f>'No Recurrentes 24-26'!DE167</f>
        <v>0</v>
      </c>
      <c r="BU305" s="1062">
        <f>'No Recurrentes 24-26'!DF167</f>
        <v>0</v>
      </c>
      <c r="BV305" s="1062">
        <f>'No Recurrentes 24-26'!DG167</f>
        <v>0</v>
      </c>
      <c r="BW305" s="1068"/>
      <c r="BX305" s="1062">
        <f>'No Recurrentes 24-26'!DH167</f>
        <v>0</v>
      </c>
      <c r="BY305" s="1062">
        <f>'No Recurrentes 24-26'!DI167</f>
        <v>0</v>
      </c>
      <c r="BZ305" s="1062">
        <f>'No Recurrentes 24-26'!DJ167</f>
        <v>0</v>
      </c>
      <c r="CA305" s="1062">
        <f>'No Recurrentes 24-26'!DK167</f>
        <v>0</v>
      </c>
      <c r="CB305" s="1062">
        <f>'No Recurrentes 24-26'!DL167</f>
        <v>0</v>
      </c>
      <c r="CC305" s="1062">
        <f>'No Recurrentes 24-26'!DM167</f>
        <v>0</v>
      </c>
      <c r="CD305" s="1062">
        <f>'No Recurrentes 24-26'!DN167</f>
        <v>0</v>
      </c>
      <c r="CE305" s="1062">
        <f>'No Recurrentes 24-26'!DO167</f>
        <v>0</v>
      </c>
      <c r="CF305" s="1062">
        <f>'No Recurrentes 24-26'!DP167</f>
        <v>0</v>
      </c>
      <c r="CG305" s="1062">
        <f>'No Recurrentes 24-26'!DQ167</f>
        <v>0</v>
      </c>
      <c r="CH305" s="1062">
        <f>'No Recurrentes 24-26'!DR167</f>
        <v>0</v>
      </c>
      <c r="CI305" s="1068"/>
      <c r="CJ305" s="1062">
        <f>'No Recurrentes 24-26'!DS167</f>
        <v>0</v>
      </c>
      <c r="CK305" s="1062">
        <f>'No Recurrentes 24-26'!DT167</f>
        <v>179.9856</v>
      </c>
      <c r="CL305" s="1064" t="str">
        <f>'No Recurrentes 24-26'!DU167</f>
        <v/>
      </c>
      <c r="CM305" s="1064" t="str">
        <f>'No Recurrentes 24-26'!DV167</f>
        <v/>
      </c>
      <c r="CN305" s="1065">
        <f>'No Recurrentes 24-26'!EI163</f>
        <v>11.57</v>
      </c>
      <c r="CO305" s="1065">
        <f>'No Recurrentes 24-26'!EJ163</f>
        <v>9.83</v>
      </c>
      <c r="CP305" s="1060" t="str">
        <f>'No Recurrentes 24-26'!EK163</f>
        <v/>
      </c>
    </row>
    <row r="306">
      <c r="A306" s="451" t="str">
        <f>'No Recurrentes 24-26'!A168</f>
        <v>Repuestos Electromecánicos no recurrentes</v>
      </c>
      <c r="B306" s="451" t="str">
        <f>'No Recurrentes 24-26'!B168</f>
        <v/>
      </c>
      <c r="C306" s="451" t="str">
        <f>'No Recurrentes 24-26'!C168</f>
        <v>Vehiculo</v>
      </c>
      <c r="D306" s="451" t="str">
        <f>'No Recurrentes 24-26'!D168</f>
        <v>Manto. gral. Cabina</v>
      </c>
      <c r="E306" s="451" t="str">
        <f>'No Recurrentes 24-26'!E168</f>
        <v>Repuesto Eléctrico</v>
      </c>
      <c r="F306" s="451" t="str">
        <f>'No Recurrentes 24-26'!F168</f>
        <v>TDB</v>
      </c>
      <c r="G306" s="1061" t="str">
        <f>'No Recurrentes 24-26'!G168</f>
        <v>39700</v>
      </c>
      <c r="H306" s="1061" t="str">
        <f>'No Recurrentes 24-26'!H168</f>
        <v>TDB00098</v>
      </c>
      <c r="I306" s="1061" t="str">
        <f>'No Recurrentes 24-26'!I168</f>
        <v>90-083786</v>
      </c>
      <c r="J306" s="1061" t="str">
        <f>'No Recurrentes 24-26'!J168</f>
        <v>PLACA ELECTRONICA CONTROL DE PANEL SOLAR 90-083786</v>
      </c>
      <c r="K306" s="451" t="str">
        <f>'No Recurrentes 24-26'!K168</f>
        <v>Pza</v>
      </c>
      <c r="L306" s="451" t="str">
        <f>'No Recurrentes 24-26'!BC168</f>
        <v/>
      </c>
      <c r="M306" s="451" t="str">
        <f>'No Recurrentes 24-26'!BD168</f>
        <v/>
      </c>
      <c r="N306" s="451">
        <f>'No Recurrentes 24-26'!BE168</f>
        <v>0</v>
      </c>
      <c r="O306" s="451">
        <f>'No Recurrentes 24-26'!BF168</f>
        <v>0</v>
      </c>
      <c r="P306" s="451" t="str">
        <f>'No Recurrentes 24-26'!BG168</f>
        <v/>
      </c>
      <c r="Q306" s="451" t="str">
        <f>'No Recurrentes 24-26'!BH168</f>
        <v/>
      </c>
      <c r="R306" s="451" t="str">
        <f>'No Recurrentes 24-26'!BI168</f>
        <v/>
      </c>
      <c r="S306" s="451" t="str">
        <f>'No Recurrentes 24-26'!BJ168</f>
        <v/>
      </c>
      <c r="T306" s="451" t="str">
        <f>'No Recurrentes 24-26'!BK168</f>
        <v/>
      </c>
      <c r="U306" s="451" t="str">
        <f>'No Recurrentes 24-26'!BL168</f>
        <v/>
      </c>
      <c r="V306" s="1068"/>
      <c r="W306" s="1062">
        <f>'No Recurrentes 24-26'!BM168</f>
        <v>0</v>
      </c>
      <c r="X306" s="1062" t="str">
        <f>'No Recurrentes 24-26'!BN168</f>
        <v/>
      </c>
      <c r="Y306" s="1062" t="str">
        <f>'No Recurrentes 24-26'!BO168</f>
        <v/>
      </c>
      <c r="Z306" s="1062" t="str">
        <f>'No Recurrentes 24-26'!BP168</f>
        <v/>
      </c>
      <c r="AA306" s="1062" t="str">
        <f>'No Recurrentes 24-26'!BQ168</f>
        <v/>
      </c>
      <c r="AB306" s="1062" t="str">
        <f>'No Recurrentes 24-26'!BR168</f>
        <v/>
      </c>
      <c r="AC306" s="1062" t="str">
        <f>'No Recurrentes 24-26'!BS168</f>
        <v/>
      </c>
      <c r="AD306" s="1062" t="str">
        <f>'No Recurrentes 24-26'!BT168</f>
        <v/>
      </c>
      <c r="AE306" s="1062" t="str">
        <f>'No Recurrentes 24-26'!BU168</f>
        <v/>
      </c>
      <c r="AF306" s="1062" t="str">
        <f>'No Recurrentes 24-26'!BV168</f>
        <v/>
      </c>
      <c r="AG306" s="1062" t="str">
        <f>'No Recurrentes 24-26'!BW168</f>
        <v/>
      </c>
      <c r="AH306" s="1068"/>
      <c r="AI306" s="1062">
        <f>'No Recurrentes 24-26'!BX168</f>
        <v>0</v>
      </c>
      <c r="AJ306" s="1062">
        <f>'No Recurrentes 24-26'!BY168</f>
        <v>0</v>
      </c>
      <c r="AK306" s="1062">
        <f>'No Recurrentes 24-26'!BZ168</f>
        <v>0</v>
      </c>
      <c r="AL306" s="1062">
        <f>'No Recurrentes 24-26'!CA168</f>
        <v>0</v>
      </c>
      <c r="AM306" s="1062">
        <f>'No Recurrentes 24-26'!CB168</f>
        <v>0</v>
      </c>
      <c r="AN306" s="1062">
        <f>'No Recurrentes 24-26'!CC168</f>
        <v>0</v>
      </c>
      <c r="AO306" s="1062">
        <f>'No Recurrentes 24-26'!CD168</f>
        <v>0</v>
      </c>
      <c r="AP306" s="1062">
        <f>'No Recurrentes 24-26'!CE168</f>
        <v>0</v>
      </c>
      <c r="AQ306" s="1062">
        <f>'No Recurrentes 24-26'!CF168</f>
        <v>0</v>
      </c>
      <c r="AR306" s="1062">
        <f>'No Recurrentes 24-26'!CG168</f>
        <v>0</v>
      </c>
      <c r="AS306" s="1062">
        <f>'No Recurrentes 24-26'!CH168</f>
        <v>0</v>
      </c>
      <c r="AT306" s="1068"/>
      <c r="AU306" s="1062">
        <f>'No Recurrentes 24-26'!CI168</f>
        <v>0</v>
      </c>
      <c r="AV306" s="1063">
        <f>'No Recurrentes 24-26'!CJ168</f>
        <v>0</v>
      </c>
      <c r="AW306" s="1068"/>
      <c r="AX306" s="1062">
        <f>'No Recurrentes 24-26'!CK168</f>
        <v>1212.66</v>
      </c>
      <c r="AY306" s="1062">
        <f>'No Recurrentes 24-26'!CL168</f>
        <v>8452.2402</v>
      </c>
      <c r="AZ306" s="1068"/>
      <c r="BA306" s="1062">
        <f>'No Recurrentes 24-26'!CM168</f>
        <v>0</v>
      </c>
      <c r="BB306" s="1062">
        <f>'No Recurrentes 24-26'!CN168</f>
        <v>0</v>
      </c>
      <c r="BC306" s="1062">
        <f>'No Recurrentes 24-26'!CO168</f>
        <v>0</v>
      </c>
      <c r="BD306" s="1062">
        <f>'No Recurrentes 24-26'!CP168</f>
        <v>0</v>
      </c>
      <c r="BE306" s="1062">
        <f>'No Recurrentes 24-26'!CQ168</f>
        <v>0</v>
      </c>
      <c r="BF306" s="1062">
        <f>'No Recurrentes 24-26'!CR168</f>
        <v>0</v>
      </c>
      <c r="BG306" s="1062">
        <f>'No Recurrentes 24-26'!CS168</f>
        <v>0</v>
      </c>
      <c r="BH306" s="1062">
        <f>'No Recurrentes 24-26'!CT168</f>
        <v>0</v>
      </c>
      <c r="BI306" s="1062">
        <f>'No Recurrentes 24-26'!CU168</f>
        <v>0</v>
      </c>
      <c r="BJ306" s="1062">
        <f>'No Recurrentes 24-26'!CV168</f>
        <v>0</v>
      </c>
      <c r="BK306" s="1068"/>
      <c r="BL306" s="1062">
        <f>'No Recurrentes 24-26'!CW168</f>
        <v>0</v>
      </c>
      <c r="BM306" s="1062">
        <f>'No Recurrentes 24-26'!CX168</f>
        <v>0</v>
      </c>
      <c r="BN306" s="1062">
        <f>'No Recurrentes 24-26'!CY168</f>
        <v>0</v>
      </c>
      <c r="BO306" s="1062">
        <f>'No Recurrentes 24-26'!CZ168</f>
        <v>0</v>
      </c>
      <c r="BP306" s="1062">
        <f>'No Recurrentes 24-26'!DA168</f>
        <v>0</v>
      </c>
      <c r="BQ306" s="1062">
        <f>'No Recurrentes 24-26'!DB168</f>
        <v>0</v>
      </c>
      <c r="BR306" s="1062">
        <f>'No Recurrentes 24-26'!DC168</f>
        <v>0</v>
      </c>
      <c r="BS306" s="1062">
        <f>'No Recurrentes 24-26'!DD168</f>
        <v>0</v>
      </c>
      <c r="BT306" s="1062">
        <f>'No Recurrentes 24-26'!DE168</f>
        <v>0</v>
      </c>
      <c r="BU306" s="1062">
        <f>'No Recurrentes 24-26'!DF168</f>
        <v>0</v>
      </c>
      <c r="BV306" s="1062">
        <f>'No Recurrentes 24-26'!DG168</f>
        <v>0</v>
      </c>
      <c r="BW306" s="1068"/>
      <c r="BX306" s="1062">
        <f>'No Recurrentes 24-26'!DH168</f>
        <v>0</v>
      </c>
      <c r="BY306" s="1062">
        <f>'No Recurrentes 24-26'!DI168</f>
        <v>0</v>
      </c>
      <c r="BZ306" s="1062">
        <f>'No Recurrentes 24-26'!DJ168</f>
        <v>0</v>
      </c>
      <c r="CA306" s="1062">
        <f>'No Recurrentes 24-26'!DK168</f>
        <v>0</v>
      </c>
      <c r="CB306" s="1062">
        <f>'No Recurrentes 24-26'!DL168</f>
        <v>0</v>
      </c>
      <c r="CC306" s="1062">
        <f>'No Recurrentes 24-26'!DM168</f>
        <v>0</v>
      </c>
      <c r="CD306" s="1062">
        <f>'No Recurrentes 24-26'!DN168</f>
        <v>0</v>
      </c>
      <c r="CE306" s="1062">
        <f>'No Recurrentes 24-26'!DO168</f>
        <v>0</v>
      </c>
      <c r="CF306" s="1062">
        <f>'No Recurrentes 24-26'!DP168</f>
        <v>0</v>
      </c>
      <c r="CG306" s="1062">
        <f>'No Recurrentes 24-26'!DQ168</f>
        <v>0</v>
      </c>
      <c r="CH306" s="1062">
        <f>'No Recurrentes 24-26'!DR168</f>
        <v>0</v>
      </c>
      <c r="CI306" s="1068"/>
      <c r="CJ306" s="1062">
        <f>'No Recurrentes 24-26'!DS168</f>
        <v>0</v>
      </c>
      <c r="CK306" s="1062">
        <f>'No Recurrentes 24-26'!DT168</f>
        <v>0</v>
      </c>
      <c r="CL306" s="1064" t="str">
        <f>'No Recurrentes 24-26'!DU168</f>
        <v/>
      </c>
      <c r="CM306" s="1064" t="str">
        <f>'No Recurrentes 24-26'!DV168</f>
        <v/>
      </c>
      <c r="CN306" s="1060">
        <f>'No Recurrentes 24-26'!EI164</f>
        <v>1</v>
      </c>
      <c r="CO306" s="1060" t="str">
        <f>'No Recurrentes 24-26'!EJ164</f>
        <v/>
      </c>
      <c r="CP306" s="1060" t="str">
        <f>'No Recurrentes 24-26'!EK164</f>
        <v/>
      </c>
    </row>
    <row r="307">
      <c r="A307" s="451" t="str">
        <f>'No Recurrentes 24-26'!A169</f>
        <v>Repuestos Electromecánicos no recurrentes</v>
      </c>
      <c r="B307" s="451" t="str">
        <f>'No Recurrentes 24-26'!B169</f>
        <v/>
      </c>
      <c r="C307" s="451" t="str">
        <f>'No Recurrentes 24-26'!C169</f>
        <v>Vehiculo</v>
      </c>
      <c r="D307" s="451" t="str">
        <f>'No Recurrentes 24-26'!D169</f>
        <v>Manto. gral. Cabina</v>
      </c>
      <c r="E307" s="451" t="str">
        <f>'No Recurrentes 24-26'!E169</f>
        <v>Repuesto Hidráulico</v>
      </c>
      <c r="F307" s="451" t="str">
        <f>'No Recurrentes 24-26'!F169</f>
        <v>TDB</v>
      </c>
      <c r="G307" s="1061" t="str">
        <f>'No Recurrentes 24-26'!G169</f>
        <v>39800</v>
      </c>
      <c r="H307" s="1061" t="str">
        <f>'No Recurrentes 24-26'!H169</f>
        <v/>
      </c>
      <c r="I307" s="1061">
        <f>'No Recurrentes 24-26'!I169</f>
        <v>10631452</v>
      </c>
      <c r="J307" s="1061" t="str">
        <f>'No Recurrentes 24-26'!J169</f>
        <v>CASQUILLO GOM./MET. DIÁ.145/70 L=135 FMAX=85KN     GMT</v>
      </c>
      <c r="K307" s="451" t="str">
        <f>'No Recurrentes 24-26'!K169</f>
        <v>Pza</v>
      </c>
      <c r="L307" s="451" t="str">
        <f>'No Recurrentes 24-26'!BC169</f>
        <v/>
      </c>
      <c r="M307" s="451" t="str">
        <f>'No Recurrentes 24-26'!BD169</f>
        <v/>
      </c>
      <c r="N307" s="451" t="str">
        <f>'No Recurrentes 24-26'!BE169</f>
        <v/>
      </c>
      <c r="O307" s="451" t="str">
        <f>'No Recurrentes 24-26'!BF169</f>
        <v/>
      </c>
      <c r="P307" s="451" t="str">
        <f>'No Recurrentes 24-26'!BG169</f>
        <v/>
      </c>
      <c r="Q307" s="451">
        <f>'No Recurrentes 24-26'!BH169</f>
        <v>0</v>
      </c>
      <c r="R307" s="451" t="str">
        <f>'No Recurrentes 24-26'!BI169</f>
        <v/>
      </c>
      <c r="S307" s="451" t="str">
        <f>'No Recurrentes 24-26'!BJ169</f>
        <v/>
      </c>
      <c r="T307" s="451" t="str">
        <f>'No Recurrentes 24-26'!BK169</f>
        <v/>
      </c>
      <c r="U307" s="451" t="str">
        <f>'No Recurrentes 24-26'!BL169</f>
        <v/>
      </c>
      <c r="V307" s="1068"/>
      <c r="W307" s="1062">
        <f>'No Recurrentes 24-26'!BM169</f>
        <v>0</v>
      </c>
      <c r="X307" s="1062" t="str">
        <f>'No Recurrentes 24-26'!BN169</f>
        <v/>
      </c>
      <c r="Y307" s="1062" t="str">
        <f>'No Recurrentes 24-26'!BO169</f>
        <v/>
      </c>
      <c r="Z307" s="1062" t="str">
        <f>'No Recurrentes 24-26'!BP169</f>
        <v/>
      </c>
      <c r="AA307" s="1062" t="str">
        <f>'No Recurrentes 24-26'!BQ169</f>
        <v/>
      </c>
      <c r="AB307" s="1062" t="str">
        <f>'No Recurrentes 24-26'!BR169</f>
        <v/>
      </c>
      <c r="AC307" s="1062" t="str">
        <f>'No Recurrentes 24-26'!BS169</f>
        <v/>
      </c>
      <c r="AD307" s="1062" t="str">
        <f>'No Recurrentes 24-26'!BT169</f>
        <v/>
      </c>
      <c r="AE307" s="1062" t="str">
        <f>'No Recurrentes 24-26'!BU169</f>
        <v/>
      </c>
      <c r="AF307" s="1062" t="str">
        <f>'No Recurrentes 24-26'!BV169</f>
        <v/>
      </c>
      <c r="AG307" s="1062" t="str">
        <f>'No Recurrentes 24-26'!BW169</f>
        <v/>
      </c>
      <c r="AH307" s="1068"/>
      <c r="AI307" s="1062">
        <f>'No Recurrentes 24-26'!BX169</f>
        <v>0</v>
      </c>
      <c r="AJ307" s="1062">
        <f>'No Recurrentes 24-26'!BY169</f>
        <v>0</v>
      </c>
      <c r="AK307" s="1062">
        <f>'No Recurrentes 24-26'!BZ169</f>
        <v>0</v>
      </c>
      <c r="AL307" s="1062">
        <f>'No Recurrentes 24-26'!CA169</f>
        <v>0</v>
      </c>
      <c r="AM307" s="1062">
        <f>'No Recurrentes 24-26'!CB169</f>
        <v>0</v>
      </c>
      <c r="AN307" s="1062">
        <f>'No Recurrentes 24-26'!CC169</f>
        <v>0</v>
      </c>
      <c r="AO307" s="1062">
        <f>'No Recurrentes 24-26'!CD169</f>
        <v>0</v>
      </c>
      <c r="AP307" s="1062">
        <f>'No Recurrentes 24-26'!CE169</f>
        <v>0</v>
      </c>
      <c r="AQ307" s="1062">
        <f>'No Recurrentes 24-26'!CF169</f>
        <v>0</v>
      </c>
      <c r="AR307" s="1062">
        <f>'No Recurrentes 24-26'!CG169</f>
        <v>0</v>
      </c>
      <c r="AS307" s="1062">
        <f>'No Recurrentes 24-26'!CH169</f>
        <v>0</v>
      </c>
      <c r="AT307" s="1068"/>
      <c r="AU307" s="1062">
        <f>'No Recurrentes 24-26'!CI169</f>
        <v>0</v>
      </c>
      <c r="AV307" s="1063">
        <f>'No Recurrentes 24-26'!CJ169</f>
        <v>0</v>
      </c>
      <c r="AW307" s="1068"/>
      <c r="AX307" s="1062" t="str">
        <f>'No Recurrentes 24-26'!CK169</f>
        <v/>
      </c>
      <c r="AY307" s="1062">
        <f>'No Recurrentes 24-26'!CL169</f>
        <v>5615.729</v>
      </c>
      <c r="AZ307" s="1068"/>
      <c r="BA307" s="1062">
        <f>'No Recurrentes 24-26'!CM169</f>
        <v>0</v>
      </c>
      <c r="BB307" s="1062">
        <f>'No Recurrentes 24-26'!CN169</f>
        <v>0</v>
      </c>
      <c r="BC307" s="1062">
        <f>'No Recurrentes 24-26'!CO169</f>
        <v>0</v>
      </c>
      <c r="BD307" s="1062">
        <f>'No Recurrentes 24-26'!CP169</f>
        <v>0</v>
      </c>
      <c r="BE307" s="1062">
        <f>'No Recurrentes 24-26'!CQ169</f>
        <v>0</v>
      </c>
      <c r="BF307" s="1062">
        <f>'No Recurrentes 24-26'!CR169</f>
        <v>0</v>
      </c>
      <c r="BG307" s="1062">
        <f>'No Recurrentes 24-26'!CS169</f>
        <v>0</v>
      </c>
      <c r="BH307" s="1062">
        <f>'No Recurrentes 24-26'!CT169</f>
        <v>0</v>
      </c>
      <c r="BI307" s="1062">
        <f>'No Recurrentes 24-26'!CU169</f>
        <v>0</v>
      </c>
      <c r="BJ307" s="1062">
        <f>'No Recurrentes 24-26'!CV169</f>
        <v>0</v>
      </c>
      <c r="BK307" s="1068"/>
      <c r="BL307" s="1062">
        <f>'No Recurrentes 24-26'!CW169</f>
        <v>0</v>
      </c>
      <c r="BM307" s="1062">
        <f>'No Recurrentes 24-26'!CX169</f>
        <v>0</v>
      </c>
      <c r="BN307" s="1062">
        <f>'No Recurrentes 24-26'!CY169</f>
        <v>0</v>
      </c>
      <c r="BO307" s="1062">
        <f>'No Recurrentes 24-26'!CZ169</f>
        <v>0</v>
      </c>
      <c r="BP307" s="1062">
        <f>'No Recurrentes 24-26'!DA169</f>
        <v>0</v>
      </c>
      <c r="BQ307" s="1062">
        <f>'No Recurrentes 24-26'!DB169</f>
        <v>0</v>
      </c>
      <c r="BR307" s="1062">
        <f>'No Recurrentes 24-26'!DC169</f>
        <v>0</v>
      </c>
      <c r="BS307" s="1062">
        <f>'No Recurrentes 24-26'!DD169</f>
        <v>0</v>
      </c>
      <c r="BT307" s="1062">
        <f>'No Recurrentes 24-26'!DE169</f>
        <v>0</v>
      </c>
      <c r="BU307" s="1062">
        <f>'No Recurrentes 24-26'!DF169</f>
        <v>0</v>
      </c>
      <c r="BV307" s="1062">
        <f>'No Recurrentes 24-26'!DG169</f>
        <v>0</v>
      </c>
      <c r="BW307" s="1068"/>
      <c r="BX307" s="1062">
        <f>'No Recurrentes 24-26'!DH169</f>
        <v>0</v>
      </c>
      <c r="BY307" s="1062">
        <f>'No Recurrentes 24-26'!DI169</f>
        <v>0</v>
      </c>
      <c r="BZ307" s="1062">
        <f>'No Recurrentes 24-26'!DJ169</f>
        <v>0</v>
      </c>
      <c r="CA307" s="1062">
        <f>'No Recurrentes 24-26'!DK169</f>
        <v>0</v>
      </c>
      <c r="CB307" s="1062">
        <f>'No Recurrentes 24-26'!DL169</f>
        <v>0</v>
      </c>
      <c r="CC307" s="1062">
        <f>'No Recurrentes 24-26'!DM169</f>
        <v>0</v>
      </c>
      <c r="CD307" s="1062">
        <f>'No Recurrentes 24-26'!DN169</f>
        <v>0</v>
      </c>
      <c r="CE307" s="1062">
        <f>'No Recurrentes 24-26'!DO169</f>
        <v>0</v>
      </c>
      <c r="CF307" s="1062">
        <f>'No Recurrentes 24-26'!DP169</f>
        <v>0</v>
      </c>
      <c r="CG307" s="1062">
        <f>'No Recurrentes 24-26'!DQ169</f>
        <v>0</v>
      </c>
      <c r="CH307" s="1062">
        <f>'No Recurrentes 24-26'!DR169</f>
        <v>0</v>
      </c>
      <c r="CI307" s="1068"/>
      <c r="CJ307" s="1062">
        <f>'No Recurrentes 24-26'!DS169</f>
        <v>0</v>
      </c>
      <c r="CK307" s="1062">
        <f>'No Recurrentes 24-26'!DT169</f>
        <v>0</v>
      </c>
      <c r="CL307" s="1064" t="str">
        <f>'No Recurrentes 24-26'!DU169</f>
        <v/>
      </c>
      <c r="CM307" s="1064" t="str">
        <f>'No Recurrentes 24-26'!DV169</f>
        <v/>
      </c>
      <c r="CN307" s="1065">
        <f>'No Recurrentes 24-26'!EI165</f>
        <v>32.92</v>
      </c>
      <c r="CO307" s="1065">
        <f>'No Recurrentes 24-26'!EJ165</f>
        <v>27.98</v>
      </c>
      <c r="CP307" s="1060" t="str">
        <f>'No Recurrentes 24-26'!EK165</f>
        <v/>
      </c>
    </row>
    <row r="308">
      <c r="A308" s="451" t="str">
        <f>'No Recurrentes 24-26'!A170</f>
        <v>Repuestos Electromecánicos no recurrentes</v>
      </c>
      <c r="B308" s="451">
        <f>'No Recurrentes 24-26'!B170</f>
        <v>2</v>
      </c>
      <c r="C308" s="451" t="str">
        <f>'No Recurrentes 24-26'!C170</f>
        <v>Vehiculo</v>
      </c>
      <c r="D308" s="451" t="str">
        <f>'No Recurrentes 24-26'!D170</f>
        <v>Manto. gral. Cabina</v>
      </c>
      <c r="E308" s="451" t="str">
        <f>'No Recurrentes 24-26'!E170</f>
        <v>Repuesto Eléctrico</v>
      </c>
      <c r="F308" s="451" t="str">
        <f>'No Recurrentes 24-26'!F170</f>
        <v>TDB</v>
      </c>
      <c r="G308" s="1061" t="str">
        <f>'No Recurrentes 24-26'!G170</f>
        <v>39700</v>
      </c>
      <c r="H308" s="1061" t="str">
        <f>'No Recurrentes 24-26'!H170</f>
        <v>2-01-00116</v>
      </c>
      <c r="I308" s="1061" t="str">
        <f>'No Recurrentes 24-26'!I170</f>
        <v>11101307</v>
      </c>
      <c r="J308" s="1061" t="str">
        <f>'No Recurrentes 24-26'!J170</f>
        <v>CAB.ARTICUL.DE.ROT.10/M8 INOX. N° ART. 806598</v>
      </c>
      <c r="K308" s="451" t="str">
        <f>'No Recurrentes 24-26'!K170</f>
        <v>Pza</v>
      </c>
      <c r="L308" s="451" t="str">
        <f>'No Recurrentes 24-26'!BC170</f>
        <v/>
      </c>
      <c r="M308" s="451" t="str">
        <f>'No Recurrentes 24-26'!BD170</f>
        <v/>
      </c>
      <c r="N308" s="451" t="str">
        <f>'No Recurrentes 24-26'!BE170</f>
        <v/>
      </c>
      <c r="O308" s="451" t="str">
        <f>'No Recurrentes 24-26'!BF170</f>
        <v/>
      </c>
      <c r="P308" s="451" t="str">
        <f>'No Recurrentes 24-26'!BG170</f>
        <v/>
      </c>
      <c r="Q308" s="451" t="str">
        <f>'No Recurrentes 24-26'!BH170</f>
        <v/>
      </c>
      <c r="R308" s="451" t="str">
        <f>'No Recurrentes 24-26'!BI170</f>
        <v/>
      </c>
      <c r="S308" s="451" t="str">
        <f>'No Recurrentes 24-26'!BJ170</f>
        <v/>
      </c>
      <c r="T308" s="451" t="str">
        <f>'No Recurrentes 24-26'!BK170</f>
        <v/>
      </c>
      <c r="U308" s="451" t="str">
        <f>'No Recurrentes 24-26'!BL170</f>
        <v/>
      </c>
      <c r="V308" s="1068"/>
      <c r="W308" s="1062">
        <f>'No Recurrentes 24-26'!BM170</f>
        <v>0</v>
      </c>
      <c r="X308" s="1062" t="str">
        <f>'No Recurrentes 24-26'!BN170</f>
        <v/>
      </c>
      <c r="Y308" s="1062" t="str">
        <f>'No Recurrentes 24-26'!BO170</f>
        <v/>
      </c>
      <c r="Z308" s="1062" t="str">
        <f>'No Recurrentes 24-26'!BP170</f>
        <v/>
      </c>
      <c r="AA308" s="1062" t="str">
        <f>'No Recurrentes 24-26'!BQ170</f>
        <v/>
      </c>
      <c r="AB308" s="1062" t="str">
        <f>'No Recurrentes 24-26'!BR170</f>
        <v/>
      </c>
      <c r="AC308" s="1062" t="str">
        <f>'No Recurrentes 24-26'!BS170</f>
        <v/>
      </c>
      <c r="AD308" s="1062" t="str">
        <f>'No Recurrentes 24-26'!BT170</f>
        <v/>
      </c>
      <c r="AE308" s="1062" t="str">
        <f>'No Recurrentes 24-26'!BU170</f>
        <v/>
      </c>
      <c r="AF308" s="1062" t="str">
        <f>'No Recurrentes 24-26'!BV170</f>
        <v/>
      </c>
      <c r="AG308" s="1062" t="str">
        <f>'No Recurrentes 24-26'!BW170</f>
        <v/>
      </c>
      <c r="AH308" s="1068"/>
      <c r="AI308" s="1062">
        <f>'No Recurrentes 24-26'!BX170</f>
        <v>0</v>
      </c>
      <c r="AJ308" s="1062">
        <f>'No Recurrentes 24-26'!BY170</f>
        <v>0</v>
      </c>
      <c r="AK308" s="1062">
        <f>'No Recurrentes 24-26'!BZ170</f>
        <v>0</v>
      </c>
      <c r="AL308" s="1062">
        <f>'No Recurrentes 24-26'!CA170</f>
        <v>0</v>
      </c>
      <c r="AM308" s="1062">
        <f>'No Recurrentes 24-26'!CB170</f>
        <v>1</v>
      </c>
      <c r="AN308" s="1062">
        <f>'No Recurrentes 24-26'!CC170</f>
        <v>2</v>
      </c>
      <c r="AO308" s="1062">
        <f>'No Recurrentes 24-26'!CD170</f>
        <v>3</v>
      </c>
      <c r="AP308" s="1062">
        <f>'No Recurrentes 24-26'!CE170</f>
        <v>0</v>
      </c>
      <c r="AQ308" s="1062">
        <f>'No Recurrentes 24-26'!CF170</f>
        <v>0</v>
      </c>
      <c r="AR308" s="1062">
        <f>'No Recurrentes 24-26'!CG170</f>
        <v>0</v>
      </c>
      <c r="AS308" s="1062">
        <f>'No Recurrentes 24-26'!CH170</f>
        <v>3</v>
      </c>
      <c r="AT308" s="1068"/>
      <c r="AU308" s="1062">
        <f>'No Recurrentes 24-26'!CI170</f>
        <v>9</v>
      </c>
      <c r="AV308" s="1063">
        <f>'No Recurrentes 24-26'!CJ170</f>
        <v>9</v>
      </c>
      <c r="AW308" s="1068"/>
      <c r="AX308" s="1065">
        <f>'No Recurrentes 24-26'!CK170</f>
        <v>183.97</v>
      </c>
      <c r="AY308" s="1062">
        <f>'No Recurrentes 24-26'!CL170</f>
        <v>1280.4312</v>
      </c>
      <c r="AZ308" s="1068"/>
      <c r="BA308" s="1062">
        <f>'No Recurrentes 24-26'!CM170</f>
        <v>0</v>
      </c>
      <c r="BB308" s="1062">
        <f>'No Recurrentes 24-26'!CN170</f>
        <v>0</v>
      </c>
      <c r="BC308" s="1062">
        <f>'No Recurrentes 24-26'!CO170</f>
        <v>0</v>
      </c>
      <c r="BD308" s="1062">
        <f>'No Recurrentes 24-26'!CP170</f>
        <v>0</v>
      </c>
      <c r="BE308" s="1062">
        <f>'No Recurrentes 24-26'!CQ170</f>
        <v>0</v>
      </c>
      <c r="BF308" s="1062">
        <f>'No Recurrentes 24-26'!CR170</f>
        <v>0</v>
      </c>
      <c r="BG308" s="1062">
        <f>'No Recurrentes 24-26'!CS170</f>
        <v>0</v>
      </c>
      <c r="BH308" s="1062">
        <f>'No Recurrentes 24-26'!CT170</f>
        <v>0</v>
      </c>
      <c r="BI308" s="1062">
        <f>'No Recurrentes 24-26'!CU170</f>
        <v>0</v>
      </c>
      <c r="BJ308" s="1062">
        <f>'No Recurrentes 24-26'!CV170</f>
        <v>0</v>
      </c>
      <c r="BK308" s="1068"/>
      <c r="BL308" s="1062">
        <f>'No Recurrentes 24-26'!CW170</f>
        <v>0</v>
      </c>
      <c r="BM308" s="1062">
        <f>'No Recurrentes 24-26'!CX170</f>
        <v>0</v>
      </c>
      <c r="BN308" s="1062">
        <f>'No Recurrentes 24-26'!CY170</f>
        <v>0</v>
      </c>
      <c r="BO308" s="1062">
        <f>'No Recurrentes 24-26'!CZ170</f>
        <v>0</v>
      </c>
      <c r="BP308" s="1062">
        <f>'No Recurrentes 24-26'!DA170</f>
        <v>0</v>
      </c>
      <c r="BQ308" s="1062">
        <f>'No Recurrentes 24-26'!DB170</f>
        <v>0</v>
      </c>
      <c r="BR308" s="1062">
        <f>'No Recurrentes 24-26'!DC170</f>
        <v>0</v>
      </c>
      <c r="BS308" s="1062">
        <f>'No Recurrentes 24-26'!DD170</f>
        <v>0</v>
      </c>
      <c r="BT308" s="1062">
        <f>'No Recurrentes 24-26'!DE170</f>
        <v>0</v>
      </c>
      <c r="BU308" s="1062">
        <f>'No Recurrentes 24-26'!DF170</f>
        <v>0</v>
      </c>
      <c r="BV308" s="1062">
        <f>'No Recurrentes 24-26'!DG170</f>
        <v>0</v>
      </c>
      <c r="BW308" s="1068"/>
      <c r="BX308" s="1062">
        <f>'No Recurrentes 24-26'!DH170</f>
        <v>0</v>
      </c>
      <c r="BY308" s="1062">
        <f>'No Recurrentes 24-26'!DI170</f>
        <v>0</v>
      </c>
      <c r="BZ308" s="1062">
        <f>'No Recurrentes 24-26'!DJ170</f>
        <v>0</v>
      </c>
      <c r="CA308" s="1062">
        <f>'No Recurrentes 24-26'!DK170</f>
        <v>0</v>
      </c>
      <c r="CB308" s="1062">
        <f>'No Recurrentes 24-26'!DL170</f>
        <v>1280.4312</v>
      </c>
      <c r="CC308" s="1062">
        <f>'No Recurrentes 24-26'!DM170</f>
        <v>2560.8624</v>
      </c>
      <c r="CD308" s="1062">
        <f>'No Recurrentes 24-26'!DN170</f>
        <v>3841.2936</v>
      </c>
      <c r="CE308" s="1062">
        <f>'No Recurrentes 24-26'!DO170</f>
        <v>0</v>
      </c>
      <c r="CF308" s="1062">
        <f>'No Recurrentes 24-26'!DP170</f>
        <v>0</v>
      </c>
      <c r="CG308" s="1062">
        <f>'No Recurrentes 24-26'!DQ170</f>
        <v>0</v>
      </c>
      <c r="CH308" s="1062">
        <f>'No Recurrentes 24-26'!DR170</f>
        <v>3841.2936</v>
      </c>
      <c r="CI308" s="1068"/>
      <c r="CJ308" s="1062">
        <f>'No Recurrentes 24-26'!DS170</f>
        <v>11523.8808</v>
      </c>
      <c r="CK308" s="1062">
        <f>'No Recurrentes 24-26'!DT170</f>
        <v>11523.8808</v>
      </c>
      <c r="CL308" s="1064" t="str">
        <f>'No Recurrentes 24-26'!DU170</f>
        <v/>
      </c>
      <c r="CM308" s="1064" t="str">
        <f>'No Recurrentes 24-26'!DV170</f>
        <v/>
      </c>
      <c r="CN308" s="1060">
        <f>'No Recurrentes 24-26'!EI166</f>
        <v>1</v>
      </c>
      <c r="CO308" s="1060" t="str">
        <f>'No Recurrentes 24-26'!EJ166</f>
        <v/>
      </c>
      <c r="CP308" s="1060" t="str">
        <f>'No Recurrentes 24-26'!EK166</f>
        <v/>
      </c>
    </row>
    <row r="309">
      <c r="A309" s="451" t="str">
        <f>'No Recurrentes 24-26'!A171</f>
        <v>Repuestos Electromecánicos no recurrentes</v>
      </c>
      <c r="B309" s="451" t="str">
        <f>'No Recurrentes 24-26'!B171</f>
        <v/>
      </c>
      <c r="C309" s="451" t="str">
        <f>'No Recurrentes 24-26'!C171</f>
        <v>Vehiculo</v>
      </c>
      <c r="D309" s="451" t="str">
        <f>'No Recurrentes 24-26'!D171</f>
        <v>Manto. gral. Cabina</v>
      </c>
      <c r="E309" s="451" t="str">
        <f>'No Recurrentes 24-26'!E171</f>
        <v>Insumo mecánico</v>
      </c>
      <c r="F309" s="451" t="str">
        <f>'No Recurrentes 24-26'!F171</f>
        <v>TDB</v>
      </c>
      <c r="G309" s="1061" t="str">
        <f>'No Recurrentes 24-26'!G171</f>
        <v>39800</v>
      </c>
      <c r="H309" s="1061" t="str">
        <f>'No Recurrentes 24-26'!H171</f>
        <v>2-01-00287</v>
      </c>
      <c r="I309" s="1061">
        <f>'No Recurrentes 24-26'!I171</f>
        <v>11105850</v>
      </c>
      <c r="J309" s="1061" t="str">
        <f>'No Recurrentes 24-26'!J171</f>
        <v>CABLE DE ACCIONAMIENTO CWA COMPLETO L=3,0M/M8, NO.ID:801217</v>
      </c>
      <c r="K309" s="451" t="str">
        <f>'No Recurrentes 24-26'!K171</f>
        <v>Pza</v>
      </c>
      <c r="L309" s="451" t="str">
        <f>'No Recurrentes 24-26'!BC171</f>
        <v/>
      </c>
      <c r="M309" s="451" t="str">
        <f>'No Recurrentes 24-26'!BD171</f>
        <v/>
      </c>
      <c r="N309" s="451" t="str">
        <f>'No Recurrentes 24-26'!BE171</f>
        <v/>
      </c>
      <c r="O309" s="451" t="str">
        <f>'No Recurrentes 24-26'!BF171</f>
        <v/>
      </c>
      <c r="P309" s="451" t="str">
        <f>'No Recurrentes 24-26'!BG171</f>
        <v/>
      </c>
      <c r="Q309" s="451" t="str">
        <f>'No Recurrentes 24-26'!BH171</f>
        <v/>
      </c>
      <c r="R309" s="451" t="str">
        <f>'No Recurrentes 24-26'!BI171</f>
        <v/>
      </c>
      <c r="S309" s="451" t="str">
        <f>'No Recurrentes 24-26'!BJ171</f>
        <v/>
      </c>
      <c r="T309" s="451" t="str">
        <f>'No Recurrentes 24-26'!BK171</f>
        <v/>
      </c>
      <c r="U309" s="451" t="str">
        <f>'No Recurrentes 24-26'!BL171</f>
        <v/>
      </c>
      <c r="V309" s="1068"/>
      <c r="W309" s="1062">
        <f>'No Recurrentes 24-26'!BM171</f>
        <v>0</v>
      </c>
      <c r="X309" s="1062" t="str">
        <f>'No Recurrentes 24-26'!BN171</f>
        <v/>
      </c>
      <c r="Y309" s="1062" t="str">
        <f>'No Recurrentes 24-26'!BO171</f>
        <v/>
      </c>
      <c r="Z309" s="1062" t="str">
        <f>'No Recurrentes 24-26'!BP171</f>
        <v/>
      </c>
      <c r="AA309" s="1062" t="str">
        <f>'No Recurrentes 24-26'!BQ171</f>
        <v/>
      </c>
      <c r="AB309" s="1062" t="str">
        <f>'No Recurrentes 24-26'!BR171</f>
        <v/>
      </c>
      <c r="AC309" s="1062" t="str">
        <f>'No Recurrentes 24-26'!BS171</f>
        <v/>
      </c>
      <c r="AD309" s="1062" t="str">
        <f>'No Recurrentes 24-26'!BT171</f>
        <v/>
      </c>
      <c r="AE309" s="1062" t="str">
        <f>'No Recurrentes 24-26'!BU171</f>
        <v/>
      </c>
      <c r="AF309" s="1062" t="str">
        <f>'No Recurrentes 24-26'!BV171</f>
        <v/>
      </c>
      <c r="AG309" s="1062" t="str">
        <f>'No Recurrentes 24-26'!BW171</f>
        <v/>
      </c>
      <c r="AH309" s="1068"/>
      <c r="AI309" s="1062">
        <f>'No Recurrentes 24-26'!BX171</f>
        <v>0</v>
      </c>
      <c r="AJ309" s="1062" t="str">
        <f>'No Recurrentes 24-26'!BY171</f>
        <v/>
      </c>
      <c r="AK309" s="1062">
        <f>'No Recurrentes 24-26'!BZ171</f>
        <v>0</v>
      </c>
      <c r="AL309" s="1062" t="str">
        <f>'No Recurrentes 24-26'!CA171</f>
        <v/>
      </c>
      <c r="AM309" s="1062">
        <f>'No Recurrentes 24-26'!CB171</f>
        <v>0</v>
      </c>
      <c r="AN309" s="1062">
        <f>'No Recurrentes 24-26'!CC171</f>
        <v>0</v>
      </c>
      <c r="AO309" s="1062">
        <f>'No Recurrentes 24-26'!CD171</f>
        <v>0</v>
      </c>
      <c r="AP309" s="1062">
        <f>'No Recurrentes 24-26'!CE171</f>
        <v>0</v>
      </c>
      <c r="AQ309" s="1062">
        <f>'No Recurrentes 24-26'!CF171</f>
        <v>0</v>
      </c>
      <c r="AR309" s="1062">
        <f>'No Recurrentes 24-26'!CG171</f>
        <v>0</v>
      </c>
      <c r="AS309" s="1062">
        <f>'No Recurrentes 24-26'!CH171</f>
        <v>0</v>
      </c>
      <c r="AT309" s="1068"/>
      <c r="AU309" s="1062">
        <f>'No Recurrentes 24-26'!CI171</f>
        <v>0</v>
      </c>
      <c r="AV309" s="1063">
        <f>'No Recurrentes 24-26'!CJ171</f>
        <v>0</v>
      </c>
      <c r="AW309" s="1068"/>
      <c r="AX309" s="1062" t="str">
        <f>'No Recurrentes 24-26'!CK171</f>
        <v/>
      </c>
      <c r="AY309" s="1062">
        <f>'No Recurrentes 24-26'!CL171</f>
        <v>8470.0834</v>
      </c>
      <c r="AZ309" s="1068"/>
      <c r="BA309" s="1062">
        <f>'No Recurrentes 24-26'!CM171</f>
        <v>0</v>
      </c>
      <c r="BB309" s="1062">
        <f>'No Recurrentes 24-26'!CN171</f>
        <v>0</v>
      </c>
      <c r="BC309" s="1062">
        <f>'No Recurrentes 24-26'!CO171</f>
        <v>0</v>
      </c>
      <c r="BD309" s="1062">
        <f>'No Recurrentes 24-26'!CP171</f>
        <v>0</v>
      </c>
      <c r="BE309" s="1062">
        <f>'No Recurrentes 24-26'!CQ171</f>
        <v>0</v>
      </c>
      <c r="BF309" s="1062">
        <f>'No Recurrentes 24-26'!CR171</f>
        <v>0</v>
      </c>
      <c r="BG309" s="1062">
        <f>'No Recurrentes 24-26'!CS171</f>
        <v>0</v>
      </c>
      <c r="BH309" s="1062">
        <f>'No Recurrentes 24-26'!CT171</f>
        <v>0</v>
      </c>
      <c r="BI309" s="1062">
        <f>'No Recurrentes 24-26'!CU171</f>
        <v>0</v>
      </c>
      <c r="BJ309" s="1062">
        <f>'No Recurrentes 24-26'!CV171</f>
        <v>0</v>
      </c>
      <c r="BK309" s="1068"/>
      <c r="BL309" s="1062">
        <f>'No Recurrentes 24-26'!CW171</f>
        <v>0</v>
      </c>
      <c r="BM309" s="1062">
        <f>'No Recurrentes 24-26'!CX171</f>
        <v>0</v>
      </c>
      <c r="BN309" s="1062">
        <f>'No Recurrentes 24-26'!CY171</f>
        <v>0</v>
      </c>
      <c r="BO309" s="1062">
        <f>'No Recurrentes 24-26'!CZ171</f>
        <v>0</v>
      </c>
      <c r="BP309" s="1062">
        <f>'No Recurrentes 24-26'!DA171</f>
        <v>0</v>
      </c>
      <c r="BQ309" s="1062">
        <f>'No Recurrentes 24-26'!DB171</f>
        <v>0</v>
      </c>
      <c r="BR309" s="1062">
        <f>'No Recurrentes 24-26'!DC171</f>
        <v>0</v>
      </c>
      <c r="BS309" s="1062">
        <f>'No Recurrentes 24-26'!DD171</f>
        <v>0</v>
      </c>
      <c r="BT309" s="1062">
        <f>'No Recurrentes 24-26'!DE171</f>
        <v>0</v>
      </c>
      <c r="BU309" s="1062">
        <f>'No Recurrentes 24-26'!DF171</f>
        <v>0</v>
      </c>
      <c r="BV309" s="1062">
        <f>'No Recurrentes 24-26'!DG171</f>
        <v>0</v>
      </c>
      <c r="BW309" s="1068"/>
      <c r="BX309" s="1062">
        <f>'No Recurrentes 24-26'!DH171</f>
        <v>0</v>
      </c>
      <c r="BY309" s="1062">
        <f>'No Recurrentes 24-26'!DI171</f>
        <v>0</v>
      </c>
      <c r="BZ309" s="1062">
        <f>'No Recurrentes 24-26'!DJ171</f>
        <v>0</v>
      </c>
      <c r="CA309" s="1062">
        <f>'No Recurrentes 24-26'!DK171</f>
        <v>0</v>
      </c>
      <c r="CB309" s="1062">
        <f>'No Recurrentes 24-26'!DL171</f>
        <v>0</v>
      </c>
      <c r="CC309" s="1062">
        <f>'No Recurrentes 24-26'!DM171</f>
        <v>0</v>
      </c>
      <c r="CD309" s="1062">
        <f>'No Recurrentes 24-26'!DN171</f>
        <v>0</v>
      </c>
      <c r="CE309" s="1062">
        <f>'No Recurrentes 24-26'!DO171</f>
        <v>0</v>
      </c>
      <c r="CF309" s="1062">
        <f>'No Recurrentes 24-26'!DP171</f>
        <v>0</v>
      </c>
      <c r="CG309" s="1062">
        <f>'No Recurrentes 24-26'!DQ171</f>
        <v>0</v>
      </c>
      <c r="CH309" s="1062">
        <f>'No Recurrentes 24-26'!DR171</f>
        <v>0</v>
      </c>
      <c r="CI309" s="1068"/>
      <c r="CJ309" s="1062">
        <f>'No Recurrentes 24-26'!DS171</f>
        <v>0</v>
      </c>
      <c r="CK309" s="1062">
        <f>'No Recurrentes 24-26'!DT171</f>
        <v>0</v>
      </c>
      <c r="CL309" s="1064" t="str">
        <f>'No Recurrentes 24-26'!DU171</f>
        <v/>
      </c>
      <c r="CM309" s="1064" t="str">
        <f>'No Recurrentes 24-26'!DV171</f>
        <v>Se redistribuira de lina verda a toda la RIM</v>
      </c>
      <c r="CN309" s="1065">
        <f>'No Recurrentes 24-26'!EI167</f>
        <v>4.31</v>
      </c>
      <c r="CO309" s="1065">
        <f>'No Recurrentes 24-26'!EJ167</f>
        <v>3.66</v>
      </c>
      <c r="CP309" s="1060" t="str">
        <f>'No Recurrentes 24-26'!EK167</f>
        <v/>
      </c>
    </row>
    <row r="310">
      <c r="A310" s="451" t="str">
        <f>'No Recurrentes 24-26'!A172</f>
        <v>Repuestos Electromecánicos no recurrentes</v>
      </c>
      <c r="B310" s="451" t="str">
        <f>'No Recurrentes 24-26'!B172</f>
        <v/>
      </c>
      <c r="C310" s="451" t="str">
        <f>'No Recurrentes 24-26'!C172</f>
        <v>Vehiculo</v>
      </c>
      <c r="D310" s="451" t="str">
        <f>'No Recurrentes 24-26'!D172</f>
        <v>Manto. gral. Cabina</v>
      </c>
      <c r="E310" s="451" t="str">
        <f>'No Recurrentes 24-26'!E172</f>
        <v>Repuesto Eléctrico</v>
      </c>
      <c r="F310" s="451" t="str">
        <f>'No Recurrentes 24-26'!F172</f>
        <v>TDB</v>
      </c>
      <c r="G310" s="1061" t="str">
        <f>'No Recurrentes 24-26'!G172</f>
        <v>39700</v>
      </c>
      <c r="H310" s="1061" t="str">
        <f>'No Recurrentes 24-26'!H172</f>
        <v>2-02-00384</v>
      </c>
      <c r="I310" s="1061">
        <f>'No Recurrentes 24-26'!I172</f>
        <v>11536859</v>
      </c>
      <c r="J310" s="1061" t="str">
        <f>'No Recurrentes 24-26'!J172</f>
        <v>PARLANTES P. CABINA CWA N° 0710024-03 (intercomunicador)</v>
      </c>
      <c r="K310" s="451" t="str">
        <f>'No Recurrentes 24-26'!K172</f>
        <v>Pza</v>
      </c>
      <c r="L310" s="451" t="str">
        <f>'No Recurrentes 24-26'!BC172</f>
        <v/>
      </c>
      <c r="M310" s="451" t="str">
        <f>'No Recurrentes 24-26'!BD172</f>
        <v/>
      </c>
      <c r="N310" s="451" t="str">
        <f>'No Recurrentes 24-26'!BE172</f>
        <v/>
      </c>
      <c r="O310" s="451" t="str">
        <f>'No Recurrentes 24-26'!BF172</f>
        <v/>
      </c>
      <c r="P310" s="451" t="str">
        <f>'No Recurrentes 24-26'!BG172</f>
        <v/>
      </c>
      <c r="Q310" s="451" t="str">
        <f>'No Recurrentes 24-26'!BH172</f>
        <v/>
      </c>
      <c r="R310" s="451" t="str">
        <f>'No Recurrentes 24-26'!BI172</f>
        <v/>
      </c>
      <c r="S310" s="451" t="str">
        <f>'No Recurrentes 24-26'!BJ172</f>
        <v/>
      </c>
      <c r="T310" s="451" t="str">
        <f>'No Recurrentes 24-26'!BK172</f>
        <v/>
      </c>
      <c r="U310" s="451">
        <f>'No Recurrentes 24-26'!BL172</f>
        <v>0</v>
      </c>
      <c r="V310" s="1068"/>
      <c r="W310" s="1062">
        <f>'No Recurrentes 24-26'!BM172</f>
        <v>0</v>
      </c>
      <c r="X310" s="1062" t="str">
        <f>'No Recurrentes 24-26'!BN172</f>
        <v/>
      </c>
      <c r="Y310" s="1062" t="str">
        <f>'No Recurrentes 24-26'!BO172</f>
        <v/>
      </c>
      <c r="Z310" s="1062" t="str">
        <f>'No Recurrentes 24-26'!BP172</f>
        <v/>
      </c>
      <c r="AA310" s="1062" t="str">
        <f>'No Recurrentes 24-26'!BQ172</f>
        <v/>
      </c>
      <c r="AB310" s="1062" t="str">
        <f>'No Recurrentes 24-26'!BR172</f>
        <v/>
      </c>
      <c r="AC310" s="1062" t="str">
        <f>'No Recurrentes 24-26'!BS172</f>
        <v/>
      </c>
      <c r="AD310" s="1062" t="str">
        <f>'No Recurrentes 24-26'!BT172</f>
        <v/>
      </c>
      <c r="AE310" s="1062" t="str">
        <f>'No Recurrentes 24-26'!BU172</f>
        <v/>
      </c>
      <c r="AF310" s="1062" t="str">
        <f>'No Recurrentes 24-26'!BV172</f>
        <v/>
      </c>
      <c r="AG310" s="1062" t="str">
        <f>'No Recurrentes 24-26'!BW172</f>
        <v/>
      </c>
      <c r="AH310" s="1068"/>
      <c r="AI310" s="1062">
        <f>'No Recurrentes 24-26'!BX172</f>
        <v>0</v>
      </c>
      <c r="AJ310" s="1062">
        <f>'No Recurrentes 24-26'!BY172</f>
        <v>0</v>
      </c>
      <c r="AK310" s="1062">
        <f>'No Recurrentes 24-26'!BZ172</f>
        <v>0</v>
      </c>
      <c r="AL310" s="1062">
        <f>'No Recurrentes 24-26'!CA172</f>
        <v>0</v>
      </c>
      <c r="AM310" s="1062">
        <f>'No Recurrentes 24-26'!CB172</f>
        <v>0</v>
      </c>
      <c r="AN310" s="1062">
        <f>'No Recurrentes 24-26'!CC172</f>
        <v>0</v>
      </c>
      <c r="AO310" s="1062">
        <f>'No Recurrentes 24-26'!CD172</f>
        <v>0</v>
      </c>
      <c r="AP310" s="1062">
        <f>'No Recurrentes 24-26'!CE172</f>
        <v>0</v>
      </c>
      <c r="AQ310" s="1062">
        <f>'No Recurrentes 24-26'!CF172</f>
        <v>0</v>
      </c>
      <c r="AR310" s="1062">
        <f>'No Recurrentes 24-26'!CG172</f>
        <v>0</v>
      </c>
      <c r="AS310" s="1062">
        <f>'No Recurrentes 24-26'!CH172</f>
        <v>0</v>
      </c>
      <c r="AT310" s="1068"/>
      <c r="AU310" s="1062">
        <f>'No Recurrentes 24-26'!CI172</f>
        <v>0</v>
      </c>
      <c r="AV310" s="1063">
        <f>'No Recurrentes 24-26'!CJ172</f>
        <v>0</v>
      </c>
      <c r="AW310" s="1068"/>
      <c r="AX310" s="1062" t="str">
        <f>'No Recurrentes 24-26'!CK172</f>
        <v/>
      </c>
      <c r="AY310" s="1062">
        <f>'No Recurrentes 24-26'!CL172</f>
        <v>9574.689</v>
      </c>
      <c r="AZ310" s="1068"/>
      <c r="BA310" s="1062">
        <f>'No Recurrentes 24-26'!CM172</f>
        <v>0</v>
      </c>
      <c r="BB310" s="1062">
        <f>'No Recurrentes 24-26'!CN172</f>
        <v>0</v>
      </c>
      <c r="BC310" s="1062">
        <f>'No Recurrentes 24-26'!CO172</f>
        <v>0</v>
      </c>
      <c r="BD310" s="1062">
        <f>'No Recurrentes 24-26'!CP172</f>
        <v>0</v>
      </c>
      <c r="BE310" s="1062">
        <f>'No Recurrentes 24-26'!CQ172</f>
        <v>0</v>
      </c>
      <c r="BF310" s="1062">
        <f>'No Recurrentes 24-26'!CR172</f>
        <v>0</v>
      </c>
      <c r="BG310" s="1062">
        <f>'No Recurrentes 24-26'!CS172</f>
        <v>0</v>
      </c>
      <c r="BH310" s="1062">
        <f>'No Recurrentes 24-26'!CT172</f>
        <v>0</v>
      </c>
      <c r="BI310" s="1062">
        <f>'No Recurrentes 24-26'!CU172</f>
        <v>0</v>
      </c>
      <c r="BJ310" s="1062">
        <f>'No Recurrentes 24-26'!CV172</f>
        <v>0</v>
      </c>
      <c r="BK310" s="1068"/>
      <c r="BL310" s="1062">
        <f>'No Recurrentes 24-26'!CW172</f>
        <v>0</v>
      </c>
      <c r="BM310" s="1062">
        <f>'No Recurrentes 24-26'!CX172</f>
        <v>0</v>
      </c>
      <c r="BN310" s="1062">
        <f>'No Recurrentes 24-26'!CY172</f>
        <v>0</v>
      </c>
      <c r="BO310" s="1062">
        <f>'No Recurrentes 24-26'!CZ172</f>
        <v>0</v>
      </c>
      <c r="BP310" s="1062">
        <f>'No Recurrentes 24-26'!DA172</f>
        <v>0</v>
      </c>
      <c r="BQ310" s="1062">
        <f>'No Recurrentes 24-26'!DB172</f>
        <v>0</v>
      </c>
      <c r="BR310" s="1062">
        <f>'No Recurrentes 24-26'!DC172</f>
        <v>0</v>
      </c>
      <c r="BS310" s="1062">
        <f>'No Recurrentes 24-26'!DD172</f>
        <v>0</v>
      </c>
      <c r="BT310" s="1062">
        <f>'No Recurrentes 24-26'!DE172</f>
        <v>0</v>
      </c>
      <c r="BU310" s="1062">
        <f>'No Recurrentes 24-26'!DF172</f>
        <v>0</v>
      </c>
      <c r="BV310" s="1062">
        <f>'No Recurrentes 24-26'!DG172</f>
        <v>0</v>
      </c>
      <c r="BW310" s="1068"/>
      <c r="BX310" s="1062">
        <f>'No Recurrentes 24-26'!DH172</f>
        <v>0</v>
      </c>
      <c r="BY310" s="1062">
        <f>'No Recurrentes 24-26'!DI172</f>
        <v>0</v>
      </c>
      <c r="BZ310" s="1062">
        <f>'No Recurrentes 24-26'!DJ172</f>
        <v>0</v>
      </c>
      <c r="CA310" s="1062">
        <f>'No Recurrentes 24-26'!DK172</f>
        <v>0</v>
      </c>
      <c r="CB310" s="1062">
        <f>'No Recurrentes 24-26'!DL172</f>
        <v>0</v>
      </c>
      <c r="CC310" s="1062">
        <f>'No Recurrentes 24-26'!DM172</f>
        <v>0</v>
      </c>
      <c r="CD310" s="1062">
        <f>'No Recurrentes 24-26'!DN172</f>
        <v>0</v>
      </c>
      <c r="CE310" s="1062">
        <f>'No Recurrentes 24-26'!DO172</f>
        <v>0</v>
      </c>
      <c r="CF310" s="1062">
        <f>'No Recurrentes 24-26'!DP172</f>
        <v>0</v>
      </c>
      <c r="CG310" s="1062">
        <f>'No Recurrentes 24-26'!DQ172</f>
        <v>0</v>
      </c>
      <c r="CH310" s="1062">
        <f>'No Recurrentes 24-26'!DR172</f>
        <v>0</v>
      </c>
      <c r="CI310" s="1068"/>
      <c r="CJ310" s="1062">
        <f>'No Recurrentes 24-26'!DS172</f>
        <v>0</v>
      </c>
      <c r="CK310" s="1062">
        <f>'No Recurrentes 24-26'!DT172</f>
        <v>0</v>
      </c>
      <c r="CL310" s="1064" t="str">
        <f>'No Recurrentes 24-26'!DU172</f>
        <v/>
      </c>
      <c r="CM310" s="1064" t="str">
        <f>'No Recurrentes 24-26'!DV172</f>
        <v/>
      </c>
      <c r="CN310" s="1060">
        <f>'No Recurrentes 24-26'!EI168</f>
        <v>1</v>
      </c>
      <c r="CO310" s="1060" t="str">
        <f>'No Recurrentes 24-26'!EJ168</f>
        <v/>
      </c>
      <c r="CP310" s="1060" t="str">
        <f>'No Recurrentes 24-26'!EK168</f>
        <v/>
      </c>
    </row>
    <row r="311">
      <c r="A311" s="451" t="str">
        <f>'No Recurrentes 24-26'!A173</f>
        <v>Repuestos Electromecánicos no recurrentes</v>
      </c>
      <c r="B311" s="451">
        <f>'No Recurrentes 24-26'!B173</f>
        <v>2</v>
      </c>
      <c r="C311" s="451" t="str">
        <f>'No Recurrentes 24-26'!C173</f>
        <v>Vehiculo</v>
      </c>
      <c r="D311" s="451" t="str">
        <f>'No Recurrentes 24-26'!D173</f>
        <v>Manto. gral. Cabina</v>
      </c>
      <c r="E311" s="451" t="str">
        <f>'No Recurrentes 24-26'!E173</f>
        <v>Insumo mecánico</v>
      </c>
      <c r="F311" s="451" t="str">
        <f>'No Recurrentes 24-26'!F173</f>
        <v>TDB</v>
      </c>
      <c r="G311" s="1025" t="str">
        <f>'No Recurrentes 24-26'!G173</f>
        <v>39800</v>
      </c>
      <c r="H311" s="1061" t="str">
        <f>'No Recurrentes 24-26'!H173</f>
        <v>2-01-00878</v>
      </c>
      <c r="I311" s="1061" t="str">
        <f>'No Recurrentes 24-26'!I173</f>
        <v>11672779</v>
      </c>
      <c r="J311" s="1061" t="str">
        <f>'No Recurrentes 24-26'!J173</f>
        <v>VENTANA LADO TORRE OMIV-8 LWI Nº ART. 110048874GRAU133</v>
      </c>
      <c r="K311" s="451" t="str">
        <f>'No Recurrentes 24-26'!K173</f>
        <v>Pza</v>
      </c>
      <c r="L311" s="451" t="str">
        <f>'No Recurrentes 24-26'!BC173</f>
        <v/>
      </c>
      <c r="M311" s="451" t="str">
        <f>'No Recurrentes 24-26'!BD173</f>
        <v/>
      </c>
      <c r="N311" s="451">
        <f>'No Recurrentes 24-26'!BE173</f>
        <v>0</v>
      </c>
      <c r="O311" s="451" t="str">
        <f>'No Recurrentes 24-26'!BF173</f>
        <v/>
      </c>
      <c r="P311" s="451" t="str">
        <f>'No Recurrentes 24-26'!BG173</f>
        <v/>
      </c>
      <c r="Q311" s="451" t="str">
        <f>'No Recurrentes 24-26'!BH173</f>
        <v/>
      </c>
      <c r="R311" s="451" t="str">
        <f>'No Recurrentes 24-26'!BI173</f>
        <v/>
      </c>
      <c r="S311" s="451" t="str">
        <f>'No Recurrentes 24-26'!BJ173</f>
        <v/>
      </c>
      <c r="T311" s="451" t="str">
        <f>'No Recurrentes 24-26'!BK173</f>
        <v/>
      </c>
      <c r="U311" s="451" t="str">
        <f>'No Recurrentes 24-26'!BL173</f>
        <v/>
      </c>
      <c r="V311" s="1068"/>
      <c r="W311" s="1062">
        <f>'No Recurrentes 24-26'!BM173</f>
        <v>0</v>
      </c>
      <c r="X311" s="1062">
        <f>'No Recurrentes 24-26'!BN173</f>
        <v>1</v>
      </c>
      <c r="Y311" s="1062" t="str">
        <f>'No Recurrentes 24-26'!BO173</f>
        <v/>
      </c>
      <c r="Z311" s="1062" t="str">
        <f>'No Recurrentes 24-26'!BP173</f>
        <v/>
      </c>
      <c r="AA311" s="1062" t="str">
        <f>'No Recurrentes 24-26'!BQ173</f>
        <v/>
      </c>
      <c r="AB311" s="1062" t="str">
        <f>'No Recurrentes 24-26'!BR173</f>
        <v/>
      </c>
      <c r="AC311" s="1062" t="str">
        <f>'No Recurrentes 24-26'!BS173</f>
        <v/>
      </c>
      <c r="AD311" s="1062" t="str">
        <f>'No Recurrentes 24-26'!BT173</f>
        <v/>
      </c>
      <c r="AE311" s="1062" t="str">
        <f>'No Recurrentes 24-26'!BU173</f>
        <v/>
      </c>
      <c r="AF311" s="1062" t="str">
        <f>'No Recurrentes 24-26'!BV173</f>
        <v/>
      </c>
      <c r="AG311" s="1062" t="str">
        <f>'No Recurrentes 24-26'!BW173</f>
        <v/>
      </c>
      <c r="AH311" s="1068"/>
      <c r="AI311" s="1062">
        <f>'No Recurrentes 24-26'!BX173</f>
        <v>1</v>
      </c>
      <c r="AJ311" s="1062">
        <f>'No Recurrentes 24-26'!BY173</f>
        <v>0</v>
      </c>
      <c r="AK311" s="1062">
        <f>'No Recurrentes 24-26'!BZ173</f>
        <v>0</v>
      </c>
      <c r="AL311" s="1062">
        <f>'No Recurrentes 24-26'!CA173</f>
        <v>1</v>
      </c>
      <c r="AM311" s="1062">
        <f>'No Recurrentes 24-26'!CB173</f>
        <v>0</v>
      </c>
      <c r="AN311" s="1062">
        <f>'No Recurrentes 24-26'!CC173</f>
        <v>0</v>
      </c>
      <c r="AO311" s="1062">
        <f>'No Recurrentes 24-26'!CD173</f>
        <v>0</v>
      </c>
      <c r="AP311" s="1062">
        <f>'No Recurrentes 24-26'!CE173</f>
        <v>0</v>
      </c>
      <c r="AQ311" s="1062">
        <f>'No Recurrentes 24-26'!CF173</f>
        <v>0</v>
      </c>
      <c r="AR311" s="1062">
        <f>'No Recurrentes 24-26'!CG173</f>
        <v>0</v>
      </c>
      <c r="AS311" s="1062">
        <f>'No Recurrentes 24-26'!CH173</f>
        <v>0</v>
      </c>
      <c r="AT311" s="1068"/>
      <c r="AU311" s="1062">
        <f>'No Recurrentes 24-26'!CI173</f>
        <v>1</v>
      </c>
      <c r="AV311" s="1063">
        <f>'No Recurrentes 24-26'!CJ173</f>
        <v>2</v>
      </c>
      <c r="AW311" s="1068"/>
      <c r="AX311" s="1065">
        <f>'No Recurrentes 24-26'!CK173</f>
        <v>2757.54</v>
      </c>
      <c r="AY311" s="1062">
        <f>'No Recurrentes 24-26'!CL173</f>
        <v>19192.4784</v>
      </c>
      <c r="AZ311" s="1068"/>
      <c r="BA311" s="1062">
        <f>'No Recurrentes 24-26'!CM173</f>
        <v>0</v>
      </c>
      <c r="BB311" s="1062">
        <f>'No Recurrentes 24-26'!CN173</f>
        <v>0</v>
      </c>
      <c r="BC311" s="1062">
        <f>'No Recurrentes 24-26'!CO173</f>
        <v>0</v>
      </c>
      <c r="BD311" s="1062">
        <f>'No Recurrentes 24-26'!CP173</f>
        <v>0</v>
      </c>
      <c r="BE311" s="1062">
        <f>'No Recurrentes 24-26'!CQ173</f>
        <v>0</v>
      </c>
      <c r="BF311" s="1062">
        <f>'No Recurrentes 24-26'!CR173</f>
        <v>0</v>
      </c>
      <c r="BG311" s="1062">
        <f>'No Recurrentes 24-26'!CS173</f>
        <v>0</v>
      </c>
      <c r="BH311" s="1062">
        <f>'No Recurrentes 24-26'!CT173</f>
        <v>0</v>
      </c>
      <c r="BI311" s="1062">
        <f>'No Recurrentes 24-26'!CU173</f>
        <v>0</v>
      </c>
      <c r="BJ311" s="1062">
        <f>'No Recurrentes 24-26'!CV173</f>
        <v>0</v>
      </c>
      <c r="BK311" s="1068"/>
      <c r="BL311" s="1062">
        <f>'No Recurrentes 24-26'!CW173</f>
        <v>0</v>
      </c>
      <c r="BM311" s="1062">
        <f>'No Recurrentes 24-26'!CX173</f>
        <v>19192.4784</v>
      </c>
      <c r="BN311" s="1062">
        <f>'No Recurrentes 24-26'!CY173</f>
        <v>0</v>
      </c>
      <c r="BO311" s="1062">
        <f>'No Recurrentes 24-26'!CZ173</f>
        <v>0</v>
      </c>
      <c r="BP311" s="1062">
        <f>'No Recurrentes 24-26'!DA173</f>
        <v>0</v>
      </c>
      <c r="BQ311" s="1062">
        <f>'No Recurrentes 24-26'!DB173</f>
        <v>0</v>
      </c>
      <c r="BR311" s="1062">
        <f>'No Recurrentes 24-26'!DC173</f>
        <v>0</v>
      </c>
      <c r="BS311" s="1062">
        <f>'No Recurrentes 24-26'!DD173</f>
        <v>0</v>
      </c>
      <c r="BT311" s="1062">
        <f>'No Recurrentes 24-26'!DE173</f>
        <v>0</v>
      </c>
      <c r="BU311" s="1062">
        <f>'No Recurrentes 24-26'!DF173</f>
        <v>0</v>
      </c>
      <c r="BV311" s="1062">
        <f>'No Recurrentes 24-26'!DG173</f>
        <v>0</v>
      </c>
      <c r="BW311" s="1068"/>
      <c r="BX311" s="1062">
        <f>'No Recurrentes 24-26'!DH173</f>
        <v>19192.4784</v>
      </c>
      <c r="BY311" s="1062">
        <f>'No Recurrentes 24-26'!DI173</f>
        <v>0</v>
      </c>
      <c r="BZ311" s="1062">
        <f>'No Recurrentes 24-26'!DJ173</f>
        <v>0</v>
      </c>
      <c r="CA311" s="1062">
        <f>'No Recurrentes 24-26'!DK173</f>
        <v>19192.4784</v>
      </c>
      <c r="CB311" s="1062">
        <f>'No Recurrentes 24-26'!DL173</f>
        <v>0</v>
      </c>
      <c r="CC311" s="1062">
        <f>'No Recurrentes 24-26'!DM173</f>
        <v>0</v>
      </c>
      <c r="CD311" s="1062">
        <f>'No Recurrentes 24-26'!DN173</f>
        <v>0</v>
      </c>
      <c r="CE311" s="1062">
        <f>'No Recurrentes 24-26'!DO173</f>
        <v>0</v>
      </c>
      <c r="CF311" s="1062">
        <f>'No Recurrentes 24-26'!DP173</f>
        <v>0</v>
      </c>
      <c r="CG311" s="1062">
        <f>'No Recurrentes 24-26'!DQ173</f>
        <v>0</v>
      </c>
      <c r="CH311" s="1062">
        <f>'No Recurrentes 24-26'!DR173</f>
        <v>0</v>
      </c>
      <c r="CI311" s="1068"/>
      <c r="CJ311" s="1062">
        <f>'No Recurrentes 24-26'!DS173</f>
        <v>19192.4784</v>
      </c>
      <c r="CK311" s="1062">
        <f>'No Recurrentes 24-26'!DT173</f>
        <v>38384.9568</v>
      </c>
      <c r="CL311" s="1064" t="str">
        <f>'No Recurrentes 24-26'!DU173</f>
        <v/>
      </c>
      <c r="CM311" s="1064" t="str">
        <f>'No Recurrentes 24-26'!DV173</f>
        <v/>
      </c>
      <c r="CN311" s="1060">
        <f>'No Recurrentes 24-26'!EI169</f>
        <v>1</v>
      </c>
      <c r="CO311" s="1060" t="str">
        <f>'No Recurrentes 24-26'!EJ169</f>
        <v/>
      </c>
      <c r="CP311" s="1060" t="str">
        <f>'No Recurrentes 24-26'!EK169</f>
        <v/>
      </c>
    </row>
    <row r="312">
      <c r="A312" s="451" t="str">
        <f>'No Recurrentes 24-26'!A174</f>
        <v>Repuestos Electromecánicos no recurrentes</v>
      </c>
      <c r="B312" s="451" t="str">
        <f>'No Recurrentes 24-26'!B174</f>
        <v/>
      </c>
      <c r="C312" s="451" t="str">
        <f>'No Recurrentes 24-26'!C174</f>
        <v>Vehiculo</v>
      </c>
      <c r="D312" s="451" t="str">
        <f>'No Recurrentes 24-26'!D174</f>
        <v>Manto. gral. Cabina</v>
      </c>
      <c r="E312" s="451" t="str">
        <f>'No Recurrentes 24-26'!E174</f>
        <v>Repuesto Eléctrico</v>
      </c>
      <c r="F312" s="451" t="str">
        <f>'No Recurrentes 24-26'!F174</f>
        <v>TDB</v>
      </c>
      <c r="G312" s="1061" t="str">
        <f>'No Recurrentes 24-26'!G174</f>
        <v>39700</v>
      </c>
      <c r="H312" s="1061" t="str">
        <f>'No Recurrentes 24-26'!H174</f>
        <v>TDB00089</v>
      </c>
      <c r="I312" s="1061" t="str">
        <f>'No Recurrentes 24-26'!I174</f>
        <v>90-083788</v>
      </c>
      <c r="J312" s="1061" t="str">
        <f>'No Recurrentes 24-26'!J174</f>
        <v>PLACA DE RECTIFICADOR 90-083788</v>
      </c>
      <c r="K312" s="451" t="str">
        <f>'No Recurrentes 24-26'!K174</f>
        <v>Pza</v>
      </c>
      <c r="L312" s="451" t="str">
        <f>'No Recurrentes 24-26'!BC174</f>
        <v/>
      </c>
      <c r="M312" s="451" t="str">
        <f>'No Recurrentes 24-26'!BD174</f>
        <v/>
      </c>
      <c r="N312" s="451">
        <f>'No Recurrentes 24-26'!BE174</f>
        <v>0</v>
      </c>
      <c r="O312" s="451">
        <f>'No Recurrentes 24-26'!BF174</f>
        <v>0</v>
      </c>
      <c r="P312" s="451" t="str">
        <f>'No Recurrentes 24-26'!BG174</f>
        <v/>
      </c>
      <c r="Q312" s="451" t="str">
        <f>'No Recurrentes 24-26'!BH174</f>
        <v/>
      </c>
      <c r="R312" s="451" t="str">
        <f>'No Recurrentes 24-26'!BI174</f>
        <v/>
      </c>
      <c r="S312" s="451" t="str">
        <f>'No Recurrentes 24-26'!BJ174</f>
        <v/>
      </c>
      <c r="T312" s="451" t="str">
        <f>'No Recurrentes 24-26'!BK174</f>
        <v/>
      </c>
      <c r="U312" s="451" t="str">
        <f>'No Recurrentes 24-26'!BL174</f>
        <v/>
      </c>
      <c r="V312" s="1068"/>
      <c r="W312" s="1062">
        <f>'No Recurrentes 24-26'!BM174</f>
        <v>0</v>
      </c>
      <c r="X312" s="1062" t="str">
        <f>'No Recurrentes 24-26'!BN174</f>
        <v/>
      </c>
      <c r="Y312" s="1062" t="str">
        <f>'No Recurrentes 24-26'!BO174</f>
        <v/>
      </c>
      <c r="Z312" s="1062" t="str">
        <f>'No Recurrentes 24-26'!BP174</f>
        <v/>
      </c>
      <c r="AA312" s="1062">
        <f>'No Recurrentes 24-26'!BQ174</f>
        <v>0</v>
      </c>
      <c r="AB312" s="1062" t="str">
        <f>'No Recurrentes 24-26'!BR174</f>
        <v/>
      </c>
      <c r="AC312" s="1062" t="str">
        <f>'No Recurrentes 24-26'!BS174</f>
        <v/>
      </c>
      <c r="AD312" s="1062" t="str">
        <f>'No Recurrentes 24-26'!BT174</f>
        <v/>
      </c>
      <c r="AE312" s="1062" t="str">
        <f>'No Recurrentes 24-26'!BU174</f>
        <v/>
      </c>
      <c r="AF312" s="1062" t="str">
        <f>'No Recurrentes 24-26'!BV174</f>
        <v/>
      </c>
      <c r="AG312" s="1062" t="str">
        <f>'No Recurrentes 24-26'!BW174</f>
        <v/>
      </c>
      <c r="AH312" s="1068"/>
      <c r="AI312" s="1062">
        <f>'No Recurrentes 24-26'!BX174</f>
        <v>0</v>
      </c>
      <c r="AJ312" s="1062">
        <f>'No Recurrentes 24-26'!BY174</f>
        <v>0</v>
      </c>
      <c r="AK312" s="1062">
        <f>'No Recurrentes 24-26'!BZ174</f>
        <v>0</v>
      </c>
      <c r="AL312" s="1062">
        <f>'No Recurrentes 24-26'!CA174</f>
        <v>0</v>
      </c>
      <c r="AM312" s="1062">
        <f>'No Recurrentes 24-26'!CB174</f>
        <v>0</v>
      </c>
      <c r="AN312" s="1062">
        <f>'No Recurrentes 24-26'!CC174</f>
        <v>0</v>
      </c>
      <c r="AO312" s="1062">
        <f>'No Recurrentes 24-26'!CD174</f>
        <v>0</v>
      </c>
      <c r="AP312" s="1062">
        <f>'No Recurrentes 24-26'!CE174</f>
        <v>0</v>
      </c>
      <c r="AQ312" s="1062">
        <f>'No Recurrentes 24-26'!CF174</f>
        <v>0</v>
      </c>
      <c r="AR312" s="1062">
        <f>'No Recurrentes 24-26'!CG174</f>
        <v>0</v>
      </c>
      <c r="AS312" s="1062">
        <f>'No Recurrentes 24-26'!CH174</f>
        <v>0</v>
      </c>
      <c r="AT312" s="1068"/>
      <c r="AU312" s="1062">
        <f>'No Recurrentes 24-26'!CI174</f>
        <v>0</v>
      </c>
      <c r="AV312" s="1063">
        <f>'No Recurrentes 24-26'!CJ174</f>
        <v>0</v>
      </c>
      <c r="AW312" s="1068"/>
      <c r="AX312" s="1062" t="str">
        <f>'No Recurrentes 24-26'!CK174</f>
        <v/>
      </c>
      <c r="AY312" s="1062">
        <f>'No Recurrentes 24-26'!CL174</f>
        <v>19505.2662</v>
      </c>
      <c r="AZ312" s="1068"/>
      <c r="BA312" s="1062">
        <f>'No Recurrentes 24-26'!CM174</f>
        <v>0</v>
      </c>
      <c r="BB312" s="1062">
        <f>'No Recurrentes 24-26'!CN174</f>
        <v>0</v>
      </c>
      <c r="BC312" s="1062">
        <f>'No Recurrentes 24-26'!CO174</f>
        <v>0</v>
      </c>
      <c r="BD312" s="1062">
        <f>'No Recurrentes 24-26'!CP174</f>
        <v>0</v>
      </c>
      <c r="BE312" s="1062">
        <f>'No Recurrentes 24-26'!CQ174</f>
        <v>0</v>
      </c>
      <c r="BF312" s="1062">
        <f>'No Recurrentes 24-26'!CR174</f>
        <v>0</v>
      </c>
      <c r="BG312" s="1062">
        <f>'No Recurrentes 24-26'!CS174</f>
        <v>0</v>
      </c>
      <c r="BH312" s="1062">
        <f>'No Recurrentes 24-26'!CT174</f>
        <v>0</v>
      </c>
      <c r="BI312" s="1062">
        <f>'No Recurrentes 24-26'!CU174</f>
        <v>0</v>
      </c>
      <c r="BJ312" s="1062">
        <f>'No Recurrentes 24-26'!CV174</f>
        <v>0</v>
      </c>
      <c r="BK312" s="1068"/>
      <c r="BL312" s="1062">
        <f>'No Recurrentes 24-26'!CW174</f>
        <v>0</v>
      </c>
      <c r="BM312" s="1062">
        <f>'No Recurrentes 24-26'!CX174</f>
        <v>0</v>
      </c>
      <c r="BN312" s="1062">
        <f>'No Recurrentes 24-26'!CY174</f>
        <v>0</v>
      </c>
      <c r="BO312" s="1062">
        <f>'No Recurrentes 24-26'!CZ174</f>
        <v>0</v>
      </c>
      <c r="BP312" s="1062">
        <f>'No Recurrentes 24-26'!DA174</f>
        <v>0</v>
      </c>
      <c r="BQ312" s="1062">
        <f>'No Recurrentes 24-26'!DB174</f>
        <v>0</v>
      </c>
      <c r="BR312" s="1062">
        <f>'No Recurrentes 24-26'!DC174</f>
        <v>0</v>
      </c>
      <c r="BS312" s="1062">
        <f>'No Recurrentes 24-26'!DD174</f>
        <v>0</v>
      </c>
      <c r="BT312" s="1062">
        <f>'No Recurrentes 24-26'!DE174</f>
        <v>0</v>
      </c>
      <c r="BU312" s="1062">
        <f>'No Recurrentes 24-26'!DF174</f>
        <v>0</v>
      </c>
      <c r="BV312" s="1062">
        <f>'No Recurrentes 24-26'!DG174</f>
        <v>0</v>
      </c>
      <c r="BW312" s="1068"/>
      <c r="BX312" s="1062">
        <f>'No Recurrentes 24-26'!DH174</f>
        <v>0</v>
      </c>
      <c r="BY312" s="1062">
        <f>'No Recurrentes 24-26'!DI174</f>
        <v>0</v>
      </c>
      <c r="BZ312" s="1062">
        <f>'No Recurrentes 24-26'!DJ174</f>
        <v>0</v>
      </c>
      <c r="CA312" s="1062">
        <f>'No Recurrentes 24-26'!DK174</f>
        <v>0</v>
      </c>
      <c r="CB312" s="1062">
        <f>'No Recurrentes 24-26'!DL174</f>
        <v>0</v>
      </c>
      <c r="CC312" s="1062">
        <f>'No Recurrentes 24-26'!DM174</f>
        <v>0</v>
      </c>
      <c r="CD312" s="1062">
        <f>'No Recurrentes 24-26'!DN174</f>
        <v>0</v>
      </c>
      <c r="CE312" s="1062">
        <f>'No Recurrentes 24-26'!DO174</f>
        <v>0</v>
      </c>
      <c r="CF312" s="1062">
        <f>'No Recurrentes 24-26'!DP174</f>
        <v>0</v>
      </c>
      <c r="CG312" s="1062">
        <f>'No Recurrentes 24-26'!DQ174</f>
        <v>0</v>
      </c>
      <c r="CH312" s="1062">
        <f>'No Recurrentes 24-26'!DR174</f>
        <v>0</v>
      </c>
      <c r="CI312" s="1068"/>
      <c r="CJ312" s="1062">
        <f>'No Recurrentes 24-26'!DS174</f>
        <v>0</v>
      </c>
      <c r="CK312" s="1062">
        <f>'No Recurrentes 24-26'!DT174</f>
        <v>0</v>
      </c>
      <c r="CL312" s="1064" t="str">
        <f>'No Recurrentes 24-26'!DU174</f>
        <v/>
      </c>
      <c r="CM312" s="1064" t="str">
        <f>'No Recurrentes 24-26'!DV174</f>
        <v/>
      </c>
      <c r="CN312" s="1065">
        <f>'No Recurrentes 24-26'!EI170</f>
        <v>183.97</v>
      </c>
      <c r="CO312" s="1065">
        <f>'No Recurrentes 24-26'!EJ170</f>
        <v>156.37</v>
      </c>
      <c r="CP312" s="1060" t="str">
        <f>'No Recurrentes 24-26'!EK170</f>
        <v/>
      </c>
    </row>
    <row r="313">
      <c r="A313" s="451" t="str">
        <f>'No Recurrentes 24-26'!A175</f>
        <v>Repuestos Electromecánicos no recurrentes</v>
      </c>
      <c r="B313" s="451" t="str">
        <f>'No Recurrentes 24-26'!B175</f>
        <v/>
      </c>
      <c r="C313" s="451" t="str">
        <f>'No Recurrentes 24-26'!C175</f>
        <v>Vehiculo</v>
      </c>
      <c r="D313" s="451" t="str">
        <f>'No Recurrentes 24-26'!D175</f>
        <v>Manto. gral. Cabina</v>
      </c>
      <c r="E313" s="451" t="str">
        <f>'No Recurrentes 24-26'!E175</f>
        <v>Repuesto Eléctrico</v>
      </c>
      <c r="F313" s="451" t="str">
        <f>'No Recurrentes 24-26'!F175</f>
        <v>TDB</v>
      </c>
      <c r="G313" s="1061" t="str">
        <f>'No Recurrentes 24-26'!G175</f>
        <v>39700</v>
      </c>
      <c r="H313" s="1061" t="str">
        <f>'No Recurrentes 24-26'!H175</f>
        <v>TDB00096</v>
      </c>
      <c r="I313" s="1061" t="str">
        <f>'No Recurrentes 24-26'!I175</f>
        <v>90-083828</v>
      </c>
      <c r="J313" s="1061" t="str">
        <f>'No Recurrentes 24-26'!J175</f>
        <v>CABLE COAXIAL CONEXION ANTENA DE RADIO 90-083828</v>
      </c>
      <c r="K313" s="451" t="str">
        <f>'No Recurrentes 24-26'!K175</f>
        <v>Pza</v>
      </c>
      <c r="L313" s="451" t="str">
        <f>'No Recurrentes 24-26'!BC175</f>
        <v/>
      </c>
      <c r="M313" s="451" t="str">
        <f>'No Recurrentes 24-26'!BD175</f>
        <v/>
      </c>
      <c r="N313" s="451" t="str">
        <f>'No Recurrentes 24-26'!BE175</f>
        <v/>
      </c>
      <c r="O313" s="451" t="str">
        <f>'No Recurrentes 24-26'!BF175</f>
        <v/>
      </c>
      <c r="P313" s="451" t="str">
        <f>'No Recurrentes 24-26'!BG175</f>
        <v/>
      </c>
      <c r="Q313" s="451" t="str">
        <f>'No Recurrentes 24-26'!BH175</f>
        <v/>
      </c>
      <c r="R313" s="451" t="str">
        <f>'No Recurrentes 24-26'!BI175</f>
        <v/>
      </c>
      <c r="S313" s="451" t="str">
        <f>'No Recurrentes 24-26'!BJ175</f>
        <v/>
      </c>
      <c r="T313" s="451" t="str">
        <f>'No Recurrentes 24-26'!BK175</f>
        <v/>
      </c>
      <c r="U313" s="451">
        <f>'No Recurrentes 24-26'!BL175</f>
        <v>0</v>
      </c>
      <c r="V313" s="1068"/>
      <c r="W313" s="1062">
        <f>'No Recurrentes 24-26'!BM175</f>
        <v>0</v>
      </c>
      <c r="X313" s="1062" t="str">
        <f>'No Recurrentes 24-26'!BN175</f>
        <v/>
      </c>
      <c r="Y313" s="1062" t="str">
        <f>'No Recurrentes 24-26'!BO175</f>
        <v/>
      </c>
      <c r="Z313" s="1062" t="str">
        <f>'No Recurrentes 24-26'!BP175</f>
        <v/>
      </c>
      <c r="AA313" s="1062" t="str">
        <f>'No Recurrentes 24-26'!BQ175</f>
        <v/>
      </c>
      <c r="AB313" s="1062" t="str">
        <f>'No Recurrentes 24-26'!BR175</f>
        <v/>
      </c>
      <c r="AC313" s="1062" t="str">
        <f>'No Recurrentes 24-26'!BS175</f>
        <v/>
      </c>
      <c r="AD313" s="1062" t="str">
        <f>'No Recurrentes 24-26'!BT175</f>
        <v/>
      </c>
      <c r="AE313" s="1062" t="str">
        <f>'No Recurrentes 24-26'!BU175</f>
        <v/>
      </c>
      <c r="AF313" s="1062" t="str">
        <f>'No Recurrentes 24-26'!BV175</f>
        <v/>
      </c>
      <c r="AG313" s="1062" t="str">
        <f>'No Recurrentes 24-26'!BW175</f>
        <v/>
      </c>
      <c r="AH313" s="1068"/>
      <c r="AI313" s="1062">
        <f>'No Recurrentes 24-26'!BX175</f>
        <v>0</v>
      </c>
      <c r="AJ313" s="1062">
        <f>'No Recurrentes 24-26'!BY175</f>
        <v>0</v>
      </c>
      <c r="AK313" s="1062">
        <f>'No Recurrentes 24-26'!BZ175</f>
        <v>0</v>
      </c>
      <c r="AL313" s="1062">
        <f>'No Recurrentes 24-26'!CA175</f>
        <v>0</v>
      </c>
      <c r="AM313" s="1062">
        <f>'No Recurrentes 24-26'!CB175</f>
        <v>0</v>
      </c>
      <c r="AN313" s="1062">
        <f>'No Recurrentes 24-26'!CC175</f>
        <v>0</v>
      </c>
      <c r="AO313" s="1062">
        <f>'No Recurrentes 24-26'!CD175</f>
        <v>0</v>
      </c>
      <c r="AP313" s="1062">
        <f>'No Recurrentes 24-26'!CE175</f>
        <v>0</v>
      </c>
      <c r="AQ313" s="1062">
        <f>'No Recurrentes 24-26'!CF175</f>
        <v>0</v>
      </c>
      <c r="AR313" s="1062">
        <f>'No Recurrentes 24-26'!CG175</f>
        <v>0</v>
      </c>
      <c r="AS313" s="1062">
        <f>'No Recurrentes 24-26'!CH175</f>
        <v>0</v>
      </c>
      <c r="AT313" s="1068"/>
      <c r="AU313" s="1062">
        <f>'No Recurrentes 24-26'!CI175</f>
        <v>0</v>
      </c>
      <c r="AV313" s="1063">
        <f>'No Recurrentes 24-26'!CJ175</f>
        <v>0</v>
      </c>
      <c r="AW313" s="1068"/>
      <c r="AX313" s="1062" t="str">
        <f>'No Recurrentes 24-26'!CK175</f>
        <v/>
      </c>
      <c r="AY313" s="1062">
        <f>'No Recurrentes 24-26'!CL175</f>
        <v>4161.09</v>
      </c>
      <c r="AZ313" s="1068"/>
      <c r="BA313" s="1062">
        <f>'No Recurrentes 24-26'!CM175</f>
        <v>0</v>
      </c>
      <c r="BB313" s="1062">
        <f>'No Recurrentes 24-26'!CN175</f>
        <v>0</v>
      </c>
      <c r="BC313" s="1062">
        <f>'No Recurrentes 24-26'!CO175</f>
        <v>0</v>
      </c>
      <c r="BD313" s="1062">
        <f>'No Recurrentes 24-26'!CP175</f>
        <v>0</v>
      </c>
      <c r="BE313" s="1062">
        <f>'No Recurrentes 24-26'!CQ175</f>
        <v>0</v>
      </c>
      <c r="BF313" s="1062">
        <f>'No Recurrentes 24-26'!CR175</f>
        <v>0</v>
      </c>
      <c r="BG313" s="1062">
        <f>'No Recurrentes 24-26'!CS175</f>
        <v>0</v>
      </c>
      <c r="BH313" s="1062">
        <f>'No Recurrentes 24-26'!CT175</f>
        <v>0</v>
      </c>
      <c r="BI313" s="1062">
        <f>'No Recurrentes 24-26'!CU175</f>
        <v>0</v>
      </c>
      <c r="BJ313" s="1062">
        <f>'No Recurrentes 24-26'!CV175</f>
        <v>0</v>
      </c>
      <c r="BK313" s="1068"/>
      <c r="BL313" s="1062">
        <f>'No Recurrentes 24-26'!CW175</f>
        <v>0</v>
      </c>
      <c r="BM313" s="1062">
        <f>'No Recurrentes 24-26'!CX175</f>
        <v>0</v>
      </c>
      <c r="BN313" s="1062">
        <f>'No Recurrentes 24-26'!CY175</f>
        <v>0</v>
      </c>
      <c r="BO313" s="1062">
        <f>'No Recurrentes 24-26'!CZ175</f>
        <v>0</v>
      </c>
      <c r="BP313" s="1062">
        <f>'No Recurrentes 24-26'!DA175</f>
        <v>0</v>
      </c>
      <c r="BQ313" s="1062">
        <f>'No Recurrentes 24-26'!DB175</f>
        <v>0</v>
      </c>
      <c r="BR313" s="1062">
        <f>'No Recurrentes 24-26'!DC175</f>
        <v>0</v>
      </c>
      <c r="BS313" s="1062">
        <f>'No Recurrentes 24-26'!DD175</f>
        <v>0</v>
      </c>
      <c r="BT313" s="1062">
        <f>'No Recurrentes 24-26'!DE175</f>
        <v>0</v>
      </c>
      <c r="BU313" s="1062">
        <f>'No Recurrentes 24-26'!DF175</f>
        <v>0</v>
      </c>
      <c r="BV313" s="1062">
        <f>'No Recurrentes 24-26'!DG175</f>
        <v>0</v>
      </c>
      <c r="BW313" s="1068"/>
      <c r="BX313" s="1062">
        <f>'No Recurrentes 24-26'!DH175</f>
        <v>0</v>
      </c>
      <c r="BY313" s="1062">
        <f>'No Recurrentes 24-26'!DI175</f>
        <v>0</v>
      </c>
      <c r="BZ313" s="1062">
        <f>'No Recurrentes 24-26'!DJ175</f>
        <v>0</v>
      </c>
      <c r="CA313" s="1062">
        <f>'No Recurrentes 24-26'!DK175</f>
        <v>0</v>
      </c>
      <c r="CB313" s="1062">
        <f>'No Recurrentes 24-26'!DL175</f>
        <v>0</v>
      </c>
      <c r="CC313" s="1062">
        <f>'No Recurrentes 24-26'!DM175</f>
        <v>0</v>
      </c>
      <c r="CD313" s="1062">
        <f>'No Recurrentes 24-26'!DN175</f>
        <v>0</v>
      </c>
      <c r="CE313" s="1062">
        <f>'No Recurrentes 24-26'!DO175</f>
        <v>0</v>
      </c>
      <c r="CF313" s="1062">
        <f>'No Recurrentes 24-26'!DP175</f>
        <v>0</v>
      </c>
      <c r="CG313" s="1062">
        <f>'No Recurrentes 24-26'!DQ175</f>
        <v>0</v>
      </c>
      <c r="CH313" s="1062">
        <f>'No Recurrentes 24-26'!DR175</f>
        <v>0</v>
      </c>
      <c r="CI313" s="1068"/>
      <c r="CJ313" s="1062">
        <f>'No Recurrentes 24-26'!DS175</f>
        <v>0</v>
      </c>
      <c r="CK313" s="1062">
        <f>'No Recurrentes 24-26'!DT175</f>
        <v>0</v>
      </c>
      <c r="CL313" s="1064" t="str">
        <f>'No Recurrentes 24-26'!DU175</f>
        <v/>
      </c>
      <c r="CM313" s="1064" t="str">
        <f>'No Recurrentes 24-26'!DV175</f>
        <v/>
      </c>
      <c r="CN313" s="1060">
        <f>'No Recurrentes 24-26'!EI171</f>
        <v>1</v>
      </c>
      <c r="CO313" s="1060" t="str">
        <f>'No Recurrentes 24-26'!EJ171</f>
        <v/>
      </c>
      <c r="CP313" s="1060" t="str">
        <f>'No Recurrentes 24-26'!EK171</f>
        <v/>
      </c>
    </row>
    <row r="314">
      <c r="A314" s="451" t="str">
        <f>'No Recurrentes 24-26'!A176</f>
        <v>Repuestos Electromecánicos no recurrentes</v>
      </c>
      <c r="B314" s="451" t="str">
        <f>'No Recurrentes 24-26'!B176</f>
        <v/>
      </c>
      <c r="C314" s="451" t="str">
        <f>'No Recurrentes 24-26'!C176</f>
        <v>Vehiculo</v>
      </c>
      <c r="D314" s="451" t="str">
        <f>'No Recurrentes 24-26'!D176</f>
        <v>Manto. gral. Cabina</v>
      </c>
      <c r="E314" s="451" t="str">
        <f>'No Recurrentes 24-26'!E176</f>
        <v>Insumo mecánico</v>
      </c>
      <c r="F314" s="451" t="str">
        <f>'No Recurrentes 24-26'!F176</f>
        <v>TDB</v>
      </c>
      <c r="G314" s="1061" t="str">
        <f>'No Recurrentes 24-26'!G176</f>
        <v>39800</v>
      </c>
      <c r="H314" s="1061" t="str">
        <f>'No Recurrentes 24-26'!H176</f>
        <v/>
      </c>
      <c r="I314" s="1061" t="str">
        <f>'No Recurrentes 24-26'!I176</f>
        <v/>
      </c>
      <c r="J314" s="1061" t="str">
        <f>'No Recurrentes 24-26'!J176</f>
        <v>SOPORTE DE BATERIAS FASE 1</v>
      </c>
      <c r="K314" s="451" t="str">
        <f>'No Recurrentes 24-26'!K176</f>
        <v>Pza</v>
      </c>
      <c r="L314" s="451" t="str">
        <f>'No Recurrentes 24-26'!BC176</f>
        <v/>
      </c>
      <c r="M314" s="451" t="str">
        <f>'No Recurrentes 24-26'!BD176</f>
        <v/>
      </c>
      <c r="N314" s="451" t="str">
        <f>'No Recurrentes 24-26'!BE176</f>
        <v/>
      </c>
      <c r="O314" s="451">
        <f>'No Recurrentes 24-26'!BF176</f>
        <v>0</v>
      </c>
      <c r="P314" s="451" t="str">
        <f>'No Recurrentes 24-26'!BG176</f>
        <v/>
      </c>
      <c r="Q314" s="451" t="str">
        <f>'No Recurrentes 24-26'!BH176</f>
        <v/>
      </c>
      <c r="R314" s="451" t="str">
        <f>'No Recurrentes 24-26'!BI176</f>
        <v/>
      </c>
      <c r="S314" s="451" t="str">
        <f>'No Recurrentes 24-26'!BJ176</f>
        <v/>
      </c>
      <c r="T314" s="451" t="str">
        <f>'No Recurrentes 24-26'!BK176</f>
        <v/>
      </c>
      <c r="U314" s="451" t="str">
        <f>'No Recurrentes 24-26'!BL176</f>
        <v/>
      </c>
      <c r="V314" s="1068"/>
      <c r="W314" s="1062">
        <f>'No Recurrentes 24-26'!BM176</f>
        <v>0</v>
      </c>
      <c r="X314" s="1062" t="str">
        <f>'No Recurrentes 24-26'!BN176</f>
        <v/>
      </c>
      <c r="Y314" s="1062" t="str">
        <f>'No Recurrentes 24-26'!BO176</f>
        <v/>
      </c>
      <c r="Z314" s="1062" t="str">
        <f>'No Recurrentes 24-26'!BP176</f>
        <v/>
      </c>
      <c r="AA314" s="1062" t="str">
        <f>'No Recurrentes 24-26'!BQ176</f>
        <v/>
      </c>
      <c r="AB314" s="1062" t="str">
        <f>'No Recurrentes 24-26'!BR176</f>
        <v/>
      </c>
      <c r="AC314" s="1062" t="str">
        <f>'No Recurrentes 24-26'!BS176</f>
        <v/>
      </c>
      <c r="AD314" s="1062" t="str">
        <f>'No Recurrentes 24-26'!BT176</f>
        <v/>
      </c>
      <c r="AE314" s="1062" t="str">
        <f>'No Recurrentes 24-26'!BU176</f>
        <v/>
      </c>
      <c r="AF314" s="1062" t="str">
        <f>'No Recurrentes 24-26'!BV176</f>
        <v/>
      </c>
      <c r="AG314" s="1062" t="str">
        <f>'No Recurrentes 24-26'!BW176</f>
        <v/>
      </c>
      <c r="AH314" s="1068"/>
      <c r="AI314" s="1062">
        <f>'No Recurrentes 24-26'!BX176</f>
        <v>0</v>
      </c>
      <c r="AJ314" s="1062">
        <f>'No Recurrentes 24-26'!BY176</f>
        <v>0</v>
      </c>
      <c r="AK314" s="1062">
        <f>'No Recurrentes 24-26'!BZ176</f>
        <v>0</v>
      </c>
      <c r="AL314" s="1062">
        <f>'No Recurrentes 24-26'!CA176</f>
        <v>0</v>
      </c>
      <c r="AM314" s="1062">
        <f>'No Recurrentes 24-26'!CB176</f>
        <v>0</v>
      </c>
      <c r="AN314" s="1062">
        <f>'No Recurrentes 24-26'!CC176</f>
        <v>0</v>
      </c>
      <c r="AO314" s="1062">
        <f>'No Recurrentes 24-26'!CD176</f>
        <v>0</v>
      </c>
      <c r="AP314" s="1062">
        <f>'No Recurrentes 24-26'!CE176</f>
        <v>0</v>
      </c>
      <c r="AQ314" s="1062">
        <f>'No Recurrentes 24-26'!CF176</f>
        <v>0</v>
      </c>
      <c r="AR314" s="1062">
        <f>'No Recurrentes 24-26'!CG176</f>
        <v>0</v>
      </c>
      <c r="AS314" s="1062">
        <f>'No Recurrentes 24-26'!CH176</f>
        <v>0</v>
      </c>
      <c r="AT314" s="1068"/>
      <c r="AU314" s="1062">
        <f>'No Recurrentes 24-26'!CI176</f>
        <v>0</v>
      </c>
      <c r="AV314" s="1063">
        <f>'No Recurrentes 24-26'!CJ176</f>
        <v>0</v>
      </c>
      <c r="AW314" s="1068"/>
      <c r="AX314" s="1062" t="str">
        <f>'No Recurrentes 24-26'!CK176</f>
        <v/>
      </c>
      <c r="AY314" s="1062">
        <f>'No Recurrentes 24-26'!CL176</f>
        <v>0</v>
      </c>
      <c r="AZ314" s="1068"/>
      <c r="BA314" s="1062">
        <f>'No Recurrentes 24-26'!CM176</f>
        <v>0</v>
      </c>
      <c r="BB314" s="1062">
        <f>'No Recurrentes 24-26'!CN176</f>
        <v>0</v>
      </c>
      <c r="BC314" s="1062">
        <f>'No Recurrentes 24-26'!CO176</f>
        <v>0</v>
      </c>
      <c r="BD314" s="1062">
        <f>'No Recurrentes 24-26'!CP176</f>
        <v>0</v>
      </c>
      <c r="BE314" s="1062">
        <f>'No Recurrentes 24-26'!CQ176</f>
        <v>0</v>
      </c>
      <c r="BF314" s="1062">
        <f>'No Recurrentes 24-26'!CR176</f>
        <v>0</v>
      </c>
      <c r="BG314" s="1062">
        <f>'No Recurrentes 24-26'!CS176</f>
        <v>0</v>
      </c>
      <c r="BH314" s="1062">
        <f>'No Recurrentes 24-26'!CT176</f>
        <v>0</v>
      </c>
      <c r="BI314" s="1062">
        <f>'No Recurrentes 24-26'!CU176</f>
        <v>0</v>
      </c>
      <c r="BJ314" s="1062">
        <f>'No Recurrentes 24-26'!CV176</f>
        <v>0</v>
      </c>
      <c r="BK314" s="1068"/>
      <c r="BL314" s="1062">
        <f>'No Recurrentes 24-26'!CW176</f>
        <v>0</v>
      </c>
      <c r="BM314" s="1062">
        <f>'No Recurrentes 24-26'!CX176</f>
        <v>0</v>
      </c>
      <c r="BN314" s="1062">
        <f>'No Recurrentes 24-26'!CY176</f>
        <v>0</v>
      </c>
      <c r="BO314" s="1062">
        <f>'No Recurrentes 24-26'!CZ176</f>
        <v>0</v>
      </c>
      <c r="BP314" s="1062">
        <f>'No Recurrentes 24-26'!DA176</f>
        <v>0</v>
      </c>
      <c r="BQ314" s="1062">
        <f>'No Recurrentes 24-26'!DB176</f>
        <v>0</v>
      </c>
      <c r="BR314" s="1062">
        <f>'No Recurrentes 24-26'!DC176</f>
        <v>0</v>
      </c>
      <c r="BS314" s="1062">
        <f>'No Recurrentes 24-26'!DD176</f>
        <v>0</v>
      </c>
      <c r="BT314" s="1062">
        <f>'No Recurrentes 24-26'!DE176</f>
        <v>0</v>
      </c>
      <c r="BU314" s="1062">
        <f>'No Recurrentes 24-26'!DF176</f>
        <v>0</v>
      </c>
      <c r="BV314" s="1062">
        <f>'No Recurrentes 24-26'!DG176</f>
        <v>0</v>
      </c>
      <c r="BW314" s="1068"/>
      <c r="BX314" s="1062">
        <f>'No Recurrentes 24-26'!DH176</f>
        <v>0</v>
      </c>
      <c r="BY314" s="1062">
        <f>'No Recurrentes 24-26'!DI176</f>
        <v>0</v>
      </c>
      <c r="BZ314" s="1062">
        <f>'No Recurrentes 24-26'!DJ176</f>
        <v>0</v>
      </c>
      <c r="CA314" s="1062">
        <f>'No Recurrentes 24-26'!DK176</f>
        <v>0</v>
      </c>
      <c r="CB314" s="1062">
        <f>'No Recurrentes 24-26'!DL176</f>
        <v>0</v>
      </c>
      <c r="CC314" s="1062">
        <f>'No Recurrentes 24-26'!DM176</f>
        <v>0</v>
      </c>
      <c r="CD314" s="1062">
        <f>'No Recurrentes 24-26'!DN176</f>
        <v>0</v>
      </c>
      <c r="CE314" s="1062">
        <f>'No Recurrentes 24-26'!DO176</f>
        <v>0</v>
      </c>
      <c r="CF314" s="1062">
        <f>'No Recurrentes 24-26'!DP176</f>
        <v>0</v>
      </c>
      <c r="CG314" s="1062">
        <f>'No Recurrentes 24-26'!DQ176</f>
        <v>0</v>
      </c>
      <c r="CH314" s="1062">
        <f>'No Recurrentes 24-26'!DR176</f>
        <v>0</v>
      </c>
      <c r="CI314" s="1068"/>
      <c r="CJ314" s="1062">
        <f>'No Recurrentes 24-26'!DS176</f>
        <v>0</v>
      </c>
      <c r="CK314" s="1062">
        <f>'No Recurrentes 24-26'!DT176</f>
        <v>0</v>
      </c>
      <c r="CL314" s="1064" t="str">
        <f>'No Recurrentes 24-26'!DU176</f>
        <v/>
      </c>
      <c r="CM314" s="1064" t="str">
        <f>'No Recurrentes 24-26'!DV176</f>
        <v>Soporte de Baterias, no tiene codigo en la cotizacion</v>
      </c>
      <c r="CN314" s="1060">
        <f>'No Recurrentes 24-26'!EI172</f>
        <v>1</v>
      </c>
      <c r="CO314" s="1060" t="str">
        <f>'No Recurrentes 24-26'!EJ172</f>
        <v/>
      </c>
      <c r="CP314" s="1060" t="str">
        <f>'No Recurrentes 24-26'!EK172</f>
        <v/>
      </c>
    </row>
    <row r="315">
      <c r="A315" s="451" t="str">
        <f>'No Recurrentes 24-26'!A177</f>
        <v>Repuestos Electromecánicos no recurrentes</v>
      </c>
      <c r="B315" s="451">
        <f>'No Recurrentes 24-26'!B177</f>
        <v>2</v>
      </c>
      <c r="C315" s="451" t="str">
        <f>'No Recurrentes 24-26'!C177</f>
        <v>Vehiculo</v>
      </c>
      <c r="D315" s="451" t="str">
        <f>'No Recurrentes 24-26'!D177</f>
        <v>Manto. gral. Cabina</v>
      </c>
      <c r="E315" s="451" t="str">
        <f>'No Recurrentes 24-26'!E177</f>
        <v>Insumo mecánico</v>
      </c>
      <c r="F315" s="451" t="str">
        <f>'No Recurrentes 24-26'!F177</f>
        <v>TDB</v>
      </c>
      <c r="G315" s="1025" t="str">
        <f>'No Recurrentes 24-26'!G177</f>
        <v>39800</v>
      </c>
      <c r="H315" s="1061" t="str">
        <f>'No Recurrentes 24-26'!H177</f>
        <v/>
      </c>
      <c r="I315" s="1061" t="str">
        <f>'No Recurrentes 24-26'!I177</f>
        <v>110049475</v>
      </c>
      <c r="J315" s="1061" t="str">
        <f>'No Recurrentes 24-26'!J177</f>
        <v>CRISTAL FRONTAL KF OMIV-10 LWI Nº ART.: 110049475GRAU133</v>
      </c>
      <c r="K315" s="451" t="str">
        <f>'No Recurrentes 24-26'!K177</f>
        <v>Pza</v>
      </c>
      <c r="L315" s="451" t="str">
        <f>'No Recurrentes 24-26'!BC177</f>
        <v/>
      </c>
      <c r="M315" s="451" t="str">
        <f>'No Recurrentes 24-26'!BD177</f>
        <v/>
      </c>
      <c r="N315" s="451" t="str">
        <f>'No Recurrentes 24-26'!BE177</f>
        <v/>
      </c>
      <c r="O315" s="451" t="str">
        <f>'No Recurrentes 24-26'!BF177</f>
        <v/>
      </c>
      <c r="P315" s="451" t="str">
        <f>'No Recurrentes 24-26'!BG177</f>
        <v/>
      </c>
      <c r="Q315" s="451" t="str">
        <f>'No Recurrentes 24-26'!BH177</f>
        <v/>
      </c>
      <c r="R315" s="451" t="str">
        <f>'No Recurrentes 24-26'!BI177</f>
        <v/>
      </c>
      <c r="S315" s="451" t="str">
        <f>'No Recurrentes 24-26'!BJ177</f>
        <v/>
      </c>
      <c r="T315" s="451" t="str">
        <f>'No Recurrentes 24-26'!BK177</f>
        <v/>
      </c>
      <c r="U315" s="451" t="str">
        <f>'No Recurrentes 24-26'!BL177</f>
        <v/>
      </c>
      <c r="V315" s="1068"/>
      <c r="W315" s="1062">
        <f>'No Recurrentes 24-26'!BM177</f>
        <v>0</v>
      </c>
      <c r="X315" s="1062" t="str">
        <f>'No Recurrentes 24-26'!BN177</f>
        <v/>
      </c>
      <c r="Y315" s="1062" t="str">
        <f>'No Recurrentes 24-26'!BO177</f>
        <v/>
      </c>
      <c r="Z315" s="1062" t="str">
        <f>'No Recurrentes 24-26'!BP177</f>
        <v/>
      </c>
      <c r="AA315" s="1062" t="str">
        <f>'No Recurrentes 24-26'!BQ177</f>
        <v/>
      </c>
      <c r="AB315" s="1062" t="str">
        <f>'No Recurrentes 24-26'!BR177</f>
        <v/>
      </c>
      <c r="AC315" s="1062" t="str">
        <f>'No Recurrentes 24-26'!BS177</f>
        <v/>
      </c>
      <c r="AD315" s="1062" t="str">
        <f>'No Recurrentes 24-26'!BT177</f>
        <v/>
      </c>
      <c r="AE315" s="1062" t="str">
        <f>'No Recurrentes 24-26'!BU177</f>
        <v/>
      </c>
      <c r="AF315" s="1062" t="str">
        <f>'No Recurrentes 24-26'!BV177</f>
        <v/>
      </c>
      <c r="AG315" s="1062" t="str">
        <f>'No Recurrentes 24-26'!BW177</f>
        <v/>
      </c>
      <c r="AH315" s="1068"/>
      <c r="AI315" s="1062">
        <f>'No Recurrentes 24-26'!BX177</f>
        <v>0</v>
      </c>
      <c r="AJ315" s="1062">
        <f>'No Recurrentes 24-26'!BY177</f>
        <v>0</v>
      </c>
      <c r="AK315" s="1062">
        <f>'No Recurrentes 24-26'!BZ177</f>
        <v>0</v>
      </c>
      <c r="AL315" s="1062">
        <f>'No Recurrentes 24-26'!CA177</f>
        <v>1</v>
      </c>
      <c r="AM315" s="1062">
        <f>'No Recurrentes 24-26'!CB177</f>
        <v>0</v>
      </c>
      <c r="AN315" s="1062">
        <f>'No Recurrentes 24-26'!CC177</f>
        <v>0</v>
      </c>
      <c r="AO315" s="1062">
        <f>'No Recurrentes 24-26'!CD177</f>
        <v>1</v>
      </c>
      <c r="AP315" s="1062">
        <f>'No Recurrentes 24-26'!CE177</f>
        <v>0</v>
      </c>
      <c r="AQ315" s="1062">
        <f>'No Recurrentes 24-26'!CF177</f>
        <v>0</v>
      </c>
      <c r="AR315" s="1062">
        <f>'No Recurrentes 24-26'!CG177</f>
        <v>0</v>
      </c>
      <c r="AS315" s="1062">
        <f>'No Recurrentes 24-26'!CH177</f>
        <v>0</v>
      </c>
      <c r="AT315" s="1068"/>
      <c r="AU315" s="1062">
        <f>'No Recurrentes 24-26'!CI177</f>
        <v>2</v>
      </c>
      <c r="AV315" s="1063">
        <f>'No Recurrentes 24-26'!CJ177</f>
        <v>2</v>
      </c>
      <c r="AW315" s="1068"/>
      <c r="AX315" s="1065">
        <f>'No Recurrentes 24-26'!CK177</f>
        <v>3223.6</v>
      </c>
      <c r="AY315" s="1062">
        <f>'No Recurrentes 24-26'!CL177</f>
        <v>22436.256</v>
      </c>
      <c r="AZ315" s="1068"/>
      <c r="BA315" s="1062">
        <f>'No Recurrentes 24-26'!CM177</f>
        <v>0</v>
      </c>
      <c r="BB315" s="1062">
        <f>'No Recurrentes 24-26'!CN177</f>
        <v>0</v>
      </c>
      <c r="BC315" s="1062">
        <f>'No Recurrentes 24-26'!CO177</f>
        <v>0</v>
      </c>
      <c r="BD315" s="1062">
        <f>'No Recurrentes 24-26'!CP177</f>
        <v>0</v>
      </c>
      <c r="BE315" s="1062">
        <f>'No Recurrentes 24-26'!CQ177</f>
        <v>0</v>
      </c>
      <c r="BF315" s="1062">
        <f>'No Recurrentes 24-26'!CR177</f>
        <v>0</v>
      </c>
      <c r="BG315" s="1062">
        <f>'No Recurrentes 24-26'!CS177</f>
        <v>0</v>
      </c>
      <c r="BH315" s="1062">
        <f>'No Recurrentes 24-26'!CT177</f>
        <v>0</v>
      </c>
      <c r="BI315" s="1062">
        <f>'No Recurrentes 24-26'!CU177</f>
        <v>0</v>
      </c>
      <c r="BJ315" s="1062">
        <f>'No Recurrentes 24-26'!CV177</f>
        <v>0</v>
      </c>
      <c r="BK315" s="1068"/>
      <c r="BL315" s="1062">
        <f>'No Recurrentes 24-26'!CW177</f>
        <v>0</v>
      </c>
      <c r="BM315" s="1062">
        <f>'No Recurrentes 24-26'!CX177</f>
        <v>0</v>
      </c>
      <c r="BN315" s="1062">
        <f>'No Recurrentes 24-26'!CY177</f>
        <v>0</v>
      </c>
      <c r="BO315" s="1062">
        <f>'No Recurrentes 24-26'!CZ177</f>
        <v>0</v>
      </c>
      <c r="BP315" s="1062">
        <f>'No Recurrentes 24-26'!DA177</f>
        <v>0</v>
      </c>
      <c r="BQ315" s="1062">
        <f>'No Recurrentes 24-26'!DB177</f>
        <v>0</v>
      </c>
      <c r="BR315" s="1062">
        <f>'No Recurrentes 24-26'!DC177</f>
        <v>0</v>
      </c>
      <c r="BS315" s="1062">
        <f>'No Recurrentes 24-26'!DD177</f>
        <v>0</v>
      </c>
      <c r="BT315" s="1062">
        <f>'No Recurrentes 24-26'!DE177</f>
        <v>0</v>
      </c>
      <c r="BU315" s="1062">
        <f>'No Recurrentes 24-26'!DF177</f>
        <v>0</v>
      </c>
      <c r="BV315" s="1062">
        <f>'No Recurrentes 24-26'!DG177</f>
        <v>0</v>
      </c>
      <c r="BW315" s="1068"/>
      <c r="BX315" s="1062">
        <f>'No Recurrentes 24-26'!DH177</f>
        <v>0</v>
      </c>
      <c r="BY315" s="1062">
        <f>'No Recurrentes 24-26'!DI177</f>
        <v>0</v>
      </c>
      <c r="BZ315" s="1062">
        <f>'No Recurrentes 24-26'!DJ177</f>
        <v>0</v>
      </c>
      <c r="CA315" s="1062">
        <f>'No Recurrentes 24-26'!DK177</f>
        <v>22436.256</v>
      </c>
      <c r="CB315" s="1062">
        <f>'No Recurrentes 24-26'!DL177</f>
        <v>0</v>
      </c>
      <c r="CC315" s="1062">
        <f>'No Recurrentes 24-26'!DM177</f>
        <v>0</v>
      </c>
      <c r="CD315" s="1062">
        <f>'No Recurrentes 24-26'!DN177</f>
        <v>22436.256</v>
      </c>
      <c r="CE315" s="1062">
        <f>'No Recurrentes 24-26'!DO177</f>
        <v>0</v>
      </c>
      <c r="CF315" s="1062">
        <f>'No Recurrentes 24-26'!DP177</f>
        <v>0</v>
      </c>
      <c r="CG315" s="1062">
        <f>'No Recurrentes 24-26'!DQ177</f>
        <v>0</v>
      </c>
      <c r="CH315" s="1062">
        <f>'No Recurrentes 24-26'!DR177</f>
        <v>0</v>
      </c>
      <c r="CI315" s="1068"/>
      <c r="CJ315" s="1062">
        <f>'No Recurrentes 24-26'!DS177</f>
        <v>44872.512</v>
      </c>
      <c r="CK315" s="1062">
        <f>'No Recurrentes 24-26'!DT177</f>
        <v>44872.512</v>
      </c>
      <c r="CL315" s="1064" t="str">
        <f>'No Recurrentes 24-26'!DU177</f>
        <v/>
      </c>
      <c r="CM315" s="1064" t="str">
        <f>'No Recurrentes 24-26'!DV177</f>
        <v/>
      </c>
      <c r="CN315" s="1065">
        <f>'No Recurrentes 24-26'!EI173</f>
        <v>2757.54</v>
      </c>
      <c r="CO315" s="1065">
        <f>'No Recurrentes 24-26'!EJ173</f>
        <v>2343.91</v>
      </c>
      <c r="CP315" s="1060" t="str">
        <f>'No Recurrentes 24-26'!EK173</f>
        <v/>
      </c>
    </row>
    <row r="316">
      <c r="A316" s="451" t="str">
        <f>'No Recurrentes 24-26'!A178</f>
        <v>Repuestos Electromecánicos no recurrentes</v>
      </c>
      <c r="B316" s="451">
        <f>'No Recurrentes 24-26'!B178</f>
        <v>2</v>
      </c>
      <c r="C316" s="451" t="str">
        <f>'No Recurrentes 24-26'!C178</f>
        <v>Vehiculo</v>
      </c>
      <c r="D316" s="451" t="str">
        <f>'No Recurrentes 24-26'!D178</f>
        <v>Manto. gral. Cabina</v>
      </c>
      <c r="E316" s="451" t="str">
        <f>'No Recurrentes 24-26'!E178</f>
        <v>Insumo mecánico</v>
      </c>
      <c r="F316" s="451" t="str">
        <f>'No Recurrentes 24-26'!F178</f>
        <v>TDB</v>
      </c>
      <c r="G316" s="1025" t="str">
        <f>'No Recurrentes 24-26'!G178</f>
        <v>39800</v>
      </c>
      <c r="H316" s="1061" t="str">
        <f>'No Recurrentes 24-26'!H178</f>
        <v/>
      </c>
      <c r="I316" s="1061" t="str">
        <f>'No Recurrentes 24-26'!I178</f>
        <v>11-000505</v>
      </c>
      <c r="J316" s="1061" t="str">
        <f>'No Recurrentes 24-26'!J178</f>
        <v>HORQUILLA DE PUERTA DERECHA + PUERTA IZQUIERDA, OMIV
147X103X48MM</v>
      </c>
      <c r="K316" s="451" t="str">
        <f>'No Recurrentes 24-26'!K178</f>
        <v>Pza</v>
      </c>
      <c r="L316" s="451" t="str">
        <f>'No Recurrentes 24-26'!BC178</f>
        <v/>
      </c>
      <c r="M316" s="451" t="str">
        <f>'No Recurrentes 24-26'!BD178</f>
        <v/>
      </c>
      <c r="N316" s="451" t="str">
        <f>'No Recurrentes 24-26'!BE178</f>
        <v/>
      </c>
      <c r="O316" s="451" t="str">
        <f>'No Recurrentes 24-26'!BF178</f>
        <v/>
      </c>
      <c r="P316" s="451" t="str">
        <f>'No Recurrentes 24-26'!BG178</f>
        <v/>
      </c>
      <c r="Q316" s="451" t="str">
        <f>'No Recurrentes 24-26'!BH178</f>
        <v/>
      </c>
      <c r="R316" s="451" t="str">
        <f>'No Recurrentes 24-26'!BI178</f>
        <v/>
      </c>
      <c r="S316" s="451" t="str">
        <f>'No Recurrentes 24-26'!BJ178</f>
        <v/>
      </c>
      <c r="T316" s="451" t="str">
        <f>'No Recurrentes 24-26'!BK178</f>
        <v/>
      </c>
      <c r="U316" s="451" t="str">
        <f>'No Recurrentes 24-26'!BL178</f>
        <v/>
      </c>
      <c r="V316" s="1068"/>
      <c r="W316" s="1062">
        <f>'No Recurrentes 24-26'!BM178</f>
        <v>0</v>
      </c>
      <c r="X316" s="1062" t="str">
        <f>'No Recurrentes 24-26'!BN178</f>
        <v/>
      </c>
      <c r="Y316" s="1062" t="str">
        <f>'No Recurrentes 24-26'!BO178</f>
        <v/>
      </c>
      <c r="Z316" s="1062" t="str">
        <f>'No Recurrentes 24-26'!BP178</f>
        <v/>
      </c>
      <c r="AA316" s="1062">
        <f>'No Recurrentes 24-26'!BQ178</f>
        <v>1</v>
      </c>
      <c r="AB316" s="1062">
        <f>'No Recurrentes 24-26'!BR178</f>
        <v>1</v>
      </c>
      <c r="AC316" s="1062">
        <f>'No Recurrentes 24-26'!BS178</f>
        <v>1</v>
      </c>
      <c r="AD316" s="1062" t="str">
        <f>'No Recurrentes 24-26'!BT178</f>
        <v/>
      </c>
      <c r="AE316" s="1062" t="str">
        <f>'No Recurrentes 24-26'!BU178</f>
        <v/>
      </c>
      <c r="AF316" s="1062" t="str">
        <f>'No Recurrentes 24-26'!BV178</f>
        <v/>
      </c>
      <c r="AG316" s="1062" t="str">
        <f>'No Recurrentes 24-26'!BW178</f>
        <v/>
      </c>
      <c r="AH316" s="1068"/>
      <c r="AI316" s="1062">
        <f>'No Recurrentes 24-26'!BX178</f>
        <v>3</v>
      </c>
      <c r="AJ316" s="1062">
        <f>'No Recurrentes 24-26'!BY178</f>
        <v>0</v>
      </c>
      <c r="AK316" s="1062">
        <f>'No Recurrentes 24-26'!BZ178</f>
        <v>0</v>
      </c>
      <c r="AL316" s="1062">
        <f>'No Recurrentes 24-26'!CA178</f>
        <v>0</v>
      </c>
      <c r="AM316" s="1062">
        <f>'No Recurrentes 24-26'!CB178</f>
        <v>0</v>
      </c>
      <c r="AN316" s="1062">
        <f>'No Recurrentes 24-26'!CC178</f>
        <v>0</v>
      </c>
      <c r="AO316" s="1062">
        <f>'No Recurrentes 24-26'!CD178</f>
        <v>0</v>
      </c>
      <c r="AP316" s="1062">
        <f>'No Recurrentes 24-26'!CE178</f>
        <v>0</v>
      </c>
      <c r="AQ316" s="1062">
        <f>'No Recurrentes 24-26'!CF178</f>
        <v>0</v>
      </c>
      <c r="AR316" s="1062">
        <f>'No Recurrentes 24-26'!CG178</f>
        <v>0</v>
      </c>
      <c r="AS316" s="1062">
        <f>'No Recurrentes 24-26'!CH178</f>
        <v>0</v>
      </c>
      <c r="AT316" s="1068"/>
      <c r="AU316" s="1062">
        <f>'No Recurrentes 24-26'!CI178</f>
        <v>0</v>
      </c>
      <c r="AV316" s="1063">
        <f>'No Recurrentes 24-26'!CJ178</f>
        <v>3</v>
      </c>
      <c r="AW316" s="1068"/>
      <c r="AX316" s="1065">
        <f>'No Recurrentes 24-26'!CK178</f>
        <v>839.54</v>
      </c>
      <c r="AY316" s="1062">
        <f>'No Recurrentes 24-26'!CL178</f>
        <v>5843.1984</v>
      </c>
      <c r="AZ316" s="1068"/>
      <c r="BA316" s="1062">
        <f>'No Recurrentes 24-26'!CM178</f>
        <v>0</v>
      </c>
      <c r="BB316" s="1062">
        <f>'No Recurrentes 24-26'!CN178</f>
        <v>0</v>
      </c>
      <c r="BC316" s="1062">
        <f>'No Recurrentes 24-26'!CO178</f>
        <v>0</v>
      </c>
      <c r="BD316" s="1062">
        <f>'No Recurrentes 24-26'!CP178</f>
        <v>0</v>
      </c>
      <c r="BE316" s="1062">
        <f>'No Recurrentes 24-26'!CQ178</f>
        <v>0</v>
      </c>
      <c r="BF316" s="1062">
        <f>'No Recurrentes 24-26'!CR178</f>
        <v>0</v>
      </c>
      <c r="BG316" s="1062">
        <f>'No Recurrentes 24-26'!CS178</f>
        <v>0</v>
      </c>
      <c r="BH316" s="1062">
        <f>'No Recurrentes 24-26'!CT178</f>
        <v>0</v>
      </c>
      <c r="BI316" s="1062">
        <f>'No Recurrentes 24-26'!CU178</f>
        <v>0</v>
      </c>
      <c r="BJ316" s="1062">
        <f>'No Recurrentes 24-26'!CV178</f>
        <v>0</v>
      </c>
      <c r="BK316" s="1068"/>
      <c r="BL316" s="1062">
        <f>'No Recurrentes 24-26'!CW178</f>
        <v>0</v>
      </c>
      <c r="BM316" s="1062">
        <f>'No Recurrentes 24-26'!CX178</f>
        <v>0</v>
      </c>
      <c r="BN316" s="1062">
        <f>'No Recurrentes 24-26'!CY178</f>
        <v>0</v>
      </c>
      <c r="BO316" s="1062">
        <f>'No Recurrentes 24-26'!CZ178</f>
        <v>0</v>
      </c>
      <c r="BP316" s="1062">
        <f>'No Recurrentes 24-26'!DA178</f>
        <v>5843.1984</v>
      </c>
      <c r="BQ316" s="1062">
        <f>'No Recurrentes 24-26'!DB178</f>
        <v>5843.1984</v>
      </c>
      <c r="BR316" s="1062">
        <f>'No Recurrentes 24-26'!DC178</f>
        <v>5843.1984</v>
      </c>
      <c r="BS316" s="1062">
        <f>'No Recurrentes 24-26'!DD178</f>
        <v>0</v>
      </c>
      <c r="BT316" s="1062">
        <f>'No Recurrentes 24-26'!DE178</f>
        <v>0</v>
      </c>
      <c r="BU316" s="1062">
        <f>'No Recurrentes 24-26'!DF178</f>
        <v>0</v>
      </c>
      <c r="BV316" s="1062">
        <f>'No Recurrentes 24-26'!DG178</f>
        <v>0</v>
      </c>
      <c r="BW316" s="1068"/>
      <c r="BX316" s="1062">
        <f>'No Recurrentes 24-26'!DH178</f>
        <v>17529.5952</v>
      </c>
      <c r="BY316" s="1062">
        <f>'No Recurrentes 24-26'!DI178</f>
        <v>0</v>
      </c>
      <c r="BZ316" s="1062">
        <f>'No Recurrentes 24-26'!DJ178</f>
        <v>0</v>
      </c>
      <c r="CA316" s="1062">
        <f>'No Recurrentes 24-26'!DK178</f>
        <v>0</v>
      </c>
      <c r="CB316" s="1062">
        <f>'No Recurrentes 24-26'!DL178</f>
        <v>0</v>
      </c>
      <c r="CC316" s="1062">
        <f>'No Recurrentes 24-26'!DM178</f>
        <v>0</v>
      </c>
      <c r="CD316" s="1062">
        <f>'No Recurrentes 24-26'!DN178</f>
        <v>0</v>
      </c>
      <c r="CE316" s="1062">
        <f>'No Recurrentes 24-26'!DO178</f>
        <v>0</v>
      </c>
      <c r="CF316" s="1062">
        <f>'No Recurrentes 24-26'!DP178</f>
        <v>0</v>
      </c>
      <c r="CG316" s="1062">
        <f>'No Recurrentes 24-26'!DQ178</f>
        <v>0</v>
      </c>
      <c r="CH316" s="1062">
        <f>'No Recurrentes 24-26'!DR178</f>
        <v>0</v>
      </c>
      <c r="CI316" s="1068"/>
      <c r="CJ316" s="1062">
        <f>'No Recurrentes 24-26'!DS178</f>
        <v>0</v>
      </c>
      <c r="CK316" s="1062">
        <f>'No Recurrentes 24-26'!DT178</f>
        <v>17529.5952</v>
      </c>
      <c r="CL316" s="1064" t="str">
        <f>'No Recurrentes 24-26'!DU178</f>
        <v/>
      </c>
      <c r="CM316" s="1064" t="str">
        <f>'No Recurrentes 24-26'!DV178</f>
        <v/>
      </c>
      <c r="CN316" s="1060">
        <f>'No Recurrentes 24-26'!EI174</f>
        <v>1</v>
      </c>
      <c r="CO316" s="1060" t="str">
        <f>'No Recurrentes 24-26'!EJ174</f>
        <v/>
      </c>
      <c r="CP316" s="1060" t="str">
        <f>'No Recurrentes 24-26'!EK174</f>
        <v/>
      </c>
    </row>
    <row r="317">
      <c r="A317" s="451" t="str">
        <f>'No Recurrentes 24-26'!A179</f>
        <v>Repuestos Electromecánicos no recurrentes</v>
      </c>
      <c r="B317" s="451" t="str">
        <f>'No Recurrentes 24-26'!B179</f>
        <v/>
      </c>
      <c r="C317" s="451" t="str">
        <f>'No Recurrentes 24-26'!C179</f>
        <v>Vehiculo</v>
      </c>
      <c r="D317" s="451" t="str">
        <f>'No Recurrentes 24-26'!D179</f>
        <v>Manto. gral. Cabina</v>
      </c>
      <c r="E317" s="451" t="str">
        <f>'No Recurrentes 24-26'!E179</f>
        <v>Insumo mecánico</v>
      </c>
      <c r="F317" s="451" t="str">
        <f>'No Recurrentes 24-26'!F179</f>
        <v>TDB</v>
      </c>
      <c r="G317" s="1061" t="str">
        <f>'No Recurrentes 24-26'!G179</f>
        <v>39800</v>
      </c>
      <c r="H317" s="1061" t="str">
        <f>'No Recurrentes 24-26'!H179</f>
        <v/>
      </c>
      <c r="I317" s="1061" t="str">
        <f>'No Recurrentes 24-26'!I179</f>
        <v>90-035037</v>
      </c>
      <c r="J317" s="1061" t="str">
        <f>'No Recurrentes 24-26'!J179</f>
        <v>CRISTAL DE RECAMBIO PARA VENTANA AVATIBLE</v>
      </c>
      <c r="K317" s="451" t="str">
        <f>'No Recurrentes 24-26'!K179</f>
        <v>Pza</v>
      </c>
      <c r="L317" s="451" t="str">
        <f>'No Recurrentes 24-26'!BC179</f>
        <v/>
      </c>
      <c r="M317" s="451" t="str">
        <f>'No Recurrentes 24-26'!BD179</f>
        <v/>
      </c>
      <c r="N317" s="451" t="str">
        <f>'No Recurrentes 24-26'!BE179</f>
        <v/>
      </c>
      <c r="O317" s="451">
        <f>'No Recurrentes 24-26'!BF179</f>
        <v>0</v>
      </c>
      <c r="P317" s="451" t="str">
        <f>'No Recurrentes 24-26'!BG179</f>
        <v/>
      </c>
      <c r="Q317" s="451" t="str">
        <f>'No Recurrentes 24-26'!BH179</f>
        <v/>
      </c>
      <c r="R317" s="451" t="str">
        <f>'No Recurrentes 24-26'!BI179</f>
        <v/>
      </c>
      <c r="S317" s="451" t="str">
        <f>'No Recurrentes 24-26'!BJ179</f>
        <v/>
      </c>
      <c r="T317" s="451" t="str">
        <f>'No Recurrentes 24-26'!BK179</f>
        <v/>
      </c>
      <c r="U317" s="451" t="str">
        <f>'No Recurrentes 24-26'!BL179</f>
        <v/>
      </c>
      <c r="V317" s="1068"/>
      <c r="W317" s="1062">
        <f>'No Recurrentes 24-26'!BM179</f>
        <v>0</v>
      </c>
      <c r="X317" s="1062" t="str">
        <f>'No Recurrentes 24-26'!BN179</f>
        <v/>
      </c>
      <c r="Y317" s="1062" t="str">
        <f>'No Recurrentes 24-26'!BO179</f>
        <v/>
      </c>
      <c r="Z317" s="1062" t="str">
        <f>'No Recurrentes 24-26'!BP179</f>
        <v/>
      </c>
      <c r="AA317" s="1062" t="str">
        <f>'No Recurrentes 24-26'!BQ179</f>
        <v/>
      </c>
      <c r="AB317" s="1062" t="str">
        <f>'No Recurrentes 24-26'!BR179</f>
        <v/>
      </c>
      <c r="AC317" s="1062" t="str">
        <f>'No Recurrentes 24-26'!BS179</f>
        <v/>
      </c>
      <c r="AD317" s="1062" t="str">
        <f>'No Recurrentes 24-26'!BT179</f>
        <v/>
      </c>
      <c r="AE317" s="1062" t="str">
        <f>'No Recurrentes 24-26'!BU179</f>
        <v/>
      </c>
      <c r="AF317" s="1062" t="str">
        <f>'No Recurrentes 24-26'!BV179</f>
        <v/>
      </c>
      <c r="AG317" s="1062" t="str">
        <f>'No Recurrentes 24-26'!BW179</f>
        <v/>
      </c>
      <c r="AH317" s="1068"/>
      <c r="AI317" s="1062">
        <f>'No Recurrentes 24-26'!BX179</f>
        <v>0</v>
      </c>
      <c r="AJ317" s="1062">
        <f>'No Recurrentes 24-26'!BY179</f>
        <v>0</v>
      </c>
      <c r="AK317" s="1062">
        <f>'No Recurrentes 24-26'!BZ179</f>
        <v>0</v>
      </c>
      <c r="AL317" s="1062">
        <f>'No Recurrentes 24-26'!CA179</f>
        <v>0</v>
      </c>
      <c r="AM317" s="1062">
        <f>'No Recurrentes 24-26'!CB179</f>
        <v>0</v>
      </c>
      <c r="AN317" s="1062">
        <f>'No Recurrentes 24-26'!CC179</f>
        <v>0</v>
      </c>
      <c r="AO317" s="1062">
        <f>'No Recurrentes 24-26'!CD179</f>
        <v>0</v>
      </c>
      <c r="AP317" s="1062">
        <f>'No Recurrentes 24-26'!CE179</f>
        <v>0</v>
      </c>
      <c r="AQ317" s="1062">
        <f>'No Recurrentes 24-26'!CF179</f>
        <v>0</v>
      </c>
      <c r="AR317" s="1062">
        <f>'No Recurrentes 24-26'!CG179</f>
        <v>0</v>
      </c>
      <c r="AS317" s="1062">
        <f>'No Recurrentes 24-26'!CH179</f>
        <v>0</v>
      </c>
      <c r="AT317" s="1068"/>
      <c r="AU317" s="1062">
        <f>'No Recurrentes 24-26'!CI179</f>
        <v>0</v>
      </c>
      <c r="AV317" s="1063">
        <f>'No Recurrentes 24-26'!CJ179</f>
        <v>0</v>
      </c>
      <c r="AW317" s="1068"/>
      <c r="AX317" s="1062" t="str">
        <f>'No Recurrentes 24-26'!CK179</f>
        <v/>
      </c>
      <c r="AY317" s="1062">
        <f>'No Recurrentes 24-26'!CL179</f>
        <v>7958.1369</v>
      </c>
      <c r="AZ317" s="1068"/>
      <c r="BA317" s="1062">
        <f>'No Recurrentes 24-26'!CM179</f>
        <v>0</v>
      </c>
      <c r="BB317" s="1062">
        <f>'No Recurrentes 24-26'!CN179</f>
        <v>0</v>
      </c>
      <c r="BC317" s="1062">
        <f>'No Recurrentes 24-26'!CO179</f>
        <v>0</v>
      </c>
      <c r="BD317" s="1062">
        <f>'No Recurrentes 24-26'!CP179</f>
        <v>0</v>
      </c>
      <c r="BE317" s="1062">
        <f>'No Recurrentes 24-26'!CQ179</f>
        <v>0</v>
      </c>
      <c r="BF317" s="1062">
        <f>'No Recurrentes 24-26'!CR179</f>
        <v>0</v>
      </c>
      <c r="BG317" s="1062">
        <f>'No Recurrentes 24-26'!CS179</f>
        <v>0</v>
      </c>
      <c r="BH317" s="1062">
        <f>'No Recurrentes 24-26'!CT179</f>
        <v>0</v>
      </c>
      <c r="BI317" s="1062">
        <f>'No Recurrentes 24-26'!CU179</f>
        <v>0</v>
      </c>
      <c r="BJ317" s="1062">
        <f>'No Recurrentes 24-26'!CV179</f>
        <v>0</v>
      </c>
      <c r="BK317" s="1068"/>
      <c r="BL317" s="1062">
        <f>'No Recurrentes 24-26'!CW179</f>
        <v>0</v>
      </c>
      <c r="BM317" s="1062">
        <f>'No Recurrentes 24-26'!CX179</f>
        <v>0</v>
      </c>
      <c r="BN317" s="1062">
        <f>'No Recurrentes 24-26'!CY179</f>
        <v>0</v>
      </c>
      <c r="BO317" s="1062">
        <f>'No Recurrentes 24-26'!CZ179</f>
        <v>0</v>
      </c>
      <c r="BP317" s="1062">
        <f>'No Recurrentes 24-26'!DA179</f>
        <v>0</v>
      </c>
      <c r="BQ317" s="1062">
        <f>'No Recurrentes 24-26'!DB179</f>
        <v>0</v>
      </c>
      <c r="BR317" s="1062">
        <f>'No Recurrentes 24-26'!DC179</f>
        <v>0</v>
      </c>
      <c r="BS317" s="1062">
        <f>'No Recurrentes 24-26'!DD179</f>
        <v>0</v>
      </c>
      <c r="BT317" s="1062">
        <f>'No Recurrentes 24-26'!DE179</f>
        <v>0</v>
      </c>
      <c r="BU317" s="1062">
        <f>'No Recurrentes 24-26'!DF179</f>
        <v>0</v>
      </c>
      <c r="BV317" s="1062">
        <f>'No Recurrentes 24-26'!DG179</f>
        <v>0</v>
      </c>
      <c r="BW317" s="1068"/>
      <c r="BX317" s="1062">
        <f>'No Recurrentes 24-26'!DH179</f>
        <v>0</v>
      </c>
      <c r="BY317" s="1062">
        <f>'No Recurrentes 24-26'!DI179</f>
        <v>0</v>
      </c>
      <c r="BZ317" s="1062">
        <f>'No Recurrentes 24-26'!DJ179</f>
        <v>0</v>
      </c>
      <c r="CA317" s="1062">
        <f>'No Recurrentes 24-26'!DK179</f>
        <v>0</v>
      </c>
      <c r="CB317" s="1062">
        <f>'No Recurrentes 24-26'!DL179</f>
        <v>0</v>
      </c>
      <c r="CC317" s="1062">
        <f>'No Recurrentes 24-26'!DM179</f>
        <v>0</v>
      </c>
      <c r="CD317" s="1062">
        <f>'No Recurrentes 24-26'!DN179</f>
        <v>0</v>
      </c>
      <c r="CE317" s="1062">
        <f>'No Recurrentes 24-26'!DO179</f>
        <v>0</v>
      </c>
      <c r="CF317" s="1062">
        <f>'No Recurrentes 24-26'!DP179</f>
        <v>0</v>
      </c>
      <c r="CG317" s="1062">
        <f>'No Recurrentes 24-26'!DQ179</f>
        <v>0</v>
      </c>
      <c r="CH317" s="1062">
        <f>'No Recurrentes 24-26'!DR179</f>
        <v>0</v>
      </c>
      <c r="CI317" s="1068"/>
      <c r="CJ317" s="1062">
        <f>'No Recurrentes 24-26'!DS179</f>
        <v>0</v>
      </c>
      <c r="CK317" s="1062">
        <f>'No Recurrentes 24-26'!DT179</f>
        <v>0</v>
      </c>
      <c r="CL317" s="1064" t="str">
        <f>'No Recurrentes 24-26'!DU179</f>
        <v/>
      </c>
      <c r="CM317" s="1064" t="str">
        <f>'No Recurrentes 24-26'!DV179</f>
        <v/>
      </c>
      <c r="CN317" s="1060">
        <f>'No Recurrentes 24-26'!EI175</f>
        <v>1</v>
      </c>
      <c r="CO317" s="1060" t="str">
        <f>'No Recurrentes 24-26'!EJ175</f>
        <v/>
      </c>
      <c r="CP317" s="1060" t="str">
        <f>'No Recurrentes 24-26'!EK175</f>
        <v/>
      </c>
    </row>
    <row r="318">
      <c r="A318" s="451" t="str">
        <f>'No Recurrentes 24-26'!A180</f>
        <v>Repuestos Electromecánicos no recurrentes</v>
      </c>
      <c r="B318" s="451" t="str">
        <f>'No Recurrentes 24-26'!B180</f>
        <v/>
      </c>
      <c r="C318" s="451" t="str">
        <f>'No Recurrentes 24-26'!C180</f>
        <v>Vehiculo</v>
      </c>
      <c r="D318" s="451" t="str">
        <f>'No Recurrentes 24-26'!D180</f>
        <v>Manto. gral. Cabina</v>
      </c>
      <c r="E318" s="451" t="str">
        <f>'No Recurrentes 24-26'!E180</f>
        <v>Insumo mecánico</v>
      </c>
      <c r="F318" s="451" t="str">
        <f>'No Recurrentes 24-26'!F180</f>
        <v>TDB</v>
      </c>
      <c r="G318" s="1061" t="str">
        <f>'No Recurrentes 24-26'!G180</f>
        <v>39800</v>
      </c>
      <c r="H318" s="1061" t="str">
        <f>'No Recurrentes 24-26'!H180</f>
        <v/>
      </c>
      <c r="I318" s="1061">
        <f>'No Recurrentes 24-26'!I180</f>
        <v>11416549</v>
      </c>
      <c r="J318" s="1061" t="str">
        <f>'No Recurrentes 24-26'!J180</f>
        <v>ABRAZADERA DEL CABLE MEFLEX</v>
      </c>
      <c r="K318" s="451" t="str">
        <f>'No Recurrentes 24-26'!K180</f>
        <v>Pza</v>
      </c>
      <c r="L318" s="451" t="str">
        <f>'No Recurrentes 24-26'!BC180</f>
        <v/>
      </c>
      <c r="M318" s="451" t="str">
        <f>'No Recurrentes 24-26'!BD180</f>
        <v/>
      </c>
      <c r="N318" s="451" t="str">
        <f>'No Recurrentes 24-26'!BE180</f>
        <v/>
      </c>
      <c r="O318" s="451" t="str">
        <f>'No Recurrentes 24-26'!BF180</f>
        <v/>
      </c>
      <c r="P318" s="451">
        <f>'No Recurrentes 24-26'!BG180</f>
        <v>0</v>
      </c>
      <c r="Q318" s="451" t="str">
        <f>'No Recurrentes 24-26'!BH180</f>
        <v/>
      </c>
      <c r="R318" s="451" t="str">
        <f>'No Recurrentes 24-26'!BI180</f>
        <v/>
      </c>
      <c r="S318" s="451" t="str">
        <f>'No Recurrentes 24-26'!BJ180</f>
        <v/>
      </c>
      <c r="T318" s="451" t="str">
        <f>'No Recurrentes 24-26'!BK180</f>
        <v/>
      </c>
      <c r="U318" s="451" t="str">
        <f>'No Recurrentes 24-26'!BL180</f>
        <v/>
      </c>
      <c r="V318" s="1068"/>
      <c r="W318" s="1062">
        <f>'No Recurrentes 24-26'!BM180</f>
        <v>0</v>
      </c>
      <c r="X318" s="1062" t="str">
        <f>'No Recurrentes 24-26'!BN180</f>
        <v/>
      </c>
      <c r="Y318" s="1062" t="str">
        <f>'No Recurrentes 24-26'!BO180</f>
        <v/>
      </c>
      <c r="Z318" s="1062" t="str">
        <f>'No Recurrentes 24-26'!BP180</f>
        <v/>
      </c>
      <c r="AA318" s="1062" t="str">
        <f>'No Recurrentes 24-26'!BQ180</f>
        <v/>
      </c>
      <c r="AB318" s="1062" t="str">
        <f>'No Recurrentes 24-26'!BR180</f>
        <v/>
      </c>
      <c r="AC318" s="1062" t="str">
        <f>'No Recurrentes 24-26'!BS180</f>
        <v/>
      </c>
      <c r="AD318" s="1062" t="str">
        <f>'No Recurrentes 24-26'!BT180</f>
        <v/>
      </c>
      <c r="AE318" s="1062" t="str">
        <f>'No Recurrentes 24-26'!BU180</f>
        <v/>
      </c>
      <c r="AF318" s="1062" t="str">
        <f>'No Recurrentes 24-26'!BV180</f>
        <v/>
      </c>
      <c r="AG318" s="1062" t="str">
        <f>'No Recurrentes 24-26'!BW180</f>
        <v/>
      </c>
      <c r="AH318" s="1068"/>
      <c r="AI318" s="1062">
        <f>'No Recurrentes 24-26'!BX180</f>
        <v>0</v>
      </c>
      <c r="AJ318" s="1062">
        <f>'No Recurrentes 24-26'!BY180</f>
        <v>0</v>
      </c>
      <c r="AK318" s="1062">
        <f>'No Recurrentes 24-26'!BZ180</f>
        <v>0</v>
      </c>
      <c r="AL318" s="1062">
        <f>'No Recurrentes 24-26'!CA180</f>
        <v>0</v>
      </c>
      <c r="AM318" s="1062">
        <f>'No Recurrentes 24-26'!CB180</f>
        <v>0</v>
      </c>
      <c r="AN318" s="1062">
        <f>'No Recurrentes 24-26'!CC180</f>
        <v>0</v>
      </c>
      <c r="AO318" s="1062">
        <f>'No Recurrentes 24-26'!CD180</f>
        <v>0</v>
      </c>
      <c r="AP318" s="1062">
        <f>'No Recurrentes 24-26'!CE180</f>
        <v>0</v>
      </c>
      <c r="AQ318" s="1062">
        <f>'No Recurrentes 24-26'!CF180</f>
        <v>0</v>
      </c>
      <c r="AR318" s="1062">
        <f>'No Recurrentes 24-26'!CG180</f>
        <v>0</v>
      </c>
      <c r="AS318" s="1062">
        <f>'No Recurrentes 24-26'!CH180</f>
        <v>0</v>
      </c>
      <c r="AT318" s="1068"/>
      <c r="AU318" s="1062">
        <f>'No Recurrentes 24-26'!CI180</f>
        <v>0</v>
      </c>
      <c r="AV318" s="1063">
        <f>'No Recurrentes 24-26'!CJ180</f>
        <v>0</v>
      </c>
      <c r="AW318" s="1068"/>
      <c r="AX318" s="1062" t="str">
        <f>'No Recurrentes 24-26'!CK180</f>
        <v/>
      </c>
      <c r="AY318" s="1062">
        <f>'No Recurrentes 24-26'!CL180</f>
        <v>1162.2475</v>
      </c>
      <c r="AZ318" s="1068"/>
      <c r="BA318" s="1062">
        <f>'No Recurrentes 24-26'!CM180</f>
        <v>0</v>
      </c>
      <c r="BB318" s="1062">
        <f>'No Recurrentes 24-26'!CN180</f>
        <v>0</v>
      </c>
      <c r="BC318" s="1062">
        <f>'No Recurrentes 24-26'!CO180</f>
        <v>0</v>
      </c>
      <c r="BD318" s="1062">
        <f>'No Recurrentes 24-26'!CP180</f>
        <v>0</v>
      </c>
      <c r="BE318" s="1062">
        <f>'No Recurrentes 24-26'!CQ180</f>
        <v>0</v>
      </c>
      <c r="BF318" s="1062">
        <f>'No Recurrentes 24-26'!CR180</f>
        <v>0</v>
      </c>
      <c r="BG318" s="1062">
        <f>'No Recurrentes 24-26'!CS180</f>
        <v>0</v>
      </c>
      <c r="BH318" s="1062">
        <f>'No Recurrentes 24-26'!CT180</f>
        <v>0</v>
      </c>
      <c r="BI318" s="1062">
        <f>'No Recurrentes 24-26'!CU180</f>
        <v>0</v>
      </c>
      <c r="BJ318" s="1062">
        <f>'No Recurrentes 24-26'!CV180</f>
        <v>0</v>
      </c>
      <c r="BK318" s="1068"/>
      <c r="BL318" s="1062">
        <f>'No Recurrentes 24-26'!CW180</f>
        <v>0</v>
      </c>
      <c r="BM318" s="1062">
        <f>'No Recurrentes 24-26'!CX180</f>
        <v>0</v>
      </c>
      <c r="BN318" s="1062">
        <f>'No Recurrentes 24-26'!CY180</f>
        <v>0</v>
      </c>
      <c r="BO318" s="1062">
        <f>'No Recurrentes 24-26'!CZ180</f>
        <v>0</v>
      </c>
      <c r="BP318" s="1062">
        <f>'No Recurrentes 24-26'!DA180</f>
        <v>0</v>
      </c>
      <c r="BQ318" s="1062">
        <f>'No Recurrentes 24-26'!DB180</f>
        <v>0</v>
      </c>
      <c r="BR318" s="1062">
        <f>'No Recurrentes 24-26'!DC180</f>
        <v>0</v>
      </c>
      <c r="BS318" s="1062">
        <f>'No Recurrentes 24-26'!DD180</f>
        <v>0</v>
      </c>
      <c r="BT318" s="1062">
        <f>'No Recurrentes 24-26'!DE180</f>
        <v>0</v>
      </c>
      <c r="BU318" s="1062">
        <f>'No Recurrentes 24-26'!DF180</f>
        <v>0</v>
      </c>
      <c r="BV318" s="1062">
        <f>'No Recurrentes 24-26'!DG180</f>
        <v>0</v>
      </c>
      <c r="BW318" s="1068"/>
      <c r="BX318" s="1062">
        <f>'No Recurrentes 24-26'!DH180</f>
        <v>0</v>
      </c>
      <c r="BY318" s="1062">
        <f>'No Recurrentes 24-26'!DI180</f>
        <v>0</v>
      </c>
      <c r="BZ318" s="1062">
        <f>'No Recurrentes 24-26'!DJ180</f>
        <v>0</v>
      </c>
      <c r="CA318" s="1062">
        <f>'No Recurrentes 24-26'!DK180</f>
        <v>0</v>
      </c>
      <c r="CB318" s="1062">
        <f>'No Recurrentes 24-26'!DL180</f>
        <v>0</v>
      </c>
      <c r="CC318" s="1062">
        <f>'No Recurrentes 24-26'!DM180</f>
        <v>0</v>
      </c>
      <c r="CD318" s="1062">
        <f>'No Recurrentes 24-26'!DN180</f>
        <v>0</v>
      </c>
      <c r="CE318" s="1062">
        <f>'No Recurrentes 24-26'!DO180</f>
        <v>0</v>
      </c>
      <c r="CF318" s="1062">
        <f>'No Recurrentes 24-26'!DP180</f>
        <v>0</v>
      </c>
      <c r="CG318" s="1062">
        <f>'No Recurrentes 24-26'!DQ180</f>
        <v>0</v>
      </c>
      <c r="CH318" s="1062">
        <f>'No Recurrentes 24-26'!DR180</f>
        <v>0</v>
      </c>
      <c r="CI318" s="1068"/>
      <c r="CJ318" s="1062">
        <f>'No Recurrentes 24-26'!DS180</f>
        <v>0</v>
      </c>
      <c r="CK318" s="1062">
        <f>'No Recurrentes 24-26'!DT180</f>
        <v>0</v>
      </c>
      <c r="CL318" s="1064" t="str">
        <f>'No Recurrentes 24-26'!DU180</f>
        <v/>
      </c>
      <c r="CM318" s="1064" t="str">
        <f>'No Recurrentes 24-26'!DV180</f>
        <v>No cotizo. Cotiza con ID: 11416549. verificar caracteristicas</v>
      </c>
      <c r="CN318" s="1060">
        <f>'No Recurrentes 24-26'!EI176</f>
        <v>1</v>
      </c>
      <c r="CO318" s="1060" t="str">
        <f>'No Recurrentes 24-26'!EJ176</f>
        <v/>
      </c>
      <c r="CP318" s="1060" t="str">
        <f>'No Recurrentes 24-26'!EK176</f>
        <v/>
      </c>
    </row>
    <row r="319">
      <c r="A319" s="451" t="str">
        <f>'No Recurrentes 24-26'!A181</f>
        <v>Repuestos Electromecánicos no recurrentes</v>
      </c>
      <c r="B319" s="451" t="str">
        <f>'No Recurrentes 24-26'!B181</f>
        <v/>
      </c>
      <c r="C319" s="451" t="str">
        <f>'No Recurrentes 24-26'!C181</f>
        <v>Vehiculo</v>
      </c>
      <c r="D319" s="451" t="str">
        <f>'No Recurrentes 24-26'!D181</f>
        <v>Manto. gral. Cabina</v>
      </c>
      <c r="E319" s="451" t="str">
        <f>'No Recurrentes 24-26'!E181</f>
        <v>Repuesto Eléctrico</v>
      </c>
      <c r="F319" s="451" t="str">
        <f>'No Recurrentes 24-26'!F181</f>
        <v>LOCAL</v>
      </c>
      <c r="G319" s="1061" t="str">
        <f>'No Recurrentes 24-26'!G181</f>
        <v>39700</v>
      </c>
      <c r="H319" s="1061" t="str">
        <f>'No Recurrentes 24-26'!H181</f>
        <v/>
      </c>
      <c r="I319" s="1061" t="str">
        <f>'No Recurrentes 24-26'!I181</f>
        <v/>
      </c>
      <c r="J319" s="1061" t="str">
        <f>'No Recurrentes 24-26'!J181</f>
        <v>LED PARA CABINA OMEGA IV-10LWI</v>
      </c>
      <c r="K319" s="451" t="str">
        <f>'No Recurrentes 24-26'!K181</f>
        <v>Pza</v>
      </c>
      <c r="L319" s="451" t="str">
        <f>'No Recurrentes 24-26'!BC181</f>
        <v/>
      </c>
      <c r="M319" s="451" t="str">
        <f>'No Recurrentes 24-26'!BD181</f>
        <v/>
      </c>
      <c r="N319" s="451" t="str">
        <f>'No Recurrentes 24-26'!BE181</f>
        <v/>
      </c>
      <c r="O319" s="451" t="str">
        <f>'No Recurrentes 24-26'!BF181</f>
        <v/>
      </c>
      <c r="P319" s="451" t="str">
        <f>'No Recurrentes 24-26'!BG181</f>
        <v/>
      </c>
      <c r="Q319" s="451" t="str">
        <f>'No Recurrentes 24-26'!BH181</f>
        <v/>
      </c>
      <c r="R319" s="451" t="str">
        <f>'No Recurrentes 24-26'!BI181</f>
        <v/>
      </c>
      <c r="S319" s="451" t="str">
        <f>'No Recurrentes 24-26'!BJ181</f>
        <v/>
      </c>
      <c r="T319" s="451" t="str">
        <f>'No Recurrentes 24-26'!BK181</f>
        <v/>
      </c>
      <c r="U319" s="451">
        <f>'No Recurrentes 24-26'!BL181</f>
        <v>0</v>
      </c>
      <c r="V319" s="1068"/>
      <c r="W319" s="1062">
        <f>'No Recurrentes 24-26'!BM181</f>
        <v>0</v>
      </c>
      <c r="X319" s="1062" t="str">
        <f>'No Recurrentes 24-26'!BN181</f>
        <v/>
      </c>
      <c r="Y319" s="1062" t="str">
        <f>'No Recurrentes 24-26'!BO181</f>
        <v/>
      </c>
      <c r="Z319" s="1062" t="str">
        <f>'No Recurrentes 24-26'!BP181</f>
        <v/>
      </c>
      <c r="AA319" s="1062" t="str">
        <f>'No Recurrentes 24-26'!BQ181</f>
        <v/>
      </c>
      <c r="AB319" s="1062" t="str">
        <f>'No Recurrentes 24-26'!BR181</f>
        <v/>
      </c>
      <c r="AC319" s="1062" t="str">
        <f>'No Recurrentes 24-26'!BS181</f>
        <v/>
      </c>
      <c r="AD319" s="1062" t="str">
        <f>'No Recurrentes 24-26'!BT181</f>
        <v/>
      </c>
      <c r="AE319" s="1062" t="str">
        <f>'No Recurrentes 24-26'!BU181</f>
        <v/>
      </c>
      <c r="AF319" s="1062" t="str">
        <f>'No Recurrentes 24-26'!BV181</f>
        <v/>
      </c>
      <c r="AG319" s="1062" t="str">
        <f>'No Recurrentes 24-26'!BW181</f>
        <v/>
      </c>
      <c r="AH319" s="1068"/>
      <c r="AI319" s="1062">
        <f>'No Recurrentes 24-26'!BX181</f>
        <v>0</v>
      </c>
      <c r="AJ319" s="1062">
        <f>'No Recurrentes 24-26'!BY181</f>
        <v>0</v>
      </c>
      <c r="AK319" s="1062">
        <f>'No Recurrentes 24-26'!BZ181</f>
        <v>0</v>
      </c>
      <c r="AL319" s="1062">
        <f>'No Recurrentes 24-26'!CA181</f>
        <v>0</v>
      </c>
      <c r="AM319" s="1062">
        <f>'No Recurrentes 24-26'!CB181</f>
        <v>0</v>
      </c>
      <c r="AN319" s="1062">
        <f>'No Recurrentes 24-26'!CC181</f>
        <v>0</v>
      </c>
      <c r="AO319" s="1062">
        <f>'No Recurrentes 24-26'!CD181</f>
        <v>0</v>
      </c>
      <c r="AP319" s="1062">
        <f>'No Recurrentes 24-26'!CE181</f>
        <v>0</v>
      </c>
      <c r="AQ319" s="1062">
        <f>'No Recurrentes 24-26'!CF181</f>
        <v>0</v>
      </c>
      <c r="AR319" s="1062">
        <f>'No Recurrentes 24-26'!CG181</f>
        <v>0</v>
      </c>
      <c r="AS319" s="1062">
        <f>'No Recurrentes 24-26'!CH181</f>
        <v>0</v>
      </c>
      <c r="AT319" s="1068"/>
      <c r="AU319" s="1062">
        <f>'No Recurrentes 24-26'!CI181</f>
        <v>0</v>
      </c>
      <c r="AV319" s="1063">
        <f>'No Recurrentes 24-26'!CJ181</f>
        <v>0</v>
      </c>
      <c r="AW319" s="1068"/>
      <c r="AX319" s="1062" t="str">
        <f>'No Recurrentes 24-26'!CK181</f>
        <v/>
      </c>
      <c r="AY319" s="1062">
        <f>'No Recurrentes 24-26'!CL181</f>
        <v>0</v>
      </c>
      <c r="AZ319" s="1068"/>
      <c r="BA319" s="1062">
        <f>'No Recurrentes 24-26'!CM181</f>
        <v>0</v>
      </c>
      <c r="BB319" s="1062">
        <f>'No Recurrentes 24-26'!CN181</f>
        <v>0</v>
      </c>
      <c r="BC319" s="1062">
        <f>'No Recurrentes 24-26'!CO181</f>
        <v>0</v>
      </c>
      <c r="BD319" s="1062">
        <f>'No Recurrentes 24-26'!CP181</f>
        <v>0</v>
      </c>
      <c r="BE319" s="1062">
        <f>'No Recurrentes 24-26'!CQ181</f>
        <v>0</v>
      </c>
      <c r="BF319" s="1062">
        <f>'No Recurrentes 24-26'!CR181</f>
        <v>0</v>
      </c>
      <c r="BG319" s="1062">
        <f>'No Recurrentes 24-26'!CS181</f>
        <v>0</v>
      </c>
      <c r="BH319" s="1062">
        <f>'No Recurrentes 24-26'!CT181</f>
        <v>0</v>
      </c>
      <c r="BI319" s="1062">
        <f>'No Recurrentes 24-26'!CU181</f>
        <v>0</v>
      </c>
      <c r="BJ319" s="1062">
        <f>'No Recurrentes 24-26'!CV181</f>
        <v>0</v>
      </c>
      <c r="BK319" s="1068"/>
      <c r="BL319" s="1062">
        <f>'No Recurrentes 24-26'!CW181</f>
        <v>0</v>
      </c>
      <c r="BM319" s="1062">
        <f>'No Recurrentes 24-26'!CX181</f>
        <v>0</v>
      </c>
      <c r="BN319" s="1062">
        <f>'No Recurrentes 24-26'!CY181</f>
        <v>0</v>
      </c>
      <c r="BO319" s="1062">
        <f>'No Recurrentes 24-26'!CZ181</f>
        <v>0</v>
      </c>
      <c r="BP319" s="1062">
        <f>'No Recurrentes 24-26'!DA181</f>
        <v>0</v>
      </c>
      <c r="BQ319" s="1062">
        <f>'No Recurrentes 24-26'!DB181</f>
        <v>0</v>
      </c>
      <c r="BR319" s="1062">
        <f>'No Recurrentes 24-26'!DC181</f>
        <v>0</v>
      </c>
      <c r="BS319" s="1062">
        <f>'No Recurrentes 24-26'!DD181</f>
        <v>0</v>
      </c>
      <c r="BT319" s="1062">
        <f>'No Recurrentes 24-26'!DE181</f>
        <v>0</v>
      </c>
      <c r="BU319" s="1062">
        <f>'No Recurrentes 24-26'!DF181</f>
        <v>0</v>
      </c>
      <c r="BV319" s="1062">
        <f>'No Recurrentes 24-26'!DG181</f>
        <v>0</v>
      </c>
      <c r="BW319" s="1068"/>
      <c r="BX319" s="1062">
        <f>'No Recurrentes 24-26'!DH181</f>
        <v>0</v>
      </c>
      <c r="BY319" s="1062">
        <f>'No Recurrentes 24-26'!DI181</f>
        <v>0</v>
      </c>
      <c r="BZ319" s="1062">
        <f>'No Recurrentes 24-26'!DJ181</f>
        <v>0</v>
      </c>
      <c r="CA319" s="1062">
        <f>'No Recurrentes 24-26'!DK181</f>
        <v>0</v>
      </c>
      <c r="CB319" s="1062">
        <f>'No Recurrentes 24-26'!DL181</f>
        <v>0</v>
      </c>
      <c r="CC319" s="1062">
        <f>'No Recurrentes 24-26'!DM181</f>
        <v>0</v>
      </c>
      <c r="CD319" s="1062">
        <f>'No Recurrentes 24-26'!DN181</f>
        <v>0</v>
      </c>
      <c r="CE319" s="1062">
        <f>'No Recurrentes 24-26'!DO181</f>
        <v>0</v>
      </c>
      <c r="CF319" s="1062">
        <f>'No Recurrentes 24-26'!DP181</f>
        <v>0</v>
      </c>
      <c r="CG319" s="1062">
        <f>'No Recurrentes 24-26'!DQ181</f>
        <v>0</v>
      </c>
      <c r="CH319" s="1062">
        <f>'No Recurrentes 24-26'!DR181</f>
        <v>0</v>
      </c>
      <c r="CI319" s="1068"/>
      <c r="CJ319" s="1062">
        <f>'No Recurrentes 24-26'!DS181</f>
        <v>0</v>
      </c>
      <c r="CK319" s="1062">
        <f>'No Recurrentes 24-26'!DT181</f>
        <v>0</v>
      </c>
      <c r="CL319" s="1064" t="str">
        <f>'No Recurrentes 24-26'!DU181</f>
        <v/>
      </c>
      <c r="CM319" s="1064" t="str">
        <f>'No Recurrentes 24-26'!DV181</f>
        <v>No se encuentra en cotizacion</v>
      </c>
      <c r="CN319" s="1065">
        <f>'No Recurrentes 24-26'!EI177</f>
        <v>3223.6</v>
      </c>
      <c r="CO319" s="1065">
        <f>'No Recurrentes 24-26'!EJ177</f>
        <v>2740.06</v>
      </c>
      <c r="CP319" s="1060" t="str">
        <f>'No Recurrentes 24-26'!EK177</f>
        <v/>
      </c>
    </row>
    <row r="320">
      <c r="A320" s="451" t="str">
        <f>'No Recurrentes 24-26'!A182</f>
        <v>Repuestos Electromecánicos no recurrentes</v>
      </c>
      <c r="B320" s="451">
        <f>'No Recurrentes 24-26'!B182</f>
        <v>2</v>
      </c>
      <c r="C320" s="451" t="str">
        <f>'No Recurrentes 24-26'!C182</f>
        <v>Estación</v>
      </c>
      <c r="D320" s="451" t="str">
        <f>'No Recurrentes 24-26'!D182</f>
        <v>Manto. Hidraulico</v>
      </c>
      <c r="E320" s="451" t="str">
        <f>'No Recurrentes 24-26'!E182</f>
        <v>Repuesto Hidráulico</v>
      </c>
      <c r="F320" s="451" t="str">
        <f>'No Recurrentes 24-26'!F182</f>
        <v>TDB</v>
      </c>
      <c r="G320" s="1025" t="str">
        <f>'No Recurrentes 24-26'!G182</f>
        <v>39800</v>
      </c>
      <c r="H320" s="1061" t="str">
        <f>'No Recurrentes 24-26'!H182</f>
        <v>2-04-00118</v>
      </c>
      <c r="I320" s="1061" t="str">
        <f>'No Recurrentes 24-26'!I182</f>
        <v>10690825</v>
      </c>
      <c r="J320" s="1061" t="str">
        <f>'No Recurrentes 24-26'!J182</f>
        <v>SISTEMA MANOMÉTR.0-600KN/0-10V F61541560077          WIKA</v>
      </c>
      <c r="K320" s="451" t="str">
        <f>'No Recurrentes 24-26'!K182</f>
        <v>Pza</v>
      </c>
      <c r="L320" s="451">
        <f>'No Recurrentes 24-26'!BC182</f>
        <v>1</v>
      </c>
      <c r="M320" s="451" t="str">
        <f>'No Recurrentes 24-26'!BD182</f>
        <v/>
      </c>
      <c r="N320" s="451" t="str">
        <f>'No Recurrentes 24-26'!BE182</f>
        <v/>
      </c>
      <c r="O320" s="451" t="str">
        <f>'No Recurrentes 24-26'!BF182</f>
        <v/>
      </c>
      <c r="P320" s="451" t="str">
        <f>'No Recurrentes 24-26'!BG182</f>
        <v/>
      </c>
      <c r="Q320" s="451" t="str">
        <f>'No Recurrentes 24-26'!BH182</f>
        <v/>
      </c>
      <c r="R320" s="451" t="str">
        <f>'No Recurrentes 24-26'!BI182</f>
        <v/>
      </c>
      <c r="S320" s="451" t="str">
        <f>'No Recurrentes 24-26'!BJ182</f>
        <v/>
      </c>
      <c r="T320" s="451" t="str">
        <f>'No Recurrentes 24-26'!BK182</f>
        <v/>
      </c>
      <c r="U320" s="451" t="str">
        <f>'No Recurrentes 24-26'!BL182</f>
        <v/>
      </c>
      <c r="V320" s="1068"/>
      <c r="W320" s="1062">
        <f>'No Recurrentes 24-26'!BM182</f>
        <v>1</v>
      </c>
      <c r="X320" s="1062" t="str">
        <f>'No Recurrentes 24-26'!BN182</f>
        <v/>
      </c>
      <c r="Y320" s="1062" t="str">
        <f>'No Recurrentes 24-26'!BO182</f>
        <v/>
      </c>
      <c r="Z320" s="1062" t="str">
        <f>'No Recurrentes 24-26'!BP182</f>
        <v/>
      </c>
      <c r="AA320" s="1062" t="str">
        <f>'No Recurrentes 24-26'!BQ182</f>
        <v/>
      </c>
      <c r="AB320" s="1062" t="str">
        <f>'No Recurrentes 24-26'!BR182</f>
        <v/>
      </c>
      <c r="AC320" s="1062" t="str">
        <f>'No Recurrentes 24-26'!BS182</f>
        <v/>
      </c>
      <c r="AD320" s="1062" t="str">
        <f>'No Recurrentes 24-26'!BT182</f>
        <v/>
      </c>
      <c r="AE320" s="1062" t="str">
        <f>'No Recurrentes 24-26'!BU182</f>
        <v/>
      </c>
      <c r="AF320" s="1062" t="str">
        <f>'No Recurrentes 24-26'!BV182</f>
        <v/>
      </c>
      <c r="AG320" s="1062" t="str">
        <f>'No Recurrentes 24-26'!BW182</f>
        <v/>
      </c>
      <c r="AH320" s="1068"/>
      <c r="AI320" s="1062">
        <f>'No Recurrentes 24-26'!BX182</f>
        <v>0</v>
      </c>
      <c r="AJ320" s="1062">
        <f>'No Recurrentes 24-26'!BY182</f>
        <v>0</v>
      </c>
      <c r="AK320" s="1062">
        <f>'No Recurrentes 24-26'!BZ182</f>
        <v>0</v>
      </c>
      <c r="AL320" s="1062">
        <f>'No Recurrentes 24-26'!CA182</f>
        <v>0</v>
      </c>
      <c r="AM320" s="1062">
        <f>'No Recurrentes 24-26'!CB182</f>
        <v>0</v>
      </c>
      <c r="AN320" s="1062">
        <f>'No Recurrentes 24-26'!CC182</f>
        <v>0</v>
      </c>
      <c r="AO320" s="1062">
        <f>'No Recurrentes 24-26'!CD182</f>
        <v>0</v>
      </c>
      <c r="AP320" s="1062">
        <f>'No Recurrentes 24-26'!CE182</f>
        <v>0</v>
      </c>
      <c r="AQ320" s="1062">
        <f>'No Recurrentes 24-26'!CF182</f>
        <v>0</v>
      </c>
      <c r="AR320" s="1062">
        <f>'No Recurrentes 24-26'!CG182</f>
        <v>0</v>
      </c>
      <c r="AS320" s="1062">
        <f>'No Recurrentes 24-26'!CH182</f>
        <v>0</v>
      </c>
      <c r="AT320" s="1068"/>
      <c r="AU320" s="1062">
        <f>'No Recurrentes 24-26'!CI182</f>
        <v>0</v>
      </c>
      <c r="AV320" s="1063">
        <f>'No Recurrentes 24-26'!CJ182</f>
        <v>1</v>
      </c>
      <c r="AW320" s="1068"/>
      <c r="AX320" s="1065">
        <f>'No Recurrentes 24-26'!CK182</f>
        <v>12708.5</v>
      </c>
      <c r="AY320" s="1062">
        <f>'No Recurrentes 24-26'!CL182</f>
        <v>88451.16</v>
      </c>
      <c r="AZ320" s="1068"/>
      <c r="BA320" s="1062">
        <f>'No Recurrentes 24-26'!CM182</f>
        <v>88451.16</v>
      </c>
      <c r="BB320" s="1062">
        <f>'No Recurrentes 24-26'!CN182</f>
        <v>0</v>
      </c>
      <c r="BC320" s="1062">
        <f>'No Recurrentes 24-26'!CO182</f>
        <v>0</v>
      </c>
      <c r="BD320" s="1062">
        <f>'No Recurrentes 24-26'!CP182</f>
        <v>0</v>
      </c>
      <c r="BE320" s="1062">
        <f>'No Recurrentes 24-26'!CQ182</f>
        <v>0</v>
      </c>
      <c r="BF320" s="1062">
        <f>'No Recurrentes 24-26'!CR182</f>
        <v>0</v>
      </c>
      <c r="BG320" s="1062">
        <f>'No Recurrentes 24-26'!CS182</f>
        <v>0</v>
      </c>
      <c r="BH320" s="1062">
        <f>'No Recurrentes 24-26'!CT182</f>
        <v>0</v>
      </c>
      <c r="BI320" s="1062">
        <f>'No Recurrentes 24-26'!CU182</f>
        <v>0</v>
      </c>
      <c r="BJ320" s="1062">
        <f>'No Recurrentes 24-26'!CV182</f>
        <v>0</v>
      </c>
      <c r="BK320" s="1068"/>
      <c r="BL320" s="1062">
        <f>'No Recurrentes 24-26'!CW182</f>
        <v>88451.16</v>
      </c>
      <c r="BM320" s="1062">
        <f>'No Recurrentes 24-26'!CX182</f>
        <v>0</v>
      </c>
      <c r="BN320" s="1062">
        <f>'No Recurrentes 24-26'!CY182</f>
        <v>0</v>
      </c>
      <c r="BO320" s="1062">
        <f>'No Recurrentes 24-26'!CZ182</f>
        <v>0</v>
      </c>
      <c r="BP320" s="1062">
        <f>'No Recurrentes 24-26'!DA182</f>
        <v>0</v>
      </c>
      <c r="BQ320" s="1062">
        <f>'No Recurrentes 24-26'!DB182</f>
        <v>0</v>
      </c>
      <c r="BR320" s="1062">
        <f>'No Recurrentes 24-26'!DC182</f>
        <v>0</v>
      </c>
      <c r="BS320" s="1062">
        <f>'No Recurrentes 24-26'!DD182</f>
        <v>0</v>
      </c>
      <c r="BT320" s="1062">
        <f>'No Recurrentes 24-26'!DE182</f>
        <v>0</v>
      </c>
      <c r="BU320" s="1062">
        <f>'No Recurrentes 24-26'!DF182</f>
        <v>0</v>
      </c>
      <c r="BV320" s="1062">
        <f>'No Recurrentes 24-26'!DG182</f>
        <v>0</v>
      </c>
      <c r="BW320" s="1068"/>
      <c r="BX320" s="1062">
        <f>'No Recurrentes 24-26'!DH182</f>
        <v>0</v>
      </c>
      <c r="BY320" s="1062">
        <f>'No Recurrentes 24-26'!DI182</f>
        <v>0</v>
      </c>
      <c r="BZ320" s="1062">
        <f>'No Recurrentes 24-26'!DJ182</f>
        <v>0</v>
      </c>
      <c r="CA320" s="1062">
        <f>'No Recurrentes 24-26'!DK182</f>
        <v>0</v>
      </c>
      <c r="CB320" s="1062">
        <f>'No Recurrentes 24-26'!DL182</f>
        <v>0</v>
      </c>
      <c r="CC320" s="1062">
        <f>'No Recurrentes 24-26'!DM182</f>
        <v>0</v>
      </c>
      <c r="CD320" s="1062">
        <f>'No Recurrentes 24-26'!DN182</f>
        <v>0</v>
      </c>
      <c r="CE320" s="1062">
        <f>'No Recurrentes 24-26'!DO182</f>
        <v>0</v>
      </c>
      <c r="CF320" s="1062">
        <f>'No Recurrentes 24-26'!DP182</f>
        <v>0</v>
      </c>
      <c r="CG320" s="1062">
        <f>'No Recurrentes 24-26'!DQ182</f>
        <v>0</v>
      </c>
      <c r="CH320" s="1062">
        <f>'No Recurrentes 24-26'!DR182</f>
        <v>0</v>
      </c>
      <c r="CI320" s="1068"/>
      <c r="CJ320" s="1062">
        <f>'No Recurrentes 24-26'!DS182</f>
        <v>0</v>
      </c>
      <c r="CK320" s="1062">
        <f>'No Recurrentes 24-26'!DT182</f>
        <v>88451.16</v>
      </c>
      <c r="CL320" s="1064" t="str">
        <f>'No Recurrentes 24-26'!DU182</f>
        <v> Se requiere cotizar repuesto con servicio de cambio, El Item incluye el servicio por $us2936,42</v>
      </c>
      <c r="CM320" s="1064" t="str">
        <f>'No Recurrentes 24-26'!DV182</f>
        <v>Se requiere cotizar repuesto con servicio de cambio</v>
      </c>
      <c r="CN320" s="1065">
        <f>'No Recurrentes 24-26'!EI178</f>
        <v>839.54</v>
      </c>
      <c r="CO320" s="1065">
        <f>'No Recurrentes 24-26'!EJ178</f>
        <v>713.61</v>
      </c>
      <c r="CP320" s="1060" t="str">
        <f>'No Recurrentes 24-26'!EK178</f>
        <v/>
      </c>
    </row>
    <row r="321">
      <c r="A321" s="451" t="str">
        <f>'No Recurrentes 24-26'!A183</f>
        <v>Repuestos Electromecánicos no recurrentes</v>
      </c>
      <c r="B321" s="451">
        <f>'No Recurrentes 24-26'!B183</f>
        <v>2</v>
      </c>
      <c r="C321" s="451" t="str">
        <f>'No Recurrentes 24-26'!C183</f>
        <v>Estación</v>
      </c>
      <c r="D321" s="451" t="str">
        <f>'No Recurrentes 24-26'!D183</f>
        <v>Manto. Hidraulico</v>
      </c>
      <c r="E321" s="451" t="str">
        <f>'No Recurrentes 24-26'!E183</f>
        <v>Repuesto Hidráulico</v>
      </c>
      <c r="F321" s="451" t="str">
        <f>'No Recurrentes 24-26'!F183</f>
        <v>TDB</v>
      </c>
      <c r="G321" s="1025" t="str">
        <f>'No Recurrentes 24-26'!G183</f>
        <v>39800</v>
      </c>
      <c r="H321" s="1061" t="str">
        <f>'No Recurrentes 24-26'!H183</f>
        <v>2-04-00003</v>
      </c>
      <c r="I321" s="1061" t="str">
        <f>'No Recurrentes 24-26'!I183</f>
        <v>11139369</v>
      </c>
      <c r="J321" s="1061" t="str">
        <f>'No Recurrentes 24-26'!J183</f>
        <v>CARTUCHO DE REPUESTO P.DESHUMECTADOR BDE400X2W0.0, HYDAC</v>
      </c>
      <c r="K321" s="451" t="str">
        <f>'No Recurrentes 24-26'!K183</f>
        <v>Pza</v>
      </c>
      <c r="L321" s="451" t="str">
        <f>'No Recurrentes 24-26'!BC183</f>
        <v/>
      </c>
      <c r="M321" s="451" t="str">
        <f>'No Recurrentes 24-26'!BD183</f>
        <v/>
      </c>
      <c r="N321" s="451" t="str">
        <f>'No Recurrentes 24-26'!BE183</f>
        <v/>
      </c>
      <c r="O321" s="451" t="str">
        <f>'No Recurrentes 24-26'!BF183</f>
        <v/>
      </c>
      <c r="P321" s="451" t="str">
        <f>'No Recurrentes 24-26'!BG183</f>
        <v/>
      </c>
      <c r="Q321" s="451" t="str">
        <f>'No Recurrentes 24-26'!BH183</f>
        <v/>
      </c>
      <c r="R321" s="451" t="str">
        <f>'No Recurrentes 24-26'!BI183</f>
        <v/>
      </c>
      <c r="S321" s="451" t="str">
        <f>'No Recurrentes 24-26'!BJ183</f>
        <v/>
      </c>
      <c r="T321" s="451" t="str">
        <f>'No Recurrentes 24-26'!BK183</f>
        <v/>
      </c>
      <c r="U321" s="451" t="str">
        <f>'No Recurrentes 24-26'!BL183</f>
        <v/>
      </c>
      <c r="V321" s="1068"/>
      <c r="W321" s="1062">
        <f>'No Recurrentes 24-26'!BM183</f>
        <v>0</v>
      </c>
      <c r="X321" s="1062">
        <f>'No Recurrentes 24-26'!BN183</f>
        <v>2</v>
      </c>
      <c r="Y321" s="1062">
        <f>'No Recurrentes 24-26'!BO183</f>
        <v>2</v>
      </c>
      <c r="Z321" s="1062">
        <f>'No Recurrentes 24-26'!BP183</f>
        <v>2</v>
      </c>
      <c r="AA321" s="1062">
        <f>'No Recurrentes 24-26'!BQ183</f>
        <v>2</v>
      </c>
      <c r="AB321" s="1062">
        <f>'No Recurrentes 24-26'!BR183</f>
        <v>2</v>
      </c>
      <c r="AC321" s="1062">
        <f>'No Recurrentes 24-26'!BS183</f>
        <v>2</v>
      </c>
      <c r="AD321" s="1062" t="str">
        <f>'No Recurrentes 24-26'!BT183</f>
        <v/>
      </c>
      <c r="AE321" s="1062" t="str">
        <f>'No Recurrentes 24-26'!BU183</f>
        <v/>
      </c>
      <c r="AF321" s="1062" t="str">
        <f>'No Recurrentes 24-26'!BV183</f>
        <v/>
      </c>
      <c r="AG321" s="1062" t="str">
        <f>'No Recurrentes 24-26'!BW183</f>
        <v/>
      </c>
      <c r="AH321" s="1068"/>
      <c r="AI321" s="1062">
        <f>'No Recurrentes 24-26'!BX183</f>
        <v>12</v>
      </c>
      <c r="AJ321" s="1062">
        <f>'No Recurrentes 24-26'!BY183</f>
        <v>0</v>
      </c>
      <c r="AK321" s="1062">
        <f>'No Recurrentes 24-26'!BZ183</f>
        <v>0</v>
      </c>
      <c r="AL321" s="1062">
        <f>'No Recurrentes 24-26'!CA183</f>
        <v>0</v>
      </c>
      <c r="AM321" s="1062">
        <f>'No Recurrentes 24-26'!CB183</f>
        <v>0</v>
      </c>
      <c r="AN321" s="1062">
        <f>'No Recurrentes 24-26'!CC183</f>
        <v>0</v>
      </c>
      <c r="AO321" s="1062">
        <f>'No Recurrentes 24-26'!CD183</f>
        <v>0</v>
      </c>
      <c r="AP321" s="1062">
        <f>'No Recurrentes 24-26'!CE183</f>
        <v>0</v>
      </c>
      <c r="AQ321" s="1062">
        <f>'No Recurrentes 24-26'!CF183</f>
        <v>0</v>
      </c>
      <c r="AR321" s="1062">
        <f>'No Recurrentes 24-26'!CG183</f>
        <v>0</v>
      </c>
      <c r="AS321" s="1062">
        <f>'No Recurrentes 24-26'!CH183</f>
        <v>1</v>
      </c>
      <c r="AT321" s="1068"/>
      <c r="AU321" s="1062">
        <f>'No Recurrentes 24-26'!CI183</f>
        <v>1</v>
      </c>
      <c r="AV321" s="1063">
        <f>'No Recurrentes 24-26'!CJ183</f>
        <v>13</v>
      </c>
      <c r="AW321" s="1068"/>
      <c r="AX321" s="1065">
        <f>'No Recurrentes 24-26'!CK183</f>
        <v>601.46</v>
      </c>
      <c r="AY321" s="1062">
        <f>'No Recurrentes 24-26'!CL183</f>
        <v>4186.1616</v>
      </c>
      <c r="AZ321" s="1068"/>
      <c r="BA321" s="1062">
        <f>'No Recurrentes 24-26'!CM183</f>
        <v>0</v>
      </c>
      <c r="BB321" s="1062">
        <f>'No Recurrentes 24-26'!CN183</f>
        <v>0</v>
      </c>
      <c r="BC321" s="1062">
        <f>'No Recurrentes 24-26'!CO183</f>
        <v>0</v>
      </c>
      <c r="BD321" s="1062">
        <f>'No Recurrentes 24-26'!CP183</f>
        <v>0</v>
      </c>
      <c r="BE321" s="1062">
        <f>'No Recurrentes 24-26'!CQ183</f>
        <v>0</v>
      </c>
      <c r="BF321" s="1062">
        <f>'No Recurrentes 24-26'!CR183</f>
        <v>0</v>
      </c>
      <c r="BG321" s="1062">
        <f>'No Recurrentes 24-26'!CS183</f>
        <v>0</v>
      </c>
      <c r="BH321" s="1062">
        <f>'No Recurrentes 24-26'!CT183</f>
        <v>0</v>
      </c>
      <c r="BI321" s="1062">
        <f>'No Recurrentes 24-26'!CU183</f>
        <v>0</v>
      </c>
      <c r="BJ321" s="1062">
        <f>'No Recurrentes 24-26'!CV183</f>
        <v>0</v>
      </c>
      <c r="BK321" s="1068"/>
      <c r="BL321" s="1062">
        <f>'No Recurrentes 24-26'!CW183</f>
        <v>0</v>
      </c>
      <c r="BM321" s="1062">
        <f>'No Recurrentes 24-26'!CX183</f>
        <v>8372.3232</v>
      </c>
      <c r="BN321" s="1062">
        <f>'No Recurrentes 24-26'!CY183</f>
        <v>8372.3232</v>
      </c>
      <c r="BO321" s="1062">
        <f>'No Recurrentes 24-26'!CZ183</f>
        <v>8372.3232</v>
      </c>
      <c r="BP321" s="1062">
        <f>'No Recurrentes 24-26'!DA183</f>
        <v>8372.3232</v>
      </c>
      <c r="BQ321" s="1062">
        <f>'No Recurrentes 24-26'!DB183</f>
        <v>8372.3232</v>
      </c>
      <c r="BR321" s="1062">
        <f>'No Recurrentes 24-26'!DC183</f>
        <v>8372.3232</v>
      </c>
      <c r="BS321" s="1062">
        <f>'No Recurrentes 24-26'!DD183</f>
        <v>0</v>
      </c>
      <c r="BT321" s="1062">
        <f>'No Recurrentes 24-26'!DE183</f>
        <v>0</v>
      </c>
      <c r="BU321" s="1062">
        <f>'No Recurrentes 24-26'!DF183</f>
        <v>0</v>
      </c>
      <c r="BV321" s="1062">
        <f>'No Recurrentes 24-26'!DG183</f>
        <v>0</v>
      </c>
      <c r="BW321" s="1068"/>
      <c r="BX321" s="1062">
        <f>'No Recurrentes 24-26'!DH183</f>
        <v>50233.9392</v>
      </c>
      <c r="BY321" s="1062">
        <f>'No Recurrentes 24-26'!DI183</f>
        <v>0</v>
      </c>
      <c r="BZ321" s="1062">
        <f>'No Recurrentes 24-26'!DJ183</f>
        <v>0</v>
      </c>
      <c r="CA321" s="1062">
        <f>'No Recurrentes 24-26'!DK183</f>
        <v>0</v>
      </c>
      <c r="CB321" s="1062">
        <f>'No Recurrentes 24-26'!DL183</f>
        <v>0</v>
      </c>
      <c r="CC321" s="1062">
        <f>'No Recurrentes 24-26'!DM183</f>
        <v>0</v>
      </c>
      <c r="CD321" s="1062">
        <f>'No Recurrentes 24-26'!DN183</f>
        <v>0</v>
      </c>
      <c r="CE321" s="1062">
        <f>'No Recurrentes 24-26'!DO183</f>
        <v>0</v>
      </c>
      <c r="CF321" s="1062">
        <f>'No Recurrentes 24-26'!DP183</f>
        <v>0</v>
      </c>
      <c r="CG321" s="1062">
        <f>'No Recurrentes 24-26'!DQ183</f>
        <v>0</v>
      </c>
      <c r="CH321" s="1062">
        <f>'No Recurrentes 24-26'!DR183</f>
        <v>4186.1616</v>
      </c>
      <c r="CI321" s="1068"/>
      <c r="CJ321" s="1062">
        <f>'No Recurrentes 24-26'!DS183</f>
        <v>4186.1616</v>
      </c>
      <c r="CK321" s="1062">
        <f>'No Recurrentes 24-26'!DT183</f>
        <v>54420.1008</v>
      </c>
      <c r="CL321" s="1064" t="str">
        <f>'No Recurrentes 24-26'!DU183</f>
        <v/>
      </c>
      <c r="CM321" s="1064" t="str">
        <f>'No Recurrentes 24-26'!DV183</f>
        <v/>
      </c>
      <c r="CN321" s="1060">
        <f>'No Recurrentes 24-26'!EI179</f>
        <v>1</v>
      </c>
      <c r="CO321" s="1060" t="str">
        <f>'No Recurrentes 24-26'!EJ179</f>
        <v/>
      </c>
      <c r="CP321" s="1060" t="str">
        <f>'No Recurrentes 24-26'!EK179</f>
        <v/>
      </c>
    </row>
    <row r="322">
      <c r="A322" s="451" t="str">
        <f>'No Recurrentes 24-26'!A184</f>
        <v>Repuestos Electromecánicos no recurrentes</v>
      </c>
      <c r="B322" s="451">
        <f>'No Recurrentes 24-26'!B184</f>
        <v>2</v>
      </c>
      <c r="C322" s="451" t="str">
        <f>'No Recurrentes 24-26'!C184</f>
        <v>Estación</v>
      </c>
      <c r="D322" s="451" t="str">
        <f>'No Recurrentes 24-26'!D184</f>
        <v>Manto. Hidraulico</v>
      </c>
      <c r="E322" s="451" t="str">
        <f>'No Recurrentes 24-26'!E184</f>
        <v>Repuesto Hidráulico</v>
      </c>
      <c r="F322" s="451" t="str">
        <f>'No Recurrentes 24-26'!F184</f>
        <v>TDB</v>
      </c>
      <c r="G322" s="1025" t="str">
        <f>'No Recurrentes 24-26'!G184</f>
        <v>39800</v>
      </c>
      <c r="H322" s="1061" t="str">
        <f>'No Recurrentes 24-26'!H184</f>
        <v/>
      </c>
      <c r="I322" s="1061" t="str">
        <f>'No Recurrentes 24-26'!I184</f>
        <v>11412221</v>
      </c>
      <c r="J322" s="1061" t="str">
        <f>'No Recurrentes 24-26'!J184</f>
        <v>ELEMEN.FILTRANTE PI 3115 PS 10 MAHLE FILTRO BAJA TEN</v>
      </c>
      <c r="K322" s="451" t="str">
        <f>'No Recurrentes 24-26'!K184</f>
        <v>Pza</v>
      </c>
      <c r="L322" s="451" t="str">
        <f>'No Recurrentes 24-26'!BC184</f>
        <v/>
      </c>
      <c r="M322" s="451" t="str">
        <f>'No Recurrentes 24-26'!BD184</f>
        <v/>
      </c>
      <c r="N322" s="451" t="str">
        <f>'No Recurrentes 24-26'!BE184</f>
        <v/>
      </c>
      <c r="O322" s="451" t="str">
        <f>'No Recurrentes 24-26'!BF184</f>
        <v/>
      </c>
      <c r="P322" s="451" t="str">
        <f>'No Recurrentes 24-26'!BG184</f>
        <v/>
      </c>
      <c r="Q322" s="451" t="str">
        <f>'No Recurrentes 24-26'!BH184</f>
        <v/>
      </c>
      <c r="R322" s="451" t="str">
        <f>'No Recurrentes 24-26'!BI184</f>
        <v/>
      </c>
      <c r="S322" s="451" t="str">
        <f>'No Recurrentes 24-26'!BJ184</f>
        <v/>
      </c>
      <c r="T322" s="451" t="str">
        <f>'No Recurrentes 24-26'!BK184</f>
        <v/>
      </c>
      <c r="U322" s="451" t="str">
        <f>'No Recurrentes 24-26'!BL184</f>
        <v/>
      </c>
      <c r="V322" s="1068"/>
      <c r="W322" s="1062">
        <f>'No Recurrentes 24-26'!BM184</f>
        <v>0</v>
      </c>
      <c r="X322" s="1062" t="str">
        <f>'No Recurrentes 24-26'!BN184</f>
        <v/>
      </c>
      <c r="Y322" s="1062" t="str">
        <f>'No Recurrentes 24-26'!BO184</f>
        <v/>
      </c>
      <c r="Z322" s="1062" t="str">
        <f>'No Recurrentes 24-26'!BP184</f>
        <v/>
      </c>
      <c r="AA322" s="1062" t="str">
        <f>'No Recurrentes 24-26'!BQ184</f>
        <v/>
      </c>
      <c r="AB322" s="1062" t="str">
        <f>'No Recurrentes 24-26'!BR184</f>
        <v/>
      </c>
      <c r="AC322" s="1062">
        <f>'No Recurrentes 24-26'!BS184</f>
        <v>4</v>
      </c>
      <c r="AD322" s="1062" t="str">
        <f>'No Recurrentes 24-26'!BT184</f>
        <v/>
      </c>
      <c r="AE322" s="1062" t="str">
        <f>'No Recurrentes 24-26'!BU184</f>
        <v/>
      </c>
      <c r="AF322" s="1062" t="str">
        <f>'No Recurrentes 24-26'!BV184</f>
        <v/>
      </c>
      <c r="AG322" s="1062" t="str">
        <f>'No Recurrentes 24-26'!BW184</f>
        <v/>
      </c>
      <c r="AH322" s="1068"/>
      <c r="AI322" s="1062">
        <f>'No Recurrentes 24-26'!BX184</f>
        <v>4</v>
      </c>
      <c r="AJ322" s="1062">
        <f>'No Recurrentes 24-26'!BY184</f>
        <v>0</v>
      </c>
      <c r="AK322" s="1062">
        <f>'No Recurrentes 24-26'!BZ184</f>
        <v>0</v>
      </c>
      <c r="AL322" s="1062">
        <f>'No Recurrentes 24-26'!CA184</f>
        <v>0</v>
      </c>
      <c r="AM322" s="1062">
        <f>'No Recurrentes 24-26'!CB184</f>
        <v>0</v>
      </c>
      <c r="AN322" s="1062">
        <f>'No Recurrentes 24-26'!CC184</f>
        <v>0</v>
      </c>
      <c r="AO322" s="1062">
        <f>'No Recurrentes 24-26'!CD184</f>
        <v>0</v>
      </c>
      <c r="AP322" s="1062">
        <f>'No Recurrentes 24-26'!CE184</f>
        <v>0</v>
      </c>
      <c r="AQ322" s="1062">
        <f>'No Recurrentes 24-26'!CF184</f>
        <v>0</v>
      </c>
      <c r="AR322" s="1062">
        <f>'No Recurrentes 24-26'!CG184</f>
        <v>0</v>
      </c>
      <c r="AS322" s="1062">
        <f>'No Recurrentes 24-26'!CH184</f>
        <v>0</v>
      </c>
      <c r="AT322" s="1068"/>
      <c r="AU322" s="1062">
        <f>'No Recurrentes 24-26'!CI184</f>
        <v>0</v>
      </c>
      <c r="AV322" s="1063">
        <f>'No Recurrentes 24-26'!CJ184</f>
        <v>4</v>
      </c>
      <c r="AW322" s="1068"/>
      <c r="AX322" s="1065">
        <f>'No Recurrentes 24-26'!CK184</f>
        <v>342.26</v>
      </c>
      <c r="AY322" s="1062">
        <f>'No Recurrentes 24-26'!CL184</f>
        <v>2382.1296</v>
      </c>
      <c r="AZ322" s="1068"/>
      <c r="BA322" s="1062">
        <f>'No Recurrentes 24-26'!CM184</f>
        <v>0</v>
      </c>
      <c r="BB322" s="1062">
        <f>'No Recurrentes 24-26'!CN184</f>
        <v>0</v>
      </c>
      <c r="BC322" s="1062">
        <f>'No Recurrentes 24-26'!CO184</f>
        <v>0</v>
      </c>
      <c r="BD322" s="1062">
        <f>'No Recurrentes 24-26'!CP184</f>
        <v>0</v>
      </c>
      <c r="BE322" s="1062">
        <f>'No Recurrentes 24-26'!CQ184</f>
        <v>0</v>
      </c>
      <c r="BF322" s="1062">
        <f>'No Recurrentes 24-26'!CR184</f>
        <v>0</v>
      </c>
      <c r="BG322" s="1062">
        <f>'No Recurrentes 24-26'!CS184</f>
        <v>0</v>
      </c>
      <c r="BH322" s="1062">
        <f>'No Recurrentes 24-26'!CT184</f>
        <v>0</v>
      </c>
      <c r="BI322" s="1062">
        <f>'No Recurrentes 24-26'!CU184</f>
        <v>0</v>
      </c>
      <c r="BJ322" s="1062">
        <f>'No Recurrentes 24-26'!CV184</f>
        <v>0</v>
      </c>
      <c r="BK322" s="1068"/>
      <c r="BL322" s="1062">
        <f>'No Recurrentes 24-26'!CW184</f>
        <v>0</v>
      </c>
      <c r="BM322" s="1062">
        <f>'No Recurrentes 24-26'!CX184</f>
        <v>0</v>
      </c>
      <c r="BN322" s="1062">
        <f>'No Recurrentes 24-26'!CY184</f>
        <v>0</v>
      </c>
      <c r="BO322" s="1062">
        <f>'No Recurrentes 24-26'!CZ184</f>
        <v>0</v>
      </c>
      <c r="BP322" s="1062">
        <f>'No Recurrentes 24-26'!DA184</f>
        <v>0</v>
      </c>
      <c r="BQ322" s="1062">
        <f>'No Recurrentes 24-26'!DB184</f>
        <v>0</v>
      </c>
      <c r="BR322" s="1062">
        <f>'No Recurrentes 24-26'!DC184</f>
        <v>9528.5184</v>
      </c>
      <c r="BS322" s="1062">
        <f>'No Recurrentes 24-26'!DD184</f>
        <v>0</v>
      </c>
      <c r="BT322" s="1062">
        <f>'No Recurrentes 24-26'!DE184</f>
        <v>0</v>
      </c>
      <c r="BU322" s="1062">
        <f>'No Recurrentes 24-26'!DF184</f>
        <v>0</v>
      </c>
      <c r="BV322" s="1062">
        <f>'No Recurrentes 24-26'!DG184</f>
        <v>0</v>
      </c>
      <c r="BW322" s="1068"/>
      <c r="BX322" s="1062">
        <f>'No Recurrentes 24-26'!DH184</f>
        <v>9528.5184</v>
      </c>
      <c r="BY322" s="1062">
        <f>'No Recurrentes 24-26'!DI184</f>
        <v>0</v>
      </c>
      <c r="BZ322" s="1062">
        <f>'No Recurrentes 24-26'!DJ184</f>
        <v>0</v>
      </c>
      <c r="CA322" s="1062">
        <f>'No Recurrentes 24-26'!DK184</f>
        <v>0</v>
      </c>
      <c r="CB322" s="1062">
        <f>'No Recurrentes 24-26'!DL184</f>
        <v>0</v>
      </c>
      <c r="CC322" s="1062">
        <f>'No Recurrentes 24-26'!DM184</f>
        <v>0</v>
      </c>
      <c r="CD322" s="1062">
        <f>'No Recurrentes 24-26'!DN184</f>
        <v>0</v>
      </c>
      <c r="CE322" s="1062">
        <f>'No Recurrentes 24-26'!DO184</f>
        <v>0</v>
      </c>
      <c r="CF322" s="1062">
        <f>'No Recurrentes 24-26'!DP184</f>
        <v>0</v>
      </c>
      <c r="CG322" s="1062">
        <f>'No Recurrentes 24-26'!DQ184</f>
        <v>0</v>
      </c>
      <c r="CH322" s="1062">
        <f>'No Recurrentes 24-26'!DR184</f>
        <v>0</v>
      </c>
      <c r="CI322" s="1068"/>
      <c r="CJ322" s="1062">
        <f>'No Recurrentes 24-26'!DS184</f>
        <v>0</v>
      </c>
      <c r="CK322" s="1062">
        <f>'No Recurrentes 24-26'!DT184</f>
        <v>9528.5184</v>
      </c>
      <c r="CL322" s="451" t="str">
        <f>'No Recurrentes 24-26'!DU184</f>
        <v/>
      </c>
      <c r="CM322" s="1064" t="str">
        <f>'No Recurrentes 24-26'!DV184</f>
        <v>Se aclaró el item elemento filtrante</v>
      </c>
      <c r="CN322" s="1060">
        <f>'No Recurrentes 24-26'!EI180</f>
        <v>1</v>
      </c>
      <c r="CO322" s="1060" t="str">
        <f>'No Recurrentes 24-26'!EJ180</f>
        <v/>
      </c>
      <c r="CP322" s="1060" t="str">
        <f>'No Recurrentes 24-26'!EK180</f>
        <v/>
      </c>
    </row>
    <row r="323">
      <c r="A323" s="451" t="str">
        <f>'No Recurrentes 24-26'!A185</f>
        <v>Repuestos Electromecánicos no recurrentes</v>
      </c>
      <c r="B323" s="451">
        <f>'No Recurrentes 24-26'!B185</f>
        <v>2</v>
      </c>
      <c r="C323" s="451" t="str">
        <f>'No Recurrentes 24-26'!C185</f>
        <v>Estación</v>
      </c>
      <c r="D323" s="451" t="str">
        <f>'No Recurrentes 24-26'!D185</f>
        <v>Manto. Hidraulico</v>
      </c>
      <c r="E323" s="451" t="str">
        <f>'No Recurrentes 24-26'!E185</f>
        <v>Repuesto Hidráulico</v>
      </c>
      <c r="F323" s="451" t="str">
        <f>'No Recurrentes 24-26'!F185</f>
        <v>TDB</v>
      </c>
      <c r="G323" s="1025" t="str">
        <f>'No Recurrentes 24-26'!G185</f>
        <v>39800</v>
      </c>
      <c r="H323" s="1061" t="str">
        <f>'No Recurrentes 24-26'!H185</f>
        <v>2-01-00568</v>
      </c>
      <c r="I323" s="1061" t="str">
        <f>'No Recurrentes 24-26'!I185</f>
        <v>10311398</v>
      </c>
      <c r="J323" s="1061" t="str">
        <f>'No Recurrentes 24-26'!J185</f>
        <v>FILTRO        0240 D 005 ON                             HYDAC</v>
      </c>
      <c r="K323" s="451" t="str">
        <f>'No Recurrentes 24-26'!K185</f>
        <v>Pza</v>
      </c>
      <c r="L323" s="451" t="str">
        <f>'No Recurrentes 24-26'!BC185</f>
        <v/>
      </c>
      <c r="M323" s="451" t="str">
        <f>'No Recurrentes 24-26'!BD185</f>
        <v/>
      </c>
      <c r="N323" s="451" t="str">
        <f>'No Recurrentes 24-26'!BE185</f>
        <v/>
      </c>
      <c r="O323" s="451" t="str">
        <f>'No Recurrentes 24-26'!BF185</f>
        <v/>
      </c>
      <c r="P323" s="451" t="str">
        <f>'No Recurrentes 24-26'!BG185</f>
        <v/>
      </c>
      <c r="Q323" s="451" t="str">
        <f>'No Recurrentes 24-26'!BH185</f>
        <v/>
      </c>
      <c r="R323" s="451" t="str">
        <f>'No Recurrentes 24-26'!BI185</f>
        <v/>
      </c>
      <c r="S323" s="451" t="str">
        <f>'No Recurrentes 24-26'!BJ185</f>
        <v/>
      </c>
      <c r="T323" s="451" t="str">
        <f>'No Recurrentes 24-26'!BK185</f>
        <v/>
      </c>
      <c r="U323" s="451" t="str">
        <f>'No Recurrentes 24-26'!BL185</f>
        <v/>
      </c>
      <c r="V323" s="1068"/>
      <c r="W323" s="1062">
        <f>'No Recurrentes 24-26'!BM185</f>
        <v>0</v>
      </c>
      <c r="X323" s="1062" t="str">
        <f>'No Recurrentes 24-26'!BN185</f>
        <v/>
      </c>
      <c r="Y323" s="1062" t="str">
        <f>'No Recurrentes 24-26'!BO185</f>
        <v/>
      </c>
      <c r="Z323" s="1062">
        <f>'No Recurrentes 24-26'!BP185</f>
        <v>3</v>
      </c>
      <c r="AA323" s="1062">
        <f>'No Recurrentes 24-26'!BQ185</f>
        <v>2</v>
      </c>
      <c r="AB323" s="1062" t="str">
        <f>'No Recurrentes 24-26'!BR185</f>
        <v/>
      </c>
      <c r="AC323" s="1062" t="str">
        <f>'No Recurrentes 24-26'!BS185</f>
        <v/>
      </c>
      <c r="AD323" s="1062">
        <f>'No Recurrentes 24-26'!BT185</f>
        <v>2</v>
      </c>
      <c r="AE323" s="1062">
        <f>'No Recurrentes 24-26'!BU185</f>
        <v>3</v>
      </c>
      <c r="AF323" s="1062" t="str">
        <f>'No Recurrentes 24-26'!BV185</f>
        <v/>
      </c>
      <c r="AG323" s="1062">
        <f>'No Recurrentes 24-26'!BW185</f>
        <v>2</v>
      </c>
      <c r="AH323" s="1068"/>
      <c r="AI323" s="1062">
        <f>'No Recurrentes 24-26'!BX185</f>
        <v>12</v>
      </c>
      <c r="AJ323" s="1062">
        <f>'No Recurrentes 24-26'!BY185</f>
        <v>0</v>
      </c>
      <c r="AK323" s="1062">
        <f>'No Recurrentes 24-26'!BZ185</f>
        <v>2</v>
      </c>
      <c r="AL323" s="1062">
        <f>'No Recurrentes 24-26'!CA185</f>
        <v>0</v>
      </c>
      <c r="AM323" s="1062">
        <f>'No Recurrentes 24-26'!CB185</f>
        <v>0</v>
      </c>
      <c r="AN323" s="1062">
        <f>'No Recurrentes 24-26'!CC185</f>
        <v>2</v>
      </c>
      <c r="AO323" s="1062">
        <f>'No Recurrentes 24-26'!CD185</f>
        <v>2</v>
      </c>
      <c r="AP323" s="1062">
        <f>'No Recurrentes 24-26'!CE185</f>
        <v>0</v>
      </c>
      <c r="AQ323" s="1062">
        <f>'No Recurrentes 24-26'!CF185</f>
        <v>0</v>
      </c>
      <c r="AR323" s="1062">
        <f>'No Recurrentes 24-26'!CG185</f>
        <v>0</v>
      </c>
      <c r="AS323" s="1062">
        <f>'No Recurrentes 24-26'!CH185</f>
        <v>0</v>
      </c>
      <c r="AT323" s="1068"/>
      <c r="AU323" s="1062">
        <f>'No Recurrentes 24-26'!CI185</f>
        <v>6</v>
      </c>
      <c r="AV323" s="1063">
        <f>'No Recurrentes 24-26'!CJ185</f>
        <v>18</v>
      </c>
      <c r="AW323" s="1068"/>
      <c r="AX323" s="1065">
        <f>'No Recurrentes 24-26'!CK185</f>
        <v>430.79</v>
      </c>
      <c r="AY323" s="1062">
        <f>'No Recurrentes 24-26'!CL185</f>
        <v>2998.2984</v>
      </c>
      <c r="AZ323" s="1068"/>
      <c r="BA323" s="1062">
        <f>'No Recurrentes 24-26'!CM185</f>
        <v>0</v>
      </c>
      <c r="BB323" s="1062">
        <f>'No Recurrentes 24-26'!CN185</f>
        <v>0</v>
      </c>
      <c r="BC323" s="1062">
        <f>'No Recurrentes 24-26'!CO185</f>
        <v>0</v>
      </c>
      <c r="BD323" s="1062">
        <f>'No Recurrentes 24-26'!CP185</f>
        <v>0</v>
      </c>
      <c r="BE323" s="1062">
        <f>'No Recurrentes 24-26'!CQ185</f>
        <v>0</v>
      </c>
      <c r="BF323" s="1062">
        <f>'No Recurrentes 24-26'!CR185</f>
        <v>0</v>
      </c>
      <c r="BG323" s="1062">
        <f>'No Recurrentes 24-26'!CS185</f>
        <v>0</v>
      </c>
      <c r="BH323" s="1062">
        <f>'No Recurrentes 24-26'!CT185</f>
        <v>0</v>
      </c>
      <c r="BI323" s="1062">
        <f>'No Recurrentes 24-26'!CU185</f>
        <v>0</v>
      </c>
      <c r="BJ323" s="1062">
        <f>'No Recurrentes 24-26'!CV185</f>
        <v>0</v>
      </c>
      <c r="BK323" s="1068"/>
      <c r="BL323" s="1062">
        <f>'No Recurrentes 24-26'!CW185</f>
        <v>0</v>
      </c>
      <c r="BM323" s="1062">
        <f>'No Recurrentes 24-26'!CX185</f>
        <v>0</v>
      </c>
      <c r="BN323" s="1062">
        <f>'No Recurrentes 24-26'!CY185</f>
        <v>0</v>
      </c>
      <c r="BO323" s="1062">
        <f>'No Recurrentes 24-26'!CZ185</f>
        <v>8994.8952</v>
      </c>
      <c r="BP323" s="1062">
        <f>'No Recurrentes 24-26'!DA185</f>
        <v>5996.5968</v>
      </c>
      <c r="BQ323" s="1062">
        <f>'No Recurrentes 24-26'!DB185</f>
        <v>0</v>
      </c>
      <c r="BR323" s="1062">
        <f>'No Recurrentes 24-26'!DC185</f>
        <v>0</v>
      </c>
      <c r="BS323" s="1062">
        <f>'No Recurrentes 24-26'!DD185</f>
        <v>5996.5968</v>
      </c>
      <c r="BT323" s="1062">
        <f>'No Recurrentes 24-26'!DE185</f>
        <v>8994.8952</v>
      </c>
      <c r="BU323" s="1062">
        <f>'No Recurrentes 24-26'!DF185</f>
        <v>0</v>
      </c>
      <c r="BV323" s="1062">
        <f>'No Recurrentes 24-26'!DG185</f>
        <v>5996.5968</v>
      </c>
      <c r="BW323" s="1068"/>
      <c r="BX323" s="1062">
        <f>'No Recurrentes 24-26'!DH185</f>
        <v>35979.5808</v>
      </c>
      <c r="BY323" s="1062">
        <f>'No Recurrentes 24-26'!DI185</f>
        <v>0</v>
      </c>
      <c r="BZ323" s="1062">
        <f>'No Recurrentes 24-26'!DJ185</f>
        <v>5996.5968</v>
      </c>
      <c r="CA323" s="1062">
        <f>'No Recurrentes 24-26'!DK185</f>
        <v>0</v>
      </c>
      <c r="CB323" s="1062">
        <f>'No Recurrentes 24-26'!DL185</f>
        <v>0</v>
      </c>
      <c r="CC323" s="1062">
        <f>'No Recurrentes 24-26'!DM185</f>
        <v>5996.5968</v>
      </c>
      <c r="CD323" s="1062">
        <f>'No Recurrentes 24-26'!DN185</f>
        <v>5996.5968</v>
      </c>
      <c r="CE323" s="1062">
        <f>'No Recurrentes 24-26'!DO185</f>
        <v>0</v>
      </c>
      <c r="CF323" s="1062">
        <f>'No Recurrentes 24-26'!DP185</f>
        <v>0</v>
      </c>
      <c r="CG323" s="1062">
        <f>'No Recurrentes 24-26'!DQ185</f>
        <v>0</v>
      </c>
      <c r="CH323" s="1062">
        <f>'No Recurrentes 24-26'!DR185</f>
        <v>0</v>
      </c>
      <c r="CI323" s="1068"/>
      <c r="CJ323" s="1062">
        <f>'No Recurrentes 24-26'!DS185</f>
        <v>17989.7904</v>
      </c>
      <c r="CK323" s="1062">
        <f>'No Recurrentes 24-26'!DT185</f>
        <v>53969.3712</v>
      </c>
      <c r="CL323" s="1064" t="str">
        <f>'No Recurrentes 24-26'!DU185</f>
        <v/>
      </c>
      <c r="CM323" s="1064" t="str">
        <f>'No Recurrentes 24-26'!DV185</f>
        <v/>
      </c>
      <c r="CN323" s="1060">
        <f>'No Recurrentes 24-26'!EI181</f>
        <v>1</v>
      </c>
      <c r="CO323" s="1060" t="str">
        <f>'No Recurrentes 24-26'!EJ181</f>
        <v/>
      </c>
      <c r="CP323" s="1060" t="str">
        <f>'No Recurrentes 24-26'!EK181</f>
        <v/>
      </c>
    </row>
    <row r="324">
      <c r="A324" s="451" t="str">
        <f>'No Recurrentes 24-26'!A186</f>
        <v>Repuestos Electromecánicos no recurrentes</v>
      </c>
      <c r="B324" s="451">
        <f>'No Recurrentes 24-26'!B186</f>
        <v>2</v>
      </c>
      <c r="C324" s="451" t="str">
        <f>'No Recurrentes 24-26'!C186</f>
        <v>Estación</v>
      </c>
      <c r="D324" s="451" t="str">
        <f>'No Recurrentes 24-26'!D186</f>
        <v>Manto. Hidraulico</v>
      </c>
      <c r="E324" s="451" t="str">
        <f>'No Recurrentes 24-26'!E186</f>
        <v>Repuesto Hidráulico</v>
      </c>
      <c r="F324" s="451" t="str">
        <f>'No Recurrentes 24-26'!F186</f>
        <v>TDB</v>
      </c>
      <c r="G324" s="1025" t="str">
        <f>'No Recurrentes 24-26'!G186</f>
        <v>39800</v>
      </c>
      <c r="H324" s="1061" t="str">
        <f>'No Recurrentes 24-26'!H186</f>
        <v>2-01-00234</v>
      </c>
      <c r="I324" s="1061" t="str">
        <f>'No Recurrentes 24-26'!I186</f>
        <v>10397941</v>
      </c>
      <c r="J324" s="1061" t="str">
        <f>'No Recurrentes 24-26'!J186</f>
        <v>CIL.HIDR.CGS10N38X CURSO CORTO CARGA NOM.(PRES.):10T  TECNOS.</v>
      </c>
      <c r="K324" s="451" t="str">
        <f>'No Recurrentes 24-26'!K186</f>
        <v>Pza</v>
      </c>
      <c r="L324" s="451" t="str">
        <f>'No Recurrentes 24-26'!BC186</f>
        <v/>
      </c>
      <c r="M324" s="451" t="str">
        <f>'No Recurrentes 24-26'!BD186</f>
        <v/>
      </c>
      <c r="N324" s="451" t="str">
        <f>'No Recurrentes 24-26'!BE186</f>
        <v/>
      </c>
      <c r="O324" s="451" t="str">
        <f>'No Recurrentes 24-26'!BF186</f>
        <v/>
      </c>
      <c r="P324" s="451" t="str">
        <f>'No Recurrentes 24-26'!BG186</f>
        <v/>
      </c>
      <c r="Q324" s="451" t="str">
        <f>'No Recurrentes 24-26'!BH186</f>
        <v/>
      </c>
      <c r="R324" s="451" t="str">
        <f>'No Recurrentes 24-26'!BI186</f>
        <v/>
      </c>
      <c r="S324" s="451" t="str">
        <f>'No Recurrentes 24-26'!BJ186</f>
        <v/>
      </c>
      <c r="T324" s="451" t="str">
        <f>'No Recurrentes 24-26'!BK186</f>
        <v/>
      </c>
      <c r="U324" s="451" t="str">
        <f>'No Recurrentes 24-26'!BL186</f>
        <v/>
      </c>
      <c r="V324" s="1068"/>
      <c r="W324" s="1062">
        <f>'No Recurrentes 24-26'!BM186</f>
        <v>0</v>
      </c>
      <c r="X324" s="1062" t="str">
        <f>'No Recurrentes 24-26'!BN186</f>
        <v/>
      </c>
      <c r="Y324" s="1062">
        <f>'No Recurrentes 24-26'!BO186</f>
        <v>1</v>
      </c>
      <c r="Z324" s="1062">
        <f>'No Recurrentes 24-26'!BP186</f>
        <v>2</v>
      </c>
      <c r="AA324" s="1062">
        <f>'No Recurrentes 24-26'!BQ186</f>
        <v>2</v>
      </c>
      <c r="AB324" s="1062">
        <f>'No Recurrentes 24-26'!BR186</f>
        <v>2</v>
      </c>
      <c r="AC324" s="1062">
        <f>'No Recurrentes 24-26'!BS186</f>
        <v>1</v>
      </c>
      <c r="AD324" s="1062">
        <f>'No Recurrentes 24-26'!BT186</f>
        <v>1</v>
      </c>
      <c r="AE324" s="1062">
        <f>'No Recurrentes 24-26'!BU186</f>
        <v>1</v>
      </c>
      <c r="AF324" s="1062" t="str">
        <f>'No Recurrentes 24-26'!BV186</f>
        <v/>
      </c>
      <c r="AG324" s="1062">
        <f>'No Recurrentes 24-26'!BW186</f>
        <v>1</v>
      </c>
      <c r="AH324" s="1068"/>
      <c r="AI324" s="1062">
        <f>'No Recurrentes 24-26'!BX186</f>
        <v>11</v>
      </c>
      <c r="AJ324" s="1062">
        <f>'No Recurrentes 24-26'!BY186</f>
        <v>0</v>
      </c>
      <c r="AK324" s="1062">
        <f>'No Recurrentes 24-26'!BZ186</f>
        <v>0</v>
      </c>
      <c r="AL324" s="1062">
        <f>'No Recurrentes 24-26'!CA186</f>
        <v>0</v>
      </c>
      <c r="AM324" s="1062">
        <f>'No Recurrentes 24-26'!CB186</f>
        <v>0</v>
      </c>
      <c r="AN324" s="1062">
        <f>'No Recurrentes 24-26'!CC186</f>
        <v>0</v>
      </c>
      <c r="AO324" s="1062">
        <f>'No Recurrentes 24-26'!CD186</f>
        <v>0</v>
      </c>
      <c r="AP324" s="1062">
        <f>'No Recurrentes 24-26'!CE186</f>
        <v>0</v>
      </c>
      <c r="AQ324" s="1062">
        <f>'No Recurrentes 24-26'!CF186</f>
        <v>0</v>
      </c>
      <c r="AR324" s="1062">
        <f>'No Recurrentes 24-26'!CG186</f>
        <v>0</v>
      </c>
      <c r="AS324" s="1062">
        <f>'No Recurrentes 24-26'!CH186</f>
        <v>1</v>
      </c>
      <c r="AT324" s="1068"/>
      <c r="AU324" s="1062">
        <f>'No Recurrentes 24-26'!CI186</f>
        <v>1</v>
      </c>
      <c r="AV324" s="1063">
        <f>'No Recurrentes 24-26'!CJ186</f>
        <v>12</v>
      </c>
      <c r="AW324" s="1068"/>
      <c r="AX324" s="1065">
        <f>'No Recurrentes 24-26'!CK186</f>
        <v>669.75</v>
      </c>
      <c r="AY324" s="1062">
        <f>'No Recurrentes 24-26'!CL186</f>
        <v>4661.46</v>
      </c>
      <c r="AZ324" s="1068"/>
      <c r="BA324" s="1062">
        <f>'No Recurrentes 24-26'!CM186</f>
        <v>0</v>
      </c>
      <c r="BB324" s="1062">
        <f>'No Recurrentes 24-26'!CN186</f>
        <v>0</v>
      </c>
      <c r="BC324" s="1062">
        <f>'No Recurrentes 24-26'!CO186</f>
        <v>0</v>
      </c>
      <c r="BD324" s="1062">
        <f>'No Recurrentes 24-26'!CP186</f>
        <v>0</v>
      </c>
      <c r="BE324" s="1062">
        <f>'No Recurrentes 24-26'!CQ186</f>
        <v>0</v>
      </c>
      <c r="BF324" s="1062">
        <f>'No Recurrentes 24-26'!CR186</f>
        <v>0</v>
      </c>
      <c r="BG324" s="1062">
        <f>'No Recurrentes 24-26'!CS186</f>
        <v>0</v>
      </c>
      <c r="BH324" s="1062">
        <f>'No Recurrentes 24-26'!CT186</f>
        <v>0</v>
      </c>
      <c r="BI324" s="1062">
        <f>'No Recurrentes 24-26'!CU186</f>
        <v>0</v>
      </c>
      <c r="BJ324" s="1062">
        <f>'No Recurrentes 24-26'!CV186</f>
        <v>0</v>
      </c>
      <c r="BK324" s="1068"/>
      <c r="BL324" s="1062">
        <f>'No Recurrentes 24-26'!CW186</f>
        <v>0</v>
      </c>
      <c r="BM324" s="1062">
        <f>'No Recurrentes 24-26'!CX186</f>
        <v>0</v>
      </c>
      <c r="BN324" s="1062">
        <f>'No Recurrentes 24-26'!CY186</f>
        <v>4661.46</v>
      </c>
      <c r="BO324" s="1062">
        <f>'No Recurrentes 24-26'!CZ186</f>
        <v>9322.92</v>
      </c>
      <c r="BP324" s="1062">
        <f>'No Recurrentes 24-26'!DA186</f>
        <v>9322.92</v>
      </c>
      <c r="BQ324" s="1062">
        <f>'No Recurrentes 24-26'!DB186</f>
        <v>9322.92</v>
      </c>
      <c r="BR324" s="1062">
        <f>'No Recurrentes 24-26'!DC186</f>
        <v>4661.46</v>
      </c>
      <c r="BS324" s="1062">
        <f>'No Recurrentes 24-26'!DD186</f>
        <v>4661.46</v>
      </c>
      <c r="BT324" s="1062">
        <f>'No Recurrentes 24-26'!DE186</f>
        <v>4661.46</v>
      </c>
      <c r="BU324" s="1062">
        <f>'No Recurrentes 24-26'!DF186</f>
        <v>0</v>
      </c>
      <c r="BV324" s="1062">
        <f>'No Recurrentes 24-26'!DG186</f>
        <v>4661.46</v>
      </c>
      <c r="BW324" s="1068"/>
      <c r="BX324" s="1062">
        <f>'No Recurrentes 24-26'!DH186</f>
        <v>51276.06</v>
      </c>
      <c r="BY324" s="1062">
        <f>'No Recurrentes 24-26'!DI186</f>
        <v>0</v>
      </c>
      <c r="BZ324" s="1062">
        <f>'No Recurrentes 24-26'!DJ186</f>
        <v>0</v>
      </c>
      <c r="CA324" s="1062">
        <f>'No Recurrentes 24-26'!DK186</f>
        <v>0</v>
      </c>
      <c r="CB324" s="1062">
        <f>'No Recurrentes 24-26'!DL186</f>
        <v>0</v>
      </c>
      <c r="CC324" s="1062">
        <f>'No Recurrentes 24-26'!DM186</f>
        <v>0</v>
      </c>
      <c r="CD324" s="1062">
        <f>'No Recurrentes 24-26'!DN186</f>
        <v>0</v>
      </c>
      <c r="CE324" s="1062">
        <f>'No Recurrentes 24-26'!DO186</f>
        <v>0</v>
      </c>
      <c r="CF324" s="1062">
        <f>'No Recurrentes 24-26'!DP186</f>
        <v>0</v>
      </c>
      <c r="CG324" s="1062">
        <f>'No Recurrentes 24-26'!DQ186</f>
        <v>0</v>
      </c>
      <c r="CH324" s="1062">
        <f>'No Recurrentes 24-26'!DR186</f>
        <v>4661.46</v>
      </c>
      <c r="CI324" s="1068"/>
      <c r="CJ324" s="1062">
        <f>'No Recurrentes 24-26'!DS186</f>
        <v>4661.46</v>
      </c>
      <c r="CK324" s="1062">
        <f>'No Recurrentes 24-26'!DT186</f>
        <v>55937.52</v>
      </c>
      <c r="CL324" s="1064" t="str">
        <f>'No Recurrentes 24-26'!DU186</f>
        <v/>
      </c>
      <c r="CM324" s="1064" t="str">
        <f>'No Recurrentes 24-26'!DV186</f>
        <v/>
      </c>
      <c r="CN324" s="1065">
        <f>'No Recurrentes 24-26'!EI182</f>
        <v>12708.5</v>
      </c>
      <c r="CO324" s="1065">
        <f>'No Recurrentes 24-26'!EJ182</f>
        <v>10802.23</v>
      </c>
      <c r="CP324" s="1060" t="str">
        <f>'No Recurrentes 24-26'!EK182</f>
        <v/>
      </c>
    </row>
    <row r="325">
      <c r="A325" s="451" t="str">
        <f>'No Recurrentes 24-26'!A187</f>
        <v>Repuestos Electromecánicos no recurrentes</v>
      </c>
      <c r="B325" s="451">
        <f>'No Recurrentes 24-26'!B187</f>
        <v>2</v>
      </c>
      <c r="C325" s="451" t="str">
        <f>'No Recurrentes 24-26'!C187</f>
        <v>Estación</v>
      </c>
      <c r="D325" s="451" t="str">
        <f>'No Recurrentes 24-26'!D187</f>
        <v>Manto. Hidraulico</v>
      </c>
      <c r="E325" s="451" t="str">
        <f>'No Recurrentes 24-26'!E187</f>
        <v>Repuesto Hidráulico</v>
      </c>
      <c r="F325" s="451" t="str">
        <f>'No Recurrentes 24-26'!F187</f>
        <v>TDB</v>
      </c>
      <c r="G325" s="1025" t="str">
        <f>'No Recurrentes 24-26'!G187</f>
        <v>39800</v>
      </c>
      <c r="H325" s="1061" t="str">
        <f>'No Recurrentes 24-26'!H187</f>
        <v>2-04-00017</v>
      </c>
      <c r="I325" s="1061" t="str">
        <f>'No Recurrentes 24-26'!I187</f>
        <v>11160476</v>
      </c>
      <c r="J325" s="1061" t="str">
        <f>'No Recurrentes 24-26'!J187</f>
        <v>VALV.DIST.2/2 SK 7936 L-RK-X-24-T 2/2 V.DISTR.DE ASIENTO HAWE</v>
      </c>
      <c r="K325" s="451" t="str">
        <f>'No Recurrentes 24-26'!K187</f>
        <v>Pza</v>
      </c>
      <c r="L325" s="451">
        <f>'No Recurrentes 24-26'!BC187</f>
        <v>1</v>
      </c>
      <c r="M325" s="451" t="str">
        <f>'No Recurrentes 24-26'!BD187</f>
        <v/>
      </c>
      <c r="N325" s="451" t="str">
        <f>'No Recurrentes 24-26'!BE187</f>
        <v/>
      </c>
      <c r="O325" s="451" t="str">
        <f>'No Recurrentes 24-26'!BF187</f>
        <v/>
      </c>
      <c r="P325" s="451" t="str">
        <f>'No Recurrentes 24-26'!BG187</f>
        <v/>
      </c>
      <c r="Q325" s="451" t="str">
        <f>'No Recurrentes 24-26'!BH187</f>
        <v/>
      </c>
      <c r="R325" s="451">
        <f>'No Recurrentes 24-26'!BI187</f>
        <v>1</v>
      </c>
      <c r="S325" s="451">
        <f>'No Recurrentes 24-26'!BJ187</f>
        <v>1</v>
      </c>
      <c r="T325" s="451" t="str">
        <f>'No Recurrentes 24-26'!BK187</f>
        <v/>
      </c>
      <c r="U325" s="451" t="str">
        <f>'No Recurrentes 24-26'!BL187</f>
        <v/>
      </c>
      <c r="V325" s="1068"/>
      <c r="W325" s="1062">
        <f>'No Recurrentes 24-26'!BM187</f>
        <v>3</v>
      </c>
      <c r="X325" s="1062" t="str">
        <f>'No Recurrentes 24-26'!BN187</f>
        <v/>
      </c>
      <c r="Y325" s="1062" t="str">
        <f>'No Recurrentes 24-26'!BO187</f>
        <v/>
      </c>
      <c r="Z325" s="1062" t="str">
        <f>'No Recurrentes 24-26'!BP187</f>
        <v/>
      </c>
      <c r="AA325" s="1062">
        <f>'No Recurrentes 24-26'!BQ187</f>
        <v>1</v>
      </c>
      <c r="AB325" s="1062">
        <f>'No Recurrentes 24-26'!BR187</f>
        <v>1</v>
      </c>
      <c r="AC325" s="1062" t="str">
        <f>'No Recurrentes 24-26'!BS187</f>
        <v/>
      </c>
      <c r="AD325" s="1062" t="str">
        <f>'No Recurrentes 24-26'!BT187</f>
        <v/>
      </c>
      <c r="AE325" s="1062" t="str">
        <f>'No Recurrentes 24-26'!BU187</f>
        <v/>
      </c>
      <c r="AF325" s="1062" t="str">
        <f>'No Recurrentes 24-26'!BV187</f>
        <v/>
      </c>
      <c r="AG325" s="1062">
        <f>'No Recurrentes 24-26'!BW187</f>
        <v>1</v>
      </c>
      <c r="AH325" s="1068"/>
      <c r="AI325" s="1062">
        <f>'No Recurrentes 24-26'!BX187</f>
        <v>3</v>
      </c>
      <c r="AJ325" s="1062">
        <f>'No Recurrentes 24-26'!BY187</f>
        <v>0</v>
      </c>
      <c r="AK325" s="1062">
        <f>'No Recurrentes 24-26'!BZ187</f>
        <v>0</v>
      </c>
      <c r="AL325" s="1062">
        <f>'No Recurrentes 24-26'!CA187</f>
        <v>0</v>
      </c>
      <c r="AM325" s="1062">
        <f>'No Recurrentes 24-26'!CB187</f>
        <v>0</v>
      </c>
      <c r="AN325" s="1062">
        <f>'No Recurrentes 24-26'!CC187</f>
        <v>0</v>
      </c>
      <c r="AO325" s="1062">
        <f>'No Recurrentes 24-26'!CD187</f>
        <v>0</v>
      </c>
      <c r="AP325" s="1062">
        <f>'No Recurrentes 24-26'!CE187</f>
        <v>0</v>
      </c>
      <c r="AQ325" s="1062">
        <f>'No Recurrentes 24-26'!CF187</f>
        <v>0</v>
      </c>
      <c r="AR325" s="1062">
        <f>'No Recurrentes 24-26'!CG187</f>
        <v>0</v>
      </c>
      <c r="AS325" s="1062">
        <f>'No Recurrentes 24-26'!CH187</f>
        <v>0</v>
      </c>
      <c r="AT325" s="1068"/>
      <c r="AU325" s="1062">
        <f>'No Recurrentes 24-26'!CI187</f>
        <v>0</v>
      </c>
      <c r="AV325" s="1063">
        <f>'No Recurrentes 24-26'!CJ187</f>
        <v>6</v>
      </c>
      <c r="AW325" s="1068"/>
      <c r="AX325" s="1065">
        <f>'No Recurrentes 24-26'!CK187</f>
        <v>1333.7</v>
      </c>
      <c r="AY325" s="1062">
        <f>'No Recurrentes 24-26'!CL187</f>
        <v>9282.552</v>
      </c>
      <c r="AZ325" s="1068"/>
      <c r="BA325" s="1062">
        <f>'No Recurrentes 24-26'!CM187</f>
        <v>9282.552</v>
      </c>
      <c r="BB325" s="1062">
        <f>'No Recurrentes 24-26'!CN187</f>
        <v>0</v>
      </c>
      <c r="BC325" s="1062">
        <f>'No Recurrentes 24-26'!CO187</f>
        <v>0</v>
      </c>
      <c r="BD325" s="1062">
        <f>'No Recurrentes 24-26'!CP187</f>
        <v>0</v>
      </c>
      <c r="BE325" s="1062">
        <f>'No Recurrentes 24-26'!CQ187</f>
        <v>0</v>
      </c>
      <c r="BF325" s="1062">
        <f>'No Recurrentes 24-26'!CR187</f>
        <v>0</v>
      </c>
      <c r="BG325" s="1062">
        <f>'No Recurrentes 24-26'!CS187</f>
        <v>9282.552</v>
      </c>
      <c r="BH325" s="1062">
        <f>'No Recurrentes 24-26'!CT187</f>
        <v>9282.552</v>
      </c>
      <c r="BI325" s="1062">
        <f>'No Recurrentes 24-26'!CU187</f>
        <v>0</v>
      </c>
      <c r="BJ325" s="1062">
        <f>'No Recurrentes 24-26'!CV187</f>
        <v>0</v>
      </c>
      <c r="BK325" s="1068"/>
      <c r="BL325" s="1062">
        <f>'No Recurrentes 24-26'!CW187</f>
        <v>27847.656</v>
      </c>
      <c r="BM325" s="1062">
        <f>'No Recurrentes 24-26'!CX187</f>
        <v>0</v>
      </c>
      <c r="BN325" s="1062">
        <f>'No Recurrentes 24-26'!CY187</f>
        <v>0</v>
      </c>
      <c r="BO325" s="1062">
        <f>'No Recurrentes 24-26'!CZ187</f>
        <v>0</v>
      </c>
      <c r="BP325" s="1062">
        <f>'No Recurrentes 24-26'!DA187</f>
        <v>9282.552</v>
      </c>
      <c r="BQ325" s="1062">
        <f>'No Recurrentes 24-26'!DB187</f>
        <v>9282.552</v>
      </c>
      <c r="BR325" s="1062">
        <f>'No Recurrentes 24-26'!DC187</f>
        <v>0</v>
      </c>
      <c r="BS325" s="1062">
        <f>'No Recurrentes 24-26'!DD187</f>
        <v>0</v>
      </c>
      <c r="BT325" s="1062">
        <f>'No Recurrentes 24-26'!DE187</f>
        <v>0</v>
      </c>
      <c r="BU325" s="1062">
        <f>'No Recurrentes 24-26'!DF187</f>
        <v>0</v>
      </c>
      <c r="BV325" s="1062">
        <f>'No Recurrentes 24-26'!DG187</f>
        <v>9282.552</v>
      </c>
      <c r="BW325" s="1068"/>
      <c r="BX325" s="1062">
        <f>'No Recurrentes 24-26'!DH187</f>
        <v>27847.656</v>
      </c>
      <c r="BY325" s="1062">
        <f>'No Recurrentes 24-26'!DI187</f>
        <v>0</v>
      </c>
      <c r="BZ325" s="1062">
        <f>'No Recurrentes 24-26'!DJ187</f>
        <v>0</v>
      </c>
      <c r="CA325" s="1062">
        <f>'No Recurrentes 24-26'!DK187</f>
        <v>0</v>
      </c>
      <c r="CB325" s="1062">
        <f>'No Recurrentes 24-26'!DL187</f>
        <v>0</v>
      </c>
      <c r="CC325" s="1062">
        <f>'No Recurrentes 24-26'!DM187</f>
        <v>0</v>
      </c>
      <c r="CD325" s="1062">
        <f>'No Recurrentes 24-26'!DN187</f>
        <v>0</v>
      </c>
      <c r="CE325" s="1062">
        <f>'No Recurrentes 24-26'!DO187</f>
        <v>0</v>
      </c>
      <c r="CF325" s="1062">
        <f>'No Recurrentes 24-26'!DP187</f>
        <v>0</v>
      </c>
      <c r="CG325" s="1062">
        <f>'No Recurrentes 24-26'!DQ187</f>
        <v>0</v>
      </c>
      <c r="CH325" s="1062">
        <f>'No Recurrentes 24-26'!DR187</f>
        <v>0</v>
      </c>
      <c r="CI325" s="1068"/>
      <c r="CJ325" s="1062">
        <f>'No Recurrentes 24-26'!DS187</f>
        <v>0</v>
      </c>
      <c r="CK325" s="1062">
        <f>'No Recurrentes 24-26'!DT187</f>
        <v>55695.312</v>
      </c>
      <c r="CL325" s="1064" t="str">
        <f>'No Recurrentes 24-26'!DU187</f>
        <v/>
      </c>
      <c r="CM325" s="1064" t="str">
        <f>'No Recurrentes 24-26'!DV187</f>
        <v>Se une de item Valvula de seguridad</v>
      </c>
      <c r="CN325" s="1065">
        <f>'No Recurrentes 24-26'!EI183</f>
        <v>601.46</v>
      </c>
      <c r="CO325" s="1065">
        <f>'No Recurrentes 24-26'!EJ183</f>
        <v>511.24</v>
      </c>
      <c r="CP325" s="1060" t="str">
        <f>'No Recurrentes 24-26'!EK183</f>
        <v/>
      </c>
    </row>
    <row r="326">
      <c r="A326" s="451" t="str">
        <f>'No Recurrentes 24-26'!A188</f>
        <v>Repuestos Electromecánicos no recurrentes</v>
      </c>
      <c r="B326" s="451">
        <f>'No Recurrentes 24-26'!B188</f>
        <v>2</v>
      </c>
      <c r="C326" s="451" t="str">
        <f>'No Recurrentes 24-26'!C188</f>
        <v>Estación</v>
      </c>
      <c r="D326" s="451" t="str">
        <f>'No Recurrentes 24-26'!D188</f>
        <v>Manto. Hidraulico</v>
      </c>
      <c r="E326" s="451" t="str">
        <f>'No Recurrentes 24-26'!E188</f>
        <v>Repuesto Hidráulico</v>
      </c>
      <c r="F326" s="451" t="str">
        <f>'No Recurrentes 24-26'!F188</f>
        <v>TDB</v>
      </c>
      <c r="G326" s="1025" t="str">
        <f>'No Recurrentes 24-26'!G188</f>
        <v>39800</v>
      </c>
      <c r="H326" s="1061" t="str">
        <f>'No Recurrentes 24-26'!H188</f>
        <v>2-01-00577</v>
      </c>
      <c r="I326" s="1061" t="str">
        <f>'No Recurrentes 24-26'!I188</f>
        <v>11247815</v>
      </c>
      <c r="J326" s="1061" t="str">
        <f>'No Recurrentes 24-26'!J188</f>
        <v>MANGUERA AP AN25-2SC L=2400MM     DKOL-28/CEL-28</v>
      </c>
      <c r="K326" s="451" t="str">
        <f>'No Recurrentes 24-26'!K188</f>
        <v>Pza</v>
      </c>
      <c r="L326" s="451" t="str">
        <f>'No Recurrentes 24-26'!BC188</f>
        <v/>
      </c>
      <c r="M326" s="451" t="str">
        <f>'No Recurrentes 24-26'!BD188</f>
        <v/>
      </c>
      <c r="N326" s="451" t="str">
        <f>'No Recurrentes 24-26'!BE188</f>
        <v/>
      </c>
      <c r="O326" s="451" t="str">
        <f>'No Recurrentes 24-26'!BF188</f>
        <v/>
      </c>
      <c r="P326" s="451" t="str">
        <f>'No Recurrentes 24-26'!BG188</f>
        <v/>
      </c>
      <c r="Q326" s="451" t="str">
        <f>'No Recurrentes 24-26'!BH188</f>
        <v/>
      </c>
      <c r="R326" s="451" t="str">
        <f>'No Recurrentes 24-26'!BI188</f>
        <v/>
      </c>
      <c r="S326" s="451" t="str">
        <f>'No Recurrentes 24-26'!BJ188</f>
        <v/>
      </c>
      <c r="T326" s="451" t="str">
        <f>'No Recurrentes 24-26'!BK188</f>
        <v/>
      </c>
      <c r="U326" s="451" t="str">
        <f>'No Recurrentes 24-26'!BL188</f>
        <v/>
      </c>
      <c r="V326" s="1068"/>
      <c r="W326" s="1062">
        <f>'No Recurrentes 24-26'!BM188</f>
        <v>0</v>
      </c>
      <c r="X326" s="1062">
        <f>'No Recurrentes 24-26'!BN188</f>
        <v>4</v>
      </c>
      <c r="Y326" s="1062">
        <f>'No Recurrentes 24-26'!BO188</f>
        <v>2</v>
      </c>
      <c r="Z326" s="1062">
        <f>'No Recurrentes 24-26'!BP188</f>
        <v>4</v>
      </c>
      <c r="AA326" s="1062" t="str">
        <f>'No Recurrentes 24-26'!BQ188</f>
        <v/>
      </c>
      <c r="AB326" s="1062" t="str">
        <f>'No Recurrentes 24-26'!BR188</f>
        <v/>
      </c>
      <c r="AC326" s="1062" t="str">
        <f>'No Recurrentes 24-26'!BS188</f>
        <v/>
      </c>
      <c r="AD326" s="1062" t="str">
        <f>'No Recurrentes 24-26'!BT188</f>
        <v/>
      </c>
      <c r="AE326" s="1062" t="str">
        <f>'No Recurrentes 24-26'!BU188</f>
        <v/>
      </c>
      <c r="AF326" s="1062" t="str">
        <f>'No Recurrentes 24-26'!BV188</f>
        <v/>
      </c>
      <c r="AG326" s="1062" t="str">
        <f>'No Recurrentes 24-26'!BW188</f>
        <v/>
      </c>
      <c r="AH326" s="1068"/>
      <c r="AI326" s="1062">
        <f>'No Recurrentes 24-26'!BX188</f>
        <v>10</v>
      </c>
      <c r="AJ326" s="1062">
        <f>'No Recurrentes 24-26'!BY188</f>
        <v>0</v>
      </c>
      <c r="AK326" s="1062">
        <f>'No Recurrentes 24-26'!BZ188</f>
        <v>0</v>
      </c>
      <c r="AL326" s="1062">
        <f>'No Recurrentes 24-26'!CA188</f>
        <v>0</v>
      </c>
      <c r="AM326" s="1062">
        <f>'No Recurrentes 24-26'!CB188</f>
        <v>0</v>
      </c>
      <c r="AN326" s="1062">
        <f>'No Recurrentes 24-26'!CC188</f>
        <v>0</v>
      </c>
      <c r="AO326" s="1062">
        <f>'No Recurrentes 24-26'!CD188</f>
        <v>0</v>
      </c>
      <c r="AP326" s="1062">
        <f>'No Recurrentes 24-26'!CE188</f>
        <v>0</v>
      </c>
      <c r="AQ326" s="1062">
        <f>'No Recurrentes 24-26'!CF188</f>
        <v>0</v>
      </c>
      <c r="AR326" s="1062">
        <f>'No Recurrentes 24-26'!CG188</f>
        <v>0</v>
      </c>
      <c r="AS326" s="1062">
        <f>'No Recurrentes 24-26'!CH188</f>
        <v>0</v>
      </c>
      <c r="AT326" s="1068"/>
      <c r="AU326" s="1062">
        <f>'No Recurrentes 24-26'!CI188</f>
        <v>0</v>
      </c>
      <c r="AV326" s="1063">
        <f>'No Recurrentes 24-26'!CJ188</f>
        <v>10</v>
      </c>
      <c r="AW326" s="1068"/>
      <c r="AX326" s="1065">
        <f>'No Recurrentes 24-26'!CK188</f>
        <v>354.14</v>
      </c>
      <c r="AY326" s="1062">
        <f>'No Recurrentes 24-26'!CL188</f>
        <v>2464.8144</v>
      </c>
      <c r="AZ326" s="1068"/>
      <c r="BA326" s="1062">
        <f>'No Recurrentes 24-26'!CM188</f>
        <v>0</v>
      </c>
      <c r="BB326" s="1062">
        <f>'No Recurrentes 24-26'!CN188</f>
        <v>0</v>
      </c>
      <c r="BC326" s="1062">
        <f>'No Recurrentes 24-26'!CO188</f>
        <v>0</v>
      </c>
      <c r="BD326" s="1062">
        <f>'No Recurrentes 24-26'!CP188</f>
        <v>0</v>
      </c>
      <c r="BE326" s="1062">
        <f>'No Recurrentes 24-26'!CQ188</f>
        <v>0</v>
      </c>
      <c r="BF326" s="1062">
        <f>'No Recurrentes 24-26'!CR188</f>
        <v>0</v>
      </c>
      <c r="BG326" s="1062">
        <f>'No Recurrentes 24-26'!CS188</f>
        <v>0</v>
      </c>
      <c r="BH326" s="1062">
        <f>'No Recurrentes 24-26'!CT188</f>
        <v>0</v>
      </c>
      <c r="BI326" s="1062">
        <f>'No Recurrentes 24-26'!CU188</f>
        <v>0</v>
      </c>
      <c r="BJ326" s="1062">
        <f>'No Recurrentes 24-26'!CV188</f>
        <v>0</v>
      </c>
      <c r="BK326" s="1068"/>
      <c r="BL326" s="1062">
        <f>'No Recurrentes 24-26'!CW188</f>
        <v>0</v>
      </c>
      <c r="BM326" s="1062">
        <f>'No Recurrentes 24-26'!CX188</f>
        <v>9859.2576</v>
      </c>
      <c r="BN326" s="1062">
        <f>'No Recurrentes 24-26'!CY188</f>
        <v>4929.6288</v>
      </c>
      <c r="BO326" s="1062">
        <f>'No Recurrentes 24-26'!CZ188</f>
        <v>9859.2576</v>
      </c>
      <c r="BP326" s="1062">
        <f>'No Recurrentes 24-26'!DA188</f>
        <v>0</v>
      </c>
      <c r="BQ326" s="1062">
        <f>'No Recurrentes 24-26'!DB188</f>
        <v>0</v>
      </c>
      <c r="BR326" s="1062">
        <f>'No Recurrentes 24-26'!DC188</f>
        <v>0</v>
      </c>
      <c r="BS326" s="1062">
        <f>'No Recurrentes 24-26'!DD188</f>
        <v>0</v>
      </c>
      <c r="BT326" s="1062">
        <f>'No Recurrentes 24-26'!DE188</f>
        <v>0</v>
      </c>
      <c r="BU326" s="1062">
        <f>'No Recurrentes 24-26'!DF188</f>
        <v>0</v>
      </c>
      <c r="BV326" s="1062">
        <f>'No Recurrentes 24-26'!DG188</f>
        <v>0</v>
      </c>
      <c r="BW326" s="1068"/>
      <c r="BX326" s="1062">
        <f>'No Recurrentes 24-26'!DH188</f>
        <v>24648.144</v>
      </c>
      <c r="BY326" s="1062">
        <f>'No Recurrentes 24-26'!DI188</f>
        <v>0</v>
      </c>
      <c r="BZ326" s="1062">
        <f>'No Recurrentes 24-26'!DJ188</f>
        <v>0</v>
      </c>
      <c r="CA326" s="1062">
        <f>'No Recurrentes 24-26'!DK188</f>
        <v>0</v>
      </c>
      <c r="CB326" s="1062">
        <f>'No Recurrentes 24-26'!DL188</f>
        <v>0</v>
      </c>
      <c r="CC326" s="1062">
        <f>'No Recurrentes 24-26'!DM188</f>
        <v>0</v>
      </c>
      <c r="CD326" s="1062">
        <f>'No Recurrentes 24-26'!DN188</f>
        <v>0</v>
      </c>
      <c r="CE326" s="1062">
        <f>'No Recurrentes 24-26'!DO188</f>
        <v>0</v>
      </c>
      <c r="CF326" s="1062">
        <f>'No Recurrentes 24-26'!DP188</f>
        <v>0</v>
      </c>
      <c r="CG326" s="1062">
        <f>'No Recurrentes 24-26'!DQ188</f>
        <v>0</v>
      </c>
      <c r="CH326" s="1062">
        <f>'No Recurrentes 24-26'!DR188</f>
        <v>0</v>
      </c>
      <c r="CI326" s="1068"/>
      <c r="CJ326" s="1062">
        <f>'No Recurrentes 24-26'!DS188</f>
        <v>0</v>
      </c>
      <c r="CK326" s="1062">
        <f>'No Recurrentes 24-26'!DT188</f>
        <v>24648.144</v>
      </c>
      <c r="CL326" s="1064" t="str">
        <f>'No Recurrentes 24-26'!DU188</f>
        <v/>
      </c>
      <c r="CM326" s="1064" t="str">
        <f>'No Recurrentes 24-26'!DV188</f>
        <v/>
      </c>
      <c r="CN326" s="1065">
        <f>'No Recurrentes 24-26'!EI184</f>
        <v>342.26</v>
      </c>
      <c r="CO326" s="1065">
        <f>'No Recurrentes 24-26'!EJ184</f>
        <v>290.92</v>
      </c>
      <c r="CP326" s="1060" t="str">
        <f>'No Recurrentes 24-26'!EK184</f>
        <v/>
      </c>
    </row>
    <row r="327">
      <c r="A327" s="451" t="str">
        <f>'No Recurrentes 24-26'!A189</f>
        <v>Repuestos Electromecánicos no recurrentes</v>
      </c>
      <c r="B327" s="451">
        <f>'No Recurrentes 24-26'!B189</f>
        <v>2</v>
      </c>
      <c r="C327" s="451" t="str">
        <f>'No Recurrentes 24-26'!C189</f>
        <v>Estación</v>
      </c>
      <c r="D327" s="451" t="str">
        <f>'No Recurrentes 24-26'!D189</f>
        <v>Manto. Hidraulico</v>
      </c>
      <c r="E327" s="451" t="str">
        <f>'No Recurrentes 24-26'!E189</f>
        <v>Repuesto Hidráulico</v>
      </c>
      <c r="F327" s="451" t="str">
        <f>'No Recurrentes 24-26'!F189</f>
        <v>TDB</v>
      </c>
      <c r="G327" s="1025" t="str">
        <f>'No Recurrentes 24-26'!G189</f>
        <v>39800</v>
      </c>
      <c r="H327" s="1061" t="str">
        <f>'No Recurrentes 24-26'!H189</f>
        <v>2-01-00576</v>
      </c>
      <c r="I327" s="1061" t="str">
        <f>'No Recurrentes 24-26'!I189</f>
        <v>11247961</v>
      </c>
      <c r="J327" s="1061" t="str">
        <f>'No Recurrentes 24-26'!J189</f>
        <v>MANGUERA AP AN35-2SC L=900MM      DKOL-28/DKOL90-28</v>
      </c>
      <c r="K327" s="451" t="str">
        <f>'No Recurrentes 24-26'!K189</f>
        <v>Pza</v>
      </c>
      <c r="L327" s="451" t="str">
        <f>'No Recurrentes 24-26'!BC189</f>
        <v/>
      </c>
      <c r="M327" s="451" t="str">
        <f>'No Recurrentes 24-26'!BD189</f>
        <v/>
      </c>
      <c r="N327" s="451" t="str">
        <f>'No Recurrentes 24-26'!BE189</f>
        <v/>
      </c>
      <c r="O327" s="451" t="str">
        <f>'No Recurrentes 24-26'!BF189</f>
        <v/>
      </c>
      <c r="P327" s="451" t="str">
        <f>'No Recurrentes 24-26'!BG189</f>
        <v/>
      </c>
      <c r="Q327" s="451" t="str">
        <f>'No Recurrentes 24-26'!BH189</f>
        <v/>
      </c>
      <c r="R327" s="451" t="str">
        <f>'No Recurrentes 24-26'!BI189</f>
        <v/>
      </c>
      <c r="S327" s="451" t="str">
        <f>'No Recurrentes 24-26'!BJ189</f>
        <v/>
      </c>
      <c r="T327" s="451" t="str">
        <f>'No Recurrentes 24-26'!BK189</f>
        <v/>
      </c>
      <c r="U327" s="451" t="str">
        <f>'No Recurrentes 24-26'!BL189</f>
        <v/>
      </c>
      <c r="V327" s="1068"/>
      <c r="W327" s="1062">
        <f>'No Recurrentes 24-26'!BM189</f>
        <v>0</v>
      </c>
      <c r="X327" s="1062">
        <f>'No Recurrentes 24-26'!BN189</f>
        <v>4</v>
      </c>
      <c r="Y327" s="1062">
        <f>'No Recurrentes 24-26'!BO189</f>
        <v>2</v>
      </c>
      <c r="Z327" s="1062">
        <f>'No Recurrentes 24-26'!BP189</f>
        <v>2</v>
      </c>
      <c r="AA327" s="1062" t="str">
        <f>'No Recurrentes 24-26'!BQ189</f>
        <v/>
      </c>
      <c r="AB327" s="1062" t="str">
        <f>'No Recurrentes 24-26'!BR189</f>
        <v/>
      </c>
      <c r="AC327" s="1062" t="str">
        <f>'No Recurrentes 24-26'!BS189</f>
        <v/>
      </c>
      <c r="AD327" s="1062" t="str">
        <f>'No Recurrentes 24-26'!BT189</f>
        <v/>
      </c>
      <c r="AE327" s="1062" t="str">
        <f>'No Recurrentes 24-26'!BU189</f>
        <v/>
      </c>
      <c r="AF327" s="1062" t="str">
        <f>'No Recurrentes 24-26'!BV189</f>
        <v/>
      </c>
      <c r="AG327" s="1062" t="str">
        <f>'No Recurrentes 24-26'!BW189</f>
        <v/>
      </c>
      <c r="AH327" s="1068"/>
      <c r="AI327" s="1062">
        <f>'No Recurrentes 24-26'!BX189</f>
        <v>8</v>
      </c>
      <c r="AJ327" s="1062">
        <f>'No Recurrentes 24-26'!BY189</f>
        <v>0</v>
      </c>
      <c r="AK327" s="1062">
        <f>'No Recurrentes 24-26'!BZ189</f>
        <v>0</v>
      </c>
      <c r="AL327" s="1062">
        <f>'No Recurrentes 24-26'!CA189</f>
        <v>0</v>
      </c>
      <c r="AM327" s="1062">
        <f>'No Recurrentes 24-26'!CB189</f>
        <v>0</v>
      </c>
      <c r="AN327" s="1062">
        <f>'No Recurrentes 24-26'!CC189</f>
        <v>0</v>
      </c>
      <c r="AO327" s="1062">
        <f>'No Recurrentes 24-26'!CD189</f>
        <v>0</v>
      </c>
      <c r="AP327" s="1062">
        <f>'No Recurrentes 24-26'!CE189</f>
        <v>0</v>
      </c>
      <c r="AQ327" s="1062">
        <f>'No Recurrentes 24-26'!CF189</f>
        <v>0</v>
      </c>
      <c r="AR327" s="1062">
        <f>'No Recurrentes 24-26'!CG189</f>
        <v>0</v>
      </c>
      <c r="AS327" s="1062">
        <f>'No Recurrentes 24-26'!CH189</f>
        <v>0</v>
      </c>
      <c r="AT327" s="1068"/>
      <c r="AU327" s="1062">
        <f>'No Recurrentes 24-26'!CI189</f>
        <v>0</v>
      </c>
      <c r="AV327" s="1063">
        <f>'No Recurrentes 24-26'!CJ189</f>
        <v>8</v>
      </c>
      <c r="AW327" s="1068"/>
      <c r="AX327" s="1065">
        <f>'No Recurrentes 24-26'!CK189</f>
        <v>266.77</v>
      </c>
      <c r="AY327" s="1062">
        <f>'No Recurrentes 24-26'!CL189</f>
        <v>1856.7192</v>
      </c>
      <c r="AZ327" s="1068"/>
      <c r="BA327" s="1062">
        <f>'No Recurrentes 24-26'!CM189</f>
        <v>0</v>
      </c>
      <c r="BB327" s="1062">
        <f>'No Recurrentes 24-26'!CN189</f>
        <v>0</v>
      </c>
      <c r="BC327" s="1062">
        <f>'No Recurrentes 24-26'!CO189</f>
        <v>0</v>
      </c>
      <c r="BD327" s="1062">
        <f>'No Recurrentes 24-26'!CP189</f>
        <v>0</v>
      </c>
      <c r="BE327" s="1062">
        <f>'No Recurrentes 24-26'!CQ189</f>
        <v>0</v>
      </c>
      <c r="BF327" s="1062">
        <f>'No Recurrentes 24-26'!CR189</f>
        <v>0</v>
      </c>
      <c r="BG327" s="1062">
        <f>'No Recurrentes 24-26'!CS189</f>
        <v>0</v>
      </c>
      <c r="BH327" s="1062">
        <f>'No Recurrentes 24-26'!CT189</f>
        <v>0</v>
      </c>
      <c r="BI327" s="1062">
        <f>'No Recurrentes 24-26'!CU189</f>
        <v>0</v>
      </c>
      <c r="BJ327" s="1062">
        <f>'No Recurrentes 24-26'!CV189</f>
        <v>0</v>
      </c>
      <c r="BK327" s="1068"/>
      <c r="BL327" s="1062">
        <f>'No Recurrentes 24-26'!CW189</f>
        <v>0</v>
      </c>
      <c r="BM327" s="1062">
        <f>'No Recurrentes 24-26'!CX189</f>
        <v>7426.8768</v>
      </c>
      <c r="BN327" s="1062">
        <f>'No Recurrentes 24-26'!CY189</f>
        <v>3713.4384</v>
      </c>
      <c r="BO327" s="1062">
        <f>'No Recurrentes 24-26'!CZ189</f>
        <v>3713.4384</v>
      </c>
      <c r="BP327" s="1062">
        <f>'No Recurrentes 24-26'!DA189</f>
        <v>0</v>
      </c>
      <c r="BQ327" s="1062">
        <f>'No Recurrentes 24-26'!DB189</f>
        <v>0</v>
      </c>
      <c r="BR327" s="1062">
        <f>'No Recurrentes 24-26'!DC189</f>
        <v>0</v>
      </c>
      <c r="BS327" s="1062">
        <f>'No Recurrentes 24-26'!DD189</f>
        <v>0</v>
      </c>
      <c r="BT327" s="1062">
        <f>'No Recurrentes 24-26'!DE189</f>
        <v>0</v>
      </c>
      <c r="BU327" s="1062">
        <f>'No Recurrentes 24-26'!DF189</f>
        <v>0</v>
      </c>
      <c r="BV327" s="1062">
        <f>'No Recurrentes 24-26'!DG189</f>
        <v>0</v>
      </c>
      <c r="BW327" s="1068"/>
      <c r="BX327" s="1062">
        <f>'No Recurrentes 24-26'!DH189</f>
        <v>14853.7536</v>
      </c>
      <c r="BY327" s="1062">
        <f>'No Recurrentes 24-26'!DI189</f>
        <v>0</v>
      </c>
      <c r="BZ327" s="1062">
        <f>'No Recurrentes 24-26'!DJ189</f>
        <v>0</v>
      </c>
      <c r="CA327" s="1062">
        <f>'No Recurrentes 24-26'!DK189</f>
        <v>0</v>
      </c>
      <c r="CB327" s="1062">
        <f>'No Recurrentes 24-26'!DL189</f>
        <v>0</v>
      </c>
      <c r="CC327" s="1062">
        <f>'No Recurrentes 24-26'!DM189</f>
        <v>0</v>
      </c>
      <c r="CD327" s="1062">
        <f>'No Recurrentes 24-26'!DN189</f>
        <v>0</v>
      </c>
      <c r="CE327" s="1062">
        <f>'No Recurrentes 24-26'!DO189</f>
        <v>0</v>
      </c>
      <c r="CF327" s="1062">
        <f>'No Recurrentes 24-26'!DP189</f>
        <v>0</v>
      </c>
      <c r="CG327" s="1062">
        <f>'No Recurrentes 24-26'!DQ189</f>
        <v>0</v>
      </c>
      <c r="CH327" s="1062">
        <f>'No Recurrentes 24-26'!DR189</f>
        <v>0</v>
      </c>
      <c r="CI327" s="1068"/>
      <c r="CJ327" s="1062">
        <f>'No Recurrentes 24-26'!DS189</f>
        <v>0</v>
      </c>
      <c r="CK327" s="1062">
        <f>'No Recurrentes 24-26'!DT189</f>
        <v>14853.7536</v>
      </c>
      <c r="CL327" s="1064" t="str">
        <f>'No Recurrentes 24-26'!DU189</f>
        <v/>
      </c>
      <c r="CM327" s="1064" t="str">
        <f>'No Recurrentes 24-26'!DV189</f>
        <v/>
      </c>
      <c r="CN327" s="1065">
        <f>'No Recurrentes 24-26'!EI185</f>
        <v>430.79</v>
      </c>
      <c r="CO327" s="1065">
        <f>'No Recurrentes 24-26'!EJ185</f>
        <v>366.17</v>
      </c>
      <c r="CP327" s="1060" t="str">
        <f>'No Recurrentes 24-26'!EK185</f>
        <v/>
      </c>
    </row>
    <row r="328">
      <c r="A328" s="451" t="str">
        <f>'No Recurrentes 24-26'!A190</f>
        <v>Repuestos Electromecánicos no recurrentes</v>
      </c>
      <c r="B328" s="451">
        <f>'No Recurrentes 24-26'!B190</f>
        <v>2</v>
      </c>
      <c r="C328" s="451" t="str">
        <f>'No Recurrentes 24-26'!C190</f>
        <v>Estación</v>
      </c>
      <c r="D328" s="451" t="str">
        <f>'No Recurrentes 24-26'!D190</f>
        <v>Manto. Hidraulico</v>
      </c>
      <c r="E328" s="451" t="str">
        <f>'No Recurrentes 24-26'!E190</f>
        <v>Repuesto Hidráulico</v>
      </c>
      <c r="F328" s="451" t="str">
        <f>'No Recurrentes 24-26'!F190</f>
        <v>TDB</v>
      </c>
      <c r="G328" s="1025" t="str">
        <f>'No Recurrentes 24-26'!G190</f>
        <v>39800</v>
      </c>
      <c r="H328" s="1061" t="str">
        <f>'No Recurrentes 24-26'!H190</f>
        <v>2-01-00432</v>
      </c>
      <c r="I328" s="1061" t="str">
        <f>'No Recurrentes 24-26'!I190</f>
        <v>10261450</v>
      </c>
      <c r="J328" s="1061" t="str">
        <f>'No Recurrentes 24-26'!J190</f>
        <v>FILTRO        0030 D 005 ON                             HYDAC</v>
      </c>
      <c r="K328" s="451" t="str">
        <f>'No Recurrentes 24-26'!K190</f>
        <v>Pza</v>
      </c>
      <c r="L328" s="451" t="str">
        <f>'No Recurrentes 24-26'!BC190</f>
        <v/>
      </c>
      <c r="M328" s="451" t="str">
        <f>'No Recurrentes 24-26'!BD190</f>
        <v/>
      </c>
      <c r="N328" s="451" t="str">
        <f>'No Recurrentes 24-26'!BE190</f>
        <v/>
      </c>
      <c r="O328" s="451" t="str">
        <f>'No Recurrentes 24-26'!BF190</f>
        <v/>
      </c>
      <c r="P328" s="451" t="str">
        <f>'No Recurrentes 24-26'!BG190</f>
        <v/>
      </c>
      <c r="Q328" s="451" t="str">
        <f>'No Recurrentes 24-26'!BH190</f>
        <v/>
      </c>
      <c r="R328" s="451" t="str">
        <f>'No Recurrentes 24-26'!BI190</f>
        <v/>
      </c>
      <c r="S328" s="451" t="str">
        <f>'No Recurrentes 24-26'!BJ190</f>
        <v/>
      </c>
      <c r="T328" s="451" t="str">
        <f>'No Recurrentes 24-26'!BK190</f>
        <v/>
      </c>
      <c r="U328" s="451" t="str">
        <f>'No Recurrentes 24-26'!BL190</f>
        <v/>
      </c>
      <c r="V328" s="1068"/>
      <c r="W328" s="1062">
        <f>'No Recurrentes 24-26'!BM190</f>
        <v>0</v>
      </c>
      <c r="X328" s="1062">
        <f>'No Recurrentes 24-26'!BN190</f>
        <v>4</v>
      </c>
      <c r="Y328" s="1062">
        <f>'No Recurrentes 24-26'!BO190</f>
        <v>2</v>
      </c>
      <c r="Z328" s="1062">
        <f>'No Recurrentes 24-26'!BP190</f>
        <v>4</v>
      </c>
      <c r="AA328" s="1062">
        <f>'No Recurrentes 24-26'!BQ190</f>
        <v>0</v>
      </c>
      <c r="AB328" s="1062">
        <f>'No Recurrentes 24-26'!BR190</f>
        <v>0</v>
      </c>
      <c r="AC328" s="1062">
        <f>'No Recurrentes 24-26'!BS190</f>
        <v>4</v>
      </c>
      <c r="AD328" s="1062">
        <f>'No Recurrentes 24-26'!BT190</f>
        <v>4</v>
      </c>
      <c r="AE328" s="1062">
        <f>'No Recurrentes 24-26'!BU190</f>
        <v>4</v>
      </c>
      <c r="AF328" s="1062">
        <f>'No Recurrentes 24-26'!BV190</f>
        <v>2</v>
      </c>
      <c r="AG328" s="1062">
        <f>'No Recurrentes 24-26'!BW190</f>
        <v>4</v>
      </c>
      <c r="AH328" s="1068"/>
      <c r="AI328" s="1062">
        <f>'No Recurrentes 24-26'!BX190</f>
        <v>28</v>
      </c>
      <c r="AJ328" s="1062">
        <f>'No Recurrentes 24-26'!BY190</f>
        <v>0</v>
      </c>
      <c r="AK328" s="1062">
        <f>'No Recurrentes 24-26'!BZ190</f>
        <v>0</v>
      </c>
      <c r="AL328" s="1062">
        <f>'No Recurrentes 24-26'!CA190</f>
        <v>0</v>
      </c>
      <c r="AM328" s="1062">
        <f>'No Recurrentes 24-26'!CB190</f>
        <v>4</v>
      </c>
      <c r="AN328" s="1062">
        <f>'No Recurrentes 24-26'!CC190</f>
        <v>4</v>
      </c>
      <c r="AO328" s="1062">
        <f>'No Recurrentes 24-26'!CD190</f>
        <v>4</v>
      </c>
      <c r="AP328" s="1062">
        <f>'No Recurrentes 24-26'!CE190</f>
        <v>0</v>
      </c>
      <c r="AQ328" s="1062">
        <f>'No Recurrentes 24-26'!CF190</f>
        <v>0</v>
      </c>
      <c r="AR328" s="1062">
        <f>'No Recurrentes 24-26'!CG190</f>
        <v>0</v>
      </c>
      <c r="AS328" s="1062">
        <f>'No Recurrentes 24-26'!CH190</f>
        <v>0</v>
      </c>
      <c r="AT328" s="1068"/>
      <c r="AU328" s="1062">
        <f>'No Recurrentes 24-26'!CI190</f>
        <v>12</v>
      </c>
      <c r="AV328" s="1063">
        <f>'No Recurrentes 24-26'!CJ190</f>
        <v>40</v>
      </c>
      <c r="AW328" s="1068"/>
      <c r="AX328" s="1065">
        <f>'No Recurrentes 24-26'!CK190</f>
        <v>100.41</v>
      </c>
      <c r="AY328" s="1062">
        <f>'No Recurrentes 24-26'!CL190</f>
        <v>698.8536</v>
      </c>
      <c r="AZ328" s="1068"/>
      <c r="BA328" s="1062">
        <f>'No Recurrentes 24-26'!CM190</f>
        <v>0</v>
      </c>
      <c r="BB328" s="1062">
        <f>'No Recurrentes 24-26'!CN190</f>
        <v>0</v>
      </c>
      <c r="BC328" s="1062">
        <f>'No Recurrentes 24-26'!CO190</f>
        <v>0</v>
      </c>
      <c r="BD328" s="1062">
        <f>'No Recurrentes 24-26'!CP190</f>
        <v>0</v>
      </c>
      <c r="BE328" s="1062">
        <f>'No Recurrentes 24-26'!CQ190</f>
        <v>0</v>
      </c>
      <c r="BF328" s="1062">
        <f>'No Recurrentes 24-26'!CR190</f>
        <v>0</v>
      </c>
      <c r="BG328" s="1062">
        <f>'No Recurrentes 24-26'!CS190</f>
        <v>0</v>
      </c>
      <c r="BH328" s="1062">
        <f>'No Recurrentes 24-26'!CT190</f>
        <v>0</v>
      </c>
      <c r="BI328" s="1062">
        <f>'No Recurrentes 24-26'!CU190</f>
        <v>0</v>
      </c>
      <c r="BJ328" s="1062">
        <f>'No Recurrentes 24-26'!CV190</f>
        <v>0</v>
      </c>
      <c r="BK328" s="1068"/>
      <c r="BL328" s="1062">
        <f>'No Recurrentes 24-26'!CW190</f>
        <v>0</v>
      </c>
      <c r="BM328" s="1062">
        <f>'No Recurrentes 24-26'!CX190</f>
        <v>2795.4144</v>
      </c>
      <c r="BN328" s="1062">
        <f>'No Recurrentes 24-26'!CY190</f>
        <v>1397.7072</v>
      </c>
      <c r="BO328" s="1062">
        <f>'No Recurrentes 24-26'!CZ190</f>
        <v>2795.4144</v>
      </c>
      <c r="BP328" s="1062">
        <f>'No Recurrentes 24-26'!DA190</f>
        <v>0</v>
      </c>
      <c r="BQ328" s="1062">
        <f>'No Recurrentes 24-26'!DB190</f>
        <v>0</v>
      </c>
      <c r="BR328" s="1062">
        <f>'No Recurrentes 24-26'!DC190</f>
        <v>2795.4144</v>
      </c>
      <c r="BS328" s="1062">
        <f>'No Recurrentes 24-26'!DD190</f>
        <v>2795.4144</v>
      </c>
      <c r="BT328" s="1062">
        <f>'No Recurrentes 24-26'!DE190</f>
        <v>2795.4144</v>
      </c>
      <c r="BU328" s="1062">
        <f>'No Recurrentes 24-26'!DF190</f>
        <v>1397.7072</v>
      </c>
      <c r="BV328" s="1062">
        <f>'No Recurrentes 24-26'!DG190</f>
        <v>2795.4144</v>
      </c>
      <c r="BW328" s="1068"/>
      <c r="BX328" s="1062">
        <f>'No Recurrentes 24-26'!DH190</f>
        <v>19567.9008</v>
      </c>
      <c r="BY328" s="1062">
        <f>'No Recurrentes 24-26'!DI190</f>
        <v>0</v>
      </c>
      <c r="BZ328" s="1062">
        <f>'No Recurrentes 24-26'!DJ190</f>
        <v>0</v>
      </c>
      <c r="CA328" s="1062">
        <f>'No Recurrentes 24-26'!DK190</f>
        <v>0</v>
      </c>
      <c r="CB328" s="1062">
        <f>'No Recurrentes 24-26'!DL190</f>
        <v>2795.4144</v>
      </c>
      <c r="CC328" s="1062">
        <f>'No Recurrentes 24-26'!DM190</f>
        <v>2795.4144</v>
      </c>
      <c r="CD328" s="1062">
        <f>'No Recurrentes 24-26'!DN190</f>
        <v>2795.4144</v>
      </c>
      <c r="CE328" s="1062">
        <f>'No Recurrentes 24-26'!DO190</f>
        <v>0</v>
      </c>
      <c r="CF328" s="1062">
        <f>'No Recurrentes 24-26'!DP190</f>
        <v>0</v>
      </c>
      <c r="CG328" s="1062">
        <f>'No Recurrentes 24-26'!DQ190</f>
        <v>0</v>
      </c>
      <c r="CH328" s="1062">
        <f>'No Recurrentes 24-26'!DR190</f>
        <v>0</v>
      </c>
      <c r="CI328" s="1068"/>
      <c r="CJ328" s="1062">
        <f>'No Recurrentes 24-26'!DS190</f>
        <v>8386.2432</v>
      </c>
      <c r="CK328" s="1062">
        <f>'No Recurrentes 24-26'!DT190</f>
        <v>27954.144</v>
      </c>
      <c r="CL328" s="1064" t="str">
        <f>'No Recurrentes 24-26'!DU190</f>
        <v/>
      </c>
      <c r="CM328" s="1064" t="str">
        <f>'No Recurrentes 24-26'!DV190</f>
        <v/>
      </c>
      <c r="CN328" s="1065">
        <f>'No Recurrentes 24-26'!EI186</f>
        <v>669.75</v>
      </c>
      <c r="CO328" s="1065">
        <f>'No Recurrentes 24-26'!EJ186</f>
        <v>569.29</v>
      </c>
      <c r="CP328" s="1060" t="str">
        <f>'No Recurrentes 24-26'!EK186</f>
        <v/>
      </c>
    </row>
    <row r="329">
      <c r="A329" s="451" t="str">
        <f>'No Recurrentes 24-26'!A191</f>
        <v>Repuestos Electromecánicos no recurrentes</v>
      </c>
      <c r="B329" s="451">
        <f>'No Recurrentes 24-26'!B191</f>
        <v>2</v>
      </c>
      <c r="C329" s="451" t="str">
        <f>'No Recurrentes 24-26'!C191</f>
        <v>Estación</v>
      </c>
      <c r="D329" s="451" t="str">
        <f>'No Recurrentes 24-26'!D191</f>
        <v>Manto. Hidraulico</v>
      </c>
      <c r="E329" s="451" t="str">
        <f>'No Recurrentes 24-26'!E191</f>
        <v>Repuesto Hidráulico</v>
      </c>
      <c r="F329" s="451" t="str">
        <f>'No Recurrentes 24-26'!F191</f>
        <v>TDB</v>
      </c>
      <c r="G329" s="1025" t="str">
        <f>'No Recurrentes 24-26'!G191</f>
        <v>39800</v>
      </c>
      <c r="H329" s="1061" t="str">
        <f>'No Recurrentes 24-26'!H191</f>
        <v/>
      </c>
      <c r="I329" s="1061" t="str">
        <f>'No Recurrentes 24-26'!I191</f>
        <v>11668572</v>
      </c>
      <c r="J329" s="1061" t="str">
        <f>'No Recurrentes 24-26'!J191</f>
        <v>MANGUERA AP AN25-2SC L=1700MM CEL-28/DKOL90-28</v>
      </c>
      <c r="K329" s="451" t="str">
        <f>'No Recurrentes 24-26'!K191</f>
        <v>Pza</v>
      </c>
      <c r="L329" s="451" t="str">
        <f>'No Recurrentes 24-26'!BC191</f>
        <v/>
      </c>
      <c r="M329" s="451" t="str">
        <f>'No Recurrentes 24-26'!BD191</f>
        <v/>
      </c>
      <c r="N329" s="451" t="str">
        <f>'No Recurrentes 24-26'!BE191</f>
        <v/>
      </c>
      <c r="O329" s="451" t="str">
        <f>'No Recurrentes 24-26'!BF191</f>
        <v/>
      </c>
      <c r="P329" s="451" t="str">
        <f>'No Recurrentes 24-26'!BG191</f>
        <v/>
      </c>
      <c r="Q329" s="451" t="str">
        <f>'No Recurrentes 24-26'!BH191</f>
        <v/>
      </c>
      <c r="R329" s="451" t="str">
        <f>'No Recurrentes 24-26'!BI191</f>
        <v/>
      </c>
      <c r="S329" s="451" t="str">
        <f>'No Recurrentes 24-26'!BJ191</f>
        <v/>
      </c>
      <c r="T329" s="451" t="str">
        <f>'No Recurrentes 24-26'!BK191</f>
        <v/>
      </c>
      <c r="U329" s="451" t="str">
        <f>'No Recurrentes 24-26'!BL191</f>
        <v/>
      </c>
      <c r="V329" s="1068"/>
      <c r="W329" s="1062">
        <f>'No Recurrentes 24-26'!BM191</f>
        <v>0</v>
      </c>
      <c r="X329" s="1062">
        <f>'No Recurrentes 24-26'!BN191</f>
        <v>2</v>
      </c>
      <c r="Y329" s="1062">
        <f>'No Recurrentes 24-26'!BO191</f>
        <v>2</v>
      </c>
      <c r="Z329" s="1062">
        <f>'No Recurrentes 24-26'!BP191</f>
        <v>2</v>
      </c>
      <c r="AA329" s="1062" t="str">
        <f>'No Recurrentes 24-26'!BQ191</f>
        <v/>
      </c>
      <c r="AB329" s="1062" t="str">
        <f>'No Recurrentes 24-26'!BR191</f>
        <v/>
      </c>
      <c r="AC329" s="1062" t="str">
        <f>'No Recurrentes 24-26'!BS191</f>
        <v/>
      </c>
      <c r="AD329" s="1062" t="str">
        <f>'No Recurrentes 24-26'!BT191</f>
        <v/>
      </c>
      <c r="AE329" s="1062" t="str">
        <f>'No Recurrentes 24-26'!BU191</f>
        <v/>
      </c>
      <c r="AF329" s="1062" t="str">
        <f>'No Recurrentes 24-26'!BV191</f>
        <v/>
      </c>
      <c r="AG329" s="1062" t="str">
        <f>'No Recurrentes 24-26'!BW191</f>
        <v/>
      </c>
      <c r="AH329" s="1068"/>
      <c r="AI329" s="1062">
        <f>'No Recurrentes 24-26'!BX191</f>
        <v>6</v>
      </c>
      <c r="AJ329" s="1062">
        <f>'No Recurrentes 24-26'!BY191</f>
        <v>0</v>
      </c>
      <c r="AK329" s="1062">
        <f>'No Recurrentes 24-26'!BZ191</f>
        <v>0</v>
      </c>
      <c r="AL329" s="1062">
        <f>'No Recurrentes 24-26'!CA191</f>
        <v>0</v>
      </c>
      <c r="AM329" s="1062">
        <f>'No Recurrentes 24-26'!CB191</f>
        <v>0</v>
      </c>
      <c r="AN329" s="1062">
        <f>'No Recurrentes 24-26'!CC191</f>
        <v>0</v>
      </c>
      <c r="AO329" s="1062">
        <f>'No Recurrentes 24-26'!CD191</f>
        <v>0</v>
      </c>
      <c r="AP329" s="1062">
        <f>'No Recurrentes 24-26'!CE191</f>
        <v>0</v>
      </c>
      <c r="AQ329" s="1062">
        <f>'No Recurrentes 24-26'!CF191</f>
        <v>0</v>
      </c>
      <c r="AR329" s="1062">
        <f>'No Recurrentes 24-26'!CG191</f>
        <v>0</v>
      </c>
      <c r="AS329" s="1062">
        <f>'No Recurrentes 24-26'!CH191</f>
        <v>0</v>
      </c>
      <c r="AT329" s="1068"/>
      <c r="AU329" s="1062">
        <f>'No Recurrentes 24-26'!CI191</f>
        <v>0</v>
      </c>
      <c r="AV329" s="1063">
        <f>'No Recurrentes 24-26'!CJ191</f>
        <v>6</v>
      </c>
      <c r="AW329" s="1068"/>
      <c r="AX329" s="1065">
        <f>'No Recurrentes 24-26'!CK191</f>
        <v>323.96</v>
      </c>
      <c r="AY329" s="1062">
        <f>'No Recurrentes 24-26'!CL191</f>
        <v>2254.7616</v>
      </c>
      <c r="AZ329" s="1068"/>
      <c r="BA329" s="1062">
        <f>'No Recurrentes 24-26'!CM191</f>
        <v>0</v>
      </c>
      <c r="BB329" s="1062">
        <f>'No Recurrentes 24-26'!CN191</f>
        <v>0</v>
      </c>
      <c r="BC329" s="1062">
        <f>'No Recurrentes 24-26'!CO191</f>
        <v>0</v>
      </c>
      <c r="BD329" s="1062">
        <f>'No Recurrentes 24-26'!CP191</f>
        <v>0</v>
      </c>
      <c r="BE329" s="1062">
        <f>'No Recurrentes 24-26'!CQ191</f>
        <v>0</v>
      </c>
      <c r="BF329" s="1062">
        <f>'No Recurrentes 24-26'!CR191</f>
        <v>0</v>
      </c>
      <c r="BG329" s="1062">
        <f>'No Recurrentes 24-26'!CS191</f>
        <v>0</v>
      </c>
      <c r="BH329" s="1062">
        <f>'No Recurrentes 24-26'!CT191</f>
        <v>0</v>
      </c>
      <c r="BI329" s="1062">
        <f>'No Recurrentes 24-26'!CU191</f>
        <v>0</v>
      </c>
      <c r="BJ329" s="1062">
        <f>'No Recurrentes 24-26'!CV191</f>
        <v>0</v>
      </c>
      <c r="BK329" s="1068"/>
      <c r="BL329" s="1062">
        <f>'No Recurrentes 24-26'!CW191</f>
        <v>0</v>
      </c>
      <c r="BM329" s="1062">
        <f>'No Recurrentes 24-26'!CX191</f>
        <v>4509.5232</v>
      </c>
      <c r="BN329" s="1062">
        <f>'No Recurrentes 24-26'!CY191</f>
        <v>4509.5232</v>
      </c>
      <c r="BO329" s="1062">
        <f>'No Recurrentes 24-26'!CZ191</f>
        <v>4509.5232</v>
      </c>
      <c r="BP329" s="1062">
        <f>'No Recurrentes 24-26'!DA191</f>
        <v>0</v>
      </c>
      <c r="BQ329" s="1062">
        <f>'No Recurrentes 24-26'!DB191</f>
        <v>0</v>
      </c>
      <c r="BR329" s="1062">
        <f>'No Recurrentes 24-26'!DC191</f>
        <v>0</v>
      </c>
      <c r="BS329" s="1062">
        <f>'No Recurrentes 24-26'!DD191</f>
        <v>0</v>
      </c>
      <c r="BT329" s="1062">
        <f>'No Recurrentes 24-26'!DE191</f>
        <v>0</v>
      </c>
      <c r="BU329" s="1062">
        <f>'No Recurrentes 24-26'!DF191</f>
        <v>0</v>
      </c>
      <c r="BV329" s="1062">
        <f>'No Recurrentes 24-26'!DG191</f>
        <v>0</v>
      </c>
      <c r="BW329" s="1068"/>
      <c r="BX329" s="1062">
        <f>'No Recurrentes 24-26'!DH191</f>
        <v>13528.5696</v>
      </c>
      <c r="BY329" s="1062">
        <f>'No Recurrentes 24-26'!DI191</f>
        <v>0</v>
      </c>
      <c r="BZ329" s="1062">
        <f>'No Recurrentes 24-26'!DJ191</f>
        <v>0</v>
      </c>
      <c r="CA329" s="1062">
        <f>'No Recurrentes 24-26'!DK191</f>
        <v>0</v>
      </c>
      <c r="CB329" s="1062">
        <f>'No Recurrentes 24-26'!DL191</f>
        <v>0</v>
      </c>
      <c r="CC329" s="1062">
        <f>'No Recurrentes 24-26'!DM191</f>
        <v>0</v>
      </c>
      <c r="CD329" s="1062">
        <f>'No Recurrentes 24-26'!DN191</f>
        <v>0</v>
      </c>
      <c r="CE329" s="1062">
        <f>'No Recurrentes 24-26'!DO191</f>
        <v>0</v>
      </c>
      <c r="CF329" s="1062">
        <f>'No Recurrentes 24-26'!DP191</f>
        <v>0</v>
      </c>
      <c r="CG329" s="1062">
        <f>'No Recurrentes 24-26'!DQ191</f>
        <v>0</v>
      </c>
      <c r="CH329" s="1062">
        <f>'No Recurrentes 24-26'!DR191</f>
        <v>0</v>
      </c>
      <c r="CI329" s="1068"/>
      <c r="CJ329" s="1062">
        <f>'No Recurrentes 24-26'!DS191</f>
        <v>0</v>
      </c>
      <c r="CK329" s="1062">
        <f>'No Recurrentes 24-26'!DT191</f>
        <v>13528.5696</v>
      </c>
      <c r="CL329" s="1064" t="str">
        <f>'No Recurrentes 24-26'!DU191</f>
        <v/>
      </c>
      <c r="CM329" s="1064" t="str">
        <f>'No Recurrentes 24-26'!DV191</f>
        <v/>
      </c>
      <c r="CN329" s="1065">
        <f>'No Recurrentes 24-26'!EI187</f>
        <v>1333.7</v>
      </c>
      <c r="CO329" s="1065">
        <f>'No Recurrentes 24-26'!EJ187</f>
        <v>1133.65</v>
      </c>
      <c r="CP329" s="1060" t="str">
        <f>'No Recurrentes 24-26'!EK187</f>
        <v/>
      </c>
    </row>
    <row r="330">
      <c r="A330" s="451" t="str">
        <f>'No Recurrentes 24-26'!A192</f>
        <v>Repuestos Electromecánicos no recurrentes</v>
      </c>
      <c r="B330" s="451">
        <f>'No Recurrentes 24-26'!B192</f>
        <v>2</v>
      </c>
      <c r="C330" s="451" t="str">
        <f>'No Recurrentes 24-26'!C192</f>
        <v>Estación</v>
      </c>
      <c r="D330" s="451" t="str">
        <f>'No Recurrentes 24-26'!D192</f>
        <v>Manto. Hidraulico</v>
      </c>
      <c r="E330" s="451" t="str">
        <f>'No Recurrentes 24-26'!E192</f>
        <v>Repuesto Hidráulico</v>
      </c>
      <c r="F330" s="451" t="str">
        <f>'No Recurrentes 24-26'!F192</f>
        <v>TDB</v>
      </c>
      <c r="G330" s="1025" t="str">
        <f>'No Recurrentes 24-26'!G192</f>
        <v>39800</v>
      </c>
      <c r="H330" s="1061" t="str">
        <f>'No Recurrentes 24-26'!H192</f>
        <v/>
      </c>
      <c r="I330" s="1061" t="str">
        <f>'No Recurrentes 24-26'!I192</f>
        <v>11780604</v>
      </c>
      <c r="J330" s="1061" t="str">
        <f>'No Recurrentes 24-26'!J192</f>
        <v>VÁLVULA DISTR. 3/2 AS32061B-G24-  HRKS792Z328  WANDFLUH</v>
      </c>
      <c r="K330" s="451" t="str">
        <f>'No Recurrentes 24-26'!K192</f>
        <v>Pza</v>
      </c>
      <c r="L330" s="451" t="str">
        <f>'No Recurrentes 24-26'!BC192</f>
        <v/>
      </c>
      <c r="M330" s="451" t="str">
        <f>'No Recurrentes 24-26'!BD192</f>
        <v/>
      </c>
      <c r="N330" s="451" t="str">
        <f>'No Recurrentes 24-26'!BE192</f>
        <v/>
      </c>
      <c r="O330" s="451" t="str">
        <f>'No Recurrentes 24-26'!BF192</f>
        <v/>
      </c>
      <c r="P330" s="451">
        <f>'No Recurrentes 24-26'!BG192</f>
        <v>1</v>
      </c>
      <c r="Q330" s="451">
        <f>'No Recurrentes 24-26'!BH192</f>
        <v>1</v>
      </c>
      <c r="R330" s="451" t="str">
        <f>'No Recurrentes 24-26'!BI192</f>
        <v/>
      </c>
      <c r="S330" s="451" t="str">
        <f>'No Recurrentes 24-26'!BJ192</f>
        <v/>
      </c>
      <c r="T330" s="451" t="str">
        <f>'No Recurrentes 24-26'!BK192</f>
        <v/>
      </c>
      <c r="U330" s="451" t="str">
        <f>'No Recurrentes 24-26'!BL192</f>
        <v/>
      </c>
      <c r="V330" s="1068"/>
      <c r="W330" s="1062">
        <f>'No Recurrentes 24-26'!BM192</f>
        <v>2</v>
      </c>
      <c r="X330" s="1062">
        <f>'No Recurrentes 24-26'!BN192</f>
        <v>1</v>
      </c>
      <c r="Y330" s="1062" t="str">
        <f>'No Recurrentes 24-26'!BO192</f>
        <v/>
      </c>
      <c r="Z330" s="1062" t="str">
        <f>'No Recurrentes 24-26'!BP192</f>
        <v/>
      </c>
      <c r="AA330" s="1062" t="str">
        <f>'No Recurrentes 24-26'!BQ192</f>
        <v/>
      </c>
      <c r="AB330" s="1062" t="str">
        <f>'No Recurrentes 24-26'!BR192</f>
        <v/>
      </c>
      <c r="AC330" s="1062" t="str">
        <f>'No Recurrentes 24-26'!BS192</f>
        <v/>
      </c>
      <c r="AD330" s="1062" t="str">
        <f>'No Recurrentes 24-26'!BT192</f>
        <v/>
      </c>
      <c r="AE330" s="1062" t="str">
        <f>'No Recurrentes 24-26'!BU192</f>
        <v/>
      </c>
      <c r="AF330" s="1062" t="str">
        <f>'No Recurrentes 24-26'!BV192</f>
        <v/>
      </c>
      <c r="AG330" s="1062" t="str">
        <f>'No Recurrentes 24-26'!BW192</f>
        <v/>
      </c>
      <c r="AH330" s="1068"/>
      <c r="AI330" s="1062">
        <f>'No Recurrentes 24-26'!BX192</f>
        <v>1</v>
      </c>
      <c r="AJ330" s="1062">
        <f>'No Recurrentes 24-26'!BY192</f>
        <v>0</v>
      </c>
      <c r="AK330" s="1062">
        <f>'No Recurrentes 24-26'!BZ192</f>
        <v>0</v>
      </c>
      <c r="AL330" s="1062">
        <f>'No Recurrentes 24-26'!CA192</f>
        <v>0</v>
      </c>
      <c r="AM330" s="1062">
        <f>'No Recurrentes 24-26'!CB192</f>
        <v>0</v>
      </c>
      <c r="AN330" s="1062">
        <f>'No Recurrentes 24-26'!CC192</f>
        <v>0</v>
      </c>
      <c r="AO330" s="1062">
        <f>'No Recurrentes 24-26'!CD192</f>
        <v>0</v>
      </c>
      <c r="AP330" s="1062">
        <f>'No Recurrentes 24-26'!CE192</f>
        <v>0</v>
      </c>
      <c r="AQ330" s="1062">
        <f>'No Recurrentes 24-26'!CF192</f>
        <v>0</v>
      </c>
      <c r="AR330" s="1062">
        <f>'No Recurrentes 24-26'!CG192</f>
        <v>0</v>
      </c>
      <c r="AS330" s="1062">
        <f>'No Recurrentes 24-26'!CH192</f>
        <v>0</v>
      </c>
      <c r="AT330" s="1068"/>
      <c r="AU330" s="1062">
        <f>'No Recurrentes 24-26'!CI192</f>
        <v>0</v>
      </c>
      <c r="AV330" s="1063">
        <f>'No Recurrentes 24-26'!CJ192</f>
        <v>3</v>
      </c>
      <c r="AW330" s="1068"/>
      <c r="AX330" s="1065">
        <f>'No Recurrentes 24-26'!CK192</f>
        <v>936.37</v>
      </c>
      <c r="AY330" s="1062">
        <f>'No Recurrentes 24-26'!CL192</f>
        <v>6517.1352</v>
      </c>
      <c r="AZ330" s="1068"/>
      <c r="BA330" s="1062">
        <f>'No Recurrentes 24-26'!CM192</f>
        <v>0</v>
      </c>
      <c r="BB330" s="1062">
        <f>'No Recurrentes 24-26'!CN192</f>
        <v>0</v>
      </c>
      <c r="BC330" s="1062">
        <f>'No Recurrentes 24-26'!CO192</f>
        <v>0</v>
      </c>
      <c r="BD330" s="1062">
        <f>'No Recurrentes 24-26'!CP192</f>
        <v>0</v>
      </c>
      <c r="BE330" s="1062">
        <f>'No Recurrentes 24-26'!CQ192</f>
        <v>6517.1352</v>
      </c>
      <c r="BF330" s="1062">
        <f>'No Recurrentes 24-26'!CR192</f>
        <v>6517.1352</v>
      </c>
      <c r="BG330" s="1062">
        <f>'No Recurrentes 24-26'!CS192</f>
        <v>0</v>
      </c>
      <c r="BH330" s="1062">
        <f>'No Recurrentes 24-26'!CT192</f>
        <v>0</v>
      </c>
      <c r="BI330" s="1062">
        <f>'No Recurrentes 24-26'!CU192</f>
        <v>0</v>
      </c>
      <c r="BJ330" s="1062">
        <f>'No Recurrentes 24-26'!CV192</f>
        <v>0</v>
      </c>
      <c r="BK330" s="1068"/>
      <c r="BL330" s="1062">
        <f>'No Recurrentes 24-26'!CW192</f>
        <v>13034.2704</v>
      </c>
      <c r="BM330" s="1062">
        <f>'No Recurrentes 24-26'!CX192</f>
        <v>6517.1352</v>
      </c>
      <c r="BN330" s="1062">
        <f>'No Recurrentes 24-26'!CY192</f>
        <v>0</v>
      </c>
      <c r="BO330" s="1062">
        <f>'No Recurrentes 24-26'!CZ192</f>
        <v>0</v>
      </c>
      <c r="BP330" s="1062">
        <f>'No Recurrentes 24-26'!DA192</f>
        <v>0</v>
      </c>
      <c r="BQ330" s="1062">
        <f>'No Recurrentes 24-26'!DB192</f>
        <v>0</v>
      </c>
      <c r="BR330" s="1062">
        <f>'No Recurrentes 24-26'!DC192</f>
        <v>0</v>
      </c>
      <c r="BS330" s="1062">
        <f>'No Recurrentes 24-26'!DD192</f>
        <v>0</v>
      </c>
      <c r="BT330" s="1062">
        <f>'No Recurrentes 24-26'!DE192</f>
        <v>0</v>
      </c>
      <c r="BU330" s="1062">
        <f>'No Recurrentes 24-26'!DF192</f>
        <v>0</v>
      </c>
      <c r="BV330" s="1062">
        <f>'No Recurrentes 24-26'!DG192</f>
        <v>0</v>
      </c>
      <c r="BW330" s="1068"/>
      <c r="BX330" s="1062">
        <f>'No Recurrentes 24-26'!DH192</f>
        <v>6517.1352</v>
      </c>
      <c r="BY330" s="1062">
        <f>'No Recurrentes 24-26'!DI192</f>
        <v>0</v>
      </c>
      <c r="BZ330" s="1062">
        <f>'No Recurrentes 24-26'!DJ192</f>
        <v>0</v>
      </c>
      <c r="CA330" s="1062">
        <f>'No Recurrentes 24-26'!DK192</f>
        <v>0</v>
      </c>
      <c r="CB330" s="1062">
        <f>'No Recurrentes 24-26'!DL192</f>
        <v>0</v>
      </c>
      <c r="CC330" s="1062">
        <f>'No Recurrentes 24-26'!DM192</f>
        <v>0</v>
      </c>
      <c r="CD330" s="1062">
        <f>'No Recurrentes 24-26'!DN192</f>
        <v>0</v>
      </c>
      <c r="CE330" s="1062">
        <f>'No Recurrentes 24-26'!DO192</f>
        <v>0</v>
      </c>
      <c r="CF330" s="1062">
        <f>'No Recurrentes 24-26'!DP192</f>
        <v>0</v>
      </c>
      <c r="CG330" s="1062">
        <f>'No Recurrentes 24-26'!DQ192</f>
        <v>0</v>
      </c>
      <c r="CH330" s="1062">
        <f>'No Recurrentes 24-26'!DR192</f>
        <v>0</v>
      </c>
      <c r="CI330" s="1068"/>
      <c r="CJ330" s="1062">
        <f>'No Recurrentes 24-26'!DS192</f>
        <v>0</v>
      </c>
      <c r="CK330" s="1062">
        <f>'No Recurrentes 24-26'!DT192</f>
        <v>19551.4056</v>
      </c>
      <c r="CL330" s="1064" t="str">
        <f>'No Recurrentes 24-26'!DU192</f>
        <v/>
      </c>
      <c r="CM330" s="1064" t="str">
        <f>'No Recurrentes 24-26'!DV192</f>
        <v/>
      </c>
      <c r="CN330" s="1065">
        <f>'No Recurrentes 24-26'!EI188</f>
        <v>354.14</v>
      </c>
      <c r="CO330" s="1065">
        <f>'No Recurrentes 24-26'!EJ188</f>
        <v>301.02</v>
      </c>
      <c r="CP330" s="1060" t="str">
        <f>'No Recurrentes 24-26'!EK188</f>
        <v/>
      </c>
    </row>
    <row r="331">
      <c r="A331" s="451" t="str">
        <f>'No Recurrentes 24-26'!A193</f>
        <v>Repuestos Electromecánicos no recurrentes</v>
      </c>
      <c r="B331" s="451">
        <f>'No Recurrentes 24-26'!B193</f>
        <v>2</v>
      </c>
      <c r="C331" s="451" t="str">
        <f>'No Recurrentes 24-26'!C193</f>
        <v>Estación</v>
      </c>
      <c r="D331" s="451" t="str">
        <f>'No Recurrentes 24-26'!D193</f>
        <v>Manto. Hidraulico</v>
      </c>
      <c r="E331" s="451" t="str">
        <f>'No Recurrentes 24-26'!E193</f>
        <v>Repuesto Hidráulico</v>
      </c>
      <c r="F331" s="451" t="str">
        <f>'No Recurrentes 24-26'!F193</f>
        <v>TDB</v>
      </c>
      <c r="G331" s="1025" t="str">
        <f>'No Recurrentes 24-26'!G193</f>
        <v>39800</v>
      </c>
      <c r="H331" s="1061" t="str">
        <f>'No Recurrentes 24-26'!H193</f>
        <v/>
      </c>
      <c r="I331" s="1061" t="str">
        <f>'No Recurrentes 24-26'!I193</f>
        <v>11430646</v>
      </c>
      <c r="J331" s="1061" t="str">
        <f>'No Recurrentes 24-26'!J193</f>
        <v>MANGUERA AP AN10-2SC L=9500MM     DKOL-12/CEL-12</v>
      </c>
      <c r="K331" s="451" t="str">
        <f>'No Recurrentes 24-26'!K193</f>
        <v>Pza</v>
      </c>
      <c r="L331" s="451" t="str">
        <f>'No Recurrentes 24-26'!BC193</f>
        <v/>
      </c>
      <c r="M331" s="451" t="str">
        <f>'No Recurrentes 24-26'!BD193</f>
        <v/>
      </c>
      <c r="N331" s="451" t="str">
        <f>'No Recurrentes 24-26'!BE193</f>
        <v/>
      </c>
      <c r="O331" s="451" t="str">
        <f>'No Recurrentes 24-26'!BF193</f>
        <v/>
      </c>
      <c r="P331" s="451" t="str">
        <f>'No Recurrentes 24-26'!BG193</f>
        <v/>
      </c>
      <c r="Q331" s="451" t="str">
        <f>'No Recurrentes 24-26'!BH193</f>
        <v/>
      </c>
      <c r="R331" s="451" t="str">
        <f>'No Recurrentes 24-26'!BI193</f>
        <v/>
      </c>
      <c r="S331" s="451" t="str">
        <f>'No Recurrentes 24-26'!BJ193</f>
        <v/>
      </c>
      <c r="T331" s="451" t="str">
        <f>'No Recurrentes 24-26'!BK193</f>
        <v/>
      </c>
      <c r="U331" s="451" t="str">
        <f>'No Recurrentes 24-26'!BL193</f>
        <v/>
      </c>
      <c r="V331" s="1068"/>
      <c r="W331" s="1062">
        <f>'No Recurrentes 24-26'!BM193</f>
        <v>0</v>
      </c>
      <c r="X331" s="1062">
        <f>'No Recurrentes 24-26'!BN193</f>
        <v>2</v>
      </c>
      <c r="Y331" s="1062">
        <f>'No Recurrentes 24-26'!BO193</f>
        <v>1</v>
      </c>
      <c r="Z331" s="1062">
        <f>'No Recurrentes 24-26'!BP193</f>
        <v>2</v>
      </c>
      <c r="AA331" s="1062" t="str">
        <f>'No Recurrentes 24-26'!BQ193</f>
        <v/>
      </c>
      <c r="AB331" s="1062" t="str">
        <f>'No Recurrentes 24-26'!BR193</f>
        <v/>
      </c>
      <c r="AC331" s="1062" t="str">
        <f>'No Recurrentes 24-26'!BS193</f>
        <v/>
      </c>
      <c r="AD331" s="1062" t="str">
        <f>'No Recurrentes 24-26'!BT193</f>
        <v/>
      </c>
      <c r="AE331" s="1062" t="str">
        <f>'No Recurrentes 24-26'!BU193</f>
        <v/>
      </c>
      <c r="AF331" s="1062" t="str">
        <f>'No Recurrentes 24-26'!BV193</f>
        <v/>
      </c>
      <c r="AG331" s="1062" t="str">
        <f>'No Recurrentes 24-26'!BW193</f>
        <v/>
      </c>
      <c r="AH331" s="1068"/>
      <c r="AI331" s="1062">
        <f>'No Recurrentes 24-26'!BX193</f>
        <v>5</v>
      </c>
      <c r="AJ331" s="1062">
        <f>'No Recurrentes 24-26'!BY193</f>
        <v>0</v>
      </c>
      <c r="AK331" s="1062">
        <f>'No Recurrentes 24-26'!BZ193</f>
        <v>0</v>
      </c>
      <c r="AL331" s="1062">
        <f>'No Recurrentes 24-26'!CA193</f>
        <v>0</v>
      </c>
      <c r="AM331" s="1062">
        <f>'No Recurrentes 24-26'!CB193</f>
        <v>0</v>
      </c>
      <c r="AN331" s="1062">
        <f>'No Recurrentes 24-26'!CC193</f>
        <v>0</v>
      </c>
      <c r="AO331" s="1062">
        <f>'No Recurrentes 24-26'!CD193</f>
        <v>0</v>
      </c>
      <c r="AP331" s="1062">
        <f>'No Recurrentes 24-26'!CE193</f>
        <v>0</v>
      </c>
      <c r="AQ331" s="1062">
        <f>'No Recurrentes 24-26'!CF193</f>
        <v>0</v>
      </c>
      <c r="AR331" s="1062">
        <f>'No Recurrentes 24-26'!CG193</f>
        <v>0</v>
      </c>
      <c r="AS331" s="1062">
        <f>'No Recurrentes 24-26'!CH193</f>
        <v>0</v>
      </c>
      <c r="AT331" s="1068"/>
      <c r="AU331" s="1062">
        <f>'No Recurrentes 24-26'!CI193</f>
        <v>0</v>
      </c>
      <c r="AV331" s="1063">
        <f>'No Recurrentes 24-26'!CJ193</f>
        <v>5</v>
      </c>
      <c r="AW331" s="1068"/>
      <c r="AX331" s="1065">
        <f>'No Recurrentes 24-26'!CK193</f>
        <v>333.26</v>
      </c>
      <c r="AY331" s="1062">
        <f>'No Recurrentes 24-26'!CL193</f>
        <v>2319.4896</v>
      </c>
      <c r="AZ331" s="1068"/>
      <c r="BA331" s="1062">
        <f>'No Recurrentes 24-26'!CM193</f>
        <v>0</v>
      </c>
      <c r="BB331" s="1062">
        <f>'No Recurrentes 24-26'!CN193</f>
        <v>0</v>
      </c>
      <c r="BC331" s="1062">
        <f>'No Recurrentes 24-26'!CO193</f>
        <v>0</v>
      </c>
      <c r="BD331" s="1062">
        <f>'No Recurrentes 24-26'!CP193</f>
        <v>0</v>
      </c>
      <c r="BE331" s="1062">
        <f>'No Recurrentes 24-26'!CQ193</f>
        <v>0</v>
      </c>
      <c r="BF331" s="1062">
        <f>'No Recurrentes 24-26'!CR193</f>
        <v>0</v>
      </c>
      <c r="BG331" s="1062">
        <f>'No Recurrentes 24-26'!CS193</f>
        <v>0</v>
      </c>
      <c r="BH331" s="1062">
        <f>'No Recurrentes 24-26'!CT193</f>
        <v>0</v>
      </c>
      <c r="BI331" s="1062">
        <f>'No Recurrentes 24-26'!CU193</f>
        <v>0</v>
      </c>
      <c r="BJ331" s="1062">
        <f>'No Recurrentes 24-26'!CV193</f>
        <v>0</v>
      </c>
      <c r="BK331" s="1068"/>
      <c r="BL331" s="1062">
        <f>'No Recurrentes 24-26'!CW193</f>
        <v>0</v>
      </c>
      <c r="BM331" s="1062">
        <f>'No Recurrentes 24-26'!CX193</f>
        <v>4638.9792</v>
      </c>
      <c r="BN331" s="1062">
        <f>'No Recurrentes 24-26'!CY193</f>
        <v>2319.4896</v>
      </c>
      <c r="BO331" s="1062">
        <f>'No Recurrentes 24-26'!CZ193</f>
        <v>4638.9792</v>
      </c>
      <c r="BP331" s="1062">
        <f>'No Recurrentes 24-26'!DA193</f>
        <v>0</v>
      </c>
      <c r="BQ331" s="1062">
        <f>'No Recurrentes 24-26'!DB193</f>
        <v>0</v>
      </c>
      <c r="BR331" s="1062">
        <f>'No Recurrentes 24-26'!DC193</f>
        <v>0</v>
      </c>
      <c r="BS331" s="1062">
        <f>'No Recurrentes 24-26'!DD193</f>
        <v>0</v>
      </c>
      <c r="BT331" s="1062">
        <f>'No Recurrentes 24-26'!DE193</f>
        <v>0</v>
      </c>
      <c r="BU331" s="1062">
        <f>'No Recurrentes 24-26'!DF193</f>
        <v>0</v>
      </c>
      <c r="BV331" s="1062">
        <f>'No Recurrentes 24-26'!DG193</f>
        <v>0</v>
      </c>
      <c r="BW331" s="1068"/>
      <c r="BX331" s="1062">
        <f>'No Recurrentes 24-26'!DH193</f>
        <v>11597.448</v>
      </c>
      <c r="BY331" s="1062">
        <f>'No Recurrentes 24-26'!DI193</f>
        <v>0</v>
      </c>
      <c r="BZ331" s="1062">
        <f>'No Recurrentes 24-26'!DJ193</f>
        <v>0</v>
      </c>
      <c r="CA331" s="1062">
        <f>'No Recurrentes 24-26'!DK193</f>
        <v>0</v>
      </c>
      <c r="CB331" s="1062">
        <f>'No Recurrentes 24-26'!DL193</f>
        <v>0</v>
      </c>
      <c r="CC331" s="1062">
        <f>'No Recurrentes 24-26'!DM193</f>
        <v>0</v>
      </c>
      <c r="CD331" s="1062">
        <f>'No Recurrentes 24-26'!DN193</f>
        <v>0</v>
      </c>
      <c r="CE331" s="1062">
        <f>'No Recurrentes 24-26'!DO193</f>
        <v>0</v>
      </c>
      <c r="CF331" s="1062">
        <f>'No Recurrentes 24-26'!DP193</f>
        <v>0</v>
      </c>
      <c r="CG331" s="1062">
        <f>'No Recurrentes 24-26'!DQ193</f>
        <v>0</v>
      </c>
      <c r="CH331" s="1062">
        <f>'No Recurrentes 24-26'!DR193</f>
        <v>0</v>
      </c>
      <c r="CI331" s="1068"/>
      <c r="CJ331" s="1062">
        <f>'No Recurrentes 24-26'!DS193</f>
        <v>0</v>
      </c>
      <c r="CK331" s="1062">
        <f>'No Recurrentes 24-26'!DT193</f>
        <v>11597.448</v>
      </c>
      <c r="CL331" s="1064" t="str">
        <f>'No Recurrentes 24-26'!DU193</f>
        <v/>
      </c>
      <c r="CM331" s="1064" t="str">
        <f>'No Recurrentes 24-26'!DV193</f>
        <v/>
      </c>
      <c r="CN331" s="1065">
        <f>'No Recurrentes 24-26'!EI189</f>
        <v>266.77</v>
      </c>
      <c r="CO331" s="1065">
        <f>'No Recurrentes 24-26'!EJ189</f>
        <v>226.75</v>
      </c>
      <c r="CP331" s="1060" t="str">
        <f>'No Recurrentes 24-26'!EK189</f>
        <v/>
      </c>
    </row>
    <row r="332">
      <c r="A332" s="451" t="str">
        <f>'No Recurrentes 24-26'!A194</f>
        <v>Repuestos Electromecánicos no recurrentes</v>
      </c>
      <c r="B332" s="451">
        <f>'No Recurrentes 24-26'!B194</f>
        <v>2</v>
      </c>
      <c r="C332" s="451" t="str">
        <f>'No Recurrentes 24-26'!C194</f>
        <v>Estación</v>
      </c>
      <c r="D332" s="451" t="str">
        <f>'No Recurrentes 24-26'!D194</f>
        <v>Manto. Hidraulico</v>
      </c>
      <c r="E332" s="451" t="str">
        <f>'No Recurrentes 24-26'!E194</f>
        <v>Repuesto Hidráulico</v>
      </c>
      <c r="F332" s="451" t="str">
        <f>'No Recurrentes 24-26'!F194</f>
        <v>TDB</v>
      </c>
      <c r="G332" s="1025" t="str">
        <f>'No Recurrentes 24-26'!G194</f>
        <v>39800</v>
      </c>
      <c r="H332" s="1061" t="str">
        <f>'No Recurrentes 24-26'!H194</f>
        <v/>
      </c>
      <c r="I332" s="1061" t="str">
        <f>'No Recurrentes 24-26'!I194</f>
        <v>11405441</v>
      </c>
      <c r="J332" s="1061" t="str">
        <f>'No Recurrentes 24-26'!J194</f>
        <v>MANGUERA AP AN10-2SC L=11500MM    DKOL-12/CEL-12</v>
      </c>
      <c r="K332" s="451" t="str">
        <f>'No Recurrentes 24-26'!K194</f>
        <v>Pza</v>
      </c>
      <c r="L332" s="451" t="str">
        <f>'No Recurrentes 24-26'!BC194</f>
        <v/>
      </c>
      <c r="M332" s="451" t="str">
        <f>'No Recurrentes 24-26'!BD194</f>
        <v/>
      </c>
      <c r="N332" s="451" t="str">
        <f>'No Recurrentes 24-26'!BE194</f>
        <v/>
      </c>
      <c r="O332" s="451" t="str">
        <f>'No Recurrentes 24-26'!BF194</f>
        <v/>
      </c>
      <c r="P332" s="451" t="str">
        <f>'No Recurrentes 24-26'!BG194</f>
        <v/>
      </c>
      <c r="Q332" s="451" t="str">
        <f>'No Recurrentes 24-26'!BH194</f>
        <v/>
      </c>
      <c r="R332" s="451" t="str">
        <f>'No Recurrentes 24-26'!BI194</f>
        <v/>
      </c>
      <c r="S332" s="451" t="str">
        <f>'No Recurrentes 24-26'!BJ194</f>
        <v/>
      </c>
      <c r="T332" s="451" t="str">
        <f>'No Recurrentes 24-26'!BK194</f>
        <v/>
      </c>
      <c r="U332" s="451" t="str">
        <f>'No Recurrentes 24-26'!BL194</f>
        <v/>
      </c>
      <c r="V332" s="1068"/>
      <c r="W332" s="1062">
        <f>'No Recurrentes 24-26'!BM194</f>
        <v>0</v>
      </c>
      <c r="X332" s="1062">
        <f>'No Recurrentes 24-26'!BN194</f>
        <v>2</v>
      </c>
      <c r="Y332" s="1062">
        <f>'No Recurrentes 24-26'!BO194</f>
        <v>1</v>
      </c>
      <c r="Z332" s="1062">
        <f>'No Recurrentes 24-26'!BP194</f>
        <v>1</v>
      </c>
      <c r="AA332" s="1062" t="str">
        <f>'No Recurrentes 24-26'!BQ194</f>
        <v/>
      </c>
      <c r="AB332" s="1062" t="str">
        <f>'No Recurrentes 24-26'!BR194</f>
        <v/>
      </c>
      <c r="AC332" s="1062" t="str">
        <f>'No Recurrentes 24-26'!BS194</f>
        <v/>
      </c>
      <c r="AD332" s="1062" t="str">
        <f>'No Recurrentes 24-26'!BT194</f>
        <v/>
      </c>
      <c r="AE332" s="1062" t="str">
        <f>'No Recurrentes 24-26'!BU194</f>
        <v/>
      </c>
      <c r="AF332" s="1062" t="str">
        <f>'No Recurrentes 24-26'!BV194</f>
        <v/>
      </c>
      <c r="AG332" s="1062" t="str">
        <f>'No Recurrentes 24-26'!BW194</f>
        <v/>
      </c>
      <c r="AH332" s="1068"/>
      <c r="AI332" s="1062">
        <f>'No Recurrentes 24-26'!BX194</f>
        <v>4</v>
      </c>
      <c r="AJ332" s="1062">
        <f>'No Recurrentes 24-26'!BY194</f>
        <v>0</v>
      </c>
      <c r="AK332" s="1062">
        <f>'No Recurrentes 24-26'!BZ194</f>
        <v>0</v>
      </c>
      <c r="AL332" s="1062">
        <f>'No Recurrentes 24-26'!CA194</f>
        <v>0</v>
      </c>
      <c r="AM332" s="1062">
        <f>'No Recurrentes 24-26'!CB194</f>
        <v>0</v>
      </c>
      <c r="AN332" s="1062">
        <f>'No Recurrentes 24-26'!CC194</f>
        <v>0</v>
      </c>
      <c r="AO332" s="1062">
        <f>'No Recurrentes 24-26'!CD194</f>
        <v>0</v>
      </c>
      <c r="AP332" s="1062">
        <f>'No Recurrentes 24-26'!CE194</f>
        <v>0</v>
      </c>
      <c r="AQ332" s="1062">
        <f>'No Recurrentes 24-26'!CF194</f>
        <v>0</v>
      </c>
      <c r="AR332" s="1062">
        <f>'No Recurrentes 24-26'!CG194</f>
        <v>0</v>
      </c>
      <c r="AS332" s="1062">
        <f>'No Recurrentes 24-26'!CH194</f>
        <v>0</v>
      </c>
      <c r="AT332" s="1068"/>
      <c r="AU332" s="1062">
        <f>'No Recurrentes 24-26'!CI194</f>
        <v>0</v>
      </c>
      <c r="AV332" s="1063">
        <f>'No Recurrentes 24-26'!CJ194</f>
        <v>4</v>
      </c>
      <c r="AW332" s="1068"/>
      <c r="AX332" s="1065">
        <f>'No Recurrentes 24-26'!CK194</f>
        <v>414.02</v>
      </c>
      <c r="AY332" s="1062">
        <f>'No Recurrentes 24-26'!CL194</f>
        <v>2881.5792</v>
      </c>
      <c r="AZ332" s="1068"/>
      <c r="BA332" s="1062">
        <f>'No Recurrentes 24-26'!CM194</f>
        <v>0</v>
      </c>
      <c r="BB332" s="1062">
        <f>'No Recurrentes 24-26'!CN194</f>
        <v>0</v>
      </c>
      <c r="BC332" s="1062">
        <f>'No Recurrentes 24-26'!CO194</f>
        <v>0</v>
      </c>
      <c r="BD332" s="1062">
        <f>'No Recurrentes 24-26'!CP194</f>
        <v>0</v>
      </c>
      <c r="BE332" s="1062">
        <f>'No Recurrentes 24-26'!CQ194</f>
        <v>0</v>
      </c>
      <c r="BF332" s="1062">
        <f>'No Recurrentes 24-26'!CR194</f>
        <v>0</v>
      </c>
      <c r="BG332" s="1062">
        <f>'No Recurrentes 24-26'!CS194</f>
        <v>0</v>
      </c>
      <c r="BH332" s="1062">
        <f>'No Recurrentes 24-26'!CT194</f>
        <v>0</v>
      </c>
      <c r="BI332" s="1062">
        <f>'No Recurrentes 24-26'!CU194</f>
        <v>0</v>
      </c>
      <c r="BJ332" s="1062">
        <f>'No Recurrentes 24-26'!CV194</f>
        <v>0</v>
      </c>
      <c r="BK332" s="1068"/>
      <c r="BL332" s="1062">
        <f>'No Recurrentes 24-26'!CW194</f>
        <v>0</v>
      </c>
      <c r="BM332" s="1062">
        <f>'No Recurrentes 24-26'!CX194</f>
        <v>5763.1584</v>
      </c>
      <c r="BN332" s="1062">
        <f>'No Recurrentes 24-26'!CY194</f>
        <v>2881.5792</v>
      </c>
      <c r="BO332" s="1062">
        <f>'No Recurrentes 24-26'!CZ194</f>
        <v>2881.5792</v>
      </c>
      <c r="BP332" s="1062">
        <f>'No Recurrentes 24-26'!DA194</f>
        <v>0</v>
      </c>
      <c r="BQ332" s="1062">
        <f>'No Recurrentes 24-26'!DB194</f>
        <v>0</v>
      </c>
      <c r="BR332" s="1062">
        <f>'No Recurrentes 24-26'!DC194</f>
        <v>0</v>
      </c>
      <c r="BS332" s="1062">
        <f>'No Recurrentes 24-26'!DD194</f>
        <v>0</v>
      </c>
      <c r="BT332" s="1062">
        <f>'No Recurrentes 24-26'!DE194</f>
        <v>0</v>
      </c>
      <c r="BU332" s="1062">
        <f>'No Recurrentes 24-26'!DF194</f>
        <v>0</v>
      </c>
      <c r="BV332" s="1062">
        <f>'No Recurrentes 24-26'!DG194</f>
        <v>0</v>
      </c>
      <c r="BW332" s="1068"/>
      <c r="BX332" s="1062">
        <f>'No Recurrentes 24-26'!DH194</f>
        <v>11526.3168</v>
      </c>
      <c r="BY332" s="1062">
        <f>'No Recurrentes 24-26'!DI194</f>
        <v>0</v>
      </c>
      <c r="BZ332" s="1062">
        <f>'No Recurrentes 24-26'!DJ194</f>
        <v>0</v>
      </c>
      <c r="CA332" s="1062">
        <f>'No Recurrentes 24-26'!DK194</f>
        <v>0</v>
      </c>
      <c r="CB332" s="1062">
        <f>'No Recurrentes 24-26'!DL194</f>
        <v>0</v>
      </c>
      <c r="CC332" s="1062">
        <f>'No Recurrentes 24-26'!DM194</f>
        <v>0</v>
      </c>
      <c r="CD332" s="1062">
        <f>'No Recurrentes 24-26'!DN194</f>
        <v>0</v>
      </c>
      <c r="CE332" s="1062">
        <f>'No Recurrentes 24-26'!DO194</f>
        <v>0</v>
      </c>
      <c r="CF332" s="1062">
        <f>'No Recurrentes 24-26'!DP194</f>
        <v>0</v>
      </c>
      <c r="CG332" s="1062">
        <f>'No Recurrentes 24-26'!DQ194</f>
        <v>0</v>
      </c>
      <c r="CH332" s="1062">
        <f>'No Recurrentes 24-26'!DR194</f>
        <v>0</v>
      </c>
      <c r="CI332" s="1068"/>
      <c r="CJ332" s="1062">
        <f>'No Recurrentes 24-26'!DS194</f>
        <v>0</v>
      </c>
      <c r="CK332" s="1062">
        <f>'No Recurrentes 24-26'!DT194</f>
        <v>11526.3168</v>
      </c>
      <c r="CL332" s="1064" t="str">
        <f>'No Recurrentes 24-26'!DU194</f>
        <v/>
      </c>
      <c r="CM332" s="1064" t="str">
        <f>'No Recurrentes 24-26'!DV194</f>
        <v/>
      </c>
      <c r="CN332" s="1065">
        <f>'No Recurrentes 24-26'!EI190</f>
        <v>100.41</v>
      </c>
      <c r="CO332" s="1065">
        <f>'No Recurrentes 24-26'!EJ190</f>
        <v>85.35</v>
      </c>
      <c r="CP332" s="1060" t="str">
        <f>'No Recurrentes 24-26'!EK190</f>
        <v/>
      </c>
    </row>
    <row r="333">
      <c r="A333" s="451" t="str">
        <f>'No Recurrentes 24-26'!A195</f>
        <v>Repuestos Electromecánicos no recurrentes</v>
      </c>
      <c r="B333" s="451">
        <f>'No Recurrentes 24-26'!B195</f>
        <v>2</v>
      </c>
      <c r="C333" s="451" t="str">
        <f>'No Recurrentes 24-26'!C195</f>
        <v>Estación</v>
      </c>
      <c r="D333" s="451" t="str">
        <f>'No Recurrentes 24-26'!D195</f>
        <v>Manto. Hidraulico</v>
      </c>
      <c r="E333" s="451" t="str">
        <f>'No Recurrentes 24-26'!E195</f>
        <v>Repuesto Hidráulico</v>
      </c>
      <c r="F333" s="451" t="str">
        <f>'No Recurrentes 24-26'!F195</f>
        <v>TDB</v>
      </c>
      <c r="G333" s="1025" t="str">
        <f>'No Recurrentes 24-26'!G195</f>
        <v>39800</v>
      </c>
      <c r="H333" s="1061" t="str">
        <f>'No Recurrentes 24-26'!H195</f>
        <v>2-04-00090</v>
      </c>
      <c r="I333" s="1061" t="str">
        <f>'No Recurrentes 24-26'!I195</f>
        <v>11247814</v>
      </c>
      <c r="J333" s="1061" t="str">
        <f>'No Recurrentes 24-26'!J195</f>
        <v>MANGUERA AP AN12-2SC L=2400MM     CES-16/DKOS90-16</v>
      </c>
      <c r="K333" s="451" t="str">
        <f>'No Recurrentes 24-26'!K195</f>
        <v>Pza</v>
      </c>
      <c r="L333" s="451" t="str">
        <f>'No Recurrentes 24-26'!BC195</f>
        <v/>
      </c>
      <c r="M333" s="451" t="str">
        <f>'No Recurrentes 24-26'!BD195</f>
        <v/>
      </c>
      <c r="N333" s="451" t="str">
        <f>'No Recurrentes 24-26'!BE195</f>
        <v/>
      </c>
      <c r="O333" s="451" t="str">
        <f>'No Recurrentes 24-26'!BF195</f>
        <v/>
      </c>
      <c r="P333" s="451" t="str">
        <f>'No Recurrentes 24-26'!BG195</f>
        <v/>
      </c>
      <c r="Q333" s="451" t="str">
        <f>'No Recurrentes 24-26'!BH195</f>
        <v/>
      </c>
      <c r="R333" s="451" t="str">
        <f>'No Recurrentes 24-26'!BI195</f>
        <v/>
      </c>
      <c r="S333" s="451" t="str">
        <f>'No Recurrentes 24-26'!BJ195</f>
        <v/>
      </c>
      <c r="T333" s="451" t="str">
        <f>'No Recurrentes 24-26'!BK195</f>
        <v/>
      </c>
      <c r="U333" s="451" t="str">
        <f>'No Recurrentes 24-26'!BL195</f>
        <v/>
      </c>
      <c r="V333" s="1068"/>
      <c r="W333" s="1062">
        <f>'No Recurrentes 24-26'!BM195</f>
        <v>0</v>
      </c>
      <c r="X333" s="1062">
        <f>'No Recurrentes 24-26'!BN195</f>
        <v>4</v>
      </c>
      <c r="Y333" s="1062">
        <f>'No Recurrentes 24-26'!BO195</f>
        <v>2</v>
      </c>
      <c r="Z333" s="1062">
        <f>'No Recurrentes 24-26'!BP195</f>
        <v>2</v>
      </c>
      <c r="AA333" s="1062" t="str">
        <f>'No Recurrentes 24-26'!BQ195</f>
        <v/>
      </c>
      <c r="AB333" s="1062" t="str">
        <f>'No Recurrentes 24-26'!BR195</f>
        <v/>
      </c>
      <c r="AC333" s="1062" t="str">
        <f>'No Recurrentes 24-26'!BS195</f>
        <v/>
      </c>
      <c r="AD333" s="1062" t="str">
        <f>'No Recurrentes 24-26'!BT195</f>
        <v/>
      </c>
      <c r="AE333" s="1062" t="str">
        <f>'No Recurrentes 24-26'!BU195</f>
        <v/>
      </c>
      <c r="AF333" s="1062" t="str">
        <f>'No Recurrentes 24-26'!BV195</f>
        <v/>
      </c>
      <c r="AG333" s="1062" t="str">
        <f>'No Recurrentes 24-26'!BW195</f>
        <v/>
      </c>
      <c r="AH333" s="1068"/>
      <c r="AI333" s="1062">
        <f>'No Recurrentes 24-26'!BX195</f>
        <v>8</v>
      </c>
      <c r="AJ333" s="1062">
        <f>'No Recurrentes 24-26'!BY195</f>
        <v>0</v>
      </c>
      <c r="AK333" s="1062">
        <f>'No Recurrentes 24-26'!BZ195</f>
        <v>0</v>
      </c>
      <c r="AL333" s="1062">
        <f>'No Recurrentes 24-26'!CA195</f>
        <v>0</v>
      </c>
      <c r="AM333" s="1062">
        <f>'No Recurrentes 24-26'!CB195</f>
        <v>0</v>
      </c>
      <c r="AN333" s="1062">
        <f>'No Recurrentes 24-26'!CC195</f>
        <v>0</v>
      </c>
      <c r="AO333" s="1062">
        <f>'No Recurrentes 24-26'!CD195</f>
        <v>0</v>
      </c>
      <c r="AP333" s="1062">
        <f>'No Recurrentes 24-26'!CE195</f>
        <v>0</v>
      </c>
      <c r="AQ333" s="1062">
        <f>'No Recurrentes 24-26'!CF195</f>
        <v>0</v>
      </c>
      <c r="AR333" s="1062">
        <f>'No Recurrentes 24-26'!CG195</f>
        <v>0</v>
      </c>
      <c r="AS333" s="1062">
        <f>'No Recurrentes 24-26'!CH195</f>
        <v>0</v>
      </c>
      <c r="AT333" s="1068"/>
      <c r="AU333" s="1062">
        <f>'No Recurrentes 24-26'!CI195</f>
        <v>0</v>
      </c>
      <c r="AV333" s="1063">
        <f>'No Recurrentes 24-26'!CJ195</f>
        <v>8</v>
      </c>
      <c r="AW333" s="1068"/>
      <c r="AX333" s="1065">
        <f>'No Recurrentes 24-26'!CK195</f>
        <v>205.2</v>
      </c>
      <c r="AY333" s="1062">
        <f>'No Recurrentes 24-26'!CL195</f>
        <v>1428.192</v>
      </c>
      <c r="AZ333" s="1068"/>
      <c r="BA333" s="1062">
        <f>'No Recurrentes 24-26'!CM195</f>
        <v>0</v>
      </c>
      <c r="BB333" s="1062">
        <f>'No Recurrentes 24-26'!CN195</f>
        <v>0</v>
      </c>
      <c r="BC333" s="1062">
        <f>'No Recurrentes 24-26'!CO195</f>
        <v>0</v>
      </c>
      <c r="BD333" s="1062">
        <f>'No Recurrentes 24-26'!CP195</f>
        <v>0</v>
      </c>
      <c r="BE333" s="1062">
        <f>'No Recurrentes 24-26'!CQ195</f>
        <v>0</v>
      </c>
      <c r="BF333" s="1062">
        <f>'No Recurrentes 24-26'!CR195</f>
        <v>0</v>
      </c>
      <c r="BG333" s="1062">
        <f>'No Recurrentes 24-26'!CS195</f>
        <v>0</v>
      </c>
      <c r="BH333" s="1062">
        <f>'No Recurrentes 24-26'!CT195</f>
        <v>0</v>
      </c>
      <c r="BI333" s="1062">
        <f>'No Recurrentes 24-26'!CU195</f>
        <v>0</v>
      </c>
      <c r="BJ333" s="1062">
        <f>'No Recurrentes 24-26'!CV195</f>
        <v>0</v>
      </c>
      <c r="BK333" s="1068"/>
      <c r="BL333" s="1062">
        <f>'No Recurrentes 24-26'!CW195</f>
        <v>0</v>
      </c>
      <c r="BM333" s="1062">
        <f>'No Recurrentes 24-26'!CX195</f>
        <v>5712.768</v>
      </c>
      <c r="BN333" s="1062">
        <f>'No Recurrentes 24-26'!CY195</f>
        <v>2856.384</v>
      </c>
      <c r="BO333" s="1062">
        <f>'No Recurrentes 24-26'!CZ195</f>
        <v>2856.384</v>
      </c>
      <c r="BP333" s="1062">
        <f>'No Recurrentes 24-26'!DA195</f>
        <v>0</v>
      </c>
      <c r="BQ333" s="1062">
        <f>'No Recurrentes 24-26'!DB195</f>
        <v>0</v>
      </c>
      <c r="BR333" s="1062">
        <f>'No Recurrentes 24-26'!DC195</f>
        <v>0</v>
      </c>
      <c r="BS333" s="1062">
        <f>'No Recurrentes 24-26'!DD195</f>
        <v>0</v>
      </c>
      <c r="BT333" s="1062">
        <f>'No Recurrentes 24-26'!DE195</f>
        <v>0</v>
      </c>
      <c r="BU333" s="1062">
        <f>'No Recurrentes 24-26'!DF195</f>
        <v>0</v>
      </c>
      <c r="BV333" s="1062">
        <f>'No Recurrentes 24-26'!DG195</f>
        <v>0</v>
      </c>
      <c r="BW333" s="1068"/>
      <c r="BX333" s="1062">
        <f>'No Recurrentes 24-26'!DH195</f>
        <v>11425.536</v>
      </c>
      <c r="BY333" s="1062">
        <f>'No Recurrentes 24-26'!DI195</f>
        <v>0</v>
      </c>
      <c r="BZ333" s="1062">
        <f>'No Recurrentes 24-26'!DJ195</f>
        <v>0</v>
      </c>
      <c r="CA333" s="1062">
        <f>'No Recurrentes 24-26'!DK195</f>
        <v>0</v>
      </c>
      <c r="CB333" s="1062">
        <f>'No Recurrentes 24-26'!DL195</f>
        <v>0</v>
      </c>
      <c r="CC333" s="1062">
        <f>'No Recurrentes 24-26'!DM195</f>
        <v>0</v>
      </c>
      <c r="CD333" s="1062">
        <f>'No Recurrentes 24-26'!DN195</f>
        <v>0</v>
      </c>
      <c r="CE333" s="1062">
        <f>'No Recurrentes 24-26'!DO195</f>
        <v>0</v>
      </c>
      <c r="CF333" s="1062">
        <f>'No Recurrentes 24-26'!DP195</f>
        <v>0</v>
      </c>
      <c r="CG333" s="1062">
        <f>'No Recurrentes 24-26'!DQ195</f>
        <v>0</v>
      </c>
      <c r="CH333" s="1062">
        <f>'No Recurrentes 24-26'!DR195</f>
        <v>0</v>
      </c>
      <c r="CI333" s="1068"/>
      <c r="CJ333" s="1062">
        <f>'No Recurrentes 24-26'!DS195</f>
        <v>0</v>
      </c>
      <c r="CK333" s="1062">
        <f>'No Recurrentes 24-26'!DT195</f>
        <v>11425.536</v>
      </c>
      <c r="CL333" s="1064" t="str">
        <f>'No Recurrentes 24-26'!DU195</f>
        <v/>
      </c>
      <c r="CM333" s="1064" t="str">
        <f>'No Recurrentes 24-26'!DV195</f>
        <v/>
      </c>
      <c r="CN333" s="1065">
        <f>'No Recurrentes 24-26'!EI191</f>
        <v>323.96</v>
      </c>
      <c r="CO333" s="1065">
        <f>'No Recurrentes 24-26'!EJ191</f>
        <v>275.37</v>
      </c>
      <c r="CP333" s="1060" t="str">
        <f>'No Recurrentes 24-26'!EK191</f>
        <v/>
      </c>
    </row>
    <row r="334">
      <c r="A334" s="451" t="str">
        <f>'No Recurrentes 24-26'!A196</f>
        <v>Repuestos Electromecánicos no recurrentes</v>
      </c>
      <c r="B334" s="451">
        <f>'No Recurrentes 24-26'!B196</f>
        <v>2</v>
      </c>
      <c r="C334" s="451" t="str">
        <f>'No Recurrentes 24-26'!C196</f>
        <v>Estación</v>
      </c>
      <c r="D334" s="451" t="str">
        <f>'No Recurrentes 24-26'!D196</f>
        <v>Manto. Hidraulico</v>
      </c>
      <c r="E334" s="451" t="str">
        <f>'No Recurrentes 24-26'!E196</f>
        <v>Repuesto Hidráulico</v>
      </c>
      <c r="F334" s="451" t="str">
        <f>'No Recurrentes 24-26'!F196</f>
        <v>TDB</v>
      </c>
      <c r="G334" s="1025" t="str">
        <f>'No Recurrentes 24-26'!G196</f>
        <v>39800</v>
      </c>
      <c r="H334" s="1061" t="str">
        <f>'No Recurrentes 24-26'!H196</f>
        <v>2-01-00578</v>
      </c>
      <c r="I334" s="1061" t="str">
        <f>'No Recurrentes 24-26'!I196</f>
        <v>11247090</v>
      </c>
      <c r="J334" s="1061" t="str">
        <f>'No Recurrentes 24-26'!J196</f>
        <v>MANGUERA AP AN25-1SC L=1550MM  CEL-28/DKOL90-28</v>
      </c>
      <c r="K334" s="451" t="str">
        <f>'No Recurrentes 24-26'!K196</f>
        <v>Pza</v>
      </c>
      <c r="L334" s="451" t="str">
        <f>'No Recurrentes 24-26'!BC196</f>
        <v/>
      </c>
      <c r="M334" s="451" t="str">
        <f>'No Recurrentes 24-26'!BD196</f>
        <v/>
      </c>
      <c r="N334" s="451" t="str">
        <f>'No Recurrentes 24-26'!BE196</f>
        <v/>
      </c>
      <c r="O334" s="451" t="str">
        <f>'No Recurrentes 24-26'!BF196</f>
        <v/>
      </c>
      <c r="P334" s="451" t="str">
        <f>'No Recurrentes 24-26'!BG196</f>
        <v/>
      </c>
      <c r="Q334" s="451" t="str">
        <f>'No Recurrentes 24-26'!BH196</f>
        <v/>
      </c>
      <c r="R334" s="451" t="str">
        <f>'No Recurrentes 24-26'!BI196</f>
        <v/>
      </c>
      <c r="S334" s="451" t="str">
        <f>'No Recurrentes 24-26'!BJ196</f>
        <v/>
      </c>
      <c r="T334" s="451" t="str">
        <f>'No Recurrentes 24-26'!BK196</f>
        <v/>
      </c>
      <c r="U334" s="451" t="str">
        <f>'No Recurrentes 24-26'!BL196</f>
        <v/>
      </c>
      <c r="V334" s="1068"/>
      <c r="W334" s="1062">
        <f>'No Recurrentes 24-26'!BM196</f>
        <v>0</v>
      </c>
      <c r="X334" s="1062">
        <f>'No Recurrentes 24-26'!BN196</f>
        <v>2</v>
      </c>
      <c r="Y334" s="1062">
        <f>'No Recurrentes 24-26'!BO196</f>
        <v>2</v>
      </c>
      <c r="Z334" s="1062">
        <f>'No Recurrentes 24-26'!BP196</f>
        <v>2</v>
      </c>
      <c r="AA334" s="1062" t="str">
        <f>'No Recurrentes 24-26'!BQ196</f>
        <v/>
      </c>
      <c r="AB334" s="1062" t="str">
        <f>'No Recurrentes 24-26'!BR196</f>
        <v/>
      </c>
      <c r="AC334" s="1062" t="str">
        <f>'No Recurrentes 24-26'!BS196</f>
        <v/>
      </c>
      <c r="AD334" s="1062" t="str">
        <f>'No Recurrentes 24-26'!BT196</f>
        <v/>
      </c>
      <c r="AE334" s="1062" t="str">
        <f>'No Recurrentes 24-26'!BU196</f>
        <v/>
      </c>
      <c r="AF334" s="1062" t="str">
        <f>'No Recurrentes 24-26'!BV196</f>
        <v/>
      </c>
      <c r="AG334" s="1062" t="str">
        <f>'No Recurrentes 24-26'!BW196</f>
        <v/>
      </c>
      <c r="AH334" s="1068"/>
      <c r="AI334" s="1062">
        <f>'No Recurrentes 24-26'!BX196</f>
        <v>6</v>
      </c>
      <c r="AJ334" s="1062">
        <f>'No Recurrentes 24-26'!BY196</f>
        <v>0</v>
      </c>
      <c r="AK334" s="1062">
        <f>'No Recurrentes 24-26'!BZ196</f>
        <v>0</v>
      </c>
      <c r="AL334" s="1062">
        <f>'No Recurrentes 24-26'!CA196</f>
        <v>0</v>
      </c>
      <c r="AM334" s="1062">
        <f>'No Recurrentes 24-26'!CB196</f>
        <v>0</v>
      </c>
      <c r="AN334" s="1062">
        <f>'No Recurrentes 24-26'!CC196</f>
        <v>0</v>
      </c>
      <c r="AO334" s="1062">
        <f>'No Recurrentes 24-26'!CD196</f>
        <v>0</v>
      </c>
      <c r="AP334" s="1062">
        <f>'No Recurrentes 24-26'!CE196</f>
        <v>0</v>
      </c>
      <c r="AQ334" s="1062">
        <f>'No Recurrentes 24-26'!CF196</f>
        <v>0</v>
      </c>
      <c r="AR334" s="1062">
        <f>'No Recurrentes 24-26'!CG196</f>
        <v>0</v>
      </c>
      <c r="AS334" s="1062">
        <f>'No Recurrentes 24-26'!CH196</f>
        <v>0</v>
      </c>
      <c r="AT334" s="1068"/>
      <c r="AU334" s="1062">
        <f>'No Recurrentes 24-26'!CI196</f>
        <v>0</v>
      </c>
      <c r="AV334" s="1063">
        <f>'No Recurrentes 24-26'!CJ196</f>
        <v>6</v>
      </c>
      <c r="AW334" s="1068"/>
      <c r="AX334" s="1065">
        <f>'No Recurrentes 24-26'!CK196</f>
        <v>265</v>
      </c>
      <c r="AY334" s="1062">
        <f>'No Recurrentes 24-26'!CL196</f>
        <v>1844.4</v>
      </c>
      <c r="AZ334" s="1068"/>
      <c r="BA334" s="1062">
        <f>'No Recurrentes 24-26'!CM196</f>
        <v>0</v>
      </c>
      <c r="BB334" s="1062">
        <f>'No Recurrentes 24-26'!CN196</f>
        <v>0</v>
      </c>
      <c r="BC334" s="1062">
        <f>'No Recurrentes 24-26'!CO196</f>
        <v>0</v>
      </c>
      <c r="BD334" s="1062">
        <f>'No Recurrentes 24-26'!CP196</f>
        <v>0</v>
      </c>
      <c r="BE334" s="1062">
        <f>'No Recurrentes 24-26'!CQ196</f>
        <v>0</v>
      </c>
      <c r="BF334" s="1062">
        <f>'No Recurrentes 24-26'!CR196</f>
        <v>0</v>
      </c>
      <c r="BG334" s="1062">
        <f>'No Recurrentes 24-26'!CS196</f>
        <v>0</v>
      </c>
      <c r="BH334" s="1062">
        <f>'No Recurrentes 24-26'!CT196</f>
        <v>0</v>
      </c>
      <c r="BI334" s="1062">
        <f>'No Recurrentes 24-26'!CU196</f>
        <v>0</v>
      </c>
      <c r="BJ334" s="1062">
        <f>'No Recurrentes 24-26'!CV196</f>
        <v>0</v>
      </c>
      <c r="BK334" s="1068"/>
      <c r="BL334" s="1062">
        <f>'No Recurrentes 24-26'!CW196</f>
        <v>0</v>
      </c>
      <c r="BM334" s="1062">
        <f>'No Recurrentes 24-26'!CX196</f>
        <v>3688.8</v>
      </c>
      <c r="BN334" s="1062">
        <f>'No Recurrentes 24-26'!CY196</f>
        <v>3688.8</v>
      </c>
      <c r="BO334" s="1062">
        <f>'No Recurrentes 24-26'!CZ196</f>
        <v>3688.8</v>
      </c>
      <c r="BP334" s="1062">
        <f>'No Recurrentes 24-26'!DA196</f>
        <v>0</v>
      </c>
      <c r="BQ334" s="1062">
        <f>'No Recurrentes 24-26'!DB196</f>
        <v>0</v>
      </c>
      <c r="BR334" s="1062">
        <f>'No Recurrentes 24-26'!DC196</f>
        <v>0</v>
      </c>
      <c r="BS334" s="1062">
        <f>'No Recurrentes 24-26'!DD196</f>
        <v>0</v>
      </c>
      <c r="BT334" s="1062">
        <f>'No Recurrentes 24-26'!DE196</f>
        <v>0</v>
      </c>
      <c r="BU334" s="1062">
        <f>'No Recurrentes 24-26'!DF196</f>
        <v>0</v>
      </c>
      <c r="BV334" s="1062">
        <f>'No Recurrentes 24-26'!DG196</f>
        <v>0</v>
      </c>
      <c r="BW334" s="1068"/>
      <c r="BX334" s="1062">
        <f>'No Recurrentes 24-26'!DH196</f>
        <v>11066.4</v>
      </c>
      <c r="BY334" s="1062">
        <f>'No Recurrentes 24-26'!DI196</f>
        <v>0</v>
      </c>
      <c r="BZ334" s="1062">
        <f>'No Recurrentes 24-26'!DJ196</f>
        <v>0</v>
      </c>
      <c r="CA334" s="1062">
        <f>'No Recurrentes 24-26'!DK196</f>
        <v>0</v>
      </c>
      <c r="CB334" s="1062">
        <f>'No Recurrentes 24-26'!DL196</f>
        <v>0</v>
      </c>
      <c r="CC334" s="1062">
        <f>'No Recurrentes 24-26'!DM196</f>
        <v>0</v>
      </c>
      <c r="CD334" s="1062">
        <f>'No Recurrentes 24-26'!DN196</f>
        <v>0</v>
      </c>
      <c r="CE334" s="1062">
        <f>'No Recurrentes 24-26'!DO196</f>
        <v>0</v>
      </c>
      <c r="CF334" s="1062">
        <f>'No Recurrentes 24-26'!DP196</f>
        <v>0</v>
      </c>
      <c r="CG334" s="1062">
        <f>'No Recurrentes 24-26'!DQ196</f>
        <v>0</v>
      </c>
      <c r="CH334" s="1062">
        <f>'No Recurrentes 24-26'!DR196</f>
        <v>0</v>
      </c>
      <c r="CI334" s="1068"/>
      <c r="CJ334" s="1062">
        <f>'No Recurrentes 24-26'!DS196</f>
        <v>0</v>
      </c>
      <c r="CK334" s="1062">
        <f>'No Recurrentes 24-26'!DT196</f>
        <v>11066.4</v>
      </c>
      <c r="CL334" s="1064" t="str">
        <f>'No Recurrentes 24-26'!DU196</f>
        <v/>
      </c>
      <c r="CM334" s="1064" t="str">
        <f>'No Recurrentes 24-26'!DV196</f>
        <v/>
      </c>
      <c r="CN334" s="1065">
        <f>'No Recurrentes 24-26'!EI192</f>
        <v>936.37</v>
      </c>
      <c r="CO334" s="1065">
        <f>'No Recurrentes 24-26'!EJ192</f>
        <v>795.91</v>
      </c>
      <c r="CP334" s="1060" t="str">
        <f>'No Recurrentes 24-26'!EK192</f>
        <v/>
      </c>
    </row>
    <row r="335">
      <c r="A335" s="451" t="str">
        <f>'No Recurrentes 24-26'!A197</f>
        <v>Repuestos Electromecánicos no recurrentes</v>
      </c>
      <c r="B335" s="451">
        <f>'No Recurrentes 24-26'!B197</f>
        <v>2</v>
      </c>
      <c r="C335" s="451" t="str">
        <f>'No Recurrentes 24-26'!C197</f>
        <v>Estación</v>
      </c>
      <c r="D335" s="451" t="str">
        <f>'No Recurrentes 24-26'!D197</f>
        <v>Manto. Hidraulico</v>
      </c>
      <c r="E335" s="451" t="str">
        <f>'No Recurrentes 24-26'!E197</f>
        <v>Repuesto Hidráulico</v>
      </c>
      <c r="F335" s="451" t="str">
        <f>'No Recurrentes 24-26'!F197</f>
        <v>TDB</v>
      </c>
      <c r="G335" s="1025" t="str">
        <f>'No Recurrentes 24-26'!G197</f>
        <v>39800</v>
      </c>
      <c r="H335" s="1061" t="str">
        <f>'No Recurrentes 24-26'!H197</f>
        <v>2-01-00345</v>
      </c>
      <c r="I335" s="1061" t="str">
        <f>'No Recurrentes 24-26'!I197</f>
        <v>11402505</v>
      </c>
      <c r="J335" s="1061" t="str">
        <f>'No Recurrentes 24-26'!J197</f>
        <v>ARRASTRADOR 28X12X10 P. ACOPLAM. FELXIBLE INCL.P.DE GOMA 90SH</v>
      </c>
      <c r="K335" s="451" t="str">
        <f>'No Recurrentes 24-26'!K197</f>
        <v>Pza</v>
      </c>
      <c r="L335" s="451" t="str">
        <f>'No Recurrentes 24-26'!BC197</f>
        <v/>
      </c>
      <c r="M335" s="451" t="str">
        <f>'No Recurrentes 24-26'!BD197</f>
        <v/>
      </c>
      <c r="N335" s="451" t="str">
        <f>'No Recurrentes 24-26'!BE197</f>
        <v/>
      </c>
      <c r="O335" s="451" t="str">
        <f>'No Recurrentes 24-26'!BF197</f>
        <v/>
      </c>
      <c r="P335" s="451" t="str">
        <f>'No Recurrentes 24-26'!BG197</f>
        <v/>
      </c>
      <c r="Q335" s="451" t="str">
        <f>'No Recurrentes 24-26'!BH197</f>
        <v/>
      </c>
      <c r="R335" s="451" t="str">
        <f>'No Recurrentes 24-26'!BI197</f>
        <v/>
      </c>
      <c r="S335" s="451" t="str">
        <f>'No Recurrentes 24-26'!BJ197</f>
        <v/>
      </c>
      <c r="T335" s="451" t="str">
        <f>'No Recurrentes 24-26'!BK197</f>
        <v/>
      </c>
      <c r="U335" s="451" t="str">
        <f>'No Recurrentes 24-26'!BL197</f>
        <v/>
      </c>
      <c r="V335" s="1068"/>
      <c r="W335" s="1062">
        <f>'No Recurrentes 24-26'!BM197</f>
        <v>0</v>
      </c>
      <c r="X335" s="1062">
        <f>'No Recurrentes 24-26'!BN197</f>
        <v>2</v>
      </c>
      <c r="Y335" s="1062">
        <f>'No Recurrentes 24-26'!BO197</f>
        <v>2</v>
      </c>
      <c r="Z335" s="1062">
        <f>'No Recurrentes 24-26'!BP197</f>
        <v>2</v>
      </c>
      <c r="AA335" s="1062">
        <f>'No Recurrentes 24-26'!BQ197</f>
        <v>4</v>
      </c>
      <c r="AB335" s="1062">
        <f>'No Recurrentes 24-26'!BR197</f>
        <v>5</v>
      </c>
      <c r="AC335" s="1062">
        <f>'No Recurrentes 24-26'!BS197</f>
        <v>6</v>
      </c>
      <c r="AD335" s="1062" t="str">
        <f>'No Recurrentes 24-26'!BT197</f>
        <v/>
      </c>
      <c r="AE335" s="1062" t="str">
        <f>'No Recurrentes 24-26'!BU197</f>
        <v/>
      </c>
      <c r="AF335" s="1062" t="str">
        <f>'No Recurrentes 24-26'!BV197</f>
        <v/>
      </c>
      <c r="AG335" s="1062" t="str">
        <f>'No Recurrentes 24-26'!BW197</f>
        <v/>
      </c>
      <c r="AH335" s="1068"/>
      <c r="AI335" s="1062">
        <f>'No Recurrentes 24-26'!BX197</f>
        <v>21</v>
      </c>
      <c r="AJ335" s="1062">
        <f>'No Recurrentes 24-26'!BY197</f>
        <v>0</v>
      </c>
      <c r="AK335" s="1062">
        <f>'No Recurrentes 24-26'!BZ197</f>
        <v>0</v>
      </c>
      <c r="AL335" s="1062">
        <f>'No Recurrentes 24-26'!CA197</f>
        <v>0</v>
      </c>
      <c r="AM335" s="1062">
        <f>'No Recurrentes 24-26'!CB197</f>
        <v>0</v>
      </c>
      <c r="AN335" s="1062">
        <f>'No Recurrentes 24-26'!CC197</f>
        <v>0</v>
      </c>
      <c r="AO335" s="1062">
        <f>'No Recurrentes 24-26'!CD197</f>
        <v>0</v>
      </c>
      <c r="AP335" s="1062">
        <f>'No Recurrentes 24-26'!CE197</f>
        <v>0</v>
      </c>
      <c r="AQ335" s="1062">
        <f>'No Recurrentes 24-26'!CF197</f>
        <v>0</v>
      </c>
      <c r="AR335" s="1062">
        <f>'No Recurrentes 24-26'!CG197</f>
        <v>0</v>
      </c>
      <c r="AS335" s="1062">
        <f>'No Recurrentes 24-26'!CH197</f>
        <v>0</v>
      </c>
      <c r="AT335" s="1068"/>
      <c r="AU335" s="1062">
        <f>'No Recurrentes 24-26'!CI197</f>
        <v>0</v>
      </c>
      <c r="AV335" s="1063">
        <f>'No Recurrentes 24-26'!CJ197</f>
        <v>21</v>
      </c>
      <c r="AW335" s="1068"/>
      <c r="AX335" s="1065">
        <f>'No Recurrentes 24-26'!CK197</f>
        <v>74.03</v>
      </c>
      <c r="AY335" s="1062">
        <f>'No Recurrentes 24-26'!CL197</f>
        <v>515.2488</v>
      </c>
      <c r="AZ335" s="1068"/>
      <c r="BA335" s="1062">
        <f>'No Recurrentes 24-26'!CM197</f>
        <v>0</v>
      </c>
      <c r="BB335" s="1062">
        <f>'No Recurrentes 24-26'!CN197</f>
        <v>0</v>
      </c>
      <c r="BC335" s="1062">
        <f>'No Recurrentes 24-26'!CO197</f>
        <v>0</v>
      </c>
      <c r="BD335" s="1062">
        <f>'No Recurrentes 24-26'!CP197</f>
        <v>0</v>
      </c>
      <c r="BE335" s="1062">
        <f>'No Recurrentes 24-26'!CQ197</f>
        <v>0</v>
      </c>
      <c r="BF335" s="1062">
        <f>'No Recurrentes 24-26'!CR197</f>
        <v>0</v>
      </c>
      <c r="BG335" s="1062">
        <f>'No Recurrentes 24-26'!CS197</f>
        <v>0</v>
      </c>
      <c r="BH335" s="1062">
        <f>'No Recurrentes 24-26'!CT197</f>
        <v>0</v>
      </c>
      <c r="BI335" s="1062">
        <f>'No Recurrentes 24-26'!CU197</f>
        <v>0</v>
      </c>
      <c r="BJ335" s="1062">
        <f>'No Recurrentes 24-26'!CV197</f>
        <v>0</v>
      </c>
      <c r="BK335" s="1068"/>
      <c r="BL335" s="1062">
        <f>'No Recurrentes 24-26'!CW197</f>
        <v>0</v>
      </c>
      <c r="BM335" s="1062">
        <f>'No Recurrentes 24-26'!CX197</f>
        <v>1030.4976</v>
      </c>
      <c r="BN335" s="1062">
        <f>'No Recurrentes 24-26'!CY197</f>
        <v>1030.4976</v>
      </c>
      <c r="BO335" s="1062">
        <f>'No Recurrentes 24-26'!CZ197</f>
        <v>1030.4976</v>
      </c>
      <c r="BP335" s="1062">
        <f>'No Recurrentes 24-26'!DA197</f>
        <v>2060.9952</v>
      </c>
      <c r="BQ335" s="1062">
        <f>'No Recurrentes 24-26'!DB197</f>
        <v>2576.244</v>
      </c>
      <c r="BR335" s="1062">
        <f>'No Recurrentes 24-26'!DC197</f>
        <v>3091.4928</v>
      </c>
      <c r="BS335" s="1062">
        <f>'No Recurrentes 24-26'!DD197</f>
        <v>0</v>
      </c>
      <c r="BT335" s="1062">
        <f>'No Recurrentes 24-26'!DE197</f>
        <v>0</v>
      </c>
      <c r="BU335" s="1062">
        <f>'No Recurrentes 24-26'!DF197</f>
        <v>0</v>
      </c>
      <c r="BV335" s="1062">
        <f>'No Recurrentes 24-26'!DG197</f>
        <v>0</v>
      </c>
      <c r="BW335" s="1068"/>
      <c r="BX335" s="1062">
        <f>'No Recurrentes 24-26'!DH197</f>
        <v>10820.2248</v>
      </c>
      <c r="BY335" s="1062">
        <f>'No Recurrentes 24-26'!DI197</f>
        <v>0</v>
      </c>
      <c r="BZ335" s="1062">
        <f>'No Recurrentes 24-26'!DJ197</f>
        <v>0</v>
      </c>
      <c r="CA335" s="1062">
        <f>'No Recurrentes 24-26'!DK197</f>
        <v>0</v>
      </c>
      <c r="CB335" s="1062">
        <f>'No Recurrentes 24-26'!DL197</f>
        <v>0</v>
      </c>
      <c r="CC335" s="1062">
        <f>'No Recurrentes 24-26'!DM197</f>
        <v>0</v>
      </c>
      <c r="CD335" s="1062">
        <f>'No Recurrentes 24-26'!DN197</f>
        <v>0</v>
      </c>
      <c r="CE335" s="1062">
        <f>'No Recurrentes 24-26'!DO197</f>
        <v>0</v>
      </c>
      <c r="CF335" s="1062">
        <f>'No Recurrentes 24-26'!DP197</f>
        <v>0</v>
      </c>
      <c r="CG335" s="1062">
        <f>'No Recurrentes 24-26'!DQ197</f>
        <v>0</v>
      </c>
      <c r="CH335" s="1062">
        <f>'No Recurrentes 24-26'!DR197</f>
        <v>0</v>
      </c>
      <c r="CI335" s="1068"/>
      <c r="CJ335" s="1062">
        <f>'No Recurrentes 24-26'!DS197</f>
        <v>0</v>
      </c>
      <c r="CK335" s="1062">
        <f>'No Recurrentes 24-26'!DT197</f>
        <v>10820.2248</v>
      </c>
      <c r="CL335" s="1064" t="str">
        <f>'No Recurrentes 24-26'!DU197</f>
        <v/>
      </c>
      <c r="CM335" s="1064" t="str">
        <f>'No Recurrentes 24-26'!DV197</f>
        <v/>
      </c>
      <c r="CN335" s="1065">
        <f>'No Recurrentes 24-26'!EI193</f>
        <v>333.26</v>
      </c>
      <c r="CO335" s="1065">
        <f>'No Recurrentes 24-26'!EJ193</f>
        <v>283.27</v>
      </c>
      <c r="CP335" s="1060" t="str">
        <f>'No Recurrentes 24-26'!EK193</f>
        <v/>
      </c>
    </row>
    <row r="336">
      <c r="A336" s="451" t="str">
        <f>'No Recurrentes 24-26'!A198</f>
        <v>Repuestos Electromecánicos no recurrentes</v>
      </c>
      <c r="B336" s="451">
        <f>'No Recurrentes 24-26'!B198</f>
        <v>2</v>
      </c>
      <c r="C336" s="451" t="str">
        <f>'No Recurrentes 24-26'!C198</f>
        <v>Estación</v>
      </c>
      <c r="D336" s="451" t="str">
        <f>'No Recurrentes 24-26'!D198</f>
        <v>Manto. Hidraulico</v>
      </c>
      <c r="E336" s="451" t="str">
        <f>'No Recurrentes 24-26'!E198</f>
        <v>Repuesto Hidráulico</v>
      </c>
      <c r="F336" s="451" t="str">
        <f>'No Recurrentes 24-26'!F198</f>
        <v>TDB</v>
      </c>
      <c r="G336" s="1025" t="str">
        <f>'No Recurrentes 24-26'!G198</f>
        <v>39800</v>
      </c>
      <c r="H336" s="1061" t="str">
        <f>'No Recurrentes 24-26'!H198</f>
        <v>2-04-00053</v>
      </c>
      <c r="I336" s="1061" t="str">
        <f>'No Recurrentes 24-26'!I198</f>
        <v>10661660</v>
      </c>
      <c r="J336" s="1061" t="str">
        <f>'No Recurrentes 24-26'!J198</f>
        <v>MANGUERA AP AN10-2SC L=8000MM     DKOL-12/CEL-12</v>
      </c>
      <c r="K336" s="451" t="str">
        <f>'No Recurrentes 24-26'!K198</f>
        <v>Pza</v>
      </c>
      <c r="L336" s="451" t="str">
        <f>'No Recurrentes 24-26'!BC198</f>
        <v/>
      </c>
      <c r="M336" s="451" t="str">
        <f>'No Recurrentes 24-26'!BD198</f>
        <v/>
      </c>
      <c r="N336" s="451" t="str">
        <f>'No Recurrentes 24-26'!BE198</f>
        <v/>
      </c>
      <c r="O336" s="451" t="str">
        <f>'No Recurrentes 24-26'!BF198</f>
        <v/>
      </c>
      <c r="P336" s="451" t="str">
        <f>'No Recurrentes 24-26'!BG198</f>
        <v/>
      </c>
      <c r="Q336" s="451" t="str">
        <f>'No Recurrentes 24-26'!BH198</f>
        <v/>
      </c>
      <c r="R336" s="451" t="str">
        <f>'No Recurrentes 24-26'!BI198</f>
        <v/>
      </c>
      <c r="S336" s="451" t="str">
        <f>'No Recurrentes 24-26'!BJ198</f>
        <v/>
      </c>
      <c r="T336" s="451" t="str">
        <f>'No Recurrentes 24-26'!BK198</f>
        <v/>
      </c>
      <c r="U336" s="451" t="str">
        <f>'No Recurrentes 24-26'!BL198</f>
        <v/>
      </c>
      <c r="V336" s="1068"/>
      <c r="W336" s="1062">
        <f>'No Recurrentes 24-26'!BM198</f>
        <v>0</v>
      </c>
      <c r="X336" s="1062">
        <f>'No Recurrentes 24-26'!BN198</f>
        <v>2</v>
      </c>
      <c r="Y336" s="1062">
        <f>'No Recurrentes 24-26'!BO198</f>
        <v>1</v>
      </c>
      <c r="Z336" s="1062">
        <f>'No Recurrentes 24-26'!BP198</f>
        <v>2</v>
      </c>
      <c r="AA336" s="1062" t="str">
        <f>'No Recurrentes 24-26'!BQ198</f>
        <v/>
      </c>
      <c r="AB336" s="1062" t="str">
        <f>'No Recurrentes 24-26'!BR198</f>
        <v/>
      </c>
      <c r="AC336" s="1062" t="str">
        <f>'No Recurrentes 24-26'!BS198</f>
        <v/>
      </c>
      <c r="AD336" s="1062" t="str">
        <f>'No Recurrentes 24-26'!BT198</f>
        <v/>
      </c>
      <c r="AE336" s="1062" t="str">
        <f>'No Recurrentes 24-26'!BU198</f>
        <v/>
      </c>
      <c r="AF336" s="1062" t="str">
        <f>'No Recurrentes 24-26'!BV198</f>
        <v/>
      </c>
      <c r="AG336" s="1062" t="str">
        <f>'No Recurrentes 24-26'!BW198</f>
        <v/>
      </c>
      <c r="AH336" s="1068"/>
      <c r="AI336" s="1062">
        <f>'No Recurrentes 24-26'!BX198</f>
        <v>5</v>
      </c>
      <c r="AJ336" s="1062">
        <f>'No Recurrentes 24-26'!BY198</f>
        <v>0</v>
      </c>
      <c r="AK336" s="1062">
        <f>'No Recurrentes 24-26'!BZ198</f>
        <v>0</v>
      </c>
      <c r="AL336" s="1062">
        <f>'No Recurrentes 24-26'!CA198</f>
        <v>0</v>
      </c>
      <c r="AM336" s="1062">
        <f>'No Recurrentes 24-26'!CB198</f>
        <v>0</v>
      </c>
      <c r="AN336" s="1062">
        <f>'No Recurrentes 24-26'!CC198</f>
        <v>0</v>
      </c>
      <c r="AO336" s="1062">
        <f>'No Recurrentes 24-26'!CD198</f>
        <v>0</v>
      </c>
      <c r="AP336" s="1062">
        <f>'No Recurrentes 24-26'!CE198</f>
        <v>0</v>
      </c>
      <c r="AQ336" s="1062">
        <f>'No Recurrentes 24-26'!CF198</f>
        <v>0</v>
      </c>
      <c r="AR336" s="1062">
        <f>'No Recurrentes 24-26'!CG198</f>
        <v>0</v>
      </c>
      <c r="AS336" s="1062">
        <f>'No Recurrentes 24-26'!CH198</f>
        <v>0</v>
      </c>
      <c r="AT336" s="1068"/>
      <c r="AU336" s="1062">
        <f>'No Recurrentes 24-26'!CI198</f>
        <v>0</v>
      </c>
      <c r="AV336" s="1063">
        <f>'No Recurrentes 24-26'!CJ198</f>
        <v>5</v>
      </c>
      <c r="AW336" s="1068"/>
      <c r="AX336" s="1065">
        <f>'No Recurrentes 24-26'!CK198</f>
        <v>293.73</v>
      </c>
      <c r="AY336" s="1062">
        <f>'No Recurrentes 24-26'!CL198</f>
        <v>2044.3608</v>
      </c>
      <c r="AZ336" s="1068"/>
      <c r="BA336" s="1062">
        <f>'No Recurrentes 24-26'!CM198</f>
        <v>0</v>
      </c>
      <c r="BB336" s="1062">
        <f>'No Recurrentes 24-26'!CN198</f>
        <v>0</v>
      </c>
      <c r="BC336" s="1062">
        <f>'No Recurrentes 24-26'!CO198</f>
        <v>0</v>
      </c>
      <c r="BD336" s="1062">
        <f>'No Recurrentes 24-26'!CP198</f>
        <v>0</v>
      </c>
      <c r="BE336" s="1062">
        <f>'No Recurrentes 24-26'!CQ198</f>
        <v>0</v>
      </c>
      <c r="BF336" s="1062">
        <f>'No Recurrentes 24-26'!CR198</f>
        <v>0</v>
      </c>
      <c r="BG336" s="1062">
        <f>'No Recurrentes 24-26'!CS198</f>
        <v>0</v>
      </c>
      <c r="BH336" s="1062">
        <f>'No Recurrentes 24-26'!CT198</f>
        <v>0</v>
      </c>
      <c r="BI336" s="1062">
        <f>'No Recurrentes 24-26'!CU198</f>
        <v>0</v>
      </c>
      <c r="BJ336" s="1062">
        <f>'No Recurrentes 24-26'!CV198</f>
        <v>0</v>
      </c>
      <c r="BK336" s="1068"/>
      <c r="BL336" s="1062">
        <f>'No Recurrentes 24-26'!CW198</f>
        <v>0</v>
      </c>
      <c r="BM336" s="1062">
        <f>'No Recurrentes 24-26'!CX198</f>
        <v>4088.7216</v>
      </c>
      <c r="BN336" s="1062">
        <f>'No Recurrentes 24-26'!CY198</f>
        <v>2044.3608</v>
      </c>
      <c r="BO336" s="1062">
        <f>'No Recurrentes 24-26'!CZ198</f>
        <v>4088.7216</v>
      </c>
      <c r="BP336" s="1062">
        <f>'No Recurrentes 24-26'!DA198</f>
        <v>0</v>
      </c>
      <c r="BQ336" s="1062">
        <f>'No Recurrentes 24-26'!DB198</f>
        <v>0</v>
      </c>
      <c r="BR336" s="1062">
        <f>'No Recurrentes 24-26'!DC198</f>
        <v>0</v>
      </c>
      <c r="BS336" s="1062">
        <f>'No Recurrentes 24-26'!DD198</f>
        <v>0</v>
      </c>
      <c r="BT336" s="1062">
        <f>'No Recurrentes 24-26'!DE198</f>
        <v>0</v>
      </c>
      <c r="BU336" s="1062">
        <f>'No Recurrentes 24-26'!DF198</f>
        <v>0</v>
      </c>
      <c r="BV336" s="1062">
        <f>'No Recurrentes 24-26'!DG198</f>
        <v>0</v>
      </c>
      <c r="BW336" s="1068"/>
      <c r="BX336" s="1062">
        <f>'No Recurrentes 24-26'!DH198</f>
        <v>10221.804</v>
      </c>
      <c r="BY336" s="1062">
        <f>'No Recurrentes 24-26'!DI198</f>
        <v>0</v>
      </c>
      <c r="BZ336" s="1062">
        <f>'No Recurrentes 24-26'!DJ198</f>
        <v>0</v>
      </c>
      <c r="CA336" s="1062">
        <f>'No Recurrentes 24-26'!DK198</f>
        <v>0</v>
      </c>
      <c r="CB336" s="1062">
        <f>'No Recurrentes 24-26'!DL198</f>
        <v>0</v>
      </c>
      <c r="CC336" s="1062">
        <f>'No Recurrentes 24-26'!DM198</f>
        <v>0</v>
      </c>
      <c r="CD336" s="1062">
        <f>'No Recurrentes 24-26'!DN198</f>
        <v>0</v>
      </c>
      <c r="CE336" s="1062">
        <f>'No Recurrentes 24-26'!DO198</f>
        <v>0</v>
      </c>
      <c r="CF336" s="1062">
        <f>'No Recurrentes 24-26'!DP198</f>
        <v>0</v>
      </c>
      <c r="CG336" s="1062">
        <f>'No Recurrentes 24-26'!DQ198</f>
        <v>0</v>
      </c>
      <c r="CH336" s="1062">
        <f>'No Recurrentes 24-26'!DR198</f>
        <v>0</v>
      </c>
      <c r="CI336" s="1068"/>
      <c r="CJ336" s="1062">
        <f>'No Recurrentes 24-26'!DS198</f>
        <v>0</v>
      </c>
      <c r="CK336" s="1062">
        <f>'No Recurrentes 24-26'!DT198</f>
        <v>10221.804</v>
      </c>
      <c r="CL336" s="1064" t="str">
        <f>'No Recurrentes 24-26'!DU198</f>
        <v/>
      </c>
      <c r="CM336" s="1064" t="str">
        <f>'No Recurrentes 24-26'!DV198</f>
        <v/>
      </c>
      <c r="CN336" s="1065">
        <f>'No Recurrentes 24-26'!EI194</f>
        <v>414.02</v>
      </c>
      <c r="CO336" s="1065">
        <f>'No Recurrentes 24-26'!EJ194</f>
        <v>351.92</v>
      </c>
      <c r="CP336" s="1060" t="str">
        <f>'No Recurrentes 24-26'!EK194</f>
        <v/>
      </c>
    </row>
    <row r="337">
      <c r="A337" s="451" t="str">
        <f>'No Recurrentes 24-26'!A199</f>
        <v>Repuestos Electromecánicos no recurrentes</v>
      </c>
      <c r="B337" s="451">
        <f>'No Recurrentes 24-26'!B199</f>
        <v>2</v>
      </c>
      <c r="C337" s="451" t="str">
        <f>'No Recurrentes 24-26'!C199</f>
        <v>Estación</v>
      </c>
      <c r="D337" s="451" t="str">
        <f>'No Recurrentes 24-26'!D199</f>
        <v>Manto. Hidraulico</v>
      </c>
      <c r="E337" s="451" t="str">
        <f>'No Recurrentes 24-26'!E199</f>
        <v>Repuesto Hidráulico</v>
      </c>
      <c r="F337" s="451" t="str">
        <f>'No Recurrentes 24-26'!F199</f>
        <v>TDB</v>
      </c>
      <c r="G337" s="1025" t="str">
        <f>'No Recurrentes 24-26'!G199</f>
        <v>39800</v>
      </c>
      <c r="H337" s="1061" t="str">
        <f>'No Recurrentes 24-26'!H199</f>
        <v/>
      </c>
      <c r="I337" s="1061" t="str">
        <f>'No Recurrentes 24-26'!I199</f>
        <v>11668565</v>
      </c>
      <c r="J337" s="1061" t="str">
        <f>'No Recurrentes 24-26'!J199</f>
        <v>MANGUERA AP AN12-2SC L=1800MM     CES-16/DKOS45-16</v>
      </c>
      <c r="K337" s="451" t="str">
        <f>'No Recurrentes 24-26'!K199</f>
        <v>Pza</v>
      </c>
      <c r="L337" s="451" t="str">
        <f>'No Recurrentes 24-26'!BC199</f>
        <v/>
      </c>
      <c r="M337" s="451" t="str">
        <f>'No Recurrentes 24-26'!BD199</f>
        <v/>
      </c>
      <c r="N337" s="451" t="str">
        <f>'No Recurrentes 24-26'!BE199</f>
        <v/>
      </c>
      <c r="O337" s="451" t="str">
        <f>'No Recurrentes 24-26'!BF199</f>
        <v/>
      </c>
      <c r="P337" s="451" t="str">
        <f>'No Recurrentes 24-26'!BG199</f>
        <v/>
      </c>
      <c r="Q337" s="451" t="str">
        <f>'No Recurrentes 24-26'!BH199</f>
        <v/>
      </c>
      <c r="R337" s="451" t="str">
        <f>'No Recurrentes 24-26'!BI199</f>
        <v/>
      </c>
      <c r="S337" s="451" t="str">
        <f>'No Recurrentes 24-26'!BJ199</f>
        <v/>
      </c>
      <c r="T337" s="451" t="str">
        <f>'No Recurrentes 24-26'!BK199</f>
        <v/>
      </c>
      <c r="U337" s="451" t="str">
        <f>'No Recurrentes 24-26'!BL199</f>
        <v/>
      </c>
      <c r="V337" s="1068"/>
      <c r="W337" s="1062">
        <f>'No Recurrentes 24-26'!BM199</f>
        <v>0</v>
      </c>
      <c r="X337" s="1062">
        <f>'No Recurrentes 24-26'!BN199</f>
        <v>2</v>
      </c>
      <c r="Y337" s="1062">
        <f>'No Recurrentes 24-26'!BO199</f>
        <v>2</v>
      </c>
      <c r="Z337" s="1062">
        <f>'No Recurrentes 24-26'!BP199</f>
        <v>2</v>
      </c>
      <c r="AA337" s="1062" t="str">
        <f>'No Recurrentes 24-26'!BQ199</f>
        <v/>
      </c>
      <c r="AB337" s="1062" t="str">
        <f>'No Recurrentes 24-26'!BR199</f>
        <v/>
      </c>
      <c r="AC337" s="1062" t="str">
        <f>'No Recurrentes 24-26'!BS199</f>
        <v/>
      </c>
      <c r="AD337" s="1062" t="str">
        <f>'No Recurrentes 24-26'!BT199</f>
        <v/>
      </c>
      <c r="AE337" s="1062" t="str">
        <f>'No Recurrentes 24-26'!BU199</f>
        <v/>
      </c>
      <c r="AF337" s="1062" t="str">
        <f>'No Recurrentes 24-26'!BV199</f>
        <v/>
      </c>
      <c r="AG337" s="1062" t="str">
        <f>'No Recurrentes 24-26'!BW199</f>
        <v/>
      </c>
      <c r="AH337" s="1068"/>
      <c r="AI337" s="1062">
        <f>'No Recurrentes 24-26'!BX199</f>
        <v>6</v>
      </c>
      <c r="AJ337" s="1062">
        <f>'No Recurrentes 24-26'!BY199</f>
        <v>0</v>
      </c>
      <c r="AK337" s="1062">
        <f>'No Recurrentes 24-26'!BZ199</f>
        <v>0</v>
      </c>
      <c r="AL337" s="1062">
        <f>'No Recurrentes 24-26'!CA199</f>
        <v>0</v>
      </c>
      <c r="AM337" s="1062">
        <f>'No Recurrentes 24-26'!CB199</f>
        <v>0</v>
      </c>
      <c r="AN337" s="1062">
        <f>'No Recurrentes 24-26'!CC199</f>
        <v>0</v>
      </c>
      <c r="AO337" s="1062">
        <f>'No Recurrentes 24-26'!CD199</f>
        <v>0</v>
      </c>
      <c r="AP337" s="1062">
        <f>'No Recurrentes 24-26'!CE199</f>
        <v>0</v>
      </c>
      <c r="AQ337" s="1062">
        <f>'No Recurrentes 24-26'!CF199</f>
        <v>0</v>
      </c>
      <c r="AR337" s="1062">
        <f>'No Recurrentes 24-26'!CG199</f>
        <v>0</v>
      </c>
      <c r="AS337" s="1062">
        <f>'No Recurrentes 24-26'!CH199</f>
        <v>0</v>
      </c>
      <c r="AT337" s="1068"/>
      <c r="AU337" s="1062">
        <f>'No Recurrentes 24-26'!CI199</f>
        <v>0</v>
      </c>
      <c r="AV337" s="1063">
        <f>'No Recurrentes 24-26'!CJ199</f>
        <v>6</v>
      </c>
      <c r="AW337" s="1068"/>
      <c r="AX337" s="1065">
        <f>'No Recurrentes 24-26'!CK199</f>
        <v>179.13</v>
      </c>
      <c r="AY337" s="1062">
        <f>'No Recurrentes 24-26'!CL199</f>
        <v>1246.7448</v>
      </c>
      <c r="AZ337" s="1068"/>
      <c r="BA337" s="1062">
        <f>'No Recurrentes 24-26'!CM199</f>
        <v>0</v>
      </c>
      <c r="BB337" s="1062">
        <f>'No Recurrentes 24-26'!CN199</f>
        <v>0</v>
      </c>
      <c r="BC337" s="1062">
        <f>'No Recurrentes 24-26'!CO199</f>
        <v>0</v>
      </c>
      <c r="BD337" s="1062">
        <f>'No Recurrentes 24-26'!CP199</f>
        <v>0</v>
      </c>
      <c r="BE337" s="1062">
        <f>'No Recurrentes 24-26'!CQ199</f>
        <v>0</v>
      </c>
      <c r="BF337" s="1062">
        <f>'No Recurrentes 24-26'!CR199</f>
        <v>0</v>
      </c>
      <c r="BG337" s="1062">
        <f>'No Recurrentes 24-26'!CS199</f>
        <v>0</v>
      </c>
      <c r="BH337" s="1062">
        <f>'No Recurrentes 24-26'!CT199</f>
        <v>0</v>
      </c>
      <c r="BI337" s="1062">
        <f>'No Recurrentes 24-26'!CU199</f>
        <v>0</v>
      </c>
      <c r="BJ337" s="1062">
        <f>'No Recurrentes 24-26'!CV199</f>
        <v>0</v>
      </c>
      <c r="BK337" s="1068"/>
      <c r="BL337" s="1062">
        <f>'No Recurrentes 24-26'!CW199</f>
        <v>0</v>
      </c>
      <c r="BM337" s="1062">
        <f>'No Recurrentes 24-26'!CX199</f>
        <v>2493.4896</v>
      </c>
      <c r="BN337" s="1062">
        <f>'No Recurrentes 24-26'!CY199</f>
        <v>2493.4896</v>
      </c>
      <c r="BO337" s="1062">
        <f>'No Recurrentes 24-26'!CZ199</f>
        <v>2493.4896</v>
      </c>
      <c r="BP337" s="1062">
        <f>'No Recurrentes 24-26'!DA199</f>
        <v>0</v>
      </c>
      <c r="BQ337" s="1062">
        <f>'No Recurrentes 24-26'!DB199</f>
        <v>0</v>
      </c>
      <c r="BR337" s="1062">
        <f>'No Recurrentes 24-26'!DC199</f>
        <v>0</v>
      </c>
      <c r="BS337" s="1062">
        <f>'No Recurrentes 24-26'!DD199</f>
        <v>0</v>
      </c>
      <c r="BT337" s="1062">
        <f>'No Recurrentes 24-26'!DE199</f>
        <v>0</v>
      </c>
      <c r="BU337" s="1062">
        <f>'No Recurrentes 24-26'!DF199</f>
        <v>0</v>
      </c>
      <c r="BV337" s="1062">
        <f>'No Recurrentes 24-26'!DG199</f>
        <v>0</v>
      </c>
      <c r="BW337" s="1068"/>
      <c r="BX337" s="1062">
        <f>'No Recurrentes 24-26'!DH199</f>
        <v>7480.4688</v>
      </c>
      <c r="BY337" s="1062">
        <f>'No Recurrentes 24-26'!DI199</f>
        <v>0</v>
      </c>
      <c r="BZ337" s="1062">
        <f>'No Recurrentes 24-26'!DJ199</f>
        <v>0</v>
      </c>
      <c r="CA337" s="1062">
        <f>'No Recurrentes 24-26'!DK199</f>
        <v>0</v>
      </c>
      <c r="CB337" s="1062">
        <f>'No Recurrentes 24-26'!DL199</f>
        <v>0</v>
      </c>
      <c r="CC337" s="1062">
        <f>'No Recurrentes 24-26'!DM199</f>
        <v>0</v>
      </c>
      <c r="CD337" s="1062">
        <f>'No Recurrentes 24-26'!DN199</f>
        <v>0</v>
      </c>
      <c r="CE337" s="1062">
        <f>'No Recurrentes 24-26'!DO199</f>
        <v>0</v>
      </c>
      <c r="CF337" s="1062">
        <f>'No Recurrentes 24-26'!DP199</f>
        <v>0</v>
      </c>
      <c r="CG337" s="1062">
        <f>'No Recurrentes 24-26'!DQ199</f>
        <v>0</v>
      </c>
      <c r="CH337" s="1062">
        <f>'No Recurrentes 24-26'!DR199</f>
        <v>0</v>
      </c>
      <c r="CI337" s="1068"/>
      <c r="CJ337" s="1062">
        <f>'No Recurrentes 24-26'!DS199</f>
        <v>0</v>
      </c>
      <c r="CK337" s="1062">
        <f>'No Recurrentes 24-26'!DT199</f>
        <v>7480.4688</v>
      </c>
      <c r="CL337" s="1064" t="str">
        <f>'No Recurrentes 24-26'!DU199</f>
        <v/>
      </c>
      <c r="CM337" s="1064" t="str">
        <f>'No Recurrentes 24-26'!DV199</f>
        <v/>
      </c>
      <c r="CN337" s="1065">
        <f>'No Recurrentes 24-26'!EI195</f>
        <v>205.2</v>
      </c>
      <c r="CO337" s="1065">
        <f>'No Recurrentes 24-26'!EJ195</f>
        <v>174.42</v>
      </c>
      <c r="CP337" s="1060" t="str">
        <f>'No Recurrentes 24-26'!EK195</f>
        <v/>
      </c>
    </row>
    <row r="338">
      <c r="A338" s="451" t="str">
        <f>'No Recurrentes 24-26'!A200</f>
        <v>Repuestos Electromecánicos no recurrentes</v>
      </c>
      <c r="B338" s="451">
        <f>'No Recurrentes 24-26'!B200</f>
        <v>2</v>
      </c>
      <c r="C338" s="451" t="str">
        <f>'No Recurrentes 24-26'!C200</f>
        <v>Estación</v>
      </c>
      <c r="D338" s="451" t="str">
        <f>'No Recurrentes 24-26'!D200</f>
        <v>Manto. Hidraulico</v>
      </c>
      <c r="E338" s="451" t="str">
        <f>'No Recurrentes 24-26'!E200</f>
        <v>Repuesto Hidráulico</v>
      </c>
      <c r="F338" s="451" t="str">
        <f>'No Recurrentes 24-26'!F200</f>
        <v>TDB</v>
      </c>
      <c r="G338" s="1025" t="str">
        <f>'No Recurrentes 24-26'!G200</f>
        <v>39800</v>
      </c>
      <c r="H338" s="1061" t="str">
        <f>'No Recurrentes 24-26'!H200</f>
        <v>2-01-00172</v>
      </c>
      <c r="I338" s="1061" t="str">
        <f>'No Recurrentes 24-26'!I200</f>
        <v>11247093</v>
      </c>
      <c r="J338" s="1061" t="str">
        <f>'No Recurrentes 24-26'!J200</f>
        <v>MANGUERA AP AN12-2SC L=1650MM     CES-16/DKOS45-16</v>
      </c>
      <c r="K338" s="451" t="str">
        <f>'No Recurrentes 24-26'!K200</f>
        <v>Pza</v>
      </c>
      <c r="L338" s="451" t="str">
        <f>'No Recurrentes 24-26'!BC200</f>
        <v/>
      </c>
      <c r="M338" s="451" t="str">
        <f>'No Recurrentes 24-26'!BD200</f>
        <v/>
      </c>
      <c r="N338" s="451" t="str">
        <f>'No Recurrentes 24-26'!BE200</f>
        <v/>
      </c>
      <c r="O338" s="451" t="str">
        <f>'No Recurrentes 24-26'!BF200</f>
        <v/>
      </c>
      <c r="P338" s="451" t="str">
        <f>'No Recurrentes 24-26'!BG200</f>
        <v/>
      </c>
      <c r="Q338" s="451" t="str">
        <f>'No Recurrentes 24-26'!BH200</f>
        <v/>
      </c>
      <c r="R338" s="451" t="str">
        <f>'No Recurrentes 24-26'!BI200</f>
        <v/>
      </c>
      <c r="S338" s="451" t="str">
        <f>'No Recurrentes 24-26'!BJ200</f>
        <v/>
      </c>
      <c r="T338" s="451" t="str">
        <f>'No Recurrentes 24-26'!BK200</f>
        <v/>
      </c>
      <c r="U338" s="451" t="str">
        <f>'No Recurrentes 24-26'!BL200</f>
        <v/>
      </c>
      <c r="V338" s="1068"/>
      <c r="W338" s="1062">
        <f>'No Recurrentes 24-26'!BM200</f>
        <v>0</v>
      </c>
      <c r="X338" s="1062">
        <f>'No Recurrentes 24-26'!BN200</f>
        <v>2</v>
      </c>
      <c r="Y338" s="1062">
        <f>'No Recurrentes 24-26'!BO200</f>
        <v>2</v>
      </c>
      <c r="Z338" s="1062">
        <f>'No Recurrentes 24-26'!BP200</f>
        <v>2</v>
      </c>
      <c r="AA338" s="1062" t="str">
        <f>'No Recurrentes 24-26'!BQ200</f>
        <v/>
      </c>
      <c r="AB338" s="1062" t="str">
        <f>'No Recurrentes 24-26'!BR200</f>
        <v/>
      </c>
      <c r="AC338" s="1062" t="str">
        <f>'No Recurrentes 24-26'!BS200</f>
        <v/>
      </c>
      <c r="AD338" s="1062" t="str">
        <f>'No Recurrentes 24-26'!BT200</f>
        <v/>
      </c>
      <c r="AE338" s="1062" t="str">
        <f>'No Recurrentes 24-26'!BU200</f>
        <v/>
      </c>
      <c r="AF338" s="1062" t="str">
        <f>'No Recurrentes 24-26'!BV200</f>
        <v/>
      </c>
      <c r="AG338" s="1062" t="str">
        <f>'No Recurrentes 24-26'!BW200</f>
        <v/>
      </c>
      <c r="AH338" s="1068"/>
      <c r="AI338" s="1062">
        <f>'No Recurrentes 24-26'!BX200</f>
        <v>6</v>
      </c>
      <c r="AJ338" s="1062">
        <f>'No Recurrentes 24-26'!BY200</f>
        <v>0</v>
      </c>
      <c r="AK338" s="1062">
        <f>'No Recurrentes 24-26'!BZ200</f>
        <v>0</v>
      </c>
      <c r="AL338" s="1062">
        <f>'No Recurrentes 24-26'!CA200</f>
        <v>0</v>
      </c>
      <c r="AM338" s="1062">
        <f>'No Recurrentes 24-26'!CB200</f>
        <v>0</v>
      </c>
      <c r="AN338" s="1062">
        <f>'No Recurrentes 24-26'!CC200</f>
        <v>0</v>
      </c>
      <c r="AO338" s="1062">
        <f>'No Recurrentes 24-26'!CD200</f>
        <v>0</v>
      </c>
      <c r="AP338" s="1062">
        <f>'No Recurrentes 24-26'!CE200</f>
        <v>0</v>
      </c>
      <c r="AQ338" s="1062">
        <f>'No Recurrentes 24-26'!CF200</f>
        <v>0</v>
      </c>
      <c r="AR338" s="1062">
        <f>'No Recurrentes 24-26'!CG200</f>
        <v>0</v>
      </c>
      <c r="AS338" s="1062">
        <f>'No Recurrentes 24-26'!CH200</f>
        <v>0</v>
      </c>
      <c r="AT338" s="1068"/>
      <c r="AU338" s="1062">
        <f>'No Recurrentes 24-26'!CI200</f>
        <v>0</v>
      </c>
      <c r="AV338" s="1063">
        <f>'No Recurrentes 24-26'!CJ200</f>
        <v>6</v>
      </c>
      <c r="AW338" s="1068"/>
      <c r="AX338" s="1065">
        <f>'No Recurrentes 24-26'!CK200</f>
        <v>174.17</v>
      </c>
      <c r="AY338" s="1062">
        <f>'No Recurrentes 24-26'!CL200</f>
        <v>1212.2232</v>
      </c>
      <c r="AZ338" s="1068"/>
      <c r="BA338" s="1062">
        <f>'No Recurrentes 24-26'!CM200</f>
        <v>0</v>
      </c>
      <c r="BB338" s="1062">
        <f>'No Recurrentes 24-26'!CN200</f>
        <v>0</v>
      </c>
      <c r="BC338" s="1062">
        <f>'No Recurrentes 24-26'!CO200</f>
        <v>0</v>
      </c>
      <c r="BD338" s="1062">
        <f>'No Recurrentes 24-26'!CP200</f>
        <v>0</v>
      </c>
      <c r="BE338" s="1062">
        <f>'No Recurrentes 24-26'!CQ200</f>
        <v>0</v>
      </c>
      <c r="BF338" s="1062">
        <f>'No Recurrentes 24-26'!CR200</f>
        <v>0</v>
      </c>
      <c r="BG338" s="1062">
        <f>'No Recurrentes 24-26'!CS200</f>
        <v>0</v>
      </c>
      <c r="BH338" s="1062">
        <f>'No Recurrentes 24-26'!CT200</f>
        <v>0</v>
      </c>
      <c r="BI338" s="1062">
        <f>'No Recurrentes 24-26'!CU200</f>
        <v>0</v>
      </c>
      <c r="BJ338" s="1062">
        <f>'No Recurrentes 24-26'!CV200</f>
        <v>0</v>
      </c>
      <c r="BK338" s="1068"/>
      <c r="BL338" s="1062">
        <f>'No Recurrentes 24-26'!CW200</f>
        <v>0</v>
      </c>
      <c r="BM338" s="1062">
        <f>'No Recurrentes 24-26'!CX200</f>
        <v>2424.4464</v>
      </c>
      <c r="BN338" s="1062">
        <f>'No Recurrentes 24-26'!CY200</f>
        <v>2424.4464</v>
      </c>
      <c r="BO338" s="1062">
        <f>'No Recurrentes 24-26'!CZ200</f>
        <v>2424.4464</v>
      </c>
      <c r="BP338" s="1062">
        <f>'No Recurrentes 24-26'!DA200</f>
        <v>0</v>
      </c>
      <c r="BQ338" s="1062">
        <f>'No Recurrentes 24-26'!DB200</f>
        <v>0</v>
      </c>
      <c r="BR338" s="1062">
        <f>'No Recurrentes 24-26'!DC200</f>
        <v>0</v>
      </c>
      <c r="BS338" s="1062">
        <f>'No Recurrentes 24-26'!DD200</f>
        <v>0</v>
      </c>
      <c r="BT338" s="1062">
        <f>'No Recurrentes 24-26'!DE200</f>
        <v>0</v>
      </c>
      <c r="BU338" s="1062">
        <f>'No Recurrentes 24-26'!DF200</f>
        <v>0</v>
      </c>
      <c r="BV338" s="1062">
        <f>'No Recurrentes 24-26'!DG200</f>
        <v>0</v>
      </c>
      <c r="BW338" s="1068"/>
      <c r="BX338" s="1062">
        <f>'No Recurrentes 24-26'!DH200</f>
        <v>7273.3392</v>
      </c>
      <c r="BY338" s="1062">
        <f>'No Recurrentes 24-26'!DI200</f>
        <v>0</v>
      </c>
      <c r="BZ338" s="1062">
        <f>'No Recurrentes 24-26'!DJ200</f>
        <v>0</v>
      </c>
      <c r="CA338" s="1062">
        <f>'No Recurrentes 24-26'!DK200</f>
        <v>0</v>
      </c>
      <c r="CB338" s="1062">
        <f>'No Recurrentes 24-26'!DL200</f>
        <v>0</v>
      </c>
      <c r="CC338" s="1062">
        <f>'No Recurrentes 24-26'!DM200</f>
        <v>0</v>
      </c>
      <c r="CD338" s="1062">
        <f>'No Recurrentes 24-26'!DN200</f>
        <v>0</v>
      </c>
      <c r="CE338" s="1062">
        <f>'No Recurrentes 24-26'!DO200</f>
        <v>0</v>
      </c>
      <c r="CF338" s="1062">
        <f>'No Recurrentes 24-26'!DP200</f>
        <v>0</v>
      </c>
      <c r="CG338" s="1062">
        <f>'No Recurrentes 24-26'!DQ200</f>
        <v>0</v>
      </c>
      <c r="CH338" s="1062">
        <f>'No Recurrentes 24-26'!DR200</f>
        <v>0</v>
      </c>
      <c r="CI338" s="1068"/>
      <c r="CJ338" s="1062">
        <f>'No Recurrentes 24-26'!DS200</f>
        <v>0</v>
      </c>
      <c r="CK338" s="1062">
        <f>'No Recurrentes 24-26'!DT200</f>
        <v>7273.3392</v>
      </c>
      <c r="CL338" s="1064" t="str">
        <f>'No Recurrentes 24-26'!DU200</f>
        <v/>
      </c>
      <c r="CM338" s="1064" t="str">
        <f>'No Recurrentes 24-26'!DV200</f>
        <v/>
      </c>
      <c r="CN338" s="1065">
        <f>'No Recurrentes 24-26'!EI196</f>
        <v>265</v>
      </c>
      <c r="CO338" s="1065">
        <f>'No Recurrentes 24-26'!EJ196</f>
        <v>225.25</v>
      </c>
      <c r="CP338" s="1060" t="str">
        <f>'No Recurrentes 24-26'!EK196</f>
        <v/>
      </c>
    </row>
    <row r="339">
      <c r="A339" s="451" t="str">
        <f>'No Recurrentes 24-26'!A201</f>
        <v>Repuestos Electromecánicos no recurrentes</v>
      </c>
      <c r="B339" s="451">
        <f>'No Recurrentes 24-26'!B201</f>
        <v>2</v>
      </c>
      <c r="C339" s="451" t="str">
        <f>'No Recurrentes 24-26'!C201</f>
        <v>Estación</v>
      </c>
      <c r="D339" s="451" t="str">
        <f>'No Recurrentes 24-26'!D201</f>
        <v>Manto. Hidraulico</v>
      </c>
      <c r="E339" s="451" t="str">
        <f>'No Recurrentes 24-26'!E201</f>
        <v>Repuesto Hidráulico</v>
      </c>
      <c r="F339" s="451" t="str">
        <f>'No Recurrentes 24-26'!F201</f>
        <v>TDB</v>
      </c>
      <c r="G339" s="1025" t="str">
        <f>'No Recurrentes 24-26'!G201</f>
        <v>39800</v>
      </c>
      <c r="H339" s="1061" t="str">
        <f>'No Recurrentes 24-26'!H201</f>
        <v>2-01-00240</v>
      </c>
      <c r="I339" s="1061" t="str">
        <f>'No Recurrentes 24-26'!I201</f>
        <v>10494432</v>
      </c>
      <c r="J339" s="1061" t="str">
        <f>'No Recurrentes 24-26'!J201</f>
        <v>RESORTE A GAS 750N CARR.=200MM TIPO ESPECIAL, ACEITE UNIVIS</v>
      </c>
      <c r="K339" s="451" t="str">
        <f>'No Recurrentes 24-26'!K201</f>
        <v>Pza</v>
      </c>
      <c r="L339" s="451" t="str">
        <f>'No Recurrentes 24-26'!BC201</f>
        <v/>
      </c>
      <c r="M339" s="451" t="str">
        <f>'No Recurrentes 24-26'!BD201</f>
        <v/>
      </c>
      <c r="N339" s="451" t="str">
        <f>'No Recurrentes 24-26'!BE201</f>
        <v/>
      </c>
      <c r="O339" s="451" t="str">
        <f>'No Recurrentes 24-26'!BF201</f>
        <v/>
      </c>
      <c r="P339" s="451" t="str">
        <f>'No Recurrentes 24-26'!BG201</f>
        <v/>
      </c>
      <c r="Q339" s="451" t="str">
        <f>'No Recurrentes 24-26'!BH201</f>
        <v/>
      </c>
      <c r="R339" s="451" t="str">
        <f>'No Recurrentes 24-26'!BI201</f>
        <v/>
      </c>
      <c r="S339" s="451" t="str">
        <f>'No Recurrentes 24-26'!BJ201</f>
        <v/>
      </c>
      <c r="T339" s="451" t="str">
        <f>'No Recurrentes 24-26'!BK201</f>
        <v/>
      </c>
      <c r="U339" s="451" t="str">
        <f>'No Recurrentes 24-26'!BL201</f>
        <v/>
      </c>
      <c r="V339" s="1068"/>
      <c r="W339" s="1062">
        <f>'No Recurrentes 24-26'!BM201</f>
        <v>0</v>
      </c>
      <c r="X339" s="1062">
        <f>'No Recurrentes 24-26'!BN201</f>
        <v>4</v>
      </c>
      <c r="Y339" s="1062" t="str">
        <f>'No Recurrentes 24-26'!BO201</f>
        <v/>
      </c>
      <c r="Z339" s="1062" t="str">
        <f>'No Recurrentes 24-26'!BP201</f>
        <v/>
      </c>
      <c r="AA339" s="1062">
        <f>'No Recurrentes 24-26'!BQ201</f>
        <v>2</v>
      </c>
      <c r="AB339" s="1062">
        <f>'No Recurrentes 24-26'!BR201</f>
        <v>2</v>
      </c>
      <c r="AC339" s="1062">
        <f>'No Recurrentes 24-26'!BS201</f>
        <v>4</v>
      </c>
      <c r="AD339" s="1062" t="str">
        <f>'No Recurrentes 24-26'!BT201</f>
        <v/>
      </c>
      <c r="AE339" s="1062" t="str">
        <f>'No Recurrentes 24-26'!BU201</f>
        <v/>
      </c>
      <c r="AF339" s="1062" t="str">
        <f>'No Recurrentes 24-26'!BV201</f>
        <v/>
      </c>
      <c r="AG339" s="1062" t="str">
        <f>'No Recurrentes 24-26'!BW201</f>
        <v/>
      </c>
      <c r="AH339" s="1068"/>
      <c r="AI339" s="1062">
        <f>'No Recurrentes 24-26'!BX201</f>
        <v>12</v>
      </c>
      <c r="AJ339" s="1062">
        <f>'No Recurrentes 24-26'!BY201</f>
        <v>0</v>
      </c>
      <c r="AK339" s="1062">
        <f>'No Recurrentes 24-26'!BZ201</f>
        <v>0</v>
      </c>
      <c r="AL339" s="1062">
        <f>'No Recurrentes 24-26'!CA201</f>
        <v>0</v>
      </c>
      <c r="AM339" s="1062">
        <f>'No Recurrentes 24-26'!CB201</f>
        <v>0</v>
      </c>
      <c r="AN339" s="1062">
        <f>'No Recurrentes 24-26'!CC201</f>
        <v>0</v>
      </c>
      <c r="AO339" s="1062">
        <f>'No Recurrentes 24-26'!CD201</f>
        <v>0</v>
      </c>
      <c r="AP339" s="1062">
        <f>'No Recurrentes 24-26'!CE201</f>
        <v>0</v>
      </c>
      <c r="AQ339" s="1062">
        <f>'No Recurrentes 24-26'!CF201</f>
        <v>0</v>
      </c>
      <c r="AR339" s="1062">
        <f>'No Recurrentes 24-26'!CG201</f>
        <v>0</v>
      </c>
      <c r="AS339" s="1062">
        <f>'No Recurrentes 24-26'!CH201</f>
        <v>0</v>
      </c>
      <c r="AT339" s="1068"/>
      <c r="AU339" s="1062">
        <f>'No Recurrentes 24-26'!CI201</f>
        <v>0</v>
      </c>
      <c r="AV339" s="1063">
        <f>'No Recurrentes 24-26'!CJ201</f>
        <v>12</v>
      </c>
      <c r="AW339" s="1068"/>
      <c r="AX339" s="1065">
        <f>'No Recurrentes 24-26'!CK201</f>
        <v>125.6</v>
      </c>
      <c r="AY339" s="1062">
        <f>'No Recurrentes 24-26'!CL201</f>
        <v>874.176</v>
      </c>
      <c r="AZ339" s="1068"/>
      <c r="BA339" s="1062">
        <f>'No Recurrentes 24-26'!CM201</f>
        <v>0</v>
      </c>
      <c r="BB339" s="1062">
        <f>'No Recurrentes 24-26'!CN201</f>
        <v>0</v>
      </c>
      <c r="BC339" s="1062">
        <f>'No Recurrentes 24-26'!CO201</f>
        <v>0</v>
      </c>
      <c r="BD339" s="1062">
        <f>'No Recurrentes 24-26'!CP201</f>
        <v>0</v>
      </c>
      <c r="BE339" s="1062">
        <f>'No Recurrentes 24-26'!CQ201</f>
        <v>0</v>
      </c>
      <c r="BF339" s="1062">
        <f>'No Recurrentes 24-26'!CR201</f>
        <v>0</v>
      </c>
      <c r="BG339" s="1062">
        <f>'No Recurrentes 24-26'!CS201</f>
        <v>0</v>
      </c>
      <c r="BH339" s="1062">
        <f>'No Recurrentes 24-26'!CT201</f>
        <v>0</v>
      </c>
      <c r="BI339" s="1062">
        <f>'No Recurrentes 24-26'!CU201</f>
        <v>0</v>
      </c>
      <c r="BJ339" s="1062">
        <f>'No Recurrentes 24-26'!CV201</f>
        <v>0</v>
      </c>
      <c r="BK339" s="1068"/>
      <c r="BL339" s="1062">
        <f>'No Recurrentes 24-26'!CW201</f>
        <v>0</v>
      </c>
      <c r="BM339" s="1062">
        <f>'No Recurrentes 24-26'!CX201</f>
        <v>3496.704</v>
      </c>
      <c r="BN339" s="1062">
        <f>'No Recurrentes 24-26'!CY201</f>
        <v>0</v>
      </c>
      <c r="BO339" s="1062">
        <f>'No Recurrentes 24-26'!CZ201</f>
        <v>0</v>
      </c>
      <c r="BP339" s="1062">
        <f>'No Recurrentes 24-26'!DA201</f>
        <v>1748.352</v>
      </c>
      <c r="BQ339" s="1062">
        <f>'No Recurrentes 24-26'!DB201</f>
        <v>1748.352</v>
      </c>
      <c r="BR339" s="1062">
        <f>'No Recurrentes 24-26'!DC201</f>
        <v>3496.704</v>
      </c>
      <c r="BS339" s="1062">
        <f>'No Recurrentes 24-26'!DD201</f>
        <v>0</v>
      </c>
      <c r="BT339" s="1062">
        <f>'No Recurrentes 24-26'!DE201</f>
        <v>0</v>
      </c>
      <c r="BU339" s="1062">
        <f>'No Recurrentes 24-26'!DF201</f>
        <v>0</v>
      </c>
      <c r="BV339" s="1062">
        <f>'No Recurrentes 24-26'!DG201</f>
        <v>0</v>
      </c>
      <c r="BW339" s="1068"/>
      <c r="BX339" s="1062">
        <f>'No Recurrentes 24-26'!DH201</f>
        <v>10490.112</v>
      </c>
      <c r="BY339" s="1062">
        <f>'No Recurrentes 24-26'!DI201</f>
        <v>0</v>
      </c>
      <c r="BZ339" s="1062">
        <f>'No Recurrentes 24-26'!DJ201</f>
        <v>0</v>
      </c>
      <c r="CA339" s="1062">
        <f>'No Recurrentes 24-26'!DK201</f>
        <v>0</v>
      </c>
      <c r="CB339" s="1062">
        <f>'No Recurrentes 24-26'!DL201</f>
        <v>0</v>
      </c>
      <c r="CC339" s="1062">
        <f>'No Recurrentes 24-26'!DM201</f>
        <v>0</v>
      </c>
      <c r="CD339" s="1062">
        <f>'No Recurrentes 24-26'!DN201</f>
        <v>0</v>
      </c>
      <c r="CE339" s="1062">
        <f>'No Recurrentes 24-26'!DO201</f>
        <v>0</v>
      </c>
      <c r="CF339" s="1062">
        <f>'No Recurrentes 24-26'!DP201</f>
        <v>0</v>
      </c>
      <c r="CG339" s="1062">
        <f>'No Recurrentes 24-26'!DQ201</f>
        <v>0</v>
      </c>
      <c r="CH339" s="1062">
        <f>'No Recurrentes 24-26'!DR201</f>
        <v>0</v>
      </c>
      <c r="CI339" s="1068"/>
      <c r="CJ339" s="1062">
        <f>'No Recurrentes 24-26'!DS201</f>
        <v>0</v>
      </c>
      <c r="CK339" s="1062">
        <f>'No Recurrentes 24-26'!DT201</f>
        <v>10490.112</v>
      </c>
      <c r="CL339" s="1064" t="str">
        <f>'No Recurrentes 24-26'!DU201</f>
        <v/>
      </c>
      <c r="CM339" s="1064" t="str">
        <f>'No Recurrentes 24-26'!DV201</f>
        <v/>
      </c>
      <c r="CN339" s="1065">
        <f>'No Recurrentes 24-26'!EI197</f>
        <v>74.03</v>
      </c>
      <c r="CO339" s="1065">
        <f>'No Recurrentes 24-26'!EJ197</f>
        <v>62.93</v>
      </c>
      <c r="CP339" s="1060" t="str">
        <f>'No Recurrentes 24-26'!EK197</f>
        <v/>
      </c>
    </row>
    <row r="340">
      <c r="A340" s="451" t="str">
        <f>'No Recurrentes 24-26'!A202</f>
        <v>Repuestos Electromecánicos no recurrentes</v>
      </c>
      <c r="B340" s="451">
        <f>'No Recurrentes 24-26'!B202</f>
        <v>2</v>
      </c>
      <c r="C340" s="451" t="str">
        <f>'No Recurrentes 24-26'!C202</f>
        <v>Estación</v>
      </c>
      <c r="D340" s="451" t="str">
        <f>'No Recurrentes 24-26'!D202</f>
        <v>Manto. Hidraulico</v>
      </c>
      <c r="E340" s="451" t="str">
        <f>'No Recurrentes 24-26'!E202</f>
        <v>Repuesto Hidráulico</v>
      </c>
      <c r="F340" s="451" t="str">
        <f>'No Recurrentes 24-26'!F202</f>
        <v>TDB</v>
      </c>
      <c r="G340" s="1025" t="str">
        <f>'No Recurrentes 24-26'!G202</f>
        <v>39800</v>
      </c>
      <c r="H340" s="1061" t="str">
        <f>'No Recurrentes 24-26'!H202</f>
        <v/>
      </c>
      <c r="I340" s="1061" t="str">
        <f>'No Recurrentes 24-26'!I202</f>
        <v>10149444</v>
      </c>
      <c r="J340" s="1061" t="str">
        <f>'No Recurrentes 24-26'!J202</f>
        <v>KEILRIEMENSCH. DM160 4RI  DM57 4 RIEMEN - TYPE 5V/15J</v>
      </c>
      <c r="K340" s="451" t="str">
        <f>'No Recurrentes 24-26'!K202</f>
        <v>Pza</v>
      </c>
      <c r="L340" s="451" t="str">
        <f>'No Recurrentes 24-26'!BC202</f>
        <v/>
      </c>
      <c r="M340" s="451" t="str">
        <f>'No Recurrentes 24-26'!BD202</f>
        <v/>
      </c>
      <c r="N340" s="451">
        <f>'No Recurrentes 24-26'!BE202</f>
        <v>1</v>
      </c>
      <c r="O340" s="451">
        <f>'No Recurrentes 24-26'!BF202</f>
        <v>1</v>
      </c>
      <c r="P340" s="451" t="str">
        <f>'No Recurrentes 24-26'!BG202</f>
        <v/>
      </c>
      <c r="Q340" s="451" t="str">
        <f>'No Recurrentes 24-26'!BH202</f>
        <v/>
      </c>
      <c r="R340" s="451" t="str">
        <f>'No Recurrentes 24-26'!BI202</f>
        <v/>
      </c>
      <c r="S340" s="451" t="str">
        <f>'No Recurrentes 24-26'!BJ202</f>
        <v/>
      </c>
      <c r="T340" s="451" t="str">
        <f>'No Recurrentes 24-26'!BK202</f>
        <v/>
      </c>
      <c r="U340" s="451" t="str">
        <f>'No Recurrentes 24-26'!BL202</f>
        <v/>
      </c>
      <c r="V340" s="1068"/>
      <c r="W340" s="1062">
        <f>'No Recurrentes 24-26'!BM202</f>
        <v>2</v>
      </c>
      <c r="X340" s="1062" t="str">
        <f>'No Recurrentes 24-26'!BN202</f>
        <v/>
      </c>
      <c r="Y340" s="1062" t="str">
        <f>'No Recurrentes 24-26'!BO202</f>
        <v/>
      </c>
      <c r="Z340" s="1062" t="str">
        <f>'No Recurrentes 24-26'!BP202</f>
        <v/>
      </c>
      <c r="AA340" s="1062" t="str">
        <f>'No Recurrentes 24-26'!BQ202</f>
        <v/>
      </c>
      <c r="AB340" s="1062" t="str">
        <f>'No Recurrentes 24-26'!BR202</f>
        <v/>
      </c>
      <c r="AC340" s="1062" t="str">
        <f>'No Recurrentes 24-26'!BS202</f>
        <v/>
      </c>
      <c r="AD340" s="1062" t="str">
        <f>'No Recurrentes 24-26'!BT202</f>
        <v/>
      </c>
      <c r="AE340" s="1062" t="str">
        <f>'No Recurrentes 24-26'!BU202</f>
        <v/>
      </c>
      <c r="AF340" s="1062" t="str">
        <f>'No Recurrentes 24-26'!BV202</f>
        <v/>
      </c>
      <c r="AG340" s="1062" t="str">
        <f>'No Recurrentes 24-26'!BW202</f>
        <v/>
      </c>
      <c r="AH340" s="1068"/>
      <c r="AI340" s="1062">
        <f>'No Recurrentes 24-26'!BX202</f>
        <v>0</v>
      </c>
      <c r="AJ340" s="1062">
        <f>'No Recurrentes 24-26'!BY202</f>
        <v>0</v>
      </c>
      <c r="AK340" s="1062">
        <f>'No Recurrentes 24-26'!BZ202</f>
        <v>0</v>
      </c>
      <c r="AL340" s="1062">
        <f>'No Recurrentes 24-26'!CA202</f>
        <v>1</v>
      </c>
      <c r="AM340" s="1062">
        <f>'No Recurrentes 24-26'!CB202</f>
        <v>0</v>
      </c>
      <c r="AN340" s="1062">
        <f>'No Recurrentes 24-26'!CC202</f>
        <v>0</v>
      </c>
      <c r="AO340" s="1062">
        <f>'No Recurrentes 24-26'!CD202</f>
        <v>0</v>
      </c>
      <c r="AP340" s="1062">
        <f>'No Recurrentes 24-26'!CE202</f>
        <v>0</v>
      </c>
      <c r="AQ340" s="1062">
        <f>'No Recurrentes 24-26'!CF202</f>
        <v>0</v>
      </c>
      <c r="AR340" s="1062">
        <f>'No Recurrentes 24-26'!CG202</f>
        <v>0</v>
      </c>
      <c r="AS340" s="1062">
        <f>'No Recurrentes 24-26'!CH202</f>
        <v>0</v>
      </c>
      <c r="AT340" s="1068"/>
      <c r="AU340" s="1062">
        <f>'No Recurrentes 24-26'!CI202</f>
        <v>1</v>
      </c>
      <c r="AV340" s="1063">
        <f>'No Recurrentes 24-26'!CJ202</f>
        <v>3</v>
      </c>
      <c r="AW340" s="1068"/>
      <c r="AX340" s="1065">
        <f>'No Recurrentes 24-26'!CK202</f>
        <v>488.32</v>
      </c>
      <c r="AY340" s="1062">
        <f>'No Recurrentes 24-26'!CL202</f>
        <v>3398.7072</v>
      </c>
      <c r="AZ340" s="1068"/>
      <c r="BA340" s="1062">
        <f>'No Recurrentes 24-26'!CM202</f>
        <v>0</v>
      </c>
      <c r="BB340" s="1062">
        <f>'No Recurrentes 24-26'!CN202</f>
        <v>0</v>
      </c>
      <c r="BC340" s="1062">
        <f>'No Recurrentes 24-26'!CO202</f>
        <v>3398.7072</v>
      </c>
      <c r="BD340" s="1062">
        <f>'No Recurrentes 24-26'!CP202</f>
        <v>3398.7072</v>
      </c>
      <c r="BE340" s="1062">
        <f>'No Recurrentes 24-26'!CQ202</f>
        <v>0</v>
      </c>
      <c r="BF340" s="1062">
        <f>'No Recurrentes 24-26'!CR202</f>
        <v>0</v>
      </c>
      <c r="BG340" s="1062">
        <f>'No Recurrentes 24-26'!CS202</f>
        <v>0</v>
      </c>
      <c r="BH340" s="1062">
        <f>'No Recurrentes 24-26'!CT202</f>
        <v>0</v>
      </c>
      <c r="BI340" s="1062">
        <f>'No Recurrentes 24-26'!CU202</f>
        <v>0</v>
      </c>
      <c r="BJ340" s="1062">
        <f>'No Recurrentes 24-26'!CV202</f>
        <v>0</v>
      </c>
      <c r="BK340" s="1068"/>
      <c r="BL340" s="1062">
        <f>'No Recurrentes 24-26'!CW202</f>
        <v>6797.4144</v>
      </c>
      <c r="BM340" s="1062">
        <f>'No Recurrentes 24-26'!CX202</f>
        <v>0</v>
      </c>
      <c r="BN340" s="1062">
        <f>'No Recurrentes 24-26'!CY202</f>
        <v>0</v>
      </c>
      <c r="BO340" s="1062">
        <f>'No Recurrentes 24-26'!CZ202</f>
        <v>0</v>
      </c>
      <c r="BP340" s="1062">
        <f>'No Recurrentes 24-26'!DA202</f>
        <v>0</v>
      </c>
      <c r="BQ340" s="1062">
        <f>'No Recurrentes 24-26'!DB202</f>
        <v>0</v>
      </c>
      <c r="BR340" s="1062">
        <f>'No Recurrentes 24-26'!DC202</f>
        <v>0</v>
      </c>
      <c r="BS340" s="1062">
        <f>'No Recurrentes 24-26'!DD202</f>
        <v>0</v>
      </c>
      <c r="BT340" s="1062">
        <f>'No Recurrentes 24-26'!DE202</f>
        <v>0</v>
      </c>
      <c r="BU340" s="1062">
        <f>'No Recurrentes 24-26'!DF202</f>
        <v>0</v>
      </c>
      <c r="BV340" s="1062">
        <f>'No Recurrentes 24-26'!DG202</f>
        <v>0</v>
      </c>
      <c r="BW340" s="1068"/>
      <c r="BX340" s="1062">
        <f>'No Recurrentes 24-26'!DH202</f>
        <v>0</v>
      </c>
      <c r="BY340" s="1062">
        <f>'No Recurrentes 24-26'!DI202</f>
        <v>0</v>
      </c>
      <c r="BZ340" s="1062">
        <f>'No Recurrentes 24-26'!DJ202</f>
        <v>0</v>
      </c>
      <c r="CA340" s="1062">
        <f>'No Recurrentes 24-26'!DK202</f>
        <v>3398.7072</v>
      </c>
      <c r="CB340" s="1062">
        <f>'No Recurrentes 24-26'!DL202</f>
        <v>0</v>
      </c>
      <c r="CC340" s="1062">
        <f>'No Recurrentes 24-26'!DM202</f>
        <v>0</v>
      </c>
      <c r="CD340" s="1062">
        <f>'No Recurrentes 24-26'!DN202</f>
        <v>0</v>
      </c>
      <c r="CE340" s="1062">
        <f>'No Recurrentes 24-26'!DO202</f>
        <v>0</v>
      </c>
      <c r="CF340" s="1062">
        <f>'No Recurrentes 24-26'!DP202</f>
        <v>0</v>
      </c>
      <c r="CG340" s="1062">
        <f>'No Recurrentes 24-26'!DQ202</f>
        <v>0</v>
      </c>
      <c r="CH340" s="1062">
        <f>'No Recurrentes 24-26'!DR202</f>
        <v>0</v>
      </c>
      <c r="CI340" s="1068"/>
      <c r="CJ340" s="1062">
        <f>'No Recurrentes 24-26'!DS202</f>
        <v>3398.7072</v>
      </c>
      <c r="CK340" s="1062">
        <f>'No Recurrentes 24-26'!DT202</f>
        <v>10196.1216</v>
      </c>
      <c r="CL340" s="1064" t="str">
        <f>'No Recurrentes 24-26'!DU202</f>
        <v/>
      </c>
      <c r="CM340" s="1064" t="str">
        <f>'No Recurrentes 24-26'!DV202</f>
        <v/>
      </c>
      <c r="CN340" s="1065">
        <f>'No Recurrentes 24-26'!EI198</f>
        <v>293.73</v>
      </c>
      <c r="CO340" s="1065">
        <f>'No Recurrentes 24-26'!EJ198</f>
        <v>249.67</v>
      </c>
      <c r="CP340" s="1060" t="str">
        <f>'No Recurrentes 24-26'!EK198</f>
        <v/>
      </c>
    </row>
    <row r="341">
      <c r="A341" s="451" t="str">
        <f>'No Recurrentes 24-26'!A203</f>
        <v>Repuestos Electromecánicos no recurrentes</v>
      </c>
      <c r="B341" s="451">
        <f>'No Recurrentes 24-26'!B203</f>
        <v>2</v>
      </c>
      <c r="C341" s="451" t="str">
        <f>'No Recurrentes 24-26'!C203</f>
        <v>Estación</v>
      </c>
      <c r="D341" s="451" t="str">
        <f>'No Recurrentes 24-26'!D203</f>
        <v>Manto. Hidraulico</v>
      </c>
      <c r="E341" s="451" t="str">
        <f>'No Recurrentes 24-26'!E203</f>
        <v>Repuesto Hidráulico</v>
      </c>
      <c r="F341" s="451" t="str">
        <f>'No Recurrentes 24-26'!F203</f>
        <v>TDB</v>
      </c>
      <c r="G341" s="1025" t="str">
        <f>'No Recurrentes 24-26'!G203</f>
        <v>39800</v>
      </c>
      <c r="H341" s="1061" t="str">
        <f>'No Recurrentes 24-26'!H203</f>
        <v/>
      </c>
      <c r="I341" s="1061" t="str">
        <f>'No Recurrentes 24-26'!I203</f>
        <v>11797138</v>
      </c>
      <c r="J341" s="1061" t="str">
        <f>'No Recurrentes 24-26'!J203</f>
        <v>VÁLVULA DIR. 2/2 VEI-16-08A-NC VÁLVULA DE ASIENTO HABERKORN</v>
      </c>
      <c r="K341" s="451" t="str">
        <f>'No Recurrentes 24-26'!K203</f>
        <v>Pza</v>
      </c>
      <c r="L341" s="451" t="str">
        <f>'No Recurrentes 24-26'!BC203</f>
        <v/>
      </c>
      <c r="M341" s="451" t="str">
        <f>'No Recurrentes 24-26'!BD203</f>
        <v/>
      </c>
      <c r="N341" s="451" t="str">
        <f>'No Recurrentes 24-26'!BE203</f>
        <v/>
      </c>
      <c r="O341" s="451" t="str">
        <f>'No Recurrentes 24-26'!BF203</f>
        <v/>
      </c>
      <c r="P341" s="451">
        <f>'No Recurrentes 24-26'!BG203</f>
        <v>2</v>
      </c>
      <c r="Q341" s="451" t="str">
        <f>'No Recurrentes 24-26'!BH203</f>
        <v/>
      </c>
      <c r="R341" s="451" t="str">
        <f>'No Recurrentes 24-26'!BI203</f>
        <v/>
      </c>
      <c r="S341" s="451" t="str">
        <f>'No Recurrentes 24-26'!BJ203</f>
        <v/>
      </c>
      <c r="T341" s="451" t="str">
        <f>'No Recurrentes 24-26'!BK203</f>
        <v/>
      </c>
      <c r="U341" s="451" t="str">
        <f>'No Recurrentes 24-26'!BL203</f>
        <v/>
      </c>
      <c r="V341" s="1068"/>
      <c r="W341" s="1062">
        <f>'No Recurrentes 24-26'!BM203</f>
        <v>2</v>
      </c>
      <c r="X341" s="1062" t="str">
        <f>'No Recurrentes 24-26'!BN203</f>
        <v/>
      </c>
      <c r="Y341" s="1062" t="str">
        <f>'No Recurrentes 24-26'!BO203</f>
        <v/>
      </c>
      <c r="Z341" s="1062" t="str">
        <f>'No Recurrentes 24-26'!BP203</f>
        <v/>
      </c>
      <c r="AA341" s="1062" t="str">
        <f>'No Recurrentes 24-26'!BQ203</f>
        <v/>
      </c>
      <c r="AB341" s="1062" t="str">
        <f>'No Recurrentes 24-26'!BR203</f>
        <v/>
      </c>
      <c r="AC341" s="1062" t="str">
        <f>'No Recurrentes 24-26'!BS203</f>
        <v/>
      </c>
      <c r="AD341" s="1062" t="str">
        <f>'No Recurrentes 24-26'!BT203</f>
        <v/>
      </c>
      <c r="AE341" s="1062" t="str">
        <f>'No Recurrentes 24-26'!BU203</f>
        <v/>
      </c>
      <c r="AF341" s="1062" t="str">
        <f>'No Recurrentes 24-26'!BV203</f>
        <v/>
      </c>
      <c r="AG341" s="1062" t="str">
        <f>'No Recurrentes 24-26'!BW203</f>
        <v/>
      </c>
      <c r="AH341" s="1068"/>
      <c r="AI341" s="1062">
        <f>'No Recurrentes 24-26'!BX203</f>
        <v>0</v>
      </c>
      <c r="AJ341" s="1062">
        <f>'No Recurrentes 24-26'!BY203</f>
        <v>0</v>
      </c>
      <c r="AK341" s="1062">
        <f>'No Recurrentes 24-26'!BZ203</f>
        <v>0</v>
      </c>
      <c r="AL341" s="1062">
        <f>'No Recurrentes 24-26'!CA203</f>
        <v>0</v>
      </c>
      <c r="AM341" s="1062">
        <f>'No Recurrentes 24-26'!CB203</f>
        <v>0</v>
      </c>
      <c r="AN341" s="1062">
        <f>'No Recurrentes 24-26'!CC203</f>
        <v>0</v>
      </c>
      <c r="AO341" s="1062">
        <f>'No Recurrentes 24-26'!CD203</f>
        <v>0</v>
      </c>
      <c r="AP341" s="1062">
        <f>'No Recurrentes 24-26'!CE203</f>
        <v>0</v>
      </c>
      <c r="AQ341" s="1062">
        <f>'No Recurrentes 24-26'!CF203</f>
        <v>0</v>
      </c>
      <c r="AR341" s="1062">
        <f>'No Recurrentes 24-26'!CG203</f>
        <v>0</v>
      </c>
      <c r="AS341" s="1062">
        <f>'No Recurrentes 24-26'!CH203</f>
        <v>1</v>
      </c>
      <c r="AT341" s="1068"/>
      <c r="AU341" s="1062">
        <f>'No Recurrentes 24-26'!CI203</f>
        <v>1</v>
      </c>
      <c r="AV341" s="1063">
        <f>'No Recurrentes 24-26'!CJ203</f>
        <v>3</v>
      </c>
      <c r="AW341" s="1068"/>
      <c r="AX341" s="1065">
        <f>'No Recurrentes 24-26'!CK203</f>
        <v>382.91</v>
      </c>
      <c r="AY341" s="1062">
        <f>'No Recurrentes 24-26'!CL203</f>
        <v>2665.0536</v>
      </c>
      <c r="AZ341" s="1068"/>
      <c r="BA341" s="1062">
        <f>'No Recurrentes 24-26'!CM203</f>
        <v>0</v>
      </c>
      <c r="BB341" s="1062">
        <f>'No Recurrentes 24-26'!CN203</f>
        <v>0</v>
      </c>
      <c r="BC341" s="1062">
        <f>'No Recurrentes 24-26'!CO203</f>
        <v>0</v>
      </c>
      <c r="BD341" s="1062">
        <f>'No Recurrentes 24-26'!CP203</f>
        <v>0</v>
      </c>
      <c r="BE341" s="1062">
        <f>'No Recurrentes 24-26'!CQ203</f>
        <v>5330.1072</v>
      </c>
      <c r="BF341" s="1062">
        <f>'No Recurrentes 24-26'!CR203</f>
        <v>0</v>
      </c>
      <c r="BG341" s="1062">
        <f>'No Recurrentes 24-26'!CS203</f>
        <v>0</v>
      </c>
      <c r="BH341" s="1062">
        <f>'No Recurrentes 24-26'!CT203</f>
        <v>0</v>
      </c>
      <c r="BI341" s="1062">
        <f>'No Recurrentes 24-26'!CU203</f>
        <v>0</v>
      </c>
      <c r="BJ341" s="1062">
        <f>'No Recurrentes 24-26'!CV203</f>
        <v>0</v>
      </c>
      <c r="BK341" s="1068"/>
      <c r="BL341" s="1062">
        <f>'No Recurrentes 24-26'!CW203</f>
        <v>5330.1072</v>
      </c>
      <c r="BM341" s="1062">
        <f>'No Recurrentes 24-26'!CX203</f>
        <v>0</v>
      </c>
      <c r="BN341" s="1062">
        <f>'No Recurrentes 24-26'!CY203</f>
        <v>0</v>
      </c>
      <c r="BO341" s="1062">
        <f>'No Recurrentes 24-26'!CZ203</f>
        <v>0</v>
      </c>
      <c r="BP341" s="1062">
        <f>'No Recurrentes 24-26'!DA203</f>
        <v>0</v>
      </c>
      <c r="BQ341" s="1062">
        <f>'No Recurrentes 24-26'!DB203</f>
        <v>0</v>
      </c>
      <c r="BR341" s="1062">
        <f>'No Recurrentes 24-26'!DC203</f>
        <v>0</v>
      </c>
      <c r="BS341" s="1062">
        <f>'No Recurrentes 24-26'!DD203</f>
        <v>0</v>
      </c>
      <c r="BT341" s="1062">
        <f>'No Recurrentes 24-26'!DE203</f>
        <v>0</v>
      </c>
      <c r="BU341" s="1062">
        <f>'No Recurrentes 24-26'!DF203</f>
        <v>0</v>
      </c>
      <c r="BV341" s="1062">
        <f>'No Recurrentes 24-26'!DG203</f>
        <v>0</v>
      </c>
      <c r="BW341" s="1068"/>
      <c r="BX341" s="1062">
        <f>'No Recurrentes 24-26'!DH203</f>
        <v>0</v>
      </c>
      <c r="BY341" s="1062">
        <f>'No Recurrentes 24-26'!DI203</f>
        <v>0</v>
      </c>
      <c r="BZ341" s="1062">
        <f>'No Recurrentes 24-26'!DJ203</f>
        <v>0</v>
      </c>
      <c r="CA341" s="1062">
        <f>'No Recurrentes 24-26'!DK203</f>
        <v>0</v>
      </c>
      <c r="CB341" s="1062">
        <f>'No Recurrentes 24-26'!DL203</f>
        <v>0</v>
      </c>
      <c r="CC341" s="1062">
        <f>'No Recurrentes 24-26'!DM203</f>
        <v>0</v>
      </c>
      <c r="CD341" s="1062">
        <f>'No Recurrentes 24-26'!DN203</f>
        <v>0</v>
      </c>
      <c r="CE341" s="1062">
        <f>'No Recurrentes 24-26'!DO203</f>
        <v>0</v>
      </c>
      <c r="CF341" s="1062">
        <f>'No Recurrentes 24-26'!DP203</f>
        <v>0</v>
      </c>
      <c r="CG341" s="1062">
        <f>'No Recurrentes 24-26'!DQ203</f>
        <v>0</v>
      </c>
      <c r="CH341" s="1062">
        <f>'No Recurrentes 24-26'!DR203</f>
        <v>2665.0536</v>
      </c>
      <c r="CI341" s="1068"/>
      <c r="CJ341" s="1062">
        <f>'No Recurrentes 24-26'!DS203</f>
        <v>2665.0536</v>
      </c>
      <c r="CK341" s="1062">
        <f>'No Recurrentes 24-26'!DT203</f>
        <v>7995.1608</v>
      </c>
      <c r="CL341" s="1064" t="str">
        <f>'No Recurrentes 24-26'!DU203</f>
        <v/>
      </c>
      <c r="CM341" s="1064" t="str">
        <f>'No Recurrentes 24-26'!DV203</f>
        <v/>
      </c>
      <c r="CN341" s="1065">
        <f>'No Recurrentes 24-26'!EI199</f>
        <v>179.13</v>
      </c>
      <c r="CO341" s="1065">
        <f>'No Recurrentes 24-26'!EJ199</f>
        <v>152.26</v>
      </c>
      <c r="CP341" s="1060" t="str">
        <f>'No Recurrentes 24-26'!EK199</f>
        <v/>
      </c>
    </row>
    <row r="342">
      <c r="A342" s="451" t="str">
        <f>'No Recurrentes 24-26'!A204</f>
        <v>Repuestos Electromecánicos no recurrentes</v>
      </c>
      <c r="B342" s="451">
        <f>'No Recurrentes 24-26'!B204</f>
        <v>2</v>
      </c>
      <c r="C342" s="451" t="str">
        <f>'No Recurrentes 24-26'!C204</f>
        <v>Estación</v>
      </c>
      <c r="D342" s="451" t="str">
        <f>'No Recurrentes 24-26'!D204</f>
        <v>Manto. Hidraulico</v>
      </c>
      <c r="E342" s="451" t="str">
        <f>'No Recurrentes 24-26'!E204</f>
        <v>Repuesto Hidráulico</v>
      </c>
      <c r="F342" s="451" t="str">
        <f>'No Recurrentes 24-26'!F204</f>
        <v>TDB</v>
      </c>
      <c r="G342" s="1025" t="str">
        <f>'No Recurrentes 24-26'!G204</f>
        <v>39800</v>
      </c>
      <c r="H342" s="1061" t="str">
        <f>'No Recurrentes 24-26'!H204</f>
        <v>2-04-00006</v>
      </c>
      <c r="I342" s="1061" t="str">
        <f>'No Recurrentes 24-26'!I204</f>
        <v>10302502</v>
      </c>
      <c r="J342" s="1061" t="str">
        <f>'No Recurrentes 24-26'!J204</f>
        <v>FILTRO   SAUER BR 90 - CORTO   ELEM.FILTR. P.BOMBA DE EMB.AX.</v>
      </c>
      <c r="K342" s="451" t="str">
        <f>'No Recurrentes 24-26'!K204</f>
        <v>Pza</v>
      </c>
      <c r="L342" s="451" t="str">
        <f>'No Recurrentes 24-26'!BC204</f>
        <v/>
      </c>
      <c r="M342" s="451" t="str">
        <f>'No Recurrentes 24-26'!BD204</f>
        <v/>
      </c>
      <c r="N342" s="451" t="str">
        <f>'No Recurrentes 24-26'!BE204</f>
        <v/>
      </c>
      <c r="O342" s="451" t="str">
        <f>'No Recurrentes 24-26'!BF204</f>
        <v/>
      </c>
      <c r="P342" s="451" t="str">
        <f>'No Recurrentes 24-26'!BG204</f>
        <v/>
      </c>
      <c r="Q342" s="451" t="str">
        <f>'No Recurrentes 24-26'!BH204</f>
        <v/>
      </c>
      <c r="R342" s="451" t="str">
        <f>'No Recurrentes 24-26'!BI204</f>
        <v/>
      </c>
      <c r="S342" s="451" t="str">
        <f>'No Recurrentes 24-26'!BJ204</f>
        <v/>
      </c>
      <c r="T342" s="451" t="str">
        <f>'No Recurrentes 24-26'!BK204</f>
        <v/>
      </c>
      <c r="U342" s="451" t="str">
        <f>'No Recurrentes 24-26'!BL204</f>
        <v/>
      </c>
      <c r="V342" s="1068"/>
      <c r="W342" s="1062">
        <f>'No Recurrentes 24-26'!BM204</f>
        <v>0</v>
      </c>
      <c r="X342" s="1062" t="str">
        <f>'No Recurrentes 24-26'!BN204</f>
        <v/>
      </c>
      <c r="Y342" s="1062" t="str">
        <f>'No Recurrentes 24-26'!BO204</f>
        <v/>
      </c>
      <c r="Z342" s="1062" t="str">
        <f>'No Recurrentes 24-26'!BP204</f>
        <v/>
      </c>
      <c r="AA342" s="1062">
        <f>'No Recurrentes 24-26'!BQ204</f>
        <v>4</v>
      </c>
      <c r="AB342" s="1062" t="str">
        <f>'No Recurrentes 24-26'!BR204</f>
        <v/>
      </c>
      <c r="AC342" s="1062" t="str">
        <f>'No Recurrentes 24-26'!BS204</f>
        <v/>
      </c>
      <c r="AD342" s="1062" t="str">
        <f>'No Recurrentes 24-26'!BT204</f>
        <v/>
      </c>
      <c r="AE342" s="1062" t="str">
        <f>'No Recurrentes 24-26'!BU204</f>
        <v/>
      </c>
      <c r="AF342" s="1062" t="str">
        <f>'No Recurrentes 24-26'!BV204</f>
        <v/>
      </c>
      <c r="AG342" s="1062" t="str">
        <f>'No Recurrentes 24-26'!BW204</f>
        <v/>
      </c>
      <c r="AH342" s="1068"/>
      <c r="AI342" s="1062">
        <f>'No Recurrentes 24-26'!BX204</f>
        <v>4</v>
      </c>
      <c r="AJ342" s="1062">
        <f>'No Recurrentes 24-26'!BY204</f>
        <v>0</v>
      </c>
      <c r="AK342" s="1062">
        <f>'No Recurrentes 24-26'!BZ204</f>
        <v>0</v>
      </c>
      <c r="AL342" s="1062">
        <f>'No Recurrentes 24-26'!CA204</f>
        <v>0</v>
      </c>
      <c r="AM342" s="1062">
        <f>'No Recurrentes 24-26'!CB204</f>
        <v>0</v>
      </c>
      <c r="AN342" s="1062">
        <f>'No Recurrentes 24-26'!CC204</f>
        <v>0</v>
      </c>
      <c r="AO342" s="1062">
        <f>'No Recurrentes 24-26'!CD204</f>
        <v>0</v>
      </c>
      <c r="AP342" s="1062">
        <f>'No Recurrentes 24-26'!CE204</f>
        <v>0</v>
      </c>
      <c r="AQ342" s="1062">
        <f>'No Recurrentes 24-26'!CF204</f>
        <v>0</v>
      </c>
      <c r="AR342" s="1062">
        <f>'No Recurrentes 24-26'!CG204</f>
        <v>0</v>
      </c>
      <c r="AS342" s="1062">
        <f>'No Recurrentes 24-26'!CH204</f>
        <v>0</v>
      </c>
      <c r="AT342" s="1068"/>
      <c r="AU342" s="1062">
        <f>'No Recurrentes 24-26'!CI204</f>
        <v>0</v>
      </c>
      <c r="AV342" s="1063">
        <f>'No Recurrentes 24-26'!CJ204</f>
        <v>4</v>
      </c>
      <c r="AW342" s="1068"/>
      <c r="AX342" s="1065">
        <f>'No Recurrentes 24-26'!CK204</f>
        <v>168.48</v>
      </c>
      <c r="AY342" s="1062">
        <f>'No Recurrentes 24-26'!CL204</f>
        <v>1172.6208</v>
      </c>
      <c r="AZ342" s="1068"/>
      <c r="BA342" s="1062">
        <f>'No Recurrentes 24-26'!CM204</f>
        <v>0</v>
      </c>
      <c r="BB342" s="1062">
        <f>'No Recurrentes 24-26'!CN204</f>
        <v>0</v>
      </c>
      <c r="BC342" s="1062">
        <f>'No Recurrentes 24-26'!CO204</f>
        <v>0</v>
      </c>
      <c r="BD342" s="1062">
        <f>'No Recurrentes 24-26'!CP204</f>
        <v>0</v>
      </c>
      <c r="BE342" s="1062">
        <f>'No Recurrentes 24-26'!CQ204</f>
        <v>0</v>
      </c>
      <c r="BF342" s="1062">
        <f>'No Recurrentes 24-26'!CR204</f>
        <v>0</v>
      </c>
      <c r="BG342" s="1062">
        <f>'No Recurrentes 24-26'!CS204</f>
        <v>0</v>
      </c>
      <c r="BH342" s="1062">
        <f>'No Recurrentes 24-26'!CT204</f>
        <v>0</v>
      </c>
      <c r="BI342" s="1062">
        <f>'No Recurrentes 24-26'!CU204</f>
        <v>0</v>
      </c>
      <c r="BJ342" s="1062">
        <f>'No Recurrentes 24-26'!CV204</f>
        <v>0</v>
      </c>
      <c r="BK342" s="1068"/>
      <c r="BL342" s="1062">
        <f>'No Recurrentes 24-26'!CW204</f>
        <v>0</v>
      </c>
      <c r="BM342" s="1062">
        <f>'No Recurrentes 24-26'!CX204</f>
        <v>0</v>
      </c>
      <c r="BN342" s="1062">
        <f>'No Recurrentes 24-26'!CY204</f>
        <v>0</v>
      </c>
      <c r="BO342" s="1062">
        <f>'No Recurrentes 24-26'!CZ204</f>
        <v>0</v>
      </c>
      <c r="BP342" s="1062">
        <f>'No Recurrentes 24-26'!DA204</f>
        <v>4690.4832</v>
      </c>
      <c r="BQ342" s="1062">
        <f>'No Recurrentes 24-26'!DB204</f>
        <v>0</v>
      </c>
      <c r="BR342" s="1062">
        <f>'No Recurrentes 24-26'!DC204</f>
        <v>0</v>
      </c>
      <c r="BS342" s="1062">
        <f>'No Recurrentes 24-26'!DD204</f>
        <v>0</v>
      </c>
      <c r="BT342" s="1062">
        <f>'No Recurrentes 24-26'!DE204</f>
        <v>0</v>
      </c>
      <c r="BU342" s="1062">
        <f>'No Recurrentes 24-26'!DF204</f>
        <v>0</v>
      </c>
      <c r="BV342" s="1062">
        <f>'No Recurrentes 24-26'!DG204</f>
        <v>0</v>
      </c>
      <c r="BW342" s="1068"/>
      <c r="BX342" s="1062">
        <f>'No Recurrentes 24-26'!DH204</f>
        <v>4690.4832</v>
      </c>
      <c r="BY342" s="1062">
        <f>'No Recurrentes 24-26'!DI204</f>
        <v>0</v>
      </c>
      <c r="BZ342" s="1062">
        <f>'No Recurrentes 24-26'!DJ204</f>
        <v>0</v>
      </c>
      <c r="CA342" s="1062">
        <f>'No Recurrentes 24-26'!DK204</f>
        <v>0</v>
      </c>
      <c r="CB342" s="1062">
        <f>'No Recurrentes 24-26'!DL204</f>
        <v>0</v>
      </c>
      <c r="CC342" s="1062">
        <f>'No Recurrentes 24-26'!DM204</f>
        <v>0</v>
      </c>
      <c r="CD342" s="1062">
        <f>'No Recurrentes 24-26'!DN204</f>
        <v>0</v>
      </c>
      <c r="CE342" s="1062">
        <f>'No Recurrentes 24-26'!DO204</f>
        <v>0</v>
      </c>
      <c r="CF342" s="1062">
        <f>'No Recurrentes 24-26'!DP204</f>
        <v>0</v>
      </c>
      <c r="CG342" s="1062">
        <f>'No Recurrentes 24-26'!DQ204</f>
        <v>0</v>
      </c>
      <c r="CH342" s="1062">
        <f>'No Recurrentes 24-26'!DR204</f>
        <v>0</v>
      </c>
      <c r="CI342" s="1068"/>
      <c r="CJ342" s="1062">
        <f>'No Recurrentes 24-26'!DS204</f>
        <v>0</v>
      </c>
      <c r="CK342" s="1062">
        <f>'No Recurrentes 24-26'!DT204</f>
        <v>4690.4832</v>
      </c>
      <c r="CL342" s="1064" t="str">
        <f>'No Recurrentes 24-26'!DU204</f>
        <v/>
      </c>
      <c r="CM342" s="1064" t="str">
        <f>'No Recurrentes 24-26'!DV204</f>
        <v/>
      </c>
      <c r="CN342" s="1065">
        <f>'No Recurrentes 24-26'!EI200</f>
        <v>174.17</v>
      </c>
      <c r="CO342" s="1065">
        <f>'No Recurrentes 24-26'!EJ200</f>
        <v>148.04</v>
      </c>
      <c r="CP342" s="1060" t="str">
        <f>'No Recurrentes 24-26'!EK200</f>
        <v/>
      </c>
    </row>
    <row r="343">
      <c r="A343" s="451" t="str">
        <f>'No Recurrentes 24-26'!A205</f>
        <v>Repuestos Electromecánicos no recurrentes</v>
      </c>
      <c r="B343" s="451">
        <f>'No Recurrentes 24-26'!B205</f>
        <v>2</v>
      </c>
      <c r="C343" s="451" t="str">
        <f>'No Recurrentes 24-26'!C205</f>
        <v>Estación</v>
      </c>
      <c r="D343" s="451" t="str">
        <f>'No Recurrentes 24-26'!D205</f>
        <v>Manto. Hidraulico</v>
      </c>
      <c r="E343" s="451" t="str">
        <f>'No Recurrentes 24-26'!E205</f>
        <v>Repuesto Hidráulico</v>
      </c>
      <c r="F343" s="451" t="str">
        <f>'No Recurrentes 24-26'!F205</f>
        <v>TDB</v>
      </c>
      <c r="G343" s="1025" t="str">
        <f>'No Recurrentes 24-26'!G205</f>
        <v>39800</v>
      </c>
      <c r="H343" s="1061" t="str">
        <f>'No Recurrentes 24-26'!H205</f>
        <v>2-04-00066</v>
      </c>
      <c r="I343" s="1061" t="str">
        <f>'No Recurrentes 24-26'!I205</f>
        <v>10966111</v>
      </c>
      <c r="J343" s="1061" t="str">
        <f>'No Recurrentes 24-26'!J205</f>
        <v>MANGUERA AP AN10-2SC L=800MM     DKOL-12/DKOL-12</v>
      </c>
      <c r="K343" s="451" t="str">
        <f>'No Recurrentes 24-26'!K205</f>
        <v>Pza</v>
      </c>
      <c r="L343" s="451" t="str">
        <f>'No Recurrentes 24-26'!BC205</f>
        <v/>
      </c>
      <c r="M343" s="451" t="str">
        <f>'No Recurrentes 24-26'!BD205</f>
        <v/>
      </c>
      <c r="N343" s="451" t="str">
        <f>'No Recurrentes 24-26'!BE205</f>
        <v/>
      </c>
      <c r="O343" s="451" t="str">
        <f>'No Recurrentes 24-26'!BF205</f>
        <v/>
      </c>
      <c r="P343" s="451" t="str">
        <f>'No Recurrentes 24-26'!BG205</f>
        <v/>
      </c>
      <c r="Q343" s="451" t="str">
        <f>'No Recurrentes 24-26'!BH205</f>
        <v/>
      </c>
      <c r="R343" s="451" t="str">
        <f>'No Recurrentes 24-26'!BI205</f>
        <v/>
      </c>
      <c r="S343" s="451" t="str">
        <f>'No Recurrentes 24-26'!BJ205</f>
        <v/>
      </c>
      <c r="T343" s="451" t="str">
        <f>'No Recurrentes 24-26'!BK205</f>
        <v/>
      </c>
      <c r="U343" s="451" t="str">
        <f>'No Recurrentes 24-26'!BL205</f>
        <v/>
      </c>
      <c r="V343" s="1068"/>
      <c r="W343" s="1062">
        <f>'No Recurrentes 24-26'!BM205</f>
        <v>0</v>
      </c>
      <c r="X343" s="1062">
        <f>'No Recurrentes 24-26'!BN205</f>
        <v>3</v>
      </c>
      <c r="Y343" s="1062">
        <f>'No Recurrentes 24-26'!BO205</f>
        <v>1</v>
      </c>
      <c r="Z343" s="1062">
        <f>'No Recurrentes 24-26'!BP205</f>
        <v>3</v>
      </c>
      <c r="AA343" s="1062" t="str">
        <f>'No Recurrentes 24-26'!BQ205</f>
        <v/>
      </c>
      <c r="AB343" s="1062" t="str">
        <f>'No Recurrentes 24-26'!BR205</f>
        <v/>
      </c>
      <c r="AC343" s="1062" t="str">
        <f>'No Recurrentes 24-26'!BS205</f>
        <v/>
      </c>
      <c r="AD343" s="1062" t="str">
        <f>'No Recurrentes 24-26'!BT205</f>
        <v/>
      </c>
      <c r="AE343" s="1062" t="str">
        <f>'No Recurrentes 24-26'!BU205</f>
        <v/>
      </c>
      <c r="AF343" s="1062" t="str">
        <f>'No Recurrentes 24-26'!BV205</f>
        <v/>
      </c>
      <c r="AG343" s="1062" t="str">
        <f>'No Recurrentes 24-26'!BW205</f>
        <v/>
      </c>
      <c r="AH343" s="1068"/>
      <c r="AI343" s="1062">
        <f>'No Recurrentes 24-26'!BX205</f>
        <v>7</v>
      </c>
      <c r="AJ343" s="1062">
        <f>'No Recurrentes 24-26'!BY205</f>
        <v>0</v>
      </c>
      <c r="AK343" s="1062">
        <f>'No Recurrentes 24-26'!BZ205</f>
        <v>0</v>
      </c>
      <c r="AL343" s="1062">
        <f>'No Recurrentes 24-26'!CA205</f>
        <v>0</v>
      </c>
      <c r="AM343" s="1062">
        <f>'No Recurrentes 24-26'!CB205</f>
        <v>0</v>
      </c>
      <c r="AN343" s="1062">
        <f>'No Recurrentes 24-26'!CC205</f>
        <v>0</v>
      </c>
      <c r="AO343" s="1062">
        <f>'No Recurrentes 24-26'!CD205</f>
        <v>0</v>
      </c>
      <c r="AP343" s="1062">
        <f>'No Recurrentes 24-26'!CE205</f>
        <v>0</v>
      </c>
      <c r="AQ343" s="1062">
        <f>'No Recurrentes 24-26'!CF205</f>
        <v>0</v>
      </c>
      <c r="AR343" s="1062">
        <f>'No Recurrentes 24-26'!CG205</f>
        <v>0</v>
      </c>
      <c r="AS343" s="1062">
        <f>'No Recurrentes 24-26'!CH205</f>
        <v>0</v>
      </c>
      <c r="AT343" s="1068"/>
      <c r="AU343" s="1062">
        <f>'No Recurrentes 24-26'!CI205</f>
        <v>0</v>
      </c>
      <c r="AV343" s="1063">
        <f>'No Recurrentes 24-26'!CJ205</f>
        <v>7</v>
      </c>
      <c r="AW343" s="1068"/>
      <c r="AX343" s="1065">
        <f>'No Recurrentes 24-26'!CK205</f>
        <v>95.87</v>
      </c>
      <c r="AY343" s="1062">
        <f>'No Recurrentes 24-26'!CL205</f>
        <v>667.2552</v>
      </c>
      <c r="AZ343" s="1068"/>
      <c r="BA343" s="1062">
        <f>'No Recurrentes 24-26'!CM205</f>
        <v>0</v>
      </c>
      <c r="BB343" s="1062">
        <f>'No Recurrentes 24-26'!CN205</f>
        <v>0</v>
      </c>
      <c r="BC343" s="1062">
        <f>'No Recurrentes 24-26'!CO205</f>
        <v>0</v>
      </c>
      <c r="BD343" s="1062">
        <f>'No Recurrentes 24-26'!CP205</f>
        <v>0</v>
      </c>
      <c r="BE343" s="1062">
        <f>'No Recurrentes 24-26'!CQ205</f>
        <v>0</v>
      </c>
      <c r="BF343" s="1062">
        <f>'No Recurrentes 24-26'!CR205</f>
        <v>0</v>
      </c>
      <c r="BG343" s="1062">
        <f>'No Recurrentes 24-26'!CS205</f>
        <v>0</v>
      </c>
      <c r="BH343" s="1062">
        <f>'No Recurrentes 24-26'!CT205</f>
        <v>0</v>
      </c>
      <c r="BI343" s="1062">
        <f>'No Recurrentes 24-26'!CU205</f>
        <v>0</v>
      </c>
      <c r="BJ343" s="1062">
        <f>'No Recurrentes 24-26'!CV205</f>
        <v>0</v>
      </c>
      <c r="BK343" s="1068"/>
      <c r="BL343" s="1062">
        <f>'No Recurrentes 24-26'!CW205</f>
        <v>0</v>
      </c>
      <c r="BM343" s="1062">
        <f>'No Recurrentes 24-26'!CX205</f>
        <v>2001.7656</v>
      </c>
      <c r="BN343" s="1062">
        <f>'No Recurrentes 24-26'!CY205</f>
        <v>667.2552</v>
      </c>
      <c r="BO343" s="1062">
        <f>'No Recurrentes 24-26'!CZ205</f>
        <v>2001.7656</v>
      </c>
      <c r="BP343" s="1062">
        <f>'No Recurrentes 24-26'!DA205</f>
        <v>0</v>
      </c>
      <c r="BQ343" s="1062">
        <f>'No Recurrentes 24-26'!DB205</f>
        <v>0</v>
      </c>
      <c r="BR343" s="1062">
        <f>'No Recurrentes 24-26'!DC205</f>
        <v>0</v>
      </c>
      <c r="BS343" s="1062">
        <f>'No Recurrentes 24-26'!DD205</f>
        <v>0</v>
      </c>
      <c r="BT343" s="1062">
        <f>'No Recurrentes 24-26'!DE205</f>
        <v>0</v>
      </c>
      <c r="BU343" s="1062">
        <f>'No Recurrentes 24-26'!DF205</f>
        <v>0</v>
      </c>
      <c r="BV343" s="1062">
        <f>'No Recurrentes 24-26'!DG205</f>
        <v>0</v>
      </c>
      <c r="BW343" s="1068"/>
      <c r="BX343" s="1062">
        <f>'No Recurrentes 24-26'!DH205</f>
        <v>4670.7864</v>
      </c>
      <c r="BY343" s="1062">
        <f>'No Recurrentes 24-26'!DI205</f>
        <v>0</v>
      </c>
      <c r="BZ343" s="1062">
        <f>'No Recurrentes 24-26'!DJ205</f>
        <v>0</v>
      </c>
      <c r="CA343" s="1062">
        <f>'No Recurrentes 24-26'!DK205</f>
        <v>0</v>
      </c>
      <c r="CB343" s="1062">
        <f>'No Recurrentes 24-26'!DL205</f>
        <v>0</v>
      </c>
      <c r="CC343" s="1062">
        <f>'No Recurrentes 24-26'!DM205</f>
        <v>0</v>
      </c>
      <c r="CD343" s="1062">
        <f>'No Recurrentes 24-26'!DN205</f>
        <v>0</v>
      </c>
      <c r="CE343" s="1062">
        <f>'No Recurrentes 24-26'!DO205</f>
        <v>0</v>
      </c>
      <c r="CF343" s="1062">
        <f>'No Recurrentes 24-26'!DP205</f>
        <v>0</v>
      </c>
      <c r="CG343" s="1062">
        <f>'No Recurrentes 24-26'!DQ205</f>
        <v>0</v>
      </c>
      <c r="CH343" s="1062">
        <f>'No Recurrentes 24-26'!DR205</f>
        <v>0</v>
      </c>
      <c r="CI343" s="1068"/>
      <c r="CJ343" s="1062">
        <f>'No Recurrentes 24-26'!DS205</f>
        <v>0</v>
      </c>
      <c r="CK343" s="1062">
        <f>'No Recurrentes 24-26'!DT205</f>
        <v>4670.7864</v>
      </c>
      <c r="CL343" s="1064" t="str">
        <f>'No Recurrentes 24-26'!DU205</f>
        <v/>
      </c>
      <c r="CM343" s="1064" t="str">
        <f>'No Recurrentes 24-26'!DV205</f>
        <v/>
      </c>
      <c r="CN343" s="1065">
        <f>'No Recurrentes 24-26'!EI201</f>
        <v>125.6</v>
      </c>
      <c r="CO343" s="1065">
        <f>'No Recurrentes 24-26'!EJ201</f>
        <v>106.76</v>
      </c>
      <c r="CP343" s="1060" t="str">
        <f>'No Recurrentes 24-26'!EK201</f>
        <v/>
      </c>
    </row>
    <row r="344">
      <c r="A344" s="451" t="str">
        <f>'No Recurrentes 24-26'!A206</f>
        <v>Repuestos Electromecánicos no recurrentes</v>
      </c>
      <c r="B344" s="451">
        <f>'No Recurrentes 24-26'!B206</f>
        <v>2</v>
      </c>
      <c r="C344" s="451" t="str">
        <f>'No Recurrentes 24-26'!C206</f>
        <v>Estación</v>
      </c>
      <c r="D344" s="451" t="str">
        <f>'No Recurrentes 24-26'!D206</f>
        <v>Manto. Hidraulico</v>
      </c>
      <c r="E344" s="451" t="str">
        <f>'No Recurrentes 24-26'!E206</f>
        <v>Repuesto Hidráulico</v>
      </c>
      <c r="F344" s="451" t="str">
        <f>'No Recurrentes 24-26'!F206</f>
        <v>TDB</v>
      </c>
      <c r="G344" s="1025" t="str">
        <f>'No Recurrentes 24-26'!G206</f>
        <v>39800</v>
      </c>
      <c r="H344" s="1061" t="str">
        <f>'No Recurrentes 24-26'!H206</f>
        <v>2-04-00065</v>
      </c>
      <c r="I344" s="1061" t="str">
        <f>'No Recurrentes 24-26'!I206</f>
        <v>11430674</v>
      </c>
      <c r="J344" s="1061" t="str">
        <f>'No Recurrentes 24-26'!J206</f>
        <v>MANGUERA AP AN10-2SC L=1100MM     DKOL-12/CEL-12</v>
      </c>
      <c r="K344" s="451" t="str">
        <f>'No Recurrentes 24-26'!K206</f>
        <v>Pza</v>
      </c>
      <c r="L344" s="451" t="str">
        <f>'No Recurrentes 24-26'!BC206</f>
        <v/>
      </c>
      <c r="M344" s="451" t="str">
        <f>'No Recurrentes 24-26'!BD206</f>
        <v/>
      </c>
      <c r="N344" s="451" t="str">
        <f>'No Recurrentes 24-26'!BE206</f>
        <v/>
      </c>
      <c r="O344" s="451" t="str">
        <f>'No Recurrentes 24-26'!BF206</f>
        <v/>
      </c>
      <c r="P344" s="451" t="str">
        <f>'No Recurrentes 24-26'!BG206</f>
        <v/>
      </c>
      <c r="Q344" s="451" t="str">
        <f>'No Recurrentes 24-26'!BH206</f>
        <v/>
      </c>
      <c r="R344" s="451" t="str">
        <f>'No Recurrentes 24-26'!BI206</f>
        <v/>
      </c>
      <c r="S344" s="451" t="str">
        <f>'No Recurrentes 24-26'!BJ206</f>
        <v/>
      </c>
      <c r="T344" s="451" t="str">
        <f>'No Recurrentes 24-26'!BK206</f>
        <v/>
      </c>
      <c r="U344" s="451" t="str">
        <f>'No Recurrentes 24-26'!BL206</f>
        <v/>
      </c>
      <c r="V344" s="1068"/>
      <c r="W344" s="1062">
        <f>'No Recurrentes 24-26'!BM206</f>
        <v>0</v>
      </c>
      <c r="X344" s="1062">
        <f>'No Recurrentes 24-26'!BN206</f>
        <v>2</v>
      </c>
      <c r="Y344" s="1062">
        <f>'No Recurrentes 24-26'!BO206</f>
        <v>2</v>
      </c>
      <c r="Z344" s="1062">
        <f>'No Recurrentes 24-26'!BP206</f>
        <v>2</v>
      </c>
      <c r="AA344" s="1062" t="str">
        <f>'No Recurrentes 24-26'!BQ206</f>
        <v/>
      </c>
      <c r="AB344" s="1062" t="str">
        <f>'No Recurrentes 24-26'!BR206</f>
        <v/>
      </c>
      <c r="AC344" s="1062" t="str">
        <f>'No Recurrentes 24-26'!BS206</f>
        <v/>
      </c>
      <c r="AD344" s="1062" t="str">
        <f>'No Recurrentes 24-26'!BT206</f>
        <v/>
      </c>
      <c r="AE344" s="1062" t="str">
        <f>'No Recurrentes 24-26'!BU206</f>
        <v/>
      </c>
      <c r="AF344" s="1062" t="str">
        <f>'No Recurrentes 24-26'!BV206</f>
        <v/>
      </c>
      <c r="AG344" s="1062" t="str">
        <f>'No Recurrentes 24-26'!BW206</f>
        <v/>
      </c>
      <c r="AH344" s="1068"/>
      <c r="AI344" s="1062">
        <f>'No Recurrentes 24-26'!BX206</f>
        <v>6</v>
      </c>
      <c r="AJ344" s="1062">
        <f>'No Recurrentes 24-26'!BY206</f>
        <v>0</v>
      </c>
      <c r="AK344" s="1062">
        <f>'No Recurrentes 24-26'!BZ206</f>
        <v>0</v>
      </c>
      <c r="AL344" s="1062">
        <f>'No Recurrentes 24-26'!CA206</f>
        <v>0</v>
      </c>
      <c r="AM344" s="1062">
        <f>'No Recurrentes 24-26'!CB206</f>
        <v>0</v>
      </c>
      <c r="AN344" s="1062">
        <f>'No Recurrentes 24-26'!CC206</f>
        <v>0</v>
      </c>
      <c r="AO344" s="1062">
        <f>'No Recurrentes 24-26'!CD206</f>
        <v>0</v>
      </c>
      <c r="AP344" s="1062">
        <f>'No Recurrentes 24-26'!CE206</f>
        <v>0</v>
      </c>
      <c r="AQ344" s="1062">
        <f>'No Recurrentes 24-26'!CF206</f>
        <v>0</v>
      </c>
      <c r="AR344" s="1062">
        <f>'No Recurrentes 24-26'!CG206</f>
        <v>0</v>
      </c>
      <c r="AS344" s="1062">
        <f>'No Recurrentes 24-26'!CH206</f>
        <v>0</v>
      </c>
      <c r="AT344" s="1068"/>
      <c r="AU344" s="1062">
        <f>'No Recurrentes 24-26'!CI206</f>
        <v>0</v>
      </c>
      <c r="AV344" s="1063">
        <f>'No Recurrentes 24-26'!CJ206</f>
        <v>6</v>
      </c>
      <c r="AW344" s="1068"/>
      <c r="AX344" s="1065">
        <f>'No Recurrentes 24-26'!CK206</f>
        <v>103.49</v>
      </c>
      <c r="AY344" s="1062">
        <f>'No Recurrentes 24-26'!CL206</f>
        <v>720.2904</v>
      </c>
      <c r="AZ344" s="1068"/>
      <c r="BA344" s="1062">
        <f>'No Recurrentes 24-26'!CM206</f>
        <v>0</v>
      </c>
      <c r="BB344" s="1062">
        <f>'No Recurrentes 24-26'!CN206</f>
        <v>0</v>
      </c>
      <c r="BC344" s="1062">
        <f>'No Recurrentes 24-26'!CO206</f>
        <v>0</v>
      </c>
      <c r="BD344" s="1062">
        <f>'No Recurrentes 24-26'!CP206</f>
        <v>0</v>
      </c>
      <c r="BE344" s="1062">
        <f>'No Recurrentes 24-26'!CQ206</f>
        <v>0</v>
      </c>
      <c r="BF344" s="1062">
        <f>'No Recurrentes 24-26'!CR206</f>
        <v>0</v>
      </c>
      <c r="BG344" s="1062">
        <f>'No Recurrentes 24-26'!CS206</f>
        <v>0</v>
      </c>
      <c r="BH344" s="1062">
        <f>'No Recurrentes 24-26'!CT206</f>
        <v>0</v>
      </c>
      <c r="BI344" s="1062">
        <f>'No Recurrentes 24-26'!CU206</f>
        <v>0</v>
      </c>
      <c r="BJ344" s="1062">
        <f>'No Recurrentes 24-26'!CV206</f>
        <v>0</v>
      </c>
      <c r="BK344" s="1068"/>
      <c r="BL344" s="1062">
        <f>'No Recurrentes 24-26'!CW206</f>
        <v>0</v>
      </c>
      <c r="BM344" s="1062">
        <f>'No Recurrentes 24-26'!CX206</f>
        <v>1440.5808</v>
      </c>
      <c r="BN344" s="1062">
        <f>'No Recurrentes 24-26'!CY206</f>
        <v>1440.5808</v>
      </c>
      <c r="BO344" s="1062">
        <f>'No Recurrentes 24-26'!CZ206</f>
        <v>1440.5808</v>
      </c>
      <c r="BP344" s="1062">
        <f>'No Recurrentes 24-26'!DA206</f>
        <v>0</v>
      </c>
      <c r="BQ344" s="1062">
        <f>'No Recurrentes 24-26'!DB206</f>
        <v>0</v>
      </c>
      <c r="BR344" s="1062">
        <f>'No Recurrentes 24-26'!DC206</f>
        <v>0</v>
      </c>
      <c r="BS344" s="1062">
        <f>'No Recurrentes 24-26'!DD206</f>
        <v>0</v>
      </c>
      <c r="BT344" s="1062">
        <f>'No Recurrentes 24-26'!DE206</f>
        <v>0</v>
      </c>
      <c r="BU344" s="1062">
        <f>'No Recurrentes 24-26'!DF206</f>
        <v>0</v>
      </c>
      <c r="BV344" s="1062">
        <f>'No Recurrentes 24-26'!DG206</f>
        <v>0</v>
      </c>
      <c r="BW344" s="1068"/>
      <c r="BX344" s="1062">
        <f>'No Recurrentes 24-26'!DH206</f>
        <v>4321.7424</v>
      </c>
      <c r="BY344" s="1062">
        <f>'No Recurrentes 24-26'!DI206</f>
        <v>0</v>
      </c>
      <c r="BZ344" s="1062">
        <f>'No Recurrentes 24-26'!DJ206</f>
        <v>0</v>
      </c>
      <c r="CA344" s="1062">
        <f>'No Recurrentes 24-26'!DK206</f>
        <v>0</v>
      </c>
      <c r="CB344" s="1062">
        <f>'No Recurrentes 24-26'!DL206</f>
        <v>0</v>
      </c>
      <c r="CC344" s="1062">
        <f>'No Recurrentes 24-26'!DM206</f>
        <v>0</v>
      </c>
      <c r="CD344" s="1062">
        <f>'No Recurrentes 24-26'!DN206</f>
        <v>0</v>
      </c>
      <c r="CE344" s="1062">
        <f>'No Recurrentes 24-26'!DO206</f>
        <v>0</v>
      </c>
      <c r="CF344" s="1062">
        <f>'No Recurrentes 24-26'!DP206</f>
        <v>0</v>
      </c>
      <c r="CG344" s="1062">
        <f>'No Recurrentes 24-26'!DQ206</f>
        <v>0</v>
      </c>
      <c r="CH344" s="1062">
        <f>'No Recurrentes 24-26'!DR206</f>
        <v>0</v>
      </c>
      <c r="CI344" s="1068"/>
      <c r="CJ344" s="1062">
        <f>'No Recurrentes 24-26'!DS206</f>
        <v>0</v>
      </c>
      <c r="CK344" s="1062">
        <f>'No Recurrentes 24-26'!DT206</f>
        <v>4321.7424</v>
      </c>
      <c r="CL344" s="1064" t="str">
        <f>'No Recurrentes 24-26'!DU206</f>
        <v/>
      </c>
      <c r="CM344" s="1064" t="str">
        <f>'No Recurrentes 24-26'!DV206</f>
        <v/>
      </c>
      <c r="CN344" s="1065">
        <f>'No Recurrentes 24-26'!EI202</f>
        <v>488.32</v>
      </c>
      <c r="CO344" s="1065">
        <f>'No Recurrentes 24-26'!EJ202</f>
        <v>415.07</v>
      </c>
      <c r="CP344" s="1060" t="str">
        <f>'No Recurrentes 24-26'!EK202</f>
        <v/>
      </c>
    </row>
    <row r="345">
      <c r="A345" s="451" t="str">
        <f>'No Recurrentes 24-26'!A207</f>
        <v>Repuestos Electromecánicos no recurrentes</v>
      </c>
      <c r="B345" s="451">
        <f>'No Recurrentes 24-26'!B207</f>
        <v>2</v>
      </c>
      <c r="C345" s="451" t="str">
        <f>'No Recurrentes 24-26'!C207</f>
        <v>Estación</v>
      </c>
      <c r="D345" s="451" t="str">
        <f>'No Recurrentes 24-26'!D207</f>
        <v>Manto. Hidraulico</v>
      </c>
      <c r="E345" s="451" t="str">
        <f>'No Recurrentes 24-26'!E207</f>
        <v>Repuesto Hidráulico</v>
      </c>
      <c r="F345" s="451" t="str">
        <f>'No Recurrentes 24-26'!F207</f>
        <v>TDB</v>
      </c>
      <c r="G345" s="1025" t="str">
        <f>'No Recurrentes 24-26'!G207</f>
        <v>39800</v>
      </c>
      <c r="H345" s="1061" t="str">
        <f>'No Recurrentes 24-26'!H207</f>
        <v>2-01-00402</v>
      </c>
      <c r="I345" s="1061" t="str">
        <f>'No Recurrentes 24-26'!I207</f>
        <v>10007252</v>
      </c>
      <c r="J345" s="1061" t="str">
        <f>'No Recurrentes 24-26'!J207</f>
        <v>ELEM.FILTR.  SFE 15S 125 W 1.0 P.FILTRO DE SUCCIÓN HYDAC</v>
      </c>
      <c r="K345" s="451" t="str">
        <f>'No Recurrentes 24-26'!K207</f>
        <v>Pza</v>
      </c>
      <c r="L345" s="451" t="str">
        <f>'No Recurrentes 24-26'!BC207</f>
        <v/>
      </c>
      <c r="M345" s="451" t="str">
        <f>'No Recurrentes 24-26'!BD207</f>
        <v/>
      </c>
      <c r="N345" s="451" t="str">
        <f>'No Recurrentes 24-26'!BE207</f>
        <v/>
      </c>
      <c r="O345" s="451" t="str">
        <f>'No Recurrentes 24-26'!BF207</f>
        <v/>
      </c>
      <c r="P345" s="451" t="str">
        <f>'No Recurrentes 24-26'!BG207</f>
        <v/>
      </c>
      <c r="Q345" s="451" t="str">
        <f>'No Recurrentes 24-26'!BH207</f>
        <v/>
      </c>
      <c r="R345" s="451" t="str">
        <f>'No Recurrentes 24-26'!BI207</f>
        <v/>
      </c>
      <c r="S345" s="451" t="str">
        <f>'No Recurrentes 24-26'!BJ207</f>
        <v/>
      </c>
      <c r="T345" s="451" t="str">
        <f>'No Recurrentes 24-26'!BK207</f>
        <v/>
      </c>
      <c r="U345" s="451" t="str">
        <f>'No Recurrentes 24-26'!BL207</f>
        <v/>
      </c>
      <c r="V345" s="1068"/>
      <c r="W345" s="1062">
        <f>'No Recurrentes 24-26'!BM207</f>
        <v>0</v>
      </c>
      <c r="X345" s="1062" t="str">
        <f>'No Recurrentes 24-26'!BN207</f>
        <v/>
      </c>
      <c r="Y345" s="1062" t="str">
        <f>'No Recurrentes 24-26'!BO207</f>
        <v/>
      </c>
      <c r="Z345" s="1062" t="str">
        <f>'No Recurrentes 24-26'!BP207</f>
        <v/>
      </c>
      <c r="AA345" s="1062">
        <f>'No Recurrentes 24-26'!BQ207</f>
        <v>4</v>
      </c>
      <c r="AB345" s="1062">
        <f>'No Recurrentes 24-26'!BR207</f>
        <v>5</v>
      </c>
      <c r="AC345" s="1062">
        <f>'No Recurrentes 24-26'!BS207</f>
        <v>6</v>
      </c>
      <c r="AD345" s="1062" t="str">
        <f>'No Recurrentes 24-26'!BT207</f>
        <v/>
      </c>
      <c r="AE345" s="1062" t="str">
        <f>'No Recurrentes 24-26'!BU207</f>
        <v/>
      </c>
      <c r="AF345" s="1062" t="str">
        <f>'No Recurrentes 24-26'!BV207</f>
        <v/>
      </c>
      <c r="AG345" s="1062" t="str">
        <f>'No Recurrentes 24-26'!BW207</f>
        <v/>
      </c>
      <c r="AH345" s="1068"/>
      <c r="AI345" s="1062">
        <f>'No Recurrentes 24-26'!BX207</f>
        <v>15</v>
      </c>
      <c r="AJ345" s="1062">
        <f>'No Recurrentes 24-26'!BY207</f>
        <v>4</v>
      </c>
      <c r="AK345" s="1062">
        <f>'No Recurrentes 24-26'!BZ207</f>
        <v>3</v>
      </c>
      <c r="AL345" s="1062">
        <f>'No Recurrentes 24-26'!CA207</f>
        <v>5</v>
      </c>
      <c r="AM345" s="1062">
        <f>'No Recurrentes 24-26'!CB207</f>
        <v>0</v>
      </c>
      <c r="AN345" s="1062">
        <f>'No Recurrentes 24-26'!CC207</f>
        <v>0</v>
      </c>
      <c r="AO345" s="1062">
        <f>'No Recurrentes 24-26'!CD207</f>
        <v>0</v>
      </c>
      <c r="AP345" s="1062">
        <f>'No Recurrentes 24-26'!CE207</f>
        <v>0</v>
      </c>
      <c r="AQ345" s="1062">
        <f>'No Recurrentes 24-26'!CF207</f>
        <v>0</v>
      </c>
      <c r="AR345" s="1062">
        <f>'No Recurrentes 24-26'!CG207</f>
        <v>0</v>
      </c>
      <c r="AS345" s="1062">
        <f>'No Recurrentes 24-26'!CH207</f>
        <v>0</v>
      </c>
      <c r="AT345" s="1068"/>
      <c r="AU345" s="1062">
        <f>'No Recurrentes 24-26'!CI207</f>
        <v>12</v>
      </c>
      <c r="AV345" s="1063">
        <f>'No Recurrentes 24-26'!CJ207</f>
        <v>27</v>
      </c>
      <c r="AW345" s="1068"/>
      <c r="AX345" s="1065">
        <f>'No Recurrentes 24-26'!CK207</f>
        <v>38.92</v>
      </c>
      <c r="AY345" s="1062">
        <f>'No Recurrentes 24-26'!CL207</f>
        <v>270.8832</v>
      </c>
      <c r="AZ345" s="1068"/>
      <c r="BA345" s="1062">
        <f>'No Recurrentes 24-26'!CM207</f>
        <v>0</v>
      </c>
      <c r="BB345" s="1062">
        <f>'No Recurrentes 24-26'!CN207</f>
        <v>0</v>
      </c>
      <c r="BC345" s="1062">
        <f>'No Recurrentes 24-26'!CO207</f>
        <v>0</v>
      </c>
      <c r="BD345" s="1062">
        <f>'No Recurrentes 24-26'!CP207</f>
        <v>0</v>
      </c>
      <c r="BE345" s="1062">
        <f>'No Recurrentes 24-26'!CQ207</f>
        <v>0</v>
      </c>
      <c r="BF345" s="1062">
        <f>'No Recurrentes 24-26'!CR207</f>
        <v>0</v>
      </c>
      <c r="BG345" s="1062">
        <f>'No Recurrentes 24-26'!CS207</f>
        <v>0</v>
      </c>
      <c r="BH345" s="1062">
        <f>'No Recurrentes 24-26'!CT207</f>
        <v>0</v>
      </c>
      <c r="BI345" s="1062">
        <f>'No Recurrentes 24-26'!CU207</f>
        <v>0</v>
      </c>
      <c r="BJ345" s="1062">
        <f>'No Recurrentes 24-26'!CV207</f>
        <v>0</v>
      </c>
      <c r="BK345" s="1068"/>
      <c r="BL345" s="1062">
        <f>'No Recurrentes 24-26'!CW207</f>
        <v>0</v>
      </c>
      <c r="BM345" s="1062">
        <f>'No Recurrentes 24-26'!CX207</f>
        <v>0</v>
      </c>
      <c r="BN345" s="1062">
        <f>'No Recurrentes 24-26'!CY207</f>
        <v>0</v>
      </c>
      <c r="BO345" s="1062">
        <f>'No Recurrentes 24-26'!CZ207</f>
        <v>0</v>
      </c>
      <c r="BP345" s="1062">
        <f>'No Recurrentes 24-26'!DA207</f>
        <v>1083.5328</v>
      </c>
      <c r="BQ345" s="1062">
        <f>'No Recurrentes 24-26'!DB207</f>
        <v>1354.416</v>
      </c>
      <c r="BR345" s="1062">
        <f>'No Recurrentes 24-26'!DC207</f>
        <v>1625.2992</v>
      </c>
      <c r="BS345" s="1062">
        <f>'No Recurrentes 24-26'!DD207</f>
        <v>0</v>
      </c>
      <c r="BT345" s="1062">
        <f>'No Recurrentes 24-26'!DE207</f>
        <v>0</v>
      </c>
      <c r="BU345" s="1062">
        <f>'No Recurrentes 24-26'!DF207</f>
        <v>0</v>
      </c>
      <c r="BV345" s="1062">
        <f>'No Recurrentes 24-26'!DG207</f>
        <v>0</v>
      </c>
      <c r="BW345" s="1068"/>
      <c r="BX345" s="1062">
        <f>'No Recurrentes 24-26'!DH207</f>
        <v>4063.248</v>
      </c>
      <c r="BY345" s="1062">
        <f>'No Recurrentes 24-26'!DI207</f>
        <v>1083.5328</v>
      </c>
      <c r="BZ345" s="1062">
        <f>'No Recurrentes 24-26'!DJ207</f>
        <v>812.6496</v>
      </c>
      <c r="CA345" s="1062">
        <f>'No Recurrentes 24-26'!DK207</f>
        <v>1354.416</v>
      </c>
      <c r="CB345" s="1062">
        <f>'No Recurrentes 24-26'!DL207</f>
        <v>0</v>
      </c>
      <c r="CC345" s="1062">
        <f>'No Recurrentes 24-26'!DM207</f>
        <v>0</v>
      </c>
      <c r="CD345" s="1062">
        <f>'No Recurrentes 24-26'!DN207</f>
        <v>0</v>
      </c>
      <c r="CE345" s="1062">
        <f>'No Recurrentes 24-26'!DO207</f>
        <v>0</v>
      </c>
      <c r="CF345" s="1062">
        <f>'No Recurrentes 24-26'!DP207</f>
        <v>0</v>
      </c>
      <c r="CG345" s="1062">
        <f>'No Recurrentes 24-26'!DQ207</f>
        <v>0</v>
      </c>
      <c r="CH345" s="1062">
        <f>'No Recurrentes 24-26'!DR207</f>
        <v>0</v>
      </c>
      <c r="CI345" s="1068"/>
      <c r="CJ345" s="1062">
        <f>'No Recurrentes 24-26'!DS207</f>
        <v>3250.5984</v>
      </c>
      <c r="CK345" s="1062">
        <f>'No Recurrentes 24-26'!DT207</f>
        <v>7313.8464</v>
      </c>
      <c r="CL345" s="1064" t="str">
        <f>'No Recurrentes 24-26'!DU207</f>
        <v/>
      </c>
      <c r="CM345" s="1064" t="str">
        <f>'No Recurrentes 24-26'!DV207</f>
        <v/>
      </c>
      <c r="CN345" s="1065">
        <f>'No Recurrentes 24-26'!EI203</f>
        <v>382.91</v>
      </c>
      <c r="CO345" s="1065">
        <f>'No Recurrentes 24-26'!EJ203</f>
        <v>325.47</v>
      </c>
      <c r="CP345" s="1060" t="str">
        <f>'No Recurrentes 24-26'!EK203</f>
        <v/>
      </c>
    </row>
    <row r="346">
      <c r="A346" s="451" t="str">
        <f>'No Recurrentes 24-26'!A208</f>
        <v>Repuestos Electromecánicos no recurrentes</v>
      </c>
      <c r="B346" s="451">
        <f>'No Recurrentes 24-26'!B208</f>
        <v>2</v>
      </c>
      <c r="C346" s="451" t="str">
        <f>'No Recurrentes 24-26'!C208</f>
        <v>Estación</v>
      </c>
      <c r="D346" s="451" t="str">
        <f>'No Recurrentes 24-26'!D208</f>
        <v>Manto. Hidraulico</v>
      </c>
      <c r="E346" s="451" t="str">
        <f>'No Recurrentes 24-26'!E208</f>
        <v>Repuesto Hidráulico</v>
      </c>
      <c r="F346" s="451" t="str">
        <f>'No Recurrentes 24-26'!F208</f>
        <v>TDB</v>
      </c>
      <c r="G346" s="1025" t="str">
        <f>'No Recurrentes 24-26'!G208</f>
        <v>39800</v>
      </c>
      <c r="H346" s="1061" t="str">
        <f>'No Recurrentes 24-26'!H208</f>
        <v/>
      </c>
      <c r="I346" s="1061" t="str">
        <f>'No Recurrentes 24-26'!I208</f>
        <v>10966166</v>
      </c>
      <c r="J346" s="1061" t="str">
        <f>'No Recurrentes 24-26'!J208</f>
        <v>MANGUERA AP AN10-2SC L=800MM      DKOL-12/CEL-12</v>
      </c>
      <c r="K346" s="451" t="str">
        <f>'No Recurrentes 24-26'!K208</f>
        <v>Pza</v>
      </c>
      <c r="L346" s="451" t="str">
        <f>'No Recurrentes 24-26'!BC208</f>
        <v/>
      </c>
      <c r="M346" s="451" t="str">
        <f>'No Recurrentes 24-26'!BD208</f>
        <v/>
      </c>
      <c r="N346" s="451" t="str">
        <f>'No Recurrentes 24-26'!BE208</f>
        <v/>
      </c>
      <c r="O346" s="451" t="str">
        <f>'No Recurrentes 24-26'!BF208</f>
        <v/>
      </c>
      <c r="P346" s="451" t="str">
        <f>'No Recurrentes 24-26'!BG208</f>
        <v/>
      </c>
      <c r="Q346" s="451" t="str">
        <f>'No Recurrentes 24-26'!BH208</f>
        <v/>
      </c>
      <c r="R346" s="451" t="str">
        <f>'No Recurrentes 24-26'!BI208</f>
        <v/>
      </c>
      <c r="S346" s="451" t="str">
        <f>'No Recurrentes 24-26'!BJ208</f>
        <v/>
      </c>
      <c r="T346" s="451" t="str">
        <f>'No Recurrentes 24-26'!BK208</f>
        <v/>
      </c>
      <c r="U346" s="451" t="str">
        <f>'No Recurrentes 24-26'!BL208</f>
        <v/>
      </c>
      <c r="V346" s="1068"/>
      <c r="W346" s="1062">
        <f>'No Recurrentes 24-26'!BM208</f>
        <v>0</v>
      </c>
      <c r="X346" s="1062">
        <f>'No Recurrentes 24-26'!BN208</f>
        <v>2</v>
      </c>
      <c r="Y346" s="1062">
        <f>'No Recurrentes 24-26'!BO208</f>
        <v>2</v>
      </c>
      <c r="Z346" s="1062">
        <f>'No Recurrentes 24-26'!BP208</f>
        <v>2</v>
      </c>
      <c r="AA346" s="1062" t="str">
        <f>'No Recurrentes 24-26'!BQ208</f>
        <v/>
      </c>
      <c r="AB346" s="1062" t="str">
        <f>'No Recurrentes 24-26'!BR208</f>
        <v/>
      </c>
      <c r="AC346" s="1062" t="str">
        <f>'No Recurrentes 24-26'!BS208</f>
        <v/>
      </c>
      <c r="AD346" s="1062" t="str">
        <f>'No Recurrentes 24-26'!BT208</f>
        <v/>
      </c>
      <c r="AE346" s="1062" t="str">
        <f>'No Recurrentes 24-26'!BU208</f>
        <v/>
      </c>
      <c r="AF346" s="1062" t="str">
        <f>'No Recurrentes 24-26'!BV208</f>
        <v/>
      </c>
      <c r="AG346" s="1062" t="str">
        <f>'No Recurrentes 24-26'!BW208</f>
        <v/>
      </c>
      <c r="AH346" s="1068"/>
      <c r="AI346" s="1062">
        <f>'No Recurrentes 24-26'!BX208</f>
        <v>6</v>
      </c>
      <c r="AJ346" s="1062">
        <f>'No Recurrentes 24-26'!BY208</f>
        <v>0</v>
      </c>
      <c r="AK346" s="1062">
        <f>'No Recurrentes 24-26'!BZ208</f>
        <v>0</v>
      </c>
      <c r="AL346" s="1062">
        <f>'No Recurrentes 24-26'!CA208</f>
        <v>0</v>
      </c>
      <c r="AM346" s="1062">
        <f>'No Recurrentes 24-26'!CB208</f>
        <v>0</v>
      </c>
      <c r="AN346" s="1062">
        <f>'No Recurrentes 24-26'!CC208</f>
        <v>0</v>
      </c>
      <c r="AO346" s="1062">
        <f>'No Recurrentes 24-26'!CD208</f>
        <v>0</v>
      </c>
      <c r="AP346" s="1062">
        <f>'No Recurrentes 24-26'!CE208</f>
        <v>0</v>
      </c>
      <c r="AQ346" s="1062">
        <f>'No Recurrentes 24-26'!CF208</f>
        <v>0</v>
      </c>
      <c r="AR346" s="1062">
        <f>'No Recurrentes 24-26'!CG208</f>
        <v>0</v>
      </c>
      <c r="AS346" s="1062">
        <f>'No Recurrentes 24-26'!CH208</f>
        <v>0</v>
      </c>
      <c r="AT346" s="1068"/>
      <c r="AU346" s="1062">
        <f>'No Recurrentes 24-26'!CI208</f>
        <v>0</v>
      </c>
      <c r="AV346" s="1063">
        <f>'No Recurrentes 24-26'!CJ208</f>
        <v>6</v>
      </c>
      <c r="AW346" s="1068"/>
      <c r="AX346" s="1065">
        <f>'No Recurrentes 24-26'!CK208</f>
        <v>95.6</v>
      </c>
      <c r="AY346" s="1062">
        <f>'No Recurrentes 24-26'!CL208</f>
        <v>665.376</v>
      </c>
      <c r="AZ346" s="1068"/>
      <c r="BA346" s="1062">
        <f>'No Recurrentes 24-26'!CM208</f>
        <v>0</v>
      </c>
      <c r="BB346" s="1062">
        <f>'No Recurrentes 24-26'!CN208</f>
        <v>0</v>
      </c>
      <c r="BC346" s="1062">
        <f>'No Recurrentes 24-26'!CO208</f>
        <v>0</v>
      </c>
      <c r="BD346" s="1062">
        <f>'No Recurrentes 24-26'!CP208</f>
        <v>0</v>
      </c>
      <c r="BE346" s="1062">
        <f>'No Recurrentes 24-26'!CQ208</f>
        <v>0</v>
      </c>
      <c r="BF346" s="1062">
        <f>'No Recurrentes 24-26'!CR208</f>
        <v>0</v>
      </c>
      <c r="BG346" s="1062">
        <f>'No Recurrentes 24-26'!CS208</f>
        <v>0</v>
      </c>
      <c r="BH346" s="1062">
        <f>'No Recurrentes 24-26'!CT208</f>
        <v>0</v>
      </c>
      <c r="BI346" s="1062">
        <f>'No Recurrentes 24-26'!CU208</f>
        <v>0</v>
      </c>
      <c r="BJ346" s="1062">
        <f>'No Recurrentes 24-26'!CV208</f>
        <v>0</v>
      </c>
      <c r="BK346" s="1068"/>
      <c r="BL346" s="1062">
        <f>'No Recurrentes 24-26'!CW208</f>
        <v>0</v>
      </c>
      <c r="BM346" s="1062">
        <f>'No Recurrentes 24-26'!CX208</f>
        <v>1330.752</v>
      </c>
      <c r="BN346" s="1062">
        <f>'No Recurrentes 24-26'!CY208</f>
        <v>1330.752</v>
      </c>
      <c r="BO346" s="1062">
        <f>'No Recurrentes 24-26'!CZ208</f>
        <v>1330.752</v>
      </c>
      <c r="BP346" s="1062">
        <f>'No Recurrentes 24-26'!DA208</f>
        <v>0</v>
      </c>
      <c r="BQ346" s="1062">
        <f>'No Recurrentes 24-26'!DB208</f>
        <v>0</v>
      </c>
      <c r="BR346" s="1062">
        <f>'No Recurrentes 24-26'!DC208</f>
        <v>0</v>
      </c>
      <c r="BS346" s="1062">
        <f>'No Recurrentes 24-26'!DD208</f>
        <v>0</v>
      </c>
      <c r="BT346" s="1062">
        <f>'No Recurrentes 24-26'!DE208</f>
        <v>0</v>
      </c>
      <c r="BU346" s="1062">
        <f>'No Recurrentes 24-26'!DF208</f>
        <v>0</v>
      </c>
      <c r="BV346" s="1062">
        <f>'No Recurrentes 24-26'!DG208</f>
        <v>0</v>
      </c>
      <c r="BW346" s="1068"/>
      <c r="BX346" s="1062">
        <f>'No Recurrentes 24-26'!DH208</f>
        <v>3992.256</v>
      </c>
      <c r="BY346" s="1062">
        <f>'No Recurrentes 24-26'!DI208</f>
        <v>0</v>
      </c>
      <c r="BZ346" s="1062">
        <f>'No Recurrentes 24-26'!DJ208</f>
        <v>0</v>
      </c>
      <c r="CA346" s="1062">
        <f>'No Recurrentes 24-26'!DK208</f>
        <v>0</v>
      </c>
      <c r="CB346" s="1062">
        <f>'No Recurrentes 24-26'!DL208</f>
        <v>0</v>
      </c>
      <c r="CC346" s="1062">
        <f>'No Recurrentes 24-26'!DM208</f>
        <v>0</v>
      </c>
      <c r="CD346" s="1062">
        <f>'No Recurrentes 24-26'!DN208</f>
        <v>0</v>
      </c>
      <c r="CE346" s="1062">
        <f>'No Recurrentes 24-26'!DO208</f>
        <v>0</v>
      </c>
      <c r="CF346" s="1062">
        <f>'No Recurrentes 24-26'!DP208</f>
        <v>0</v>
      </c>
      <c r="CG346" s="1062">
        <f>'No Recurrentes 24-26'!DQ208</f>
        <v>0</v>
      </c>
      <c r="CH346" s="1062">
        <f>'No Recurrentes 24-26'!DR208</f>
        <v>0</v>
      </c>
      <c r="CI346" s="1068"/>
      <c r="CJ346" s="1062">
        <f>'No Recurrentes 24-26'!DS208</f>
        <v>0</v>
      </c>
      <c r="CK346" s="1062">
        <f>'No Recurrentes 24-26'!DT208</f>
        <v>3992.256</v>
      </c>
      <c r="CL346" s="1064" t="str">
        <f>'No Recurrentes 24-26'!DU208</f>
        <v/>
      </c>
      <c r="CM346" s="1064" t="str">
        <f>'No Recurrentes 24-26'!DV208</f>
        <v/>
      </c>
      <c r="CN346" s="1065">
        <f>'No Recurrentes 24-26'!EI204</f>
        <v>168.48</v>
      </c>
      <c r="CO346" s="1065">
        <f>'No Recurrentes 24-26'!EJ204</f>
        <v>143.21</v>
      </c>
      <c r="CP346" s="1060" t="str">
        <f>'No Recurrentes 24-26'!EK204</f>
        <v/>
      </c>
    </row>
    <row r="347">
      <c r="A347" s="451" t="str">
        <f>'No Recurrentes 24-26'!A209</f>
        <v>Repuestos Electromecánicos no recurrentes</v>
      </c>
      <c r="B347" s="451">
        <f>'No Recurrentes 24-26'!B209</f>
        <v>2</v>
      </c>
      <c r="C347" s="451" t="str">
        <f>'No Recurrentes 24-26'!C209</f>
        <v>Estación</v>
      </c>
      <c r="D347" s="451" t="str">
        <f>'No Recurrentes 24-26'!D209</f>
        <v>Manto. Hidraulico</v>
      </c>
      <c r="E347" s="451" t="str">
        <f>'No Recurrentes 24-26'!E209</f>
        <v>Repuesto Hidráulico</v>
      </c>
      <c r="F347" s="451" t="str">
        <f>'No Recurrentes 24-26'!F209</f>
        <v>TDB</v>
      </c>
      <c r="G347" s="1025" t="str">
        <f>'No Recurrentes 24-26'!G209</f>
        <v>39800</v>
      </c>
      <c r="H347" s="1061" t="str">
        <f>'No Recurrentes 24-26'!H209</f>
        <v/>
      </c>
      <c r="I347" s="1061" t="str">
        <f>'No Recurrentes 24-26'!I209</f>
        <v>10691338</v>
      </c>
      <c r="J347" s="1061" t="str">
        <f>'No Recurrentes 24-26'!J209</f>
        <v>MANGUERA AP AN10-2SC L=2200MM     DKOL-12/DKOL-12</v>
      </c>
      <c r="K347" s="451" t="str">
        <f>'No Recurrentes 24-26'!K209</f>
        <v>Pza</v>
      </c>
      <c r="L347" s="451" t="str">
        <f>'No Recurrentes 24-26'!BC209</f>
        <v/>
      </c>
      <c r="M347" s="451" t="str">
        <f>'No Recurrentes 24-26'!BD209</f>
        <v/>
      </c>
      <c r="N347" s="451" t="str">
        <f>'No Recurrentes 24-26'!BE209</f>
        <v/>
      </c>
      <c r="O347" s="451" t="str">
        <f>'No Recurrentes 24-26'!BF209</f>
        <v/>
      </c>
      <c r="P347" s="451" t="str">
        <f>'No Recurrentes 24-26'!BG209</f>
        <v/>
      </c>
      <c r="Q347" s="451" t="str">
        <f>'No Recurrentes 24-26'!BH209</f>
        <v/>
      </c>
      <c r="R347" s="451" t="str">
        <f>'No Recurrentes 24-26'!BI209</f>
        <v/>
      </c>
      <c r="S347" s="451" t="str">
        <f>'No Recurrentes 24-26'!BJ209</f>
        <v/>
      </c>
      <c r="T347" s="451" t="str">
        <f>'No Recurrentes 24-26'!BK209</f>
        <v/>
      </c>
      <c r="U347" s="451" t="str">
        <f>'No Recurrentes 24-26'!BL209</f>
        <v/>
      </c>
      <c r="V347" s="1068"/>
      <c r="W347" s="1062">
        <f>'No Recurrentes 24-26'!BM209</f>
        <v>0</v>
      </c>
      <c r="X347" s="1062">
        <f>'No Recurrentes 24-26'!BN209</f>
        <v>1</v>
      </c>
      <c r="Y347" s="1062">
        <f>'No Recurrentes 24-26'!BO209</f>
        <v>1</v>
      </c>
      <c r="Z347" s="1062">
        <f>'No Recurrentes 24-26'!BP209</f>
        <v>1</v>
      </c>
      <c r="AA347" s="1062" t="str">
        <f>'No Recurrentes 24-26'!BQ209</f>
        <v/>
      </c>
      <c r="AB347" s="1062" t="str">
        <f>'No Recurrentes 24-26'!BR209</f>
        <v/>
      </c>
      <c r="AC347" s="1062" t="str">
        <f>'No Recurrentes 24-26'!BS209</f>
        <v/>
      </c>
      <c r="AD347" s="1062" t="str">
        <f>'No Recurrentes 24-26'!BT209</f>
        <v/>
      </c>
      <c r="AE347" s="1062" t="str">
        <f>'No Recurrentes 24-26'!BU209</f>
        <v/>
      </c>
      <c r="AF347" s="1062" t="str">
        <f>'No Recurrentes 24-26'!BV209</f>
        <v/>
      </c>
      <c r="AG347" s="1062" t="str">
        <f>'No Recurrentes 24-26'!BW209</f>
        <v/>
      </c>
      <c r="AH347" s="1068"/>
      <c r="AI347" s="1062">
        <f>'No Recurrentes 24-26'!BX209</f>
        <v>3</v>
      </c>
      <c r="AJ347" s="1062">
        <f>'No Recurrentes 24-26'!BY209</f>
        <v>0</v>
      </c>
      <c r="AK347" s="1062">
        <f>'No Recurrentes 24-26'!BZ209</f>
        <v>0</v>
      </c>
      <c r="AL347" s="1062">
        <f>'No Recurrentes 24-26'!CA209</f>
        <v>0</v>
      </c>
      <c r="AM347" s="1062">
        <f>'No Recurrentes 24-26'!CB209</f>
        <v>0</v>
      </c>
      <c r="AN347" s="1062">
        <f>'No Recurrentes 24-26'!CC209</f>
        <v>0</v>
      </c>
      <c r="AO347" s="1062">
        <f>'No Recurrentes 24-26'!CD209</f>
        <v>0</v>
      </c>
      <c r="AP347" s="1062">
        <f>'No Recurrentes 24-26'!CE209</f>
        <v>0</v>
      </c>
      <c r="AQ347" s="1062">
        <f>'No Recurrentes 24-26'!CF209</f>
        <v>0</v>
      </c>
      <c r="AR347" s="1062">
        <f>'No Recurrentes 24-26'!CG209</f>
        <v>0</v>
      </c>
      <c r="AS347" s="1062">
        <f>'No Recurrentes 24-26'!CH209</f>
        <v>0</v>
      </c>
      <c r="AT347" s="1068"/>
      <c r="AU347" s="1062">
        <f>'No Recurrentes 24-26'!CI209</f>
        <v>0</v>
      </c>
      <c r="AV347" s="1063">
        <f>'No Recurrentes 24-26'!CJ209</f>
        <v>3</v>
      </c>
      <c r="AW347" s="1068"/>
      <c r="AX347" s="1065">
        <f>'No Recurrentes 24-26'!CK209</f>
        <v>141.17</v>
      </c>
      <c r="AY347" s="1062">
        <f>'No Recurrentes 24-26'!CL209</f>
        <v>982.5432</v>
      </c>
      <c r="AZ347" s="1068"/>
      <c r="BA347" s="1062">
        <f>'No Recurrentes 24-26'!CM209</f>
        <v>0</v>
      </c>
      <c r="BB347" s="1062">
        <f>'No Recurrentes 24-26'!CN209</f>
        <v>0</v>
      </c>
      <c r="BC347" s="1062">
        <f>'No Recurrentes 24-26'!CO209</f>
        <v>0</v>
      </c>
      <c r="BD347" s="1062">
        <f>'No Recurrentes 24-26'!CP209</f>
        <v>0</v>
      </c>
      <c r="BE347" s="1062">
        <f>'No Recurrentes 24-26'!CQ209</f>
        <v>0</v>
      </c>
      <c r="BF347" s="1062">
        <f>'No Recurrentes 24-26'!CR209</f>
        <v>0</v>
      </c>
      <c r="BG347" s="1062">
        <f>'No Recurrentes 24-26'!CS209</f>
        <v>0</v>
      </c>
      <c r="BH347" s="1062">
        <f>'No Recurrentes 24-26'!CT209</f>
        <v>0</v>
      </c>
      <c r="BI347" s="1062">
        <f>'No Recurrentes 24-26'!CU209</f>
        <v>0</v>
      </c>
      <c r="BJ347" s="1062">
        <f>'No Recurrentes 24-26'!CV209</f>
        <v>0</v>
      </c>
      <c r="BK347" s="1068"/>
      <c r="BL347" s="1062">
        <f>'No Recurrentes 24-26'!CW209</f>
        <v>0</v>
      </c>
      <c r="BM347" s="1062">
        <f>'No Recurrentes 24-26'!CX209</f>
        <v>982.5432</v>
      </c>
      <c r="BN347" s="1062">
        <f>'No Recurrentes 24-26'!CY209</f>
        <v>982.5432</v>
      </c>
      <c r="BO347" s="1062">
        <f>'No Recurrentes 24-26'!CZ209</f>
        <v>982.5432</v>
      </c>
      <c r="BP347" s="1062">
        <f>'No Recurrentes 24-26'!DA209</f>
        <v>0</v>
      </c>
      <c r="BQ347" s="1062">
        <f>'No Recurrentes 24-26'!DB209</f>
        <v>0</v>
      </c>
      <c r="BR347" s="1062">
        <f>'No Recurrentes 24-26'!DC209</f>
        <v>0</v>
      </c>
      <c r="BS347" s="1062">
        <f>'No Recurrentes 24-26'!DD209</f>
        <v>0</v>
      </c>
      <c r="BT347" s="1062">
        <f>'No Recurrentes 24-26'!DE209</f>
        <v>0</v>
      </c>
      <c r="BU347" s="1062">
        <f>'No Recurrentes 24-26'!DF209</f>
        <v>0</v>
      </c>
      <c r="BV347" s="1062">
        <f>'No Recurrentes 24-26'!DG209</f>
        <v>0</v>
      </c>
      <c r="BW347" s="1068"/>
      <c r="BX347" s="1062">
        <f>'No Recurrentes 24-26'!DH209</f>
        <v>2947.6296</v>
      </c>
      <c r="BY347" s="1062">
        <f>'No Recurrentes 24-26'!DI209</f>
        <v>0</v>
      </c>
      <c r="BZ347" s="1062">
        <f>'No Recurrentes 24-26'!DJ209</f>
        <v>0</v>
      </c>
      <c r="CA347" s="1062">
        <f>'No Recurrentes 24-26'!DK209</f>
        <v>0</v>
      </c>
      <c r="CB347" s="1062">
        <f>'No Recurrentes 24-26'!DL209</f>
        <v>0</v>
      </c>
      <c r="CC347" s="1062">
        <f>'No Recurrentes 24-26'!DM209</f>
        <v>0</v>
      </c>
      <c r="CD347" s="1062">
        <f>'No Recurrentes 24-26'!DN209</f>
        <v>0</v>
      </c>
      <c r="CE347" s="1062">
        <f>'No Recurrentes 24-26'!DO209</f>
        <v>0</v>
      </c>
      <c r="CF347" s="1062">
        <f>'No Recurrentes 24-26'!DP209</f>
        <v>0</v>
      </c>
      <c r="CG347" s="1062">
        <f>'No Recurrentes 24-26'!DQ209</f>
        <v>0</v>
      </c>
      <c r="CH347" s="1062">
        <f>'No Recurrentes 24-26'!DR209</f>
        <v>0</v>
      </c>
      <c r="CI347" s="1068"/>
      <c r="CJ347" s="1062">
        <f>'No Recurrentes 24-26'!DS209</f>
        <v>0</v>
      </c>
      <c r="CK347" s="1062">
        <f>'No Recurrentes 24-26'!DT209</f>
        <v>2947.6296</v>
      </c>
      <c r="CL347" s="1064" t="str">
        <f>'No Recurrentes 24-26'!DU209</f>
        <v/>
      </c>
      <c r="CM347" s="1064" t="str">
        <f>'No Recurrentes 24-26'!DV209</f>
        <v/>
      </c>
      <c r="CN347" s="1065">
        <f>'No Recurrentes 24-26'!EI205</f>
        <v>95.87</v>
      </c>
      <c r="CO347" s="1065">
        <f>'No Recurrentes 24-26'!EJ205</f>
        <v>81.49</v>
      </c>
      <c r="CP347" s="1060" t="str">
        <f>'No Recurrentes 24-26'!EK205</f>
        <v/>
      </c>
    </row>
    <row r="348">
      <c r="A348" s="451" t="str">
        <f>'No Recurrentes 24-26'!A210</f>
        <v>Repuestos Electromecánicos no recurrentes</v>
      </c>
      <c r="B348" s="451">
        <f>'No Recurrentes 24-26'!B210</f>
        <v>2</v>
      </c>
      <c r="C348" s="451" t="str">
        <f>'No Recurrentes 24-26'!C210</f>
        <v>Estación</v>
      </c>
      <c r="D348" s="451" t="str">
        <f>'No Recurrentes 24-26'!D210</f>
        <v>Manto. Hidraulico</v>
      </c>
      <c r="E348" s="451" t="str">
        <f>'No Recurrentes 24-26'!E210</f>
        <v>Repuesto Hidráulico</v>
      </c>
      <c r="F348" s="451" t="str">
        <f>'No Recurrentes 24-26'!F210</f>
        <v>TDB</v>
      </c>
      <c r="G348" s="1025" t="str">
        <f>'No Recurrentes 24-26'!G210</f>
        <v>39800</v>
      </c>
      <c r="H348" s="1061" t="str">
        <f>'No Recurrentes 24-26'!H210</f>
        <v>2-01-00934</v>
      </c>
      <c r="I348" s="1061" t="str">
        <f>'No Recurrentes 24-26'!I210</f>
        <v>10966162</v>
      </c>
      <c r="J348" s="1061" t="str">
        <f>'No Recurrentes 24-26'!J210</f>
        <v>MANGUERA AP AN10-2SC L=1400MM     DKOL-12/DKOL-12</v>
      </c>
      <c r="K348" s="451" t="str">
        <f>'No Recurrentes 24-26'!K210</f>
        <v>Pza</v>
      </c>
      <c r="L348" s="451" t="str">
        <f>'No Recurrentes 24-26'!BC210</f>
        <v/>
      </c>
      <c r="M348" s="451" t="str">
        <f>'No Recurrentes 24-26'!BD210</f>
        <v/>
      </c>
      <c r="N348" s="451" t="str">
        <f>'No Recurrentes 24-26'!BE210</f>
        <v/>
      </c>
      <c r="O348" s="451" t="str">
        <f>'No Recurrentes 24-26'!BF210</f>
        <v/>
      </c>
      <c r="P348" s="451" t="str">
        <f>'No Recurrentes 24-26'!BG210</f>
        <v/>
      </c>
      <c r="Q348" s="451" t="str">
        <f>'No Recurrentes 24-26'!BH210</f>
        <v/>
      </c>
      <c r="R348" s="451" t="str">
        <f>'No Recurrentes 24-26'!BI210</f>
        <v/>
      </c>
      <c r="S348" s="451" t="str">
        <f>'No Recurrentes 24-26'!BJ210</f>
        <v/>
      </c>
      <c r="T348" s="451" t="str">
        <f>'No Recurrentes 24-26'!BK210</f>
        <v/>
      </c>
      <c r="U348" s="451" t="str">
        <f>'No Recurrentes 24-26'!BL210</f>
        <v/>
      </c>
      <c r="V348" s="1068"/>
      <c r="W348" s="1062">
        <f>'No Recurrentes 24-26'!BM210</f>
        <v>0</v>
      </c>
      <c r="X348" s="1062">
        <f>'No Recurrentes 24-26'!BN210</f>
        <v>2</v>
      </c>
      <c r="Y348" s="1062" t="str">
        <f>'No Recurrentes 24-26'!BO210</f>
        <v/>
      </c>
      <c r="Z348" s="1062">
        <f>'No Recurrentes 24-26'!BP210</f>
        <v>2</v>
      </c>
      <c r="AA348" s="1062" t="str">
        <f>'No Recurrentes 24-26'!BQ210</f>
        <v/>
      </c>
      <c r="AB348" s="1062" t="str">
        <f>'No Recurrentes 24-26'!BR210</f>
        <v/>
      </c>
      <c r="AC348" s="1062" t="str">
        <f>'No Recurrentes 24-26'!BS210</f>
        <v/>
      </c>
      <c r="AD348" s="1062" t="str">
        <f>'No Recurrentes 24-26'!BT210</f>
        <v/>
      </c>
      <c r="AE348" s="1062" t="str">
        <f>'No Recurrentes 24-26'!BU210</f>
        <v/>
      </c>
      <c r="AF348" s="1062" t="str">
        <f>'No Recurrentes 24-26'!BV210</f>
        <v/>
      </c>
      <c r="AG348" s="1062" t="str">
        <f>'No Recurrentes 24-26'!BW210</f>
        <v/>
      </c>
      <c r="AH348" s="1068"/>
      <c r="AI348" s="1062">
        <f>'No Recurrentes 24-26'!BX210</f>
        <v>4</v>
      </c>
      <c r="AJ348" s="1062">
        <f>'No Recurrentes 24-26'!BY210</f>
        <v>0</v>
      </c>
      <c r="AK348" s="1062">
        <f>'No Recurrentes 24-26'!BZ210</f>
        <v>0</v>
      </c>
      <c r="AL348" s="1062">
        <f>'No Recurrentes 24-26'!CA210</f>
        <v>0</v>
      </c>
      <c r="AM348" s="1062">
        <f>'No Recurrentes 24-26'!CB210</f>
        <v>0</v>
      </c>
      <c r="AN348" s="1062">
        <f>'No Recurrentes 24-26'!CC210</f>
        <v>0</v>
      </c>
      <c r="AO348" s="1062">
        <f>'No Recurrentes 24-26'!CD210</f>
        <v>0</v>
      </c>
      <c r="AP348" s="1062">
        <f>'No Recurrentes 24-26'!CE210</f>
        <v>0</v>
      </c>
      <c r="AQ348" s="1062">
        <f>'No Recurrentes 24-26'!CF210</f>
        <v>0</v>
      </c>
      <c r="AR348" s="1062">
        <f>'No Recurrentes 24-26'!CG210</f>
        <v>0</v>
      </c>
      <c r="AS348" s="1062">
        <f>'No Recurrentes 24-26'!CH210</f>
        <v>0</v>
      </c>
      <c r="AT348" s="1068"/>
      <c r="AU348" s="1062">
        <f>'No Recurrentes 24-26'!CI210</f>
        <v>0</v>
      </c>
      <c r="AV348" s="1063">
        <f>'No Recurrentes 24-26'!CJ210</f>
        <v>4</v>
      </c>
      <c r="AW348" s="1068"/>
      <c r="AX348" s="1065">
        <f>'No Recurrentes 24-26'!CK210</f>
        <v>100.26</v>
      </c>
      <c r="AY348" s="1062">
        <f>'No Recurrentes 24-26'!CL210</f>
        <v>697.8096</v>
      </c>
      <c r="AZ348" s="1068"/>
      <c r="BA348" s="1062">
        <f>'No Recurrentes 24-26'!CM210</f>
        <v>0</v>
      </c>
      <c r="BB348" s="1062">
        <f>'No Recurrentes 24-26'!CN210</f>
        <v>0</v>
      </c>
      <c r="BC348" s="1062">
        <f>'No Recurrentes 24-26'!CO210</f>
        <v>0</v>
      </c>
      <c r="BD348" s="1062">
        <f>'No Recurrentes 24-26'!CP210</f>
        <v>0</v>
      </c>
      <c r="BE348" s="1062">
        <f>'No Recurrentes 24-26'!CQ210</f>
        <v>0</v>
      </c>
      <c r="BF348" s="1062">
        <f>'No Recurrentes 24-26'!CR210</f>
        <v>0</v>
      </c>
      <c r="BG348" s="1062">
        <f>'No Recurrentes 24-26'!CS210</f>
        <v>0</v>
      </c>
      <c r="BH348" s="1062">
        <f>'No Recurrentes 24-26'!CT210</f>
        <v>0</v>
      </c>
      <c r="BI348" s="1062">
        <f>'No Recurrentes 24-26'!CU210</f>
        <v>0</v>
      </c>
      <c r="BJ348" s="1062">
        <f>'No Recurrentes 24-26'!CV210</f>
        <v>0</v>
      </c>
      <c r="BK348" s="1068"/>
      <c r="BL348" s="1062">
        <f>'No Recurrentes 24-26'!CW210</f>
        <v>0</v>
      </c>
      <c r="BM348" s="1062">
        <f>'No Recurrentes 24-26'!CX210</f>
        <v>1395.6192</v>
      </c>
      <c r="BN348" s="1062">
        <f>'No Recurrentes 24-26'!CY210</f>
        <v>0</v>
      </c>
      <c r="BO348" s="1062">
        <f>'No Recurrentes 24-26'!CZ210</f>
        <v>1395.6192</v>
      </c>
      <c r="BP348" s="1062">
        <f>'No Recurrentes 24-26'!DA210</f>
        <v>0</v>
      </c>
      <c r="BQ348" s="1062">
        <f>'No Recurrentes 24-26'!DB210</f>
        <v>0</v>
      </c>
      <c r="BR348" s="1062">
        <f>'No Recurrentes 24-26'!DC210</f>
        <v>0</v>
      </c>
      <c r="BS348" s="1062">
        <f>'No Recurrentes 24-26'!DD210</f>
        <v>0</v>
      </c>
      <c r="BT348" s="1062">
        <f>'No Recurrentes 24-26'!DE210</f>
        <v>0</v>
      </c>
      <c r="BU348" s="1062">
        <f>'No Recurrentes 24-26'!DF210</f>
        <v>0</v>
      </c>
      <c r="BV348" s="1062">
        <f>'No Recurrentes 24-26'!DG210</f>
        <v>0</v>
      </c>
      <c r="BW348" s="1068"/>
      <c r="BX348" s="1062">
        <f>'No Recurrentes 24-26'!DH210</f>
        <v>2791.2384</v>
      </c>
      <c r="BY348" s="1062">
        <f>'No Recurrentes 24-26'!DI210</f>
        <v>0</v>
      </c>
      <c r="BZ348" s="1062">
        <f>'No Recurrentes 24-26'!DJ210</f>
        <v>0</v>
      </c>
      <c r="CA348" s="1062">
        <f>'No Recurrentes 24-26'!DK210</f>
        <v>0</v>
      </c>
      <c r="CB348" s="1062">
        <f>'No Recurrentes 24-26'!DL210</f>
        <v>0</v>
      </c>
      <c r="CC348" s="1062">
        <f>'No Recurrentes 24-26'!DM210</f>
        <v>0</v>
      </c>
      <c r="CD348" s="1062">
        <f>'No Recurrentes 24-26'!DN210</f>
        <v>0</v>
      </c>
      <c r="CE348" s="1062">
        <f>'No Recurrentes 24-26'!DO210</f>
        <v>0</v>
      </c>
      <c r="CF348" s="1062">
        <f>'No Recurrentes 24-26'!DP210</f>
        <v>0</v>
      </c>
      <c r="CG348" s="1062">
        <f>'No Recurrentes 24-26'!DQ210</f>
        <v>0</v>
      </c>
      <c r="CH348" s="1062">
        <f>'No Recurrentes 24-26'!DR210</f>
        <v>0</v>
      </c>
      <c r="CI348" s="1068"/>
      <c r="CJ348" s="1062">
        <f>'No Recurrentes 24-26'!DS210</f>
        <v>0</v>
      </c>
      <c r="CK348" s="1062">
        <f>'No Recurrentes 24-26'!DT210</f>
        <v>2791.2384</v>
      </c>
      <c r="CL348" s="1064" t="str">
        <f>'No Recurrentes 24-26'!DU210</f>
        <v/>
      </c>
      <c r="CM348" s="1064" t="str">
        <f>'No Recurrentes 24-26'!DV210</f>
        <v/>
      </c>
      <c r="CN348" s="1065">
        <f>'No Recurrentes 24-26'!EI206</f>
        <v>103.49</v>
      </c>
      <c r="CO348" s="1065">
        <f>'No Recurrentes 24-26'!EJ206</f>
        <v>87.97</v>
      </c>
      <c r="CP348" s="1060" t="str">
        <f>'No Recurrentes 24-26'!EK206</f>
        <v/>
      </c>
    </row>
    <row r="349">
      <c r="A349" s="451" t="str">
        <f>'No Recurrentes 24-26'!A211</f>
        <v>Repuestos Electromecánicos no recurrentes</v>
      </c>
      <c r="B349" s="451">
        <f>'No Recurrentes 24-26'!B211</f>
        <v>2</v>
      </c>
      <c r="C349" s="451" t="str">
        <f>'No Recurrentes 24-26'!C211</f>
        <v>Estación</v>
      </c>
      <c r="D349" s="451" t="str">
        <f>'No Recurrentes 24-26'!D211</f>
        <v>Manto. Hidraulico</v>
      </c>
      <c r="E349" s="451" t="str">
        <f>'No Recurrentes 24-26'!E211</f>
        <v>Repuesto Hidráulico</v>
      </c>
      <c r="F349" s="451" t="str">
        <f>'No Recurrentes 24-26'!F211</f>
        <v>TDB</v>
      </c>
      <c r="G349" s="1025" t="str">
        <f>'No Recurrentes 24-26'!G211</f>
        <v>39800</v>
      </c>
      <c r="H349" s="1061" t="str">
        <f>'No Recurrentes 24-26'!H211</f>
        <v>2-01-00405</v>
      </c>
      <c r="I349" s="1061" t="str">
        <f>'No Recurrentes 24-26'!I211</f>
        <v>10034666</v>
      </c>
      <c r="J349" s="1061" t="str">
        <f>'No Recurrentes 24-26'!J211</f>
        <v>JUEGO DE EMPAQUETADURAS P. MIRILLA DE ACEITE FSA, FLUTEC</v>
      </c>
      <c r="K349" s="451" t="str">
        <f>'No Recurrentes 24-26'!K211</f>
        <v>Pza</v>
      </c>
      <c r="L349" s="451" t="str">
        <f>'No Recurrentes 24-26'!BC211</f>
        <v/>
      </c>
      <c r="M349" s="451" t="str">
        <f>'No Recurrentes 24-26'!BD211</f>
        <v/>
      </c>
      <c r="N349" s="451" t="str">
        <f>'No Recurrentes 24-26'!BE211</f>
        <v/>
      </c>
      <c r="O349" s="451" t="str">
        <f>'No Recurrentes 24-26'!BF211</f>
        <v/>
      </c>
      <c r="P349" s="451" t="str">
        <f>'No Recurrentes 24-26'!BG211</f>
        <v/>
      </c>
      <c r="Q349" s="451" t="str">
        <f>'No Recurrentes 24-26'!BH211</f>
        <v/>
      </c>
      <c r="R349" s="451" t="str">
        <f>'No Recurrentes 24-26'!BI211</f>
        <v/>
      </c>
      <c r="S349" s="451" t="str">
        <f>'No Recurrentes 24-26'!BJ211</f>
        <v/>
      </c>
      <c r="T349" s="451" t="str">
        <f>'No Recurrentes 24-26'!BK211</f>
        <v/>
      </c>
      <c r="U349" s="451" t="str">
        <f>'No Recurrentes 24-26'!BL211</f>
        <v/>
      </c>
      <c r="V349" s="1068"/>
      <c r="W349" s="1062">
        <f>'No Recurrentes 24-26'!BM211</f>
        <v>0</v>
      </c>
      <c r="X349" s="1062">
        <f>'No Recurrentes 24-26'!BN211</f>
        <v>4</v>
      </c>
      <c r="Y349" s="1062">
        <f>'No Recurrentes 24-26'!BO211</f>
        <v>2</v>
      </c>
      <c r="Z349" s="1062" t="str">
        <f>'No Recurrentes 24-26'!BP211</f>
        <v/>
      </c>
      <c r="AA349" s="1062">
        <f>'No Recurrentes 24-26'!BQ211</f>
        <v>4</v>
      </c>
      <c r="AB349" s="1062">
        <f>'No Recurrentes 24-26'!BR211</f>
        <v>4</v>
      </c>
      <c r="AC349" s="1062">
        <f>'No Recurrentes 24-26'!BS211</f>
        <v>4</v>
      </c>
      <c r="AD349" s="1062" t="str">
        <f>'No Recurrentes 24-26'!BT211</f>
        <v/>
      </c>
      <c r="AE349" s="1062" t="str">
        <f>'No Recurrentes 24-26'!BU211</f>
        <v/>
      </c>
      <c r="AF349" s="1062" t="str">
        <f>'No Recurrentes 24-26'!BV211</f>
        <v/>
      </c>
      <c r="AG349" s="1062" t="str">
        <f>'No Recurrentes 24-26'!BW211</f>
        <v/>
      </c>
      <c r="AH349" s="1068"/>
      <c r="AI349" s="1062">
        <f>'No Recurrentes 24-26'!BX211</f>
        <v>18</v>
      </c>
      <c r="AJ349" s="1062">
        <f>'No Recurrentes 24-26'!BY211</f>
        <v>0</v>
      </c>
      <c r="AK349" s="1062">
        <f>'No Recurrentes 24-26'!BZ211</f>
        <v>0</v>
      </c>
      <c r="AL349" s="1062">
        <f>'No Recurrentes 24-26'!CA211</f>
        <v>4</v>
      </c>
      <c r="AM349" s="1062">
        <f>'No Recurrentes 24-26'!CB211</f>
        <v>0</v>
      </c>
      <c r="AN349" s="1062">
        <f>'No Recurrentes 24-26'!CC211</f>
        <v>0</v>
      </c>
      <c r="AO349" s="1062">
        <f>'No Recurrentes 24-26'!CD211</f>
        <v>0</v>
      </c>
      <c r="AP349" s="1062">
        <f>'No Recurrentes 24-26'!CE211</f>
        <v>0</v>
      </c>
      <c r="AQ349" s="1062">
        <f>'No Recurrentes 24-26'!CF211</f>
        <v>0</v>
      </c>
      <c r="AR349" s="1062">
        <f>'No Recurrentes 24-26'!CG211</f>
        <v>0</v>
      </c>
      <c r="AS349" s="1062">
        <f>'No Recurrentes 24-26'!CH211</f>
        <v>0</v>
      </c>
      <c r="AT349" s="1068"/>
      <c r="AU349" s="1062">
        <f>'No Recurrentes 24-26'!CI211</f>
        <v>4</v>
      </c>
      <c r="AV349" s="1063">
        <f>'No Recurrentes 24-26'!CJ211</f>
        <v>22</v>
      </c>
      <c r="AW349" s="1068"/>
      <c r="AX349" s="1065">
        <f>'No Recurrentes 24-26'!CK211</f>
        <v>16.61</v>
      </c>
      <c r="AY349" s="1062">
        <f>'No Recurrentes 24-26'!CL211</f>
        <v>115.6056</v>
      </c>
      <c r="AZ349" s="1068"/>
      <c r="BA349" s="1062">
        <f>'No Recurrentes 24-26'!CM211</f>
        <v>0</v>
      </c>
      <c r="BB349" s="1062">
        <f>'No Recurrentes 24-26'!CN211</f>
        <v>0</v>
      </c>
      <c r="BC349" s="1062">
        <f>'No Recurrentes 24-26'!CO211</f>
        <v>0</v>
      </c>
      <c r="BD349" s="1062">
        <f>'No Recurrentes 24-26'!CP211</f>
        <v>0</v>
      </c>
      <c r="BE349" s="1062">
        <f>'No Recurrentes 24-26'!CQ211</f>
        <v>0</v>
      </c>
      <c r="BF349" s="1062">
        <f>'No Recurrentes 24-26'!CR211</f>
        <v>0</v>
      </c>
      <c r="BG349" s="1062">
        <f>'No Recurrentes 24-26'!CS211</f>
        <v>0</v>
      </c>
      <c r="BH349" s="1062">
        <f>'No Recurrentes 24-26'!CT211</f>
        <v>0</v>
      </c>
      <c r="BI349" s="1062">
        <f>'No Recurrentes 24-26'!CU211</f>
        <v>0</v>
      </c>
      <c r="BJ349" s="1062">
        <f>'No Recurrentes 24-26'!CV211</f>
        <v>0</v>
      </c>
      <c r="BK349" s="1068"/>
      <c r="BL349" s="1062">
        <f>'No Recurrentes 24-26'!CW211</f>
        <v>0</v>
      </c>
      <c r="BM349" s="1062">
        <f>'No Recurrentes 24-26'!CX211</f>
        <v>462.4224</v>
      </c>
      <c r="BN349" s="1062">
        <f>'No Recurrentes 24-26'!CY211</f>
        <v>231.2112</v>
      </c>
      <c r="BO349" s="1062">
        <f>'No Recurrentes 24-26'!CZ211</f>
        <v>0</v>
      </c>
      <c r="BP349" s="1062">
        <f>'No Recurrentes 24-26'!DA211</f>
        <v>462.4224</v>
      </c>
      <c r="BQ349" s="1062">
        <f>'No Recurrentes 24-26'!DB211</f>
        <v>462.4224</v>
      </c>
      <c r="BR349" s="1062">
        <f>'No Recurrentes 24-26'!DC211</f>
        <v>462.4224</v>
      </c>
      <c r="BS349" s="1062">
        <f>'No Recurrentes 24-26'!DD211</f>
        <v>0</v>
      </c>
      <c r="BT349" s="1062">
        <f>'No Recurrentes 24-26'!DE211</f>
        <v>0</v>
      </c>
      <c r="BU349" s="1062">
        <f>'No Recurrentes 24-26'!DF211</f>
        <v>0</v>
      </c>
      <c r="BV349" s="1062">
        <f>'No Recurrentes 24-26'!DG211</f>
        <v>0</v>
      </c>
      <c r="BW349" s="1068"/>
      <c r="BX349" s="1062">
        <f>'No Recurrentes 24-26'!DH211</f>
        <v>2080.9008</v>
      </c>
      <c r="BY349" s="1062">
        <f>'No Recurrentes 24-26'!DI211</f>
        <v>0</v>
      </c>
      <c r="BZ349" s="1062">
        <f>'No Recurrentes 24-26'!DJ211</f>
        <v>0</v>
      </c>
      <c r="CA349" s="1062">
        <f>'No Recurrentes 24-26'!DK211</f>
        <v>462.4224</v>
      </c>
      <c r="CB349" s="1062">
        <f>'No Recurrentes 24-26'!DL211</f>
        <v>0</v>
      </c>
      <c r="CC349" s="1062">
        <f>'No Recurrentes 24-26'!DM211</f>
        <v>0</v>
      </c>
      <c r="CD349" s="1062">
        <f>'No Recurrentes 24-26'!DN211</f>
        <v>0</v>
      </c>
      <c r="CE349" s="1062">
        <f>'No Recurrentes 24-26'!DO211</f>
        <v>0</v>
      </c>
      <c r="CF349" s="1062">
        <f>'No Recurrentes 24-26'!DP211</f>
        <v>0</v>
      </c>
      <c r="CG349" s="1062">
        <f>'No Recurrentes 24-26'!DQ211</f>
        <v>0</v>
      </c>
      <c r="CH349" s="1062">
        <f>'No Recurrentes 24-26'!DR211</f>
        <v>0</v>
      </c>
      <c r="CI349" s="1068"/>
      <c r="CJ349" s="1062">
        <f>'No Recurrentes 24-26'!DS211</f>
        <v>462.4224</v>
      </c>
      <c r="CK349" s="1062">
        <f>'No Recurrentes 24-26'!DT211</f>
        <v>2543.3232</v>
      </c>
      <c r="CL349" s="1064" t="str">
        <f>'No Recurrentes 24-26'!DU211</f>
        <v/>
      </c>
      <c r="CM349" s="1064" t="str">
        <f>'No Recurrentes 24-26'!DV211</f>
        <v/>
      </c>
      <c r="CN349" s="1065">
        <f>'No Recurrentes 24-26'!EI207</f>
        <v>38.92</v>
      </c>
      <c r="CO349" s="1065">
        <f>'No Recurrentes 24-26'!EJ207</f>
        <v>33.08</v>
      </c>
      <c r="CP349" s="1060" t="str">
        <f>'No Recurrentes 24-26'!EK207</f>
        <v/>
      </c>
    </row>
    <row r="350">
      <c r="A350" s="451" t="str">
        <f>'No Recurrentes 24-26'!A212</f>
        <v>Repuestos Electromecánicos no recurrentes</v>
      </c>
      <c r="B350" s="451">
        <f>'No Recurrentes 24-26'!B212</f>
        <v>2</v>
      </c>
      <c r="C350" s="451" t="str">
        <f>'No Recurrentes 24-26'!C212</f>
        <v>Estación</v>
      </c>
      <c r="D350" s="451" t="str">
        <f>'No Recurrentes 24-26'!D212</f>
        <v>Manto. Hidraulico</v>
      </c>
      <c r="E350" s="451" t="str">
        <f>'No Recurrentes 24-26'!E212</f>
        <v>Repuesto Hidráulico</v>
      </c>
      <c r="F350" s="451" t="str">
        <f>'No Recurrentes 24-26'!F212</f>
        <v>TDB</v>
      </c>
      <c r="G350" s="1025" t="str">
        <f>'No Recurrentes 24-26'!G212</f>
        <v>39800</v>
      </c>
      <c r="H350" s="1061" t="str">
        <f>'No Recurrentes 24-26'!H212</f>
        <v/>
      </c>
      <c r="I350" s="1061" t="str">
        <f>'No Recurrentes 24-26'!I212</f>
        <v>10302503</v>
      </c>
      <c r="J350" s="1061" t="str">
        <f>'No Recurrentes 24-26'!J212</f>
        <v>FILTER DANFOSS 90R / H1P130-165 - LANG/FILTERELEMENT AK-PUMPE</v>
      </c>
      <c r="K350" s="451" t="str">
        <f>'No Recurrentes 24-26'!K212</f>
        <v>Pza</v>
      </c>
      <c r="L350" s="451" t="str">
        <f>'No Recurrentes 24-26'!BC212</f>
        <v/>
      </c>
      <c r="M350" s="451" t="str">
        <f>'No Recurrentes 24-26'!BD212</f>
        <v/>
      </c>
      <c r="N350" s="451" t="str">
        <f>'No Recurrentes 24-26'!BE212</f>
        <v/>
      </c>
      <c r="O350" s="451" t="str">
        <f>'No Recurrentes 24-26'!BF212</f>
        <v/>
      </c>
      <c r="P350" s="451" t="str">
        <f>'No Recurrentes 24-26'!BG212</f>
        <v/>
      </c>
      <c r="Q350" s="451" t="str">
        <f>'No Recurrentes 24-26'!BH212</f>
        <v/>
      </c>
      <c r="R350" s="451" t="str">
        <f>'No Recurrentes 24-26'!BI212</f>
        <v/>
      </c>
      <c r="S350" s="451" t="str">
        <f>'No Recurrentes 24-26'!BJ212</f>
        <v/>
      </c>
      <c r="T350" s="451" t="str">
        <f>'No Recurrentes 24-26'!BK212</f>
        <v/>
      </c>
      <c r="U350" s="451" t="str">
        <f>'No Recurrentes 24-26'!BL212</f>
        <v/>
      </c>
      <c r="V350" s="1068"/>
      <c r="W350" s="1062">
        <f>'No Recurrentes 24-26'!BM212</f>
        <v>0</v>
      </c>
      <c r="X350" s="1062" t="str">
        <f>'No Recurrentes 24-26'!BN212</f>
        <v/>
      </c>
      <c r="Y350" s="1062" t="str">
        <f>'No Recurrentes 24-26'!BO212</f>
        <v/>
      </c>
      <c r="Z350" s="1062" t="str">
        <f>'No Recurrentes 24-26'!BP212</f>
        <v/>
      </c>
      <c r="AA350" s="1062" t="str">
        <f>'No Recurrentes 24-26'!BQ212</f>
        <v/>
      </c>
      <c r="AB350" s="1062">
        <f>'No Recurrentes 24-26'!BR212</f>
        <v>2</v>
      </c>
      <c r="AC350" s="1062" t="str">
        <f>'No Recurrentes 24-26'!BS212</f>
        <v/>
      </c>
      <c r="AD350" s="1062" t="str">
        <f>'No Recurrentes 24-26'!BT212</f>
        <v/>
      </c>
      <c r="AE350" s="1062" t="str">
        <f>'No Recurrentes 24-26'!BU212</f>
        <v/>
      </c>
      <c r="AF350" s="1062" t="str">
        <f>'No Recurrentes 24-26'!BV212</f>
        <v/>
      </c>
      <c r="AG350" s="1062" t="str">
        <f>'No Recurrentes 24-26'!BW212</f>
        <v/>
      </c>
      <c r="AH350" s="1068"/>
      <c r="AI350" s="1062">
        <f>'No Recurrentes 24-26'!BX212</f>
        <v>2</v>
      </c>
      <c r="AJ350" s="1062">
        <f>'No Recurrentes 24-26'!BY212</f>
        <v>0</v>
      </c>
      <c r="AK350" s="1062">
        <f>'No Recurrentes 24-26'!BZ212</f>
        <v>0</v>
      </c>
      <c r="AL350" s="1062">
        <f>'No Recurrentes 24-26'!CA212</f>
        <v>0</v>
      </c>
      <c r="AM350" s="1062">
        <f>'No Recurrentes 24-26'!CB212</f>
        <v>0</v>
      </c>
      <c r="AN350" s="1062">
        <f>'No Recurrentes 24-26'!CC212</f>
        <v>0</v>
      </c>
      <c r="AO350" s="1062">
        <f>'No Recurrentes 24-26'!CD212</f>
        <v>0</v>
      </c>
      <c r="AP350" s="1062">
        <f>'No Recurrentes 24-26'!CE212</f>
        <v>0</v>
      </c>
      <c r="AQ350" s="1062">
        <f>'No Recurrentes 24-26'!CF212</f>
        <v>0</v>
      </c>
      <c r="AR350" s="1062">
        <f>'No Recurrentes 24-26'!CG212</f>
        <v>0</v>
      </c>
      <c r="AS350" s="1062">
        <f>'No Recurrentes 24-26'!CH212</f>
        <v>0</v>
      </c>
      <c r="AT350" s="1068"/>
      <c r="AU350" s="1062">
        <f>'No Recurrentes 24-26'!CI212</f>
        <v>0</v>
      </c>
      <c r="AV350" s="1063">
        <f>'No Recurrentes 24-26'!CJ212</f>
        <v>2</v>
      </c>
      <c r="AW350" s="1068"/>
      <c r="AX350" s="1065">
        <f>'No Recurrentes 24-26'!CK212</f>
        <v>236.51</v>
      </c>
      <c r="AY350" s="1062">
        <f>'No Recurrentes 24-26'!CL212</f>
        <v>1646.1096</v>
      </c>
      <c r="AZ350" s="1068"/>
      <c r="BA350" s="1062">
        <f>'No Recurrentes 24-26'!CM212</f>
        <v>0</v>
      </c>
      <c r="BB350" s="1062">
        <f>'No Recurrentes 24-26'!CN212</f>
        <v>0</v>
      </c>
      <c r="BC350" s="1062">
        <f>'No Recurrentes 24-26'!CO212</f>
        <v>0</v>
      </c>
      <c r="BD350" s="1062">
        <f>'No Recurrentes 24-26'!CP212</f>
        <v>0</v>
      </c>
      <c r="BE350" s="1062">
        <f>'No Recurrentes 24-26'!CQ212</f>
        <v>0</v>
      </c>
      <c r="BF350" s="1062">
        <f>'No Recurrentes 24-26'!CR212</f>
        <v>0</v>
      </c>
      <c r="BG350" s="1062">
        <f>'No Recurrentes 24-26'!CS212</f>
        <v>0</v>
      </c>
      <c r="BH350" s="1062">
        <f>'No Recurrentes 24-26'!CT212</f>
        <v>0</v>
      </c>
      <c r="BI350" s="1062">
        <f>'No Recurrentes 24-26'!CU212</f>
        <v>0</v>
      </c>
      <c r="BJ350" s="1062">
        <f>'No Recurrentes 24-26'!CV212</f>
        <v>0</v>
      </c>
      <c r="BK350" s="1068"/>
      <c r="BL350" s="1062">
        <f>'No Recurrentes 24-26'!CW212</f>
        <v>0</v>
      </c>
      <c r="BM350" s="1062">
        <f>'No Recurrentes 24-26'!CX212</f>
        <v>0</v>
      </c>
      <c r="BN350" s="1062">
        <f>'No Recurrentes 24-26'!CY212</f>
        <v>0</v>
      </c>
      <c r="BO350" s="1062">
        <f>'No Recurrentes 24-26'!CZ212</f>
        <v>0</v>
      </c>
      <c r="BP350" s="1062">
        <f>'No Recurrentes 24-26'!DA212</f>
        <v>0</v>
      </c>
      <c r="BQ350" s="1062">
        <f>'No Recurrentes 24-26'!DB212</f>
        <v>3292.2192</v>
      </c>
      <c r="BR350" s="1062">
        <f>'No Recurrentes 24-26'!DC212</f>
        <v>0</v>
      </c>
      <c r="BS350" s="1062">
        <f>'No Recurrentes 24-26'!DD212</f>
        <v>0</v>
      </c>
      <c r="BT350" s="1062">
        <f>'No Recurrentes 24-26'!DE212</f>
        <v>0</v>
      </c>
      <c r="BU350" s="1062">
        <f>'No Recurrentes 24-26'!DF212</f>
        <v>0</v>
      </c>
      <c r="BV350" s="1062">
        <f>'No Recurrentes 24-26'!DG212</f>
        <v>0</v>
      </c>
      <c r="BW350" s="1068"/>
      <c r="BX350" s="1062">
        <f>'No Recurrentes 24-26'!DH212</f>
        <v>3292.2192</v>
      </c>
      <c r="BY350" s="1062">
        <f>'No Recurrentes 24-26'!DI212</f>
        <v>0</v>
      </c>
      <c r="BZ350" s="1062">
        <f>'No Recurrentes 24-26'!DJ212</f>
        <v>0</v>
      </c>
      <c r="CA350" s="1062">
        <f>'No Recurrentes 24-26'!DK212</f>
        <v>0</v>
      </c>
      <c r="CB350" s="1062">
        <f>'No Recurrentes 24-26'!DL212</f>
        <v>0</v>
      </c>
      <c r="CC350" s="1062">
        <f>'No Recurrentes 24-26'!DM212</f>
        <v>0</v>
      </c>
      <c r="CD350" s="1062">
        <f>'No Recurrentes 24-26'!DN212</f>
        <v>0</v>
      </c>
      <c r="CE350" s="1062">
        <f>'No Recurrentes 24-26'!DO212</f>
        <v>0</v>
      </c>
      <c r="CF350" s="1062">
        <f>'No Recurrentes 24-26'!DP212</f>
        <v>0</v>
      </c>
      <c r="CG350" s="1062">
        <f>'No Recurrentes 24-26'!DQ212</f>
        <v>0</v>
      </c>
      <c r="CH350" s="1062">
        <f>'No Recurrentes 24-26'!DR212</f>
        <v>0</v>
      </c>
      <c r="CI350" s="1068"/>
      <c r="CJ350" s="1062">
        <f>'No Recurrentes 24-26'!DS212</f>
        <v>0</v>
      </c>
      <c r="CK350" s="1062">
        <f>'No Recurrentes 24-26'!DT212</f>
        <v>3292.2192</v>
      </c>
      <c r="CL350" s="1064" t="str">
        <f>'No Recurrentes 24-26'!DU212</f>
        <v/>
      </c>
      <c r="CM350" s="1064" t="str">
        <f>'No Recurrentes 24-26'!DV212</f>
        <v>Se tiene un incremento del  precio de referencia del 106% </v>
      </c>
      <c r="CN350" s="1065">
        <f>'No Recurrentes 24-26'!EI208</f>
        <v>95.6</v>
      </c>
      <c r="CO350" s="1065">
        <f>'No Recurrentes 24-26'!EJ208</f>
        <v>81.26</v>
      </c>
      <c r="CP350" s="1060" t="str">
        <f>'No Recurrentes 24-26'!EK208</f>
        <v/>
      </c>
    </row>
    <row r="351">
      <c r="A351" s="451" t="str">
        <f>'No Recurrentes 24-26'!A213</f>
        <v>Repuestos Electromecánicos no recurrentes</v>
      </c>
      <c r="B351" s="451">
        <f>'No Recurrentes 24-26'!B213</f>
        <v>2</v>
      </c>
      <c r="C351" s="451" t="str">
        <f>'No Recurrentes 24-26'!C213</f>
        <v>Estación</v>
      </c>
      <c r="D351" s="451" t="str">
        <f>'No Recurrentes 24-26'!D213</f>
        <v>Manto. Hidraulico</v>
      </c>
      <c r="E351" s="451" t="str">
        <f>'No Recurrentes 24-26'!E213</f>
        <v>Repuesto Hidráulico</v>
      </c>
      <c r="F351" s="451" t="str">
        <f>'No Recurrentes 24-26'!F213</f>
        <v>TDB</v>
      </c>
      <c r="G351" s="1025" t="str">
        <f>'No Recurrentes 24-26'!G213</f>
        <v>39800</v>
      </c>
      <c r="H351" s="1061" t="str">
        <f>'No Recurrentes 24-26'!H213</f>
        <v/>
      </c>
      <c r="I351" s="1061" t="str">
        <f>'No Recurrentes 24-26'!I213</f>
        <v>11314853</v>
      </c>
      <c r="J351" s="1061" t="str">
        <f>'No Recurrentes 24-26'!J213</f>
        <v>FILTRO DANFOSS P. H1P060-100 - CORTO/ELEM.FILTR. P. BOMBA E.A</v>
      </c>
      <c r="K351" s="451" t="str">
        <f>'No Recurrentes 24-26'!K213</f>
        <v>Pza</v>
      </c>
      <c r="L351" s="451" t="str">
        <f>'No Recurrentes 24-26'!BC213</f>
        <v/>
      </c>
      <c r="M351" s="451" t="str">
        <f>'No Recurrentes 24-26'!BD213</f>
        <v/>
      </c>
      <c r="N351" s="451" t="str">
        <f>'No Recurrentes 24-26'!BE213</f>
        <v/>
      </c>
      <c r="O351" s="451" t="str">
        <f>'No Recurrentes 24-26'!BF213</f>
        <v/>
      </c>
      <c r="P351" s="451" t="str">
        <f>'No Recurrentes 24-26'!BG213</f>
        <v/>
      </c>
      <c r="Q351" s="451" t="str">
        <f>'No Recurrentes 24-26'!BH213</f>
        <v/>
      </c>
      <c r="R351" s="451" t="str">
        <f>'No Recurrentes 24-26'!BI213</f>
        <v/>
      </c>
      <c r="S351" s="451" t="str">
        <f>'No Recurrentes 24-26'!BJ213</f>
        <v/>
      </c>
      <c r="T351" s="451" t="str">
        <f>'No Recurrentes 24-26'!BK213</f>
        <v/>
      </c>
      <c r="U351" s="451" t="str">
        <f>'No Recurrentes 24-26'!BL213</f>
        <v/>
      </c>
      <c r="V351" s="1068"/>
      <c r="W351" s="1062">
        <f>'No Recurrentes 24-26'!BM213</f>
        <v>0</v>
      </c>
      <c r="X351" s="1062" t="str">
        <f>'No Recurrentes 24-26'!BN213</f>
        <v/>
      </c>
      <c r="Y351" s="1062" t="str">
        <f>'No Recurrentes 24-26'!BO213</f>
        <v/>
      </c>
      <c r="Z351" s="1062" t="str">
        <f>'No Recurrentes 24-26'!BP213</f>
        <v/>
      </c>
      <c r="AA351" s="1062" t="str">
        <f>'No Recurrentes 24-26'!BQ213</f>
        <v/>
      </c>
      <c r="AB351" s="1062">
        <f>'No Recurrentes 24-26'!BR213</f>
        <v>2</v>
      </c>
      <c r="AC351" s="1062" t="str">
        <f>'No Recurrentes 24-26'!BS213</f>
        <v/>
      </c>
      <c r="AD351" s="1062" t="str">
        <f>'No Recurrentes 24-26'!BT213</f>
        <v/>
      </c>
      <c r="AE351" s="1062" t="str">
        <f>'No Recurrentes 24-26'!BU213</f>
        <v/>
      </c>
      <c r="AF351" s="1062" t="str">
        <f>'No Recurrentes 24-26'!BV213</f>
        <v/>
      </c>
      <c r="AG351" s="1062" t="str">
        <f>'No Recurrentes 24-26'!BW213</f>
        <v/>
      </c>
      <c r="AH351" s="1068"/>
      <c r="AI351" s="1062">
        <f>'No Recurrentes 24-26'!BX213</f>
        <v>2</v>
      </c>
      <c r="AJ351" s="1062">
        <f>'No Recurrentes 24-26'!BY213</f>
        <v>0</v>
      </c>
      <c r="AK351" s="1062">
        <f>'No Recurrentes 24-26'!BZ213</f>
        <v>0</v>
      </c>
      <c r="AL351" s="1062">
        <f>'No Recurrentes 24-26'!CA213</f>
        <v>0</v>
      </c>
      <c r="AM351" s="1062">
        <f>'No Recurrentes 24-26'!CB213</f>
        <v>0</v>
      </c>
      <c r="AN351" s="1062">
        <f>'No Recurrentes 24-26'!CC213</f>
        <v>0</v>
      </c>
      <c r="AO351" s="1062">
        <f>'No Recurrentes 24-26'!CD213</f>
        <v>0</v>
      </c>
      <c r="AP351" s="1062">
        <f>'No Recurrentes 24-26'!CE213</f>
        <v>0</v>
      </c>
      <c r="AQ351" s="1062">
        <f>'No Recurrentes 24-26'!CF213</f>
        <v>0</v>
      </c>
      <c r="AR351" s="1062">
        <f>'No Recurrentes 24-26'!CG213</f>
        <v>0</v>
      </c>
      <c r="AS351" s="1062">
        <f>'No Recurrentes 24-26'!CH213</f>
        <v>0</v>
      </c>
      <c r="AT351" s="1068"/>
      <c r="AU351" s="1062">
        <f>'No Recurrentes 24-26'!CI213</f>
        <v>0</v>
      </c>
      <c r="AV351" s="1063">
        <f>'No Recurrentes 24-26'!CJ213</f>
        <v>2</v>
      </c>
      <c r="AW351" s="1068"/>
      <c r="AX351" s="1065">
        <f>'No Recurrentes 24-26'!CK213</f>
        <v>231.51</v>
      </c>
      <c r="AY351" s="1062">
        <f>'No Recurrentes 24-26'!CL213</f>
        <v>1611.3096</v>
      </c>
      <c r="AZ351" s="1068"/>
      <c r="BA351" s="1062">
        <f>'No Recurrentes 24-26'!CM213</f>
        <v>0</v>
      </c>
      <c r="BB351" s="1062">
        <f>'No Recurrentes 24-26'!CN213</f>
        <v>0</v>
      </c>
      <c r="BC351" s="1062">
        <f>'No Recurrentes 24-26'!CO213</f>
        <v>0</v>
      </c>
      <c r="BD351" s="1062">
        <f>'No Recurrentes 24-26'!CP213</f>
        <v>0</v>
      </c>
      <c r="BE351" s="1062">
        <f>'No Recurrentes 24-26'!CQ213</f>
        <v>0</v>
      </c>
      <c r="BF351" s="1062">
        <f>'No Recurrentes 24-26'!CR213</f>
        <v>0</v>
      </c>
      <c r="BG351" s="1062">
        <f>'No Recurrentes 24-26'!CS213</f>
        <v>0</v>
      </c>
      <c r="BH351" s="1062">
        <f>'No Recurrentes 24-26'!CT213</f>
        <v>0</v>
      </c>
      <c r="BI351" s="1062">
        <f>'No Recurrentes 24-26'!CU213</f>
        <v>0</v>
      </c>
      <c r="BJ351" s="1062">
        <f>'No Recurrentes 24-26'!CV213</f>
        <v>0</v>
      </c>
      <c r="BK351" s="1068"/>
      <c r="BL351" s="1062">
        <f>'No Recurrentes 24-26'!CW213</f>
        <v>0</v>
      </c>
      <c r="BM351" s="1062">
        <f>'No Recurrentes 24-26'!CX213</f>
        <v>0</v>
      </c>
      <c r="BN351" s="1062">
        <f>'No Recurrentes 24-26'!CY213</f>
        <v>0</v>
      </c>
      <c r="BO351" s="1062">
        <f>'No Recurrentes 24-26'!CZ213</f>
        <v>0</v>
      </c>
      <c r="BP351" s="1062">
        <f>'No Recurrentes 24-26'!DA213</f>
        <v>0</v>
      </c>
      <c r="BQ351" s="1062">
        <f>'No Recurrentes 24-26'!DB213</f>
        <v>3222.6192</v>
      </c>
      <c r="BR351" s="1062">
        <f>'No Recurrentes 24-26'!DC213</f>
        <v>0</v>
      </c>
      <c r="BS351" s="1062">
        <f>'No Recurrentes 24-26'!DD213</f>
        <v>0</v>
      </c>
      <c r="BT351" s="1062">
        <f>'No Recurrentes 24-26'!DE213</f>
        <v>0</v>
      </c>
      <c r="BU351" s="1062">
        <f>'No Recurrentes 24-26'!DF213</f>
        <v>0</v>
      </c>
      <c r="BV351" s="1062">
        <f>'No Recurrentes 24-26'!DG213</f>
        <v>0</v>
      </c>
      <c r="BW351" s="1068"/>
      <c r="BX351" s="1062">
        <f>'No Recurrentes 24-26'!DH213</f>
        <v>3222.6192</v>
      </c>
      <c r="BY351" s="1062">
        <f>'No Recurrentes 24-26'!DI213</f>
        <v>0</v>
      </c>
      <c r="BZ351" s="1062">
        <f>'No Recurrentes 24-26'!DJ213</f>
        <v>0</v>
      </c>
      <c r="CA351" s="1062">
        <f>'No Recurrentes 24-26'!DK213</f>
        <v>0</v>
      </c>
      <c r="CB351" s="1062">
        <f>'No Recurrentes 24-26'!DL213</f>
        <v>0</v>
      </c>
      <c r="CC351" s="1062">
        <f>'No Recurrentes 24-26'!DM213</f>
        <v>0</v>
      </c>
      <c r="CD351" s="1062">
        <f>'No Recurrentes 24-26'!DN213</f>
        <v>0</v>
      </c>
      <c r="CE351" s="1062">
        <f>'No Recurrentes 24-26'!DO213</f>
        <v>0</v>
      </c>
      <c r="CF351" s="1062">
        <f>'No Recurrentes 24-26'!DP213</f>
        <v>0</v>
      </c>
      <c r="CG351" s="1062">
        <f>'No Recurrentes 24-26'!DQ213</f>
        <v>0</v>
      </c>
      <c r="CH351" s="1062">
        <f>'No Recurrentes 24-26'!DR213</f>
        <v>0</v>
      </c>
      <c r="CI351" s="1068"/>
      <c r="CJ351" s="1062">
        <f>'No Recurrentes 24-26'!DS213</f>
        <v>0</v>
      </c>
      <c r="CK351" s="1062">
        <f>'No Recurrentes 24-26'!DT213</f>
        <v>3222.6192</v>
      </c>
      <c r="CL351" s="1064" t="str">
        <f>'No Recurrentes 24-26'!DU213</f>
        <v/>
      </c>
      <c r="CM351" s="1064" t="str">
        <f>'No Recurrentes 24-26'!DV213</f>
        <v>Se tiene un incremento del  precio de referencia del 102% </v>
      </c>
      <c r="CN351" s="1065">
        <f>'No Recurrentes 24-26'!EI209</f>
        <v>141.17</v>
      </c>
      <c r="CO351" s="1065">
        <f>'No Recurrentes 24-26'!EJ209</f>
        <v>119.99</v>
      </c>
      <c r="CP351" s="1060" t="str">
        <f>'No Recurrentes 24-26'!EK209</f>
        <v/>
      </c>
    </row>
    <row r="352">
      <c r="A352" s="451" t="str">
        <f>'No Recurrentes 24-26'!A214</f>
        <v>Repuestos Electromecánicos no recurrentes</v>
      </c>
      <c r="B352" s="451">
        <f>'No Recurrentes 24-26'!B214</f>
        <v>2</v>
      </c>
      <c r="C352" s="451" t="str">
        <f>'No Recurrentes 24-26'!C214</f>
        <v>Estación</v>
      </c>
      <c r="D352" s="451" t="str">
        <f>'No Recurrentes 24-26'!D214</f>
        <v>Manto. Hidraulico</v>
      </c>
      <c r="E352" s="451" t="str">
        <f>'No Recurrentes 24-26'!E214</f>
        <v>Repuesto Hidráulico</v>
      </c>
      <c r="F352" s="451" t="str">
        <f>'No Recurrentes 24-26'!F214</f>
        <v>TDB</v>
      </c>
      <c r="G352" s="1025" t="str">
        <f>'No Recurrentes 24-26'!G214</f>
        <v>39800</v>
      </c>
      <c r="H352" s="1061" t="str">
        <f>'No Recurrentes 24-26'!H214</f>
        <v/>
      </c>
      <c r="I352" s="1061" t="str">
        <f>'No Recurrentes 24-26'!I214</f>
        <v>10688026</v>
      </c>
      <c r="J352" s="1061" t="str">
        <f>'No Recurrentes 24-26'!J214</f>
        <v>HD-SCHLAUCH NW10-2SC L= 2500MM   DKOL-12/DKOL-12</v>
      </c>
      <c r="K352" s="451" t="str">
        <f>'No Recurrentes 24-26'!K214</f>
        <v>Pza</v>
      </c>
      <c r="L352" s="451" t="str">
        <f>'No Recurrentes 24-26'!BC214</f>
        <v/>
      </c>
      <c r="M352" s="451" t="str">
        <f>'No Recurrentes 24-26'!BD214</f>
        <v/>
      </c>
      <c r="N352" s="451" t="str">
        <f>'No Recurrentes 24-26'!BE214</f>
        <v/>
      </c>
      <c r="O352" s="451" t="str">
        <f>'No Recurrentes 24-26'!BF214</f>
        <v/>
      </c>
      <c r="P352" s="451" t="str">
        <f>'No Recurrentes 24-26'!BG214</f>
        <v/>
      </c>
      <c r="Q352" s="451" t="str">
        <f>'No Recurrentes 24-26'!BH214</f>
        <v/>
      </c>
      <c r="R352" s="451" t="str">
        <f>'No Recurrentes 24-26'!BI214</f>
        <v/>
      </c>
      <c r="S352" s="451" t="str">
        <f>'No Recurrentes 24-26'!BJ214</f>
        <v/>
      </c>
      <c r="T352" s="451" t="str">
        <f>'No Recurrentes 24-26'!BK214</f>
        <v/>
      </c>
      <c r="U352" s="451" t="str">
        <f>'No Recurrentes 24-26'!BL214</f>
        <v/>
      </c>
      <c r="V352" s="1068"/>
      <c r="W352" s="1062">
        <f>'No Recurrentes 24-26'!BM214</f>
        <v>0</v>
      </c>
      <c r="X352" s="1062">
        <f>'No Recurrentes 24-26'!BN214</f>
        <v>1</v>
      </c>
      <c r="Y352" s="1062" t="str">
        <f>'No Recurrentes 24-26'!BO214</f>
        <v/>
      </c>
      <c r="Z352" s="1062" t="str">
        <f>'No Recurrentes 24-26'!BP214</f>
        <v/>
      </c>
      <c r="AA352" s="1062" t="str">
        <f>'No Recurrentes 24-26'!BQ214</f>
        <v/>
      </c>
      <c r="AB352" s="1062" t="str">
        <f>'No Recurrentes 24-26'!BR214</f>
        <v/>
      </c>
      <c r="AC352" s="1062" t="str">
        <f>'No Recurrentes 24-26'!BS214</f>
        <v/>
      </c>
      <c r="AD352" s="1062" t="str">
        <f>'No Recurrentes 24-26'!BT214</f>
        <v/>
      </c>
      <c r="AE352" s="1062" t="str">
        <f>'No Recurrentes 24-26'!BU214</f>
        <v/>
      </c>
      <c r="AF352" s="1062" t="str">
        <f>'No Recurrentes 24-26'!BV214</f>
        <v/>
      </c>
      <c r="AG352" s="1062" t="str">
        <f>'No Recurrentes 24-26'!BW214</f>
        <v/>
      </c>
      <c r="AH352" s="1068"/>
      <c r="AI352" s="1062">
        <f>'No Recurrentes 24-26'!BX214</f>
        <v>1</v>
      </c>
      <c r="AJ352" s="1062">
        <f>'No Recurrentes 24-26'!BY214</f>
        <v>0</v>
      </c>
      <c r="AK352" s="1062">
        <f>'No Recurrentes 24-26'!BZ214</f>
        <v>0</v>
      </c>
      <c r="AL352" s="1062">
        <f>'No Recurrentes 24-26'!CA214</f>
        <v>0</v>
      </c>
      <c r="AM352" s="1062">
        <f>'No Recurrentes 24-26'!CB214</f>
        <v>0</v>
      </c>
      <c r="AN352" s="1062">
        <f>'No Recurrentes 24-26'!CC214</f>
        <v>0</v>
      </c>
      <c r="AO352" s="1062">
        <f>'No Recurrentes 24-26'!CD214</f>
        <v>0</v>
      </c>
      <c r="AP352" s="1062">
        <f>'No Recurrentes 24-26'!CE214</f>
        <v>0</v>
      </c>
      <c r="AQ352" s="1062">
        <f>'No Recurrentes 24-26'!CF214</f>
        <v>0</v>
      </c>
      <c r="AR352" s="1062">
        <f>'No Recurrentes 24-26'!CG214</f>
        <v>0</v>
      </c>
      <c r="AS352" s="1062">
        <f>'No Recurrentes 24-26'!CH214</f>
        <v>0</v>
      </c>
      <c r="AT352" s="1068"/>
      <c r="AU352" s="1062">
        <f>'No Recurrentes 24-26'!CI214</f>
        <v>0</v>
      </c>
      <c r="AV352" s="1063">
        <f>'No Recurrentes 24-26'!CJ214</f>
        <v>1</v>
      </c>
      <c r="AW352" s="1068"/>
      <c r="AX352" s="1065">
        <f>'No Recurrentes 24-26'!CK214</f>
        <v>149.09</v>
      </c>
      <c r="AY352" s="1062">
        <f>'No Recurrentes 24-26'!CL214</f>
        <v>1037.6664</v>
      </c>
      <c r="AZ352" s="1068"/>
      <c r="BA352" s="1062">
        <f>'No Recurrentes 24-26'!CM214</f>
        <v>0</v>
      </c>
      <c r="BB352" s="1062">
        <f>'No Recurrentes 24-26'!CN214</f>
        <v>0</v>
      </c>
      <c r="BC352" s="1062">
        <f>'No Recurrentes 24-26'!CO214</f>
        <v>0</v>
      </c>
      <c r="BD352" s="1062">
        <f>'No Recurrentes 24-26'!CP214</f>
        <v>0</v>
      </c>
      <c r="BE352" s="1062">
        <f>'No Recurrentes 24-26'!CQ214</f>
        <v>0</v>
      </c>
      <c r="BF352" s="1062">
        <f>'No Recurrentes 24-26'!CR214</f>
        <v>0</v>
      </c>
      <c r="BG352" s="1062">
        <f>'No Recurrentes 24-26'!CS214</f>
        <v>0</v>
      </c>
      <c r="BH352" s="1062">
        <f>'No Recurrentes 24-26'!CT214</f>
        <v>0</v>
      </c>
      <c r="BI352" s="1062">
        <f>'No Recurrentes 24-26'!CU214</f>
        <v>0</v>
      </c>
      <c r="BJ352" s="1062">
        <f>'No Recurrentes 24-26'!CV214</f>
        <v>0</v>
      </c>
      <c r="BK352" s="1068"/>
      <c r="BL352" s="1062">
        <f>'No Recurrentes 24-26'!CW214</f>
        <v>0</v>
      </c>
      <c r="BM352" s="1062">
        <f>'No Recurrentes 24-26'!CX214</f>
        <v>1037.6664</v>
      </c>
      <c r="BN352" s="1062">
        <f>'No Recurrentes 24-26'!CY214</f>
        <v>0</v>
      </c>
      <c r="BO352" s="1062">
        <f>'No Recurrentes 24-26'!CZ214</f>
        <v>0</v>
      </c>
      <c r="BP352" s="1062">
        <f>'No Recurrentes 24-26'!DA214</f>
        <v>0</v>
      </c>
      <c r="BQ352" s="1062">
        <f>'No Recurrentes 24-26'!DB214</f>
        <v>0</v>
      </c>
      <c r="BR352" s="1062">
        <f>'No Recurrentes 24-26'!DC214</f>
        <v>0</v>
      </c>
      <c r="BS352" s="1062">
        <f>'No Recurrentes 24-26'!DD214</f>
        <v>0</v>
      </c>
      <c r="BT352" s="1062">
        <f>'No Recurrentes 24-26'!DE214</f>
        <v>0</v>
      </c>
      <c r="BU352" s="1062">
        <f>'No Recurrentes 24-26'!DF214</f>
        <v>0</v>
      </c>
      <c r="BV352" s="1062">
        <f>'No Recurrentes 24-26'!DG214</f>
        <v>0</v>
      </c>
      <c r="BW352" s="1068"/>
      <c r="BX352" s="1062">
        <f>'No Recurrentes 24-26'!DH214</f>
        <v>1037.6664</v>
      </c>
      <c r="BY352" s="1062">
        <f>'No Recurrentes 24-26'!DI214</f>
        <v>0</v>
      </c>
      <c r="BZ352" s="1062">
        <f>'No Recurrentes 24-26'!DJ214</f>
        <v>0</v>
      </c>
      <c r="CA352" s="1062">
        <f>'No Recurrentes 24-26'!DK214</f>
        <v>0</v>
      </c>
      <c r="CB352" s="1062">
        <f>'No Recurrentes 24-26'!DL214</f>
        <v>0</v>
      </c>
      <c r="CC352" s="1062">
        <f>'No Recurrentes 24-26'!DM214</f>
        <v>0</v>
      </c>
      <c r="CD352" s="1062">
        <f>'No Recurrentes 24-26'!DN214</f>
        <v>0</v>
      </c>
      <c r="CE352" s="1062">
        <f>'No Recurrentes 24-26'!DO214</f>
        <v>0</v>
      </c>
      <c r="CF352" s="1062">
        <f>'No Recurrentes 24-26'!DP214</f>
        <v>0</v>
      </c>
      <c r="CG352" s="1062">
        <f>'No Recurrentes 24-26'!DQ214</f>
        <v>0</v>
      </c>
      <c r="CH352" s="1062">
        <f>'No Recurrentes 24-26'!DR214</f>
        <v>0</v>
      </c>
      <c r="CI352" s="1068"/>
      <c r="CJ352" s="1062">
        <f>'No Recurrentes 24-26'!DS214</f>
        <v>0</v>
      </c>
      <c r="CK352" s="1062">
        <f>'No Recurrentes 24-26'!DT214</f>
        <v>1037.6664</v>
      </c>
      <c r="CL352" s="1064" t="str">
        <f>'No Recurrentes 24-26'!DU214</f>
        <v/>
      </c>
      <c r="CM352" s="1064" t="str">
        <f>'No Recurrentes 24-26'!DV214</f>
        <v/>
      </c>
      <c r="CN352" s="1065">
        <f>'No Recurrentes 24-26'!EI210</f>
        <v>100.26</v>
      </c>
      <c r="CO352" s="1065">
        <f>'No Recurrentes 24-26'!EJ210</f>
        <v>85.22</v>
      </c>
      <c r="CP352" s="1060" t="str">
        <f>'No Recurrentes 24-26'!EK210</f>
        <v/>
      </c>
    </row>
    <row r="353">
      <c r="A353" s="451" t="str">
        <f>'No Recurrentes 24-26'!A215</f>
        <v>Repuestos Electromecánicos no recurrentes</v>
      </c>
      <c r="B353" s="451">
        <f>'No Recurrentes 24-26'!B215</f>
        <v>2</v>
      </c>
      <c r="C353" s="451" t="str">
        <f>'No Recurrentes 24-26'!C215</f>
        <v>Estación</v>
      </c>
      <c r="D353" s="451" t="str">
        <f>'No Recurrentes 24-26'!D215</f>
        <v>Manto. Hidraulico</v>
      </c>
      <c r="E353" s="451" t="str">
        <f>'No Recurrentes 24-26'!E215</f>
        <v>Repuesto Hidráulico</v>
      </c>
      <c r="F353" s="451" t="str">
        <f>'No Recurrentes 24-26'!F215</f>
        <v>TDB</v>
      </c>
      <c r="G353" s="1025" t="str">
        <f>'No Recurrentes 24-26'!G215</f>
        <v>39800</v>
      </c>
      <c r="H353" s="1061" t="str">
        <f>'No Recurrentes 24-26'!H215</f>
        <v>2-01-00424</v>
      </c>
      <c r="I353" s="1061" t="str">
        <f>'No Recurrentes 24-26'!I215</f>
        <v>11324514</v>
      </c>
      <c r="J353" s="1061" t="str">
        <f>'No Recurrentes 24-26'!J215</f>
        <v>CORONA DENTADA PARA ACOPLE DE PLÁSTICO 19/24 DIA. RED</v>
      </c>
      <c r="K353" s="451" t="str">
        <f>'No Recurrentes 24-26'!K215</f>
        <v>Pza</v>
      </c>
      <c r="L353" s="451" t="str">
        <f>'No Recurrentes 24-26'!BC215</f>
        <v/>
      </c>
      <c r="M353" s="451" t="str">
        <f>'No Recurrentes 24-26'!BD215</f>
        <v/>
      </c>
      <c r="N353" s="451" t="str">
        <f>'No Recurrentes 24-26'!BE215</f>
        <v/>
      </c>
      <c r="O353" s="451" t="str">
        <f>'No Recurrentes 24-26'!BF215</f>
        <v/>
      </c>
      <c r="P353" s="451" t="str">
        <f>'No Recurrentes 24-26'!BG215</f>
        <v/>
      </c>
      <c r="Q353" s="451" t="str">
        <f>'No Recurrentes 24-26'!BH215</f>
        <v/>
      </c>
      <c r="R353" s="451" t="str">
        <f>'No Recurrentes 24-26'!BI215</f>
        <v/>
      </c>
      <c r="S353" s="451" t="str">
        <f>'No Recurrentes 24-26'!BJ215</f>
        <v/>
      </c>
      <c r="T353" s="451" t="str">
        <f>'No Recurrentes 24-26'!BK215</f>
        <v/>
      </c>
      <c r="U353" s="451" t="str">
        <f>'No Recurrentes 24-26'!BL215</f>
        <v/>
      </c>
      <c r="V353" s="1068"/>
      <c r="W353" s="1062">
        <f>'No Recurrentes 24-26'!BM215</f>
        <v>0</v>
      </c>
      <c r="X353" s="1062">
        <f>'No Recurrentes 24-26'!BN215</f>
        <v>4</v>
      </c>
      <c r="Y353" s="1062">
        <f>'No Recurrentes 24-26'!BO215</f>
        <v>4</v>
      </c>
      <c r="Z353" s="1062">
        <f>'No Recurrentes 24-26'!BP215</f>
        <v>4</v>
      </c>
      <c r="AA353" s="1062">
        <f>'No Recurrentes 24-26'!BQ215</f>
        <v>4</v>
      </c>
      <c r="AB353" s="1062">
        <f>'No Recurrentes 24-26'!BR215</f>
        <v>4</v>
      </c>
      <c r="AC353" s="1062">
        <f>'No Recurrentes 24-26'!BS215</f>
        <v>4</v>
      </c>
      <c r="AD353" s="1062" t="str">
        <f>'No Recurrentes 24-26'!BT215</f>
        <v/>
      </c>
      <c r="AE353" s="1062" t="str">
        <f>'No Recurrentes 24-26'!BU215</f>
        <v/>
      </c>
      <c r="AF353" s="1062" t="str">
        <f>'No Recurrentes 24-26'!BV215</f>
        <v/>
      </c>
      <c r="AG353" s="1062" t="str">
        <f>'No Recurrentes 24-26'!BW215</f>
        <v/>
      </c>
      <c r="AH353" s="1068"/>
      <c r="AI353" s="1062">
        <f>'No Recurrentes 24-26'!BX215</f>
        <v>24</v>
      </c>
      <c r="AJ353" s="1062">
        <f>'No Recurrentes 24-26'!BY215</f>
        <v>0</v>
      </c>
      <c r="AK353" s="1062">
        <f>'No Recurrentes 24-26'!BZ215</f>
        <v>0</v>
      </c>
      <c r="AL353" s="1062">
        <f>'No Recurrentes 24-26'!CA215</f>
        <v>0</v>
      </c>
      <c r="AM353" s="1062">
        <f>'No Recurrentes 24-26'!CB215</f>
        <v>0</v>
      </c>
      <c r="AN353" s="1062">
        <f>'No Recurrentes 24-26'!CC215</f>
        <v>0</v>
      </c>
      <c r="AO353" s="1062">
        <f>'No Recurrentes 24-26'!CD215</f>
        <v>0</v>
      </c>
      <c r="AP353" s="1062">
        <f>'No Recurrentes 24-26'!CE215</f>
        <v>0</v>
      </c>
      <c r="AQ353" s="1062">
        <f>'No Recurrentes 24-26'!CF215</f>
        <v>0</v>
      </c>
      <c r="AR353" s="1062">
        <f>'No Recurrentes 24-26'!CG215</f>
        <v>0</v>
      </c>
      <c r="AS353" s="1062">
        <f>'No Recurrentes 24-26'!CH215</f>
        <v>0</v>
      </c>
      <c r="AT353" s="1068"/>
      <c r="AU353" s="1062">
        <f>'No Recurrentes 24-26'!CI215</f>
        <v>0</v>
      </c>
      <c r="AV353" s="1063">
        <f>'No Recurrentes 24-26'!CJ215</f>
        <v>24</v>
      </c>
      <c r="AW353" s="1068"/>
      <c r="AX353" s="1065">
        <f>'No Recurrentes 24-26'!CK215</f>
        <v>4.27</v>
      </c>
      <c r="AY353" s="1062">
        <f>'No Recurrentes 24-26'!CL215</f>
        <v>29.7192</v>
      </c>
      <c r="AZ353" s="1068"/>
      <c r="BA353" s="1062">
        <f>'No Recurrentes 24-26'!CM215</f>
        <v>0</v>
      </c>
      <c r="BB353" s="1062">
        <f>'No Recurrentes 24-26'!CN215</f>
        <v>0</v>
      </c>
      <c r="BC353" s="1062">
        <f>'No Recurrentes 24-26'!CO215</f>
        <v>0</v>
      </c>
      <c r="BD353" s="1062">
        <f>'No Recurrentes 24-26'!CP215</f>
        <v>0</v>
      </c>
      <c r="BE353" s="1062">
        <f>'No Recurrentes 24-26'!CQ215</f>
        <v>0</v>
      </c>
      <c r="BF353" s="1062">
        <f>'No Recurrentes 24-26'!CR215</f>
        <v>0</v>
      </c>
      <c r="BG353" s="1062">
        <f>'No Recurrentes 24-26'!CS215</f>
        <v>0</v>
      </c>
      <c r="BH353" s="1062">
        <f>'No Recurrentes 24-26'!CT215</f>
        <v>0</v>
      </c>
      <c r="BI353" s="1062">
        <f>'No Recurrentes 24-26'!CU215</f>
        <v>0</v>
      </c>
      <c r="BJ353" s="1062">
        <f>'No Recurrentes 24-26'!CV215</f>
        <v>0</v>
      </c>
      <c r="BK353" s="1068"/>
      <c r="BL353" s="1062">
        <f>'No Recurrentes 24-26'!CW215</f>
        <v>0</v>
      </c>
      <c r="BM353" s="1062">
        <f>'No Recurrentes 24-26'!CX215</f>
        <v>118.8768</v>
      </c>
      <c r="BN353" s="1062">
        <f>'No Recurrentes 24-26'!CY215</f>
        <v>118.8768</v>
      </c>
      <c r="BO353" s="1062">
        <f>'No Recurrentes 24-26'!CZ215</f>
        <v>118.8768</v>
      </c>
      <c r="BP353" s="1062">
        <f>'No Recurrentes 24-26'!DA215</f>
        <v>118.8768</v>
      </c>
      <c r="BQ353" s="1062">
        <f>'No Recurrentes 24-26'!DB215</f>
        <v>118.8768</v>
      </c>
      <c r="BR353" s="1062">
        <f>'No Recurrentes 24-26'!DC215</f>
        <v>118.8768</v>
      </c>
      <c r="BS353" s="1062">
        <f>'No Recurrentes 24-26'!DD215</f>
        <v>0</v>
      </c>
      <c r="BT353" s="1062">
        <f>'No Recurrentes 24-26'!DE215</f>
        <v>0</v>
      </c>
      <c r="BU353" s="1062">
        <f>'No Recurrentes 24-26'!DF215</f>
        <v>0</v>
      </c>
      <c r="BV353" s="1062">
        <f>'No Recurrentes 24-26'!DG215</f>
        <v>0</v>
      </c>
      <c r="BW353" s="1068"/>
      <c r="BX353" s="1062">
        <f>'No Recurrentes 24-26'!DH215</f>
        <v>713.2608</v>
      </c>
      <c r="BY353" s="1062">
        <f>'No Recurrentes 24-26'!DI215</f>
        <v>0</v>
      </c>
      <c r="BZ353" s="1062">
        <f>'No Recurrentes 24-26'!DJ215</f>
        <v>0</v>
      </c>
      <c r="CA353" s="1062">
        <f>'No Recurrentes 24-26'!DK215</f>
        <v>0</v>
      </c>
      <c r="CB353" s="1062">
        <f>'No Recurrentes 24-26'!DL215</f>
        <v>0</v>
      </c>
      <c r="CC353" s="1062">
        <f>'No Recurrentes 24-26'!DM215</f>
        <v>0</v>
      </c>
      <c r="CD353" s="1062">
        <f>'No Recurrentes 24-26'!DN215</f>
        <v>0</v>
      </c>
      <c r="CE353" s="1062">
        <f>'No Recurrentes 24-26'!DO215</f>
        <v>0</v>
      </c>
      <c r="CF353" s="1062">
        <f>'No Recurrentes 24-26'!DP215</f>
        <v>0</v>
      </c>
      <c r="CG353" s="1062">
        <f>'No Recurrentes 24-26'!DQ215</f>
        <v>0</v>
      </c>
      <c r="CH353" s="1062">
        <f>'No Recurrentes 24-26'!DR215</f>
        <v>0</v>
      </c>
      <c r="CI353" s="1068"/>
      <c r="CJ353" s="1062">
        <f>'No Recurrentes 24-26'!DS215</f>
        <v>0</v>
      </c>
      <c r="CK353" s="1062">
        <f>'No Recurrentes 24-26'!DT215</f>
        <v>713.2608</v>
      </c>
      <c r="CL353" s="1064" t="str">
        <f>'No Recurrentes 24-26'!DU215</f>
        <v/>
      </c>
      <c r="CM353" s="1064" t="str">
        <f>'No Recurrentes 24-26'!DV215</f>
        <v/>
      </c>
      <c r="CN353" s="1065">
        <f>'No Recurrentes 24-26'!EI211</f>
        <v>16.61</v>
      </c>
      <c r="CO353" s="1065">
        <f>'No Recurrentes 24-26'!EJ211</f>
        <v>14.12</v>
      </c>
      <c r="CP353" s="1060" t="str">
        <f>'No Recurrentes 24-26'!EK211</f>
        <v/>
      </c>
    </row>
    <row r="354">
      <c r="A354" s="451" t="str">
        <f>'No Recurrentes 24-26'!A216</f>
        <v>Repuestos Electromecánicos no recurrentes</v>
      </c>
      <c r="B354" s="451">
        <f>'No Recurrentes 24-26'!B216</f>
        <v>2</v>
      </c>
      <c r="C354" s="451" t="str">
        <f>'No Recurrentes 24-26'!C216</f>
        <v>Estación</v>
      </c>
      <c r="D354" s="451" t="str">
        <f>'No Recurrentes 24-26'!D216</f>
        <v>Manto. Hidraulico</v>
      </c>
      <c r="E354" s="451" t="str">
        <f>'No Recurrentes 24-26'!E216</f>
        <v>Repuesto Hidráulico</v>
      </c>
      <c r="F354" s="451" t="str">
        <f>'No Recurrentes 24-26'!F216</f>
        <v>TDB</v>
      </c>
      <c r="G354" s="1025" t="str">
        <f>'No Recurrentes 24-26'!G216</f>
        <v>39800</v>
      </c>
      <c r="H354" s="1061" t="str">
        <f>'No Recurrentes 24-26'!H216</f>
        <v>2-01-00401</v>
      </c>
      <c r="I354" s="1061" t="str">
        <f>'No Recurrentes 24-26'!I216</f>
        <v>10004575</v>
      </c>
      <c r="J354" s="1061" t="str">
        <f>'No Recurrentes 24-26'!J216</f>
        <v>ANILLO EN O   DI 129,2 X 5,7   </v>
      </c>
      <c r="K354" s="451" t="str">
        <f>'No Recurrentes 24-26'!K216</f>
        <v>Pza</v>
      </c>
      <c r="L354" s="451" t="str">
        <f>'No Recurrentes 24-26'!BC216</f>
        <v/>
      </c>
      <c r="M354" s="451" t="str">
        <f>'No Recurrentes 24-26'!BD216</f>
        <v/>
      </c>
      <c r="N354" s="451" t="str">
        <f>'No Recurrentes 24-26'!BE216</f>
        <v/>
      </c>
      <c r="O354" s="451" t="str">
        <f>'No Recurrentes 24-26'!BF216</f>
        <v/>
      </c>
      <c r="P354" s="451" t="str">
        <f>'No Recurrentes 24-26'!BG216</f>
        <v/>
      </c>
      <c r="Q354" s="451" t="str">
        <f>'No Recurrentes 24-26'!BH216</f>
        <v/>
      </c>
      <c r="R354" s="451" t="str">
        <f>'No Recurrentes 24-26'!BI216</f>
        <v/>
      </c>
      <c r="S354" s="451" t="str">
        <f>'No Recurrentes 24-26'!BJ216</f>
        <v/>
      </c>
      <c r="T354" s="451" t="str">
        <f>'No Recurrentes 24-26'!BK216</f>
        <v/>
      </c>
      <c r="U354" s="451" t="str">
        <f>'No Recurrentes 24-26'!BL216</f>
        <v/>
      </c>
      <c r="V354" s="1068"/>
      <c r="W354" s="1062">
        <f>'No Recurrentes 24-26'!BM216</f>
        <v>0</v>
      </c>
      <c r="X354" s="1062" t="str">
        <f>'No Recurrentes 24-26'!BN216</f>
        <v/>
      </c>
      <c r="Y354" s="1062" t="str">
        <f>'No Recurrentes 24-26'!BO216</f>
        <v/>
      </c>
      <c r="Z354" s="1062">
        <f>'No Recurrentes 24-26'!BP216</f>
        <v>2</v>
      </c>
      <c r="AA354" s="1062">
        <f>'No Recurrentes 24-26'!BQ216</f>
        <v>4</v>
      </c>
      <c r="AB354" s="1062">
        <f>'No Recurrentes 24-26'!BR216</f>
        <v>5</v>
      </c>
      <c r="AC354" s="1062">
        <f>'No Recurrentes 24-26'!BS216</f>
        <v>6</v>
      </c>
      <c r="AD354" s="1062" t="str">
        <f>'No Recurrentes 24-26'!BT216</f>
        <v/>
      </c>
      <c r="AE354" s="1062" t="str">
        <f>'No Recurrentes 24-26'!BU216</f>
        <v/>
      </c>
      <c r="AF354" s="1062" t="str">
        <f>'No Recurrentes 24-26'!BV216</f>
        <v/>
      </c>
      <c r="AG354" s="1062" t="str">
        <f>'No Recurrentes 24-26'!BW216</f>
        <v/>
      </c>
      <c r="AH354" s="1068"/>
      <c r="AI354" s="1062">
        <f>'No Recurrentes 24-26'!BX216</f>
        <v>17</v>
      </c>
      <c r="AJ354" s="1062">
        <f>'No Recurrentes 24-26'!BY216</f>
        <v>0</v>
      </c>
      <c r="AK354" s="1062">
        <f>'No Recurrentes 24-26'!BZ216</f>
        <v>0</v>
      </c>
      <c r="AL354" s="1062">
        <f>'No Recurrentes 24-26'!CA216</f>
        <v>0</v>
      </c>
      <c r="AM354" s="1062">
        <f>'No Recurrentes 24-26'!CB216</f>
        <v>0</v>
      </c>
      <c r="AN354" s="1062">
        <f>'No Recurrentes 24-26'!CC216</f>
        <v>0</v>
      </c>
      <c r="AO354" s="1062">
        <f>'No Recurrentes 24-26'!CD216</f>
        <v>0</v>
      </c>
      <c r="AP354" s="1062">
        <f>'No Recurrentes 24-26'!CE216</f>
        <v>0</v>
      </c>
      <c r="AQ354" s="1062">
        <f>'No Recurrentes 24-26'!CF216</f>
        <v>0</v>
      </c>
      <c r="AR354" s="1062">
        <f>'No Recurrentes 24-26'!CG216</f>
        <v>0</v>
      </c>
      <c r="AS354" s="1062">
        <f>'No Recurrentes 24-26'!CH216</f>
        <v>0</v>
      </c>
      <c r="AT354" s="1068"/>
      <c r="AU354" s="1062">
        <f>'No Recurrentes 24-26'!CI216</f>
        <v>0</v>
      </c>
      <c r="AV354" s="1063">
        <f>'No Recurrentes 24-26'!CJ216</f>
        <v>17</v>
      </c>
      <c r="AW354" s="1068"/>
      <c r="AX354" s="1065">
        <f>'No Recurrentes 24-26'!CK216</f>
        <v>4.73</v>
      </c>
      <c r="AY354" s="1062">
        <f>'No Recurrentes 24-26'!CL216</f>
        <v>32.9208</v>
      </c>
      <c r="AZ354" s="1068"/>
      <c r="BA354" s="1062">
        <f>'No Recurrentes 24-26'!CM216</f>
        <v>0</v>
      </c>
      <c r="BB354" s="1062">
        <f>'No Recurrentes 24-26'!CN216</f>
        <v>0</v>
      </c>
      <c r="BC354" s="1062">
        <f>'No Recurrentes 24-26'!CO216</f>
        <v>0</v>
      </c>
      <c r="BD354" s="1062">
        <f>'No Recurrentes 24-26'!CP216</f>
        <v>0</v>
      </c>
      <c r="BE354" s="1062">
        <f>'No Recurrentes 24-26'!CQ216</f>
        <v>0</v>
      </c>
      <c r="BF354" s="1062">
        <f>'No Recurrentes 24-26'!CR216</f>
        <v>0</v>
      </c>
      <c r="BG354" s="1062">
        <f>'No Recurrentes 24-26'!CS216</f>
        <v>0</v>
      </c>
      <c r="BH354" s="1062">
        <f>'No Recurrentes 24-26'!CT216</f>
        <v>0</v>
      </c>
      <c r="BI354" s="1062">
        <f>'No Recurrentes 24-26'!CU216</f>
        <v>0</v>
      </c>
      <c r="BJ354" s="1062">
        <f>'No Recurrentes 24-26'!CV216</f>
        <v>0</v>
      </c>
      <c r="BK354" s="1068"/>
      <c r="BL354" s="1062">
        <f>'No Recurrentes 24-26'!CW216</f>
        <v>0</v>
      </c>
      <c r="BM354" s="1062">
        <f>'No Recurrentes 24-26'!CX216</f>
        <v>0</v>
      </c>
      <c r="BN354" s="1062">
        <f>'No Recurrentes 24-26'!CY216</f>
        <v>0</v>
      </c>
      <c r="BO354" s="1062">
        <f>'No Recurrentes 24-26'!CZ216</f>
        <v>65.8416</v>
      </c>
      <c r="BP354" s="1062">
        <f>'No Recurrentes 24-26'!DA216</f>
        <v>131.6832</v>
      </c>
      <c r="BQ354" s="1062">
        <f>'No Recurrentes 24-26'!DB216</f>
        <v>164.604</v>
      </c>
      <c r="BR354" s="1062">
        <f>'No Recurrentes 24-26'!DC216</f>
        <v>197.5248</v>
      </c>
      <c r="BS354" s="1062">
        <f>'No Recurrentes 24-26'!DD216</f>
        <v>0</v>
      </c>
      <c r="BT354" s="1062">
        <f>'No Recurrentes 24-26'!DE216</f>
        <v>0</v>
      </c>
      <c r="BU354" s="1062">
        <f>'No Recurrentes 24-26'!DF216</f>
        <v>0</v>
      </c>
      <c r="BV354" s="1062">
        <f>'No Recurrentes 24-26'!DG216</f>
        <v>0</v>
      </c>
      <c r="BW354" s="1068"/>
      <c r="BX354" s="1062">
        <f>'No Recurrentes 24-26'!DH216</f>
        <v>559.6536</v>
      </c>
      <c r="BY354" s="1062">
        <f>'No Recurrentes 24-26'!DI216</f>
        <v>0</v>
      </c>
      <c r="BZ354" s="1062">
        <f>'No Recurrentes 24-26'!DJ216</f>
        <v>0</v>
      </c>
      <c r="CA354" s="1062">
        <f>'No Recurrentes 24-26'!DK216</f>
        <v>0</v>
      </c>
      <c r="CB354" s="1062">
        <f>'No Recurrentes 24-26'!DL216</f>
        <v>0</v>
      </c>
      <c r="CC354" s="1062">
        <f>'No Recurrentes 24-26'!DM216</f>
        <v>0</v>
      </c>
      <c r="CD354" s="1062">
        <f>'No Recurrentes 24-26'!DN216</f>
        <v>0</v>
      </c>
      <c r="CE354" s="1062">
        <f>'No Recurrentes 24-26'!DO216</f>
        <v>0</v>
      </c>
      <c r="CF354" s="1062">
        <f>'No Recurrentes 24-26'!DP216</f>
        <v>0</v>
      </c>
      <c r="CG354" s="1062">
        <f>'No Recurrentes 24-26'!DQ216</f>
        <v>0</v>
      </c>
      <c r="CH354" s="1062">
        <f>'No Recurrentes 24-26'!DR216</f>
        <v>0</v>
      </c>
      <c r="CI354" s="1068"/>
      <c r="CJ354" s="1062">
        <f>'No Recurrentes 24-26'!DS216</f>
        <v>0</v>
      </c>
      <c r="CK354" s="1062">
        <f>'No Recurrentes 24-26'!DT216</f>
        <v>559.6536</v>
      </c>
      <c r="CL354" s="1064" t="str">
        <f>'No Recurrentes 24-26'!DU216</f>
        <v/>
      </c>
      <c r="CM354" s="1064" t="str">
        <f>'No Recurrentes 24-26'!DV216</f>
        <v/>
      </c>
      <c r="CN354" s="1065">
        <f>'No Recurrentes 24-26'!EI212</f>
        <v>236.51</v>
      </c>
      <c r="CO354" s="1065">
        <f>'No Recurrentes 24-26'!EJ212</f>
        <v>201.03</v>
      </c>
      <c r="CP354" s="1060" t="str">
        <f>'No Recurrentes 24-26'!EK212</f>
        <v/>
      </c>
    </row>
    <row r="355">
      <c r="A355" s="451" t="str">
        <f>'No Recurrentes 24-26'!A217</f>
        <v>Repuestos Electromecánicos no recurrentes</v>
      </c>
      <c r="B355" s="451">
        <f>'No Recurrentes 24-26'!B217</f>
        <v>2</v>
      </c>
      <c r="C355" s="451" t="str">
        <f>'No Recurrentes 24-26'!C217</f>
        <v>Estación</v>
      </c>
      <c r="D355" s="451" t="str">
        <f>'No Recurrentes 24-26'!D217</f>
        <v>Manto. Hidraulico</v>
      </c>
      <c r="E355" s="451" t="str">
        <f>'No Recurrentes 24-26'!E217</f>
        <v>Repuesto Hidráulico</v>
      </c>
      <c r="F355" s="451" t="str">
        <f>'No Recurrentes 24-26'!F217</f>
        <v>TDB</v>
      </c>
      <c r="G355" s="1025" t="str">
        <f>'No Recurrentes 24-26'!G217</f>
        <v>39800</v>
      </c>
      <c r="H355" s="1061" t="str">
        <f>'No Recurrentes 24-26'!H217</f>
        <v>2-01-00404</v>
      </c>
      <c r="I355" s="1061" t="str">
        <f>'No Recurrentes 24-26'!I217</f>
        <v>10032632</v>
      </c>
      <c r="J355" s="1061" t="str">
        <f>'No Recurrentes 24-26'!J217</f>
        <v>ANILLO EN O DIÁ.I. 45X3,0</v>
      </c>
      <c r="K355" s="451" t="str">
        <f>'No Recurrentes 24-26'!K217</f>
        <v>Pza</v>
      </c>
      <c r="L355" s="451" t="str">
        <f>'No Recurrentes 24-26'!BC217</f>
        <v/>
      </c>
      <c r="M355" s="451" t="str">
        <f>'No Recurrentes 24-26'!BD217</f>
        <v/>
      </c>
      <c r="N355" s="451" t="str">
        <f>'No Recurrentes 24-26'!BE217</f>
        <v/>
      </c>
      <c r="O355" s="451" t="str">
        <f>'No Recurrentes 24-26'!BF217</f>
        <v/>
      </c>
      <c r="P355" s="451" t="str">
        <f>'No Recurrentes 24-26'!BG217</f>
        <v/>
      </c>
      <c r="Q355" s="451" t="str">
        <f>'No Recurrentes 24-26'!BH217</f>
        <v/>
      </c>
      <c r="R355" s="451" t="str">
        <f>'No Recurrentes 24-26'!BI217</f>
        <v/>
      </c>
      <c r="S355" s="451" t="str">
        <f>'No Recurrentes 24-26'!BJ217</f>
        <v/>
      </c>
      <c r="T355" s="451" t="str">
        <f>'No Recurrentes 24-26'!BK217</f>
        <v/>
      </c>
      <c r="U355" s="451" t="str">
        <f>'No Recurrentes 24-26'!BL217</f>
        <v/>
      </c>
      <c r="V355" s="1068"/>
      <c r="W355" s="1062">
        <f>'No Recurrentes 24-26'!BM217</f>
        <v>0</v>
      </c>
      <c r="X355" s="1062">
        <f>'No Recurrentes 24-26'!BN217</f>
        <v>2</v>
      </c>
      <c r="Y355" s="1062">
        <f>'No Recurrentes 24-26'!BO217</f>
        <v>2</v>
      </c>
      <c r="Z355" s="1062">
        <f>'No Recurrentes 24-26'!BP217</f>
        <v>2</v>
      </c>
      <c r="AA355" s="1062">
        <f>'No Recurrentes 24-26'!BQ217</f>
        <v>4</v>
      </c>
      <c r="AB355" s="1062">
        <f>'No Recurrentes 24-26'!BR217</f>
        <v>4</v>
      </c>
      <c r="AC355" s="1062">
        <f>'No Recurrentes 24-26'!BS217</f>
        <v>4</v>
      </c>
      <c r="AD355" s="1062" t="str">
        <f>'No Recurrentes 24-26'!BT217</f>
        <v/>
      </c>
      <c r="AE355" s="1062" t="str">
        <f>'No Recurrentes 24-26'!BU217</f>
        <v/>
      </c>
      <c r="AF355" s="1062" t="str">
        <f>'No Recurrentes 24-26'!BV217</f>
        <v/>
      </c>
      <c r="AG355" s="1062" t="str">
        <f>'No Recurrentes 24-26'!BW217</f>
        <v/>
      </c>
      <c r="AH355" s="1068"/>
      <c r="AI355" s="1062">
        <f>'No Recurrentes 24-26'!BX217</f>
        <v>18</v>
      </c>
      <c r="AJ355" s="1062">
        <f>'No Recurrentes 24-26'!BY217</f>
        <v>0</v>
      </c>
      <c r="AK355" s="1062">
        <f>'No Recurrentes 24-26'!BZ217</f>
        <v>0</v>
      </c>
      <c r="AL355" s="1062">
        <f>'No Recurrentes 24-26'!CA217</f>
        <v>0</v>
      </c>
      <c r="AM355" s="1062">
        <f>'No Recurrentes 24-26'!CB217</f>
        <v>0</v>
      </c>
      <c r="AN355" s="1062">
        <f>'No Recurrentes 24-26'!CC217</f>
        <v>0</v>
      </c>
      <c r="AO355" s="1062">
        <f>'No Recurrentes 24-26'!CD217</f>
        <v>0</v>
      </c>
      <c r="AP355" s="1062">
        <f>'No Recurrentes 24-26'!CE217</f>
        <v>0</v>
      </c>
      <c r="AQ355" s="1062">
        <f>'No Recurrentes 24-26'!CF217</f>
        <v>0</v>
      </c>
      <c r="AR355" s="1062">
        <f>'No Recurrentes 24-26'!CG217</f>
        <v>0</v>
      </c>
      <c r="AS355" s="1062">
        <f>'No Recurrentes 24-26'!CH217</f>
        <v>0</v>
      </c>
      <c r="AT355" s="1068"/>
      <c r="AU355" s="1062">
        <f>'No Recurrentes 24-26'!CI217</f>
        <v>0</v>
      </c>
      <c r="AV355" s="1063">
        <f>'No Recurrentes 24-26'!CJ217</f>
        <v>18</v>
      </c>
      <c r="AW355" s="1068"/>
      <c r="AX355" s="1065">
        <f>'No Recurrentes 24-26'!CK217</f>
        <v>1.04</v>
      </c>
      <c r="AY355" s="1062">
        <f>'No Recurrentes 24-26'!CL217</f>
        <v>7.2384</v>
      </c>
      <c r="AZ355" s="1068"/>
      <c r="BA355" s="1062">
        <f>'No Recurrentes 24-26'!CM217</f>
        <v>0</v>
      </c>
      <c r="BB355" s="1062">
        <f>'No Recurrentes 24-26'!CN217</f>
        <v>0</v>
      </c>
      <c r="BC355" s="1062">
        <f>'No Recurrentes 24-26'!CO217</f>
        <v>0</v>
      </c>
      <c r="BD355" s="1062">
        <f>'No Recurrentes 24-26'!CP217</f>
        <v>0</v>
      </c>
      <c r="BE355" s="1062">
        <f>'No Recurrentes 24-26'!CQ217</f>
        <v>0</v>
      </c>
      <c r="BF355" s="1062">
        <f>'No Recurrentes 24-26'!CR217</f>
        <v>0</v>
      </c>
      <c r="BG355" s="1062">
        <f>'No Recurrentes 24-26'!CS217</f>
        <v>0</v>
      </c>
      <c r="BH355" s="1062">
        <f>'No Recurrentes 24-26'!CT217</f>
        <v>0</v>
      </c>
      <c r="BI355" s="1062">
        <f>'No Recurrentes 24-26'!CU217</f>
        <v>0</v>
      </c>
      <c r="BJ355" s="1062">
        <f>'No Recurrentes 24-26'!CV217</f>
        <v>0</v>
      </c>
      <c r="BK355" s="1068"/>
      <c r="BL355" s="1062">
        <f>'No Recurrentes 24-26'!CW217</f>
        <v>0</v>
      </c>
      <c r="BM355" s="1062">
        <f>'No Recurrentes 24-26'!CX217</f>
        <v>14.4768</v>
      </c>
      <c r="BN355" s="1062">
        <f>'No Recurrentes 24-26'!CY217</f>
        <v>14.4768</v>
      </c>
      <c r="BO355" s="1062">
        <f>'No Recurrentes 24-26'!CZ217</f>
        <v>14.4768</v>
      </c>
      <c r="BP355" s="1062">
        <f>'No Recurrentes 24-26'!DA217</f>
        <v>28.9536</v>
      </c>
      <c r="BQ355" s="1062">
        <f>'No Recurrentes 24-26'!DB217</f>
        <v>28.9536</v>
      </c>
      <c r="BR355" s="1062">
        <f>'No Recurrentes 24-26'!DC217</f>
        <v>28.9536</v>
      </c>
      <c r="BS355" s="1062">
        <f>'No Recurrentes 24-26'!DD217</f>
        <v>0</v>
      </c>
      <c r="BT355" s="1062">
        <f>'No Recurrentes 24-26'!DE217</f>
        <v>0</v>
      </c>
      <c r="BU355" s="1062">
        <f>'No Recurrentes 24-26'!DF217</f>
        <v>0</v>
      </c>
      <c r="BV355" s="1062">
        <f>'No Recurrentes 24-26'!DG217</f>
        <v>0</v>
      </c>
      <c r="BW355" s="1068"/>
      <c r="BX355" s="1062">
        <f>'No Recurrentes 24-26'!DH217</f>
        <v>130.2912</v>
      </c>
      <c r="BY355" s="1062">
        <f>'No Recurrentes 24-26'!DI217</f>
        <v>0</v>
      </c>
      <c r="BZ355" s="1062">
        <f>'No Recurrentes 24-26'!DJ217</f>
        <v>0</v>
      </c>
      <c r="CA355" s="1062">
        <f>'No Recurrentes 24-26'!DK217</f>
        <v>0</v>
      </c>
      <c r="CB355" s="1062">
        <f>'No Recurrentes 24-26'!DL217</f>
        <v>0</v>
      </c>
      <c r="CC355" s="1062">
        <f>'No Recurrentes 24-26'!DM217</f>
        <v>0</v>
      </c>
      <c r="CD355" s="1062">
        <f>'No Recurrentes 24-26'!DN217</f>
        <v>0</v>
      </c>
      <c r="CE355" s="1062">
        <f>'No Recurrentes 24-26'!DO217</f>
        <v>0</v>
      </c>
      <c r="CF355" s="1062">
        <f>'No Recurrentes 24-26'!DP217</f>
        <v>0</v>
      </c>
      <c r="CG355" s="1062">
        <f>'No Recurrentes 24-26'!DQ217</f>
        <v>0</v>
      </c>
      <c r="CH355" s="1062">
        <f>'No Recurrentes 24-26'!DR217</f>
        <v>0</v>
      </c>
      <c r="CI355" s="1068"/>
      <c r="CJ355" s="1062">
        <f>'No Recurrentes 24-26'!DS217</f>
        <v>0</v>
      </c>
      <c r="CK355" s="1062">
        <f>'No Recurrentes 24-26'!DT217</f>
        <v>130.2912</v>
      </c>
      <c r="CL355" s="1064" t="str">
        <f>'No Recurrentes 24-26'!DU217</f>
        <v/>
      </c>
      <c r="CM355" s="1064" t="str">
        <f>'No Recurrentes 24-26'!DV217</f>
        <v/>
      </c>
      <c r="CN355" s="1065">
        <f>'No Recurrentes 24-26'!EI213</f>
        <v>231.51</v>
      </c>
      <c r="CO355" s="1065">
        <f>'No Recurrentes 24-26'!EJ213</f>
        <v>196.78</v>
      </c>
      <c r="CP355" s="1060" t="str">
        <f>'No Recurrentes 24-26'!EK213</f>
        <v/>
      </c>
    </row>
    <row r="356">
      <c r="A356" s="451" t="str">
        <f>'No Recurrentes 24-26'!A218</f>
        <v>Repuestos Electromecánicos no recurrentes</v>
      </c>
      <c r="B356" s="451">
        <f>'No Recurrentes 24-26'!B218</f>
        <v>2</v>
      </c>
      <c r="C356" s="451" t="str">
        <f>'No Recurrentes 24-26'!C218</f>
        <v>Estación</v>
      </c>
      <c r="D356" s="451" t="str">
        <f>'No Recurrentes 24-26'!D218</f>
        <v>Manto. Hidraulico</v>
      </c>
      <c r="E356" s="451" t="str">
        <f>'No Recurrentes 24-26'!E218</f>
        <v>Repuesto Hidráulico</v>
      </c>
      <c r="F356" s="451" t="str">
        <f>'No Recurrentes 24-26'!F218</f>
        <v>TDB</v>
      </c>
      <c r="G356" s="1025" t="str">
        <f>'No Recurrentes 24-26'!G218</f>
        <v>39800</v>
      </c>
      <c r="H356" s="1061" t="str">
        <f>'No Recurrentes 24-26'!H218</f>
        <v>2-01-00400</v>
      </c>
      <c r="I356" s="1061" t="str">
        <f>'No Recurrentes 24-26'!I218</f>
        <v>10001167</v>
      </c>
      <c r="J356" s="1061" t="str">
        <f>'No Recurrentes 24-26'!J218</f>
        <v>TORNILLO ISO 4762-8.8 M4X12 GALV. TORN.DE CABEZA CILINDR.</v>
      </c>
      <c r="K356" s="451" t="str">
        <f>'No Recurrentes 24-26'!K218</f>
        <v>Pza</v>
      </c>
      <c r="L356" s="451" t="str">
        <f>'No Recurrentes 24-26'!BC218</f>
        <v/>
      </c>
      <c r="M356" s="451" t="str">
        <f>'No Recurrentes 24-26'!BD218</f>
        <v/>
      </c>
      <c r="N356" s="451" t="str">
        <f>'No Recurrentes 24-26'!BE218</f>
        <v/>
      </c>
      <c r="O356" s="451" t="str">
        <f>'No Recurrentes 24-26'!BF218</f>
        <v/>
      </c>
      <c r="P356" s="451" t="str">
        <f>'No Recurrentes 24-26'!BG218</f>
        <v/>
      </c>
      <c r="Q356" s="451" t="str">
        <f>'No Recurrentes 24-26'!BH218</f>
        <v/>
      </c>
      <c r="R356" s="451" t="str">
        <f>'No Recurrentes 24-26'!BI218</f>
        <v/>
      </c>
      <c r="S356" s="451" t="str">
        <f>'No Recurrentes 24-26'!BJ218</f>
        <v/>
      </c>
      <c r="T356" s="451" t="str">
        <f>'No Recurrentes 24-26'!BK218</f>
        <v/>
      </c>
      <c r="U356" s="451" t="str">
        <f>'No Recurrentes 24-26'!BL218</f>
        <v/>
      </c>
      <c r="V356" s="1068"/>
      <c r="W356" s="1062">
        <f>'No Recurrentes 24-26'!BM218</f>
        <v>0</v>
      </c>
      <c r="X356" s="1062" t="str">
        <f>'No Recurrentes 24-26'!BN218</f>
        <v/>
      </c>
      <c r="Y356" s="1062" t="str">
        <f>'No Recurrentes 24-26'!BO218</f>
        <v/>
      </c>
      <c r="Z356" s="1062" t="str">
        <f>'No Recurrentes 24-26'!BP218</f>
        <v/>
      </c>
      <c r="AA356" s="1062" t="str">
        <f>'No Recurrentes 24-26'!BQ218</f>
        <v/>
      </c>
      <c r="AB356" s="1062" t="str">
        <f>'No Recurrentes 24-26'!BR218</f>
        <v/>
      </c>
      <c r="AC356" s="1062" t="str">
        <f>'No Recurrentes 24-26'!BS218</f>
        <v/>
      </c>
      <c r="AD356" s="1062" t="str">
        <f>'No Recurrentes 24-26'!BT218</f>
        <v/>
      </c>
      <c r="AE356" s="1062" t="str">
        <f>'No Recurrentes 24-26'!BU218</f>
        <v/>
      </c>
      <c r="AF356" s="1062" t="str">
        <f>'No Recurrentes 24-26'!BV218</f>
        <v/>
      </c>
      <c r="AG356" s="1062" t="str">
        <f>'No Recurrentes 24-26'!BW218</f>
        <v/>
      </c>
      <c r="AH356" s="1068"/>
      <c r="AI356" s="1062">
        <f>'No Recurrentes 24-26'!BX218</f>
        <v>0</v>
      </c>
      <c r="AJ356" s="1062">
        <f>'No Recurrentes 24-26'!BY218</f>
        <v>25</v>
      </c>
      <c r="AK356" s="1062">
        <f>'No Recurrentes 24-26'!BZ218</f>
        <v>25</v>
      </c>
      <c r="AL356" s="1062">
        <f>'No Recurrentes 24-26'!CA218</f>
        <v>25</v>
      </c>
      <c r="AM356" s="1062">
        <f>'No Recurrentes 24-26'!CB218</f>
        <v>20</v>
      </c>
      <c r="AN356" s="1062">
        <f>'No Recurrentes 24-26'!CC218</f>
        <v>25</v>
      </c>
      <c r="AO356" s="1062">
        <f>'No Recurrentes 24-26'!CD218</f>
        <v>30</v>
      </c>
      <c r="AP356" s="1062" t="str">
        <f>'No Recurrentes 24-26'!CE218</f>
        <v/>
      </c>
      <c r="AQ356" s="1062" t="str">
        <f>'No Recurrentes 24-26'!CF218</f>
        <v/>
      </c>
      <c r="AR356" s="1062" t="str">
        <f>'No Recurrentes 24-26'!CG218</f>
        <v/>
      </c>
      <c r="AS356" s="1062" t="str">
        <f>'No Recurrentes 24-26'!CH218</f>
        <v/>
      </c>
      <c r="AT356" s="1068"/>
      <c r="AU356" s="1062">
        <f>'No Recurrentes 24-26'!CI218</f>
        <v>150</v>
      </c>
      <c r="AV356" s="1063">
        <f>'No Recurrentes 24-26'!CJ218</f>
        <v>150</v>
      </c>
      <c r="AW356" s="1068"/>
      <c r="AX356" s="1065">
        <f>'No Recurrentes 24-26'!CK218</f>
        <v>0.08</v>
      </c>
      <c r="AY356" s="1062">
        <f>'No Recurrentes 24-26'!CL218</f>
        <v>0.5568</v>
      </c>
      <c r="AZ356" s="1068"/>
      <c r="BA356" s="1062">
        <f>'No Recurrentes 24-26'!CM218</f>
        <v>0</v>
      </c>
      <c r="BB356" s="1062">
        <f>'No Recurrentes 24-26'!CN218</f>
        <v>0</v>
      </c>
      <c r="BC356" s="1062">
        <f>'No Recurrentes 24-26'!CO218</f>
        <v>0</v>
      </c>
      <c r="BD356" s="1062">
        <f>'No Recurrentes 24-26'!CP218</f>
        <v>0</v>
      </c>
      <c r="BE356" s="1062">
        <f>'No Recurrentes 24-26'!CQ218</f>
        <v>0</v>
      </c>
      <c r="BF356" s="1062">
        <f>'No Recurrentes 24-26'!CR218</f>
        <v>0</v>
      </c>
      <c r="BG356" s="1062">
        <f>'No Recurrentes 24-26'!CS218</f>
        <v>0</v>
      </c>
      <c r="BH356" s="1062">
        <f>'No Recurrentes 24-26'!CT218</f>
        <v>0</v>
      </c>
      <c r="BI356" s="1062">
        <f>'No Recurrentes 24-26'!CU218</f>
        <v>0</v>
      </c>
      <c r="BJ356" s="1062">
        <f>'No Recurrentes 24-26'!CV218</f>
        <v>0</v>
      </c>
      <c r="BK356" s="1068"/>
      <c r="BL356" s="1062">
        <f>'No Recurrentes 24-26'!CW218</f>
        <v>0</v>
      </c>
      <c r="BM356" s="1062">
        <f>'No Recurrentes 24-26'!CX218</f>
        <v>0</v>
      </c>
      <c r="BN356" s="1062">
        <f>'No Recurrentes 24-26'!CY218</f>
        <v>0</v>
      </c>
      <c r="BO356" s="1062">
        <f>'No Recurrentes 24-26'!CZ218</f>
        <v>0</v>
      </c>
      <c r="BP356" s="1062">
        <f>'No Recurrentes 24-26'!DA218</f>
        <v>0</v>
      </c>
      <c r="BQ356" s="1062">
        <f>'No Recurrentes 24-26'!DB218</f>
        <v>0</v>
      </c>
      <c r="BR356" s="1062">
        <f>'No Recurrentes 24-26'!DC218</f>
        <v>0</v>
      </c>
      <c r="BS356" s="1062">
        <f>'No Recurrentes 24-26'!DD218</f>
        <v>0</v>
      </c>
      <c r="BT356" s="1062">
        <f>'No Recurrentes 24-26'!DE218</f>
        <v>0</v>
      </c>
      <c r="BU356" s="1062">
        <f>'No Recurrentes 24-26'!DF218</f>
        <v>0</v>
      </c>
      <c r="BV356" s="1062">
        <f>'No Recurrentes 24-26'!DG218</f>
        <v>0</v>
      </c>
      <c r="BW356" s="1068"/>
      <c r="BX356" s="1062">
        <f>'No Recurrentes 24-26'!DH218</f>
        <v>0</v>
      </c>
      <c r="BY356" s="1062">
        <f>'No Recurrentes 24-26'!DI218</f>
        <v>13.92</v>
      </c>
      <c r="BZ356" s="1062">
        <f>'No Recurrentes 24-26'!DJ218</f>
        <v>13.92</v>
      </c>
      <c r="CA356" s="1062">
        <f>'No Recurrentes 24-26'!DK218</f>
        <v>13.92</v>
      </c>
      <c r="CB356" s="1062">
        <f>'No Recurrentes 24-26'!DL218</f>
        <v>11.136</v>
      </c>
      <c r="CC356" s="1062">
        <f>'No Recurrentes 24-26'!DM218</f>
        <v>13.92</v>
      </c>
      <c r="CD356" s="1062">
        <f>'No Recurrentes 24-26'!DN218</f>
        <v>16.704</v>
      </c>
      <c r="CE356" s="1062">
        <f>'No Recurrentes 24-26'!DO218</f>
        <v>0</v>
      </c>
      <c r="CF356" s="1062">
        <f>'No Recurrentes 24-26'!DP218</f>
        <v>0</v>
      </c>
      <c r="CG356" s="1062">
        <f>'No Recurrentes 24-26'!DQ218</f>
        <v>0</v>
      </c>
      <c r="CH356" s="1062">
        <f>'No Recurrentes 24-26'!DR218</f>
        <v>0</v>
      </c>
      <c r="CI356" s="1068"/>
      <c r="CJ356" s="1062">
        <f>'No Recurrentes 24-26'!DS218</f>
        <v>83.52</v>
      </c>
      <c r="CK356" s="1062">
        <f>'No Recurrentes 24-26'!DT218</f>
        <v>83.52</v>
      </c>
      <c r="CL356" s="1064" t="str">
        <f>'No Recurrentes 24-26'!DU218</f>
        <v/>
      </c>
      <c r="CM356" s="1064" t="str">
        <f>'No Recurrentes 24-26'!DV218</f>
        <v/>
      </c>
      <c r="CN356" s="1065">
        <f>'No Recurrentes 24-26'!EI214</f>
        <v>149.09</v>
      </c>
      <c r="CO356" s="1065">
        <f>'No Recurrentes 24-26'!EJ214</f>
        <v>126.73</v>
      </c>
      <c r="CP356" s="1060" t="str">
        <f>'No Recurrentes 24-26'!EK214</f>
        <v/>
      </c>
    </row>
    <row r="357">
      <c r="A357" s="451" t="str">
        <f>'No Recurrentes 24-26'!A219</f>
        <v>Repuestos Electromecánicos no recurrentes</v>
      </c>
      <c r="B357" s="451" t="str">
        <f>'No Recurrentes 24-26'!B219</f>
        <v/>
      </c>
      <c r="C357" s="451" t="str">
        <f>'No Recurrentes 24-26'!C219</f>
        <v>Estación</v>
      </c>
      <c r="D357" s="451" t="str">
        <f>'No Recurrentes 24-26'!D219</f>
        <v>Manto. Hidraulico</v>
      </c>
      <c r="E357" s="451" t="str">
        <f>'No Recurrentes 24-26'!E219</f>
        <v>Repuesto Hidráulico</v>
      </c>
      <c r="F357" s="451" t="str">
        <f>'No Recurrentes 24-26'!F219</f>
        <v>TDB</v>
      </c>
      <c r="G357" s="1061" t="str">
        <f>'No Recurrentes 24-26'!G219</f>
        <v>39800</v>
      </c>
      <c r="H357" s="1061" t="str">
        <f>'No Recurrentes 24-26'!H219</f>
        <v>2-01-00935</v>
      </c>
      <c r="I357" s="1061">
        <f>'No Recurrentes 24-26'!I219</f>
        <v>11138884</v>
      </c>
      <c r="J357" s="1061" t="str">
        <f>'No Recurrentes 24-26'!J219</f>
        <v>FILTRO DESHUMECTADOR BDE400 G2W1.0/-RV0.003, HYDAC</v>
      </c>
      <c r="K357" s="451" t="str">
        <f>'No Recurrentes 24-26'!K219</f>
        <v>Pza</v>
      </c>
      <c r="L357" s="451" t="str">
        <f>'No Recurrentes 24-26'!BC219</f>
        <v/>
      </c>
      <c r="M357" s="451" t="str">
        <f>'No Recurrentes 24-26'!BD219</f>
        <v/>
      </c>
      <c r="N357" s="451" t="str">
        <f>'No Recurrentes 24-26'!BE219</f>
        <v/>
      </c>
      <c r="O357" s="451" t="str">
        <f>'No Recurrentes 24-26'!BF219</f>
        <v/>
      </c>
      <c r="P357" s="451" t="str">
        <f>'No Recurrentes 24-26'!BG219</f>
        <v/>
      </c>
      <c r="Q357" s="451" t="str">
        <f>'No Recurrentes 24-26'!BH219</f>
        <v/>
      </c>
      <c r="R357" s="451" t="str">
        <f>'No Recurrentes 24-26'!BI219</f>
        <v/>
      </c>
      <c r="S357" s="451" t="str">
        <f>'No Recurrentes 24-26'!BJ219</f>
        <v/>
      </c>
      <c r="T357" s="451" t="str">
        <f>'No Recurrentes 24-26'!BK219</f>
        <v/>
      </c>
      <c r="U357" s="451" t="str">
        <f>'No Recurrentes 24-26'!BL219</f>
        <v/>
      </c>
      <c r="V357" s="1068"/>
      <c r="W357" s="1062">
        <f>'No Recurrentes 24-26'!BM219</f>
        <v>0</v>
      </c>
      <c r="X357" s="1062" t="str">
        <f>'No Recurrentes 24-26'!BN219</f>
        <v/>
      </c>
      <c r="Y357" s="1062" t="str">
        <f>'No Recurrentes 24-26'!BO219</f>
        <v/>
      </c>
      <c r="Z357" s="1062" t="str">
        <f>'No Recurrentes 24-26'!BP219</f>
        <v/>
      </c>
      <c r="AA357" s="1062" t="str">
        <f>'No Recurrentes 24-26'!BQ219</f>
        <v/>
      </c>
      <c r="AB357" s="1062" t="str">
        <f>'No Recurrentes 24-26'!BR219</f>
        <v/>
      </c>
      <c r="AC357" s="1062" t="str">
        <f>'No Recurrentes 24-26'!BS219</f>
        <v/>
      </c>
      <c r="AD357" s="1062" t="str">
        <f>'No Recurrentes 24-26'!BT219</f>
        <v/>
      </c>
      <c r="AE357" s="1062" t="str">
        <f>'No Recurrentes 24-26'!BU219</f>
        <v/>
      </c>
      <c r="AF357" s="1062" t="str">
        <f>'No Recurrentes 24-26'!BV219</f>
        <v/>
      </c>
      <c r="AG357" s="1062" t="str">
        <f>'No Recurrentes 24-26'!BW219</f>
        <v/>
      </c>
      <c r="AH357" s="1068"/>
      <c r="AI357" s="1062">
        <f>'No Recurrentes 24-26'!BX219</f>
        <v>0</v>
      </c>
      <c r="AJ357" s="1062">
        <f>'No Recurrentes 24-26'!BY219</f>
        <v>0</v>
      </c>
      <c r="AK357" s="1062">
        <f>'No Recurrentes 24-26'!BZ219</f>
        <v>0</v>
      </c>
      <c r="AL357" s="1062">
        <f>'No Recurrentes 24-26'!CA219</f>
        <v>0</v>
      </c>
      <c r="AM357" s="1062">
        <f>'No Recurrentes 24-26'!CB219</f>
        <v>0</v>
      </c>
      <c r="AN357" s="1062">
        <f>'No Recurrentes 24-26'!CC219</f>
        <v>0</v>
      </c>
      <c r="AO357" s="1062">
        <f>'No Recurrentes 24-26'!CD219</f>
        <v>0</v>
      </c>
      <c r="AP357" s="1062">
        <f>'No Recurrentes 24-26'!CE219</f>
        <v>0</v>
      </c>
      <c r="AQ357" s="1062">
        <f>'No Recurrentes 24-26'!CF219</f>
        <v>0</v>
      </c>
      <c r="AR357" s="1062">
        <f>'No Recurrentes 24-26'!CG219</f>
        <v>0</v>
      </c>
      <c r="AS357" s="1062">
        <f>'No Recurrentes 24-26'!CH219</f>
        <v>0</v>
      </c>
      <c r="AT357" s="1068"/>
      <c r="AU357" s="1062">
        <f>'No Recurrentes 24-26'!CI219</f>
        <v>0</v>
      </c>
      <c r="AV357" s="1063">
        <f>'No Recurrentes 24-26'!CJ219</f>
        <v>0</v>
      </c>
      <c r="AW357" s="1068"/>
      <c r="AX357" s="1062" t="str">
        <f>'No Recurrentes 24-26'!CK219</f>
        <v/>
      </c>
      <c r="AY357" s="1062">
        <f>'No Recurrentes 24-26'!CL219</f>
        <v>7062.5616</v>
      </c>
      <c r="AZ357" s="1068"/>
      <c r="BA357" s="1062">
        <f>'No Recurrentes 24-26'!CM219</f>
        <v>0</v>
      </c>
      <c r="BB357" s="1062">
        <f>'No Recurrentes 24-26'!CN219</f>
        <v>0</v>
      </c>
      <c r="BC357" s="1062">
        <f>'No Recurrentes 24-26'!CO219</f>
        <v>0</v>
      </c>
      <c r="BD357" s="1062">
        <f>'No Recurrentes 24-26'!CP219</f>
        <v>0</v>
      </c>
      <c r="BE357" s="1062">
        <f>'No Recurrentes 24-26'!CQ219</f>
        <v>0</v>
      </c>
      <c r="BF357" s="1062">
        <f>'No Recurrentes 24-26'!CR219</f>
        <v>0</v>
      </c>
      <c r="BG357" s="1062">
        <f>'No Recurrentes 24-26'!CS219</f>
        <v>0</v>
      </c>
      <c r="BH357" s="1062">
        <f>'No Recurrentes 24-26'!CT219</f>
        <v>0</v>
      </c>
      <c r="BI357" s="1062">
        <f>'No Recurrentes 24-26'!CU219</f>
        <v>0</v>
      </c>
      <c r="BJ357" s="1062">
        <f>'No Recurrentes 24-26'!CV219</f>
        <v>0</v>
      </c>
      <c r="BK357" s="1068"/>
      <c r="BL357" s="1062">
        <f>'No Recurrentes 24-26'!CW219</f>
        <v>0</v>
      </c>
      <c r="BM357" s="1062">
        <f>'No Recurrentes 24-26'!CX219</f>
        <v>0</v>
      </c>
      <c r="BN357" s="1062">
        <f>'No Recurrentes 24-26'!CY219</f>
        <v>0</v>
      </c>
      <c r="BO357" s="1062">
        <f>'No Recurrentes 24-26'!CZ219</f>
        <v>0</v>
      </c>
      <c r="BP357" s="1062">
        <f>'No Recurrentes 24-26'!DA219</f>
        <v>0</v>
      </c>
      <c r="BQ357" s="1062">
        <f>'No Recurrentes 24-26'!DB219</f>
        <v>0</v>
      </c>
      <c r="BR357" s="1062">
        <f>'No Recurrentes 24-26'!DC219</f>
        <v>0</v>
      </c>
      <c r="BS357" s="1062">
        <f>'No Recurrentes 24-26'!DD219</f>
        <v>0</v>
      </c>
      <c r="BT357" s="1062">
        <f>'No Recurrentes 24-26'!DE219</f>
        <v>0</v>
      </c>
      <c r="BU357" s="1062">
        <f>'No Recurrentes 24-26'!DF219</f>
        <v>0</v>
      </c>
      <c r="BV357" s="1062">
        <f>'No Recurrentes 24-26'!DG219</f>
        <v>0</v>
      </c>
      <c r="BW357" s="1068"/>
      <c r="BX357" s="1062">
        <f>'No Recurrentes 24-26'!DH219</f>
        <v>0</v>
      </c>
      <c r="BY357" s="1062">
        <f>'No Recurrentes 24-26'!DI219</f>
        <v>0</v>
      </c>
      <c r="BZ357" s="1062">
        <f>'No Recurrentes 24-26'!DJ219</f>
        <v>0</v>
      </c>
      <c r="CA357" s="1062">
        <f>'No Recurrentes 24-26'!DK219</f>
        <v>0</v>
      </c>
      <c r="CB357" s="1062">
        <f>'No Recurrentes 24-26'!DL219</f>
        <v>0</v>
      </c>
      <c r="CC357" s="1062">
        <f>'No Recurrentes 24-26'!DM219</f>
        <v>0</v>
      </c>
      <c r="CD357" s="1062">
        <f>'No Recurrentes 24-26'!DN219</f>
        <v>0</v>
      </c>
      <c r="CE357" s="1062">
        <f>'No Recurrentes 24-26'!DO219</f>
        <v>0</v>
      </c>
      <c r="CF357" s="1062">
        <f>'No Recurrentes 24-26'!DP219</f>
        <v>0</v>
      </c>
      <c r="CG357" s="1062">
        <f>'No Recurrentes 24-26'!DQ219</f>
        <v>0</v>
      </c>
      <c r="CH357" s="1062">
        <f>'No Recurrentes 24-26'!DR219</f>
        <v>0</v>
      </c>
      <c r="CI357" s="1068"/>
      <c r="CJ357" s="1062">
        <f>'No Recurrentes 24-26'!DS219</f>
        <v>0</v>
      </c>
      <c r="CK357" s="1062">
        <f>'No Recurrentes 24-26'!DT219</f>
        <v>0</v>
      </c>
      <c r="CL357" s="1064" t="str">
        <f>'No Recurrentes 24-26'!DU219</f>
        <v/>
      </c>
      <c r="CM357" s="1064" t="str">
        <f>'No Recurrentes 24-26'!DV219</f>
        <v/>
      </c>
      <c r="CN357" s="1065">
        <f>'No Recurrentes 24-26'!EI215</f>
        <v>4.27</v>
      </c>
      <c r="CO357" s="1065">
        <f>'No Recurrentes 24-26'!EJ215</f>
        <v>3.63</v>
      </c>
      <c r="CP357" s="1060" t="str">
        <f>'No Recurrentes 24-26'!EK215</f>
        <v/>
      </c>
    </row>
    <row r="358">
      <c r="A358" s="451" t="str">
        <f>'No Recurrentes 24-26'!A220</f>
        <v>Repuestos Electromecánicos no recurrentes</v>
      </c>
      <c r="B358" s="451" t="str">
        <f>'No Recurrentes 24-26'!B220</f>
        <v/>
      </c>
      <c r="C358" s="451" t="str">
        <f>'No Recurrentes 24-26'!C220</f>
        <v>Estación</v>
      </c>
      <c r="D358" s="451" t="str">
        <f>'No Recurrentes 24-26'!D220</f>
        <v>Manto. Hidraulico</v>
      </c>
      <c r="E358" s="451" t="str">
        <f>'No Recurrentes 24-26'!E220</f>
        <v>Lubricante</v>
      </c>
      <c r="F358" s="451" t="str">
        <f>'No Recurrentes 24-26'!F220</f>
        <v>TDB</v>
      </c>
      <c r="G358" s="1061" t="str">
        <f>'No Recurrentes 24-26'!G220</f>
        <v>34110</v>
      </c>
      <c r="H358" s="1061" t="str">
        <f>'No Recurrentes 24-26'!H220</f>
        <v>3-01-00022</v>
      </c>
      <c r="I358" s="1061">
        <f>'No Recurrentes 24-26'!I220</f>
        <v>11424859</v>
      </c>
      <c r="J358" s="1061" t="str">
        <f>'No Recurrentes 24-26'!J220</f>
        <v>Aceite hidraulico Dopp Syny 70  210L</v>
      </c>
      <c r="K358" s="451" t="str">
        <f>'No Recurrentes 24-26'!K220</f>
        <v>L- Turril</v>
      </c>
      <c r="L358" s="451">
        <f>'No Recurrentes 24-26'!BC220</f>
        <v>0</v>
      </c>
      <c r="M358" s="451" t="str">
        <f>'No Recurrentes 24-26'!BD220</f>
        <v/>
      </c>
      <c r="N358" s="451" t="str">
        <f>'No Recurrentes 24-26'!BE220</f>
        <v/>
      </c>
      <c r="O358" s="451" t="str">
        <f>'No Recurrentes 24-26'!BF220</f>
        <v/>
      </c>
      <c r="P358" s="451" t="str">
        <f>'No Recurrentes 24-26'!BG220</f>
        <v/>
      </c>
      <c r="Q358" s="451" t="str">
        <f>'No Recurrentes 24-26'!BH220</f>
        <v/>
      </c>
      <c r="R358" s="451" t="str">
        <f>'No Recurrentes 24-26'!BI220</f>
        <v/>
      </c>
      <c r="S358" s="451" t="str">
        <f>'No Recurrentes 24-26'!BJ220</f>
        <v/>
      </c>
      <c r="T358" s="451" t="str">
        <f>'No Recurrentes 24-26'!BK220</f>
        <v/>
      </c>
      <c r="U358" s="451" t="str">
        <f>'No Recurrentes 24-26'!BL220</f>
        <v/>
      </c>
      <c r="V358" s="1068"/>
      <c r="W358" s="1062">
        <f>'No Recurrentes 24-26'!BM220</f>
        <v>0</v>
      </c>
      <c r="X358" s="1062" t="str">
        <f>'No Recurrentes 24-26'!BN220</f>
        <v/>
      </c>
      <c r="Y358" s="1062" t="str">
        <f>'No Recurrentes 24-26'!BO220</f>
        <v/>
      </c>
      <c r="Z358" s="1062" t="str">
        <f>'No Recurrentes 24-26'!BP220</f>
        <v/>
      </c>
      <c r="AA358" s="1062" t="str">
        <f>'No Recurrentes 24-26'!BQ220</f>
        <v/>
      </c>
      <c r="AB358" s="1062" t="str">
        <f>'No Recurrentes 24-26'!BR220</f>
        <v/>
      </c>
      <c r="AC358" s="1062" t="str">
        <f>'No Recurrentes 24-26'!BS220</f>
        <v/>
      </c>
      <c r="AD358" s="1062" t="str">
        <f>'No Recurrentes 24-26'!BT220</f>
        <v/>
      </c>
      <c r="AE358" s="1062" t="str">
        <f>'No Recurrentes 24-26'!BU220</f>
        <v/>
      </c>
      <c r="AF358" s="1062" t="str">
        <f>'No Recurrentes 24-26'!BV220</f>
        <v/>
      </c>
      <c r="AG358" s="1062" t="str">
        <f>'No Recurrentes 24-26'!BW220</f>
        <v/>
      </c>
      <c r="AH358" s="1068"/>
      <c r="AI358" s="1062">
        <f>'No Recurrentes 24-26'!BX220</f>
        <v>0</v>
      </c>
      <c r="AJ358" s="1062">
        <f>'No Recurrentes 24-26'!BY220</f>
        <v>0</v>
      </c>
      <c r="AK358" s="1062">
        <f>'No Recurrentes 24-26'!BZ220</f>
        <v>0</v>
      </c>
      <c r="AL358" s="1062">
        <f>'No Recurrentes 24-26'!CA220</f>
        <v>0</v>
      </c>
      <c r="AM358" s="1062">
        <f>'No Recurrentes 24-26'!CB220</f>
        <v>0</v>
      </c>
      <c r="AN358" s="1062">
        <f>'No Recurrentes 24-26'!CC220</f>
        <v>0</v>
      </c>
      <c r="AO358" s="1062">
        <f>'No Recurrentes 24-26'!CD220</f>
        <v>0</v>
      </c>
      <c r="AP358" s="1062">
        <f>'No Recurrentes 24-26'!CE220</f>
        <v>0</v>
      </c>
      <c r="AQ358" s="1062">
        <f>'No Recurrentes 24-26'!CF220</f>
        <v>0</v>
      </c>
      <c r="AR358" s="1062">
        <f>'No Recurrentes 24-26'!CG220</f>
        <v>0</v>
      </c>
      <c r="AS358" s="1062">
        <f>'No Recurrentes 24-26'!CH220</f>
        <v>0</v>
      </c>
      <c r="AT358" s="1068"/>
      <c r="AU358" s="1062">
        <f>'No Recurrentes 24-26'!CI220</f>
        <v>0</v>
      </c>
      <c r="AV358" s="1063">
        <f>'No Recurrentes 24-26'!CJ220</f>
        <v>0</v>
      </c>
      <c r="AW358" s="1068"/>
      <c r="AX358" s="1062" t="str">
        <f>'No Recurrentes 24-26'!CK220</f>
        <v/>
      </c>
      <c r="AY358" s="1062">
        <f>'No Recurrentes 24-26'!CL220</f>
        <v>30693.5102</v>
      </c>
      <c r="AZ358" s="1068"/>
      <c r="BA358" s="1062" t="str">
        <f>'No Recurrentes 24-26'!CM220</f>
        <v/>
      </c>
      <c r="BB358" s="1062" t="str">
        <f>'No Recurrentes 24-26'!CN220</f>
        <v/>
      </c>
      <c r="BC358" s="1062" t="str">
        <f>'No Recurrentes 24-26'!CO220</f>
        <v/>
      </c>
      <c r="BD358" s="1062" t="str">
        <f>'No Recurrentes 24-26'!CP220</f>
        <v/>
      </c>
      <c r="BE358" s="1062" t="str">
        <f>'No Recurrentes 24-26'!CQ220</f>
        <v/>
      </c>
      <c r="BF358" s="1062" t="str">
        <f>'No Recurrentes 24-26'!CR220</f>
        <v/>
      </c>
      <c r="BG358" s="1062" t="str">
        <f>'No Recurrentes 24-26'!CS220</f>
        <v/>
      </c>
      <c r="BH358" s="1062" t="str">
        <f>'No Recurrentes 24-26'!CT220</f>
        <v/>
      </c>
      <c r="BI358" s="1062" t="str">
        <f>'No Recurrentes 24-26'!CU220</f>
        <v/>
      </c>
      <c r="BJ358" s="1062" t="str">
        <f>'No Recurrentes 24-26'!CV220</f>
        <v/>
      </c>
      <c r="BK358" s="1068"/>
      <c r="BL358" s="1062">
        <f>'No Recurrentes 24-26'!CW220</f>
        <v>0</v>
      </c>
      <c r="BM358" s="1062" t="str">
        <f>'No Recurrentes 24-26'!CX220</f>
        <v/>
      </c>
      <c r="BN358" s="1062" t="str">
        <f>'No Recurrentes 24-26'!CY220</f>
        <v/>
      </c>
      <c r="BO358" s="1062" t="str">
        <f>'No Recurrentes 24-26'!CZ220</f>
        <v/>
      </c>
      <c r="BP358" s="1062" t="str">
        <f>'No Recurrentes 24-26'!DA220</f>
        <v/>
      </c>
      <c r="BQ358" s="1062" t="str">
        <f>'No Recurrentes 24-26'!DB220</f>
        <v/>
      </c>
      <c r="BR358" s="1062" t="str">
        <f>'No Recurrentes 24-26'!DC220</f>
        <v/>
      </c>
      <c r="BS358" s="1062" t="str">
        <f>'No Recurrentes 24-26'!DD220</f>
        <v/>
      </c>
      <c r="BT358" s="1062" t="str">
        <f>'No Recurrentes 24-26'!DE220</f>
        <v/>
      </c>
      <c r="BU358" s="1062" t="str">
        <f>'No Recurrentes 24-26'!DF220</f>
        <v/>
      </c>
      <c r="BV358" s="1062" t="str">
        <f>'No Recurrentes 24-26'!DG220</f>
        <v/>
      </c>
      <c r="BW358" s="1068"/>
      <c r="BX358" s="1062">
        <f>'No Recurrentes 24-26'!DH220</f>
        <v>0</v>
      </c>
      <c r="BY358" s="1062" t="str">
        <f>'No Recurrentes 24-26'!DI220</f>
        <v/>
      </c>
      <c r="BZ358" s="1062" t="str">
        <f>'No Recurrentes 24-26'!DJ220</f>
        <v/>
      </c>
      <c r="CA358" s="1062" t="str">
        <f>'No Recurrentes 24-26'!DK220</f>
        <v/>
      </c>
      <c r="CB358" s="1062" t="str">
        <f>'No Recurrentes 24-26'!DL220</f>
        <v/>
      </c>
      <c r="CC358" s="1062" t="str">
        <f>'No Recurrentes 24-26'!DM220</f>
        <v/>
      </c>
      <c r="CD358" s="1062" t="str">
        <f>'No Recurrentes 24-26'!DN220</f>
        <v/>
      </c>
      <c r="CE358" s="1062" t="str">
        <f>'No Recurrentes 24-26'!DO220</f>
        <v/>
      </c>
      <c r="CF358" s="1062" t="str">
        <f>'No Recurrentes 24-26'!DP220</f>
        <v/>
      </c>
      <c r="CG358" s="1062" t="str">
        <f>'No Recurrentes 24-26'!DQ220</f>
        <v/>
      </c>
      <c r="CH358" s="1062" t="str">
        <f>'No Recurrentes 24-26'!DR220</f>
        <v/>
      </c>
      <c r="CI358" s="1068"/>
      <c r="CJ358" s="1062">
        <f>'No Recurrentes 24-26'!DS220</f>
        <v>0</v>
      </c>
      <c r="CK358" s="1062">
        <f>'No Recurrentes 24-26'!DT220</f>
        <v>0</v>
      </c>
      <c r="CL358" s="1064" t="str">
        <f>'No Recurrentes 24-26'!DU220</f>
        <v/>
      </c>
      <c r="CM358" s="1064" t="str">
        <f>'No Recurrentes 24-26'!DV220</f>
        <v/>
      </c>
      <c r="CN358" s="1065">
        <f>'No Recurrentes 24-26'!EI216</f>
        <v>4.73</v>
      </c>
      <c r="CO358" s="1065">
        <f>'No Recurrentes 24-26'!EJ216</f>
        <v>4.02</v>
      </c>
      <c r="CP358" s="1060" t="str">
        <f>'No Recurrentes 24-26'!EK216</f>
        <v/>
      </c>
    </row>
    <row r="359">
      <c r="A359" s="451" t="str">
        <f>'No Recurrentes 24-26'!A221</f>
        <v>Repuestos Electromecánicos no recurrentes</v>
      </c>
      <c r="B359" s="451">
        <f>'No Recurrentes 24-26'!B221</f>
        <v>2</v>
      </c>
      <c r="C359" s="451" t="str">
        <f>'No Recurrentes 24-26'!C221</f>
        <v>Estación</v>
      </c>
      <c r="D359" s="451" t="str">
        <f>'No Recurrentes 24-26'!D221</f>
        <v>Manto. Hidraulico</v>
      </c>
      <c r="E359" s="451" t="str">
        <f>'No Recurrentes 24-26'!E221</f>
        <v>Repuesto Hidráulico</v>
      </c>
      <c r="F359" s="451" t="str">
        <f>'No Recurrentes 24-26'!F221</f>
        <v>TDB</v>
      </c>
      <c r="G359" s="1025" t="str">
        <f>'No Recurrentes 24-26'!G221</f>
        <v>39800</v>
      </c>
      <c r="H359" s="1061" t="str">
        <f>'No Recurrentes 24-26'!H221</f>
        <v>2-01-01138</v>
      </c>
      <c r="I359" s="1061" t="str">
        <f>'No Recurrentes 24-26'!I221</f>
        <v>10536915</v>
      </c>
      <c r="J359" s="1061" t="str">
        <f>'No Recurrentes 24-26'!J221</f>
        <v>BOMBA RUEDAS D. SNP1/1,7DCO01F BOMBA RUEDAS DENTADAS    SAUER</v>
      </c>
      <c r="K359" s="451" t="str">
        <f>'No Recurrentes 24-26'!K221</f>
        <v>Pza</v>
      </c>
      <c r="L359" s="451" t="str">
        <f>'No Recurrentes 24-26'!BC221</f>
        <v/>
      </c>
      <c r="M359" s="451" t="str">
        <f>'No Recurrentes 24-26'!BD221</f>
        <v/>
      </c>
      <c r="N359" s="451" t="str">
        <f>'No Recurrentes 24-26'!BE221</f>
        <v/>
      </c>
      <c r="O359" s="451" t="str">
        <f>'No Recurrentes 24-26'!BF221</f>
        <v/>
      </c>
      <c r="P359" s="451" t="str">
        <f>'No Recurrentes 24-26'!BG221</f>
        <v/>
      </c>
      <c r="Q359" s="451" t="str">
        <f>'No Recurrentes 24-26'!BH221</f>
        <v/>
      </c>
      <c r="R359" s="451" t="str">
        <f>'No Recurrentes 24-26'!BI221</f>
        <v/>
      </c>
      <c r="S359" s="451" t="str">
        <f>'No Recurrentes 24-26'!BJ221</f>
        <v/>
      </c>
      <c r="T359" s="451" t="str">
        <f>'No Recurrentes 24-26'!BK221</f>
        <v/>
      </c>
      <c r="U359" s="451" t="str">
        <f>'No Recurrentes 24-26'!BL221</f>
        <v/>
      </c>
      <c r="V359" s="1068"/>
      <c r="W359" s="1062">
        <f>'No Recurrentes 24-26'!BM221</f>
        <v>0</v>
      </c>
      <c r="X359" s="1062" t="str">
        <f>'No Recurrentes 24-26'!BN221</f>
        <v/>
      </c>
      <c r="Y359" s="1062" t="str">
        <f>'No Recurrentes 24-26'!BO221</f>
        <v/>
      </c>
      <c r="Z359" s="1062" t="str">
        <f>'No Recurrentes 24-26'!BP221</f>
        <v/>
      </c>
      <c r="AA359" s="1062" t="str">
        <f>'No Recurrentes 24-26'!BQ221</f>
        <v/>
      </c>
      <c r="AB359" s="1062" t="str">
        <f>'No Recurrentes 24-26'!BR221</f>
        <v/>
      </c>
      <c r="AC359" s="1062" t="str">
        <f>'No Recurrentes 24-26'!BS221</f>
        <v/>
      </c>
      <c r="AD359" s="1062" t="str">
        <f>'No Recurrentes 24-26'!BT221</f>
        <v/>
      </c>
      <c r="AE359" s="1062" t="str">
        <f>'No Recurrentes 24-26'!BU221</f>
        <v/>
      </c>
      <c r="AF359" s="1062" t="str">
        <f>'No Recurrentes 24-26'!BV221</f>
        <v/>
      </c>
      <c r="AG359" s="1062" t="str">
        <f>'No Recurrentes 24-26'!BW221</f>
        <v/>
      </c>
      <c r="AH359" s="1068"/>
      <c r="AI359" s="1062">
        <f>'No Recurrentes 24-26'!BX221</f>
        <v>0</v>
      </c>
      <c r="AJ359" s="1062">
        <f>'No Recurrentes 24-26'!BY221</f>
        <v>0</v>
      </c>
      <c r="AK359" s="1062">
        <f>'No Recurrentes 24-26'!BZ221</f>
        <v>0</v>
      </c>
      <c r="AL359" s="1062">
        <f>'No Recurrentes 24-26'!CA221</f>
        <v>0</v>
      </c>
      <c r="AM359" s="1062">
        <f>'No Recurrentes 24-26'!CB221</f>
        <v>0</v>
      </c>
      <c r="AN359" s="1062">
        <f>'No Recurrentes 24-26'!CC221</f>
        <v>0</v>
      </c>
      <c r="AO359" s="1062">
        <f>'No Recurrentes 24-26'!CD221</f>
        <v>1</v>
      </c>
      <c r="AP359" s="1062">
        <f>'No Recurrentes 24-26'!CE221</f>
        <v>0</v>
      </c>
      <c r="AQ359" s="1062">
        <f>'No Recurrentes 24-26'!CF221</f>
        <v>0</v>
      </c>
      <c r="AR359" s="1062">
        <f>'No Recurrentes 24-26'!CG221</f>
        <v>0</v>
      </c>
      <c r="AS359" s="1062">
        <f>'No Recurrentes 24-26'!CH221</f>
        <v>0</v>
      </c>
      <c r="AT359" s="1068"/>
      <c r="AU359" s="1062">
        <f>'No Recurrentes 24-26'!CI221</f>
        <v>1</v>
      </c>
      <c r="AV359" s="1063">
        <f>'No Recurrentes 24-26'!CJ221</f>
        <v>1</v>
      </c>
      <c r="AW359" s="1068"/>
      <c r="AX359" s="1065">
        <f>'No Recurrentes 24-26'!CK221</f>
        <v>412.67</v>
      </c>
      <c r="AY359" s="1062">
        <f>'No Recurrentes 24-26'!CL221</f>
        <v>2872.1832</v>
      </c>
      <c r="AZ359" s="1068"/>
      <c r="BA359" s="1062">
        <f>'No Recurrentes 24-26'!CM221</f>
        <v>0</v>
      </c>
      <c r="BB359" s="1062">
        <f>'No Recurrentes 24-26'!CN221</f>
        <v>0</v>
      </c>
      <c r="BC359" s="1062">
        <f>'No Recurrentes 24-26'!CO221</f>
        <v>0</v>
      </c>
      <c r="BD359" s="1062">
        <f>'No Recurrentes 24-26'!CP221</f>
        <v>0</v>
      </c>
      <c r="BE359" s="1062">
        <f>'No Recurrentes 24-26'!CQ221</f>
        <v>0</v>
      </c>
      <c r="BF359" s="1062">
        <f>'No Recurrentes 24-26'!CR221</f>
        <v>0</v>
      </c>
      <c r="BG359" s="1062">
        <f>'No Recurrentes 24-26'!CS221</f>
        <v>0</v>
      </c>
      <c r="BH359" s="1062">
        <f>'No Recurrentes 24-26'!CT221</f>
        <v>0</v>
      </c>
      <c r="BI359" s="1062">
        <f>'No Recurrentes 24-26'!CU221</f>
        <v>0</v>
      </c>
      <c r="BJ359" s="1062">
        <f>'No Recurrentes 24-26'!CV221</f>
        <v>0</v>
      </c>
      <c r="BK359" s="1068"/>
      <c r="BL359" s="1062">
        <f>'No Recurrentes 24-26'!CW221</f>
        <v>0</v>
      </c>
      <c r="BM359" s="1062">
        <f>'No Recurrentes 24-26'!CX221</f>
        <v>0</v>
      </c>
      <c r="BN359" s="1062">
        <f>'No Recurrentes 24-26'!CY221</f>
        <v>0</v>
      </c>
      <c r="BO359" s="1062">
        <f>'No Recurrentes 24-26'!CZ221</f>
        <v>0</v>
      </c>
      <c r="BP359" s="1062">
        <f>'No Recurrentes 24-26'!DA221</f>
        <v>0</v>
      </c>
      <c r="BQ359" s="1062">
        <f>'No Recurrentes 24-26'!DB221</f>
        <v>0</v>
      </c>
      <c r="BR359" s="1062">
        <f>'No Recurrentes 24-26'!DC221</f>
        <v>0</v>
      </c>
      <c r="BS359" s="1062">
        <f>'No Recurrentes 24-26'!DD221</f>
        <v>0</v>
      </c>
      <c r="BT359" s="1062">
        <f>'No Recurrentes 24-26'!DE221</f>
        <v>0</v>
      </c>
      <c r="BU359" s="1062">
        <f>'No Recurrentes 24-26'!DF221</f>
        <v>0</v>
      </c>
      <c r="BV359" s="1062">
        <f>'No Recurrentes 24-26'!DG221</f>
        <v>0</v>
      </c>
      <c r="BW359" s="1068"/>
      <c r="BX359" s="1062">
        <f>'No Recurrentes 24-26'!DH221</f>
        <v>0</v>
      </c>
      <c r="BY359" s="1062">
        <f>'No Recurrentes 24-26'!DI221</f>
        <v>0</v>
      </c>
      <c r="BZ359" s="1062">
        <f>'No Recurrentes 24-26'!DJ221</f>
        <v>0</v>
      </c>
      <c r="CA359" s="1062">
        <f>'No Recurrentes 24-26'!DK221</f>
        <v>0</v>
      </c>
      <c r="CB359" s="1062">
        <f>'No Recurrentes 24-26'!DL221</f>
        <v>0</v>
      </c>
      <c r="CC359" s="1062">
        <f>'No Recurrentes 24-26'!DM221</f>
        <v>0</v>
      </c>
      <c r="CD359" s="1062">
        <f>'No Recurrentes 24-26'!DN221</f>
        <v>2872.1832</v>
      </c>
      <c r="CE359" s="1062">
        <f>'No Recurrentes 24-26'!DO221</f>
        <v>0</v>
      </c>
      <c r="CF359" s="1062">
        <f>'No Recurrentes 24-26'!DP221</f>
        <v>0</v>
      </c>
      <c r="CG359" s="1062">
        <f>'No Recurrentes 24-26'!DQ221</f>
        <v>0</v>
      </c>
      <c r="CH359" s="1062">
        <f>'No Recurrentes 24-26'!DR221</f>
        <v>0</v>
      </c>
      <c r="CI359" s="1068"/>
      <c r="CJ359" s="1062">
        <f>'No Recurrentes 24-26'!DS221</f>
        <v>2872.1832</v>
      </c>
      <c r="CK359" s="1062">
        <f>'No Recurrentes 24-26'!DT221</f>
        <v>2872.1832</v>
      </c>
      <c r="CL359" s="1064" t="str">
        <f>'No Recurrentes 24-26'!DU221</f>
        <v/>
      </c>
      <c r="CM359" s="1064" t="str">
        <f>'No Recurrentes 24-26'!DV221</f>
        <v/>
      </c>
      <c r="CN359" s="1065">
        <f>'No Recurrentes 24-26'!EI217</f>
        <v>1.04</v>
      </c>
      <c r="CO359" s="1065">
        <f>'No Recurrentes 24-26'!EJ217</f>
        <v>0.88</v>
      </c>
      <c r="CP359" s="1060" t="str">
        <f>'No Recurrentes 24-26'!EK217</f>
        <v/>
      </c>
    </row>
    <row r="360">
      <c r="A360" s="451" t="str">
        <f>'No Recurrentes 24-26'!A222</f>
        <v>Repuestos Electromecánicos no recurrentes</v>
      </c>
      <c r="B360" s="451" t="str">
        <f>'No Recurrentes 24-26'!B222</f>
        <v/>
      </c>
      <c r="C360" s="451" t="str">
        <f>'No Recurrentes 24-26'!C222</f>
        <v>Estación</v>
      </c>
      <c r="D360" s="451" t="str">
        <f>'No Recurrentes 24-26'!D222</f>
        <v>Manto. Hidraulico</v>
      </c>
      <c r="E360" s="451" t="str">
        <f>'No Recurrentes 24-26'!E222</f>
        <v>Repuesto Hidráulico</v>
      </c>
      <c r="F360" s="451" t="str">
        <f>'No Recurrentes 24-26'!F222</f>
        <v>TDB</v>
      </c>
      <c r="G360" s="1061" t="str">
        <f>'No Recurrentes 24-26'!G222</f>
        <v>39800</v>
      </c>
      <c r="H360" s="1061" t="str">
        <f>'No Recurrentes 24-26'!H222</f>
        <v/>
      </c>
      <c r="I360" s="1061">
        <f>'No Recurrentes 24-26'!I222</f>
        <v>11879327</v>
      </c>
      <c r="J360" s="1061" t="str">
        <f>'No Recurrentes 24-26'!J222</f>
        <v>MANÓMETRO PRES. 0-250 BAR TN 63</v>
      </c>
      <c r="K360" s="451" t="str">
        <f>'No Recurrentes 24-26'!K222</f>
        <v>Pza</v>
      </c>
      <c r="L360" s="451" t="str">
        <f>'No Recurrentes 24-26'!BC222</f>
        <v/>
      </c>
      <c r="M360" s="451" t="str">
        <f>'No Recurrentes 24-26'!BD222</f>
        <v/>
      </c>
      <c r="N360" s="451" t="str">
        <f>'No Recurrentes 24-26'!BE222</f>
        <v/>
      </c>
      <c r="O360" s="451" t="str">
        <f>'No Recurrentes 24-26'!BF222</f>
        <v/>
      </c>
      <c r="P360" s="451" t="str">
        <f>'No Recurrentes 24-26'!BG222</f>
        <v/>
      </c>
      <c r="Q360" s="451" t="str">
        <f>'No Recurrentes 24-26'!BH222</f>
        <v/>
      </c>
      <c r="R360" s="451" t="str">
        <f>'No Recurrentes 24-26'!BI222</f>
        <v/>
      </c>
      <c r="S360" s="451" t="str">
        <f>'No Recurrentes 24-26'!BJ222</f>
        <v/>
      </c>
      <c r="T360" s="451" t="str">
        <f>'No Recurrentes 24-26'!BK222</f>
        <v/>
      </c>
      <c r="U360" s="451" t="str">
        <f>'No Recurrentes 24-26'!BL222</f>
        <v/>
      </c>
      <c r="V360" s="1068"/>
      <c r="W360" s="1062">
        <f>'No Recurrentes 24-26'!BM222</f>
        <v>0</v>
      </c>
      <c r="X360" s="1062" t="str">
        <f>'No Recurrentes 24-26'!BN222</f>
        <v/>
      </c>
      <c r="Y360" s="1062" t="str">
        <f>'No Recurrentes 24-26'!BO222</f>
        <v/>
      </c>
      <c r="Z360" s="1062" t="str">
        <f>'No Recurrentes 24-26'!BP222</f>
        <v/>
      </c>
      <c r="AA360" s="1062" t="str">
        <f>'No Recurrentes 24-26'!BQ222</f>
        <v/>
      </c>
      <c r="AB360" s="1062" t="str">
        <f>'No Recurrentes 24-26'!BR222</f>
        <v/>
      </c>
      <c r="AC360" s="1062" t="str">
        <f>'No Recurrentes 24-26'!BS222</f>
        <v/>
      </c>
      <c r="AD360" s="1062" t="str">
        <f>'No Recurrentes 24-26'!BT222</f>
        <v/>
      </c>
      <c r="AE360" s="1062" t="str">
        <f>'No Recurrentes 24-26'!BU222</f>
        <v/>
      </c>
      <c r="AF360" s="1062" t="str">
        <f>'No Recurrentes 24-26'!BV222</f>
        <v/>
      </c>
      <c r="AG360" s="1062" t="str">
        <f>'No Recurrentes 24-26'!BW222</f>
        <v/>
      </c>
      <c r="AH360" s="1068"/>
      <c r="AI360" s="1062">
        <f>'No Recurrentes 24-26'!BX222</f>
        <v>0</v>
      </c>
      <c r="AJ360" s="1062">
        <f>'No Recurrentes 24-26'!BY222</f>
        <v>0</v>
      </c>
      <c r="AK360" s="1062">
        <f>'No Recurrentes 24-26'!BZ222</f>
        <v>0</v>
      </c>
      <c r="AL360" s="1062">
        <f>'No Recurrentes 24-26'!CA222</f>
        <v>0</v>
      </c>
      <c r="AM360" s="1062">
        <f>'No Recurrentes 24-26'!CB222</f>
        <v>0</v>
      </c>
      <c r="AN360" s="1062">
        <f>'No Recurrentes 24-26'!CC222</f>
        <v>0</v>
      </c>
      <c r="AO360" s="1062">
        <f>'No Recurrentes 24-26'!CD222</f>
        <v>0</v>
      </c>
      <c r="AP360" s="1062">
        <f>'No Recurrentes 24-26'!CE222</f>
        <v>0</v>
      </c>
      <c r="AQ360" s="1062">
        <f>'No Recurrentes 24-26'!CF222</f>
        <v>0</v>
      </c>
      <c r="AR360" s="1062">
        <f>'No Recurrentes 24-26'!CG222</f>
        <v>0</v>
      </c>
      <c r="AS360" s="1062">
        <f>'No Recurrentes 24-26'!CH222</f>
        <v>0</v>
      </c>
      <c r="AT360" s="1068"/>
      <c r="AU360" s="1062">
        <f>'No Recurrentes 24-26'!CI222</f>
        <v>0</v>
      </c>
      <c r="AV360" s="1063">
        <f>'No Recurrentes 24-26'!CJ222</f>
        <v>0</v>
      </c>
      <c r="AW360" s="1068"/>
      <c r="AX360" s="1062" t="str">
        <f>'No Recurrentes 24-26'!CK222</f>
        <v/>
      </c>
      <c r="AY360" s="1062">
        <f>'No Recurrentes 24-26'!CL222</f>
        <v>422.4517</v>
      </c>
      <c r="AZ360" s="1068"/>
      <c r="BA360" s="1062">
        <f>'No Recurrentes 24-26'!CM222</f>
        <v>0</v>
      </c>
      <c r="BB360" s="1062">
        <f>'No Recurrentes 24-26'!CN222</f>
        <v>0</v>
      </c>
      <c r="BC360" s="1062">
        <f>'No Recurrentes 24-26'!CO222</f>
        <v>0</v>
      </c>
      <c r="BD360" s="1062">
        <f>'No Recurrentes 24-26'!CP222</f>
        <v>0</v>
      </c>
      <c r="BE360" s="1062">
        <f>'No Recurrentes 24-26'!CQ222</f>
        <v>0</v>
      </c>
      <c r="BF360" s="1062">
        <f>'No Recurrentes 24-26'!CR222</f>
        <v>0</v>
      </c>
      <c r="BG360" s="1062">
        <f>'No Recurrentes 24-26'!CS222</f>
        <v>0</v>
      </c>
      <c r="BH360" s="1062">
        <f>'No Recurrentes 24-26'!CT222</f>
        <v>0</v>
      </c>
      <c r="BI360" s="1062">
        <f>'No Recurrentes 24-26'!CU222</f>
        <v>0</v>
      </c>
      <c r="BJ360" s="1062">
        <f>'No Recurrentes 24-26'!CV222</f>
        <v>0</v>
      </c>
      <c r="BK360" s="1068"/>
      <c r="BL360" s="1062">
        <f>'No Recurrentes 24-26'!CW222</f>
        <v>0</v>
      </c>
      <c r="BM360" s="1062">
        <f>'No Recurrentes 24-26'!CX222</f>
        <v>0</v>
      </c>
      <c r="BN360" s="1062">
        <f>'No Recurrentes 24-26'!CY222</f>
        <v>0</v>
      </c>
      <c r="BO360" s="1062">
        <f>'No Recurrentes 24-26'!CZ222</f>
        <v>0</v>
      </c>
      <c r="BP360" s="1062">
        <f>'No Recurrentes 24-26'!DA222</f>
        <v>0</v>
      </c>
      <c r="BQ360" s="1062">
        <f>'No Recurrentes 24-26'!DB222</f>
        <v>0</v>
      </c>
      <c r="BR360" s="1062">
        <f>'No Recurrentes 24-26'!DC222</f>
        <v>0</v>
      </c>
      <c r="BS360" s="1062">
        <f>'No Recurrentes 24-26'!DD222</f>
        <v>0</v>
      </c>
      <c r="BT360" s="1062">
        <f>'No Recurrentes 24-26'!DE222</f>
        <v>0</v>
      </c>
      <c r="BU360" s="1062">
        <f>'No Recurrentes 24-26'!DF222</f>
        <v>0</v>
      </c>
      <c r="BV360" s="1062">
        <f>'No Recurrentes 24-26'!DG222</f>
        <v>0</v>
      </c>
      <c r="BW360" s="1068"/>
      <c r="BX360" s="1062">
        <f>'No Recurrentes 24-26'!DH222</f>
        <v>0</v>
      </c>
      <c r="BY360" s="1062">
        <f>'No Recurrentes 24-26'!DI222</f>
        <v>0</v>
      </c>
      <c r="BZ360" s="1062">
        <f>'No Recurrentes 24-26'!DJ222</f>
        <v>0</v>
      </c>
      <c r="CA360" s="1062">
        <f>'No Recurrentes 24-26'!DK222</f>
        <v>0</v>
      </c>
      <c r="CB360" s="1062">
        <f>'No Recurrentes 24-26'!DL222</f>
        <v>0</v>
      </c>
      <c r="CC360" s="1062">
        <f>'No Recurrentes 24-26'!DM222</f>
        <v>0</v>
      </c>
      <c r="CD360" s="1062">
        <f>'No Recurrentes 24-26'!DN222</f>
        <v>0</v>
      </c>
      <c r="CE360" s="1062">
        <f>'No Recurrentes 24-26'!DO222</f>
        <v>0</v>
      </c>
      <c r="CF360" s="1062">
        <f>'No Recurrentes 24-26'!DP222</f>
        <v>0</v>
      </c>
      <c r="CG360" s="1062">
        <f>'No Recurrentes 24-26'!DQ222</f>
        <v>0</v>
      </c>
      <c r="CH360" s="1062">
        <f>'No Recurrentes 24-26'!DR222</f>
        <v>0</v>
      </c>
      <c r="CI360" s="1068"/>
      <c r="CJ360" s="1062">
        <f>'No Recurrentes 24-26'!DS222</f>
        <v>0</v>
      </c>
      <c r="CK360" s="1062">
        <f>'No Recurrentes 24-26'!DT222</f>
        <v>0</v>
      </c>
      <c r="CL360" s="1064" t="str">
        <f>'No Recurrentes 24-26'!DU222</f>
        <v/>
      </c>
      <c r="CM360" s="1064" t="str">
        <f>'No Recurrentes 24-26'!DV222</f>
        <v/>
      </c>
      <c r="CN360" s="1065">
        <f>'No Recurrentes 24-26'!EI218</f>
        <v>0.08</v>
      </c>
      <c r="CO360" s="1065">
        <f>'No Recurrentes 24-26'!EJ218</f>
        <v>0.07</v>
      </c>
      <c r="CP360" s="1060" t="str">
        <f>'No Recurrentes 24-26'!EK218</f>
        <v/>
      </c>
    </row>
    <row r="361">
      <c r="A361" s="451" t="str">
        <f>'No Recurrentes 24-26'!A223</f>
        <v>Repuestos Electromecánicos no recurrentes</v>
      </c>
      <c r="B361" s="451" t="str">
        <f>'No Recurrentes 24-26'!B223</f>
        <v/>
      </c>
      <c r="C361" s="451" t="str">
        <f>'No Recurrentes 24-26'!C223</f>
        <v>Estación</v>
      </c>
      <c r="D361" s="451" t="str">
        <f>'No Recurrentes 24-26'!D223</f>
        <v>Manto. Hidraulico</v>
      </c>
      <c r="E361" s="451" t="str">
        <f>'No Recurrentes 24-26'!E223</f>
        <v>Repuesto Hidráulico</v>
      </c>
      <c r="F361" s="451" t="str">
        <f>'No Recurrentes 24-26'!F223</f>
        <v>TDB</v>
      </c>
      <c r="G361" s="1061" t="str">
        <f>'No Recurrentes 24-26'!G223</f>
        <v>39800</v>
      </c>
      <c r="H361" s="1061" t="str">
        <f>'No Recurrentes 24-26'!H223</f>
        <v/>
      </c>
      <c r="I361" s="1061" t="str">
        <f>'No Recurrentes 24-26'!I223</f>
        <v/>
      </c>
      <c r="J361" s="1061" t="str">
        <f>'No Recurrentes 24-26'!J223</f>
        <v>MAGUERA HIDRAULICA FRENO DE EMERGENCIA</v>
      </c>
      <c r="K361" s="451" t="str">
        <f>'No Recurrentes 24-26'!K223</f>
        <v>Pza</v>
      </c>
      <c r="L361" s="451">
        <f>'No Recurrentes 24-26'!BC223</f>
        <v>0</v>
      </c>
      <c r="M361" s="451" t="str">
        <f>'No Recurrentes 24-26'!BD223</f>
        <v/>
      </c>
      <c r="N361" s="451" t="str">
        <f>'No Recurrentes 24-26'!BE223</f>
        <v/>
      </c>
      <c r="O361" s="451" t="str">
        <f>'No Recurrentes 24-26'!BF223</f>
        <v/>
      </c>
      <c r="P361" s="451" t="str">
        <f>'No Recurrentes 24-26'!BG223</f>
        <v/>
      </c>
      <c r="Q361" s="451" t="str">
        <f>'No Recurrentes 24-26'!BH223</f>
        <v/>
      </c>
      <c r="R361" s="451" t="str">
        <f>'No Recurrentes 24-26'!BI223</f>
        <v/>
      </c>
      <c r="S361" s="451" t="str">
        <f>'No Recurrentes 24-26'!BJ223</f>
        <v/>
      </c>
      <c r="T361" s="451" t="str">
        <f>'No Recurrentes 24-26'!BK223</f>
        <v/>
      </c>
      <c r="U361" s="451" t="str">
        <f>'No Recurrentes 24-26'!BL223</f>
        <v/>
      </c>
      <c r="V361" s="1068"/>
      <c r="W361" s="1062">
        <f>'No Recurrentes 24-26'!BM223</f>
        <v>0</v>
      </c>
      <c r="X361" s="1062" t="str">
        <f>'No Recurrentes 24-26'!BN223</f>
        <v/>
      </c>
      <c r="Y361" s="1062" t="str">
        <f>'No Recurrentes 24-26'!BO223</f>
        <v/>
      </c>
      <c r="Z361" s="1062" t="str">
        <f>'No Recurrentes 24-26'!BP223</f>
        <v/>
      </c>
      <c r="AA361" s="1062" t="str">
        <f>'No Recurrentes 24-26'!BQ223</f>
        <v/>
      </c>
      <c r="AB361" s="1062" t="str">
        <f>'No Recurrentes 24-26'!BR223</f>
        <v/>
      </c>
      <c r="AC361" s="1062" t="str">
        <f>'No Recurrentes 24-26'!BS223</f>
        <v/>
      </c>
      <c r="AD361" s="1062" t="str">
        <f>'No Recurrentes 24-26'!BT223</f>
        <v/>
      </c>
      <c r="AE361" s="1062" t="str">
        <f>'No Recurrentes 24-26'!BU223</f>
        <v/>
      </c>
      <c r="AF361" s="1062" t="str">
        <f>'No Recurrentes 24-26'!BV223</f>
        <v/>
      </c>
      <c r="AG361" s="1062" t="str">
        <f>'No Recurrentes 24-26'!BW223</f>
        <v/>
      </c>
      <c r="AH361" s="1068"/>
      <c r="AI361" s="1062">
        <f>'No Recurrentes 24-26'!BX223</f>
        <v>0</v>
      </c>
      <c r="AJ361" s="1062">
        <f>'No Recurrentes 24-26'!BY223</f>
        <v>0</v>
      </c>
      <c r="AK361" s="1062">
        <f>'No Recurrentes 24-26'!BZ223</f>
        <v>0</v>
      </c>
      <c r="AL361" s="1062">
        <f>'No Recurrentes 24-26'!CA223</f>
        <v>0</v>
      </c>
      <c r="AM361" s="1062">
        <f>'No Recurrentes 24-26'!CB223</f>
        <v>0</v>
      </c>
      <c r="AN361" s="1062">
        <f>'No Recurrentes 24-26'!CC223</f>
        <v>0</v>
      </c>
      <c r="AO361" s="1062">
        <f>'No Recurrentes 24-26'!CD223</f>
        <v>0</v>
      </c>
      <c r="AP361" s="1062">
        <f>'No Recurrentes 24-26'!CE223</f>
        <v>0</v>
      </c>
      <c r="AQ361" s="1062">
        <f>'No Recurrentes 24-26'!CF223</f>
        <v>0</v>
      </c>
      <c r="AR361" s="1062">
        <f>'No Recurrentes 24-26'!CG223</f>
        <v>0</v>
      </c>
      <c r="AS361" s="1062">
        <f>'No Recurrentes 24-26'!CH223</f>
        <v>0</v>
      </c>
      <c r="AT361" s="1068"/>
      <c r="AU361" s="1062">
        <f>'No Recurrentes 24-26'!CI223</f>
        <v>0</v>
      </c>
      <c r="AV361" s="1063">
        <f>'No Recurrentes 24-26'!CJ223</f>
        <v>0</v>
      </c>
      <c r="AW361" s="1068"/>
      <c r="AX361" s="1062" t="str">
        <f>'No Recurrentes 24-26'!CK223</f>
        <v/>
      </c>
      <c r="AY361" s="1062">
        <f>'No Recurrentes 24-26'!CL223</f>
        <v>0</v>
      </c>
      <c r="AZ361" s="1068"/>
      <c r="BA361" s="1062">
        <f>'No Recurrentes 24-26'!CM223</f>
        <v>0</v>
      </c>
      <c r="BB361" s="1062">
        <f>'No Recurrentes 24-26'!CN223</f>
        <v>0</v>
      </c>
      <c r="BC361" s="1062">
        <f>'No Recurrentes 24-26'!CO223</f>
        <v>0</v>
      </c>
      <c r="BD361" s="1062">
        <f>'No Recurrentes 24-26'!CP223</f>
        <v>0</v>
      </c>
      <c r="BE361" s="1062">
        <f>'No Recurrentes 24-26'!CQ223</f>
        <v>0</v>
      </c>
      <c r="BF361" s="1062">
        <f>'No Recurrentes 24-26'!CR223</f>
        <v>0</v>
      </c>
      <c r="BG361" s="1062">
        <f>'No Recurrentes 24-26'!CS223</f>
        <v>0</v>
      </c>
      <c r="BH361" s="1062">
        <f>'No Recurrentes 24-26'!CT223</f>
        <v>0</v>
      </c>
      <c r="BI361" s="1062">
        <f>'No Recurrentes 24-26'!CU223</f>
        <v>0</v>
      </c>
      <c r="BJ361" s="1062">
        <f>'No Recurrentes 24-26'!CV223</f>
        <v>0</v>
      </c>
      <c r="BK361" s="1068"/>
      <c r="BL361" s="1062">
        <f>'No Recurrentes 24-26'!CW223</f>
        <v>0</v>
      </c>
      <c r="BM361" s="1062">
        <f>'No Recurrentes 24-26'!CX223</f>
        <v>0</v>
      </c>
      <c r="BN361" s="1062">
        <f>'No Recurrentes 24-26'!CY223</f>
        <v>0</v>
      </c>
      <c r="BO361" s="1062">
        <f>'No Recurrentes 24-26'!CZ223</f>
        <v>0</v>
      </c>
      <c r="BP361" s="1062">
        <f>'No Recurrentes 24-26'!DA223</f>
        <v>0</v>
      </c>
      <c r="BQ361" s="1062">
        <f>'No Recurrentes 24-26'!DB223</f>
        <v>0</v>
      </c>
      <c r="BR361" s="1062">
        <f>'No Recurrentes 24-26'!DC223</f>
        <v>0</v>
      </c>
      <c r="BS361" s="1062">
        <f>'No Recurrentes 24-26'!DD223</f>
        <v>0</v>
      </c>
      <c r="BT361" s="1062">
        <f>'No Recurrentes 24-26'!DE223</f>
        <v>0</v>
      </c>
      <c r="BU361" s="1062">
        <f>'No Recurrentes 24-26'!DF223</f>
        <v>0</v>
      </c>
      <c r="BV361" s="1062">
        <f>'No Recurrentes 24-26'!DG223</f>
        <v>0</v>
      </c>
      <c r="BW361" s="1068"/>
      <c r="BX361" s="1062">
        <f>'No Recurrentes 24-26'!DH223</f>
        <v>0</v>
      </c>
      <c r="BY361" s="1062">
        <f>'No Recurrentes 24-26'!DI223</f>
        <v>0</v>
      </c>
      <c r="BZ361" s="1062">
        <f>'No Recurrentes 24-26'!DJ223</f>
        <v>0</v>
      </c>
      <c r="CA361" s="1062">
        <f>'No Recurrentes 24-26'!DK223</f>
        <v>0</v>
      </c>
      <c r="CB361" s="1062">
        <f>'No Recurrentes 24-26'!DL223</f>
        <v>0</v>
      </c>
      <c r="CC361" s="1062">
        <f>'No Recurrentes 24-26'!DM223</f>
        <v>0</v>
      </c>
      <c r="CD361" s="1062">
        <f>'No Recurrentes 24-26'!DN223</f>
        <v>0</v>
      </c>
      <c r="CE361" s="1062">
        <f>'No Recurrentes 24-26'!DO223</f>
        <v>0</v>
      </c>
      <c r="CF361" s="1062">
        <f>'No Recurrentes 24-26'!DP223</f>
        <v>0</v>
      </c>
      <c r="CG361" s="1062">
        <f>'No Recurrentes 24-26'!DQ223</f>
        <v>0</v>
      </c>
      <c r="CH361" s="1062">
        <f>'No Recurrentes 24-26'!DR223</f>
        <v>0</v>
      </c>
      <c r="CI361" s="1068"/>
      <c r="CJ361" s="1062">
        <f>'No Recurrentes 24-26'!DS223</f>
        <v>0</v>
      </c>
      <c r="CK361" s="1062">
        <f>'No Recurrentes 24-26'!DT223</f>
        <v>0</v>
      </c>
      <c r="CL361" s="1064" t="str">
        <f>'No Recurrentes 24-26'!DU223</f>
        <v/>
      </c>
      <c r="CM361" s="1064" t="str">
        <f>'No Recurrentes 24-26'!DV223</f>
        <v/>
      </c>
      <c r="CN361" s="1060">
        <f>'No Recurrentes 24-26'!EI219</f>
        <v>1</v>
      </c>
      <c r="CO361" s="1060" t="str">
        <f>'No Recurrentes 24-26'!EJ219</f>
        <v/>
      </c>
      <c r="CP361" s="1060" t="str">
        <f>'No Recurrentes 24-26'!EK219</f>
        <v/>
      </c>
    </row>
    <row r="362">
      <c r="A362" s="451" t="str">
        <f>'No Recurrentes 24-26'!A224</f>
        <v>Repuestos Electromecánicos no recurrentes</v>
      </c>
      <c r="B362" s="451">
        <f>'No Recurrentes 24-26'!B224</f>
        <v>2</v>
      </c>
      <c r="C362" s="451" t="str">
        <f>'No Recurrentes 24-26'!C224</f>
        <v>Estación</v>
      </c>
      <c r="D362" s="451" t="str">
        <f>'No Recurrentes 24-26'!D224</f>
        <v>Manto. Motores y reductores</v>
      </c>
      <c r="E362" s="451" t="str">
        <f>'No Recurrentes 24-26'!E224</f>
        <v>Repuesto Mecánico</v>
      </c>
      <c r="F362" s="451" t="str">
        <f>'No Recurrentes 24-26'!F224</f>
        <v>TDB</v>
      </c>
      <c r="G362" s="1025" t="str">
        <f>'No Recurrentes 24-26'!G224</f>
        <v>39800</v>
      </c>
      <c r="H362" s="1061" t="str">
        <f>'No Recurrentes 24-26'!H224</f>
        <v/>
      </c>
      <c r="I362" s="1061" t="str">
        <f>'No Recurrentes 24-26'!I224</f>
        <v>12047873</v>
      </c>
      <c r="J362" s="1061" t="str">
        <f>'No Recurrentes 24-26'!J224</f>
        <v>FREMDLUEFTERMOTOR  HEFIE3 FOL 100LA/4  3,0KW 400V 50HZ  EMOD</v>
      </c>
      <c r="K362" s="451" t="str">
        <f>'No Recurrentes 24-26'!K224</f>
        <v>Pza</v>
      </c>
      <c r="L362" s="451" t="str">
        <f>'No Recurrentes 24-26'!BC224</f>
        <v/>
      </c>
      <c r="M362" s="451" t="str">
        <f>'No Recurrentes 24-26'!BD224</f>
        <v/>
      </c>
      <c r="N362" s="451" t="str">
        <f>'No Recurrentes 24-26'!BE224</f>
        <v/>
      </c>
      <c r="O362" s="451" t="str">
        <f>'No Recurrentes 24-26'!BF224</f>
        <v/>
      </c>
      <c r="P362" s="451">
        <f>'No Recurrentes 24-26'!BG224</f>
        <v>1</v>
      </c>
      <c r="Q362" s="451" t="str">
        <f>'No Recurrentes 24-26'!BH224</f>
        <v/>
      </c>
      <c r="R362" s="451" t="str">
        <f>'No Recurrentes 24-26'!BI224</f>
        <v/>
      </c>
      <c r="S362" s="451" t="str">
        <f>'No Recurrentes 24-26'!BJ224</f>
        <v/>
      </c>
      <c r="T362" s="451" t="str">
        <f>'No Recurrentes 24-26'!BK224</f>
        <v/>
      </c>
      <c r="U362" s="451" t="str">
        <f>'No Recurrentes 24-26'!BL224</f>
        <v/>
      </c>
      <c r="V362" s="1068"/>
      <c r="W362" s="1062">
        <f>'No Recurrentes 24-26'!BM224</f>
        <v>1</v>
      </c>
      <c r="X362" s="1062" t="str">
        <f>'No Recurrentes 24-26'!BN224</f>
        <v/>
      </c>
      <c r="Y362" s="1062" t="str">
        <f>'No Recurrentes 24-26'!BO224</f>
        <v/>
      </c>
      <c r="Z362" s="1062" t="str">
        <f>'No Recurrentes 24-26'!BP224</f>
        <v/>
      </c>
      <c r="AA362" s="1062" t="str">
        <f>'No Recurrentes 24-26'!BQ224</f>
        <v/>
      </c>
      <c r="AB362" s="1062" t="str">
        <f>'No Recurrentes 24-26'!BR224</f>
        <v/>
      </c>
      <c r="AC362" s="1062" t="str">
        <f>'No Recurrentes 24-26'!BS224</f>
        <v/>
      </c>
      <c r="AD362" s="1062" t="str">
        <f>'No Recurrentes 24-26'!BT224</f>
        <v/>
      </c>
      <c r="AE362" s="1062" t="str">
        <f>'No Recurrentes 24-26'!BU224</f>
        <v/>
      </c>
      <c r="AF362" s="1062" t="str">
        <f>'No Recurrentes 24-26'!BV224</f>
        <v/>
      </c>
      <c r="AG362" s="1062" t="str">
        <f>'No Recurrentes 24-26'!BW224</f>
        <v/>
      </c>
      <c r="AH362" s="1068"/>
      <c r="AI362" s="1062">
        <f>'No Recurrentes 24-26'!BX224</f>
        <v>0</v>
      </c>
      <c r="AJ362" s="1062">
        <f>'No Recurrentes 24-26'!BY224</f>
        <v>0</v>
      </c>
      <c r="AK362" s="1062">
        <f>'No Recurrentes 24-26'!BZ224</f>
        <v>0</v>
      </c>
      <c r="AL362" s="1062">
        <f>'No Recurrentes 24-26'!CA224</f>
        <v>0</v>
      </c>
      <c r="AM362" s="1062">
        <f>'No Recurrentes 24-26'!CB224</f>
        <v>0</v>
      </c>
      <c r="AN362" s="1062">
        <f>'No Recurrentes 24-26'!CC224</f>
        <v>0</v>
      </c>
      <c r="AO362" s="1062">
        <f>'No Recurrentes 24-26'!CD224</f>
        <v>0</v>
      </c>
      <c r="AP362" s="1062">
        <f>'No Recurrentes 24-26'!CE224</f>
        <v>0</v>
      </c>
      <c r="AQ362" s="1062">
        <f>'No Recurrentes 24-26'!CF224</f>
        <v>0</v>
      </c>
      <c r="AR362" s="1062">
        <f>'No Recurrentes 24-26'!CG224</f>
        <v>0</v>
      </c>
      <c r="AS362" s="1062">
        <f>'No Recurrentes 24-26'!CH224</f>
        <v>0</v>
      </c>
      <c r="AT362" s="1068"/>
      <c r="AU362" s="1062">
        <f>'No Recurrentes 24-26'!CI224</f>
        <v>0</v>
      </c>
      <c r="AV362" s="1063">
        <f>'No Recurrentes 24-26'!CJ224</f>
        <v>1</v>
      </c>
      <c r="AW362" s="1068"/>
      <c r="AX362" s="1065">
        <f>'No Recurrentes 24-26'!CK224</f>
        <v>3779.06</v>
      </c>
      <c r="AY362" s="1062">
        <f>'No Recurrentes 24-26'!CL224</f>
        <v>26302.2576</v>
      </c>
      <c r="AZ362" s="1068"/>
      <c r="BA362" s="1062">
        <f>'No Recurrentes 24-26'!CM224</f>
        <v>0</v>
      </c>
      <c r="BB362" s="1062">
        <f>'No Recurrentes 24-26'!CN224</f>
        <v>0</v>
      </c>
      <c r="BC362" s="1062">
        <f>'No Recurrentes 24-26'!CO224</f>
        <v>0</v>
      </c>
      <c r="BD362" s="1062">
        <f>'No Recurrentes 24-26'!CP224</f>
        <v>0</v>
      </c>
      <c r="BE362" s="1062">
        <f>'No Recurrentes 24-26'!CQ224</f>
        <v>26302.2576</v>
      </c>
      <c r="BF362" s="1062">
        <f>'No Recurrentes 24-26'!CR224</f>
        <v>0</v>
      </c>
      <c r="BG362" s="1062">
        <f>'No Recurrentes 24-26'!CS224</f>
        <v>0</v>
      </c>
      <c r="BH362" s="1062">
        <f>'No Recurrentes 24-26'!CT224</f>
        <v>0</v>
      </c>
      <c r="BI362" s="1062">
        <f>'No Recurrentes 24-26'!CU224</f>
        <v>0</v>
      </c>
      <c r="BJ362" s="1062">
        <f>'No Recurrentes 24-26'!CV224</f>
        <v>0</v>
      </c>
      <c r="BK362" s="1068"/>
      <c r="BL362" s="1062">
        <f>'No Recurrentes 24-26'!CW224</f>
        <v>26302.2576</v>
      </c>
      <c r="BM362" s="1062">
        <f>'No Recurrentes 24-26'!CX224</f>
        <v>0</v>
      </c>
      <c r="BN362" s="1062">
        <f>'No Recurrentes 24-26'!CY224</f>
        <v>0</v>
      </c>
      <c r="BO362" s="1062">
        <f>'No Recurrentes 24-26'!CZ224</f>
        <v>0</v>
      </c>
      <c r="BP362" s="1062">
        <f>'No Recurrentes 24-26'!DA224</f>
        <v>0</v>
      </c>
      <c r="BQ362" s="1062">
        <f>'No Recurrentes 24-26'!DB224</f>
        <v>0</v>
      </c>
      <c r="BR362" s="1062">
        <f>'No Recurrentes 24-26'!DC224</f>
        <v>0</v>
      </c>
      <c r="BS362" s="1062">
        <f>'No Recurrentes 24-26'!DD224</f>
        <v>0</v>
      </c>
      <c r="BT362" s="1062">
        <f>'No Recurrentes 24-26'!DE224</f>
        <v>0</v>
      </c>
      <c r="BU362" s="1062">
        <f>'No Recurrentes 24-26'!DF224</f>
        <v>0</v>
      </c>
      <c r="BV362" s="1062">
        <f>'No Recurrentes 24-26'!DG224</f>
        <v>0</v>
      </c>
      <c r="BW362" s="1068"/>
      <c r="BX362" s="1062">
        <f>'No Recurrentes 24-26'!DH224</f>
        <v>0</v>
      </c>
      <c r="BY362" s="1062">
        <f>'No Recurrentes 24-26'!DI224</f>
        <v>0</v>
      </c>
      <c r="BZ362" s="1062">
        <f>'No Recurrentes 24-26'!DJ224</f>
        <v>0</v>
      </c>
      <c r="CA362" s="1062">
        <f>'No Recurrentes 24-26'!DK224</f>
        <v>0</v>
      </c>
      <c r="CB362" s="1062">
        <f>'No Recurrentes 24-26'!DL224</f>
        <v>0</v>
      </c>
      <c r="CC362" s="1062">
        <f>'No Recurrentes 24-26'!DM224</f>
        <v>0</v>
      </c>
      <c r="CD362" s="1062">
        <f>'No Recurrentes 24-26'!DN224</f>
        <v>0</v>
      </c>
      <c r="CE362" s="1062">
        <f>'No Recurrentes 24-26'!DO224</f>
        <v>0</v>
      </c>
      <c r="CF362" s="1062">
        <f>'No Recurrentes 24-26'!DP224</f>
        <v>0</v>
      </c>
      <c r="CG362" s="1062">
        <f>'No Recurrentes 24-26'!DQ224</f>
        <v>0</v>
      </c>
      <c r="CH362" s="1062">
        <f>'No Recurrentes 24-26'!DR224</f>
        <v>0</v>
      </c>
      <c r="CI362" s="1068"/>
      <c r="CJ362" s="1062">
        <f>'No Recurrentes 24-26'!DS224</f>
        <v>0</v>
      </c>
      <c r="CK362" s="1062">
        <f>'No Recurrentes 24-26'!DT224</f>
        <v>26302.2576</v>
      </c>
      <c r="CL362" s="1064" t="str">
        <f>'No Recurrentes 24-26'!DU224</f>
        <v/>
      </c>
      <c r="CM362" s="1064" t="str">
        <f>'No Recurrentes 24-26'!DV224</f>
        <v/>
      </c>
      <c r="CN362" s="1060">
        <f>'No Recurrentes 24-26'!EI220</f>
        <v>1</v>
      </c>
      <c r="CO362" s="1060" t="str">
        <f>'No Recurrentes 24-26'!EJ220</f>
        <v/>
      </c>
      <c r="CP362" s="1060" t="str">
        <f>'No Recurrentes 24-26'!EK220</f>
        <v/>
      </c>
    </row>
    <row r="363">
      <c r="A363" s="451" t="str">
        <f>'No Recurrentes 24-26'!A225</f>
        <v>Repuestos Electromecánicos no recurrentes</v>
      </c>
      <c r="B363" s="451">
        <f>'No Recurrentes 24-26'!B225</f>
        <v>40</v>
      </c>
      <c r="C363" s="451" t="str">
        <f>'No Recurrentes 24-26'!C225</f>
        <v>Estación</v>
      </c>
      <c r="D363" s="451" t="str">
        <f>'No Recurrentes 24-26'!D225</f>
        <v>Manto. Motores y reductores</v>
      </c>
      <c r="E363" s="451" t="str">
        <f>'No Recurrentes 24-26'!E225</f>
        <v>Repuesto Mecánico</v>
      </c>
      <c r="F363" s="451" t="str">
        <f>'No Recurrentes 24-26'!F225</f>
        <v>LOCAL</v>
      </c>
      <c r="G363" s="1061" t="str">
        <f>'No Recurrentes 24-26'!G225</f>
        <v>39800</v>
      </c>
      <c r="H363" s="1061" t="str">
        <f>'No Recurrentes 24-26'!H225</f>
        <v>2-01-00563</v>
      </c>
      <c r="I363" s="1061" t="str">
        <f>'No Recurrentes 24-26'!I225</f>
        <v/>
      </c>
      <c r="J363" s="1061" t="str">
        <f>'No Recurrentes 24-26'!J225</f>
        <v>RODAMIENTO 6305 ZZ (MOTOR APOYO PAR)</v>
      </c>
      <c r="K363" s="451" t="str">
        <f>'No Recurrentes 24-26'!K225</f>
        <v>Pza</v>
      </c>
      <c r="L363" s="451">
        <f>'No Recurrentes 24-26'!BC225</f>
        <v>6</v>
      </c>
      <c r="M363" s="451">
        <f>'No Recurrentes 24-26'!BD225</f>
        <v>4</v>
      </c>
      <c r="N363" s="451">
        <f>'No Recurrentes 24-26'!BE225</f>
        <v>6</v>
      </c>
      <c r="O363" s="451">
        <f>'No Recurrentes 24-26'!BF225</f>
        <v>5</v>
      </c>
      <c r="P363" s="451">
        <f>'No Recurrentes 24-26'!BG225</f>
        <v>5</v>
      </c>
      <c r="Q363" s="451">
        <f>'No Recurrentes 24-26'!BH225</f>
        <v>5</v>
      </c>
      <c r="R363" s="451">
        <f>'No Recurrentes 24-26'!BI225</f>
        <v>4</v>
      </c>
      <c r="S363" s="451">
        <f>'No Recurrentes 24-26'!BJ225</f>
        <v>4</v>
      </c>
      <c r="T363" s="451" t="str">
        <f>'No Recurrentes 24-26'!BK225</f>
        <v/>
      </c>
      <c r="U363" s="451">
        <f>'No Recurrentes 24-26'!BL225</f>
        <v>24</v>
      </c>
      <c r="V363" s="1068"/>
      <c r="W363" s="1062">
        <f>'No Recurrentes 24-26'!BM225</f>
        <v>63</v>
      </c>
      <c r="X363" s="1062" t="str">
        <f>'No Recurrentes 24-26'!BN225</f>
        <v/>
      </c>
      <c r="Y363" s="1062" t="str">
        <f>'No Recurrentes 24-26'!BO225</f>
        <v/>
      </c>
      <c r="Z363" s="1062" t="str">
        <f>'No Recurrentes 24-26'!BP225</f>
        <v/>
      </c>
      <c r="AA363" s="1062" t="str">
        <f>'No Recurrentes 24-26'!BQ225</f>
        <v/>
      </c>
      <c r="AB363" s="1062" t="str">
        <f>'No Recurrentes 24-26'!BR225</f>
        <v/>
      </c>
      <c r="AC363" s="1062" t="str">
        <f>'No Recurrentes 24-26'!BS225</f>
        <v/>
      </c>
      <c r="AD363" s="1062" t="str">
        <f>'No Recurrentes 24-26'!BT225</f>
        <v/>
      </c>
      <c r="AE363" s="1062" t="str">
        <f>'No Recurrentes 24-26'!BU225</f>
        <v/>
      </c>
      <c r="AF363" s="1062" t="str">
        <f>'No Recurrentes 24-26'!BV225</f>
        <v/>
      </c>
      <c r="AG363" s="1062" t="str">
        <f>'No Recurrentes 24-26'!BW225</f>
        <v/>
      </c>
      <c r="AH363" s="1068"/>
      <c r="AI363" s="1062">
        <f>'No Recurrentes 24-26'!BX225</f>
        <v>0</v>
      </c>
      <c r="AJ363" s="1062">
        <f>'No Recurrentes 24-26'!BY225</f>
        <v>0</v>
      </c>
      <c r="AK363" s="1062">
        <f>'No Recurrentes 24-26'!BZ225</f>
        <v>0</v>
      </c>
      <c r="AL363" s="1062">
        <f>'No Recurrentes 24-26'!CA225</f>
        <v>0</v>
      </c>
      <c r="AM363" s="1062">
        <f>'No Recurrentes 24-26'!CB225</f>
        <v>0</v>
      </c>
      <c r="AN363" s="1062">
        <f>'No Recurrentes 24-26'!CC225</f>
        <v>0</v>
      </c>
      <c r="AO363" s="1062">
        <f>'No Recurrentes 24-26'!CD225</f>
        <v>0</v>
      </c>
      <c r="AP363" s="1062">
        <f>'No Recurrentes 24-26'!CE225</f>
        <v>0</v>
      </c>
      <c r="AQ363" s="1062">
        <f>'No Recurrentes 24-26'!CF225</f>
        <v>0</v>
      </c>
      <c r="AR363" s="1062">
        <f>'No Recurrentes 24-26'!CG225</f>
        <v>0</v>
      </c>
      <c r="AS363" s="1062">
        <f>'No Recurrentes 24-26'!CH225</f>
        <v>0</v>
      </c>
      <c r="AT363" s="1068"/>
      <c r="AU363" s="1062">
        <f>'No Recurrentes 24-26'!CI225</f>
        <v>0</v>
      </c>
      <c r="AV363" s="1063">
        <f>'No Recurrentes 24-26'!CJ225</f>
        <v>63</v>
      </c>
      <c r="AW363" s="1068"/>
      <c r="AX363" s="1062" t="str">
        <f>'No Recurrentes 24-26'!CK225</f>
        <v/>
      </c>
      <c r="AY363" s="1062">
        <f>'No Recurrentes 24-26'!CL225</f>
        <v>112</v>
      </c>
      <c r="AZ363" s="1068"/>
      <c r="BA363" s="1062">
        <f>'No Recurrentes 24-26'!CM225</f>
        <v>672</v>
      </c>
      <c r="BB363" s="1062">
        <f>'No Recurrentes 24-26'!CN225</f>
        <v>448</v>
      </c>
      <c r="BC363" s="1062">
        <f>'No Recurrentes 24-26'!CO225</f>
        <v>672</v>
      </c>
      <c r="BD363" s="1062">
        <f>'No Recurrentes 24-26'!CP225</f>
        <v>560</v>
      </c>
      <c r="BE363" s="1062">
        <f>'No Recurrentes 24-26'!CQ225</f>
        <v>560</v>
      </c>
      <c r="BF363" s="1062">
        <f>'No Recurrentes 24-26'!CR225</f>
        <v>560</v>
      </c>
      <c r="BG363" s="1062">
        <f>'No Recurrentes 24-26'!CS225</f>
        <v>448</v>
      </c>
      <c r="BH363" s="1062">
        <f>'No Recurrentes 24-26'!CT225</f>
        <v>448</v>
      </c>
      <c r="BI363" s="1062">
        <f>'No Recurrentes 24-26'!CU225</f>
        <v>0</v>
      </c>
      <c r="BJ363" s="1062">
        <f>'No Recurrentes 24-26'!CV225</f>
        <v>2688</v>
      </c>
      <c r="BK363" s="1068"/>
      <c r="BL363" s="1062">
        <f>'No Recurrentes 24-26'!CW225</f>
        <v>7056</v>
      </c>
      <c r="BM363" s="1062">
        <f>'No Recurrentes 24-26'!CX225</f>
        <v>0</v>
      </c>
      <c r="BN363" s="1062">
        <f>'No Recurrentes 24-26'!CY225</f>
        <v>0</v>
      </c>
      <c r="BO363" s="1062">
        <f>'No Recurrentes 24-26'!CZ225</f>
        <v>0</v>
      </c>
      <c r="BP363" s="1062">
        <f>'No Recurrentes 24-26'!DA225</f>
        <v>0</v>
      </c>
      <c r="BQ363" s="1062">
        <f>'No Recurrentes 24-26'!DB225</f>
        <v>0</v>
      </c>
      <c r="BR363" s="1062">
        <f>'No Recurrentes 24-26'!DC225</f>
        <v>0</v>
      </c>
      <c r="BS363" s="1062">
        <f>'No Recurrentes 24-26'!DD225</f>
        <v>0</v>
      </c>
      <c r="BT363" s="1062">
        <f>'No Recurrentes 24-26'!DE225</f>
        <v>0</v>
      </c>
      <c r="BU363" s="1062">
        <f>'No Recurrentes 24-26'!DF225</f>
        <v>0</v>
      </c>
      <c r="BV363" s="1062">
        <f>'No Recurrentes 24-26'!DG225</f>
        <v>0</v>
      </c>
      <c r="BW363" s="1068"/>
      <c r="BX363" s="1062">
        <f>'No Recurrentes 24-26'!DH225</f>
        <v>0</v>
      </c>
      <c r="BY363" s="1062">
        <f>'No Recurrentes 24-26'!DI225</f>
        <v>0</v>
      </c>
      <c r="BZ363" s="1062">
        <f>'No Recurrentes 24-26'!DJ225</f>
        <v>0</v>
      </c>
      <c r="CA363" s="1062">
        <f>'No Recurrentes 24-26'!DK225</f>
        <v>0</v>
      </c>
      <c r="CB363" s="1062">
        <f>'No Recurrentes 24-26'!DL225</f>
        <v>0</v>
      </c>
      <c r="CC363" s="1062">
        <f>'No Recurrentes 24-26'!DM225</f>
        <v>0</v>
      </c>
      <c r="CD363" s="1062">
        <f>'No Recurrentes 24-26'!DN225</f>
        <v>0</v>
      </c>
      <c r="CE363" s="1062">
        <f>'No Recurrentes 24-26'!DO225</f>
        <v>0</v>
      </c>
      <c r="CF363" s="1062">
        <f>'No Recurrentes 24-26'!DP225</f>
        <v>0</v>
      </c>
      <c r="CG363" s="1062">
        <f>'No Recurrentes 24-26'!DQ225</f>
        <v>0</v>
      </c>
      <c r="CH363" s="1062">
        <f>'No Recurrentes 24-26'!DR225</f>
        <v>0</v>
      </c>
      <c r="CI363" s="1068"/>
      <c r="CJ363" s="1062">
        <f>'No Recurrentes 24-26'!DS225</f>
        <v>0</v>
      </c>
      <c r="CK363" s="1062">
        <f>'No Recurrentes 24-26'!DT225</f>
        <v>7056</v>
      </c>
      <c r="CL363" s="1064" t="str">
        <f>'No Recurrentes 24-26'!DU225</f>
        <v>Precio Estimado</v>
      </c>
      <c r="CM363" s="1064" t="str">
        <f>'No Recurrentes 24-26'!DV225</f>
        <v>No se encuentran en la cotizacion</v>
      </c>
      <c r="CN363" s="1065">
        <f>'No Recurrentes 24-26'!EI221</f>
        <v>412.67</v>
      </c>
      <c r="CO363" s="1065">
        <f>'No Recurrentes 24-26'!EJ221</f>
        <v>350.77</v>
      </c>
      <c r="CP363" s="1060" t="str">
        <f>'No Recurrentes 24-26'!EK221</f>
        <v/>
      </c>
    </row>
    <row r="364">
      <c r="A364" s="451" t="str">
        <f>'No Recurrentes 24-26'!A226</f>
        <v>Repuestos Electromecánicos no recurrentes</v>
      </c>
      <c r="B364" s="451">
        <f>'No Recurrentes 24-26'!B226</f>
        <v>40</v>
      </c>
      <c r="C364" s="451" t="str">
        <f>'No Recurrentes 24-26'!C226</f>
        <v>Estación</v>
      </c>
      <c r="D364" s="451" t="str">
        <f>'No Recurrentes 24-26'!D226</f>
        <v>Manto. Motores y reductores</v>
      </c>
      <c r="E364" s="451" t="str">
        <f>'No Recurrentes 24-26'!E226</f>
        <v>Repuesto Mecánico</v>
      </c>
      <c r="F364" s="451" t="str">
        <f>'No Recurrentes 24-26'!F226</f>
        <v>LOCAL</v>
      </c>
      <c r="G364" s="1061" t="str">
        <f>'No Recurrentes 24-26'!G226</f>
        <v>39800</v>
      </c>
      <c r="H364" s="1061" t="str">
        <f>'No Recurrentes 24-26'!H226</f>
        <v>2-01-00562</v>
      </c>
      <c r="I364" s="1061" t="str">
        <f>'No Recurrentes 24-26'!I226</f>
        <v/>
      </c>
      <c r="J364" s="1061" t="str">
        <f>'No Recurrentes 24-26'!J226</f>
        <v>RODAMIENTO 6205 ZZ (MOTOR APOYO PAR)</v>
      </c>
      <c r="K364" s="451" t="str">
        <f>'No Recurrentes 24-26'!K226</f>
        <v>Pza</v>
      </c>
      <c r="L364" s="451">
        <f>'No Recurrentes 24-26'!BC226</f>
        <v>6</v>
      </c>
      <c r="M364" s="451">
        <f>'No Recurrentes 24-26'!BD226</f>
        <v>4</v>
      </c>
      <c r="N364" s="451">
        <f>'No Recurrentes 24-26'!BE226</f>
        <v>6</v>
      </c>
      <c r="O364" s="451">
        <f>'No Recurrentes 24-26'!BF226</f>
        <v>5</v>
      </c>
      <c r="P364" s="451">
        <f>'No Recurrentes 24-26'!BG226</f>
        <v>5</v>
      </c>
      <c r="Q364" s="451">
        <f>'No Recurrentes 24-26'!BH226</f>
        <v>5</v>
      </c>
      <c r="R364" s="451">
        <f>'No Recurrentes 24-26'!BI226</f>
        <v>4</v>
      </c>
      <c r="S364" s="451">
        <f>'No Recurrentes 24-26'!BJ226</f>
        <v>4</v>
      </c>
      <c r="T364" s="451" t="str">
        <f>'No Recurrentes 24-26'!BK226</f>
        <v/>
      </c>
      <c r="U364" s="451">
        <f>'No Recurrentes 24-26'!BL226</f>
        <v>24</v>
      </c>
      <c r="V364" s="1068"/>
      <c r="W364" s="1062">
        <f>'No Recurrentes 24-26'!BM226</f>
        <v>63</v>
      </c>
      <c r="X364" s="1062" t="str">
        <f>'No Recurrentes 24-26'!BN226</f>
        <v/>
      </c>
      <c r="Y364" s="1062" t="str">
        <f>'No Recurrentes 24-26'!BO226</f>
        <v/>
      </c>
      <c r="Z364" s="1062" t="str">
        <f>'No Recurrentes 24-26'!BP226</f>
        <v/>
      </c>
      <c r="AA364" s="1062" t="str">
        <f>'No Recurrentes 24-26'!BQ226</f>
        <v/>
      </c>
      <c r="AB364" s="1062" t="str">
        <f>'No Recurrentes 24-26'!BR226</f>
        <v/>
      </c>
      <c r="AC364" s="1062" t="str">
        <f>'No Recurrentes 24-26'!BS226</f>
        <v/>
      </c>
      <c r="AD364" s="1062" t="str">
        <f>'No Recurrentes 24-26'!BT226</f>
        <v/>
      </c>
      <c r="AE364" s="1062" t="str">
        <f>'No Recurrentes 24-26'!BU226</f>
        <v/>
      </c>
      <c r="AF364" s="1062" t="str">
        <f>'No Recurrentes 24-26'!BV226</f>
        <v/>
      </c>
      <c r="AG364" s="1062" t="str">
        <f>'No Recurrentes 24-26'!BW226</f>
        <v/>
      </c>
      <c r="AH364" s="1068"/>
      <c r="AI364" s="1062">
        <f>'No Recurrentes 24-26'!BX226</f>
        <v>0</v>
      </c>
      <c r="AJ364" s="1062">
        <f>'No Recurrentes 24-26'!BY226</f>
        <v>0</v>
      </c>
      <c r="AK364" s="1062">
        <f>'No Recurrentes 24-26'!BZ226</f>
        <v>0</v>
      </c>
      <c r="AL364" s="1062">
        <f>'No Recurrentes 24-26'!CA226</f>
        <v>0</v>
      </c>
      <c r="AM364" s="1062">
        <f>'No Recurrentes 24-26'!CB226</f>
        <v>0</v>
      </c>
      <c r="AN364" s="1062">
        <f>'No Recurrentes 24-26'!CC226</f>
        <v>0</v>
      </c>
      <c r="AO364" s="1062">
        <f>'No Recurrentes 24-26'!CD226</f>
        <v>0</v>
      </c>
      <c r="AP364" s="1062">
        <f>'No Recurrentes 24-26'!CE226</f>
        <v>0</v>
      </c>
      <c r="AQ364" s="1062">
        <f>'No Recurrentes 24-26'!CF226</f>
        <v>0</v>
      </c>
      <c r="AR364" s="1062">
        <f>'No Recurrentes 24-26'!CG226</f>
        <v>0</v>
      </c>
      <c r="AS364" s="1062">
        <f>'No Recurrentes 24-26'!CH226</f>
        <v>0</v>
      </c>
      <c r="AT364" s="1068"/>
      <c r="AU364" s="1062">
        <f>'No Recurrentes 24-26'!CI226</f>
        <v>0</v>
      </c>
      <c r="AV364" s="1063">
        <f>'No Recurrentes 24-26'!CJ226</f>
        <v>63</v>
      </c>
      <c r="AW364" s="1068"/>
      <c r="AX364" s="1062" t="str">
        <f>'No Recurrentes 24-26'!CK226</f>
        <v/>
      </c>
      <c r="AY364" s="1062">
        <f>'No Recurrentes 24-26'!CL226</f>
        <v>69</v>
      </c>
      <c r="AZ364" s="1068"/>
      <c r="BA364" s="1062">
        <f>'No Recurrentes 24-26'!CM226</f>
        <v>414</v>
      </c>
      <c r="BB364" s="1062">
        <f>'No Recurrentes 24-26'!CN226</f>
        <v>276</v>
      </c>
      <c r="BC364" s="1062">
        <f>'No Recurrentes 24-26'!CO226</f>
        <v>414</v>
      </c>
      <c r="BD364" s="1062">
        <f>'No Recurrentes 24-26'!CP226</f>
        <v>345</v>
      </c>
      <c r="BE364" s="1062">
        <f>'No Recurrentes 24-26'!CQ226</f>
        <v>345</v>
      </c>
      <c r="BF364" s="1062">
        <f>'No Recurrentes 24-26'!CR226</f>
        <v>345</v>
      </c>
      <c r="BG364" s="1062">
        <f>'No Recurrentes 24-26'!CS226</f>
        <v>276</v>
      </c>
      <c r="BH364" s="1062">
        <f>'No Recurrentes 24-26'!CT226</f>
        <v>276</v>
      </c>
      <c r="BI364" s="1062">
        <f>'No Recurrentes 24-26'!CU226</f>
        <v>0</v>
      </c>
      <c r="BJ364" s="1062">
        <f>'No Recurrentes 24-26'!CV226</f>
        <v>1656</v>
      </c>
      <c r="BK364" s="1068"/>
      <c r="BL364" s="1062">
        <f>'No Recurrentes 24-26'!CW226</f>
        <v>4347</v>
      </c>
      <c r="BM364" s="1062">
        <f>'No Recurrentes 24-26'!CX226</f>
        <v>0</v>
      </c>
      <c r="BN364" s="1062">
        <f>'No Recurrentes 24-26'!CY226</f>
        <v>0</v>
      </c>
      <c r="BO364" s="1062">
        <f>'No Recurrentes 24-26'!CZ226</f>
        <v>0</v>
      </c>
      <c r="BP364" s="1062">
        <f>'No Recurrentes 24-26'!DA226</f>
        <v>0</v>
      </c>
      <c r="BQ364" s="1062">
        <f>'No Recurrentes 24-26'!DB226</f>
        <v>0</v>
      </c>
      <c r="BR364" s="1062">
        <f>'No Recurrentes 24-26'!DC226</f>
        <v>0</v>
      </c>
      <c r="BS364" s="1062">
        <f>'No Recurrentes 24-26'!DD226</f>
        <v>0</v>
      </c>
      <c r="BT364" s="1062">
        <f>'No Recurrentes 24-26'!DE226</f>
        <v>0</v>
      </c>
      <c r="BU364" s="1062">
        <f>'No Recurrentes 24-26'!DF226</f>
        <v>0</v>
      </c>
      <c r="BV364" s="1062">
        <f>'No Recurrentes 24-26'!DG226</f>
        <v>0</v>
      </c>
      <c r="BW364" s="1068"/>
      <c r="BX364" s="1062">
        <f>'No Recurrentes 24-26'!DH226</f>
        <v>0</v>
      </c>
      <c r="BY364" s="1062">
        <f>'No Recurrentes 24-26'!DI226</f>
        <v>0</v>
      </c>
      <c r="BZ364" s="1062">
        <f>'No Recurrentes 24-26'!DJ226</f>
        <v>0</v>
      </c>
      <c r="CA364" s="1062">
        <f>'No Recurrentes 24-26'!DK226</f>
        <v>0</v>
      </c>
      <c r="CB364" s="1062">
        <f>'No Recurrentes 24-26'!DL226</f>
        <v>0</v>
      </c>
      <c r="CC364" s="1062">
        <f>'No Recurrentes 24-26'!DM226</f>
        <v>0</v>
      </c>
      <c r="CD364" s="1062">
        <f>'No Recurrentes 24-26'!DN226</f>
        <v>0</v>
      </c>
      <c r="CE364" s="1062">
        <f>'No Recurrentes 24-26'!DO226</f>
        <v>0</v>
      </c>
      <c r="CF364" s="1062">
        <f>'No Recurrentes 24-26'!DP226</f>
        <v>0</v>
      </c>
      <c r="CG364" s="1062">
        <f>'No Recurrentes 24-26'!DQ226</f>
        <v>0</v>
      </c>
      <c r="CH364" s="1062">
        <f>'No Recurrentes 24-26'!DR226</f>
        <v>0</v>
      </c>
      <c r="CI364" s="1068"/>
      <c r="CJ364" s="1062">
        <f>'No Recurrentes 24-26'!DS226</f>
        <v>0</v>
      </c>
      <c r="CK364" s="1062">
        <f>'No Recurrentes 24-26'!DT226</f>
        <v>4347</v>
      </c>
      <c r="CL364" s="1064" t="str">
        <f>'No Recurrentes 24-26'!DU226</f>
        <v>Se coloca precio tentativo</v>
      </c>
      <c r="CM364" s="1064" t="str">
        <f>'No Recurrentes 24-26'!DV226</f>
        <v>No se encuentran en la cotizacion</v>
      </c>
      <c r="CN364" s="1060">
        <f>'No Recurrentes 24-26'!EI222</f>
        <v>1</v>
      </c>
      <c r="CO364" s="1060" t="str">
        <f>'No Recurrentes 24-26'!EJ222</f>
        <v/>
      </c>
      <c r="CP364" s="1060" t="str">
        <f>'No Recurrentes 24-26'!EK222</f>
        <v/>
      </c>
    </row>
    <row r="365">
      <c r="A365" s="451" t="str">
        <f>'No Recurrentes 24-26'!A227</f>
        <v>Repuestos Electromecánicos no recurrentes</v>
      </c>
      <c r="B365" s="451">
        <f>'No Recurrentes 24-26'!B227</f>
        <v>40</v>
      </c>
      <c r="C365" s="451" t="str">
        <f>'No Recurrentes 24-26'!C227</f>
        <v>Estación</v>
      </c>
      <c r="D365" s="451" t="str">
        <f>'No Recurrentes 24-26'!D227</f>
        <v>Manto. Motores y reductores</v>
      </c>
      <c r="E365" s="451" t="str">
        <f>'No Recurrentes 24-26'!E227</f>
        <v>Repuesto Mecánico</v>
      </c>
      <c r="F365" s="451" t="str">
        <f>'No Recurrentes 24-26'!F227</f>
        <v>LOCAL</v>
      </c>
      <c r="G365" s="1061" t="str">
        <f>'No Recurrentes 24-26'!G227</f>
        <v>39800</v>
      </c>
      <c r="H365" s="1061" t="str">
        <f>'No Recurrentes 24-26'!H227</f>
        <v>2-01-00812</v>
      </c>
      <c r="I365" s="1061" t="str">
        <f>'No Recurrentes 24-26'!I227</f>
        <v/>
      </c>
      <c r="J365" s="1061" t="str">
        <f>'No Recurrentes 24-26'!J227</f>
        <v>RODAMIENTO 6001 - 2Z (VENTILADOR VARIADORES VACOM)</v>
      </c>
      <c r="K365" s="451" t="str">
        <f>'No Recurrentes 24-26'!K227</f>
        <v>Pza</v>
      </c>
      <c r="L365" s="451">
        <f>'No Recurrentes 24-26'!BC227</f>
        <v>8</v>
      </c>
      <c r="M365" s="451">
        <f>'No Recurrentes 24-26'!BD227</f>
        <v>6</v>
      </c>
      <c r="N365" s="451">
        <f>'No Recurrentes 24-26'!BE227</f>
        <v>12</v>
      </c>
      <c r="O365" s="451">
        <f>'No Recurrentes 24-26'!BF227</f>
        <v>10</v>
      </c>
      <c r="P365" s="451">
        <f>'No Recurrentes 24-26'!BG227</f>
        <v>10</v>
      </c>
      <c r="Q365" s="451">
        <f>'No Recurrentes 24-26'!BH227</f>
        <v>10</v>
      </c>
      <c r="R365" s="451">
        <f>'No Recurrentes 24-26'!BI227</f>
        <v>4</v>
      </c>
      <c r="S365" s="451">
        <f>'No Recurrentes 24-26'!BJ227</f>
        <v>4</v>
      </c>
      <c r="T365" s="451" t="str">
        <f>'No Recurrentes 24-26'!BK227</f>
        <v/>
      </c>
      <c r="U365" s="451" t="str">
        <f>'No Recurrentes 24-26'!BL227</f>
        <v/>
      </c>
      <c r="V365" s="1068"/>
      <c r="W365" s="1062">
        <f>'No Recurrentes 24-26'!BM227</f>
        <v>64</v>
      </c>
      <c r="X365" s="1062" t="str">
        <f>'No Recurrentes 24-26'!BN227</f>
        <v/>
      </c>
      <c r="Y365" s="1062" t="str">
        <f>'No Recurrentes 24-26'!BO227</f>
        <v/>
      </c>
      <c r="Z365" s="1062" t="str">
        <f>'No Recurrentes 24-26'!BP227</f>
        <v/>
      </c>
      <c r="AA365" s="1062" t="str">
        <f>'No Recurrentes 24-26'!BQ227</f>
        <v/>
      </c>
      <c r="AB365" s="1062" t="str">
        <f>'No Recurrentes 24-26'!BR227</f>
        <v/>
      </c>
      <c r="AC365" s="1062" t="str">
        <f>'No Recurrentes 24-26'!BS227</f>
        <v/>
      </c>
      <c r="AD365" s="1062" t="str">
        <f>'No Recurrentes 24-26'!BT227</f>
        <v/>
      </c>
      <c r="AE365" s="1062" t="str">
        <f>'No Recurrentes 24-26'!BU227</f>
        <v/>
      </c>
      <c r="AF365" s="1062" t="str">
        <f>'No Recurrentes 24-26'!BV227</f>
        <v/>
      </c>
      <c r="AG365" s="1062" t="str">
        <f>'No Recurrentes 24-26'!BW227</f>
        <v/>
      </c>
      <c r="AH365" s="1068"/>
      <c r="AI365" s="1062">
        <f>'No Recurrentes 24-26'!BX227</f>
        <v>0</v>
      </c>
      <c r="AJ365" s="1062">
        <f>'No Recurrentes 24-26'!BY227</f>
        <v>0</v>
      </c>
      <c r="AK365" s="1062">
        <f>'No Recurrentes 24-26'!BZ227</f>
        <v>0</v>
      </c>
      <c r="AL365" s="1062">
        <f>'No Recurrentes 24-26'!CA227</f>
        <v>0</v>
      </c>
      <c r="AM365" s="1062">
        <f>'No Recurrentes 24-26'!CB227</f>
        <v>0</v>
      </c>
      <c r="AN365" s="1062">
        <f>'No Recurrentes 24-26'!CC227</f>
        <v>0</v>
      </c>
      <c r="AO365" s="1062">
        <f>'No Recurrentes 24-26'!CD227</f>
        <v>0</v>
      </c>
      <c r="AP365" s="1062">
        <f>'No Recurrentes 24-26'!CE227</f>
        <v>0</v>
      </c>
      <c r="AQ365" s="1062">
        <f>'No Recurrentes 24-26'!CF227</f>
        <v>0</v>
      </c>
      <c r="AR365" s="1062">
        <f>'No Recurrentes 24-26'!CG227</f>
        <v>0</v>
      </c>
      <c r="AS365" s="1062">
        <f>'No Recurrentes 24-26'!CH227</f>
        <v>0</v>
      </c>
      <c r="AT365" s="1068"/>
      <c r="AU365" s="1062">
        <f>'No Recurrentes 24-26'!CI227</f>
        <v>0</v>
      </c>
      <c r="AV365" s="1063">
        <f>'No Recurrentes 24-26'!CJ227</f>
        <v>64</v>
      </c>
      <c r="AW365" s="1068"/>
      <c r="AX365" s="1062" t="str">
        <f>'No Recurrentes 24-26'!CK227</f>
        <v/>
      </c>
      <c r="AY365" s="1062">
        <f>'No Recurrentes 24-26'!CL227</f>
        <v>49</v>
      </c>
      <c r="AZ365" s="1068"/>
      <c r="BA365" s="1062">
        <f>'No Recurrentes 24-26'!CM227</f>
        <v>392</v>
      </c>
      <c r="BB365" s="1062">
        <f>'No Recurrentes 24-26'!CN227</f>
        <v>294</v>
      </c>
      <c r="BC365" s="1062">
        <f>'No Recurrentes 24-26'!CO227</f>
        <v>588</v>
      </c>
      <c r="BD365" s="1062">
        <f>'No Recurrentes 24-26'!CP227</f>
        <v>490</v>
      </c>
      <c r="BE365" s="1062">
        <f>'No Recurrentes 24-26'!CQ227</f>
        <v>490</v>
      </c>
      <c r="BF365" s="1062">
        <f>'No Recurrentes 24-26'!CR227</f>
        <v>490</v>
      </c>
      <c r="BG365" s="1062">
        <f>'No Recurrentes 24-26'!CS227</f>
        <v>196</v>
      </c>
      <c r="BH365" s="1062">
        <f>'No Recurrentes 24-26'!CT227</f>
        <v>196</v>
      </c>
      <c r="BI365" s="1062">
        <f>'No Recurrentes 24-26'!CU227</f>
        <v>0</v>
      </c>
      <c r="BJ365" s="1062">
        <f>'No Recurrentes 24-26'!CV227</f>
        <v>0</v>
      </c>
      <c r="BK365" s="1068"/>
      <c r="BL365" s="1062">
        <f>'No Recurrentes 24-26'!CW227</f>
        <v>3136</v>
      </c>
      <c r="BM365" s="1062">
        <f>'No Recurrentes 24-26'!CX227</f>
        <v>0</v>
      </c>
      <c r="BN365" s="1062">
        <f>'No Recurrentes 24-26'!CY227</f>
        <v>0</v>
      </c>
      <c r="BO365" s="1062">
        <f>'No Recurrentes 24-26'!CZ227</f>
        <v>0</v>
      </c>
      <c r="BP365" s="1062">
        <f>'No Recurrentes 24-26'!DA227</f>
        <v>0</v>
      </c>
      <c r="BQ365" s="1062">
        <f>'No Recurrentes 24-26'!DB227</f>
        <v>0</v>
      </c>
      <c r="BR365" s="1062">
        <f>'No Recurrentes 24-26'!DC227</f>
        <v>0</v>
      </c>
      <c r="BS365" s="1062">
        <f>'No Recurrentes 24-26'!DD227</f>
        <v>0</v>
      </c>
      <c r="BT365" s="1062">
        <f>'No Recurrentes 24-26'!DE227</f>
        <v>0</v>
      </c>
      <c r="BU365" s="1062">
        <f>'No Recurrentes 24-26'!DF227</f>
        <v>0</v>
      </c>
      <c r="BV365" s="1062">
        <f>'No Recurrentes 24-26'!DG227</f>
        <v>0</v>
      </c>
      <c r="BW365" s="1068"/>
      <c r="BX365" s="1062">
        <f>'No Recurrentes 24-26'!DH227</f>
        <v>0</v>
      </c>
      <c r="BY365" s="1062">
        <f>'No Recurrentes 24-26'!DI227</f>
        <v>0</v>
      </c>
      <c r="BZ365" s="1062">
        <f>'No Recurrentes 24-26'!DJ227</f>
        <v>0</v>
      </c>
      <c r="CA365" s="1062">
        <f>'No Recurrentes 24-26'!DK227</f>
        <v>0</v>
      </c>
      <c r="CB365" s="1062">
        <f>'No Recurrentes 24-26'!DL227</f>
        <v>0</v>
      </c>
      <c r="CC365" s="1062">
        <f>'No Recurrentes 24-26'!DM227</f>
        <v>0</v>
      </c>
      <c r="CD365" s="1062">
        <f>'No Recurrentes 24-26'!DN227</f>
        <v>0</v>
      </c>
      <c r="CE365" s="1062">
        <f>'No Recurrentes 24-26'!DO227</f>
        <v>0</v>
      </c>
      <c r="CF365" s="1062">
        <f>'No Recurrentes 24-26'!DP227</f>
        <v>0</v>
      </c>
      <c r="CG365" s="1062">
        <f>'No Recurrentes 24-26'!DQ227</f>
        <v>0</v>
      </c>
      <c r="CH365" s="1062">
        <f>'No Recurrentes 24-26'!DR227</f>
        <v>0</v>
      </c>
      <c r="CI365" s="1068"/>
      <c r="CJ365" s="1062">
        <f>'No Recurrentes 24-26'!DS227</f>
        <v>0</v>
      </c>
      <c r="CK365" s="1062">
        <f>'No Recurrentes 24-26'!DT227</f>
        <v>3136</v>
      </c>
      <c r="CL365" s="1064" t="str">
        <f>'No Recurrentes 24-26'!DU227</f>
        <v/>
      </c>
      <c r="CM365" s="1064" t="str">
        <f>'No Recurrentes 24-26'!DV227</f>
        <v>Precio refencial</v>
      </c>
      <c r="CN365" s="1060">
        <f>'No Recurrentes 24-26'!EI223</f>
        <v>1</v>
      </c>
      <c r="CO365" s="1060" t="str">
        <f>'No Recurrentes 24-26'!EJ223</f>
        <v/>
      </c>
      <c r="CP365" s="1060" t="str">
        <f>'No Recurrentes 24-26'!EK223</f>
        <v/>
      </c>
    </row>
    <row r="366">
      <c r="A366" s="451" t="str">
        <f>'No Recurrentes 24-26'!A228</f>
        <v>Repuestos Electromecánicos no recurrentes</v>
      </c>
      <c r="B366" s="451">
        <f>'No Recurrentes 24-26'!B228</f>
        <v>40</v>
      </c>
      <c r="C366" s="451" t="str">
        <f>'No Recurrentes 24-26'!C228</f>
        <v>Estación</v>
      </c>
      <c r="D366" s="451" t="str">
        <f>'No Recurrentes 24-26'!D228</f>
        <v>Manto. Motores y reductores</v>
      </c>
      <c r="E366" s="451" t="str">
        <f>'No Recurrentes 24-26'!E228</f>
        <v>Repuesto Mecánico</v>
      </c>
      <c r="F366" s="451" t="str">
        <f>'No Recurrentes 24-26'!F228</f>
        <v>LOCAL</v>
      </c>
      <c r="G366" s="1061" t="str">
        <f>'No Recurrentes 24-26'!G228</f>
        <v>39800</v>
      </c>
      <c r="H366" s="1061" t="str">
        <f>'No Recurrentes 24-26'!H228</f>
        <v>2-01-01140</v>
      </c>
      <c r="I366" s="1061" t="str">
        <f>'No Recurrentes 24-26'!I228</f>
        <v/>
      </c>
      <c r="J366" s="1061" t="str">
        <f>'No Recurrentes 24-26'!J228</f>
        <v>RODAMIENTO 6206-2Z (PARA MOTOR VENTILADOR DEL MOTOR PRINCIPAL)</v>
      </c>
      <c r="K366" s="451" t="str">
        <f>'No Recurrentes 24-26'!K228</f>
        <v>Pza</v>
      </c>
      <c r="L366" s="451">
        <f>'No Recurrentes 24-26'!BC228</f>
        <v>4</v>
      </c>
      <c r="M366" s="451">
        <f>'No Recurrentes 24-26'!BD228</f>
        <v>4</v>
      </c>
      <c r="N366" s="451">
        <f>'No Recurrentes 24-26'!BE228</f>
        <v>0</v>
      </c>
      <c r="O366" s="451">
        <f>'No Recurrentes 24-26'!BF228</f>
        <v>4</v>
      </c>
      <c r="P366" s="451">
        <f>'No Recurrentes 24-26'!BG228</f>
        <v>4</v>
      </c>
      <c r="Q366" s="451">
        <f>'No Recurrentes 24-26'!BH228</f>
        <v>4</v>
      </c>
      <c r="R366" s="451">
        <f>'No Recurrentes 24-26'!BI228</f>
        <v>4</v>
      </c>
      <c r="S366" s="451">
        <f>'No Recurrentes 24-26'!BJ228</f>
        <v>4</v>
      </c>
      <c r="T366" s="451" t="str">
        <f>'No Recurrentes 24-26'!BK228</f>
        <v/>
      </c>
      <c r="U366" s="451">
        <f>'No Recurrentes 24-26'!BL228</f>
        <v>4</v>
      </c>
      <c r="V366" s="1068"/>
      <c r="W366" s="1062">
        <f>'No Recurrentes 24-26'!BM228</f>
        <v>32</v>
      </c>
      <c r="X366" s="1062" t="str">
        <f>'No Recurrentes 24-26'!BN228</f>
        <v/>
      </c>
      <c r="Y366" s="1062" t="str">
        <f>'No Recurrentes 24-26'!BO228</f>
        <v/>
      </c>
      <c r="Z366" s="1062" t="str">
        <f>'No Recurrentes 24-26'!BP228</f>
        <v/>
      </c>
      <c r="AA366" s="1062" t="str">
        <f>'No Recurrentes 24-26'!BQ228</f>
        <v/>
      </c>
      <c r="AB366" s="1062" t="str">
        <f>'No Recurrentes 24-26'!BR228</f>
        <v/>
      </c>
      <c r="AC366" s="1062" t="str">
        <f>'No Recurrentes 24-26'!BS228</f>
        <v/>
      </c>
      <c r="AD366" s="1062" t="str">
        <f>'No Recurrentes 24-26'!BT228</f>
        <v/>
      </c>
      <c r="AE366" s="1062" t="str">
        <f>'No Recurrentes 24-26'!BU228</f>
        <v/>
      </c>
      <c r="AF366" s="1062" t="str">
        <f>'No Recurrentes 24-26'!BV228</f>
        <v/>
      </c>
      <c r="AG366" s="1062" t="str">
        <f>'No Recurrentes 24-26'!BW228</f>
        <v/>
      </c>
      <c r="AH366" s="1068"/>
      <c r="AI366" s="1062">
        <f>'No Recurrentes 24-26'!BX228</f>
        <v>0</v>
      </c>
      <c r="AJ366" s="1062">
        <f>'No Recurrentes 24-26'!BY228</f>
        <v>0</v>
      </c>
      <c r="AK366" s="1062">
        <f>'No Recurrentes 24-26'!BZ228</f>
        <v>0</v>
      </c>
      <c r="AL366" s="1062">
        <f>'No Recurrentes 24-26'!CA228</f>
        <v>0</v>
      </c>
      <c r="AM366" s="1062">
        <f>'No Recurrentes 24-26'!CB228</f>
        <v>0</v>
      </c>
      <c r="AN366" s="1062">
        <f>'No Recurrentes 24-26'!CC228</f>
        <v>0</v>
      </c>
      <c r="AO366" s="1062">
        <f>'No Recurrentes 24-26'!CD228</f>
        <v>0</v>
      </c>
      <c r="AP366" s="1062">
        <f>'No Recurrentes 24-26'!CE228</f>
        <v>0</v>
      </c>
      <c r="AQ366" s="1062">
        <f>'No Recurrentes 24-26'!CF228</f>
        <v>0</v>
      </c>
      <c r="AR366" s="1062">
        <f>'No Recurrentes 24-26'!CG228</f>
        <v>0</v>
      </c>
      <c r="AS366" s="1062">
        <f>'No Recurrentes 24-26'!CH228</f>
        <v>0</v>
      </c>
      <c r="AT366" s="1068"/>
      <c r="AU366" s="1062">
        <f>'No Recurrentes 24-26'!CI228</f>
        <v>0</v>
      </c>
      <c r="AV366" s="1063">
        <f>'No Recurrentes 24-26'!CJ228</f>
        <v>32</v>
      </c>
      <c r="AW366" s="1068"/>
      <c r="AX366" s="1062" t="str">
        <f>'No Recurrentes 24-26'!CK228</f>
        <v/>
      </c>
      <c r="AY366" s="1062">
        <f>'No Recurrentes 24-26'!CL228</f>
        <v>94</v>
      </c>
      <c r="AZ366" s="1068"/>
      <c r="BA366" s="1062">
        <f>'No Recurrentes 24-26'!CM228</f>
        <v>376</v>
      </c>
      <c r="BB366" s="1062">
        <f>'No Recurrentes 24-26'!CN228</f>
        <v>376</v>
      </c>
      <c r="BC366" s="1062">
        <f>'No Recurrentes 24-26'!CO228</f>
        <v>0</v>
      </c>
      <c r="BD366" s="1062">
        <f>'No Recurrentes 24-26'!CP228</f>
        <v>376</v>
      </c>
      <c r="BE366" s="1062">
        <f>'No Recurrentes 24-26'!CQ228</f>
        <v>376</v>
      </c>
      <c r="BF366" s="1062">
        <f>'No Recurrentes 24-26'!CR228</f>
        <v>376</v>
      </c>
      <c r="BG366" s="1062">
        <f>'No Recurrentes 24-26'!CS228</f>
        <v>376</v>
      </c>
      <c r="BH366" s="1062">
        <f>'No Recurrentes 24-26'!CT228</f>
        <v>376</v>
      </c>
      <c r="BI366" s="1062">
        <f>'No Recurrentes 24-26'!CU228</f>
        <v>0</v>
      </c>
      <c r="BJ366" s="1062">
        <f>'No Recurrentes 24-26'!CV228</f>
        <v>376</v>
      </c>
      <c r="BK366" s="1068"/>
      <c r="BL366" s="1062">
        <f>'No Recurrentes 24-26'!CW228</f>
        <v>3008</v>
      </c>
      <c r="BM366" s="1062">
        <f>'No Recurrentes 24-26'!CX228</f>
        <v>0</v>
      </c>
      <c r="BN366" s="1062">
        <f>'No Recurrentes 24-26'!CY228</f>
        <v>0</v>
      </c>
      <c r="BO366" s="1062">
        <f>'No Recurrentes 24-26'!CZ228</f>
        <v>0</v>
      </c>
      <c r="BP366" s="1062">
        <f>'No Recurrentes 24-26'!DA228</f>
        <v>0</v>
      </c>
      <c r="BQ366" s="1062">
        <f>'No Recurrentes 24-26'!DB228</f>
        <v>0</v>
      </c>
      <c r="BR366" s="1062">
        <f>'No Recurrentes 24-26'!DC228</f>
        <v>0</v>
      </c>
      <c r="BS366" s="1062">
        <f>'No Recurrentes 24-26'!DD228</f>
        <v>0</v>
      </c>
      <c r="BT366" s="1062">
        <f>'No Recurrentes 24-26'!DE228</f>
        <v>0</v>
      </c>
      <c r="BU366" s="1062">
        <f>'No Recurrentes 24-26'!DF228</f>
        <v>0</v>
      </c>
      <c r="BV366" s="1062">
        <f>'No Recurrentes 24-26'!DG228</f>
        <v>0</v>
      </c>
      <c r="BW366" s="1068"/>
      <c r="BX366" s="1062">
        <f>'No Recurrentes 24-26'!DH228</f>
        <v>0</v>
      </c>
      <c r="BY366" s="1062">
        <f>'No Recurrentes 24-26'!DI228</f>
        <v>0</v>
      </c>
      <c r="BZ366" s="1062">
        <f>'No Recurrentes 24-26'!DJ228</f>
        <v>0</v>
      </c>
      <c r="CA366" s="1062">
        <f>'No Recurrentes 24-26'!DK228</f>
        <v>0</v>
      </c>
      <c r="CB366" s="1062">
        <f>'No Recurrentes 24-26'!DL228</f>
        <v>0</v>
      </c>
      <c r="CC366" s="1062">
        <f>'No Recurrentes 24-26'!DM228</f>
        <v>0</v>
      </c>
      <c r="CD366" s="1062">
        <f>'No Recurrentes 24-26'!DN228</f>
        <v>0</v>
      </c>
      <c r="CE366" s="1062">
        <f>'No Recurrentes 24-26'!DO228</f>
        <v>0</v>
      </c>
      <c r="CF366" s="1062">
        <f>'No Recurrentes 24-26'!DP228</f>
        <v>0</v>
      </c>
      <c r="CG366" s="1062">
        <f>'No Recurrentes 24-26'!DQ228</f>
        <v>0</v>
      </c>
      <c r="CH366" s="1062">
        <f>'No Recurrentes 24-26'!DR228</f>
        <v>0</v>
      </c>
      <c r="CI366" s="1068"/>
      <c r="CJ366" s="1062">
        <f>'No Recurrentes 24-26'!DS228</f>
        <v>0</v>
      </c>
      <c r="CK366" s="1062">
        <f>'No Recurrentes 24-26'!DT228</f>
        <v>3008</v>
      </c>
      <c r="CL366" s="1064" t="str">
        <f>'No Recurrentes 24-26'!DU228</f>
        <v>Precio tentativo</v>
      </c>
      <c r="CM366" s="1064" t="str">
        <f>'No Recurrentes 24-26'!DV228</f>
        <v>Diferenctes cotizaciones</v>
      </c>
      <c r="CN366" s="1065">
        <f>'No Recurrentes 24-26'!EI224</f>
        <v>3779.06</v>
      </c>
      <c r="CO366" s="1065">
        <f>'No Recurrentes 24-26'!EJ224</f>
        <v>3212.2</v>
      </c>
      <c r="CP366" s="1060" t="str">
        <f>'No Recurrentes 24-26'!EK224</f>
        <v/>
      </c>
    </row>
    <row r="367">
      <c r="A367" s="451" t="str">
        <f>'No Recurrentes 24-26'!A229</f>
        <v>Repuestos Electromecánicos no recurrentes</v>
      </c>
      <c r="B367" s="451">
        <f>'No Recurrentes 24-26'!B229</f>
        <v>40</v>
      </c>
      <c r="C367" s="451" t="str">
        <f>'No Recurrentes 24-26'!C229</f>
        <v>Estación</v>
      </c>
      <c r="D367" s="451" t="str">
        <f>'No Recurrentes 24-26'!D229</f>
        <v>Manto. Motores y reductores</v>
      </c>
      <c r="E367" s="451" t="str">
        <f>'No Recurrentes 24-26'!E229</f>
        <v>Repuesto Mecánico</v>
      </c>
      <c r="F367" s="451" t="str">
        <f>'No Recurrentes 24-26'!F229</f>
        <v>LOCAL</v>
      </c>
      <c r="G367" s="1061" t="str">
        <f>'No Recurrentes 24-26'!G229</f>
        <v>39800</v>
      </c>
      <c r="H367" s="1061" t="str">
        <f>'No Recurrentes 24-26'!H229</f>
        <v>2-01-00958</v>
      </c>
      <c r="I367" s="1061" t="str">
        <f>'No Recurrentes 24-26'!I229</f>
        <v/>
      </c>
      <c r="J367" s="1061" t="str">
        <f>'No Recurrentes 24-26'!J229</f>
        <v>RODAMIENTO 6207-Z (MOTOR DE VENTILADOR CENTRIFUGO)</v>
      </c>
      <c r="K367" s="451" t="str">
        <f>'No Recurrentes 24-26'!K229</f>
        <v>Pza</v>
      </c>
      <c r="L367" s="451">
        <f>'No Recurrentes 24-26'!BC229</f>
        <v>2</v>
      </c>
      <c r="M367" s="451">
        <f>'No Recurrentes 24-26'!BD229</f>
        <v>2</v>
      </c>
      <c r="N367" s="451">
        <f>'No Recurrentes 24-26'!BE229</f>
        <v>2</v>
      </c>
      <c r="O367" s="451" t="str">
        <f>'No Recurrentes 24-26'!BF229</f>
        <v/>
      </c>
      <c r="P367" s="451">
        <f>'No Recurrentes 24-26'!BG229</f>
        <v>2</v>
      </c>
      <c r="Q367" s="451">
        <f>'No Recurrentes 24-26'!BH229</f>
        <v>4</v>
      </c>
      <c r="R367" s="451">
        <f>'No Recurrentes 24-26'!BI229</f>
        <v>2</v>
      </c>
      <c r="S367" s="451">
        <f>'No Recurrentes 24-26'!BJ229</f>
        <v>2</v>
      </c>
      <c r="T367" s="451" t="str">
        <f>'No Recurrentes 24-26'!BK229</f>
        <v/>
      </c>
      <c r="U367" s="451">
        <f>'No Recurrentes 24-26'!BL229</f>
        <v>4</v>
      </c>
      <c r="V367" s="1068"/>
      <c r="W367" s="1062">
        <f>'No Recurrentes 24-26'!BM229</f>
        <v>20</v>
      </c>
      <c r="X367" s="1062" t="str">
        <f>'No Recurrentes 24-26'!BN229</f>
        <v/>
      </c>
      <c r="Y367" s="1062" t="str">
        <f>'No Recurrentes 24-26'!BO229</f>
        <v/>
      </c>
      <c r="Z367" s="1062" t="str">
        <f>'No Recurrentes 24-26'!BP229</f>
        <v/>
      </c>
      <c r="AA367" s="1062" t="str">
        <f>'No Recurrentes 24-26'!BQ229</f>
        <v/>
      </c>
      <c r="AB367" s="1062" t="str">
        <f>'No Recurrentes 24-26'!BR229</f>
        <v/>
      </c>
      <c r="AC367" s="1062" t="str">
        <f>'No Recurrentes 24-26'!BS229</f>
        <v/>
      </c>
      <c r="AD367" s="1062" t="str">
        <f>'No Recurrentes 24-26'!BT229</f>
        <v/>
      </c>
      <c r="AE367" s="1062" t="str">
        <f>'No Recurrentes 24-26'!BU229</f>
        <v/>
      </c>
      <c r="AF367" s="1062" t="str">
        <f>'No Recurrentes 24-26'!BV229</f>
        <v/>
      </c>
      <c r="AG367" s="1062" t="str">
        <f>'No Recurrentes 24-26'!BW229</f>
        <v/>
      </c>
      <c r="AH367" s="1068"/>
      <c r="AI367" s="1062">
        <f>'No Recurrentes 24-26'!BX229</f>
        <v>0</v>
      </c>
      <c r="AJ367" s="1062">
        <f>'No Recurrentes 24-26'!BY229</f>
        <v>0</v>
      </c>
      <c r="AK367" s="1062">
        <f>'No Recurrentes 24-26'!BZ229</f>
        <v>0</v>
      </c>
      <c r="AL367" s="1062">
        <f>'No Recurrentes 24-26'!CA229</f>
        <v>0</v>
      </c>
      <c r="AM367" s="1062">
        <f>'No Recurrentes 24-26'!CB229</f>
        <v>0</v>
      </c>
      <c r="AN367" s="1062">
        <f>'No Recurrentes 24-26'!CC229</f>
        <v>0</v>
      </c>
      <c r="AO367" s="1062">
        <f>'No Recurrentes 24-26'!CD229</f>
        <v>0</v>
      </c>
      <c r="AP367" s="1062">
        <f>'No Recurrentes 24-26'!CE229</f>
        <v>0</v>
      </c>
      <c r="AQ367" s="1062">
        <f>'No Recurrentes 24-26'!CF229</f>
        <v>0</v>
      </c>
      <c r="AR367" s="1062">
        <f>'No Recurrentes 24-26'!CG229</f>
        <v>0</v>
      </c>
      <c r="AS367" s="1062">
        <f>'No Recurrentes 24-26'!CH229</f>
        <v>0</v>
      </c>
      <c r="AT367" s="1068"/>
      <c r="AU367" s="1062">
        <f>'No Recurrentes 24-26'!CI229</f>
        <v>0</v>
      </c>
      <c r="AV367" s="1063">
        <f>'No Recurrentes 24-26'!CJ229</f>
        <v>20</v>
      </c>
      <c r="AW367" s="1068"/>
      <c r="AX367" s="1062" t="str">
        <f>'No Recurrentes 24-26'!CK229</f>
        <v/>
      </c>
      <c r="AY367" s="1062">
        <f>'No Recurrentes 24-26'!CL229</f>
        <v>127</v>
      </c>
      <c r="AZ367" s="1068"/>
      <c r="BA367" s="1062">
        <f>'No Recurrentes 24-26'!CM229</f>
        <v>254</v>
      </c>
      <c r="BB367" s="1062">
        <f>'No Recurrentes 24-26'!CN229</f>
        <v>254</v>
      </c>
      <c r="BC367" s="1062">
        <f>'No Recurrentes 24-26'!CO229</f>
        <v>254</v>
      </c>
      <c r="BD367" s="1062">
        <f>'No Recurrentes 24-26'!CP229</f>
        <v>0</v>
      </c>
      <c r="BE367" s="1062">
        <f>'No Recurrentes 24-26'!CQ229</f>
        <v>254</v>
      </c>
      <c r="BF367" s="1062">
        <f>'No Recurrentes 24-26'!CR229</f>
        <v>508</v>
      </c>
      <c r="BG367" s="1062">
        <f>'No Recurrentes 24-26'!CS229</f>
        <v>254</v>
      </c>
      <c r="BH367" s="1062">
        <f>'No Recurrentes 24-26'!CT229</f>
        <v>254</v>
      </c>
      <c r="BI367" s="1062">
        <f>'No Recurrentes 24-26'!CU229</f>
        <v>0</v>
      </c>
      <c r="BJ367" s="1062">
        <f>'No Recurrentes 24-26'!CV229</f>
        <v>508</v>
      </c>
      <c r="BK367" s="1068"/>
      <c r="BL367" s="1062">
        <f>'No Recurrentes 24-26'!CW229</f>
        <v>2540</v>
      </c>
      <c r="BM367" s="1062">
        <f>'No Recurrentes 24-26'!CX229</f>
        <v>0</v>
      </c>
      <c r="BN367" s="1062">
        <f>'No Recurrentes 24-26'!CY229</f>
        <v>0</v>
      </c>
      <c r="BO367" s="1062">
        <f>'No Recurrentes 24-26'!CZ229</f>
        <v>0</v>
      </c>
      <c r="BP367" s="1062">
        <f>'No Recurrentes 24-26'!DA229</f>
        <v>0</v>
      </c>
      <c r="BQ367" s="1062">
        <f>'No Recurrentes 24-26'!DB229</f>
        <v>0</v>
      </c>
      <c r="BR367" s="1062">
        <f>'No Recurrentes 24-26'!DC229</f>
        <v>0</v>
      </c>
      <c r="BS367" s="1062">
        <f>'No Recurrentes 24-26'!DD229</f>
        <v>0</v>
      </c>
      <c r="BT367" s="1062">
        <f>'No Recurrentes 24-26'!DE229</f>
        <v>0</v>
      </c>
      <c r="BU367" s="1062">
        <f>'No Recurrentes 24-26'!DF229</f>
        <v>0</v>
      </c>
      <c r="BV367" s="1062">
        <f>'No Recurrentes 24-26'!DG229</f>
        <v>0</v>
      </c>
      <c r="BW367" s="1068"/>
      <c r="BX367" s="1062">
        <f>'No Recurrentes 24-26'!DH229</f>
        <v>0</v>
      </c>
      <c r="BY367" s="1062">
        <f>'No Recurrentes 24-26'!DI229</f>
        <v>0</v>
      </c>
      <c r="BZ367" s="1062">
        <f>'No Recurrentes 24-26'!DJ229</f>
        <v>0</v>
      </c>
      <c r="CA367" s="1062">
        <f>'No Recurrentes 24-26'!DK229</f>
        <v>0</v>
      </c>
      <c r="CB367" s="1062">
        <f>'No Recurrentes 24-26'!DL229</f>
        <v>0</v>
      </c>
      <c r="CC367" s="1062">
        <f>'No Recurrentes 24-26'!DM229</f>
        <v>0</v>
      </c>
      <c r="CD367" s="1062">
        <f>'No Recurrentes 24-26'!DN229</f>
        <v>0</v>
      </c>
      <c r="CE367" s="1062">
        <f>'No Recurrentes 24-26'!DO229</f>
        <v>0</v>
      </c>
      <c r="CF367" s="1062">
        <f>'No Recurrentes 24-26'!DP229</f>
        <v>0</v>
      </c>
      <c r="CG367" s="1062">
        <f>'No Recurrentes 24-26'!DQ229</f>
        <v>0</v>
      </c>
      <c r="CH367" s="1062">
        <f>'No Recurrentes 24-26'!DR229</f>
        <v>0</v>
      </c>
      <c r="CI367" s="1068"/>
      <c r="CJ367" s="1062">
        <f>'No Recurrentes 24-26'!DS229</f>
        <v>0</v>
      </c>
      <c r="CK367" s="1062">
        <f>'No Recurrentes 24-26'!DT229</f>
        <v>2540</v>
      </c>
      <c r="CL367" s="1064" t="str">
        <f>'No Recurrentes 24-26'!DU229</f>
        <v/>
      </c>
      <c r="CM367" s="1064" t="str">
        <f>'No Recurrentes 24-26'!DV229</f>
        <v>Precio referencial</v>
      </c>
      <c r="CN367" s="1060">
        <f>'No Recurrentes 24-26'!EI225</f>
        <v>1</v>
      </c>
      <c r="CO367" s="1060" t="str">
        <f>'No Recurrentes 24-26'!EJ225</f>
        <v/>
      </c>
      <c r="CP367" s="1060" t="str">
        <f>'No Recurrentes 24-26'!EK225</f>
        <v/>
      </c>
    </row>
    <row r="368">
      <c r="A368" s="451" t="str">
        <f>'No Recurrentes 24-26'!A230</f>
        <v>Repuestos Electromecánicos no recurrentes</v>
      </c>
      <c r="B368" s="451">
        <f>'No Recurrentes 24-26'!B230</f>
        <v>40</v>
      </c>
      <c r="C368" s="451" t="str">
        <f>'No Recurrentes 24-26'!C230</f>
        <v>Estación</v>
      </c>
      <c r="D368" s="451" t="str">
        <f>'No Recurrentes 24-26'!D230</f>
        <v>Manto. Motores y reductores</v>
      </c>
      <c r="E368" s="451" t="str">
        <f>'No Recurrentes 24-26'!E230</f>
        <v>Repuesto Mecánico</v>
      </c>
      <c r="F368" s="451" t="str">
        <f>'No Recurrentes 24-26'!F230</f>
        <v>LOCAL</v>
      </c>
      <c r="G368" s="1061" t="str">
        <f>'No Recurrentes 24-26'!G230</f>
        <v>39800</v>
      </c>
      <c r="H368" s="1061" t="str">
        <f>'No Recurrentes 24-26'!H230</f>
        <v>2-01-01144</v>
      </c>
      <c r="I368" s="1061" t="str">
        <f>'No Recurrentes 24-26'!I230</f>
        <v/>
      </c>
      <c r="J368" s="1061" t="str">
        <f>'No Recurrentes 24-26'!J230</f>
        <v>RODAMIENTO 624-2Z (04x13x05) (VELETA Y ANEMOMETRO)</v>
      </c>
      <c r="K368" s="451" t="str">
        <f>'No Recurrentes 24-26'!K230</f>
        <v>Pza</v>
      </c>
      <c r="L368" s="451">
        <f>'No Recurrentes 24-26'!BC230</f>
        <v>6</v>
      </c>
      <c r="M368" s="451">
        <f>'No Recurrentes 24-26'!BD230</f>
        <v>4</v>
      </c>
      <c r="N368" s="451">
        <f>'No Recurrentes 24-26'!BE230</f>
        <v>6</v>
      </c>
      <c r="O368" s="451">
        <f>'No Recurrentes 24-26'!BF230</f>
        <v>8</v>
      </c>
      <c r="P368" s="451">
        <f>'No Recurrentes 24-26'!BG230</f>
        <v>8</v>
      </c>
      <c r="Q368" s="451">
        <f>'No Recurrentes 24-26'!BH230</f>
        <v>12</v>
      </c>
      <c r="R368" s="451">
        <f>'No Recurrentes 24-26'!BI230</f>
        <v>2</v>
      </c>
      <c r="S368" s="451">
        <f>'No Recurrentes 24-26'!BJ230</f>
        <v>2</v>
      </c>
      <c r="T368" s="451" t="str">
        <f>'No Recurrentes 24-26'!BK230</f>
        <v/>
      </c>
      <c r="U368" s="451">
        <f>'No Recurrentes 24-26'!BL230</f>
        <v>4</v>
      </c>
      <c r="V368" s="1068"/>
      <c r="W368" s="1062">
        <f>'No Recurrentes 24-26'!BM230</f>
        <v>52</v>
      </c>
      <c r="X368" s="1062" t="str">
        <f>'No Recurrentes 24-26'!BN230</f>
        <v/>
      </c>
      <c r="Y368" s="1062" t="str">
        <f>'No Recurrentes 24-26'!BO230</f>
        <v/>
      </c>
      <c r="Z368" s="1062" t="str">
        <f>'No Recurrentes 24-26'!BP230</f>
        <v/>
      </c>
      <c r="AA368" s="1062" t="str">
        <f>'No Recurrentes 24-26'!BQ230</f>
        <v/>
      </c>
      <c r="AB368" s="1062" t="str">
        <f>'No Recurrentes 24-26'!BR230</f>
        <v/>
      </c>
      <c r="AC368" s="1062" t="str">
        <f>'No Recurrentes 24-26'!BS230</f>
        <v/>
      </c>
      <c r="AD368" s="1062" t="str">
        <f>'No Recurrentes 24-26'!BT230</f>
        <v/>
      </c>
      <c r="AE368" s="1062" t="str">
        <f>'No Recurrentes 24-26'!BU230</f>
        <v/>
      </c>
      <c r="AF368" s="1062" t="str">
        <f>'No Recurrentes 24-26'!BV230</f>
        <v/>
      </c>
      <c r="AG368" s="1062" t="str">
        <f>'No Recurrentes 24-26'!BW230</f>
        <v/>
      </c>
      <c r="AH368" s="1068"/>
      <c r="AI368" s="1062">
        <f>'No Recurrentes 24-26'!BX230</f>
        <v>0</v>
      </c>
      <c r="AJ368" s="1062">
        <f>'No Recurrentes 24-26'!BY230</f>
        <v>0</v>
      </c>
      <c r="AK368" s="1062">
        <f>'No Recurrentes 24-26'!BZ230</f>
        <v>0</v>
      </c>
      <c r="AL368" s="1062">
        <f>'No Recurrentes 24-26'!CA230</f>
        <v>0</v>
      </c>
      <c r="AM368" s="1062">
        <f>'No Recurrentes 24-26'!CB230</f>
        <v>0</v>
      </c>
      <c r="AN368" s="1062">
        <f>'No Recurrentes 24-26'!CC230</f>
        <v>0</v>
      </c>
      <c r="AO368" s="1062">
        <f>'No Recurrentes 24-26'!CD230</f>
        <v>0</v>
      </c>
      <c r="AP368" s="1062">
        <f>'No Recurrentes 24-26'!CE230</f>
        <v>0</v>
      </c>
      <c r="AQ368" s="1062">
        <f>'No Recurrentes 24-26'!CF230</f>
        <v>0</v>
      </c>
      <c r="AR368" s="1062">
        <f>'No Recurrentes 24-26'!CG230</f>
        <v>0</v>
      </c>
      <c r="AS368" s="1062">
        <f>'No Recurrentes 24-26'!CH230</f>
        <v>0</v>
      </c>
      <c r="AT368" s="1068"/>
      <c r="AU368" s="1062">
        <f>'No Recurrentes 24-26'!CI230</f>
        <v>0</v>
      </c>
      <c r="AV368" s="1063">
        <f>'No Recurrentes 24-26'!CJ230</f>
        <v>52</v>
      </c>
      <c r="AW368" s="1068"/>
      <c r="AX368" s="1062" t="str">
        <f>'No Recurrentes 24-26'!CK230</f>
        <v/>
      </c>
      <c r="AY368" s="1062">
        <f>'No Recurrentes 24-26'!CL230</f>
        <v>48</v>
      </c>
      <c r="AZ368" s="1068"/>
      <c r="BA368" s="1062">
        <f>'No Recurrentes 24-26'!CM230</f>
        <v>288</v>
      </c>
      <c r="BB368" s="1062">
        <f>'No Recurrentes 24-26'!CN230</f>
        <v>192</v>
      </c>
      <c r="BC368" s="1062">
        <f>'No Recurrentes 24-26'!CO230</f>
        <v>288</v>
      </c>
      <c r="BD368" s="1062">
        <f>'No Recurrentes 24-26'!CP230</f>
        <v>384</v>
      </c>
      <c r="BE368" s="1062">
        <f>'No Recurrentes 24-26'!CQ230</f>
        <v>384</v>
      </c>
      <c r="BF368" s="1062">
        <f>'No Recurrentes 24-26'!CR230</f>
        <v>576</v>
      </c>
      <c r="BG368" s="1062">
        <f>'No Recurrentes 24-26'!CS230</f>
        <v>96</v>
      </c>
      <c r="BH368" s="1062">
        <f>'No Recurrentes 24-26'!CT230</f>
        <v>96</v>
      </c>
      <c r="BI368" s="1062">
        <f>'No Recurrentes 24-26'!CU230</f>
        <v>0</v>
      </c>
      <c r="BJ368" s="1062">
        <f>'No Recurrentes 24-26'!CV230</f>
        <v>192</v>
      </c>
      <c r="BK368" s="1068"/>
      <c r="BL368" s="1062">
        <f>'No Recurrentes 24-26'!CW230</f>
        <v>2496</v>
      </c>
      <c r="BM368" s="1062">
        <f>'No Recurrentes 24-26'!CX230</f>
        <v>0</v>
      </c>
      <c r="BN368" s="1062">
        <f>'No Recurrentes 24-26'!CY230</f>
        <v>0</v>
      </c>
      <c r="BO368" s="1062">
        <f>'No Recurrentes 24-26'!CZ230</f>
        <v>0</v>
      </c>
      <c r="BP368" s="1062">
        <f>'No Recurrentes 24-26'!DA230</f>
        <v>0</v>
      </c>
      <c r="BQ368" s="1062">
        <f>'No Recurrentes 24-26'!DB230</f>
        <v>0</v>
      </c>
      <c r="BR368" s="1062">
        <f>'No Recurrentes 24-26'!DC230</f>
        <v>0</v>
      </c>
      <c r="BS368" s="1062">
        <f>'No Recurrentes 24-26'!DD230</f>
        <v>0</v>
      </c>
      <c r="BT368" s="1062">
        <f>'No Recurrentes 24-26'!DE230</f>
        <v>0</v>
      </c>
      <c r="BU368" s="1062">
        <f>'No Recurrentes 24-26'!DF230</f>
        <v>0</v>
      </c>
      <c r="BV368" s="1062">
        <f>'No Recurrentes 24-26'!DG230</f>
        <v>0</v>
      </c>
      <c r="BW368" s="1068"/>
      <c r="BX368" s="1062">
        <f>'No Recurrentes 24-26'!DH230</f>
        <v>0</v>
      </c>
      <c r="BY368" s="1062">
        <f>'No Recurrentes 24-26'!DI230</f>
        <v>0</v>
      </c>
      <c r="BZ368" s="1062">
        <f>'No Recurrentes 24-26'!DJ230</f>
        <v>0</v>
      </c>
      <c r="CA368" s="1062">
        <f>'No Recurrentes 24-26'!DK230</f>
        <v>0</v>
      </c>
      <c r="CB368" s="1062">
        <f>'No Recurrentes 24-26'!DL230</f>
        <v>0</v>
      </c>
      <c r="CC368" s="1062">
        <f>'No Recurrentes 24-26'!DM230</f>
        <v>0</v>
      </c>
      <c r="CD368" s="1062">
        <f>'No Recurrentes 24-26'!DN230</f>
        <v>0</v>
      </c>
      <c r="CE368" s="1062">
        <f>'No Recurrentes 24-26'!DO230</f>
        <v>0</v>
      </c>
      <c r="CF368" s="1062">
        <f>'No Recurrentes 24-26'!DP230</f>
        <v>0</v>
      </c>
      <c r="CG368" s="1062">
        <f>'No Recurrentes 24-26'!DQ230</f>
        <v>0</v>
      </c>
      <c r="CH368" s="1062">
        <f>'No Recurrentes 24-26'!DR230</f>
        <v>0</v>
      </c>
      <c r="CI368" s="1068"/>
      <c r="CJ368" s="1062">
        <f>'No Recurrentes 24-26'!DS230</f>
        <v>0</v>
      </c>
      <c r="CK368" s="1062">
        <f>'No Recurrentes 24-26'!DT230</f>
        <v>2496</v>
      </c>
      <c r="CL368" s="1064" t="str">
        <f>'No Recurrentes 24-26'!DU230</f>
        <v>Precio tentativo</v>
      </c>
      <c r="CM368" s="1064" t="str">
        <f>'No Recurrentes 24-26'!DV230</f>
        <v>Precio referencial</v>
      </c>
      <c r="CN368" s="1060">
        <f>'No Recurrentes 24-26'!EI226</f>
        <v>1</v>
      </c>
      <c r="CO368" s="1060" t="str">
        <f>'No Recurrentes 24-26'!EJ226</f>
        <v/>
      </c>
      <c r="CP368" s="1060" t="str">
        <f>'No Recurrentes 24-26'!EK226</f>
        <v/>
      </c>
    </row>
    <row r="369">
      <c r="A369" s="451" t="str">
        <f>'No Recurrentes 24-26'!A231</f>
        <v>Repuestos Electromecánicos no recurrentes</v>
      </c>
      <c r="B369" s="451">
        <f>'No Recurrentes 24-26'!B231</f>
        <v>40</v>
      </c>
      <c r="C369" s="451" t="str">
        <f>'No Recurrentes 24-26'!C231</f>
        <v>Estación</v>
      </c>
      <c r="D369" s="451" t="str">
        <f>'No Recurrentes 24-26'!D231</f>
        <v>Manto. Motores y reductores</v>
      </c>
      <c r="E369" s="451" t="str">
        <f>'No Recurrentes 24-26'!E231</f>
        <v>Repuesto Mecánico</v>
      </c>
      <c r="F369" s="451" t="str">
        <f>'No Recurrentes 24-26'!F231</f>
        <v>LOCAL</v>
      </c>
      <c r="G369" s="1061" t="str">
        <f>'No Recurrentes 24-26'!G231</f>
        <v>39800</v>
      </c>
      <c r="H369" s="1061" t="str">
        <f>'No Recurrentes 24-26'!H231</f>
        <v>2-01-00828</v>
      </c>
      <c r="I369" s="1061" t="str">
        <f>'No Recurrentes 24-26'!I231</f>
        <v/>
      </c>
      <c r="J369" s="1061" t="str">
        <f>'No Recurrentes 24-26'!J231</f>
        <v>RODAMIENTO 6204-ZZ (MOTOR REFRIGERACION DE ACEITE REDUCTOR)</v>
      </c>
      <c r="K369" s="451" t="str">
        <f>'No Recurrentes 24-26'!K231</f>
        <v>Pza</v>
      </c>
      <c r="L369" s="451">
        <f>'No Recurrentes 24-26'!BC231</f>
        <v>4</v>
      </c>
      <c r="M369" s="451">
        <f>'No Recurrentes 24-26'!BD231</f>
        <v>2</v>
      </c>
      <c r="N369" s="451">
        <f>'No Recurrentes 24-26'!BE231</f>
        <v>4</v>
      </c>
      <c r="O369" s="451">
        <f>'No Recurrentes 24-26'!BF231</f>
        <v>4</v>
      </c>
      <c r="P369" s="451">
        <f>'No Recurrentes 24-26'!BG231</f>
        <v>4</v>
      </c>
      <c r="Q369" s="451">
        <f>'No Recurrentes 24-26'!BH231</f>
        <v>4</v>
      </c>
      <c r="R369" s="451">
        <f>'No Recurrentes 24-26'!BI231</f>
        <v>4</v>
      </c>
      <c r="S369" s="451">
        <f>'No Recurrentes 24-26'!BJ231</f>
        <v>4</v>
      </c>
      <c r="T369" s="451">
        <f>'No Recurrentes 24-26'!BK231</f>
        <v>2</v>
      </c>
      <c r="U369" s="451">
        <f>'No Recurrentes 24-26'!BL231</f>
        <v>4</v>
      </c>
      <c r="V369" s="1068"/>
      <c r="W369" s="1062">
        <f>'No Recurrentes 24-26'!BM231</f>
        <v>36</v>
      </c>
      <c r="X369" s="1062" t="str">
        <f>'No Recurrentes 24-26'!BN231</f>
        <v/>
      </c>
      <c r="Y369" s="1062" t="str">
        <f>'No Recurrentes 24-26'!BO231</f>
        <v/>
      </c>
      <c r="Z369" s="1062" t="str">
        <f>'No Recurrentes 24-26'!BP231</f>
        <v/>
      </c>
      <c r="AA369" s="1062" t="str">
        <f>'No Recurrentes 24-26'!BQ231</f>
        <v/>
      </c>
      <c r="AB369" s="1062" t="str">
        <f>'No Recurrentes 24-26'!BR231</f>
        <v/>
      </c>
      <c r="AC369" s="1062" t="str">
        <f>'No Recurrentes 24-26'!BS231</f>
        <v/>
      </c>
      <c r="AD369" s="1062" t="str">
        <f>'No Recurrentes 24-26'!BT231</f>
        <v/>
      </c>
      <c r="AE369" s="1062" t="str">
        <f>'No Recurrentes 24-26'!BU231</f>
        <v/>
      </c>
      <c r="AF369" s="1062" t="str">
        <f>'No Recurrentes 24-26'!BV231</f>
        <v/>
      </c>
      <c r="AG369" s="1062" t="str">
        <f>'No Recurrentes 24-26'!BW231</f>
        <v/>
      </c>
      <c r="AH369" s="1068"/>
      <c r="AI369" s="1062">
        <f>'No Recurrentes 24-26'!BX231</f>
        <v>0</v>
      </c>
      <c r="AJ369" s="1062">
        <f>'No Recurrentes 24-26'!BY231</f>
        <v>0</v>
      </c>
      <c r="AK369" s="1062">
        <f>'No Recurrentes 24-26'!BZ231</f>
        <v>0</v>
      </c>
      <c r="AL369" s="1062">
        <f>'No Recurrentes 24-26'!CA231</f>
        <v>0</v>
      </c>
      <c r="AM369" s="1062">
        <f>'No Recurrentes 24-26'!CB231</f>
        <v>0</v>
      </c>
      <c r="AN369" s="1062">
        <f>'No Recurrentes 24-26'!CC231</f>
        <v>0</v>
      </c>
      <c r="AO369" s="1062">
        <f>'No Recurrentes 24-26'!CD231</f>
        <v>0</v>
      </c>
      <c r="AP369" s="1062">
        <f>'No Recurrentes 24-26'!CE231</f>
        <v>0</v>
      </c>
      <c r="AQ369" s="1062">
        <f>'No Recurrentes 24-26'!CF231</f>
        <v>0</v>
      </c>
      <c r="AR369" s="1062">
        <f>'No Recurrentes 24-26'!CG231</f>
        <v>0</v>
      </c>
      <c r="AS369" s="1062">
        <f>'No Recurrentes 24-26'!CH231</f>
        <v>0</v>
      </c>
      <c r="AT369" s="1068"/>
      <c r="AU369" s="1062">
        <f>'No Recurrentes 24-26'!CI231</f>
        <v>0</v>
      </c>
      <c r="AV369" s="1063">
        <f>'No Recurrentes 24-26'!CJ231</f>
        <v>36</v>
      </c>
      <c r="AW369" s="1068"/>
      <c r="AX369" s="1062" t="str">
        <f>'No Recurrentes 24-26'!CK231</f>
        <v/>
      </c>
      <c r="AY369" s="1062">
        <f>'No Recurrentes 24-26'!CL231</f>
        <v>67</v>
      </c>
      <c r="AZ369" s="1068"/>
      <c r="BA369" s="1062">
        <f>'No Recurrentes 24-26'!CM231</f>
        <v>268</v>
      </c>
      <c r="BB369" s="1062">
        <f>'No Recurrentes 24-26'!CN231</f>
        <v>134</v>
      </c>
      <c r="BC369" s="1062">
        <f>'No Recurrentes 24-26'!CO231</f>
        <v>268</v>
      </c>
      <c r="BD369" s="1062">
        <f>'No Recurrentes 24-26'!CP231</f>
        <v>268</v>
      </c>
      <c r="BE369" s="1062">
        <f>'No Recurrentes 24-26'!CQ231</f>
        <v>268</v>
      </c>
      <c r="BF369" s="1062">
        <f>'No Recurrentes 24-26'!CR231</f>
        <v>268</v>
      </c>
      <c r="BG369" s="1062">
        <f>'No Recurrentes 24-26'!CS231</f>
        <v>268</v>
      </c>
      <c r="BH369" s="1062">
        <f>'No Recurrentes 24-26'!CT231</f>
        <v>268</v>
      </c>
      <c r="BI369" s="1062">
        <f>'No Recurrentes 24-26'!CU231</f>
        <v>134</v>
      </c>
      <c r="BJ369" s="1062">
        <f>'No Recurrentes 24-26'!CV231</f>
        <v>268</v>
      </c>
      <c r="BK369" s="1068"/>
      <c r="BL369" s="1062">
        <f>'No Recurrentes 24-26'!CW231</f>
        <v>2412</v>
      </c>
      <c r="BM369" s="1062">
        <f>'No Recurrentes 24-26'!CX231</f>
        <v>0</v>
      </c>
      <c r="BN369" s="1062">
        <f>'No Recurrentes 24-26'!CY231</f>
        <v>0</v>
      </c>
      <c r="BO369" s="1062">
        <f>'No Recurrentes 24-26'!CZ231</f>
        <v>0</v>
      </c>
      <c r="BP369" s="1062">
        <f>'No Recurrentes 24-26'!DA231</f>
        <v>0</v>
      </c>
      <c r="BQ369" s="1062">
        <f>'No Recurrentes 24-26'!DB231</f>
        <v>0</v>
      </c>
      <c r="BR369" s="1062">
        <f>'No Recurrentes 24-26'!DC231</f>
        <v>0</v>
      </c>
      <c r="BS369" s="1062">
        <f>'No Recurrentes 24-26'!DD231</f>
        <v>0</v>
      </c>
      <c r="BT369" s="1062">
        <f>'No Recurrentes 24-26'!DE231</f>
        <v>0</v>
      </c>
      <c r="BU369" s="1062">
        <f>'No Recurrentes 24-26'!DF231</f>
        <v>0</v>
      </c>
      <c r="BV369" s="1062">
        <f>'No Recurrentes 24-26'!DG231</f>
        <v>0</v>
      </c>
      <c r="BW369" s="1068"/>
      <c r="BX369" s="1062">
        <f>'No Recurrentes 24-26'!DH231</f>
        <v>0</v>
      </c>
      <c r="BY369" s="1062">
        <f>'No Recurrentes 24-26'!DI231</f>
        <v>0</v>
      </c>
      <c r="BZ369" s="1062">
        <f>'No Recurrentes 24-26'!DJ231</f>
        <v>0</v>
      </c>
      <c r="CA369" s="1062">
        <f>'No Recurrentes 24-26'!DK231</f>
        <v>0</v>
      </c>
      <c r="CB369" s="1062">
        <f>'No Recurrentes 24-26'!DL231</f>
        <v>0</v>
      </c>
      <c r="CC369" s="1062">
        <f>'No Recurrentes 24-26'!DM231</f>
        <v>0</v>
      </c>
      <c r="CD369" s="1062">
        <f>'No Recurrentes 24-26'!DN231</f>
        <v>0</v>
      </c>
      <c r="CE369" s="1062">
        <f>'No Recurrentes 24-26'!DO231</f>
        <v>0</v>
      </c>
      <c r="CF369" s="1062">
        <f>'No Recurrentes 24-26'!DP231</f>
        <v>0</v>
      </c>
      <c r="CG369" s="1062">
        <f>'No Recurrentes 24-26'!DQ231</f>
        <v>0</v>
      </c>
      <c r="CH369" s="1062">
        <f>'No Recurrentes 24-26'!DR231</f>
        <v>0</v>
      </c>
      <c r="CI369" s="1068"/>
      <c r="CJ369" s="1062">
        <f>'No Recurrentes 24-26'!DS231</f>
        <v>0</v>
      </c>
      <c r="CK369" s="1062">
        <f>'No Recurrentes 24-26'!DT231</f>
        <v>2412</v>
      </c>
      <c r="CL369" s="1064" t="str">
        <f>'No Recurrentes 24-26'!DU231</f>
        <v/>
      </c>
      <c r="CM369" s="1064" t="str">
        <f>'No Recurrentes 24-26'!DV231</f>
        <v>Precio referencial</v>
      </c>
      <c r="CN369" s="1060">
        <f>'No Recurrentes 24-26'!EI227</f>
        <v>1</v>
      </c>
      <c r="CO369" s="1060" t="str">
        <f>'No Recurrentes 24-26'!EJ227</f>
        <v/>
      </c>
      <c r="CP369" s="1060" t="str">
        <f>'No Recurrentes 24-26'!EK227</f>
        <v/>
      </c>
    </row>
    <row r="370">
      <c r="A370" s="451" t="str">
        <f>'No Recurrentes 24-26'!A232</f>
        <v>Repuestos Electromecánicos no recurrentes</v>
      </c>
      <c r="B370" s="451">
        <f>'No Recurrentes 24-26'!B232</f>
        <v>40</v>
      </c>
      <c r="C370" s="451" t="str">
        <f>'No Recurrentes 24-26'!C232</f>
        <v>Estación</v>
      </c>
      <c r="D370" s="451" t="str">
        <f>'No Recurrentes 24-26'!D232</f>
        <v>Manto. Motores y reductores</v>
      </c>
      <c r="E370" s="451" t="str">
        <f>'No Recurrentes 24-26'!E232</f>
        <v>Repuesto Mecánico</v>
      </c>
      <c r="F370" s="451" t="str">
        <f>'No Recurrentes 24-26'!F232</f>
        <v>LOCAL</v>
      </c>
      <c r="G370" s="1061" t="str">
        <f>'No Recurrentes 24-26'!G232</f>
        <v>39800</v>
      </c>
      <c r="H370" s="1061" t="str">
        <f>'No Recurrentes 24-26'!H232</f>
        <v>2-01-01140</v>
      </c>
      <c r="I370" s="1061" t="str">
        <f>'No Recurrentes 24-26'!I232</f>
        <v/>
      </c>
      <c r="J370" s="1061" t="str">
        <f>'No Recurrentes 24-26'!J232</f>
        <v>RODAMIENTO 6206-Z (MOTOR DE VENTILADOR CENTRIFUGO)</v>
      </c>
      <c r="K370" s="451" t="str">
        <f>'No Recurrentes 24-26'!K232</f>
        <v>Pza</v>
      </c>
      <c r="L370" s="451">
        <f>'No Recurrentes 24-26'!BC232</f>
        <v>2</v>
      </c>
      <c r="M370" s="451">
        <f>'No Recurrentes 24-26'!BD232</f>
        <v>2</v>
      </c>
      <c r="N370" s="451">
        <f>'No Recurrentes 24-26'!BE232</f>
        <v>2</v>
      </c>
      <c r="O370" s="451" t="str">
        <f>'No Recurrentes 24-26'!BF232</f>
        <v/>
      </c>
      <c r="P370" s="451">
        <f>'No Recurrentes 24-26'!BG232</f>
        <v>2</v>
      </c>
      <c r="Q370" s="451">
        <f>'No Recurrentes 24-26'!BH232</f>
        <v>6</v>
      </c>
      <c r="R370" s="451">
        <f>'No Recurrentes 24-26'!BI232</f>
        <v>2</v>
      </c>
      <c r="S370" s="451">
        <f>'No Recurrentes 24-26'!BJ232</f>
        <v>2</v>
      </c>
      <c r="T370" s="451" t="str">
        <f>'No Recurrentes 24-26'!BK232</f>
        <v/>
      </c>
      <c r="U370" s="451">
        <f>'No Recurrentes 24-26'!BL232</f>
        <v>4</v>
      </c>
      <c r="V370" s="1068"/>
      <c r="W370" s="1062">
        <f>'No Recurrentes 24-26'!BM232</f>
        <v>22</v>
      </c>
      <c r="X370" s="1062" t="str">
        <f>'No Recurrentes 24-26'!BN232</f>
        <v/>
      </c>
      <c r="Y370" s="1062" t="str">
        <f>'No Recurrentes 24-26'!BO232</f>
        <v/>
      </c>
      <c r="Z370" s="1062" t="str">
        <f>'No Recurrentes 24-26'!BP232</f>
        <v/>
      </c>
      <c r="AA370" s="1062" t="str">
        <f>'No Recurrentes 24-26'!BQ232</f>
        <v/>
      </c>
      <c r="AB370" s="1062" t="str">
        <f>'No Recurrentes 24-26'!BR232</f>
        <v/>
      </c>
      <c r="AC370" s="1062" t="str">
        <f>'No Recurrentes 24-26'!BS232</f>
        <v/>
      </c>
      <c r="AD370" s="1062" t="str">
        <f>'No Recurrentes 24-26'!BT232</f>
        <v/>
      </c>
      <c r="AE370" s="1062" t="str">
        <f>'No Recurrentes 24-26'!BU232</f>
        <v/>
      </c>
      <c r="AF370" s="1062" t="str">
        <f>'No Recurrentes 24-26'!BV232</f>
        <v/>
      </c>
      <c r="AG370" s="1062" t="str">
        <f>'No Recurrentes 24-26'!BW232</f>
        <v/>
      </c>
      <c r="AH370" s="1068"/>
      <c r="AI370" s="1062">
        <f>'No Recurrentes 24-26'!BX232</f>
        <v>0</v>
      </c>
      <c r="AJ370" s="1062">
        <f>'No Recurrentes 24-26'!BY232</f>
        <v>0</v>
      </c>
      <c r="AK370" s="1062">
        <f>'No Recurrentes 24-26'!BZ232</f>
        <v>0</v>
      </c>
      <c r="AL370" s="1062">
        <f>'No Recurrentes 24-26'!CA232</f>
        <v>0</v>
      </c>
      <c r="AM370" s="1062">
        <f>'No Recurrentes 24-26'!CB232</f>
        <v>0</v>
      </c>
      <c r="AN370" s="1062">
        <f>'No Recurrentes 24-26'!CC232</f>
        <v>0</v>
      </c>
      <c r="AO370" s="1062">
        <f>'No Recurrentes 24-26'!CD232</f>
        <v>0</v>
      </c>
      <c r="AP370" s="1062">
        <f>'No Recurrentes 24-26'!CE232</f>
        <v>0</v>
      </c>
      <c r="AQ370" s="1062">
        <f>'No Recurrentes 24-26'!CF232</f>
        <v>0</v>
      </c>
      <c r="AR370" s="1062">
        <f>'No Recurrentes 24-26'!CG232</f>
        <v>0</v>
      </c>
      <c r="AS370" s="1062">
        <f>'No Recurrentes 24-26'!CH232</f>
        <v>0</v>
      </c>
      <c r="AT370" s="1068"/>
      <c r="AU370" s="1062">
        <f>'No Recurrentes 24-26'!CI232</f>
        <v>0</v>
      </c>
      <c r="AV370" s="1063">
        <f>'No Recurrentes 24-26'!CJ232</f>
        <v>22</v>
      </c>
      <c r="AW370" s="1068"/>
      <c r="AX370" s="1062" t="str">
        <f>'No Recurrentes 24-26'!CK232</f>
        <v/>
      </c>
      <c r="AY370" s="1062">
        <f>'No Recurrentes 24-26'!CL232</f>
        <v>94</v>
      </c>
      <c r="AZ370" s="1068"/>
      <c r="BA370" s="1062">
        <f>'No Recurrentes 24-26'!CM232</f>
        <v>188</v>
      </c>
      <c r="BB370" s="1062">
        <f>'No Recurrentes 24-26'!CN232</f>
        <v>188</v>
      </c>
      <c r="BC370" s="1062">
        <f>'No Recurrentes 24-26'!CO232</f>
        <v>188</v>
      </c>
      <c r="BD370" s="1062">
        <f>'No Recurrentes 24-26'!CP232</f>
        <v>0</v>
      </c>
      <c r="BE370" s="1062">
        <f>'No Recurrentes 24-26'!CQ232</f>
        <v>188</v>
      </c>
      <c r="BF370" s="1062">
        <f>'No Recurrentes 24-26'!CR232</f>
        <v>564</v>
      </c>
      <c r="BG370" s="1062">
        <f>'No Recurrentes 24-26'!CS232</f>
        <v>188</v>
      </c>
      <c r="BH370" s="1062">
        <f>'No Recurrentes 24-26'!CT232</f>
        <v>188</v>
      </c>
      <c r="BI370" s="1062">
        <f>'No Recurrentes 24-26'!CU232</f>
        <v>0</v>
      </c>
      <c r="BJ370" s="1062">
        <f>'No Recurrentes 24-26'!CV232</f>
        <v>376</v>
      </c>
      <c r="BK370" s="1068"/>
      <c r="BL370" s="1062">
        <f>'No Recurrentes 24-26'!CW232</f>
        <v>2068</v>
      </c>
      <c r="BM370" s="1062">
        <f>'No Recurrentes 24-26'!CX232</f>
        <v>0</v>
      </c>
      <c r="BN370" s="1062">
        <f>'No Recurrentes 24-26'!CY232</f>
        <v>0</v>
      </c>
      <c r="BO370" s="1062">
        <f>'No Recurrentes 24-26'!CZ232</f>
        <v>0</v>
      </c>
      <c r="BP370" s="1062">
        <f>'No Recurrentes 24-26'!DA232</f>
        <v>0</v>
      </c>
      <c r="BQ370" s="1062">
        <f>'No Recurrentes 24-26'!DB232</f>
        <v>0</v>
      </c>
      <c r="BR370" s="1062">
        <f>'No Recurrentes 24-26'!DC232</f>
        <v>0</v>
      </c>
      <c r="BS370" s="1062">
        <f>'No Recurrentes 24-26'!DD232</f>
        <v>0</v>
      </c>
      <c r="BT370" s="1062">
        <f>'No Recurrentes 24-26'!DE232</f>
        <v>0</v>
      </c>
      <c r="BU370" s="1062">
        <f>'No Recurrentes 24-26'!DF232</f>
        <v>0</v>
      </c>
      <c r="BV370" s="1062">
        <f>'No Recurrentes 24-26'!DG232</f>
        <v>0</v>
      </c>
      <c r="BW370" s="1068"/>
      <c r="BX370" s="1062">
        <f>'No Recurrentes 24-26'!DH232</f>
        <v>0</v>
      </c>
      <c r="BY370" s="1062">
        <f>'No Recurrentes 24-26'!DI232</f>
        <v>0</v>
      </c>
      <c r="BZ370" s="1062">
        <f>'No Recurrentes 24-26'!DJ232</f>
        <v>0</v>
      </c>
      <c r="CA370" s="1062">
        <f>'No Recurrentes 24-26'!DK232</f>
        <v>0</v>
      </c>
      <c r="CB370" s="1062">
        <f>'No Recurrentes 24-26'!DL232</f>
        <v>0</v>
      </c>
      <c r="CC370" s="1062">
        <f>'No Recurrentes 24-26'!DM232</f>
        <v>0</v>
      </c>
      <c r="CD370" s="1062">
        <f>'No Recurrentes 24-26'!DN232</f>
        <v>0</v>
      </c>
      <c r="CE370" s="1062">
        <f>'No Recurrentes 24-26'!DO232</f>
        <v>0</v>
      </c>
      <c r="CF370" s="1062">
        <f>'No Recurrentes 24-26'!DP232</f>
        <v>0</v>
      </c>
      <c r="CG370" s="1062">
        <f>'No Recurrentes 24-26'!DQ232</f>
        <v>0</v>
      </c>
      <c r="CH370" s="1062">
        <f>'No Recurrentes 24-26'!DR232</f>
        <v>0</v>
      </c>
      <c r="CI370" s="1068"/>
      <c r="CJ370" s="1062">
        <f>'No Recurrentes 24-26'!DS232</f>
        <v>0</v>
      </c>
      <c r="CK370" s="1062">
        <f>'No Recurrentes 24-26'!DT232</f>
        <v>2068</v>
      </c>
      <c r="CL370" s="1064" t="str">
        <f>'No Recurrentes 24-26'!DU232</f>
        <v>Precio tentativo, igual a 6206 zz</v>
      </c>
      <c r="CM370" s="1064" t="str">
        <f>'No Recurrentes 24-26'!DV232</f>
        <v>No se encuentran en la cotizacion</v>
      </c>
      <c r="CN370" s="1060">
        <f>'No Recurrentes 24-26'!EI228</f>
        <v>1</v>
      </c>
      <c r="CO370" s="1060" t="str">
        <f>'No Recurrentes 24-26'!EJ228</f>
        <v/>
      </c>
      <c r="CP370" s="1060" t="str">
        <f>'No Recurrentes 24-26'!EK228</f>
        <v/>
      </c>
    </row>
    <row r="371">
      <c r="A371" s="451" t="str">
        <f>'No Recurrentes 24-26'!A233</f>
        <v>Repuestos Electromecánicos no recurrentes</v>
      </c>
      <c r="B371" s="451">
        <f>'No Recurrentes 24-26'!B233</f>
        <v>2</v>
      </c>
      <c r="C371" s="451" t="str">
        <f>'No Recurrentes 24-26'!C233</f>
        <v>Estación</v>
      </c>
      <c r="D371" s="451" t="str">
        <f>'No Recurrentes 24-26'!D233</f>
        <v>Manto. Motores y reductores</v>
      </c>
      <c r="E371" s="451" t="str">
        <f>'No Recurrentes 24-26'!E233</f>
        <v>Repuesto Mecánico</v>
      </c>
      <c r="F371" s="451" t="str">
        <f>'No Recurrentes 24-26'!F233</f>
        <v>TDB</v>
      </c>
      <c r="G371" s="1025" t="str">
        <f>'No Recurrentes 24-26'!G233</f>
        <v>39800</v>
      </c>
      <c r="H371" s="1061" t="str">
        <f>'No Recurrentes 24-26'!H233</f>
        <v>2-01-00988</v>
      </c>
      <c r="I371" s="1061" t="str">
        <f>'No Recurrentes 24-26'!I233</f>
        <v>11420014</v>
      </c>
      <c r="J371" s="1061" t="str">
        <f>'No Recurrentes 24-26'!J233</f>
        <v>TORNILLO ISO 4017-10.9U M16X35 TORN. HEXAG. GIC</v>
      </c>
      <c r="K371" s="451" t="str">
        <f>'No Recurrentes 24-26'!K233</f>
        <v>Pza</v>
      </c>
      <c r="L371" s="451">
        <f>'No Recurrentes 24-26'!BC233</f>
        <v>8</v>
      </c>
      <c r="M371" s="451">
        <f>'No Recurrentes 24-26'!BD233</f>
        <v>8</v>
      </c>
      <c r="N371" s="451">
        <f>'No Recurrentes 24-26'!BE233</f>
        <v>8</v>
      </c>
      <c r="O371" s="451" t="str">
        <f>'No Recurrentes 24-26'!BF233</f>
        <v/>
      </c>
      <c r="P371" s="451">
        <f>'No Recurrentes 24-26'!BG233</f>
        <v>8</v>
      </c>
      <c r="Q371" s="451">
        <f>'No Recurrentes 24-26'!BH233</f>
        <v>8</v>
      </c>
      <c r="R371" s="451">
        <f>'No Recurrentes 24-26'!BI233</f>
        <v>8</v>
      </c>
      <c r="S371" s="451">
        <f>'No Recurrentes 24-26'!BJ233</f>
        <v>8</v>
      </c>
      <c r="T371" s="451" t="str">
        <f>'No Recurrentes 24-26'!BK233</f>
        <v/>
      </c>
      <c r="U371" s="451">
        <f>'No Recurrentes 24-26'!BL233</f>
        <v>8</v>
      </c>
      <c r="V371" s="1068"/>
      <c r="W371" s="1062">
        <f>'No Recurrentes 24-26'!BM233</f>
        <v>64</v>
      </c>
      <c r="X371" s="1062" t="str">
        <f>'No Recurrentes 24-26'!BN233</f>
        <v/>
      </c>
      <c r="Y371" s="1062" t="str">
        <f>'No Recurrentes 24-26'!BO233</f>
        <v/>
      </c>
      <c r="Z371" s="1062" t="str">
        <f>'No Recurrentes 24-26'!BP233</f>
        <v/>
      </c>
      <c r="AA371" s="1062" t="str">
        <f>'No Recurrentes 24-26'!BQ233</f>
        <v/>
      </c>
      <c r="AB371" s="1062" t="str">
        <f>'No Recurrentes 24-26'!BR233</f>
        <v/>
      </c>
      <c r="AC371" s="1062" t="str">
        <f>'No Recurrentes 24-26'!BS233</f>
        <v/>
      </c>
      <c r="AD371" s="1062" t="str">
        <f>'No Recurrentes 24-26'!BT233</f>
        <v/>
      </c>
      <c r="AE371" s="1062" t="str">
        <f>'No Recurrentes 24-26'!BU233</f>
        <v/>
      </c>
      <c r="AF371" s="1062" t="str">
        <f>'No Recurrentes 24-26'!BV233</f>
        <v/>
      </c>
      <c r="AG371" s="1062" t="str">
        <f>'No Recurrentes 24-26'!BW233</f>
        <v/>
      </c>
      <c r="AH371" s="1068"/>
      <c r="AI371" s="1062">
        <f>'No Recurrentes 24-26'!BX233</f>
        <v>0</v>
      </c>
      <c r="AJ371" s="1062">
        <f>'No Recurrentes 24-26'!BY233</f>
        <v>0</v>
      </c>
      <c r="AK371" s="1062">
        <f>'No Recurrentes 24-26'!BZ233</f>
        <v>0</v>
      </c>
      <c r="AL371" s="1062">
        <f>'No Recurrentes 24-26'!CA233</f>
        <v>0</v>
      </c>
      <c r="AM371" s="1062">
        <f>'No Recurrentes 24-26'!CB233</f>
        <v>0</v>
      </c>
      <c r="AN371" s="1062">
        <f>'No Recurrentes 24-26'!CC233</f>
        <v>0</v>
      </c>
      <c r="AO371" s="1062">
        <f>'No Recurrentes 24-26'!CD233</f>
        <v>0</v>
      </c>
      <c r="AP371" s="1062">
        <f>'No Recurrentes 24-26'!CE233</f>
        <v>0</v>
      </c>
      <c r="AQ371" s="1062">
        <f>'No Recurrentes 24-26'!CF233</f>
        <v>0</v>
      </c>
      <c r="AR371" s="1062">
        <f>'No Recurrentes 24-26'!CG233</f>
        <v>0</v>
      </c>
      <c r="AS371" s="1062">
        <f>'No Recurrentes 24-26'!CH233</f>
        <v>0</v>
      </c>
      <c r="AT371" s="1068"/>
      <c r="AU371" s="1062">
        <f>'No Recurrentes 24-26'!CI233</f>
        <v>0</v>
      </c>
      <c r="AV371" s="1063">
        <f>'No Recurrentes 24-26'!CJ233</f>
        <v>64</v>
      </c>
      <c r="AW371" s="1068"/>
      <c r="AX371" s="1065">
        <f>'No Recurrentes 24-26'!CK233</f>
        <v>2.96</v>
      </c>
      <c r="AY371" s="1062">
        <f>'No Recurrentes 24-26'!CL233</f>
        <v>20.6016</v>
      </c>
      <c r="AZ371" s="1068"/>
      <c r="BA371" s="1062">
        <f>'No Recurrentes 24-26'!CM233</f>
        <v>164.8128</v>
      </c>
      <c r="BB371" s="1062">
        <f>'No Recurrentes 24-26'!CN233</f>
        <v>164.8128</v>
      </c>
      <c r="BC371" s="1062">
        <f>'No Recurrentes 24-26'!CO233</f>
        <v>164.8128</v>
      </c>
      <c r="BD371" s="1062">
        <f>'No Recurrentes 24-26'!CP233</f>
        <v>0</v>
      </c>
      <c r="BE371" s="1062">
        <f>'No Recurrentes 24-26'!CQ233</f>
        <v>164.8128</v>
      </c>
      <c r="BF371" s="1062">
        <f>'No Recurrentes 24-26'!CR233</f>
        <v>164.8128</v>
      </c>
      <c r="BG371" s="1062">
        <f>'No Recurrentes 24-26'!CS233</f>
        <v>164.8128</v>
      </c>
      <c r="BH371" s="1062">
        <f>'No Recurrentes 24-26'!CT233</f>
        <v>164.8128</v>
      </c>
      <c r="BI371" s="1062">
        <f>'No Recurrentes 24-26'!CU233</f>
        <v>0</v>
      </c>
      <c r="BJ371" s="1062">
        <f>'No Recurrentes 24-26'!CV233</f>
        <v>164.8128</v>
      </c>
      <c r="BK371" s="1068"/>
      <c r="BL371" s="1062">
        <f>'No Recurrentes 24-26'!CW233</f>
        <v>1318.5024</v>
      </c>
      <c r="BM371" s="1062">
        <f>'No Recurrentes 24-26'!CX233</f>
        <v>0</v>
      </c>
      <c r="BN371" s="1062">
        <f>'No Recurrentes 24-26'!CY233</f>
        <v>0</v>
      </c>
      <c r="BO371" s="1062">
        <f>'No Recurrentes 24-26'!CZ233</f>
        <v>0</v>
      </c>
      <c r="BP371" s="1062">
        <f>'No Recurrentes 24-26'!DA233</f>
        <v>0</v>
      </c>
      <c r="BQ371" s="1062">
        <f>'No Recurrentes 24-26'!DB233</f>
        <v>0</v>
      </c>
      <c r="BR371" s="1062">
        <f>'No Recurrentes 24-26'!DC233</f>
        <v>0</v>
      </c>
      <c r="BS371" s="1062">
        <f>'No Recurrentes 24-26'!DD233</f>
        <v>0</v>
      </c>
      <c r="BT371" s="1062">
        <f>'No Recurrentes 24-26'!DE233</f>
        <v>0</v>
      </c>
      <c r="BU371" s="1062">
        <f>'No Recurrentes 24-26'!DF233</f>
        <v>0</v>
      </c>
      <c r="BV371" s="1062">
        <f>'No Recurrentes 24-26'!DG233</f>
        <v>0</v>
      </c>
      <c r="BW371" s="1068"/>
      <c r="BX371" s="1062">
        <f>'No Recurrentes 24-26'!DH233</f>
        <v>0</v>
      </c>
      <c r="BY371" s="1062">
        <f>'No Recurrentes 24-26'!DI233</f>
        <v>0</v>
      </c>
      <c r="BZ371" s="1062">
        <f>'No Recurrentes 24-26'!DJ233</f>
        <v>0</v>
      </c>
      <c r="CA371" s="1062">
        <f>'No Recurrentes 24-26'!DK233</f>
        <v>0</v>
      </c>
      <c r="CB371" s="1062">
        <f>'No Recurrentes 24-26'!DL233</f>
        <v>0</v>
      </c>
      <c r="CC371" s="1062">
        <f>'No Recurrentes 24-26'!DM233</f>
        <v>0</v>
      </c>
      <c r="CD371" s="1062">
        <f>'No Recurrentes 24-26'!DN233</f>
        <v>0</v>
      </c>
      <c r="CE371" s="1062">
        <f>'No Recurrentes 24-26'!DO233</f>
        <v>0</v>
      </c>
      <c r="CF371" s="1062">
        <f>'No Recurrentes 24-26'!DP233</f>
        <v>0</v>
      </c>
      <c r="CG371" s="1062">
        <f>'No Recurrentes 24-26'!DQ233</f>
        <v>0</v>
      </c>
      <c r="CH371" s="1062">
        <f>'No Recurrentes 24-26'!DR233</f>
        <v>0</v>
      </c>
      <c r="CI371" s="1068"/>
      <c r="CJ371" s="1062">
        <f>'No Recurrentes 24-26'!DS233</f>
        <v>0</v>
      </c>
      <c r="CK371" s="1062">
        <f>'No Recurrentes 24-26'!DT233</f>
        <v>1318.5024</v>
      </c>
      <c r="CL371" s="1064" t="str">
        <f>'No Recurrentes 24-26'!DU233</f>
        <v/>
      </c>
      <c r="CM371" s="1064" t="str">
        <f>'No Recurrentes 24-26'!DV233</f>
        <v/>
      </c>
      <c r="CN371" s="1060">
        <f>'No Recurrentes 24-26'!EI229</f>
        <v>1</v>
      </c>
      <c r="CO371" s="1060" t="str">
        <f>'No Recurrentes 24-26'!EJ229</f>
        <v/>
      </c>
      <c r="CP371" s="1060" t="str">
        <f>'No Recurrentes 24-26'!EK229</f>
        <v/>
      </c>
    </row>
    <row r="372">
      <c r="A372" s="451" t="str">
        <f>'No Recurrentes 24-26'!A234</f>
        <v>Repuestos Electromecánicos no recurrentes</v>
      </c>
      <c r="B372" s="451">
        <f>'No Recurrentes 24-26'!B234</f>
        <v>40</v>
      </c>
      <c r="C372" s="451" t="str">
        <f>'No Recurrentes 24-26'!C234</f>
        <v>Estación</v>
      </c>
      <c r="D372" s="451" t="str">
        <f>'No Recurrentes 24-26'!D234</f>
        <v>Manto. Motores y reductores</v>
      </c>
      <c r="E372" s="451" t="str">
        <f>'No Recurrentes 24-26'!E234</f>
        <v>Repuesto Mecánico</v>
      </c>
      <c r="F372" s="451" t="str">
        <f>'No Recurrentes 24-26'!F234</f>
        <v>LOCAL</v>
      </c>
      <c r="G372" s="1061" t="str">
        <f>'No Recurrentes 24-26'!G234</f>
        <v>39800</v>
      </c>
      <c r="H372" s="1061" t="str">
        <f>'No Recurrentes 24-26'!H234</f>
        <v>2-01-00828</v>
      </c>
      <c r="I372" s="1061" t="str">
        <f>'No Recurrentes 24-26'!I234</f>
        <v/>
      </c>
      <c r="J372" s="1061" t="str">
        <f>'No Recurrentes 24-26'!J234</f>
        <v>RODAMIENTO 6204 – 2Z (MOTOR CENTRAL DE FRENOS)                      </v>
      </c>
      <c r="K372" s="451" t="str">
        <f>'No Recurrentes 24-26'!K234</f>
        <v>Pza</v>
      </c>
      <c r="L372" s="451">
        <f>'No Recurrentes 24-26'!BC234</f>
        <v>2</v>
      </c>
      <c r="M372" s="451">
        <f>'No Recurrentes 24-26'!BD234</f>
        <v>2</v>
      </c>
      <c r="N372" s="451">
        <f>'No Recurrentes 24-26'!BE234</f>
        <v>2</v>
      </c>
      <c r="O372" s="451">
        <f>'No Recurrentes 24-26'!BF234</f>
        <v>2</v>
      </c>
      <c r="P372" s="451">
        <f>'No Recurrentes 24-26'!BG234</f>
        <v>2</v>
      </c>
      <c r="Q372" s="451">
        <f>'No Recurrentes 24-26'!BH234</f>
        <v>2</v>
      </c>
      <c r="R372" s="451">
        <f>'No Recurrentes 24-26'!BI234</f>
        <v>2</v>
      </c>
      <c r="S372" s="451">
        <f>'No Recurrentes 24-26'!BJ234</f>
        <v>2</v>
      </c>
      <c r="T372" s="451" t="str">
        <f>'No Recurrentes 24-26'!BK234</f>
        <v/>
      </c>
      <c r="U372" s="451">
        <f>'No Recurrentes 24-26'!BL234</f>
        <v>2</v>
      </c>
      <c r="V372" s="1068"/>
      <c r="W372" s="1062">
        <f>'No Recurrentes 24-26'!BM234</f>
        <v>18</v>
      </c>
      <c r="X372" s="1062" t="str">
        <f>'No Recurrentes 24-26'!BN234</f>
        <v/>
      </c>
      <c r="Y372" s="1062" t="str">
        <f>'No Recurrentes 24-26'!BO234</f>
        <v/>
      </c>
      <c r="Z372" s="1062" t="str">
        <f>'No Recurrentes 24-26'!BP234</f>
        <v/>
      </c>
      <c r="AA372" s="1062" t="str">
        <f>'No Recurrentes 24-26'!BQ234</f>
        <v/>
      </c>
      <c r="AB372" s="1062" t="str">
        <f>'No Recurrentes 24-26'!BR234</f>
        <v/>
      </c>
      <c r="AC372" s="1062" t="str">
        <f>'No Recurrentes 24-26'!BS234</f>
        <v/>
      </c>
      <c r="AD372" s="1062" t="str">
        <f>'No Recurrentes 24-26'!BT234</f>
        <v/>
      </c>
      <c r="AE372" s="1062" t="str">
        <f>'No Recurrentes 24-26'!BU234</f>
        <v/>
      </c>
      <c r="AF372" s="1062" t="str">
        <f>'No Recurrentes 24-26'!BV234</f>
        <v/>
      </c>
      <c r="AG372" s="1062" t="str">
        <f>'No Recurrentes 24-26'!BW234</f>
        <v/>
      </c>
      <c r="AH372" s="1068"/>
      <c r="AI372" s="1062">
        <f>'No Recurrentes 24-26'!BX234</f>
        <v>0</v>
      </c>
      <c r="AJ372" s="1062">
        <f>'No Recurrentes 24-26'!BY234</f>
        <v>0</v>
      </c>
      <c r="AK372" s="1062">
        <f>'No Recurrentes 24-26'!BZ234</f>
        <v>0</v>
      </c>
      <c r="AL372" s="1062">
        <f>'No Recurrentes 24-26'!CA234</f>
        <v>0</v>
      </c>
      <c r="AM372" s="1062">
        <f>'No Recurrentes 24-26'!CB234</f>
        <v>0</v>
      </c>
      <c r="AN372" s="1062">
        <f>'No Recurrentes 24-26'!CC234</f>
        <v>0</v>
      </c>
      <c r="AO372" s="1062">
        <f>'No Recurrentes 24-26'!CD234</f>
        <v>0</v>
      </c>
      <c r="AP372" s="1062">
        <f>'No Recurrentes 24-26'!CE234</f>
        <v>0</v>
      </c>
      <c r="AQ372" s="1062">
        <f>'No Recurrentes 24-26'!CF234</f>
        <v>0</v>
      </c>
      <c r="AR372" s="1062">
        <f>'No Recurrentes 24-26'!CG234</f>
        <v>0</v>
      </c>
      <c r="AS372" s="1062">
        <f>'No Recurrentes 24-26'!CH234</f>
        <v>0</v>
      </c>
      <c r="AT372" s="1068"/>
      <c r="AU372" s="1062">
        <f>'No Recurrentes 24-26'!CI234</f>
        <v>0</v>
      </c>
      <c r="AV372" s="1063">
        <f>'No Recurrentes 24-26'!CJ234</f>
        <v>18</v>
      </c>
      <c r="AW372" s="1068"/>
      <c r="AX372" s="1062" t="str">
        <f>'No Recurrentes 24-26'!CK234</f>
        <v/>
      </c>
      <c r="AY372" s="1062">
        <f>'No Recurrentes 24-26'!CL234</f>
        <v>67</v>
      </c>
      <c r="AZ372" s="1068"/>
      <c r="BA372" s="1062">
        <f>'No Recurrentes 24-26'!CM234</f>
        <v>134</v>
      </c>
      <c r="BB372" s="1062">
        <f>'No Recurrentes 24-26'!CN234</f>
        <v>134</v>
      </c>
      <c r="BC372" s="1062">
        <f>'No Recurrentes 24-26'!CO234</f>
        <v>134</v>
      </c>
      <c r="BD372" s="1062">
        <f>'No Recurrentes 24-26'!CP234</f>
        <v>134</v>
      </c>
      <c r="BE372" s="1062">
        <f>'No Recurrentes 24-26'!CQ234</f>
        <v>134</v>
      </c>
      <c r="BF372" s="1062">
        <f>'No Recurrentes 24-26'!CR234</f>
        <v>134</v>
      </c>
      <c r="BG372" s="1062">
        <f>'No Recurrentes 24-26'!CS234</f>
        <v>134</v>
      </c>
      <c r="BH372" s="1062">
        <f>'No Recurrentes 24-26'!CT234</f>
        <v>134</v>
      </c>
      <c r="BI372" s="1062">
        <f>'No Recurrentes 24-26'!CU234</f>
        <v>0</v>
      </c>
      <c r="BJ372" s="1062">
        <f>'No Recurrentes 24-26'!CV234</f>
        <v>134</v>
      </c>
      <c r="BK372" s="1068"/>
      <c r="BL372" s="1062">
        <f>'No Recurrentes 24-26'!CW234</f>
        <v>1206</v>
      </c>
      <c r="BM372" s="1062">
        <f>'No Recurrentes 24-26'!CX234</f>
        <v>0</v>
      </c>
      <c r="BN372" s="1062">
        <f>'No Recurrentes 24-26'!CY234</f>
        <v>0</v>
      </c>
      <c r="BO372" s="1062">
        <f>'No Recurrentes 24-26'!CZ234</f>
        <v>0</v>
      </c>
      <c r="BP372" s="1062">
        <f>'No Recurrentes 24-26'!DA234</f>
        <v>0</v>
      </c>
      <c r="BQ372" s="1062">
        <f>'No Recurrentes 24-26'!DB234</f>
        <v>0</v>
      </c>
      <c r="BR372" s="1062">
        <f>'No Recurrentes 24-26'!DC234</f>
        <v>0</v>
      </c>
      <c r="BS372" s="1062">
        <f>'No Recurrentes 24-26'!DD234</f>
        <v>0</v>
      </c>
      <c r="BT372" s="1062">
        <f>'No Recurrentes 24-26'!DE234</f>
        <v>0</v>
      </c>
      <c r="BU372" s="1062">
        <f>'No Recurrentes 24-26'!DF234</f>
        <v>0</v>
      </c>
      <c r="BV372" s="1062">
        <f>'No Recurrentes 24-26'!DG234</f>
        <v>0</v>
      </c>
      <c r="BW372" s="1068"/>
      <c r="BX372" s="1062">
        <f>'No Recurrentes 24-26'!DH234</f>
        <v>0</v>
      </c>
      <c r="BY372" s="1062">
        <f>'No Recurrentes 24-26'!DI234</f>
        <v>0</v>
      </c>
      <c r="BZ372" s="1062">
        <f>'No Recurrentes 24-26'!DJ234</f>
        <v>0</v>
      </c>
      <c r="CA372" s="1062">
        <f>'No Recurrentes 24-26'!DK234</f>
        <v>0</v>
      </c>
      <c r="CB372" s="1062">
        <f>'No Recurrentes 24-26'!DL234</f>
        <v>0</v>
      </c>
      <c r="CC372" s="1062">
        <f>'No Recurrentes 24-26'!DM234</f>
        <v>0</v>
      </c>
      <c r="CD372" s="1062">
        <f>'No Recurrentes 24-26'!DN234</f>
        <v>0</v>
      </c>
      <c r="CE372" s="1062">
        <f>'No Recurrentes 24-26'!DO234</f>
        <v>0</v>
      </c>
      <c r="CF372" s="1062">
        <f>'No Recurrentes 24-26'!DP234</f>
        <v>0</v>
      </c>
      <c r="CG372" s="1062">
        <f>'No Recurrentes 24-26'!DQ234</f>
        <v>0</v>
      </c>
      <c r="CH372" s="1062">
        <f>'No Recurrentes 24-26'!DR234</f>
        <v>0</v>
      </c>
      <c r="CI372" s="1068"/>
      <c r="CJ372" s="1062">
        <f>'No Recurrentes 24-26'!DS234</f>
        <v>0</v>
      </c>
      <c r="CK372" s="1062">
        <f>'No Recurrentes 24-26'!DT234</f>
        <v>1206</v>
      </c>
      <c r="CL372" s="1064" t="str">
        <f>'No Recurrentes 24-26'!DU234</f>
        <v/>
      </c>
      <c r="CM372" s="1064" t="str">
        <f>'No Recurrentes 24-26'!DV234</f>
        <v>No se encuentran en la cotizacion</v>
      </c>
      <c r="CN372" s="1060">
        <f>'No Recurrentes 24-26'!EI230</f>
        <v>1</v>
      </c>
      <c r="CO372" s="1060" t="str">
        <f>'No Recurrentes 24-26'!EJ230</f>
        <v/>
      </c>
      <c r="CP372" s="1060" t="str">
        <f>'No Recurrentes 24-26'!EK230</f>
        <v/>
      </c>
    </row>
    <row r="373">
      <c r="A373" s="451" t="str">
        <f>'No Recurrentes 24-26'!A235</f>
        <v>Repuestos Electromecánicos no recurrentes</v>
      </c>
      <c r="B373" s="451">
        <f>'No Recurrentes 24-26'!B235</f>
        <v>2</v>
      </c>
      <c r="C373" s="451" t="str">
        <f>'No Recurrentes 24-26'!C235</f>
        <v>Estación</v>
      </c>
      <c r="D373" s="451" t="str">
        <f>'No Recurrentes 24-26'!D235</f>
        <v>Manto. Motores y reductores</v>
      </c>
      <c r="E373" s="451" t="str">
        <f>'No Recurrentes 24-26'!E235</f>
        <v>Repuesto Mecánico</v>
      </c>
      <c r="F373" s="451" t="str">
        <f>'No Recurrentes 24-26'!F235</f>
        <v>TDB</v>
      </c>
      <c r="G373" s="1025" t="str">
        <f>'No Recurrentes 24-26'!G235</f>
        <v>39800</v>
      </c>
      <c r="H373" s="1061" t="str">
        <f>'No Recurrentes 24-26'!H235</f>
        <v/>
      </c>
      <c r="I373" s="1061" t="str">
        <f>'No Recurrentes 24-26'!I235</f>
        <v>11420025</v>
      </c>
      <c r="J373" s="1061" t="str">
        <f>'No Recurrentes 24-26'!J235</f>
        <v>TORNILLO ISO 4017-10.9U M20X50 FVZ TORN.HEX. GALV.INM.CAL.</v>
      </c>
      <c r="K373" s="451" t="str">
        <f>'No Recurrentes 24-26'!K235</f>
        <v>Pza</v>
      </c>
      <c r="L373" s="451">
        <f>'No Recurrentes 24-26'!BC235</f>
        <v>16</v>
      </c>
      <c r="M373" s="451" t="str">
        <f>'No Recurrentes 24-26'!BD235</f>
        <v/>
      </c>
      <c r="N373" s="451">
        <f>'No Recurrentes 24-26'!BE235</f>
        <v>16</v>
      </c>
      <c r="O373" s="451" t="str">
        <f>'No Recurrentes 24-26'!BF235</f>
        <v/>
      </c>
      <c r="P373" s="451" t="str">
        <f>'No Recurrentes 24-26'!BG235</f>
        <v/>
      </c>
      <c r="Q373" s="451" t="str">
        <f>'No Recurrentes 24-26'!BH235</f>
        <v/>
      </c>
      <c r="R373" s="451" t="str">
        <f>'No Recurrentes 24-26'!BI235</f>
        <v/>
      </c>
      <c r="S373" s="451" t="str">
        <f>'No Recurrentes 24-26'!BJ235</f>
        <v/>
      </c>
      <c r="T373" s="451" t="str">
        <f>'No Recurrentes 24-26'!BK235</f>
        <v/>
      </c>
      <c r="U373" s="451" t="str">
        <f>'No Recurrentes 24-26'!BL235</f>
        <v/>
      </c>
      <c r="V373" s="1068"/>
      <c r="W373" s="1062">
        <f>'No Recurrentes 24-26'!BM235</f>
        <v>32</v>
      </c>
      <c r="X373" s="1062" t="str">
        <f>'No Recurrentes 24-26'!BN235</f>
        <v/>
      </c>
      <c r="Y373" s="1062" t="str">
        <f>'No Recurrentes 24-26'!BO235</f>
        <v/>
      </c>
      <c r="Z373" s="1062" t="str">
        <f>'No Recurrentes 24-26'!BP235</f>
        <v/>
      </c>
      <c r="AA373" s="1062" t="str">
        <f>'No Recurrentes 24-26'!BQ235</f>
        <v/>
      </c>
      <c r="AB373" s="1062" t="str">
        <f>'No Recurrentes 24-26'!BR235</f>
        <v/>
      </c>
      <c r="AC373" s="1062" t="str">
        <f>'No Recurrentes 24-26'!BS235</f>
        <v/>
      </c>
      <c r="AD373" s="1062" t="str">
        <f>'No Recurrentes 24-26'!BT235</f>
        <v/>
      </c>
      <c r="AE373" s="1062" t="str">
        <f>'No Recurrentes 24-26'!BU235</f>
        <v/>
      </c>
      <c r="AF373" s="1062" t="str">
        <f>'No Recurrentes 24-26'!BV235</f>
        <v/>
      </c>
      <c r="AG373" s="1062" t="str">
        <f>'No Recurrentes 24-26'!BW235</f>
        <v/>
      </c>
      <c r="AH373" s="1068"/>
      <c r="AI373" s="1062">
        <f>'No Recurrentes 24-26'!BX235</f>
        <v>0</v>
      </c>
      <c r="AJ373" s="1062">
        <f>'No Recurrentes 24-26'!BY235</f>
        <v>0</v>
      </c>
      <c r="AK373" s="1062">
        <f>'No Recurrentes 24-26'!BZ235</f>
        <v>0</v>
      </c>
      <c r="AL373" s="1062">
        <f>'No Recurrentes 24-26'!CA235</f>
        <v>0</v>
      </c>
      <c r="AM373" s="1062">
        <f>'No Recurrentes 24-26'!CB235</f>
        <v>0</v>
      </c>
      <c r="AN373" s="1062">
        <f>'No Recurrentes 24-26'!CC235</f>
        <v>0</v>
      </c>
      <c r="AO373" s="1062">
        <f>'No Recurrentes 24-26'!CD235</f>
        <v>0</v>
      </c>
      <c r="AP373" s="1062">
        <f>'No Recurrentes 24-26'!CE235</f>
        <v>0</v>
      </c>
      <c r="AQ373" s="1062">
        <f>'No Recurrentes 24-26'!CF235</f>
        <v>0</v>
      </c>
      <c r="AR373" s="1062">
        <f>'No Recurrentes 24-26'!CG235</f>
        <v>0</v>
      </c>
      <c r="AS373" s="1062">
        <f>'No Recurrentes 24-26'!CH235</f>
        <v>0</v>
      </c>
      <c r="AT373" s="1068"/>
      <c r="AU373" s="1062">
        <f>'No Recurrentes 24-26'!CI235</f>
        <v>0</v>
      </c>
      <c r="AV373" s="1063">
        <f>'No Recurrentes 24-26'!CJ235</f>
        <v>32</v>
      </c>
      <c r="AW373" s="1068"/>
      <c r="AX373" s="1065">
        <f>'No Recurrentes 24-26'!CK235</f>
        <v>5.23</v>
      </c>
      <c r="AY373" s="1062">
        <f>'No Recurrentes 24-26'!CL235</f>
        <v>36.4008</v>
      </c>
      <c r="AZ373" s="1068"/>
      <c r="BA373" s="1062">
        <f>'No Recurrentes 24-26'!CM235</f>
        <v>582.4128</v>
      </c>
      <c r="BB373" s="1062">
        <f>'No Recurrentes 24-26'!CN235</f>
        <v>0</v>
      </c>
      <c r="BC373" s="1062">
        <f>'No Recurrentes 24-26'!CO235</f>
        <v>582.4128</v>
      </c>
      <c r="BD373" s="1062">
        <f>'No Recurrentes 24-26'!CP235</f>
        <v>0</v>
      </c>
      <c r="BE373" s="1062">
        <f>'No Recurrentes 24-26'!CQ235</f>
        <v>0</v>
      </c>
      <c r="BF373" s="1062">
        <f>'No Recurrentes 24-26'!CR235</f>
        <v>0</v>
      </c>
      <c r="BG373" s="1062">
        <f>'No Recurrentes 24-26'!CS235</f>
        <v>0</v>
      </c>
      <c r="BH373" s="1062">
        <f>'No Recurrentes 24-26'!CT235</f>
        <v>0</v>
      </c>
      <c r="BI373" s="1062">
        <f>'No Recurrentes 24-26'!CU235</f>
        <v>0</v>
      </c>
      <c r="BJ373" s="1062">
        <f>'No Recurrentes 24-26'!CV235</f>
        <v>0</v>
      </c>
      <c r="BK373" s="1068"/>
      <c r="BL373" s="1062">
        <f>'No Recurrentes 24-26'!CW235</f>
        <v>1164.8256</v>
      </c>
      <c r="BM373" s="1062">
        <f>'No Recurrentes 24-26'!CX235</f>
        <v>0</v>
      </c>
      <c r="BN373" s="1062">
        <f>'No Recurrentes 24-26'!CY235</f>
        <v>0</v>
      </c>
      <c r="BO373" s="1062">
        <f>'No Recurrentes 24-26'!CZ235</f>
        <v>0</v>
      </c>
      <c r="BP373" s="1062">
        <f>'No Recurrentes 24-26'!DA235</f>
        <v>0</v>
      </c>
      <c r="BQ373" s="1062">
        <f>'No Recurrentes 24-26'!DB235</f>
        <v>0</v>
      </c>
      <c r="BR373" s="1062">
        <f>'No Recurrentes 24-26'!DC235</f>
        <v>0</v>
      </c>
      <c r="BS373" s="1062">
        <f>'No Recurrentes 24-26'!DD235</f>
        <v>0</v>
      </c>
      <c r="BT373" s="1062">
        <f>'No Recurrentes 24-26'!DE235</f>
        <v>0</v>
      </c>
      <c r="BU373" s="1062">
        <f>'No Recurrentes 24-26'!DF235</f>
        <v>0</v>
      </c>
      <c r="BV373" s="1062">
        <f>'No Recurrentes 24-26'!DG235</f>
        <v>0</v>
      </c>
      <c r="BW373" s="1068"/>
      <c r="BX373" s="1062">
        <f>'No Recurrentes 24-26'!DH235</f>
        <v>0</v>
      </c>
      <c r="BY373" s="1062">
        <f>'No Recurrentes 24-26'!DI235</f>
        <v>0</v>
      </c>
      <c r="BZ373" s="1062">
        <f>'No Recurrentes 24-26'!DJ235</f>
        <v>0</v>
      </c>
      <c r="CA373" s="1062">
        <f>'No Recurrentes 24-26'!DK235</f>
        <v>0</v>
      </c>
      <c r="CB373" s="1062">
        <f>'No Recurrentes 24-26'!DL235</f>
        <v>0</v>
      </c>
      <c r="CC373" s="1062">
        <f>'No Recurrentes 24-26'!DM235</f>
        <v>0</v>
      </c>
      <c r="CD373" s="1062">
        <f>'No Recurrentes 24-26'!DN235</f>
        <v>0</v>
      </c>
      <c r="CE373" s="1062">
        <f>'No Recurrentes 24-26'!DO235</f>
        <v>0</v>
      </c>
      <c r="CF373" s="1062">
        <f>'No Recurrentes 24-26'!DP235</f>
        <v>0</v>
      </c>
      <c r="CG373" s="1062">
        <f>'No Recurrentes 24-26'!DQ235</f>
        <v>0</v>
      </c>
      <c r="CH373" s="1062">
        <f>'No Recurrentes 24-26'!DR235</f>
        <v>0</v>
      </c>
      <c r="CI373" s="1068"/>
      <c r="CJ373" s="1062">
        <f>'No Recurrentes 24-26'!DS235</f>
        <v>0</v>
      </c>
      <c r="CK373" s="1062">
        <f>'No Recurrentes 24-26'!DT235</f>
        <v>1164.8256</v>
      </c>
      <c r="CL373" s="1064" t="str">
        <f>'No Recurrentes 24-26'!DU235</f>
        <v/>
      </c>
      <c r="CM373" s="1064" t="str">
        <f>'No Recurrentes 24-26'!DV235</f>
        <v/>
      </c>
      <c r="CN373" s="1060">
        <f>'No Recurrentes 24-26'!EI231</f>
        <v>1</v>
      </c>
      <c r="CO373" s="1060" t="str">
        <f>'No Recurrentes 24-26'!EJ231</f>
        <v/>
      </c>
      <c r="CP373" s="1060" t="str">
        <f>'No Recurrentes 24-26'!EK231</f>
        <v/>
      </c>
    </row>
    <row r="374">
      <c r="A374" s="451" t="str">
        <f>'No Recurrentes 24-26'!A236</f>
        <v>Repuestos Electromecánicos no recurrentes</v>
      </c>
      <c r="B374" s="451">
        <f>'No Recurrentes 24-26'!B236</f>
        <v>40</v>
      </c>
      <c r="C374" s="451" t="str">
        <f>'No Recurrentes 24-26'!C236</f>
        <v>Estación</v>
      </c>
      <c r="D374" s="451" t="str">
        <f>'No Recurrentes 24-26'!D236</f>
        <v>Manto. Motores y reductores</v>
      </c>
      <c r="E374" s="451" t="str">
        <f>'No Recurrentes 24-26'!E236</f>
        <v>Repuesto Mecánico</v>
      </c>
      <c r="F374" s="451" t="str">
        <f>'No Recurrentes 24-26'!F236</f>
        <v>LOCAL</v>
      </c>
      <c r="G374" s="1061" t="str">
        <f>'No Recurrentes 24-26'!G236</f>
        <v>39800</v>
      </c>
      <c r="H374" s="1061" t="str">
        <f>'No Recurrentes 24-26'!H236</f>
        <v>2-01-00827</v>
      </c>
      <c r="I374" s="1061" t="str">
        <f>'No Recurrentes 24-26'!I236</f>
        <v/>
      </c>
      <c r="J374" s="1061" t="str">
        <f>'No Recurrentes 24-26'!J236</f>
        <v>RODAMIENTO 6203 – 2Z (MOTOR CENTRAL DE FRENOS)                      </v>
      </c>
      <c r="K374" s="451" t="str">
        <f>'No Recurrentes 24-26'!K236</f>
        <v>Pza</v>
      </c>
      <c r="L374" s="451">
        <f>'No Recurrentes 24-26'!BC236</f>
        <v>2</v>
      </c>
      <c r="M374" s="451">
        <f>'No Recurrentes 24-26'!BD236</f>
        <v>2</v>
      </c>
      <c r="N374" s="451">
        <f>'No Recurrentes 24-26'!BE236</f>
        <v>2</v>
      </c>
      <c r="O374" s="451">
        <f>'No Recurrentes 24-26'!BF236</f>
        <v>2</v>
      </c>
      <c r="P374" s="451">
        <f>'No Recurrentes 24-26'!BG236</f>
        <v>2</v>
      </c>
      <c r="Q374" s="451">
        <f>'No Recurrentes 24-26'!BH236</f>
        <v>2</v>
      </c>
      <c r="R374" s="451">
        <f>'No Recurrentes 24-26'!BI236</f>
        <v>2</v>
      </c>
      <c r="S374" s="451">
        <f>'No Recurrentes 24-26'!BJ236</f>
        <v>2</v>
      </c>
      <c r="T374" s="451" t="str">
        <f>'No Recurrentes 24-26'!BK236</f>
        <v/>
      </c>
      <c r="U374" s="451">
        <f>'No Recurrentes 24-26'!BL236</f>
        <v>2</v>
      </c>
      <c r="V374" s="1068"/>
      <c r="W374" s="1062">
        <f>'No Recurrentes 24-26'!BM236</f>
        <v>18</v>
      </c>
      <c r="X374" s="1062" t="str">
        <f>'No Recurrentes 24-26'!BN236</f>
        <v/>
      </c>
      <c r="Y374" s="1062" t="str">
        <f>'No Recurrentes 24-26'!BO236</f>
        <v/>
      </c>
      <c r="Z374" s="1062" t="str">
        <f>'No Recurrentes 24-26'!BP236</f>
        <v/>
      </c>
      <c r="AA374" s="1062" t="str">
        <f>'No Recurrentes 24-26'!BQ236</f>
        <v/>
      </c>
      <c r="AB374" s="1062" t="str">
        <f>'No Recurrentes 24-26'!BR236</f>
        <v/>
      </c>
      <c r="AC374" s="1062" t="str">
        <f>'No Recurrentes 24-26'!BS236</f>
        <v/>
      </c>
      <c r="AD374" s="1062" t="str">
        <f>'No Recurrentes 24-26'!BT236</f>
        <v/>
      </c>
      <c r="AE374" s="1062" t="str">
        <f>'No Recurrentes 24-26'!BU236</f>
        <v/>
      </c>
      <c r="AF374" s="1062" t="str">
        <f>'No Recurrentes 24-26'!BV236</f>
        <v/>
      </c>
      <c r="AG374" s="1062" t="str">
        <f>'No Recurrentes 24-26'!BW236</f>
        <v/>
      </c>
      <c r="AH374" s="1068"/>
      <c r="AI374" s="1062">
        <f>'No Recurrentes 24-26'!BX236</f>
        <v>0</v>
      </c>
      <c r="AJ374" s="1062">
        <f>'No Recurrentes 24-26'!BY236</f>
        <v>0</v>
      </c>
      <c r="AK374" s="1062">
        <f>'No Recurrentes 24-26'!BZ236</f>
        <v>0</v>
      </c>
      <c r="AL374" s="1062">
        <f>'No Recurrentes 24-26'!CA236</f>
        <v>0</v>
      </c>
      <c r="AM374" s="1062">
        <f>'No Recurrentes 24-26'!CB236</f>
        <v>0</v>
      </c>
      <c r="AN374" s="1062">
        <f>'No Recurrentes 24-26'!CC236</f>
        <v>0</v>
      </c>
      <c r="AO374" s="1062">
        <f>'No Recurrentes 24-26'!CD236</f>
        <v>0</v>
      </c>
      <c r="AP374" s="1062">
        <f>'No Recurrentes 24-26'!CE236</f>
        <v>0</v>
      </c>
      <c r="AQ374" s="1062">
        <f>'No Recurrentes 24-26'!CF236</f>
        <v>0</v>
      </c>
      <c r="AR374" s="1062">
        <f>'No Recurrentes 24-26'!CG236</f>
        <v>0</v>
      </c>
      <c r="AS374" s="1062">
        <f>'No Recurrentes 24-26'!CH236</f>
        <v>0</v>
      </c>
      <c r="AT374" s="1068"/>
      <c r="AU374" s="1062">
        <f>'No Recurrentes 24-26'!CI236</f>
        <v>0</v>
      </c>
      <c r="AV374" s="1063">
        <f>'No Recurrentes 24-26'!CJ236</f>
        <v>18</v>
      </c>
      <c r="AW374" s="1068"/>
      <c r="AX374" s="1062" t="str">
        <f>'No Recurrentes 24-26'!CK236</f>
        <v/>
      </c>
      <c r="AY374" s="1062">
        <f>'No Recurrentes 24-26'!CL236</f>
        <v>56</v>
      </c>
      <c r="AZ374" s="1068"/>
      <c r="BA374" s="1062">
        <f>'No Recurrentes 24-26'!CM236</f>
        <v>112</v>
      </c>
      <c r="BB374" s="1062">
        <f>'No Recurrentes 24-26'!CN236</f>
        <v>112</v>
      </c>
      <c r="BC374" s="1062">
        <f>'No Recurrentes 24-26'!CO236</f>
        <v>112</v>
      </c>
      <c r="BD374" s="1062">
        <f>'No Recurrentes 24-26'!CP236</f>
        <v>112</v>
      </c>
      <c r="BE374" s="1062">
        <f>'No Recurrentes 24-26'!CQ236</f>
        <v>112</v>
      </c>
      <c r="BF374" s="1062">
        <f>'No Recurrentes 24-26'!CR236</f>
        <v>112</v>
      </c>
      <c r="BG374" s="1062">
        <f>'No Recurrentes 24-26'!CS236</f>
        <v>112</v>
      </c>
      <c r="BH374" s="1062">
        <f>'No Recurrentes 24-26'!CT236</f>
        <v>112</v>
      </c>
      <c r="BI374" s="1062">
        <f>'No Recurrentes 24-26'!CU236</f>
        <v>0</v>
      </c>
      <c r="BJ374" s="1062">
        <f>'No Recurrentes 24-26'!CV236</f>
        <v>112</v>
      </c>
      <c r="BK374" s="1068"/>
      <c r="BL374" s="1062">
        <f>'No Recurrentes 24-26'!CW236</f>
        <v>1008</v>
      </c>
      <c r="BM374" s="1062">
        <f>'No Recurrentes 24-26'!CX236</f>
        <v>0</v>
      </c>
      <c r="BN374" s="1062">
        <f>'No Recurrentes 24-26'!CY236</f>
        <v>0</v>
      </c>
      <c r="BO374" s="1062">
        <f>'No Recurrentes 24-26'!CZ236</f>
        <v>0</v>
      </c>
      <c r="BP374" s="1062">
        <f>'No Recurrentes 24-26'!DA236</f>
        <v>0</v>
      </c>
      <c r="BQ374" s="1062">
        <f>'No Recurrentes 24-26'!DB236</f>
        <v>0</v>
      </c>
      <c r="BR374" s="1062">
        <f>'No Recurrentes 24-26'!DC236</f>
        <v>0</v>
      </c>
      <c r="BS374" s="1062">
        <f>'No Recurrentes 24-26'!DD236</f>
        <v>0</v>
      </c>
      <c r="BT374" s="1062">
        <f>'No Recurrentes 24-26'!DE236</f>
        <v>0</v>
      </c>
      <c r="BU374" s="1062">
        <f>'No Recurrentes 24-26'!DF236</f>
        <v>0</v>
      </c>
      <c r="BV374" s="1062">
        <f>'No Recurrentes 24-26'!DG236</f>
        <v>0</v>
      </c>
      <c r="BW374" s="1068"/>
      <c r="BX374" s="1062">
        <f>'No Recurrentes 24-26'!DH236</f>
        <v>0</v>
      </c>
      <c r="BY374" s="1062">
        <f>'No Recurrentes 24-26'!DI236</f>
        <v>0</v>
      </c>
      <c r="BZ374" s="1062">
        <f>'No Recurrentes 24-26'!DJ236</f>
        <v>0</v>
      </c>
      <c r="CA374" s="1062">
        <f>'No Recurrentes 24-26'!DK236</f>
        <v>0</v>
      </c>
      <c r="CB374" s="1062">
        <f>'No Recurrentes 24-26'!DL236</f>
        <v>0</v>
      </c>
      <c r="CC374" s="1062">
        <f>'No Recurrentes 24-26'!DM236</f>
        <v>0</v>
      </c>
      <c r="CD374" s="1062">
        <f>'No Recurrentes 24-26'!DN236</f>
        <v>0</v>
      </c>
      <c r="CE374" s="1062">
        <f>'No Recurrentes 24-26'!DO236</f>
        <v>0</v>
      </c>
      <c r="CF374" s="1062">
        <f>'No Recurrentes 24-26'!DP236</f>
        <v>0</v>
      </c>
      <c r="CG374" s="1062">
        <f>'No Recurrentes 24-26'!DQ236</f>
        <v>0</v>
      </c>
      <c r="CH374" s="1062">
        <f>'No Recurrentes 24-26'!DR236</f>
        <v>0</v>
      </c>
      <c r="CI374" s="1068"/>
      <c r="CJ374" s="1062">
        <f>'No Recurrentes 24-26'!DS236</f>
        <v>0</v>
      </c>
      <c r="CK374" s="1062">
        <f>'No Recurrentes 24-26'!DT236</f>
        <v>1008</v>
      </c>
      <c r="CL374" s="1064" t="str">
        <f>'No Recurrentes 24-26'!DU236</f>
        <v/>
      </c>
      <c r="CM374" s="1064" t="str">
        <f>'No Recurrentes 24-26'!DV236</f>
        <v>Precio referencial</v>
      </c>
      <c r="CN374" s="1060">
        <f>'No Recurrentes 24-26'!EI232</f>
        <v>1</v>
      </c>
      <c r="CO374" s="1060" t="str">
        <f>'No Recurrentes 24-26'!EJ232</f>
        <v/>
      </c>
      <c r="CP374" s="1060" t="str">
        <f>'No Recurrentes 24-26'!EK232</f>
        <v/>
      </c>
    </row>
    <row r="375">
      <c r="A375" s="451" t="str">
        <f>'No Recurrentes 24-26'!A237</f>
        <v>Repuestos Electromecánicos no recurrentes</v>
      </c>
      <c r="B375" s="451">
        <f>'No Recurrentes 24-26'!B237</f>
        <v>47</v>
      </c>
      <c r="C375" s="451" t="str">
        <f>'No Recurrentes 24-26'!C237</f>
        <v>Estación</v>
      </c>
      <c r="D375" s="451" t="str">
        <f>'No Recurrentes 24-26'!D237</f>
        <v>Manto. Motores y reductores</v>
      </c>
      <c r="E375" s="451" t="str">
        <f>'No Recurrentes 24-26'!E237</f>
        <v>Repuesto Mecánico</v>
      </c>
      <c r="F375" s="451" t="str">
        <f>'No Recurrentes 24-26'!F237</f>
        <v>LOCAL</v>
      </c>
      <c r="G375" s="1061" t="str">
        <f>'No Recurrentes 24-26'!G237</f>
        <v>39800</v>
      </c>
      <c r="H375" s="451" t="str">
        <f>'No Recurrentes 24-26'!H237</f>
        <v>6-01-00211</v>
      </c>
      <c r="I375" s="1061" t="str">
        <f>'No Recurrentes 24-26'!I237</f>
        <v/>
      </c>
      <c r="J375" s="1061" t="str">
        <f>'No Recurrentes 24-26'!J237</f>
        <v>RETEN 25X37X6 (REDUCTOR APOYO PAR)</v>
      </c>
      <c r="K375" s="451" t="str">
        <f>'No Recurrentes 24-26'!K237</f>
        <v>Pza</v>
      </c>
      <c r="L375" s="451">
        <f>'No Recurrentes 24-26'!BC237</f>
        <v>6</v>
      </c>
      <c r="M375" s="451">
        <f>'No Recurrentes 24-26'!BD237</f>
        <v>4</v>
      </c>
      <c r="N375" s="451">
        <f>'No Recurrentes 24-26'!BE237</f>
        <v>6</v>
      </c>
      <c r="O375" s="451">
        <f>'No Recurrentes 24-26'!BF237</f>
        <v>4</v>
      </c>
      <c r="P375" s="451">
        <f>'No Recurrentes 24-26'!BG237</f>
        <v>4</v>
      </c>
      <c r="Q375" s="451">
        <f>'No Recurrentes 24-26'!BH237</f>
        <v>4</v>
      </c>
      <c r="R375" s="451">
        <f>'No Recurrentes 24-26'!BI237</f>
        <v>2</v>
      </c>
      <c r="S375" s="451">
        <f>'No Recurrentes 24-26'!BJ237</f>
        <v>2</v>
      </c>
      <c r="T375" s="451" t="str">
        <f>'No Recurrentes 24-26'!BK237</f>
        <v/>
      </c>
      <c r="U375" s="451">
        <f>'No Recurrentes 24-26'!BL237</f>
        <v>10</v>
      </c>
      <c r="V375" s="1068"/>
      <c r="W375" s="1062">
        <f>'No Recurrentes 24-26'!BM237</f>
        <v>42</v>
      </c>
      <c r="X375" s="1062" t="str">
        <f>'No Recurrentes 24-26'!BN237</f>
        <v/>
      </c>
      <c r="Y375" s="1062" t="str">
        <f>'No Recurrentes 24-26'!BO237</f>
        <v/>
      </c>
      <c r="Z375" s="1062" t="str">
        <f>'No Recurrentes 24-26'!BP237</f>
        <v/>
      </c>
      <c r="AA375" s="1062" t="str">
        <f>'No Recurrentes 24-26'!BQ237</f>
        <v/>
      </c>
      <c r="AB375" s="1062" t="str">
        <f>'No Recurrentes 24-26'!BR237</f>
        <v/>
      </c>
      <c r="AC375" s="1062" t="str">
        <f>'No Recurrentes 24-26'!BS237</f>
        <v/>
      </c>
      <c r="AD375" s="1062" t="str">
        <f>'No Recurrentes 24-26'!BT237</f>
        <v/>
      </c>
      <c r="AE375" s="1062" t="str">
        <f>'No Recurrentes 24-26'!BU237</f>
        <v/>
      </c>
      <c r="AF375" s="1062" t="str">
        <f>'No Recurrentes 24-26'!BV237</f>
        <v/>
      </c>
      <c r="AG375" s="1062" t="str">
        <f>'No Recurrentes 24-26'!BW237</f>
        <v/>
      </c>
      <c r="AH375" s="1068"/>
      <c r="AI375" s="1062">
        <f>'No Recurrentes 24-26'!BX237</f>
        <v>0</v>
      </c>
      <c r="AJ375" s="1062">
        <f>'No Recurrentes 24-26'!BY237</f>
        <v>0</v>
      </c>
      <c r="AK375" s="1062">
        <f>'No Recurrentes 24-26'!BZ237</f>
        <v>0</v>
      </c>
      <c r="AL375" s="1062">
        <f>'No Recurrentes 24-26'!CA237</f>
        <v>0</v>
      </c>
      <c r="AM375" s="1062">
        <f>'No Recurrentes 24-26'!CB237</f>
        <v>0</v>
      </c>
      <c r="AN375" s="1062">
        <f>'No Recurrentes 24-26'!CC237</f>
        <v>0</v>
      </c>
      <c r="AO375" s="1062">
        <f>'No Recurrentes 24-26'!CD237</f>
        <v>0</v>
      </c>
      <c r="AP375" s="1062">
        <f>'No Recurrentes 24-26'!CE237</f>
        <v>0</v>
      </c>
      <c r="AQ375" s="1062">
        <f>'No Recurrentes 24-26'!CF237</f>
        <v>0</v>
      </c>
      <c r="AR375" s="1062">
        <f>'No Recurrentes 24-26'!CG237</f>
        <v>0</v>
      </c>
      <c r="AS375" s="1062">
        <f>'No Recurrentes 24-26'!CH237</f>
        <v>0</v>
      </c>
      <c r="AT375" s="1068"/>
      <c r="AU375" s="1062">
        <f>'No Recurrentes 24-26'!CI237</f>
        <v>0</v>
      </c>
      <c r="AV375" s="1063">
        <f>'No Recurrentes 24-26'!CJ237</f>
        <v>42</v>
      </c>
      <c r="AW375" s="1068"/>
      <c r="AX375" s="1062" t="str">
        <f>'No Recurrentes 24-26'!CK237</f>
        <v/>
      </c>
      <c r="AY375" s="1062">
        <f>'No Recurrentes 24-26'!CL237</f>
        <v>20</v>
      </c>
      <c r="AZ375" s="1068"/>
      <c r="BA375" s="1062">
        <f>'No Recurrentes 24-26'!CM237</f>
        <v>120</v>
      </c>
      <c r="BB375" s="1062">
        <f>'No Recurrentes 24-26'!CN237</f>
        <v>80</v>
      </c>
      <c r="BC375" s="1062">
        <f>'No Recurrentes 24-26'!CO237</f>
        <v>120</v>
      </c>
      <c r="BD375" s="1062">
        <f>'No Recurrentes 24-26'!CP237</f>
        <v>80</v>
      </c>
      <c r="BE375" s="1062">
        <f>'No Recurrentes 24-26'!CQ237</f>
        <v>80</v>
      </c>
      <c r="BF375" s="1062">
        <f>'No Recurrentes 24-26'!CR237</f>
        <v>80</v>
      </c>
      <c r="BG375" s="1062">
        <f>'No Recurrentes 24-26'!CS237</f>
        <v>40</v>
      </c>
      <c r="BH375" s="1062">
        <f>'No Recurrentes 24-26'!CT237</f>
        <v>40</v>
      </c>
      <c r="BI375" s="1062">
        <f>'No Recurrentes 24-26'!CU237</f>
        <v>0</v>
      </c>
      <c r="BJ375" s="1062">
        <f>'No Recurrentes 24-26'!CV237</f>
        <v>200</v>
      </c>
      <c r="BK375" s="1068"/>
      <c r="BL375" s="1062">
        <f>'No Recurrentes 24-26'!CW237</f>
        <v>840</v>
      </c>
      <c r="BM375" s="1062">
        <f>'No Recurrentes 24-26'!CX237</f>
        <v>0</v>
      </c>
      <c r="BN375" s="1062">
        <f>'No Recurrentes 24-26'!CY237</f>
        <v>0</v>
      </c>
      <c r="BO375" s="1062">
        <f>'No Recurrentes 24-26'!CZ237</f>
        <v>0</v>
      </c>
      <c r="BP375" s="1062">
        <f>'No Recurrentes 24-26'!DA237</f>
        <v>0</v>
      </c>
      <c r="BQ375" s="1062">
        <f>'No Recurrentes 24-26'!DB237</f>
        <v>0</v>
      </c>
      <c r="BR375" s="1062">
        <f>'No Recurrentes 24-26'!DC237</f>
        <v>0</v>
      </c>
      <c r="BS375" s="1062">
        <f>'No Recurrentes 24-26'!DD237</f>
        <v>0</v>
      </c>
      <c r="BT375" s="1062">
        <f>'No Recurrentes 24-26'!DE237</f>
        <v>0</v>
      </c>
      <c r="BU375" s="1062">
        <f>'No Recurrentes 24-26'!DF237</f>
        <v>0</v>
      </c>
      <c r="BV375" s="1062">
        <f>'No Recurrentes 24-26'!DG237</f>
        <v>0</v>
      </c>
      <c r="BW375" s="1068"/>
      <c r="BX375" s="1062">
        <f>'No Recurrentes 24-26'!DH237</f>
        <v>0</v>
      </c>
      <c r="BY375" s="1062">
        <f>'No Recurrentes 24-26'!DI237</f>
        <v>0</v>
      </c>
      <c r="BZ375" s="1062">
        <f>'No Recurrentes 24-26'!DJ237</f>
        <v>0</v>
      </c>
      <c r="CA375" s="1062">
        <f>'No Recurrentes 24-26'!DK237</f>
        <v>0</v>
      </c>
      <c r="CB375" s="1062">
        <f>'No Recurrentes 24-26'!DL237</f>
        <v>0</v>
      </c>
      <c r="CC375" s="1062">
        <f>'No Recurrentes 24-26'!DM237</f>
        <v>0</v>
      </c>
      <c r="CD375" s="1062">
        <f>'No Recurrentes 24-26'!DN237</f>
        <v>0</v>
      </c>
      <c r="CE375" s="1062">
        <f>'No Recurrentes 24-26'!DO237</f>
        <v>0</v>
      </c>
      <c r="CF375" s="1062">
        <f>'No Recurrentes 24-26'!DP237</f>
        <v>0</v>
      </c>
      <c r="CG375" s="1062">
        <f>'No Recurrentes 24-26'!DQ237</f>
        <v>0</v>
      </c>
      <c r="CH375" s="1062">
        <f>'No Recurrentes 24-26'!DR237</f>
        <v>0</v>
      </c>
      <c r="CI375" s="1068"/>
      <c r="CJ375" s="1062">
        <f>'No Recurrentes 24-26'!DS237</f>
        <v>0</v>
      </c>
      <c r="CK375" s="1062">
        <f>'No Recurrentes 24-26'!DT237</f>
        <v>840</v>
      </c>
      <c r="CL375" s="1064" t="str">
        <f>'No Recurrentes 24-26'!DU237</f>
        <v/>
      </c>
      <c r="CM375" s="1064" t="str">
        <f>'No Recurrentes 24-26'!DV237</f>
        <v>Precio referencial de un Reten 25x40x7  ID 6-01-00211</v>
      </c>
      <c r="CN375" s="1065">
        <f>'No Recurrentes 24-26'!EI233</f>
        <v>2.96</v>
      </c>
      <c r="CO375" s="1065">
        <f>'No Recurrentes 24-26'!EJ233</f>
        <v>2.52</v>
      </c>
      <c r="CP375" s="1060" t="str">
        <f>'No Recurrentes 24-26'!EK233</f>
        <v/>
      </c>
    </row>
    <row r="376">
      <c r="A376" s="451" t="str">
        <f>'No Recurrentes 24-26'!A238</f>
        <v>Repuestos Electromecánicos no recurrentes</v>
      </c>
      <c r="B376" s="451">
        <f>'No Recurrentes 24-26'!B238</f>
        <v>2</v>
      </c>
      <c r="C376" s="451" t="str">
        <f>'No Recurrentes 24-26'!C238</f>
        <v>Estación</v>
      </c>
      <c r="D376" s="451" t="str">
        <f>'No Recurrentes 24-26'!D238</f>
        <v>Manto. Motores y reductores</v>
      </c>
      <c r="E376" s="451" t="str">
        <f>'No Recurrentes 24-26'!E238</f>
        <v>Repuesto Mecánico</v>
      </c>
      <c r="F376" s="451" t="str">
        <f>'No Recurrentes 24-26'!F238</f>
        <v>TDB</v>
      </c>
      <c r="G376" s="1025" t="str">
        <f>'No Recurrentes 24-26'!G238</f>
        <v>39800</v>
      </c>
      <c r="H376" s="1061" t="str">
        <f>'No Recurrentes 24-26'!H238</f>
        <v>2-01-00686</v>
      </c>
      <c r="I376" s="1061" t="str">
        <f>'No Recurrentes 24-26'!I238</f>
        <v>11420022</v>
      </c>
      <c r="J376" s="1061" t="str">
        <f>'No Recurrentes 24-26'!J238</f>
        <v>TORNILLO ISO 4017-10.9U M18X40 GIC TORN. HEXAG.</v>
      </c>
      <c r="K376" s="451" t="str">
        <f>'No Recurrentes 24-26'!K238</f>
        <v>Pza</v>
      </c>
      <c r="L376" s="451" t="str">
        <f>'No Recurrentes 24-26'!BC238</f>
        <v/>
      </c>
      <c r="M376" s="451" t="str">
        <f>'No Recurrentes 24-26'!BD238</f>
        <v/>
      </c>
      <c r="N376" s="451" t="str">
        <f>'No Recurrentes 24-26'!BE238</f>
        <v/>
      </c>
      <c r="O376" s="451" t="str">
        <f>'No Recurrentes 24-26'!BF238</f>
        <v/>
      </c>
      <c r="P376" s="451">
        <f>'No Recurrentes 24-26'!BG238</f>
        <v>8</v>
      </c>
      <c r="Q376" s="451">
        <f>'No Recurrentes 24-26'!BH238</f>
        <v>8</v>
      </c>
      <c r="R376" s="451" t="str">
        <f>'No Recurrentes 24-26'!BI238</f>
        <v/>
      </c>
      <c r="S376" s="451">
        <f>'No Recurrentes 24-26'!BJ238</f>
        <v>8</v>
      </c>
      <c r="T376" s="451" t="str">
        <f>'No Recurrentes 24-26'!BK238</f>
        <v/>
      </c>
      <c r="U376" s="451" t="str">
        <f>'No Recurrentes 24-26'!BL238</f>
        <v/>
      </c>
      <c r="V376" s="1068"/>
      <c r="W376" s="1062">
        <f>'No Recurrentes 24-26'!BM238</f>
        <v>24</v>
      </c>
      <c r="X376" s="1062" t="str">
        <f>'No Recurrentes 24-26'!BN238</f>
        <v/>
      </c>
      <c r="Y376" s="1062" t="str">
        <f>'No Recurrentes 24-26'!BO238</f>
        <v/>
      </c>
      <c r="Z376" s="1062" t="str">
        <f>'No Recurrentes 24-26'!BP238</f>
        <v/>
      </c>
      <c r="AA376" s="1062" t="str">
        <f>'No Recurrentes 24-26'!BQ238</f>
        <v/>
      </c>
      <c r="AB376" s="1062" t="str">
        <f>'No Recurrentes 24-26'!BR238</f>
        <v/>
      </c>
      <c r="AC376" s="1062" t="str">
        <f>'No Recurrentes 24-26'!BS238</f>
        <v/>
      </c>
      <c r="AD376" s="1062" t="str">
        <f>'No Recurrentes 24-26'!BT238</f>
        <v/>
      </c>
      <c r="AE376" s="1062" t="str">
        <f>'No Recurrentes 24-26'!BU238</f>
        <v/>
      </c>
      <c r="AF376" s="1062" t="str">
        <f>'No Recurrentes 24-26'!BV238</f>
        <v/>
      </c>
      <c r="AG376" s="1062" t="str">
        <f>'No Recurrentes 24-26'!BW238</f>
        <v/>
      </c>
      <c r="AH376" s="1068"/>
      <c r="AI376" s="1062">
        <f>'No Recurrentes 24-26'!BX238</f>
        <v>0</v>
      </c>
      <c r="AJ376" s="1062">
        <f>'No Recurrentes 24-26'!BY238</f>
        <v>0</v>
      </c>
      <c r="AK376" s="1062">
        <f>'No Recurrentes 24-26'!BZ238</f>
        <v>0</v>
      </c>
      <c r="AL376" s="1062">
        <f>'No Recurrentes 24-26'!CA238</f>
        <v>0</v>
      </c>
      <c r="AM376" s="1062">
        <f>'No Recurrentes 24-26'!CB238</f>
        <v>0</v>
      </c>
      <c r="AN376" s="1062">
        <f>'No Recurrentes 24-26'!CC238</f>
        <v>0</v>
      </c>
      <c r="AO376" s="1062">
        <f>'No Recurrentes 24-26'!CD238</f>
        <v>0</v>
      </c>
      <c r="AP376" s="1062">
        <f>'No Recurrentes 24-26'!CE238</f>
        <v>0</v>
      </c>
      <c r="AQ376" s="1062">
        <f>'No Recurrentes 24-26'!CF238</f>
        <v>0</v>
      </c>
      <c r="AR376" s="1062">
        <f>'No Recurrentes 24-26'!CG238</f>
        <v>0</v>
      </c>
      <c r="AS376" s="1062">
        <f>'No Recurrentes 24-26'!CH238</f>
        <v>0</v>
      </c>
      <c r="AT376" s="1068"/>
      <c r="AU376" s="1062">
        <f>'No Recurrentes 24-26'!CI238</f>
        <v>0</v>
      </c>
      <c r="AV376" s="1063">
        <f>'No Recurrentes 24-26'!CJ238</f>
        <v>24</v>
      </c>
      <c r="AW376" s="1068"/>
      <c r="AX376" s="1065">
        <f>'No Recurrentes 24-26'!CK238</f>
        <v>2.31</v>
      </c>
      <c r="AY376" s="1062">
        <f>'No Recurrentes 24-26'!CL238</f>
        <v>16.0776</v>
      </c>
      <c r="AZ376" s="1068"/>
      <c r="BA376" s="1062">
        <f>'No Recurrentes 24-26'!CM238</f>
        <v>0</v>
      </c>
      <c r="BB376" s="1062">
        <f>'No Recurrentes 24-26'!CN238</f>
        <v>0</v>
      </c>
      <c r="BC376" s="1062">
        <f>'No Recurrentes 24-26'!CO238</f>
        <v>0</v>
      </c>
      <c r="BD376" s="1062">
        <f>'No Recurrentes 24-26'!CP238</f>
        <v>0</v>
      </c>
      <c r="BE376" s="1062">
        <f>'No Recurrentes 24-26'!CQ238</f>
        <v>128.6208</v>
      </c>
      <c r="BF376" s="1062">
        <f>'No Recurrentes 24-26'!CR238</f>
        <v>128.6208</v>
      </c>
      <c r="BG376" s="1062">
        <f>'No Recurrentes 24-26'!CS238</f>
        <v>0</v>
      </c>
      <c r="BH376" s="1062">
        <f>'No Recurrentes 24-26'!CT238</f>
        <v>128.6208</v>
      </c>
      <c r="BI376" s="1062">
        <f>'No Recurrentes 24-26'!CU238</f>
        <v>0</v>
      </c>
      <c r="BJ376" s="1062">
        <f>'No Recurrentes 24-26'!CV238</f>
        <v>0</v>
      </c>
      <c r="BK376" s="1068"/>
      <c r="BL376" s="1062">
        <f>'No Recurrentes 24-26'!CW238</f>
        <v>385.8624</v>
      </c>
      <c r="BM376" s="1062">
        <f>'No Recurrentes 24-26'!CX238</f>
        <v>0</v>
      </c>
      <c r="BN376" s="1062">
        <f>'No Recurrentes 24-26'!CY238</f>
        <v>0</v>
      </c>
      <c r="BO376" s="1062">
        <f>'No Recurrentes 24-26'!CZ238</f>
        <v>0</v>
      </c>
      <c r="BP376" s="1062">
        <f>'No Recurrentes 24-26'!DA238</f>
        <v>0</v>
      </c>
      <c r="BQ376" s="1062">
        <f>'No Recurrentes 24-26'!DB238</f>
        <v>0</v>
      </c>
      <c r="BR376" s="1062">
        <f>'No Recurrentes 24-26'!DC238</f>
        <v>0</v>
      </c>
      <c r="BS376" s="1062">
        <f>'No Recurrentes 24-26'!DD238</f>
        <v>0</v>
      </c>
      <c r="BT376" s="1062">
        <f>'No Recurrentes 24-26'!DE238</f>
        <v>0</v>
      </c>
      <c r="BU376" s="1062">
        <f>'No Recurrentes 24-26'!DF238</f>
        <v>0</v>
      </c>
      <c r="BV376" s="1062">
        <f>'No Recurrentes 24-26'!DG238</f>
        <v>0</v>
      </c>
      <c r="BW376" s="1068"/>
      <c r="BX376" s="1062">
        <f>'No Recurrentes 24-26'!DH238</f>
        <v>0</v>
      </c>
      <c r="BY376" s="1062">
        <f>'No Recurrentes 24-26'!DI238</f>
        <v>0</v>
      </c>
      <c r="BZ376" s="1062">
        <f>'No Recurrentes 24-26'!DJ238</f>
        <v>0</v>
      </c>
      <c r="CA376" s="1062">
        <f>'No Recurrentes 24-26'!DK238</f>
        <v>0</v>
      </c>
      <c r="CB376" s="1062">
        <f>'No Recurrentes 24-26'!DL238</f>
        <v>0</v>
      </c>
      <c r="CC376" s="1062">
        <f>'No Recurrentes 24-26'!DM238</f>
        <v>0</v>
      </c>
      <c r="CD376" s="1062">
        <f>'No Recurrentes 24-26'!DN238</f>
        <v>0</v>
      </c>
      <c r="CE376" s="1062">
        <f>'No Recurrentes 24-26'!DO238</f>
        <v>0</v>
      </c>
      <c r="CF376" s="1062">
        <f>'No Recurrentes 24-26'!DP238</f>
        <v>0</v>
      </c>
      <c r="CG376" s="1062">
        <f>'No Recurrentes 24-26'!DQ238</f>
        <v>0</v>
      </c>
      <c r="CH376" s="1062">
        <f>'No Recurrentes 24-26'!DR238</f>
        <v>0</v>
      </c>
      <c r="CI376" s="1068"/>
      <c r="CJ376" s="1062">
        <f>'No Recurrentes 24-26'!DS238</f>
        <v>0</v>
      </c>
      <c r="CK376" s="1062">
        <f>'No Recurrentes 24-26'!DT238</f>
        <v>385.8624</v>
      </c>
      <c r="CL376" s="1064" t="str">
        <f>'No Recurrentes 24-26'!DU238</f>
        <v/>
      </c>
      <c r="CM376" s="1064" t="str">
        <f>'No Recurrentes 24-26'!DV238</f>
        <v/>
      </c>
      <c r="CN376" s="1060">
        <f>'No Recurrentes 24-26'!EI234</f>
        <v>1</v>
      </c>
      <c r="CO376" s="1060" t="str">
        <f>'No Recurrentes 24-26'!EJ234</f>
        <v/>
      </c>
      <c r="CP376" s="1060" t="str">
        <f>'No Recurrentes 24-26'!EK234</f>
        <v/>
      </c>
    </row>
    <row r="377">
      <c r="A377" s="451" t="str">
        <f>'No Recurrentes 24-26'!A239</f>
        <v>Repuestos Electromecánicos no recurrentes</v>
      </c>
      <c r="B377" s="451">
        <f>'No Recurrentes 24-26'!B239</f>
        <v>2</v>
      </c>
      <c r="C377" s="451" t="str">
        <f>'No Recurrentes 24-26'!C239</f>
        <v>Estación</v>
      </c>
      <c r="D377" s="451" t="str">
        <f>'No Recurrentes 24-26'!D239</f>
        <v>Manto. Motores y reductores</v>
      </c>
      <c r="E377" s="451" t="str">
        <f>'No Recurrentes 24-26'!E239</f>
        <v>Repuesto Mecánico</v>
      </c>
      <c r="F377" s="451" t="str">
        <f>'No Recurrentes 24-26'!F239</f>
        <v>TDB</v>
      </c>
      <c r="G377" s="1025" t="str">
        <f>'No Recurrentes 24-26'!G239</f>
        <v>39800</v>
      </c>
      <c r="H377" s="1061" t="str">
        <f>'No Recurrentes 24-26'!H239</f>
        <v/>
      </c>
      <c r="I377" s="1061" t="str">
        <f>'No Recurrentes 24-26'!I239</f>
        <v>11420011</v>
      </c>
      <c r="J377" s="1061" t="str">
        <f>'No Recurrentes 24-26'!J239</f>
        <v>TORNILLO ISO 4017-10.9U M14X 35 GIC CABEZA HEXAGONAL</v>
      </c>
      <c r="K377" s="451" t="str">
        <f>'No Recurrentes 24-26'!K239</f>
        <v>Pza</v>
      </c>
      <c r="L377" s="451" t="str">
        <f>'No Recurrentes 24-26'!BC239</f>
        <v/>
      </c>
      <c r="M377" s="451" t="str">
        <f>'No Recurrentes 24-26'!BD239</f>
        <v/>
      </c>
      <c r="N377" s="451" t="str">
        <f>'No Recurrentes 24-26'!BE239</f>
        <v/>
      </c>
      <c r="O377" s="451" t="str">
        <f>'No Recurrentes 24-26'!BF239</f>
        <v/>
      </c>
      <c r="P377" s="451" t="str">
        <f>'No Recurrentes 24-26'!BG239</f>
        <v/>
      </c>
      <c r="Q377" s="451" t="str">
        <f>'No Recurrentes 24-26'!BH239</f>
        <v/>
      </c>
      <c r="R377" s="451">
        <f>'No Recurrentes 24-26'!BI239</f>
        <v>8</v>
      </c>
      <c r="S377" s="451" t="str">
        <f>'No Recurrentes 24-26'!BJ239</f>
        <v/>
      </c>
      <c r="T377" s="451">
        <f>'No Recurrentes 24-26'!BK239</f>
        <v>8</v>
      </c>
      <c r="U377" s="451" t="str">
        <f>'No Recurrentes 24-26'!BL239</f>
        <v/>
      </c>
      <c r="V377" s="1068"/>
      <c r="W377" s="1062">
        <f>'No Recurrentes 24-26'!BM239</f>
        <v>16</v>
      </c>
      <c r="X377" s="1062" t="str">
        <f>'No Recurrentes 24-26'!BN239</f>
        <v/>
      </c>
      <c r="Y377" s="1062" t="str">
        <f>'No Recurrentes 24-26'!BO239</f>
        <v/>
      </c>
      <c r="Z377" s="1062" t="str">
        <f>'No Recurrentes 24-26'!BP239</f>
        <v/>
      </c>
      <c r="AA377" s="1062" t="str">
        <f>'No Recurrentes 24-26'!BQ239</f>
        <v/>
      </c>
      <c r="AB377" s="1062" t="str">
        <f>'No Recurrentes 24-26'!BR239</f>
        <v/>
      </c>
      <c r="AC377" s="1062" t="str">
        <f>'No Recurrentes 24-26'!BS239</f>
        <v/>
      </c>
      <c r="AD377" s="1062" t="str">
        <f>'No Recurrentes 24-26'!BT239</f>
        <v/>
      </c>
      <c r="AE377" s="1062" t="str">
        <f>'No Recurrentes 24-26'!BU239</f>
        <v/>
      </c>
      <c r="AF377" s="1062" t="str">
        <f>'No Recurrentes 24-26'!BV239</f>
        <v/>
      </c>
      <c r="AG377" s="1062" t="str">
        <f>'No Recurrentes 24-26'!BW239</f>
        <v/>
      </c>
      <c r="AH377" s="1068"/>
      <c r="AI377" s="1062">
        <f>'No Recurrentes 24-26'!BX239</f>
        <v>0</v>
      </c>
      <c r="AJ377" s="1062">
        <f>'No Recurrentes 24-26'!BY239</f>
        <v>0</v>
      </c>
      <c r="AK377" s="1062">
        <f>'No Recurrentes 24-26'!BZ239</f>
        <v>0</v>
      </c>
      <c r="AL377" s="1062">
        <f>'No Recurrentes 24-26'!CA239</f>
        <v>0</v>
      </c>
      <c r="AM377" s="1062">
        <f>'No Recurrentes 24-26'!CB239</f>
        <v>0</v>
      </c>
      <c r="AN377" s="1062">
        <f>'No Recurrentes 24-26'!CC239</f>
        <v>0</v>
      </c>
      <c r="AO377" s="1062">
        <f>'No Recurrentes 24-26'!CD239</f>
        <v>0</v>
      </c>
      <c r="AP377" s="1062">
        <f>'No Recurrentes 24-26'!CE239</f>
        <v>0</v>
      </c>
      <c r="AQ377" s="1062">
        <f>'No Recurrentes 24-26'!CF239</f>
        <v>0</v>
      </c>
      <c r="AR377" s="1062">
        <f>'No Recurrentes 24-26'!CG239</f>
        <v>0</v>
      </c>
      <c r="AS377" s="1062">
        <f>'No Recurrentes 24-26'!CH239</f>
        <v>0</v>
      </c>
      <c r="AT377" s="1068"/>
      <c r="AU377" s="1062">
        <f>'No Recurrentes 24-26'!CI239</f>
        <v>0</v>
      </c>
      <c r="AV377" s="1063">
        <f>'No Recurrentes 24-26'!CJ239</f>
        <v>16</v>
      </c>
      <c r="AW377" s="1068"/>
      <c r="AX377" s="1065">
        <f>'No Recurrentes 24-26'!CK239</f>
        <v>2.46</v>
      </c>
      <c r="AY377" s="1062">
        <f>'No Recurrentes 24-26'!CL239</f>
        <v>17.1216</v>
      </c>
      <c r="AZ377" s="1068"/>
      <c r="BA377" s="1062">
        <f>'No Recurrentes 24-26'!CM239</f>
        <v>0</v>
      </c>
      <c r="BB377" s="1062">
        <f>'No Recurrentes 24-26'!CN239</f>
        <v>0</v>
      </c>
      <c r="BC377" s="1062">
        <f>'No Recurrentes 24-26'!CO239</f>
        <v>0</v>
      </c>
      <c r="BD377" s="1062">
        <f>'No Recurrentes 24-26'!CP239</f>
        <v>0</v>
      </c>
      <c r="BE377" s="1062">
        <f>'No Recurrentes 24-26'!CQ239</f>
        <v>0</v>
      </c>
      <c r="BF377" s="1062">
        <f>'No Recurrentes 24-26'!CR239</f>
        <v>0</v>
      </c>
      <c r="BG377" s="1062">
        <f>'No Recurrentes 24-26'!CS239</f>
        <v>136.9728</v>
      </c>
      <c r="BH377" s="1062">
        <f>'No Recurrentes 24-26'!CT239</f>
        <v>0</v>
      </c>
      <c r="BI377" s="1062">
        <f>'No Recurrentes 24-26'!CU239</f>
        <v>136.9728</v>
      </c>
      <c r="BJ377" s="1062">
        <f>'No Recurrentes 24-26'!CV239</f>
        <v>0</v>
      </c>
      <c r="BK377" s="1068"/>
      <c r="BL377" s="1062">
        <f>'No Recurrentes 24-26'!CW239</f>
        <v>273.9456</v>
      </c>
      <c r="BM377" s="1062">
        <f>'No Recurrentes 24-26'!CX239</f>
        <v>0</v>
      </c>
      <c r="BN377" s="1062">
        <f>'No Recurrentes 24-26'!CY239</f>
        <v>0</v>
      </c>
      <c r="BO377" s="1062">
        <f>'No Recurrentes 24-26'!CZ239</f>
        <v>0</v>
      </c>
      <c r="BP377" s="1062">
        <f>'No Recurrentes 24-26'!DA239</f>
        <v>0</v>
      </c>
      <c r="BQ377" s="1062">
        <f>'No Recurrentes 24-26'!DB239</f>
        <v>0</v>
      </c>
      <c r="BR377" s="1062">
        <f>'No Recurrentes 24-26'!DC239</f>
        <v>0</v>
      </c>
      <c r="BS377" s="1062">
        <f>'No Recurrentes 24-26'!DD239</f>
        <v>0</v>
      </c>
      <c r="BT377" s="1062">
        <f>'No Recurrentes 24-26'!DE239</f>
        <v>0</v>
      </c>
      <c r="BU377" s="1062">
        <f>'No Recurrentes 24-26'!DF239</f>
        <v>0</v>
      </c>
      <c r="BV377" s="1062">
        <f>'No Recurrentes 24-26'!DG239</f>
        <v>0</v>
      </c>
      <c r="BW377" s="1068"/>
      <c r="BX377" s="1062">
        <f>'No Recurrentes 24-26'!DH239</f>
        <v>0</v>
      </c>
      <c r="BY377" s="1062">
        <f>'No Recurrentes 24-26'!DI239</f>
        <v>0</v>
      </c>
      <c r="BZ377" s="1062">
        <f>'No Recurrentes 24-26'!DJ239</f>
        <v>0</v>
      </c>
      <c r="CA377" s="1062">
        <f>'No Recurrentes 24-26'!DK239</f>
        <v>0</v>
      </c>
      <c r="CB377" s="1062">
        <f>'No Recurrentes 24-26'!DL239</f>
        <v>0</v>
      </c>
      <c r="CC377" s="1062">
        <f>'No Recurrentes 24-26'!DM239</f>
        <v>0</v>
      </c>
      <c r="CD377" s="1062">
        <f>'No Recurrentes 24-26'!DN239</f>
        <v>0</v>
      </c>
      <c r="CE377" s="1062">
        <f>'No Recurrentes 24-26'!DO239</f>
        <v>0</v>
      </c>
      <c r="CF377" s="1062">
        <f>'No Recurrentes 24-26'!DP239</f>
        <v>0</v>
      </c>
      <c r="CG377" s="1062">
        <f>'No Recurrentes 24-26'!DQ239</f>
        <v>0</v>
      </c>
      <c r="CH377" s="1062">
        <f>'No Recurrentes 24-26'!DR239</f>
        <v>0</v>
      </c>
      <c r="CI377" s="1068"/>
      <c r="CJ377" s="1062">
        <f>'No Recurrentes 24-26'!DS239</f>
        <v>0</v>
      </c>
      <c r="CK377" s="1062">
        <f>'No Recurrentes 24-26'!DT239</f>
        <v>273.9456</v>
      </c>
      <c r="CL377" s="1064" t="str">
        <f>'No Recurrentes 24-26'!DU239</f>
        <v/>
      </c>
      <c r="CM377" s="1064" t="str">
        <f>'No Recurrentes 24-26'!DV239</f>
        <v/>
      </c>
      <c r="CN377" s="1065">
        <f>'No Recurrentes 24-26'!EI235</f>
        <v>5.23</v>
      </c>
      <c r="CO377" s="1065">
        <f>'No Recurrentes 24-26'!EJ235</f>
        <v>4.45</v>
      </c>
      <c r="CP377" s="1060" t="str">
        <f>'No Recurrentes 24-26'!EK235</f>
        <v/>
      </c>
    </row>
    <row r="378">
      <c r="A378" s="451" t="str">
        <f>'No Recurrentes 24-26'!A240</f>
        <v>Repuestos Electromecánicos no recurrentes</v>
      </c>
      <c r="B378" s="451">
        <f>'No Recurrentes 24-26'!B240</f>
        <v>40</v>
      </c>
      <c r="C378" s="451" t="str">
        <f>'No Recurrentes 24-26'!C240</f>
        <v>Estación</v>
      </c>
      <c r="D378" s="451" t="str">
        <f>'No Recurrentes 24-26'!D240</f>
        <v>Manto. Motores y reductores</v>
      </c>
      <c r="E378" s="451" t="str">
        <f>'No Recurrentes 24-26'!E240</f>
        <v>Repuesto Mecánico</v>
      </c>
      <c r="F378" s="451" t="str">
        <f>'No Recurrentes 24-26'!F240</f>
        <v>LOCAL</v>
      </c>
      <c r="G378" s="1061" t="str">
        <f>'No Recurrentes 24-26'!G240</f>
        <v>39800</v>
      </c>
      <c r="H378" s="1061" t="str">
        <f>'No Recurrentes 24-26'!H240</f>
        <v>2-01-00828</v>
      </c>
      <c r="I378" s="1061" t="str">
        <f>'No Recurrentes 24-26'!I240</f>
        <v/>
      </c>
      <c r="J378" s="1061" t="str">
        <f>'No Recurrentes 24-26'!J240</f>
        <v>6204-ZZ RODAMIENTO MOTORES TERMOMECANICA</v>
      </c>
      <c r="K378" s="451" t="str">
        <f>'No Recurrentes 24-26'!K240</f>
        <v>Pza</v>
      </c>
      <c r="L378" s="451" t="str">
        <f>'No Recurrentes 24-26'!BC240</f>
        <v/>
      </c>
      <c r="M378" s="451" t="str">
        <f>'No Recurrentes 24-26'!BD240</f>
        <v/>
      </c>
      <c r="N378" s="451" t="str">
        <f>'No Recurrentes 24-26'!BE240</f>
        <v/>
      </c>
      <c r="O378" s="451" t="str">
        <f>'No Recurrentes 24-26'!BF240</f>
        <v/>
      </c>
      <c r="P378" s="451" t="str">
        <f>'No Recurrentes 24-26'!BG240</f>
        <v/>
      </c>
      <c r="Q378" s="451" t="str">
        <f>'No Recurrentes 24-26'!BH240</f>
        <v/>
      </c>
      <c r="R378" s="451" t="str">
        <f>'No Recurrentes 24-26'!BI240</f>
        <v/>
      </c>
      <c r="S378" s="451" t="str">
        <f>'No Recurrentes 24-26'!BJ240</f>
        <v/>
      </c>
      <c r="T378" s="451" t="str">
        <f>'No Recurrentes 24-26'!BK240</f>
        <v/>
      </c>
      <c r="U378" s="451">
        <f>'No Recurrentes 24-26'!BL240</f>
        <v>2</v>
      </c>
      <c r="V378" s="1068"/>
      <c r="W378" s="1062">
        <f>'No Recurrentes 24-26'!BM240</f>
        <v>2</v>
      </c>
      <c r="X378" s="1062" t="str">
        <f>'No Recurrentes 24-26'!BN240</f>
        <v/>
      </c>
      <c r="Y378" s="1062" t="str">
        <f>'No Recurrentes 24-26'!BO240</f>
        <v/>
      </c>
      <c r="Z378" s="1062" t="str">
        <f>'No Recurrentes 24-26'!BP240</f>
        <v/>
      </c>
      <c r="AA378" s="1062" t="str">
        <f>'No Recurrentes 24-26'!BQ240</f>
        <v/>
      </c>
      <c r="AB378" s="1062" t="str">
        <f>'No Recurrentes 24-26'!BR240</f>
        <v/>
      </c>
      <c r="AC378" s="1062" t="str">
        <f>'No Recurrentes 24-26'!BS240</f>
        <v/>
      </c>
      <c r="AD378" s="1062" t="str">
        <f>'No Recurrentes 24-26'!BT240</f>
        <v/>
      </c>
      <c r="AE378" s="1062" t="str">
        <f>'No Recurrentes 24-26'!BU240</f>
        <v/>
      </c>
      <c r="AF378" s="1062" t="str">
        <f>'No Recurrentes 24-26'!BV240</f>
        <v/>
      </c>
      <c r="AG378" s="1062" t="str">
        <f>'No Recurrentes 24-26'!BW240</f>
        <v/>
      </c>
      <c r="AH378" s="1068"/>
      <c r="AI378" s="1062">
        <f>'No Recurrentes 24-26'!BX240</f>
        <v>0</v>
      </c>
      <c r="AJ378" s="1062">
        <f>'No Recurrentes 24-26'!BY240</f>
        <v>0</v>
      </c>
      <c r="AK378" s="1062">
        <f>'No Recurrentes 24-26'!BZ240</f>
        <v>0</v>
      </c>
      <c r="AL378" s="1062">
        <f>'No Recurrentes 24-26'!CA240</f>
        <v>0</v>
      </c>
      <c r="AM378" s="1062">
        <f>'No Recurrentes 24-26'!CB240</f>
        <v>0</v>
      </c>
      <c r="AN378" s="1062">
        <f>'No Recurrentes 24-26'!CC240</f>
        <v>0</v>
      </c>
      <c r="AO378" s="1062">
        <f>'No Recurrentes 24-26'!CD240</f>
        <v>0</v>
      </c>
      <c r="AP378" s="1062">
        <f>'No Recurrentes 24-26'!CE240</f>
        <v>0</v>
      </c>
      <c r="AQ378" s="1062">
        <f>'No Recurrentes 24-26'!CF240</f>
        <v>0</v>
      </c>
      <c r="AR378" s="1062">
        <f>'No Recurrentes 24-26'!CG240</f>
        <v>0</v>
      </c>
      <c r="AS378" s="1062">
        <f>'No Recurrentes 24-26'!CH240</f>
        <v>0</v>
      </c>
      <c r="AT378" s="1068"/>
      <c r="AU378" s="1062">
        <f>'No Recurrentes 24-26'!CI240</f>
        <v>0</v>
      </c>
      <c r="AV378" s="1063">
        <f>'No Recurrentes 24-26'!CJ240</f>
        <v>2</v>
      </c>
      <c r="AW378" s="1068"/>
      <c r="AX378" s="1062" t="str">
        <f>'No Recurrentes 24-26'!CK240</f>
        <v/>
      </c>
      <c r="AY378" s="1062">
        <f>'No Recurrentes 24-26'!CL240</f>
        <v>72</v>
      </c>
      <c r="AZ378" s="1068"/>
      <c r="BA378" s="1062">
        <f>'No Recurrentes 24-26'!CM240</f>
        <v>0</v>
      </c>
      <c r="BB378" s="1062">
        <f>'No Recurrentes 24-26'!CN240</f>
        <v>0</v>
      </c>
      <c r="BC378" s="1062">
        <f>'No Recurrentes 24-26'!CO240</f>
        <v>0</v>
      </c>
      <c r="BD378" s="1062">
        <f>'No Recurrentes 24-26'!CP240</f>
        <v>0</v>
      </c>
      <c r="BE378" s="1062">
        <f>'No Recurrentes 24-26'!CQ240</f>
        <v>0</v>
      </c>
      <c r="BF378" s="1062">
        <f>'No Recurrentes 24-26'!CR240</f>
        <v>0</v>
      </c>
      <c r="BG378" s="1062">
        <f>'No Recurrentes 24-26'!CS240</f>
        <v>0</v>
      </c>
      <c r="BH378" s="1062">
        <f>'No Recurrentes 24-26'!CT240</f>
        <v>0</v>
      </c>
      <c r="BI378" s="1062">
        <f>'No Recurrentes 24-26'!CU240</f>
        <v>0</v>
      </c>
      <c r="BJ378" s="1062">
        <f>'No Recurrentes 24-26'!CV240</f>
        <v>144</v>
      </c>
      <c r="BK378" s="1068"/>
      <c r="BL378" s="1062">
        <f>'No Recurrentes 24-26'!CW240</f>
        <v>144</v>
      </c>
      <c r="BM378" s="1062">
        <f>'No Recurrentes 24-26'!CX240</f>
        <v>0</v>
      </c>
      <c r="BN378" s="1062">
        <f>'No Recurrentes 24-26'!CY240</f>
        <v>0</v>
      </c>
      <c r="BO378" s="1062">
        <f>'No Recurrentes 24-26'!CZ240</f>
        <v>0</v>
      </c>
      <c r="BP378" s="1062">
        <f>'No Recurrentes 24-26'!DA240</f>
        <v>0</v>
      </c>
      <c r="BQ378" s="1062">
        <f>'No Recurrentes 24-26'!DB240</f>
        <v>0</v>
      </c>
      <c r="BR378" s="1062">
        <f>'No Recurrentes 24-26'!DC240</f>
        <v>0</v>
      </c>
      <c r="BS378" s="1062">
        <f>'No Recurrentes 24-26'!DD240</f>
        <v>0</v>
      </c>
      <c r="BT378" s="1062">
        <f>'No Recurrentes 24-26'!DE240</f>
        <v>0</v>
      </c>
      <c r="BU378" s="1062">
        <f>'No Recurrentes 24-26'!DF240</f>
        <v>0</v>
      </c>
      <c r="BV378" s="1062">
        <f>'No Recurrentes 24-26'!DG240</f>
        <v>0</v>
      </c>
      <c r="BW378" s="1068"/>
      <c r="BX378" s="1062">
        <f>'No Recurrentes 24-26'!DH240</f>
        <v>0</v>
      </c>
      <c r="BY378" s="1062">
        <f>'No Recurrentes 24-26'!DI240</f>
        <v>0</v>
      </c>
      <c r="BZ378" s="1062">
        <f>'No Recurrentes 24-26'!DJ240</f>
        <v>0</v>
      </c>
      <c r="CA378" s="1062">
        <f>'No Recurrentes 24-26'!DK240</f>
        <v>0</v>
      </c>
      <c r="CB378" s="1062">
        <f>'No Recurrentes 24-26'!DL240</f>
        <v>0</v>
      </c>
      <c r="CC378" s="1062">
        <f>'No Recurrentes 24-26'!DM240</f>
        <v>0</v>
      </c>
      <c r="CD378" s="1062">
        <f>'No Recurrentes 24-26'!DN240</f>
        <v>0</v>
      </c>
      <c r="CE378" s="1062">
        <f>'No Recurrentes 24-26'!DO240</f>
        <v>0</v>
      </c>
      <c r="CF378" s="1062">
        <f>'No Recurrentes 24-26'!DP240</f>
        <v>0</v>
      </c>
      <c r="CG378" s="1062">
        <f>'No Recurrentes 24-26'!DQ240</f>
        <v>0</v>
      </c>
      <c r="CH378" s="1062">
        <f>'No Recurrentes 24-26'!DR240</f>
        <v>0</v>
      </c>
      <c r="CI378" s="1068"/>
      <c r="CJ378" s="1062">
        <f>'No Recurrentes 24-26'!DS240</f>
        <v>0</v>
      </c>
      <c r="CK378" s="1062">
        <f>'No Recurrentes 24-26'!DT240</f>
        <v>144</v>
      </c>
      <c r="CL378" s="1064" t="str">
        <f>'No Recurrentes 24-26'!DU240</f>
        <v>Precio Referencial</v>
      </c>
      <c r="CM378" s="1064" t="str">
        <f>'No Recurrentes 24-26'!DV240</f>
        <v>Diferentes cotizaciones</v>
      </c>
      <c r="CN378" s="1060">
        <f>'No Recurrentes 24-26'!EI236</f>
        <v>1</v>
      </c>
      <c r="CO378" s="1060" t="str">
        <f>'No Recurrentes 24-26'!EJ236</f>
        <v/>
      </c>
      <c r="CP378" s="1060" t="str">
        <f>'No Recurrentes 24-26'!EK236</f>
        <v/>
      </c>
    </row>
    <row r="379">
      <c r="A379" s="451" t="str">
        <f>'No Recurrentes 24-26'!A241</f>
        <v>Repuestos Electromecánicos no recurrentes</v>
      </c>
      <c r="B379" s="451">
        <f>'No Recurrentes 24-26'!B241</f>
        <v>40</v>
      </c>
      <c r="C379" s="451" t="str">
        <f>'No Recurrentes 24-26'!C241</f>
        <v>Estación</v>
      </c>
      <c r="D379" s="451" t="str">
        <f>'No Recurrentes 24-26'!D241</f>
        <v>Manto. Motores y reductores</v>
      </c>
      <c r="E379" s="451" t="str">
        <f>'No Recurrentes 24-26'!E241</f>
        <v>Repuesto Mecánico</v>
      </c>
      <c r="F379" s="451" t="str">
        <f>'No Recurrentes 24-26'!F241</f>
        <v>LOCAL</v>
      </c>
      <c r="G379" s="1061" t="str">
        <f>'No Recurrentes 24-26'!G241</f>
        <v>39800</v>
      </c>
      <c r="H379" s="1061" t="str">
        <f>'No Recurrentes 24-26'!H241</f>
        <v>2-01-00562</v>
      </c>
      <c r="I379" s="1061" t="str">
        <f>'No Recurrentes 24-26'!I241</f>
        <v/>
      </c>
      <c r="J379" s="1061" t="str">
        <f>'No Recurrentes 24-26'!J241</f>
        <v>6205-ZZ RODAMIENTO MOTORES TERMOMECANICA</v>
      </c>
      <c r="K379" s="451" t="str">
        <f>'No Recurrentes 24-26'!K241</f>
        <v>Pza</v>
      </c>
      <c r="L379" s="451" t="str">
        <f>'No Recurrentes 24-26'!BC241</f>
        <v/>
      </c>
      <c r="M379" s="451" t="str">
        <f>'No Recurrentes 24-26'!BD241</f>
        <v/>
      </c>
      <c r="N379" s="451" t="str">
        <f>'No Recurrentes 24-26'!BE241</f>
        <v/>
      </c>
      <c r="O379" s="451" t="str">
        <f>'No Recurrentes 24-26'!BF241</f>
        <v/>
      </c>
      <c r="P379" s="451" t="str">
        <f>'No Recurrentes 24-26'!BG241</f>
        <v/>
      </c>
      <c r="Q379" s="451" t="str">
        <f>'No Recurrentes 24-26'!BH241</f>
        <v/>
      </c>
      <c r="R379" s="451" t="str">
        <f>'No Recurrentes 24-26'!BI241</f>
        <v/>
      </c>
      <c r="S379" s="451" t="str">
        <f>'No Recurrentes 24-26'!BJ241</f>
        <v/>
      </c>
      <c r="T379" s="451" t="str">
        <f>'No Recurrentes 24-26'!BK241</f>
        <v/>
      </c>
      <c r="U379" s="451">
        <f>'No Recurrentes 24-26'!BL241</f>
        <v>2</v>
      </c>
      <c r="V379" s="1068"/>
      <c r="W379" s="1062">
        <f>'No Recurrentes 24-26'!BM241</f>
        <v>2</v>
      </c>
      <c r="X379" s="1062" t="str">
        <f>'No Recurrentes 24-26'!BN241</f>
        <v/>
      </c>
      <c r="Y379" s="1062" t="str">
        <f>'No Recurrentes 24-26'!BO241</f>
        <v/>
      </c>
      <c r="Z379" s="1062" t="str">
        <f>'No Recurrentes 24-26'!BP241</f>
        <v/>
      </c>
      <c r="AA379" s="1062" t="str">
        <f>'No Recurrentes 24-26'!BQ241</f>
        <v/>
      </c>
      <c r="AB379" s="1062" t="str">
        <f>'No Recurrentes 24-26'!BR241</f>
        <v/>
      </c>
      <c r="AC379" s="1062" t="str">
        <f>'No Recurrentes 24-26'!BS241</f>
        <v/>
      </c>
      <c r="AD379" s="1062" t="str">
        <f>'No Recurrentes 24-26'!BT241</f>
        <v/>
      </c>
      <c r="AE379" s="1062" t="str">
        <f>'No Recurrentes 24-26'!BU241</f>
        <v/>
      </c>
      <c r="AF379" s="1062" t="str">
        <f>'No Recurrentes 24-26'!BV241</f>
        <v/>
      </c>
      <c r="AG379" s="1062" t="str">
        <f>'No Recurrentes 24-26'!BW241</f>
        <v/>
      </c>
      <c r="AH379" s="1068"/>
      <c r="AI379" s="1062">
        <f>'No Recurrentes 24-26'!BX241</f>
        <v>0</v>
      </c>
      <c r="AJ379" s="1062">
        <f>'No Recurrentes 24-26'!BY241</f>
        <v>0</v>
      </c>
      <c r="AK379" s="1062">
        <f>'No Recurrentes 24-26'!BZ241</f>
        <v>0</v>
      </c>
      <c r="AL379" s="1062">
        <f>'No Recurrentes 24-26'!CA241</f>
        <v>0</v>
      </c>
      <c r="AM379" s="1062">
        <f>'No Recurrentes 24-26'!CB241</f>
        <v>0</v>
      </c>
      <c r="AN379" s="1062">
        <f>'No Recurrentes 24-26'!CC241</f>
        <v>0</v>
      </c>
      <c r="AO379" s="1062">
        <f>'No Recurrentes 24-26'!CD241</f>
        <v>0</v>
      </c>
      <c r="AP379" s="1062">
        <f>'No Recurrentes 24-26'!CE241</f>
        <v>0</v>
      </c>
      <c r="AQ379" s="1062">
        <f>'No Recurrentes 24-26'!CF241</f>
        <v>0</v>
      </c>
      <c r="AR379" s="1062">
        <f>'No Recurrentes 24-26'!CG241</f>
        <v>0</v>
      </c>
      <c r="AS379" s="1062">
        <f>'No Recurrentes 24-26'!CH241</f>
        <v>0</v>
      </c>
      <c r="AT379" s="1068"/>
      <c r="AU379" s="1062">
        <f>'No Recurrentes 24-26'!CI241</f>
        <v>0</v>
      </c>
      <c r="AV379" s="1063">
        <f>'No Recurrentes 24-26'!CJ241</f>
        <v>2</v>
      </c>
      <c r="AW379" s="1068"/>
      <c r="AX379" s="1062" t="str">
        <f>'No Recurrentes 24-26'!CK241</f>
        <v/>
      </c>
      <c r="AY379" s="1062">
        <f>'No Recurrentes 24-26'!CL241</f>
        <v>69</v>
      </c>
      <c r="AZ379" s="1068"/>
      <c r="BA379" s="1062">
        <f>'No Recurrentes 24-26'!CM241</f>
        <v>0</v>
      </c>
      <c r="BB379" s="1062">
        <f>'No Recurrentes 24-26'!CN241</f>
        <v>0</v>
      </c>
      <c r="BC379" s="1062">
        <f>'No Recurrentes 24-26'!CO241</f>
        <v>0</v>
      </c>
      <c r="BD379" s="1062">
        <f>'No Recurrentes 24-26'!CP241</f>
        <v>0</v>
      </c>
      <c r="BE379" s="1062">
        <f>'No Recurrentes 24-26'!CQ241</f>
        <v>0</v>
      </c>
      <c r="BF379" s="1062">
        <f>'No Recurrentes 24-26'!CR241</f>
        <v>0</v>
      </c>
      <c r="BG379" s="1062">
        <f>'No Recurrentes 24-26'!CS241</f>
        <v>0</v>
      </c>
      <c r="BH379" s="1062">
        <f>'No Recurrentes 24-26'!CT241</f>
        <v>0</v>
      </c>
      <c r="BI379" s="1062">
        <f>'No Recurrentes 24-26'!CU241</f>
        <v>0</v>
      </c>
      <c r="BJ379" s="1062">
        <f>'No Recurrentes 24-26'!CV241</f>
        <v>138</v>
      </c>
      <c r="BK379" s="1068"/>
      <c r="BL379" s="1062">
        <f>'No Recurrentes 24-26'!CW241</f>
        <v>138</v>
      </c>
      <c r="BM379" s="1062">
        <f>'No Recurrentes 24-26'!CX241</f>
        <v>0</v>
      </c>
      <c r="BN379" s="1062">
        <f>'No Recurrentes 24-26'!CY241</f>
        <v>0</v>
      </c>
      <c r="BO379" s="1062">
        <f>'No Recurrentes 24-26'!CZ241</f>
        <v>0</v>
      </c>
      <c r="BP379" s="1062">
        <f>'No Recurrentes 24-26'!DA241</f>
        <v>0</v>
      </c>
      <c r="BQ379" s="1062">
        <f>'No Recurrentes 24-26'!DB241</f>
        <v>0</v>
      </c>
      <c r="BR379" s="1062">
        <f>'No Recurrentes 24-26'!DC241</f>
        <v>0</v>
      </c>
      <c r="BS379" s="1062">
        <f>'No Recurrentes 24-26'!DD241</f>
        <v>0</v>
      </c>
      <c r="BT379" s="1062">
        <f>'No Recurrentes 24-26'!DE241</f>
        <v>0</v>
      </c>
      <c r="BU379" s="1062">
        <f>'No Recurrentes 24-26'!DF241</f>
        <v>0</v>
      </c>
      <c r="BV379" s="1062">
        <f>'No Recurrentes 24-26'!DG241</f>
        <v>0</v>
      </c>
      <c r="BW379" s="1068"/>
      <c r="BX379" s="1062">
        <f>'No Recurrentes 24-26'!DH241</f>
        <v>0</v>
      </c>
      <c r="BY379" s="1062">
        <f>'No Recurrentes 24-26'!DI241</f>
        <v>0</v>
      </c>
      <c r="BZ379" s="1062">
        <f>'No Recurrentes 24-26'!DJ241</f>
        <v>0</v>
      </c>
      <c r="CA379" s="1062">
        <f>'No Recurrentes 24-26'!DK241</f>
        <v>0</v>
      </c>
      <c r="CB379" s="1062">
        <f>'No Recurrentes 24-26'!DL241</f>
        <v>0</v>
      </c>
      <c r="CC379" s="1062">
        <f>'No Recurrentes 24-26'!DM241</f>
        <v>0</v>
      </c>
      <c r="CD379" s="1062">
        <f>'No Recurrentes 24-26'!DN241</f>
        <v>0</v>
      </c>
      <c r="CE379" s="1062">
        <f>'No Recurrentes 24-26'!DO241</f>
        <v>0</v>
      </c>
      <c r="CF379" s="1062">
        <f>'No Recurrentes 24-26'!DP241</f>
        <v>0</v>
      </c>
      <c r="CG379" s="1062">
        <f>'No Recurrentes 24-26'!DQ241</f>
        <v>0</v>
      </c>
      <c r="CH379" s="1062">
        <f>'No Recurrentes 24-26'!DR241</f>
        <v>0</v>
      </c>
      <c r="CI379" s="1068"/>
      <c r="CJ379" s="1062">
        <f>'No Recurrentes 24-26'!DS241</f>
        <v>0</v>
      </c>
      <c r="CK379" s="1062">
        <f>'No Recurrentes 24-26'!DT241</f>
        <v>138</v>
      </c>
      <c r="CL379" s="1064" t="str">
        <f>'No Recurrentes 24-26'!DU241</f>
        <v/>
      </c>
      <c r="CM379" s="1064" t="str">
        <f>'No Recurrentes 24-26'!DV241</f>
        <v>Precio referencial de un Rodamiento 6205-2Z ID 2-01-00562</v>
      </c>
      <c r="CN379" s="1060">
        <f>'No Recurrentes 24-26'!EI237</f>
        <v>1</v>
      </c>
      <c r="CO379" s="1060" t="str">
        <f>'No Recurrentes 24-26'!EJ237</f>
        <v/>
      </c>
      <c r="CP379" s="1060" t="str">
        <f>'No Recurrentes 24-26'!EK237</f>
        <v/>
      </c>
    </row>
    <row r="380">
      <c r="A380" s="451" t="str">
        <f>'No Recurrentes 24-26'!A242</f>
        <v>Repuestos Electromecánicos no recurrentes</v>
      </c>
      <c r="B380" s="451" t="str">
        <f>'No Recurrentes 24-26'!B242</f>
        <v/>
      </c>
      <c r="C380" s="451" t="str">
        <f>'No Recurrentes 24-26'!C242</f>
        <v>Estación</v>
      </c>
      <c r="D380" s="451" t="str">
        <f>'No Recurrentes 24-26'!D242</f>
        <v>Manto. Motores y reductores</v>
      </c>
      <c r="E380" s="451" t="str">
        <f>'No Recurrentes 24-26'!E242</f>
        <v>Repuesto Mecánico</v>
      </c>
      <c r="F380" s="451" t="str">
        <f>'No Recurrentes 24-26'!F242</f>
        <v>LOCAL</v>
      </c>
      <c r="G380" s="1061" t="str">
        <f>'No Recurrentes 24-26'!G242</f>
        <v>39700</v>
      </c>
      <c r="H380" s="1061" t="str">
        <f>'No Recurrentes 24-26'!H242</f>
        <v/>
      </c>
      <c r="I380" s="1061" t="str">
        <f>'No Recurrentes 24-26'!I242</f>
        <v/>
      </c>
      <c r="J380" s="1061" t="str">
        <f>'No Recurrentes 24-26'!J242</f>
        <v>MOTOR ELECTRICO INOTECH TIS-370GS (CICLON)</v>
      </c>
      <c r="K380" s="451" t="str">
        <f>'No Recurrentes 24-26'!K242</f>
        <v>Pza</v>
      </c>
      <c r="L380" s="451" t="str">
        <f>'No Recurrentes 24-26'!BC242</f>
        <v/>
      </c>
      <c r="M380" s="451" t="str">
        <f>'No Recurrentes 24-26'!BD242</f>
        <v/>
      </c>
      <c r="N380" s="451" t="str">
        <f>'No Recurrentes 24-26'!BE242</f>
        <v/>
      </c>
      <c r="O380" s="451" t="str">
        <f>'No Recurrentes 24-26'!BF242</f>
        <v/>
      </c>
      <c r="P380" s="451" t="str">
        <f>'No Recurrentes 24-26'!BG242</f>
        <v/>
      </c>
      <c r="Q380" s="451" t="str">
        <f>'No Recurrentes 24-26'!BH242</f>
        <v/>
      </c>
      <c r="R380" s="451" t="str">
        <f>'No Recurrentes 24-26'!BI242</f>
        <v/>
      </c>
      <c r="S380" s="451" t="str">
        <f>'No Recurrentes 24-26'!BJ242</f>
        <v/>
      </c>
      <c r="T380" s="451" t="str">
        <f>'No Recurrentes 24-26'!BK242</f>
        <v/>
      </c>
      <c r="U380" s="451" t="str">
        <f>'No Recurrentes 24-26'!BL242</f>
        <v/>
      </c>
      <c r="V380" s="1068"/>
      <c r="W380" s="1062">
        <f>'No Recurrentes 24-26'!BM242</f>
        <v>0</v>
      </c>
      <c r="X380" s="1062" t="str">
        <f>'No Recurrentes 24-26'!BN242</f>
        <v/>
      </c>
      <c r="Y380" s="1062" t="str">
        <f>'No Recurrentes 24-26'!BO242</f>
        <v/>
      </c>
      <c r="Z380" s="1062" t="str">
        <f>'No Recurrentes 24-26'!BP242</f>
        <v/>
      </c>
      <c r="AA380" s="1062" t="str">
        <f>'No Recurrentes 24-26'!BQ242</f>
        <v/>
      </c>
      <c r="AB380" s="1062" t="str">
        <f>'No Recurrentes 24-26'!BR242</f>
        <v/>
      </c>
      <c r="AC380" s="1062">
        <f>'No Recurrentes 24-26'!BS242</f>
        <v>1</v>
      </c>
      <c r="AD380" s="1062" t="str">
        <f>'No Recurrentes 24-26'!BT242</f>
        <v/>
      </c>
      <c r="AE380" s="1062" t="str">
        <f>'No Recurrentes 24-26'!BU242</f>
        <v/>
      </c>
      <c r="AF380" s="1062" t="str">
        <f>'No Recurrentes 24-26'!BV242</f>
        <v/>
      </c>
      <c r="AG380" s="1062" t="str">
        <f>'No Recurrentes 24-26'!BW242</f>
        <v/>
      </c>
      <c r="AH380" s="1068"/>
      <c r="AI380" s="1062">
        <f>'No Recurrentes 24-26'!BX242</f>
        <v>1</v>
      </c>
      <c r="AJ380" s="1062">
        <f>'No Recurrentes 24-26'!BY242</f>
        <v>0</v>
      </c>
      <c r="AK380" s="1062">
        <f>'No Recurrentes 24-26'!BZ242</f>
        <v>0</v>
      </c>
      <c r="AL380" s="1062">
        <f>'No Recurrentes 24-26'!CA242</f>
        <v>0</v>
      </c>
      <c r="AM380" s="1062">
        <f>'No Recurrentes 24-26'!CB242</f>
        <v>0</v>
      </c>
      <c r="AN380" s="1062">
        <f>'No Recurrentes 24-26'!CC242</f>
        <v>0</v>
      </c>
      <c r="AO380" s="1062">
        <f>'No Recurrentes 24-26'!CD242</f>
        <v>0</v>
      </c>
      <c r="AP380" s="1062">
        <f>'No Recurrentes 24-26'!CE242</f>
        <v>0</v>
      </c>
      <c r="AQ380" s="1062">
        <f>'No Recurrentes 24-26'!CF242</f>
        <v>0</v>
      </c>
      <c r="AR380" s="1062">
        <f>'No Recurrentes 24-26'!CG242</f>
        <v>0</v>
      </c>
      <c r="AS380" s="1062">
        <f>'No Recurrentes 24-26'!CH242</f>
        <v>0</v>
      </c>
      <c r="AT380" s="1068"/>
      <c r="AU380" s="1062">
        <f>'No Recurrentes 24-26'!CI242</f>
        <v>0</v>
      </c>
      <c r="AV380" s="1063">
        <f>'No Recurrentes 24-26'!CJ242</f>
        <v>1</v>
      </c>
      <c r="AW380" s="1068"/>
      <c r="AX380" s="1062" t="str">
        <f>'No Recurrentes 24-26'!CK242</f>
        <v/>
      </c>
      <c r="AY380" s="1062">
        <f>'No Recurrentes 24-26'!CL242</f>
        <v>0</v>
      </c>
      <c r="AZ380" s="1068"/>
      <c r="BA380" s="1062">
        <f>'No Recurrentes 24-26'!CM242</f>
        <v>0</v>
      </c>
      <c r="BB380" s="1062">
        <f>'No Recurrentes 24-26'!CN242</f>
        <v>0</v>
      </c>
      <c r="BC380" s="1062">
        <f>'No Recurrentes 24-26'!CO242</f>
        <v>0</v>
      </c>
      <c r="BD380" s="1062">
        <f>'No Recurrentes 24-26'!CP242</f>
        <v>0</v>
      </c>
      <c r="BE380" s="1062">
        <f>'No Recurrentes 24-26'!CQ242</f>
        <v>0</v>
      </c>
      <c r="BF380" s="1062">
        <f>'No Recurrentes 24-26'!CR242</f>
        <v>0</v>
      </c>
      <c r="BG380" s="1062">
        <f>'No Recurrentes 24-26'!CS242</f>
        <v>0</v>
      </c>
      <c r="BH380" s="1062">
        <f>'No Recurrentes 24-26'!CT242</f>
        <v>0</v>
      </c>
      <c r="BI380" s="1062">
        <f>'No Recurrentes 24-26'!CU242</f>
        <v>0</v>
      </c>
      <c r="BJ380" s="1062">
        <f>'No Recurrentes 24-26'!CV242</f>
        <v>0</v>
      </c>
      <c r="BK380" s="1068"/>
      <c r="BL380" s="1062">
        <f>'No Recurrentes 24-26'!CW242</f>
        <v>0</v>
      </c>
      <c r="BM380" s="1062">
        <f>'No Recurrentes 24-26'!CX242</f>
        <v>0</v>
      </c>
      <c r="BN380" s="1062">
        <f>'No Recurrentes 24-26'!CY242</f>
        <v>0</v>
      </c>
      <c r="BO380" s="1062">
        <f>'No Recurrentes 24-26'!CZ242</f>
        <v>0</v>
      </c>
      <c r="BP380" s="1062">
        <f>'No Recurrentes 24-26'!DA242</f>
        <v>0</v>
      </c>
      <c r="BQ380" s="1062">
        <f>'No Recurrentes 24-26'!DB242</f>
        <v>0</v>
      </c>
      <c r="BR380" s="1062">
        <f>'No Recurrentes 24-26'!DC242</f>
        <v>0</v>
      </c>
      <c r="BS380" s="1062">
        <f>'No Recurrentes 24-26'!DD242</f>
        <v>0</v>
      </c>
      <c r="BT380" s="1062">
        <f>'No Recurrentes 24-26'!DE242</f>
        <v>0</v>
      </c>
      <c r="BU380" s="1062">
        <f>'No Recurrentes 24-26'!DF242</f>
        <v>0</v>
      </c>
      <c r="BV380" s="1062">
        <f>'No Recurrentes 24-26'!DG242</f>
        <v>0</v>
      </c>
      <c r="BW380" s="1068"/>
      <c r="BX380" s="1062">
        <f>'No Recurrentes 24-26'!DH242</f>
        <v>0</v>
      </c>
      <c r="BY380" s="1062">
        <f>'No Recurrentes 24-26'!DI242</f>
        <v>0</v>
      </c>
      <c r="BZ380" s="1062">
        <f>'No Recurrentes 24-26'!DJ242</f>
        <v>0</v>
      </c>
      <c r="CA380" s="1062">
        <f>'No Recurrentes 24-26'!DK242</f>
        <v>0</v>
      </c>
      <c r="CB380" s="1062">
        <f>'No Recurrentes 24-26'!DL242</f>
        <v>0</v>
      </c>
      <c r="CC380" s="1062">
        <f>'No Recurrentes 24-26'!DM242</f>
        <v>0</v>
      </c>
      <c r="CD380" s="1062">
        <f>'No Recurrentes 24-26'!DN242</f>
        <v>0</v>
      </c>
      <c r="CE380" s="1062">
        <f>'No Recurrentes 24-26'!DO242</f>
        <v>0</v>
      </c>
      <c r="CF380" s="1062">
        <f>'No Recurrentes 24-26'!DP242</f>
        <v>0</v>
      </c>
      <c r="CG380" s="1062">
        <f>'No Recurrentes 24-26'!DQ242</f>
        <v>0</v>
      </c>
      <c r="CH380" s="1062">
        <f>'No Recurrentes 24-26'!DR242</f>
        <v>0</v>
      </c>
      <c r="CI380" s="1068"/>
      <c r="CJ380" s="1062">
        <f>'No Recurrentes 24-26'!DS242</f>
        <v>0</v>
      </c>
      <c r="CK380" s="1062">
        <f>'No Recurrentes 24-26'!DT242</f>
        <v>0</v>
      </c>
      <c r="CL380" s="1064" t="str">
        <f>'No Recurrentes 24-26'!DU242</f>
        <v/>
      </c>
      <c r="CM380" s="1064" t="str">
        <f>'No Recurrentes 24-26'!DV242</f>
        <v>Cotizacion local. Consultar con Juan Salazar</v>
      </c>
      <c r="CN380" s="1065">
        <f>'No Recurrentes 24-26'!EI238</f>
        <v>2.31</v>
      </c>
      <c r="CO380" s="1065">
        <f>'No Recurrentes 24-26'!EJ238</f>
        <v>1.96</v>
      </c>
      <c r="CP380" s="1060" t="str">
        <f>'No Recurrentes 24-26'!EK238</f>
        <v/>
      </c>
    </row>
    <row r="381">
      <c r="A381" s="451" t="str">
        <f>'No Recurrentes 24-26'!A243</f>
        <v>Repuestos Electromecánicos no recurrentes</v>
      </c>
      <c r="B381" s="451">
        <f>'No Recurrentes 24-26'!B243</f>
        <v>2</v>
      </c>
      <c r="C381" s="451" t="str">
        <f>'No Recurrentes 24-26'!C243</f>
        <v>Vehiculo</v>
      </c>
      <c r="D381" s="451" t="str">
        <f>'No Recurrentes 24-26'!D243</f>
        <v>Manto. Pinza</v>
      </c>
      <c r="E381" s="451" t="str">
        <f>'No Recurrentes 24-26'!E243</f>
        <v>Repuesto Mecánico</v>
      </c>
      <c r="F381" s="451" t="str">
        <f>'No Recurrentes 24-26'!F243</f>
        <v>TDB</v>
      </c>
      <c r="G381" s="1025" t="str">
        <f>'No Recurrentes 24-26'!G243</f>
        <v>39800</v>
      </c>
      <c r="H381" s="1061" t="str">
        <f>'No Recurrentes 24-26'!H243</f>
        <v>2-01-00297</v>
      </c>
      <c r="I381" s="1061" t="str">
        <f>'No Recurrentes 24-26'!I243</f>
        <v>10441667</v>
      </c>
      <c r="J381" s="1061" t="str">
        <f>'No Recurrentes 24-26'!J243</f>
        <v>FORRO FRICCION SINT. DT, AGA   P.PINZA DESEMBR.DT,AGA    2003</v>
      </c>
      <c r="K381" s="451" t="str">
        <f>'No Recurrentes 24-26'!K243</f>
        <v>Pza</v>
      </c>
      <c r="L381" s="451">
        <f>'No Recurrentes 24-26'!BC243</f>
        <v>83</v>
      </c>
      <c r="M381" s="451">
        <f>'No Recurrentes 24-26'!BD243</f>
        <v>40</v>
      </c>
      <c r="N381" s="451">
        <f>'No Recurrentes 24-26'!BE243</f>
        <v>85</v>
      </c>
      <c r="O381" s="451" t="str">
        <f>'No Recurrentes 24-26'!BF243</f>
        <v/>
      </c>
      <c r="P381" s="451" t="str">
        <f>'No Recurrentes 24-26'!BG243</f>
        <v/>
      </c>
      <c r="Q381" s="451" t="str">
        <f>'No Recurrentes 24-26'!BH243</f>
        <v/>
      </c>
      <c r="R381" s="451">
        <f>'No Recurrentes 24-26'!BI243</f>
        <v>20</v>
      </c>
      <c r="S381" s="451" t="str">
        <f>'No Recurrentes 24-26'!BJ243</f>
        <v/>
      </c>
      <c r="T381" s="451" t="str">
        <f>'No Recurrentes 24-26'!BK243</f>
        <v/>
      </c>
      <c r="U381" s="451" t="str">
        <f>'No Recurrentes 24-26'!BL243</f>
        <v/>
      </c>
      <c r="V381" s="1068"/>
      <c r="W381" s="1062">
        <f>'No Recurrentes 24-26'!BM243</f>
        <v>228</v>
      </c>
      <c r="X381" s="1062" t="str">
        <f>'No Recurrentes 24-26'!BN243</f>
        <v/>
      </c>
      <c r="Y381" s="1062" t="str">
        <f>'No Recurrentes 24-26'!BO243</f>
        <v/>
      </c>
      <c r="Z381" s="1062" t="str">
        <f>'No Recurrentes 24-26'!BP243</f>
        <v/>
      </c>
      <c r="AA381" s="1062">
        <f>'No Recurrentes 24-26'!BQ243</f>
        <v>90</v>
      </c>
      <c r="AB381" s="1062">
        <f>'No Recurrentes 24-26'!BR243</f>
        <v>126</v>
      </c>
      <c r="AC381" s="1062">
        <f>'No Recurrentes 24-26'!BS243</f>
        <v>208</v>
      </c>
      <c r="AD381" s="1062">
        <f>'No Recurrentes 24-26'!BT243</f>
        <v>20</v>
      </c>
      <c r="AE381" s="1062" t="str">
        <f>'No Recurrentes 24-26'!BU243</f>
        <v/>
      </c>
      <c r="AF381" s="1062" t="str">
        <f>'No Recurrentes 24-26'!BV243</f>
        <v/>
      </c>
      <c r="AG381" s="1062" t="str">
        <f>'No Recurrentes 24-26'!BW243</f>
        <v/>
      </c>
      <c r="AH381" s="1068"/>
      <c r="AI381" s="1062">
        <f>'No Recurrentes 24-26'!BX243</f>
        <v>444</v>
      </c>
      <c r="AJ381" s="1062">
        <f>'No Recurrentes 24-26'!BY243</f>
        <v>0</v>
      </c>
      <c r="AK381" s="1062">
        <f>'No Recurrentes 24-26'!BZ243</f>
        <v>0</v>
      </c>
      <c r="AL381" s="1062">
        <f>'No Recurrentes 24-26'!CA243</f>
        <v>0</v>
      </c>
      <c r="AM381" s="1062">
        <f>'No Recurrentes 24-26'!CB243</f>
        <v>0</v>
      </c>
      <c r="AN381" s="1062">
        <f>'No Recurrentes 24-26'!CC243</f>
        <v>0</v>
      </c>
      <c r="AO381" s="1062">
        <f>'No Recurrentes 24-26'!CD243</f>
        <v>0</v>
      </c>
      <c r="AP381" s="1062">
        <f>'No Recurrentes 24-26'!CE243</f>
        <v>0</v>
      </c>
      <c r="AQ381" s="1062">
        <f>'No Recurrentes 24-26'!CF243</f>
        <v>0</v>
      </c>
      <c r="AR381" s="1062">
        <f>'No Recurrentes 24-26'!CG243</f>
        <v>0</v>
      </c>
      <c r="AS381" s="1062">
        <f>'No Recurrentes 24-26'!CH243</f>
        <v>0</v>
      </c>
      <c r="AT381" s="1068"/>
      <c r="AU381" s="1062">
        <f>'No Recurrentes 24-26'!CI243</f>
        <v>0</v>
      </c>
      <c r="AV381" s="1063">
        <f>'No Recurrentes 24-26'!CJ243</f>
        <v>672</v>
      </c>
      <c r="AW381" s="1068"/>
      <c r="AX381" s="1065">
        <f>'No Recurrentes 24-26'!CK243</f>
        <v>133.56</v>
      </c>
      <c r="AY381" s="1062">
        <f>'No Recurrentes 24-26'!CL243</f>
        <v>929.5776</v>
      </c>
      <c r="AZ381" s="1068"/>
      <c r="BA381" s="1062">
        <f>'No Recurrentes 24-26'!CM243</f>
        <v>77154.9408</v>
      </c>
      <c r="BB381" s="1062">
        <f>'No Recurrentes 24-26'!CN243</f>
        <v>37183.104</v>
      </c>
      <c r="BC381" s="1062">
        <f>'No Recurrentes 24-26'!CO243</f>
        <v>79014.096</v>
      </c>
      <c r="BD381" s="1062">
        <f>'No Recurrentes 24-26'!CP243</f>
        <v>0</v>
      </c>
      <c r="BE381" s="1062">
        <f>'No Recurrentes 24-26'!CQ243</f>
        <v>0</v>
      </c>
      <c r="BF381" s="1062">
        <f>'No Recurrentes 24-26'!CR243</f>
        <v>0</v>
      </c>
      <c r="BG381" s="1062">
        <f>'No Recurrentes 24-26'!CS243</f>
        <v>18591.552</v>
      </c>
      <c r="BH381" s="1062">
        <f>'No Recurrentes 24-26'!CT243</f>
        <v>0</v>
      </c>
      <c r="BI381" s="1062">
        <f>'No Recurrentes 24-26'!CU243</f>
        <v>0</v>
      </c>
      <c r="BJ381" s="1062">
        <f>'No Recurrentes 24-26'!CV243</f>
        <v>0</v>
      </c>
      <c r="BK381" s="1068"/>
      <c r="BL381" s="1062">
        <f>'No Recurrentes 24-26'!CW243</f>
        <v>211943.6928</v>
      </c>
      <c r="BM381" s="1062">
        <f>'No Recurrentes 24-26'!CX243</f>
        <v>0</v>
      </c>
      <c r="BN381" s="1062">
        <f>'No Recurrentes 24-26'!CY243</f>
        <v>0</v>
      </c>
      <c r="BO381" s="1062">
        <f>'No Recurrentes 24-26'!CZ243</f>
        <v>0</v>
      </c>
      <c r="BP381" s="1062">
        <f>'No Recurrentes 24-26'!DA243</f>
        <v>83661.984</v>
      </c>
      <c r="BQ381" s="1062">
        <f>'No Recurrentes 24-26'!DB243</f>
        <v>117126.7776</v>
      </c>
      <c r="BR381" s="1062">
        <f>'No Recurrentes 24-26'!DC243</f>
        <v>193352.1408</v>
      </c>
      <c r="BS381" s="1062">
        <f>'No Recurrentes 24-26'!DD243</f>
        <v>18591.552</v>
      </c>
      <c r="BT381" s="1062">
        <f>'No Recurrentes 24-26'!DE243</f>
        <v>0</v>
      </c>
      <c r="BU381" s="1062">
        <f>'No Recurrentes 24-26'!DF243</f>
        <v>0</v>
      </c>
      <c r="BV381" s="1062">
        <f>'No Recurrentes 24-26'!DG243</f>
        <v>0</v>
      </c>
      <c r="BW381" s="1068"/>
      <c r="BX381" s="1062">
        <f>'No Recurrentes 24-26'!DH243</f>
        <v>412732.4544</v>
      </c>
      <c r="BY381" s="1062">
        <f>'No Recurrentes 24-26'!DI243</f>
        <v>0</v>
      </c>
      <c r="BZ381" s="1062">
        <f>'No Recurrentes 24-26'!DJ243</f>
        <v>0</v>
      </c>
      <c r="CA381" s="1062">
        <f>'No Recurrentes 24-26'!DK243</f>
        <v>0</v>
      </c>
      <c r="CB381" s="1062">
        <f>'No Recurrentes 24-26'!DL243</f>
        <v>0</v>
      </c>
      <c r="CC381" s="1062">
        <f>'No Recurrentes 24-26'!DM243</f>
        <v>0</v>
      </c>
      <c r="CD381" s="1062">
        <f>'No Recurrentes 24-26'!DN243</f>
        <v>0</v>
      </c>
      <c r="CE381" s="1062">
        <f>'No Recurrentes 24-26'!DO243</f>
        <v>0</v>
      </c>
      <c r="CF381" s="1062">
        <f>'No Recurrentes 24-26'!DP243</f>
        <v>0</v>
      </c>
      <c r="CG381" s="1062">
        <f>'No Recurrentes 24-26'!DQ243</f>
        <v>0</v>
      </c>
      <c r="CH381" s="1062">
        <f>'No Recurrentes 24-26'!DR243</f>
        <v>0</v>
      </c>
      <c r="CI381" s="1068"/>
      <c r="CJ381" s="1062">
        <f>'No Recurrentes 24-26'!DS243</f>
        <v>0</v>
      </c>
      <c r="CK381" s="1062">
        <f>'No Recurrentes 24-26'!DT243</f>
        <v>624676.1472</v>
      </c>
      <c r="CL381" s="1064" t="str">
        <f>'No Recurrentes 24-26'!DU243</f>
        <v/>
      </c>
      <c r="CM381" s="1064" t="str">
        <f>'No Recurrentes 24-26'!DV243</f>
        <v/>
      </c>
      <c r="CN381" s="1065">
        <f>'No Recurrentes 24-26'!EI239</f>
        <v>2.46</v>
      </c>
      <c r="CO381" s="1065">
        <f>'No Recurrentes 24-26'!EJ239</f>
        <v>2.09</v>
      </c>
      <c r="CP381" s="1060" t="str">
        <f>'No Recurrentes 24-26'!EK239</f>
        <v/>
      </c>
    </row>
    <row r="382">
      <c r="A382" s="451" t="str">
        <f>'No Recurrentes 24-26'!A244</f>
        <v>Repuestos Electromecánicos no recurrentes</v>
      </c>
      <c r="B382" s="451">
        <f>'No Recurrentes 24-26'!B244</f>
        <v>2</v>
      </c>
      <c r="C382" s="451" t="str">
        <f>'No Recurrentes 24-26'!C244</f>
        <v>Vehiculo</v>
      </c>
      <c r="D382" s="451" t="str">
        <f>'No Recurrentes 24-26'!D244</f>
        <v>Manto. Pinza</v>
      </c>
      <c r="E382" s="451" t="str">
        <f>'No Recurrentes 24-26'!E244</f>
        <v>Repuesto Mecánico</v>
      </c>
      <c r="F382" s="451" t="str">
        <f>'No Recurrentes 24-26'!F244</f>
        <v>TDB</v>
      </c>
      <c r="G382" s="1025" t="str">
        <f>'No Recurrentes 24-26'!G244</f>
        <v>39800</v>
      </c>
      <c r="H382" s="1061" t="str">
        <f>'No Recurrentes 24-26'!H244</f>
        <v/>
      </c>
      <c r="I382" s="1061" t="str">
        <f>'No Recurrentes 24-26'!I244</f>
        <v>11355248</v>
      </c>
      <c r="J382" s="1061" t="str">
        <f>'No Recurrentes 24-26'!J244</f>
        <v>LENGÜETA P. PINZA A108-C TIPO 2/510/IBAF Ø48-51MM</v>
      </c>
      <c r="K382" s="451" t="str">
        <f>'No Recurrentes 24-26'!K244</f>
        <v>Pza</v>
      </c>
      <c r="L382" s="451" t="str">
        <f>'No Recurrentes 24-26'!BC244</f>
        <v/>
      </c>
      <c r="M382" s="451" t="str">
        <f>'No Recurrentes 24-26'!BD244</f>
        <v/>
      </c>
      <c r="N382" s="451" t="str">
        <f>'No Recurrentes 24-26'!BE244</f>
        <v/>
      </c>
      <c r="O382" s="451" t="str">
        <f>'No Recurrentes 24-26'!BF244</f>
        <v/>
      </c>
      <c r="P382" s="451" t="str">
        <f>'No Recurrentes 24-26'!BG244</f>
        <v/>
      </c>
      <c r="Q382" s="451" t="str">
        <f>'No Recurrentes 24-26'!BH244</f>
        <v/>
      </c>
      <c r="R382" s="451" t="str">
        <f>'No Recurrentes 24-26'!BI244</f>
        <v/>
      </c>
      <c r="S382" s="451" t="str">
        <f>'No Recurrentes 24-26'!BJ244</f>
        <v/>
      </c>
      <c r="T382" s="451" t="str">
        <f>'No Recurrentes 24-26'!BK244</f>
        <v/>
      </c>
      <c r="U382" s="451" t="str">
        <f>'No Recurrentes 24-26'!BL244</f>
        <v/>
      </c>
      <c r="V382" s="1068"/>
      <c r="W382" s="1062">
        <f>'No Recurrentes 24-26'!BM244</f>
        <v>0</v>
      </c>
      <c r="X382" s="1062" t="str">
        <f>'No Recurrentes 24-26'!BN244</f>
        <v/>
      </c>
      <c r="Y382" s="1062" t="str">
        <f>'No Recurrentes 24-26'!BO244</f>
        <v/>
      </c>
      <c r="Z382" s="1062" t="str">
        <f>'No Recurrentes 24-26'!BP244</f>
        <v/>
      </c>
      <c r="AA382" s="1062" t="str">
        <f>'No Recurrentes 24-26'!BQ244</f>
        <v/>
      </c>
      <c r="AB382" s="1062" t="str">
        <f>'No Recurrentes 24-26'!BR244</f>
        <v/>
      </c>
      <c r="AC382" s="1062" t="str">
        <f>'No Recurrentes 24-26'!BS244</f>
        <v/>
      </c>
      <c r="AD382" s="1062" t="str">
        <f>'No Recurrentes 24-26'!BT244</f>
        <v/>
      </c>
      <c r="AE382" s="1062" t="str">
        <f>'No Recurrentes 24-26'!BU244</f>
        <v/>
      </c>
      <c r="AF382" s="1062" t="str">
        <f>'No Recurrentes 24-26'!BV244</f>
        <v/>
      </c>
      <c r="AG382" s="1062" t="str">
        <f>'No Recurrentes 24-26'!BW244</f>
        <v/>
      </c>
      <c r="AH382" s="1068"/>
      <c r="AI382" s="1062">
        <f>'No Recurrentes 24-26'!BX244</f>
        <v>0</v>
      </c>
      <c r="AJ382" s="1062">
        <f>'No Recurrentes 24-26'!BY244</f>
        <v>0</v>
      </c>
      <c r="AK382" s="1062">
        <f>'No Recurrentes 24-26'!BZ244</f>
        <v>0</v>
      </c>
      <c r="AL382" s="1062">
        <f>'No Recurrentes 24-26'!CA244</f>
        <v>0</v>
      </c>
      <c r="AM382" s="1062">
        <f>'No Recurrentes 24-26'!CB244</f>
        <v>0</v>
      </c>
      <c r="AN382" s="1062">
        <f>'No Recurrentes 24-26'!CC244</f>
        <v>0</v>
      </c>
      <c r="AO382" s="1062">
        <f>'No Recurrentes 24-26'!CD244</f>
        <v>0</v>
      </c>
      <c r="AP382" s="1062">
        <f>'No Recurrentes 24-26'!CE244</f>
        <v>0</v>
      </c>
      <c r="AQ382" s="1062">
        <f>'No Recurrentes 24-26'!CF244</f>
        <v>156</v>
      </c>
      <c r="AR382" s="1062">
        <f>'No Recurrentes 24-26'!CG244</f>
        <v>0</v>
      </c>
      <c r="AS382" s="1062">
        <f>'No Recurrentes 24-26'!CH244</f>
        <v>0</v>
      </c>
      <c r="AT382" s="1068"/>
      <c r="AU382" s="1062">
        <f>'No Recurrentes 24-26'!CI244</f>
        <v>156</v>
      </c>
      <c r="AV382" s="1063">
        <f>'No Recurrentes 24-26'!CJ244</f>
        <v>156</v>
      </c>
      <c r="AW382" s="1068"/>
      <c r="AX382" s="1065">
        <f>'No Recurrentes 24-26'!CK244</f>
        <v>93.64</v>
      </c>
      <c r="AY382" s="1062">
        <f>'No Recurrentes 24-26'!CL244</f>
        <v>651.7344</v>
      </c>
      <c r="AZ382" s="1068"/>
      <c r="BA382" s="1062">
        <f>'No Recurrentes 24-26'!CM244</f>
        <v>0</v>
      </c>
      <c r="BB382" s="1062">
        <f>'No Recurrentes 24-26'!CN244</f>
        <v>0</v>
      </c>
      <c r="BC382" s="1062">
        <f>'No Recurrentes 24-26'!CO244</f>
        <v>0</v>
      </c>
      <c r="BD382" s="1062">
        <f>'No Recurrentes 24-26'!CP244</f>
        <v>0</v>
      </c>
      <c r="BE382" s="1062">
        <f>'No Recurrentes 24-26'!CQ244</f>
        <v>0</v>
      </c>
      <c r="BF382" s="1062">
        <f>'No Recurrentes 24-26'!CR244</f>
        <v>0</v>
      </c>
      <c r="BG382" s="1062">
        <f>'No Recurrentes 24-26'!CS244</f>
        <v>0</v>
      </c>
      <c r="BH382" s="1062">
        <f>'No Recurrentes 24-26'!CT244</f>
        <v>0</v>
      </c>
      <c r="BI382" s="1062">
        <f>'No Recurrentes 24-26'!CU244</f>
        <v>0</v>
      </c>
      <c r="BJ382" s="1062">
        <f>'No Recurrentes 24-26'!CV244</f>
        <v>0</v>
      </c>
      <c r="BK382" s="1068"/>
      <c r="BL382" s="1062">
        <f>'No Recurrentes 24-26'!CW244</f>
        <v>0</v>
      </c>
      <c r="BM382" s="1062">
        <f>'No Recurrentes 24-26'!CX244</f>
        <v>0</v>
      </c>
      <c r="BN382" s="1062">
        <f>'No Recurrentes 24-26'!CY244</f>
        <v>0</v>
      </c>
      <c r="BO382" s="1062">
        <f>'No Recurrentes 24-26'!CZ244</f>
        <v>0</v>
      </c>
      <c r="BP382" s="1062">
        <f>'No Recurrentes 24-26'!DA244</f>
        <v>0</v>
      </c>
      <c r="BQ382" s="1062">
        <f>'No Recurrentes 24-26'!DB244</f>
        <v>0</v>
      </c>
      <c r="BR382" s="1062">
        <f>'No Recurrentes 24-26'!DC244</f>
        <v>0</v>
      </c>
      <c r="BS382" s="1062">
        <f>'No Recurrentes 24-26'!DD244</f>
        <v>0</v>
      </c>
      <c r="BT382" s="1062">
        <f>'No Recurrentes 24-26'!DE244</f>
        <v>0</v>
      </c>
      <c r="BU382" s="1062">
        <f>'No Recurrentes 24-26'!DF244</f>
        <v>0</v>
      </c>
      <c r="BV382" s="1062">
        <f>'No Recurrentes 24-26'!DG244</f>
        <v>0</v>
      </c>
      <c r="BW382" s="1068"/>
      <c r="BX382" s="1062">
        <f>'No Recurrentes 24-26'!DH244</f>
        <v>0</v>
      </c>
      <c r="BY382" s="1062">
        <f>'No Recurrentes 24-26'!DI244</f>
        <v>0</v>
      </c>
      <c r="BZ382" s="1062">
        <f>'No Recurrentes 24-26'!DJ244</f>
        <v>0</v>
      </c>
      <c r="CA382" s="1062">
        <f>'No Recurrentes 24-26'!DK244</f>
        <v>0</v>
      </c>
      <c r="CB382" s="1062">
        <f>'No Recurrentes 24-26'!DL244</f>
        <v>0</v>
      </c>
      <c r="CC382" s="1062">
        <f>'No Recurrentes 24-26'!DM244</f>
        <v>0</v>
      </c>
      <c r="CD382" s="1062">
        <f>'No Recurrentes 24-26'!DN244</f>
        <v>0</v>
      </c>
      <c r="CE382" s="1062">
        <f>'No Recurrentes 24-26'!DO244</f>
        <v>0</v>
      </c>
      <c r="CF382" s="1062">
        <f>'No Recurrentes 24-26'!DP244</f>
        <v>101670.5664</v>
      </c>
      <c r="CG382" s="1062">
        <f>'No Recurrentes 24-26'!DQ244</f>
        <v>0</v>
      </c>
      <c r="CH382" s="1062">
        <f>'No Recurrentes 24-26'!DR244</f>
        <v>0</v>
      </c>
      <c r="CI382" s="1068"/>
      <c r="CJ382" s="1062">
        <f>'No Recurrentes 24-26'!DS244</f>
        <v>101670.5664</v>
      </c>
      <c r="CK382" s="1062">
        <f>'No Recurrentes 24-26'!DT244</f>
        <v>101670.5664</v>
      </c>
      <c r="CL382" s="1064" t="str">
        <f>'No Recurrentes 24-26'!DU244</f>
        <v/>
      </c>
      <c r="CM382" s="1064" t="str">
        <f>'No Recurrentes 24-26'!DV244</f>
        <v>Se quita de 20204, se analizara para el 2026</v>
      </c>
      <c r="CN382" s="1060">
        <f>'No Recurrentes 24-26'!EI240</f>
        <v>1</v>
      </c>
      <c r="CO382" s="1060" t="str">
        <f>'No Recurrentes 24-26'!EJ240</f>
        <v/>
      </c>
      <c r="CP382" s="1060" t="str">
        <f>'No Recurrentes 24-26'!EK240</f>
        <v/>
      </c>
    </row>
    <row r="383">
      <c r="A383" s="451" t="str">
        <f>'No Recurrentes 24-26'!A245</f>
        <v>Repuestos Electromecánicos no recurrentes</v>
      </c>
      <c r="B383" s="451">
        <f>'No Recurrentes 24-26'!B245</f>
        <v>2</v>
      </c>
      <c r="C383" s="451" t="str">
        <f>'No Recurrentes 24-26'!C245</f>
        <v>Vehiculo</v>
      </c>
      <c r="D383" s="451" t="str">
        <f>'No Recurrentes 24-26'!D245</f>
        <v>Manto. Pinza</v>
      </c>
      <c r="E383" s="451" t="str">
        <f>'No Recurrentes 24-26'!E245</f>
        <v>Repuesto Mecánico</v>
      </c>
      <c r="F383" s="451" t="str">
        <f>'No Recurrentes 24-26'!F245</f>
        <v>TDB</v>
      </c>
      <c r="G383" s="1025" t="str">
        <f>'No Recurrentes 24-26'!G245</f>
        <v>39800</v>
      </c>
      <c r="H383" s="1061" t="str">
        <f>'No Recurrentes 24-26'!H245</f>
        <v>2-01-00075</v>
      </c>
      <c r="I383" s="1061" t="str">
        <f>'No Recurrentes 24-26'!I245</f>
        <v>10591180</v>
      </c>
      <c r="J383" s="1061" t="str">
        <f>'No Recurrentes 24-26'!J245</f>
        <v>RRB DIN 625/1- 6207-2RS1-C3 LT VT210 (TTF 90% +/-5%)ROD.R.B.</v>
      </c>
      <c r="K383" s="451" t="str">
        <f>'No Recurrentes 24-26'!K245</f>
        <v>Pza</v>
      </c>
      <c r="L383" s="451">
        <f>'No Recurrentes 24-26'!BC245</f>
        <v>210</v>
      </c>
      <c r="M383" s="451">
        <f>'No Recurrentes 24-26'!BD245</f>
        <v>100</v>
      </c>
      <c r="N383" s="451">
        <f>'No Recurrentes 24-26'!BE245</f>
        <v>200</v>
      </c>
      <c r="O383" s="451" t="str">
        <f>'No Recurrentes 24-26'!BF245</f>
        <v/>
      </c>
      <c r="P383" s="451" t="str">
        <f>'No Recurrentes 24-26'!BG245</f>
        <v/>
      </c>
      <c r="Q383" s="451" t="str">
        <f>'No Recurrentes 24-26'!BH245</f>
        <v/>
      </c>
      <c r="R383" s="451">
        <f>'No Recurrentes 24-26'!BI245</f>
        <v>100</v>
      </c>
      <c r="S383" s="451" t="str">
        <f>'No Recurrentes 24-26'!BJ245</f>
        <v/>
      </c>
      <c r="T383" s="451">
        <f>'No Recurrentes 24-26'!BK245</f>
        <v>30</v>
      </c>
      <c r="U383" s="451" t="str">
        <f>'No Recurrentes 24-26'!BL245</f>
        <v/>
      </c>
      <c r="V383" s="1068"/>
      <c r="W383" s="1062">
        <f>'No Recurrentes 24-26'!BM245</f>
        <v>640</v>
      </c>
      <c r="X383" s="1062">
        <f>'No Recurrentes 24-26'!BN245</f>
        <v>250</v>
      </c>
      <c r="Y383" s="1062">
        <f>'No Recurrentes 24-26'!BO245</f>
        <v>126</v>
      </c>
      <c r="Z383" s="1062">
        <f>'No Recurrentes 24-26'!BP245</f>
        <v>100</v>
      </c>
      <c r="AA383" s="1062">
        <f>'No Recurrentes 24-26'!BQ245</f>
        <v>200</v>
      </c>
      <c r="AB383" s="1062">
        <f>'No Recurrentes 24-26'!BR245</f>
        <v>200</v>
      </c>
      <c r="AC383" s="1062">
        <f>'No Recurrentes 24-26'!BS245</f>
        <v>300</v>
      </c>
      <c r="AD383" s="1062">
        <f>'No Recurrentes 24-26'!BT245</f>
        <v>100</v>
      </c>
      <c r="AE383" s="1062" t="str">
        <f>'No Recurrentes 24-26'!BU245</f>
        <v/>
      </c>
      <c r="AF383" s="1062">
        <f>'No Recurrentes 24-26'!BV245</f>
        <v>30</v>
      </c>
      <c r="AG383" s="1062" t="str">
        <f>'No Recurrentes 24-26'!BW245</f>
        <v/>
      </c>
      <c r="AH383" s="1068"/>
      <c r="AI383" s="1062">
        <f>'No Recurrentes 24-26'!BX245</f>
        <v>1306</v>
      </c>
      <c r="AJ383" s="1062">
        <f>'No Recurrentes 24-26'!BY245</f>
        <v>200</v>
      </c>
      <c r="AK383" s="1062">
        <f>'No Recurrentes 24-26'!BZ245</f>
        <v>120</v>
      </c>
      <c r="AL383" s="1062">
        <f>'No Recurrentes 24-26'!CA245</f>
        <v>180</v>
      </c>
      <c r="AM383" s="1062">
        <f>'No Recurrentes 24-26'!CB245</f>
        <v>0</v>
      </c>
      <c r="AN383" s="1062">
        <f>'No Recurrentes 24-26'!CC245</f>
        <v>0</v>
      </c>
      <c r="AO383" s="1062">
        <f>'No Recurrentes 24-26'!CD245</f>
        <v>0</v>
      </c>
      <c r="AP383" s="1062">
        <f>'No Recurrentes 24-26'!CE245</f>
        <v>0</v>
      </c>
      <c r="AQ383" s="1062">
        <f>'No Recurrentes 24-26'!CF245</f>
        <v>0</v>
      </c>
      <c r="AR383" s="1062">
        <f>'No Recurrentes 24-26'!CG245</f>
        <v>0</v>
      </c>
      <c r="AS383" s="1062">
        <f>'No Recurrentes 24-26'!CH245</f>
        <v>0</v>
      </c>
      <c r="AT383" s="1068"/>
      <c r="AU383" s="1062">
        <f>'No Recurrentes 24-26'!CI245</f>
        <v>500</v>
      </c>
      <c r="AV383" s="1063">
        <f>'No Recurrentes 24-26'!CJ245</f>
        <v>2446</v>
      </c>
      <c r="AW383" s="1068"/>
      <c r="AX383" s="1065">
        <f>'No Recurrentes 24-26'!CK245</f>
        <v>22.77</v>
      </c>
      <c r="AY383" s="1062">
        <f>'No Recurrentes 24-26'!CL245</f>
        <v>158.4792</v>
      </c>
      <c r="AZ383" s="1068"/>
      <c r="BA383" s="1062">
        <f>'No Recurrentes 24-26'!CM245</f>
        <v>33280.632</v>
      </c>
      <c r="BB383" s="1062">
        <f>'No Recurrentes 24-26'!CN245</f>
        <v>15847.92</v>
      </c>
      <c r="BC383" s="1062">
        <f>'No Recurrentes 24-26'!CO245</f>
        <v>31695.84</v>
      </c>
      <c r="BD383" s="1062">
        <f>'No Recurrentes 24-26'!CP245</f>
        <v>0</v>
      </c>
      <c r="BE383" s="1062">
        <f>'No Recurrentes 24-26'!CQ245</f>
        <v>0</v>
      </c>
      <c r="BF383" s="1062">
        <f>'No Recurrentes 24-26'!CR245</f>
        <v>0</v>
      </c>
      <c r="BG383" s="1062">
        <f>'No Recurrentes 24-26'!CS245</f>
        <v>15847.92</v>
      </c>
      <c r="BH383" s="1062">
        <f>'No Recurrentes 24-26'!CT245</f>
        <v>0</v>
      </c>
      <c r="BI383" s="1062">
        <f>'No Recurrentes 24-26'!CU245</f>
        <v>4754.376</v>
      </c>
      <c r="BJ383" s="1062">
        <f>'No Recurrentes 24-26'!CV245</f>
        <v>0</v>
      </c>
      <c r="BK383" s="1068"/>
      <c r="BL383" s="1062">
        <f>'No Recurrentes 24-26'!CW245</f>
        <v>101426.688</v>
      </c>
      <c r="BM383" s="1062">
        <f>'No Recurrentes 24-26'!CX245</f>
        <v>39619.8</v>
      </c>
      <c r="BN383" s="1062">
        <f>'No Recurrentes 24-26'!CY245</f>
        <v>19968.3792</v>
      </c>
      <c r="BO383" s="1062">
        <f>'No Recurrentes 24-26'!CZ245</f>
        <v>15847.92</v>
      </c>
      <c r="BP383" s="1062">
        <f>'No Recurrentes 24-26'!DA245</f>
        <v>31695.84</v>
      </c>
      <c r="BQ383" s="1062">
        <f>'No Recurrentes 24-26'!DB245</f>
        <v>31695.84</v>
      </c>
      <c r="BR383" s="1062">
        <f>'No Recurrentes 24-26'!DC245</f>
        <v>47543.76</v>
      </c>
      <c r="BS383" s="1062">
        <f>'No Recurrentes 24-26'!DD245</f>
        <v>15847.92</v>
      </c>
      <c r="BT383" s="1062">
        <f>'No Recurrentes 24-26'!DE245</f>
        <v>0</v>
      </c>
      <c r="BU383" s="1062">
        <f>'No Recurrentes 24-26'!DF245</f>
        <v>4754.376</v>
      </c>
      <c r="BV383" s="1062">
        <f>'No Recurrentes 24-26'!DG245</f>
        <v>0</v>
      </c>
      <c r="BW383" s="1068"/>
      <c r="BX383" s="1062">
        <f>'No Recurrentes 24-26'!DH245</f>
        <v>206973.8352</v>
      </c>
      <c r="BY383" s="1062">
        <f>'No Recurrentes 24-26'!DI245</f>
        <v>31695.84</v>
      </c>
      <c r="BZ383" s="1062">
        <f>'No Recurrentes 24-26'!DJ245</f>
        <v>19017.504</v>
      </c>
      <c r="CA383" s="1062">
        <f>'No Recurrentes 24-26'!DK245</f>
        <v>28526.256</v>
      </c>
      <c r="CB383" s="1062">
        <f>'No Recurrentes 24-26'!DL245</f>
        <v>0</v>
      </c>
      <c r="CC383" s="1062">
        <f>'No Recurrentes 24-26'!DM245</f>
        <v>0</v>
      </c>
      <c r="CD383" s="1062">
        <f>'No Recurrentes 24-26'!DN245</f>
        <v>0</v>
      </c>
      <c r="CE383" s="1062">
        <f>'No Recurrentes 24-26'!DO245</f>
        <v>0</v>
      </c>
      <c r="CF383" s="1062">
        <f>'No Recurrentes 24-26'!DP245</f>
        <v>0</v>
      </c>
      <c r="CG383" s="1062">
        <f>'No Recurrentes 24-26'!DQ245</f>
        <v>0</v>
      </c>
      <c r="CH383" s="1062">
        <f>'No Recurrentes 24-26'!DR245</f>
        <v>0</v>
      </c>
      <c r="CI383" s="1068"/>
      <c r="CJ383" s="1062">
        <f>'No Recurrentes 24-26'!DS245</f>
        <v>79239.6</v>
      </c>
      <c r="CK383" s="1062">
        <f>'No Recurrentes 24-26'!DT245</f>
        <v>387640.1232</v>
      </c>
      <c r="CL383" s="1064" t="str">
        <f>'No Recurrentes 24-26'!DU245</f>
        <v/>
      </c>
      <c r="CM383" s="1064" t="str">
        <f>'No Recurrentes 24-26'!DV245</f>
        <v/>
      </c>
      <c r="CN383" s="1060">
        <f>'No Recurrentes 24-26'!EI241</f>
        <v>1</v>
      </c>
      <c r="CO383" s="1060" t="str">
        <f>'No Recurrentes 24-26'!EJ241</f>
        <v/>
      </c>
      <c r="CP383" s="1060" t="str">
        <f>'No Recurrentes 24-26'!EK241</f>
        <v/>
      </c>
    </row>
    <row r="384">
      <c r="A384" s="451" t="str">
        <f>'No Recurrentes 24-26'!A246</f>
        <v>Repuestos Electromecánicos no recurrentes</v>
      </c>
      <c r="B384" s="451">
        <f>'No Recurrentes 24-26'!B246</f>
        <v>2</v>
      </c>
      <c r="C384" s="451" t="str">
        <f>'No Recurrentes 24-26'!C246</f>
        <v>Vehiculo</v>
      </c>
      <c r="D384" s="451" t="str">
        <f>'No Recurrentes 24-26'!D246</f>
        <v>Manto. Pinza</v>
      </c>
      <c r="E384" s="451" t="str">
        <f>'No Recurrentes 24-26'!E246</f>
        <v>Repuesto Mecánico</v>
      </c>
      <c r="F384" s="451" t="str">
        <f>'No Recurrentes 24-26'!F246</f>
        <v>TDB</v>
      </c>
      <c r="G384" s="1025" t="str">
        <f>'No Recurrentes 24-26'!G246</f>
        <v>39800</v>
      </c>
      <c r="H384" s="1061" t="str">
        <f>'No Recurrentes 24-26'!H246</f>
        <v>2-01-00096</v>
      </c>
      <c r="I384" s="1061" t="str">
        <f>'No Recurrentes 24-26'!I246</f>
        <v>10488429</v>
      </c>
      <c r="J384" s="1061" t="str">
        <f>'No Recurrentes 24-26'!J246</f>
        <v>EJE DE RESORTE          A108-C DIA.28  LN 91</v>
      </c>
      <c r="K384" s="451" t="str">
        <f>'No Recurrentes 24-26'!K246</f>
        <v>Pza</v>
      </c>
      <c r="L384" s="451">
        <f>'No Recurrentes 24-26'!BC246</f>
        <v>100</v>
      </c>
      <c r="M384" s="451">
        <f>'No Recurrentes 24-26'!BD246</f>
        <v>15</v>
      </c>
      <c r="N384" s="451">
        <f>'No Recurrentes 24-26'!BE246</f>
        <v>200</v>
      </c>
      <c r="O384" s="451" t="str">
        <f>'No Recurrentes 24-26'!BF246</f>
        <v/>
      </c>
      <c r="P384" s="451" t="str">
        <f>'No Recurrentes 24-26'!BG246</f>
        <v/>
      </c>
      <c r="Q384" s="451" t="str">
        <f>'No Recurrentes 24-26'!BH246</f>
        <v/>
      </c>
      <c r="R384" s="451" t="str">
        <f>'No Recurrentes 24-26'!BI246</f>
        <v/>
      </c>
      <c r="S384" s="451" t="str">
        <f>'No Recurrentes 24-26'!BJ246</f>
        <v/>
      </c>
      <c r="T384" s="451" t="str">
        <f>'No Recurrentes 24-26'!BK246</f>
        <v/>
      </c>
      <c r="U384" s="451" t="str">
        <f>'No Recurrentes 24-26'!BL246</f>
        <v/>
      </c>
      <c r="V384" s="1068"/>
      <c r="W384" s="1062">
        <f>'No Recurrentes 24-26'!BM246</f>
        <v>315</v>
      </c>
      <c r="X384" s="1062">
        <f>'No Recurrentes 24-26'!BN246</f>
        <v>60</v>
      </c>
      <c r="Y384" s="1062">
        <f>'No Recurrentes 24-26'!BO246</f>
        <v>20</v>
      </c>
      <c r="Z384" s="1062" t="str">
        <f>'No Recurrentes 24-26'!BP246</f>
        <v/>
      </c>
      <c r="AA384" s="1062">
        <f>'No Recurrentes 24-26'!BQ246</f>
        <v>220</v>
      </c>
      <c r="AB384" s="1062">
        <f>'No Recurrentes 24-26'!BR246</f>
        <v>252</v>
      </c>
      <c r="AC384" s="1062">
        <f>'No Recurrentes 24-26'!BS246</f>
        <v>50</v>
      </c>
      <c r="AD384" s="1062" t="str">
        <f>'No Recurrentes 24-26'!BT246</f>
        <v/>
      </c>
      <c r="AE384" s="1062" t="str">
        <f>'No Recurrentes 24-26'!BU246</f>
        <v/>
      </c>
      <c r="AF384" s="1062" t="str">
        <f>'No Recurrentes 24-26'!BV246</f>
        <v/>
      </c>
      <c r="AG384" s="1062" t="str">
        <f>'No Recurrentes 24-26'!BW246</f>
        <v/>
      </c>
      <c r="AH384" s="1068"/>
      <c r="AI384" s="1062">
        <f>'No Recurrentes 24-26'!BX246</f>
        <v>602</v>
      </c>
      <c r="AJ384" s="1062">
        <f>'No Recurrentes 24-26'!BY246</f>
        <v>100</v>
      </c>
      <c r="AK384" s="1062">
        <f>'No Recurrentes 24-26'!BZ246</f>
        <v>50</v>
      </c>
      <c r="AL384" s="1062">
        <f>'No Recurrentes 24-26'!CA246</f>
        <v>50</v>
      </c>
      <c r="AM384" s="1062">
        <f>'No Recurrentes 24-26'!CB246</f>
        <v>0</v>
      </c>
      <c r="AN384" s="1062">
        <f>'No Recurrentes 24-26'!CC246</f>
        <v>0</v>
      </c>
      <c r="AO384" s="1062">
        <f>'No Recurrentes 24-26'!CD246</f>
        <v>0</v>
      </c>
      <c r="AP384" s="1062">
        <f>'No Recurrentes 24-26'!CE246</f>
        <v>0</v>
      </c>
      <c r="AQ384" s="1062">
        <f>'No Recurrentes 24-26'!CF246</f>
        <v>0</v>
      </c>
      <c r="AR384" s="1062">
        <f>'No Recurrentes 24-26'!CG246</f>
        <v>0</v>
      </c>
      <c r="AS384" s="1062">
        <f>'No Recurrentes 24-26'!CH246</f>
        <v>0</v>
      </c>
      <c r="AT384" s="1068"/>
      <c r="AU384" s="1062">
        <f>'No Recurrentes 24-26'!CI246</f>
        <v>200</v>
      </c>
      <c r="AV384" s="1063">
        <f>'No Recurrentes 24-26'!CJ246</f>
        <v>1117</v>
      </c>
      <c r="AW384" s="1068"/>
      <c r="AX384" s="1065">
        <f>'No Recurrentes 24-26'!CK246</f>
        <v>40.61</v>
      </c>
      <c r="AY384" s="1062">
        <f>'No Recurrentes 24-26'!CL246</f>
        <v>282.6456</v>
      </c>
      <c r="AZ384" s="1068"/>
      <c r="BA384" s="1062">
        <f>'No Recurrentes 24-26'!CM246</f>
        <v>28264.56</v>
      </c>
      <c r="BB384" s="1062">
        <f>'No Recurrentes 24-26'!CN246</f>
        <v>4239.684</v>
      </c>
      <c r="BC384" s="1062">
        <f>'No Recurrentes 24-26'!CO246</f>
        <v>56529.12</v>
      </c>
      <c r="BD384" s="1062">
        <f>'No Recurrentes 24-26'!CP246</f>
        <v>0</v>
      </c>
      <c r="BE384" s="1062">
        <f>'No Recurrentes 24-26'!CQ246</f>
        <v>0</v>
      </c>
      <c r="BF384" s="1062">
        <f>'No Recurrentes 24-26'!CR246</f>
        <v>0</v>
      </c>
      <c r="BG384" s="1062">
        <f>'No Recurrentes 24-26'!CS246</f>
        <v>0</v>
      </c>
      <c r="BH384" s="1062">
        <f>'No Recurrentes 24-26'!CT246</f>
        <v>0</v>
      </c>
      <c r="BI384" s="1062">
        <f>'No Recurrentes 24-26'!CU246</f>
        <v>0</v>
      </c>
      <c r="BJ384" s="1062">
        <f>'No Recurrentes 24-26'!CV246</f>
        <v>0</v>
      </c>
      <c r="BK384" s="1068"/>
      <c r="BL384" s="1062">
        <f>'No Recurrentes 24-26'!CW246</f>
        <v>89033.364</v>
      </c>
      <c r="BM384" s="1062">
        <f>'No Recurrentes 24-26'!CX246</f>
        <v>16958.736</v>
      </c>
      <c r="BN384" s="1062">
        <f>'No Recurrentes 24-26'!CY246</f>
        <v>5652.912</v>
      </c>
      <c r="BO384" s="1062">
        <f>'No Recurrentes 24-26'!CZ246</f>
        <v>0</v>
      </c>
      <c r="BP384" s="1062">
        <f>'No Recurrentes 24-26'!DA246</f>
        <v>62182.032</v>
      </c>
      <c r="BQ384" s="1062">
        <f>'No Recurrentes 24-26'!DB246</f>
        <v>71226.6912</v>
      </c>
      <c r="BR384" s="1062">
        <f>'No Recurrentes 24-26'!DC246</f>
        <v>14132.28</v>
      </c>
      <c r="BS384" s="1062">
        <f>'No Recurrentes 24-26'!DD246</f>
        <v>0</v>
      </c>
      <c r="BT384" s="1062">
        <f>'No Recurrentes 24-26'!DE246</f>
        <v>0</v>
      </c>
      <c r="BU384" s="1062">
        <f>'No Recurrentes 24-26'!DF246</f>
        <v>0</v>
      </c>
      <c r="BV384" s="1062">
        <f>'No Recurrentes 24-26'!DG246</f>
        <v>0</v>
      </c>
      <c r="BW384" s="1068"/>
      <c r="BX384" s="1062">
        <f>'No Recurrentes 24-26'!DH246</f>
        <v>170152.6512</v>
      </c>
      <c r="BY384" s="1062">
        <f>'No Recurrentes 24-26'!DI246</f>
        <v>28264.56</v>
      </c>
      <c r="BZ384" s="1062">
        <f>'No Recurrentes 24-26'!DJ246</f>
        <v>14132.28</v>
      </c>
      <c r="CA384" s="1062">
        <f>'No Recurrentes 24-26'!DK246</f>
        <v>14132.28</v>
      </c>
      <c r="CB384" s="1062">
        <f>'No Recurrentes 24-26'!DL246</f>
        <v>0</v>
      </c>
      <c r="CC384" s="1062">
        <f>'No Recurrentes 24-26'!DM246</f>
        <v>0</v>
      </c>
      <c r="CD384" s="1062">
        <f>'No Recurrentes 24-26'!DN246</f>
        <v>0</v>
      </c>
      <c r="CE384" s="1062">
        <f>'No Recurrentes 24-26'!DO246</f>
        <v>0</v>
      </c>
      <c r="CF384" s="1062">
        <f>'No Recurrentes 24-26'!DP246</f>
        <v>0</v>
      </c>
      <c r="CG384" s="1062">
        <f>'No Recurrentes 24-26'!DQ246</f>
        <v>0</v>
      </c>
      <c r="CH384" s="1062">
        <f>'No Recurrentes 24-26'!DR246</f>
        <v>0</v>
      </c>
      <c r="CI384" s="1068"/>
      <c r="CJ384" s="1062">
        <f>'No Recurrentes 24-26'!DS246</f>
        <v>56529.12</v>
      </c>
      <c r="CK384" s="1062">
        <f>'No Recurrentes 24-26'!DT246</f>
        <v>315715.1352</v>
      </c>
      <c r="CL384" s="1064" t="str">
        <f>'No Recurrentes 24-26'!DU246</f>
        <v/>
      </c>
      <c r="CM384" s="1064" t="str">
        <f>'No Recurrentes 24-26'!DV246</f>
        <v/>
      </c>
      <c r="CN384" s="1060">
        <f>'No Recurrentes 24-26'!EI242</f>
        <v>1</v>
      </c>
      <c r="CO384" s="1060" t="str">
        <f>'No Recurrentes 24-26'!EJ242</f>
        <v/>
      </c>
      <c r="CP384" s="1060" t="str">
        <f>'No Recurrentes 24-26'!EK242</f>
        <v/>
      </c>
    </row>
    <row r="385">
      <c r="A385" s="451" t="str">
        <f>'No Recurrentes 24-26'!A247</f>
        <v>Repuestos Electromecánicos no recurrentes</v>
      </c>
      <c r="B385" s="451">
        <f>'No Recurrentes 24-26'!B247</f>
        <v>2</v>
      </c>
      <c r="C385" s="451" t="str">
        <f>'No Recurrentes 24-26'!C247</f>
        <v>Vehiculo</v>
      </c>
      <c r="D385" s="451" t="str">
        <f>'No Recurrentes 24-26'!D247</f>
        <v>Manto. Pinza</v>
      </c>
      <c r="E385" s="451" t="str">
        <f>'No Recurrentes 24-26'!E247</f>
        <v>Repuesto Mecánico</v>
      </c>
      <c r="F385" s="451" t="str">
        <f>'No Recurrentes 24-26'!F247</f>
        <v>TDB</v>
      </c>
      <c r="G385" s="1025" t="str">
        <f>'No Recurrentes 24-26'!G247</f>
        <v>39800</v>
      </c>
      <c r="H385" s="1061" t="str">
        <f>'No Recurrentes 24-26'!H247</f>
        <v>2-01-00052</v>
      </c>
      <c r="I385" s="1061" t="str">
        <f>'No Recurrentes 24-26'!I247</f>
        <v>10274719</v>
      </c>
      <c r="J385" s="1061" t="str">
        <f>'No Recurrentes 24-26'!J247</f>
        <v>CASQUILLO PM 7560 DS   TIPO KW SIN AGUJ.DE ENGRASE    GLACIER</v>
      </c>
      <c r="K385" s="451" t="str">
        <f>'No Recurrentes 24-26'!K247</f>
        <v>Pza</v>
      </c>
      <c r="L385" s="451">
        <f>'No Recurrentes 24-26'!BC247</f>
        <v>50</v>
      </c>
      <c r="M385" s="451">
        <f>'No Recurrentes 24-26'!BD247</f>
        <v>60</v>
      </c>
      <c r="N385" s="451">
        <f>'No Recurrentes 24-26'!BE247</f>
        <v>192</v>
      </c>
      <c r="O385" s="451" t="str">
        <f>'No Recurrentes 24-26'!BF247</f>
        <v/>
      </c>
      <c r="P385" s="451" t="str">
        <f>'No Recurrentes 24-26'!BG247</f>
        <v/>
      </c>
      <c r="Q385" s="451" t="str">
        <f>'No Recurrentes 24-26'!BH247</f>
        <v/>
      </c>
      <c r="R385" s="451">
        <f>'No Recurrentes 24-26'!BI247</f>
        <v>50</v>
      </c>
      <c r="S385" s="451" t="str">
        <f>'No Recurrentes 24-26'!BJ247</f>
        <v/>
      </c>
      <c r="T385" s="451" t="str">
        <f>'No Recurrentes 24-26'!BK247</f>
        <v/>
      </c>
      <c r="U385" s="451" t="str">
        <f>'No Recurrentes 24-26'!BL247</f>
        <v/>
      </c>
      <c r="V385" s="1068"/>
      <c r="W385" s="1062">
        <f>'No Recurrentes 24-26'!BM247</f>
        <v>352</v>
      </c>
      <c r="X385" s="1062">
        <f>'No Recurrentes 24-26'!BN247</f>
        <v>50</v>
      </c>
      <c r="Y385" s="1062">
        <f>'No Recurrentes 24-26'!BO247</f>
        <v>30</v>
      </c>
      <c r="Z385" s="1062">
        <f>'No Recurrentes 24-26'!BP247</f>
        <v>138</v>
      </c>
      <c r="AA385" s="1062" t="str">
        <f>'No Recurrentes 24-26'!BQ247</f>
        <v/>
      </c>
      <c r="AB385" s="1062">
        <f>'No Recurrentes 24-26'!BR247</f>
        <v>152</v>
      </c>
      <c r="AC385" s="1062">
        <f>'No Recurrentes 24-26'!BS247</f>
        <v>316</v>
      </c>
      <c r="AD385" s="1062">
        <f>'No Recurrentes 24-26'!BT247</f>
        <v>50</v>
      </c>
      <c r="AE385" s="1062" t="str">
        <f>'No Recurrentes 24-26'!BU247</f>
        <v/>
      </c>
      <c r="AF385" s="1062" t="str">
        <f>'No Recurrentes 24-26'!BV247</f>
        <v/>
      </c>
      <c r="AG385" s="1062" t="str">
        <f>'No Recurrentes 24-26'!BW247</f>
        <v/>
      </c>
      <c r="AH385" s="1068"/>
      <c r="AI385" s="1062">
        <f>'No Recurrentes 24-26'!BX247</f>
        <v>736</v>
      </c>
      <c r="AJ385" s="1062">
        <f>'No Recurrentes 24-26'!BY247</f>
        <v>100</v>
      </c>
      <c r="AK385" s="1062">
        <f>'No Recurrentes 24-26'!BZ247</f>
        <v>45</v>
      </c>
      <c r="AL385" s="1062">
        <f>'No Recurrentes 24-26'!CA247</f>
        <v>45</v>
      </c>
      <c r="AM385" s="1062">
        <f>'No Recurrentes 24-26'!CB247</f>
        <v>0</v>
      </c>
      <c r="AN385" s="1062">
        <f>'No Recurrentes 24-26'!CC247</f>
        <v>0</v>
      </c>
      <c r="AO385" s="1062">
        <f>'No Recurrentes 24-26'!CD247</f>
        <v>0</v>
      </c>
      <c r="AP385" s="1062">
        <f>'No Recurrentes 24-26'!CE247</f>
        <v>0</v>
      </c>
      <c r="AQ385" s="1062">
        <f>'No Recurrentes 24-26'!CF247</f>
        <v>0</v>
      </c>
      <c r="AR385" s="1062">
        <f>'No Recurrentes 24-26'!CG247</f>
        <v>0</v>
      </c>
      <c r="AS385" s="1062">
        <f>'No Recurrentes 24-26'!CH247</f>
        <v>0</v>
      </c>
      <c r="AT385" s="1068"/>
      <c r="AU385" s="1062">
        <f>'No Recurrentes 24-26'!CI247</f>
        <v>190</v>
      </c>
      <c r="AV385" s="1063">
        <f>'No Recurrentes 24-26'!CJ247</f>
        <v>1278</v>
      </c>
      <c r="AW385" s="1068"/>
      <c r="AX385" s="1065">
        <f>'No Recurrentes 24-26'!CK247</f>
        <v>33.73</v>
      </c>
      <c r="AY385" s="1062">
        <f>'No Recurrentes 24-26'!CL247</f>
        <v>234.7608</v>
      </c>
      <c r="AZ385" s="1068"/>
      <c r="BA385" s="1062">
        <f>'No Recurrentes 24-26'!CM247</f>
        <v>11738.04</v>
      </c>
      <c r="BB385" s="1062">
        <f>'No Recurrentes 24-26'!CN247</f>
        <v>14085.648</v>
      </c>
      <c r="BC385" s="1062">
        <f>'No Recurrentes 24-26'!CO247</f>
        <v>45074.0736</v>
      </c>
      <c r="BD385" s="1062">
        <f>'No Recurrentes 24-26'!CP247</f>
        <v>0</v>
      </c>
      <c r="BE385" s="1062">
        <f>'No Recurrentes 24-26'!CQ247</f>
        <v>0</v>
      </c>
      <c r="BF385" s="1062">
        <f>'No Recurrentes 24-26'!CR247</f>
        <v>0</v>
      </c>
      <c r="BG385" s="1062">
        <f>'No Recurrentes 24-26'!CS247</f>
        <v>11738.04</v>
      </c>
      <c r="BH385" s="1062">
        <f>'No Recurrentes 24-26'!CT247</f>
        <v>0</v>
      </c>
      <c r="BI385" s="1062">
        <f>'No Recurrentes 24-26'!CU247</f>
        <v>0</v>
      </c>
      <c r="BJ385" s="1062">
        <f>'No Recurrentes 24-26'!CV247</f>
        <v>0</v>
      </c>
      <c r="BK385" s="1068"/>
      <c r="BL385" s="1062">
        <f>'No Recurrentes 24-26'!CW247</f>
        <v>82635.8016</v>
      </c>
      <c r="BM385" s="1062">
        <f>'No Recurrentes 24-26'!CX247</f>
        <v>11738.04</v>
      </c>
      <c r="BN385" s="1062">
        <f>'No Recurrentes 24-26'!CY247</f>
        <v>7042.824</v>
      </c>
      <c r="BO385" s="1062">
        <f>'No Recurrentes 24-26'!CZ247</f>
        <v>32396.9904</v>
      </c>
      <c r="BP385" s="1062">
        <f>'No Recurrentes 24-26'!DA247</f>
        <v>0</v>
      </c>
      <c r="BQ385" s="1062">
        <f>'No Recurrentes 24-26'!DB247</f>
        <v>35683.6416</v>
      </c>
      <c r="BR385" s="1062">
        <f>'No Recurrentes 24-26'!DC247</f>
        <v>74184.4128</v>
      </c>
      <c r="BS385" s="1062">
        <f>'No Recurrentes 24-26'!DD247</f>
        <v>11738.04</v>
      </c>
      <c r="BT385" s="1062">
        <f>'No Recurrentes 24-26'!DE247</f>
        <v>0</v>
      </c>
      <c r="BU385" s="1062">
        <f>'No Recurrentes 24-26'!DF247</f>
        <v>0</v>
      </c>
      <c r="BV385" s="1062">
        <f>'No Recurrentes 24-26'!DG247</f>
        <v>0</v>
      </c>
      <c r="BW385" s="1068"/>
      <c r="BX385" s="1062">
        <f>'No Recurrentes 24-26'!DH247</f>
        <v>172783.9488</v>
      </c>
      <c r="BY385" s="1062">
        <f>'No Recurrentes 24-26'!DI247</f>
        <v>23476.08</v>
      </c>
      <c r="BZ385" s="1062">
        <f>'No Recurrentes 24-26'!DJ247</f>
        <v>10564.236</v>
      </c>
      <c r="CA385" s="1062">
        <f>'No Recurrentes 24-26'!DK247</f>
        <v>10564.236</v>
      </c>
      <c r="CB385" s="1062">
        <f>'No Recurrentes 24-26'!DL247</f>
        <v>0</v>
      </c>
      <c r="CC385" s="1062">
        <f>'No Recurrentes 24-26'!DM247</f>
        <v>0</v>
      </c>
      <c r="CD385" s="1062">
        <f>'No Recurrentes 24-26'!DN247</f>
        <v>0</v>
      </c>
      <c r="CE385" s="1062">
        <f>'No Recurrentes 24-26'!DO247</f>
        <v>0</v>
      </c>
      <c r="CF385" s="1062">
        <f>'No Recurrentes 24-26'!DP247</f>
        <v>0</v>
      </c>
      <c r="CG385" s="1062">
        <f>'No Recurrentes 24-26'!DQ247</f>
        <v>0</v>
      </c>
      <c r="CH385" s="1062">
        <f>'No Recurrentes 24-26'!DR247</f>
        <v>0</v>
      </c>
      <c r="CI385" s="1068"/>
      <c r="CJ385" s="1062">
        <f>'No Recurrentes 24-26'!DS247</f>
        <v>44604.552</v>
      </c>
      <c r="CK385" s="1062">
        <f>'No Recurrentes 24-26'!DT247</f>
        <v>300024.3024</v>
      </c>
      <c r="CL385" s="1064" t="str">
        <f>'No Recurrentes 24-26'!DU247</f>
        <v/>
      </c>
      <c r="CM385" s="1064" t="str">
        <f>'No Recurrentes 24-26'!DV247</f>
        <v/>
      </c>
      <c r="CN385" s="1065">
        <f>'No Recurrentes 24-26'!EI243</f>
        <v>133.56</v>
      </c>
      <c r="CO385" s="1065">
        <f>'No Recurrentes 24-26'!EJ243</f>
        <v>113.53</v>
      </c>
      <c r="CP385" s="1060" t="str">
        <f>'No Recurrentes 24-26'!EK243</f>
        <v/>
      </c>
    </row>
    <row r="386">
      <c r="A386" s="451" t="str">
        <f>'No Recurrentes 24-26'!A248</f>
        <v>Repuestos Electromecánicos no recurrentes</v>
      </c>
      <c r="B386" s="451">
        <f>'No Recurrentes 24-26'!B248</f>
        <v>2</v>
      </c>
      <c r="C386" s="451" t="str">
        <f>'No Recurrentes 24-26'!C248</f>
        <v>Vehiculo</v>
      </c>
      <c r="D386" s="451" t="str">
        <f>'No Recurrentes 24-26'!D248</f>
        <v>Manto. Pinza</v>
      </c>
      <c r="E386" s="451" t="str">
        <f>'No Recurrentes 24-26'!E248</f>
        <v>Repuesto Mecánico</v>
      </c>
      <c r="F386" s="451" t="str">
        <f>'No Recurrentes 24-26'!F248</f>
        <v>TDB</v>
      </c>
      <c r="G386" s="1025" t="str">
        <f>'No Recurrentes 24-26'!G248</f>
        <v>39800</v>
      </c>
      <c r="H386" s="1061" t="str">
        <f>'No Recurrentes 24-26'!H248</f>
        <v>2-01-00123</v>
      </c>
      <c r="I386" s="1061" t="str">
        <f>'No Recurrentes 24-26'!I248</f>
        <v>11531396</v>
      </c>
      <c r="J386" s="1061" t="str">
        <f>'No Recurrentes 24-26'!J248</f>
        <v>GUÍA RESORTES A108-C L=431</v>
      </c>
      <c r="K386" s="451" t="str">
        <f>'No Recurrentes 24-26'!K248</f>
        <v>Pza</v>
      </c>
      <c r="L386" s="451">
        <f>'No Recurrentes 24-26'!BC248</f>
        <v>20</v>
      </c>
      <c r="M386" s="451">
        <f>'No Recurrentes 24-26'!BD248</f>
        <v>5</v>
      </c>
      <c r="N386" s="451">
        <f>'No Recurrentes 24-26'!BE248</f>
        <v>10</v>
      </c>
      <c r="O386" s="451" t="str">
        <f>'No Recurrentes 24-26'!BF248</f>
        <v/>
      </c>
      <c r="P386" s="451" t="str">
        <f>'No Recurrentes 24-26'!BG248</f>
        <v/>
      </c>
      <c r="Q386" s="451" t="str">
        <f>'No Recurrentes 24-26'!BH248</f>
        <v/>
      </c>
      <c r="R386" s="451" t="str">
        <f>'No Recurrentes 24-26'!BI248</f>
        <v/>
      </c>
      <c r="S386" s="451" t="str">
        <f>'No Recurrentes 24-26'!BJ248</f>
        <v/>
      </c>
      <c r="T386" s="451" t="str">
        <f>'No Recurrentes 24-26'!BK248</f>
        <v/>
      </c>
      <c r="U386" s="451" t="str">
        <f>'No Recurrentes 24-26'!BL248</f>
        <v/>
      </c>
      <c r="V386" s="1068"/>
      <c r="W386" s="1062">
        <f>'No Recurrentes 24-26'!BM248</f>
        <v>35</v>
      </c>
      <c r="X386" s="1062" t="str">
        <f>'No Recurrentes 24-26'!BN248</f>
        <v/>
      </c>
      <c r="Y386" s="1062" t="str">
        <f>'No Recurrentes 24-26'!BO248</f>
        <v/>
      </c>
      <c r="Z386" s="1062" t="str">
        <f>'No Recurrentes 24-26'!BP248</f>
        <v/>
      </c>
      <c r="AA386" s="1062" t="str">
        <f>'No Recurrentes 24-26'!BQ248</f>
        <v/>
      </c>
      <c r="AB386" s="1062" t="str">
        <f>'No Recurrentes 24-26'!BR248</f>
        <v/>
      </c>
      <c r="AC386" s="1062" t="str">
        <f>'No Recurrentes 24-26'!BS248</f>
        <v/>
      </c>
      <c r="AD386" s="1062" t="str">
        <f>'No Recurrentes 24-26'!BT248</f>
        <v/>
      </c>
      <c r="AE386" s="1062" t="str">
        <f>'No Recurrentes 24-26'!BU248</f>
        <v/>
      </c>
      <c r="AF386" s="1062" t="str">
        <f>'No Recurrentes 24-26'!BV248</f>
        <v/>
      </c>
      <c r="AG386" s="1062" t="str">
        <f>'No Recurrentes 24-26'!BW248</f>
        <v/>
      </c>
      <c r="AH386" s="1068"/>
      <c r="AI386" s="1062">
        <f>'No Recurrentes 24-26'!BX248</f>
        <v>0</v>
      </c>
      <c r="AJ386" s="1062">
        <f>'No Recurrentes 24-26'!BY248</f>
        <v>20</v>
      </c>
      <c r="AK386" s="1062">
        <f>'No Recurrentes 24-26'!BZ248</f>
        <v>5</v>
      </c>
      <c r="AL386" s="1062">
        <f>'No Recurrentes 24-26'!CA248</f>
        <v>10</v>
      </c>
      <c r="AM386" s="1062">
        <f>'No Recurrentes 24-26'!CB248</f>
        <v>0</v>
      </c>
      <c r="AN386" s="1062">
        <f>'No Recurrentes 24-26'!CC248</f>
        <v>0</v>
      </c>
      <c r="AO386" s="1062">
        <f>'No Recurrentes 24-26'!CD248</f>
        <v>0</v>
      </c>
      <c r="AP386" s="1062">
        <f>'No Recurrentes 24-26'!CE248</f>
        <v>0</v>
      </c>
      <c r="AQ386" s="1062">
        <f>'No Recurrentes 24-26'!CF248</f>
        <v>0</v>
      </c>
      <c r="AR386" s="1062">
        <f>'No Recurrentes 24-26'!CG248</f>
        <v>0</v>
      </c>
      <c r="AS386" s="1062">
        <f>'No Recurrentes 24-26'!CH248</f>
        <v>0</v>
      </c>
      <c r="AT386" s="1068"/>
      <c r="AU386" s="1062">
        <f>'No Recurrentes 24-26'!CI248</f>
        <v>35</v>
      </c>
      <c r="AV386" s="1063">
        <f>'No Recurrentes 24-26'!CJ248</f>
        <v>70</v>
      </c>
      <c r="AW386" s="1068"/>
      <c r="AX386" s="1065">
        <f>'No Recurrentes 24-26'!CK248</f>
        <v>302.61</v>
      </c>
      <c r="AY386" s="1062">
        <f>'No Recurrentes 24-26'!CL248</f>
        <v>2106.1656</v>
      </c>
      <c r="AZ386" s="1068"/>
      <c r="BA386" s="1062">
        <f>'No Recurrentes 24-26'!CM248</f>
        <v>42123.312</v>
      </c>
      <c r="BB386" s="1062">
        <f>'No Recurrentes 24-26'!CN248</f>
        <v>10530.828</v>
      </c>
      <c r="BC386" s="1062">
        <f>'No Recurrentes 24-26'!CO248</f>
        <v>21061.656</v>
      </c>
      <c r="BD386" s="1062">
        <f>'No Recurrentes 24-26'!CP248</f>
        <v>0</v>
      </c>
      <c r="BE386" s="1062">
        <f>'No Recurrentes 24-26'!CQ248</f>
        <v>0</v>
      </c>
      <c r="BF386" s="1062">
        <f>'No Recurrentes 24-26'!CR248</f>
        <v>0</v>
      </c>
      <c r="BG386" s="1062">
        <f>'No Recurrentes 24-26'!CS248</f>
        <v>0</v>
      </c>
      <c r="BH386" s="1062">
        <f>'No Recurrentes 24-26'!CT248</f>
        <v>0</v>
      </c>
      <c r="BI386" s="1062">
        <f>'No Recurrentes 24-26'!CU248</f>
        <v>0</v>
      </c>
      <c r="BJ386" s="1062">
        <f>'No Recurrentes 24-26'!CV248</f>
        <v>0</v>
      </c>
      <c r="BK386" s="1068"/>
      <c r="BL386" s="1062">
        <f>'No Recurrentes 24-26'!CW248</f>
        <v>73715.796</v>
      </c>
      <c r="BM386" s="1062">
        <f>'No Recurrentes 24-26'!CX248</f>
        <v>0</v>
      </c>
      <c r="BN386" s="1062">
        <f>'No Recurrentes 24-26'!CY248</f>
        <v>0</v>
      </c>
      <c r="BO386" s="1062">
        <f>'No Recurrentes 24-26'!CZ248</f>
        <v>0</v>
      </c>
      <c r="BP386" s="1062">
        <f>'No Recurrentes 24-26'!DA248</f>
        <v>0</v>
      </c>
      <c r="BQ386" s="1062">
        <f>'No Recurrentes 24-26'!DB248</f>
        <v>0</v>
      </c>
      <c r="BR386" s="1062">
        <f>'No Recurrentes 24-26'!DC248</f>
        <v>0</v>
      </c>
      <c r="BS386" s="1062">
        <f>'No Recurrentes 24-26'!DD248</f>
        <v>0</v>
      </c>
      <c r="BT386" s="1062">
        <f>'No Recurrentes 24-26'!DE248</f>
        <v>0</v>
      </c>
      <c r="BU386" s="1062">
        <f>'No Recurrentes 24-26'!DF248</f>
        <v>0</v>
      </c>
      <c r="BV386" s="1062">
        <f>'No Recurrentes 24-26'!DG248</f>
        <v>0</v>
      </c>
      <c r="BW386" s="1068"/>
      <c r="BX386" s="1062">
        <f>'No Recurrentes 24-26'!DH248</f>
        <v>0</v>
      </c>
      <c r="BY386" s="1062">
        <f>'No Recurrentes 24-26'!DI248</f>
        <v>42123.312</v>
      </c>
      <c r="BZ386" s="1062">
        <f>'No Recurrentes 24-26'!DJ248</f>
        <v>10530.828</v>
      </c>
      <c r="CA386" s="1062">
        <f>'No Recurrentes 24-26'!DK248</f>
        <v>21061.656</v>
      </c>
      <c r="CB386" s="1062">
        <f>'No Recurrentes 24-26'!DL248</f>
        <v>0</v>
      </c>
      <c r="CC386" s="1062">
        <f>'No Recurrentes 24-26'!DM248</f>
        <v>0</v>
      </c>
      <c r="CD386" s="1062">
        <f>'No Recurrentes 24-26'!DN248</f>
        <v>0</v>
      </c>
      <c r="CE386" s="1062">
        <f>'No Recurrentes 24-26'!DO248</f>
        <v>0</v>
      </c>
      <c r="CF386" s="1062">
        <f>'No Recurrentes 24-26'!DP248</f>
        <v>0</v>
      </c>
      <c r="CG386" s="1062">
        <f>'No Recurrentes 24-26'!DQ248</f>
        <v>0</v>
      </c>
      <c r="CH386" s="1062">
        <f>'No Recurrentes 24-26'!DR248</f>
        <v>0</v>
      </c>
      <c r="CI386" s="1068"/>
      <c r="CJ386" s="1062">
        <f>'No Recurrentes 24-26'!DS248</f>
        <v>73715.796</v>
      </c>
      <c r="CK386" s="1062">
        <f>'No Recurrentes 24-26'!DT248</f>
        <v>147431.592</v>
      </c>
      <c r="CL386" s="1064" t="str">
        <f>'No Recurrentes 24-26'!DU248</f>
        <v/>
      </c>
      <c r="CM386" s="1064" t="str">
        <f>'No Recurrentes 24-26'!DV248</f>
        <v/>
      </c>
      <c r="CN386" s="1065">
        <f>'No Recurrentes 24-26'!EI244</f>
        <v>93.64</v>
      </c>
      <c r="CO386" s="1065">
        <f>'No Recurrentes 24-26'!EJ244</f>
        <v>79.59</v>
      </c>
      <c r="CP386" s="1060" t="str">
        <f>'No Recurrentes 24-26'!EK244</f>
        <v/>
      </c>
    </row>
    <row r="387">
      <c r="A387" s="451" t="str">
        <f>'No Recurrentes 24-26'!A249</f>
        <v>Repuestos Electromecánicos no recurrentes</v>
      </c>
      <c r="B387" s="451">
        <f>'No Recurrentes 24-26'!B249</f>
        <v>2</v>
      </c>
      <c r="C387" s="451" t="str">
        <f>'No Recurrentes 24-26'!C249</f>
        <v>Vehiculo</v>
      </c>
      <c r="D387" s="451" t="str">
        <f>'No Recurrentes 24-26'!D249</f>
        <v>Manto. Pinza</v>
      </c>
      <c r="E387" s="451" t="str">
        <f>'No Recurrentes 24-26'!E249</f>
        <v>Repuesto Mecánico</v>
      </c>
      <c r="F387" s="451" t="str">
        <f>'No Recurrentes 24-26'!F249</f>
        <v>TDB</v>
      </c>
      <c r="G387" s="1025" t="str">
        <f>'No Recurrentes 24-26'!G249</f>
        <v>39800</v>
      </c>
      <c r="H387" s="1061" t="str">
        <f>'No Recurrentes 24-26'!H249</f>
        <v>2-02-00279</v>
      </c>
      <c r="I387" s="1061" t="str">
        <f>'No Recurrentes 24-26'!I249</f>
        <v>10488425</v>
      </c>
      <c r="J387" s="1061" t="str">
        <f>'No Recurrentes 24-26'!J249</f>
        <v>CABEZAL RESORTE A108-C  50X290 </v>
      </c>
      <c r="K387" s="451" t="str">
        <f>'No Recurrentes 24-26'!K249</f>
        <v>Pza</v>
      </c>
      <c r="L387" s="451" t="str">
        <f>'No Recurrentes 24-26'!BC249</f>
        <v/>
      </c>
      <c r="M387" s="451" t="str">
        <f>'No Recurrentes 24-26'!BD249</f>
        <v/>
      </c>
      <c r="N387" s="451">
        <f>'No Recurrentes 24-26'!BE249</f>
        <v>15</v>
      </c>
      <c r="O387" s="451" t="str">
        <f>'No Recurrentes 24-26'!BF249</f>
        <v/>
      </c>
      <c r="P387" s="451" t="str">
        <f>'No Recurrentes 24-26'!BG249</f>
        <v/>
      </c>
      <c r="Q387" s="451" t="str">
        <f>'No Recurrentes 24-26'!BH249</f>
        <v/>
      </c>
      <c r="R387" s="451">
        <f>'No Recurrentes 24-26'!BI249</f>
        <v>1</v>
      </c>
      <c r="S387" s="451" t="str">
        <f>'No Recurrentes 24-26'!BJ249</f>
        <v/>
      </c>
      <c r="T387" s="451" t="str">
        <f>'No Recurrentes 24-26'!BK249</f>
        <v/>
      </c>
      <c r="U387" s="451" t="str">
        <f>'No Recurrentes 24-26'!BL249</f>
        <v/>
      </c>
      <c r="V387" s="1068"/>
      <c r="W387" s="1062">
        <f>'No Recurrentes 24-26'!BM249</f>
        <v>16</v>
      </c>
      <c r="X387" s="1062">
        <f>'No Recurrentes 24-26'!BN249</f>
        <v>15</v>
      </c>
      <c r="Y387" s="1062">
        <f>'No Recurrentes 24-26'!BO249</f>
        <v>5</v>
      </c>
      <c r="Z387" s="1062" t="str">
        <f>'No Recurrentes 24-26'!BP249</f>
        <v/>
      </c>
      <c r="AA387" s="1062" t="str">
        <f>'No Recurrentes 24-26'!BQ249</f>
        <v/>
      </c>
      <c r="AB387" s="1062" t="str">
        <f>'No Recurrentes 24-26'!BR249</f>
        <v/>
      </c>
      <c r="AC387" s="1062" t="str">
        <f>'No Recurrentes 24-26'!BS249</f>
        <v/>
      </c>
      <c r="AD387" s="1062" t="str">
        <f>'No Recurrentes 24-26'!BT249</f>
        <v/>
      </c>
      <c r="AE387" s="1062" t="str">
        <f>'No Recurrentes 24-26'!BU249</f>
        <v/>
      </c>
      <c r="AF387" s="1062" t="str">
        <f>'No Recurrentes 24-26'!BV249</f>
        <v/>
      </c>
      <c r="AG387" s="1062" t="str">
        <f>'No Recurrentes 24-26'!BW249</f>
        <v/>
      </c>
      <c r="AH387" s="1068"/>
      <c r="AI387" s="1062">
        <f>'No Recurrentes 24-26'!BX249</f>
        <v>20</v>
      </c>
      <c r="AJ387" s="1062">
        <f>'No Recurrentes 24-26'!BY249</f>
        <v>15</v>
      </c>
      <c r="AK387" s="1062">
        <f>'No Recurrentes 24-26'!BZ249</f>
        <v>5</v>
      </c>
      <c r="AL387" s="1062">
        <f>'No Recurrentes 24-26'!CA249</f>
        <v>15</v>
      </c>
      <c r="AM387" s="1062">
        <f>'No Recurrentes 24-26'!CB249</f>
        <v>0</v>
      </c>
      <c r="AN387" s="1062">
        <f>'No Recurrentes 24-26'!CC249</f>
        <v>0</v>
      </c>
      <c r="AO387" s="1062">
        <f>'No Recurrentes 24-26'!CD249</f>
        <v>0</v>
      </c>
      <c r="AP387" s="1062">
        <f>'No Recurrentes 24-26'!CE249</f>
        <v>0</v>
      </c>
      <c r="AQ387" s="1062">
        <f>'No Recurrentes 24-26'!CF249</f>
        <v>0</v>
      </c>
      <c r="AR387" s="1062">
        <f>'No Recurrentes 24-26'!CG249</f>
        <v>0</v>
      </c>
      <c r="AS387" s="1062">
        <f>'No Recurrentes 24-26'!CH249</f>
        <v>0</v>
      </c>
      <c r="AT387" s="1068"/>
      <c r="AU387" s="1062">
        <f>'No Recurrentes 24-26'!CI249</f>
        <v>35</v>
      </c>
      <c r="AV387" s="1063">
        <f>'No Recurrentes 24-26'!CJ249</f>
        <v>71</v>
      </c>
      <c r="AW387" s="1068"/>
      <c r="AX387" s="1065">
        <f>'No Recurrentes 24-26'!CK249</f>
        <v>432.48</v>
      </c>
      <c r="AY387" s="1062">
        <f>'No Recurrentes 24-26'!CL249</f>
        <v>3010.0608</v>
      </c>
      <c r="AZ387" s="1068"/>
      <c r="BA387" s="1062">
        <f>'No Recurrentes 24-26'!CM249</f>
        <v>0</v>
      </c>
      <c r="BB387" s="1062">
        <f>'No Recurrentes 24-26'!CN249</f>
        <v>0</v>
      </c>
      <c r="BC387" s="1062">
        <f>'No Recurrentes 24-26'!CO249</f>
        <v>45150.912</v>
      </c>
      <c r="BD387" s="1062">
        <f>'No Recurrentes 24-26'!CP249</f>
        <v>0</v>
      </c>
      <c r="BE387" s="1062">
        <f>'No Recurrentes 24-26'!CQ249</f>
        <v>0</v>
      </c>
      <c r="BF387" s="1062">
        <f>'No Recurrentes 24-26'!CR249</f>
        <v>0</v>
      </c>
      <c r="BG387" s="1062">
        <f>'No Recurrentes 24-26'!CS249</f>
        <v>3010.0608</v>
      </c>
      <c r="BH387" s="1062">
        <f>'No Recurrentes 24-26'!CT249</f>
        <v>0</v>
      </c>
      <c r="BI387" s="1062">
        <f>'No Recurrentes 24-26'!CU249</f>
        <v>0</v>
      </c>
      <c r="BJ387" s="1062">
        <f>'No Recurrentes 24-26'!CV249</f>
        <v>0</v>
      </c>
      <c r="BK387" s="1068"/>
      <c r="BL387" s="1062">
        <f>'No Recurrentes 24-26'!CW249</f>
        <v>48160.9728</v>
      </c>
      <c r="BM387" s="1062">
        <f>'No Recurrentes 24-26'!CX249</f>
        <v>45150.912</v>
      </c>
      <c r="BN387" s="1062">
        <f>'No Recurrentes 24-26'!CY249</f>
        <v>15050.304</v>
      </c>
      <c r="BO387" s="1062">
        <f>'No Recurrentes 24-26'!CZ249</f>
        <v>0</v>
      </c>
      <c r="BP387" s="1062">
        <f>'No Recurrentes 24-26'!DA249</f>
        <v>0</v>
      </c>
      <c r="BQ387" s="1062">
        <f>'No Recurrentes 24-26'!DB249</f>
        <v>0</v>
      </c>
      <c r="BR387" s="1062">
        <f>'No Recurrentes 24-26'!DC249</f>
        <v>0</v>
      </c>
      <c r="BS387" s="1062">
        <f>'No Recurrentes 24-26'!DD249</f>
        <v>0</v>
      </c>
      <c r="BT387" s="1062">
        <f>'No Recurrentes 24-26'!DE249</f>
        <v>0</v>
      </c>
      <c r="BU387" s="1062">
        <f>'No Recurrentes 24-26'!DF249</f>
        <v>0</v>
      </c>
      <c r="BV387" s="1062">
        <f>'No Recurrentes 24-26'!DG249</f>
        <v>0</v>
      </c>
      <c r="BW387" s="1068"/>
      <c r="BX387" s="1062">
        <f>'No Recurrentes 24-26'!DH249</f>
        <v>60201.216</v>
      </c>
      <c r="BY387" s="1062">
        <f>'No Recurrentes 24-26'!DI249</f>
        <v>45150.912</v>
      </c>
      <c r="BZ387" s="1062">
        <f>'No Recurrentes 24-26'!DJ249</f>
        <v>15050.304</v>
      </c>
      <c r="CA387" s="1062">
        <f>'No Recurrentes 24-26'!DK249</f>
        <v>45150.912</v>
      </c>
      <c r="CB387" s="1062">
        <f>'No Recurrentes 24-26'!DL249</f>
        <v>0</v>
      </c>
      <c r="CC387" s="1062">
        <f>'No Recurrentes 24-26'!DM249</f>
        <v>0</v>
      </c>
      <c r="CD387" s="1062">
        <f>'No Recurrentes 24-26'!DN249</f>
        <v>0</v>
      </c>
      <c r="CE387" s="1062">
        <f>'No Recurrentes 24-26'!DO249</f>
        <v>0</v>
      </c>
      <c r="CF387" s="1062">
        <f>'No Recurrentes 24-26'!DP249</f>
        <v>0</v>
      </c>
      <c r="CG387" s="1062">
        <f>'No Recurrentes 24-26'!DQ249</f>
        <v>0</v>
      </c>
      <c r="CH387" s="1062">
        <f>'No Recurrentes 24-26'!DR249</f>
        <v>0</v>
      </c>
      <c r="CI387" s="1068"/>
      <c r="CJ387" s="1062">
        <f>'No Recurrentes 24-26'!DS249</f>
        <v>105352.128</v>
      </c>
      <c r="CK387" s="1062">
        <f>'No Recurrentes 24-26'!DT249</f>
        <v>213714.3168</v>
      </c>
      <c r="CL387" s="1064" t="str">
        <f>'No Recurrentes 24-26'!DU249</f>
        <v/>
      </c>
      <c r="CM387" s="1064" t="str">
        <f>'No Recurrentes 24-26'!DV249</f>
        <v/>
      </c>
      <c r="CN387" s="1065">
        <f>'No Recurrentes 24-26'!EI245</f>
        <v>22.77</v>
      </c>
      <c r="CO387" s="1065">
        <f>'No Recurrentes 24-26'!EJ245</f>
        <v>19.35</v>
      </c>
      <c r="CP387" s="1060" t="str">
        <f>'No Recurrentes 24-26'!EK245</f>
        <v/>
      </c>
    </row>
    <row r="388">
      <c r="A388" s="451" t="str">
        <f>'No Recurrentes 24-26'!A250</f>
        <v>Repuestos Electromecánicos no recurrentes</v>
      </c>
      <c r="B388" s="451">
        <f>'No Recurrentes 24-26'!B250</f>
        <v>2</v>
      </c>
      <c r="C388" s="451" t="str">
        <f>'No Recurrentes 24-26'!C250</f>
        <v>Vehiculo</v>
      </c>
      <c r="D388" s="451" t="str">
        <f>'No Recurrentes 24-26'!D250</f>
        <v>Manto. Pinza</v>
      </c>
      <c r="E388" s="451" t="str">
        <f>'No Recurrentes 24-26'!E250</f>
        <v>Repuesto Mecánico</v>
      </c>
      <c r="F388" s="451" t="str">
        <f>'No Recurrentes 24-26'!F250</f>
        <v>TDB</v>
      </c>
      <c r="G388" s="1025" t="str">
        <f>'No Recurrentes 24-26'!G250</f>
        <v>39800</v>
      </c>
      <c r="H388" s="1061" t="str">
        <f>'No Recurrentes 24-26'!H250</f>
        <v>2-01-00420</v>
      </c>
      <c r="I388" s="1061" t="str">
        <f>'No Recurrentes 24-26'!I250</f>
        <v>10709660</v>
      </c>
      <c r="J388" s="1061" t="str">
        <f>'No Recurrentes 24-26'!J250</f>
        <v>PERNO DEL EJE P. POLEA  A108-C DIA.35 LN 115,5</v>
      </c>
      <c r="K388" s="451" t="str">
        <f>'No Recurrentes 24-26'!K250</f>
        <v>Pza</v>
      </c>
      <c r="L388" s="451">
        <f>'No Recurrentes 24-26'!BC250</f>
        <v>90</v>
      </c>
      <c r="M388" s="451">
        <f>'No Recurrentes 24-26'!BD250</f>
        <v>6</v>
      </c>
      <c r="N388" s="451">
        <f>'No Recurrentes 24-26'!BE250</f>
        <v>40</v>
      </c>
      <c r="O388" s="451" t="str">
        <f>'No Recurrentes 24-26'!BF250</f>
        <v/>
      </c>
      <c r="P388" s="451" t="str">
        <f>'No Recurrentes 24-26'!BG250</f>
        <v/>
      </c>
      <c r="Q388" s="451" t="str">
        <f>'No Recurrentes 24-26'!BH250</f>
        <v/>
      </c>
      <c r="R388" s="451" t="str">
        <f>'No Recurrentes 24-26'!BI250</f>
        <v/>
      </c>
      <c r="S388" s="451" t="str">
        <f>'No Recurrentes 24-26'!BJ250</f>
        <v/>
      </c>
      <c r="T388" s="451" t="str">
        <f>'No Recurrentes 24-26'!BK250</f>
        <v/>
      </c>
      <c r="U388" s="451" t="str">
        <f>'No Recurrentes 24-26'!BL250</f>
        <v/>
      </c>
      <c r="V388" s="1068"/>
      <c r="W388" s="1062">
        <f>'No Recurrentes 24-26'!BM250</f>
        <v>136</v>
      </c>
      <c r="X388" s="1062" t="str">
        <f>'No Recurrentes 24-26'!BN250</f>
        <v/>
      </c>
      <c r="Y388" s="1062" t="str">
        <f>'No Recurrentes 24-26'!BO250</f>
        <v/>
      </c>
      <c r="Z388" s="1062" t="str">
        <f>'No Recurrentes 24-26'!BP250</f>
        <v/>
      </c>
      <c r="AA388" s="1062" t="str">
        <f>'No Recurrentes 24-26'!BQ250</f>
        <v/>
      </c>
      <c r="AB388" s="1062" t="str">
        <f>'No Recurrentes 24-26'!BR250</f>
        <v/>
      </c>
      <c r="AC388" s="1062" t="str">
        <f>'No Recurrentes 24-26'!BS250</f>
        <v/>
      </c>
      <c r="AD388" s="1062" t="str">
        <f>'No Recurrentes 24-26'!BT250</f>
        <v/>
      </c>
      <c r="AE388" s="1062" t="str">
        <f>'No Recurrentes 24-26'!BU250</f>
        <v/>
      </c>
      <c r="AF388" s="1062" t="str">
        <f>'No Recurrentes 24-26'!BV250</f>
        <v/>
      </c>
      <c r="AG388" s="1062" t="str">
        <f>'No Recurrentes 24-26'!BW250</f>
        <v/>
      </c>
      <c r="AH388" s="1068"/>
      <c r="AI388" s="1062">
        <f>'No Recurrentes 24-26'!BX250</f>
        <v>0</v>
      </c>
      <c r="AJ388" s="1062">
        <f>'No Recurrentes 24-26'!BY250</f>
        <v>90</v>
      </c>
      <c r="AK388" s="1062">
        <f>'No Recurrentes 24-26'!BZ250</f>
        <v>0</v>
      </c>
      <c r="AL388" s="1062">
        <f>'No Recurrentes 24-26'!CA250</f>
        <v>2</v>
      </c>
      <c r="AM388" s="1062">
        <f>'No Recurrentes 24-26'!CB250</f>
        <v>0</v>
      </c>
      <c r="AN388" s="1062">
        <f>'No Recurrentes 24-26'!CC250</f>
        <v>0</v>
      </c>
      <c r="AO388" s="1062">
        <f>'No Recurrentes 24-26'!CD250</f>
        <v>0</v>
      </c>
      <c r="AP388" s="1062">
        <f>'No Recurrentes 24-26'!CE250</f>
        <v>0</v>
      </c>
      <c r="AQ388" s="1062">
        <f>'No Recurrentes 24-26'!CF250</f>
        <v>0</v>
      </c>
      <c r="AR388" s="1062">
        <f>'No Recurrentes 24-26'!CG250</f>
        <v>0</v>
      </c>
      <c r="AS388" s="1062">
        <f>'No Recurrentes 24-26'!CH250</f>
        <v>0</v>
      </c>
      <c r="AT388" s="1068"/>
      <c r="AU388" s="1062">
        <f>'No Recurrentes 24-26'!CI250</f>
        <v>92</v>
      </c>
      <c r="AV388" s="1063">
        <f>'No Recurrentes 24-26'!CJ250</f>
        <v>228</v>
      </c>
      <c r="AW388" s="1068"/>
      <c r="AX388" s="1065">
        <f>'No Recurrentes 24-26'!CK250</f>
        <v>49.22</v>
      </c>
      <c r="AY388" s="1062">
        <f>'No Recurrentes 24-26'!CL250</f>
        <v>342.5712</v>
      </c>
      <c r="AZ388" s="1068"/>
      <c r="BA388" s="1062">
        <f>'No Recurrentes 24-26'!CM250</f>
        <v>30831.408</v>
      </c>
      <c r="BB388" s="1062">
        <f>'No Recurrentes 24-26'!CN250</f>
        <v>2055.4272</v>
      </c>
      <c r="BC388" s="1062">
        <f>'No Recurrentes 24-26'!CO250</f>
        <v>13702.848</v>
      </c>
      <c r="BD388" s="1062">
        <f>'No Recurrentes 24-26'!CP250</f>
        <v>0</v>
      </c>
      <c r="BE388" s="1062">
        <f>'No Recurrentes 24-26'!CQ250</f>
        <v>0</v>
      </c>
      <c r="BF388" s="1062">
        <f>'No Recurrentes 24-26'!CR250</f>
        <v>0</v>
      </c>
      <c r="BG388" s="1062">
        <f>'No Recurrentes 24-26'!CS250</f>
        <v>0</v>
      </c>
      <c r="BH388" s="1062">
        <f>'No Recurrentes 24-26'!CT250</f>
        <v>0</v>
      </c>
      <c r="BI388" s="1062">
        <f>'No Recurrentes 24-26'!CU250</f>
        <v>0</v>
      </c>
      <c r="BJ388" s="1062">
        <f>'No Recurrentes 24-26'!CV250</f>
        <v>0</v>
      </c>
      <c r="BK388" s="1068"/>
      <c r="BL388" s="1062">
        <f>'No Recurrentes 24-26'!CW250</f>
        <v>46589.6832</v>
      </c>
      <c r="BM388" s="1062">
        <f>'No Recurrentes 24-26'!CX250</f>
        <v>0</v>
      </c>
      <c r="BN388" s="1062">
        <f>'No Recurrentes 24-26'!CY250</f>
        <v>0</v>
      </c>
      <c r="BO388" s="1062">
        <f>'No Recurrentes 24-26'!CZ250</f>
        <v>0</v>
      </c>
      <c r="BP388" s="1062">
        <f>'No Recurrentes 24-26'!DA250</f>
        <v>0</v>
      </c>
      <c r="BQ388" s="1062">
        <f>'No Recurrentes 24-26'!DB250</f>
        <v>0</v>
      </c>
      <c r="BR388" s="1062">
        <f>'No Recurrentes 24-26'!DC250</f>
        <v>0</v>
      </c>
      <c r="BS388" s="1062">
        <f>'No Recurrentes 24-26'!DD250</f>
        <v>0</v>
      </c>
      <c r="BT388" s="1062">
        <f>'No Recurrentes 24-26'!DE250</f>
        <v>0</v>
      </c>
      <c r="BU388" s="1062">
        <f>'No Recurrentes 24-26'!DF250</f>
        <v>0</v>
      </c>
      <c r="BV388" s="1062">
        <f>'No Recurrentes 24-26'!DG250</f>
        <v>0</v>
      </c>
      <c r="BW388" s="1068"/>
      <c r="BX388" s="1062">
        <f>'No Recurrentes 24-26'!DH250</f>
        <v>0</v>
      </c>
      <c r="BY388" s="1062">
        <f>'No Recurrentes 24-26'!DI250</f>
        <v>30831.408</v>
      </c>
      <c r="BZ388" s="1062">
        <f>'No Recurrentes 24-26'!DJ250</f>
        <v>0</v>
      </c>
      <c r="CA388" s="1062">
        <f>'No Recurrentes 24-26'!DK250</f>
        <v>685.1424</v>
      </c>
      <c r="CB388" s="1062">
        <f>'No Recurrentes 24-26'!DL250</f>
        <v>0</v>
      </c>
      <c r="CC388" s="1062">
        <f>'No Recurrentes 24-26'!DM250</f>
        <v>0</v>
      </c>
      <c r="CD388" s="1062">
        <f>'No Recurrentes 24-26'!DN250</f>
        <v>0</v>
      </c>
      <c r="CE388" s="1062">
        <f>'No Recurrentes 24-26'!DO250</f>
        <v>0</v>
      </c>
      <c r="CF388" s="1062">
        <f>'No Recurrentes 24-26'!DP250</f>
        <v>0</v>
      </c>
      <c r="CG388" s="1062">
        <f>'No Recurrentes 24-26'!DQ250</f>
        <v>0</v>
      </c>
      <c r="CH388" s="1062">
        <f>'No Recurrentes 24-26'!DR250</f>
        <v>0</v>
      </c>
      <c r="CI388" s="1068"/>
      <c r="CJ388" s="1062">
        <f>'No Recurrentes 24-26'!DS250</f>
        <v>31516.5504</v>
      </c>
      <c r="CK388" s="1062">
        <f>'No Recurrentes 24-26'!DT250</f>
        <v>78106.2336</v>
      </c>
      <c r="CL388" s="1064" t="str">
        <f>'No Recurrentes 24-26'!DU250</f>
        <v/>
      </c>
      <c r="CM388" s="1064" t="str">
        <f>'No Recurrentes 24-26'!DV250</f>
        <v/>
      </c>
      <c r="CN388" s="1065">
        <f>'No Recurrentes 24-26'!EI246</f>
        <v>40.61</v>
      </c>
      <c r="CO388" s="1065">
        <f>'No Recurrentes 24-26'!EJ246</f>
        <v>34.52</v>
      </c>
      <c r="CP388" s="1060" t="str">
        <f>'No Recurrentes 24-26'!EK246</f>
        <v/>
      </c>
    </row>
    <row r="389">
      <c r="A389" s="451" t="str">
        <f>'No Recurrentes 24-26'!A251</f>
        <v>Repuestos Electromecánicos no recurrentes</v>
      </c>
      <c r="B389" s="451">
        <f>'No Recurrentes 24-26'!B251</f>
        <v>2</v>
      </c>
      <c r="C389" s="451" t="str">
        <f>'No Recurrentes 24-26'!C251</f>
        <v>Vehiculo</v>
      </c>
      <c r="D389" s="451" t="str">
        <f>'No Recurrentes 24-26'!D251</f>
        <v>Manto. Pinza</v>
      </c>
      <c r="E389" s="451" t="str">
        <f>'No Recurrentes 24-26'!E251</f>
        <v>Repuesto Mecánico</v>
      </c>
      <c r="F389" s="451" t="str">
        <f>'No Recurrentes 24-26'!F251</f>
        <v>TDB</v>
      </c>
      <c r="G389" s="1025" t="str">
        <f>'No Recurrentes 24-26'!G251</f>
        <v>39800</v>
      </c>
      <c r="H389" s="1061" t="str">
        <f>'No Recurrentes 24-26'!H251</f>
        <v/>
      </c>
      <c r="I389" s="1061" t="str">
        <f>'No Recurrentes 24-26'!I251</f>
        <v>12006672</v>
      </c>
      <c r="J389" s="1061" t="str">
        <f>'No Recurrentes 24-26'!J251</f>
        <v>DF  D=22,00/DM=120,0/LO=389,0 IF= 8,60; DRUCKFEDER DIN 2095</v>
      </c>
      <c r="K389" s="451" t="str">
        <f>'No Recurrentes 24-26'!K251</f>
        <v>Pza</v>
      </c>
      <c r="L389" s="451" t="str">
        <f>'No Recurrentes 24-26'!BC251</f>
        <v/>
      </c>
      <c r="M389" s="451" t="str">
        <f>'No Recurrentes 24-26'!BD251</f>
        <v/>
      </c>
      <c r="N389" s="451">
        <f>'No Recurrentes 24-26'!BE251</f>
        <v>10</v>
      </c>
      <c r="O389" s="451" t="str">
        <f>'No Recurrentes 24-26'!BF251</f>
        <v/>
      </c>
      <c r="P389" s="451" t="str">
        <f>'No Recurrentes 24-26'!BG251</f>
        <v/>
      </c>
      <c r="Q389" s="451" t="str">
        <f>'No Recurrentes 24-26'!BH251</f>
        <v/>
      </c>
      <c r="R389" s="451">
        <f>'No Recurrentes 24-26'!BI251</f>
        <v>4</v>
      </c>
      <c r="S389" s="451">
        <f>'No Recurrentes 24-26'!BJ251</f>
        <v>1</v>
      </c>
      <c r="T389" s="451" t="str">
        <f>'No Recurrentes 24-26'!BK251</f>
        <v/>
      </c>
      <c r="U389" s="451" t="str">
        <f>'No Recurrentes 24-26'!BL251</f>
        <v/>
      </c>
      <c r="V389" s="1068"/>
      <c r="W389" s="1062">
        <f>'No Recurrentes 24-26'!BM251</f>
        <v>15</v>
      </c>
      <c r="X389" s="1062">
        <f>'No Recurrentes 24-26'!BN251</f>
        <v>10</v>
      </c>
      <c r="Y389" s="1062" t="str">
        <f>'No Recurrentes 24-26'!BO251</f>
        <v/>
      </c>
      <c r="Z389" s="1062">
        <f>'No Recurrentes 24-26'!BP251</f>
        <v>6</v>
      </c>
      <c r="AA389" s="1062">
        <f>'No Recurrentes 24-26'!BQ251</f>
        <v>2</v>
      </c>
      <c r="AB389" s="1062">
        <f>'No Recurrentes 24-26'!BR251</f>
        <v>2</v>
      </c>
      <c r="AC389" s="1062">
        <f>'No Recurrentes 24-26'!BS251</f>
        <v>2</v>
      </c>
      <c r="AD389" s="1062">
        <f>'No Recurrentes 24-26'!BT251</f>
        <v>1</v>
      </c>
      <c r="AE389" s="1062" t="str">
        <f>'No Recurrentes 24-26'!BU251</f>
        <v/>
      </c>
      <c r="AF389" s="1062">
        <f>'No Recurrentes 24-26'!BV251</f>
        <v>1</v>
      </c>
      <c r="AG389" s="1062" t="str">
        <f>'No Recurrentes 24-26'!BW251</f>
        <v/>
      </c>
      <c r="AH389" s="1068"/>
      <c r="AI389" s="1062">
        <f>'No Recurrentes 24-26'!BX251</f>
        <v>24</v>
      </c>
      <c r="AJ389" s="1062">
        <f>'No Recurrentes 24-26'!BY251</f>
        <v>15</v>
      </c>
      <c r="AK389" s="1062">
        <f>'No Recurrentes 24-26'!BZ251</f>
        <v>6</v>
      </c>
      <c r="AL389" s="1062">
        <f>'No Recurrentes 24-26'!CA251</f>
        <v>2</v>
      </c>
      <c r="AM389" s="1062">
        <f>'No Recurrentes 24-26'!CB251</f>
        <v>0</v>
      </c>
      <c r="AN389" s="1062">
        <f>'No Recurrentes 24-26'!CC251</f>
        <v>0</v>
      </c>
      <c r="AO389" s="1062">
        <f>'No Recurrentes 24-26'!CD251</f>
        <v>0</v>
      </c>
      <c r="AP389" s="1062">
        <f>'No Recurrentes 24-26'!CE251</f>
        <v>0</v>
      </c>
      <c r="AQ389" s="1062">
        <f>'No Recurrentes 24-26'!CF251</f>
        <v>0</v>
      </c>
      <c r="AR389" s="1062">
        <f>'No Recurrentes 24-26'!CG251</f>
        <v>0</v>
      </c>
      <c r="AS389" s="1062">
        <f>'No Recurrentes 24-26'!CH251</f>
        <v>0</v>
      </c>
      <c r="AT389" s="1068"/>
      <c r="AU389" s="1062">
        <f>'No Recurrentes 24-26'!CI251</f>
        <v>23</v>
      </c>
      <c r="AV389" s="1063">
        <f>'No Recurrentes 24-26'!CJ251</f>
        <v>62</v>
      </c>
      <c r="AW389" s="1068"/>
      <c r="AX389" s="1065">
        <f>'No Recurrentes 24-26'!CK251</f>
        <v>357.72</v>
      </c>
      <c r="AY389" s="1062">
        <f>'No Recurrentes 24-26'!CL251</f>
        <v>2489.7312</v>
      </c>
      <c r="AZ389" s="1068"/>
      <c r="BA389" s="1062">
        <f>'No Recurrentes 24-26'!CM251</f>
        <v>0</v>
      </c>
      <c r="BB389" s="1062">
        <f>'No Recurrentes 24-26'!CN251</f>
        <v>0</v>
      </c>
      <c r="BC389" s="1062">
        <f>'No Recurrentes 24-26'!CO251</f>
        <v>24897.312</v>
      </c>
      <c r="BD389" s="1062">
        <f>'No Recurrentes 24-26'!CP251</f>
        <v>0</v>
      </c>
      <c r="BE389" s="1062">
        <f>'No Recurrentes 24-26'!CQ251</f>
        <v>0</v>
      </c>
      <c r="BF389" s="1062">
        <f>'No Recurrentes 24-26'!CR251</f>
        <v>0</v>
      </c>
      <c r="BG389" s="1062">
        <f>'No Recurrentes 24-26'!CS251</f>
        <v>9958.9248</v>
      </c>
      <c r="BH389" s="1062">
        <f>'No Recurrentes 24-26'!CT251</f>
        <v>2489.7312</v>
      </c>
      <c r="BI389" s="1062">
        <f>'No Recurrentes 24-26'!CU251</f>
        <v>0</v>
      </c>
      <c r="BJ389" s="1062">
        <f>'No Recurrentes 24-26'!CV251</f>
        <v>0</v>
      </c>
      <c r="BK389" s="1068"/>
      <c r="BL389" s="1062">
        <f>'No Recurrentes 24-26'!CW251</f>
        <v>37345.968</v>
      </c>
      <c r="BM389" s="1062">
        <f>'No Recurrentes 24-26'!CX251</f>
        <v>24897.312</v>
      </c>
      <c r="BN389" s="1062">
        <f>'No Recurrentes 24-26'!CY251</f>
        <v>0</v>
      </c>
      <c r="BO389" s="1062">
        <f>'No Recurrentes 24-26'!CZ251</f>
        <v>14938.3872</v>
      </c>
      <c r="BP389" s="1062">
        <f>'No Recurrentes 24-26'!DA251</f>
        <v>4979.4624</v>
      </c>
      <c r="BQ389" s="1062">
        <f>'No Recurrentes 24-26'!DB251</f>
        <v>4979.4624</v>
      </c>
      <c r="BR389" s="1062">
        <f>'No Recurrentes 24-26'!DC251</f>
        <v>4979.4624</v>
      </c>
      <c r="BS389" s="1062">
        <f>'No Recurrentes 24-26'!DD251</f>
        <v>2489.7312</v>
      </c>
      <c r="BT389" s="1062">
        <f>'No Recurrentes 24-26'!DE251</f>
        <v>0</v>
      </c>
      <c r="BU389" s="1062">
        <f>'No Recurrentes 24-26'!DF251</f>
        <v>2489.7312</v>
      </c>
      <c r="BV389" s="1062">
        <f>'No Recurrentes 24-26'!DG251</f>
        <v>0</v>
      </c>
      <c r="BW389" s="1068"/>
      <c r="BX389" s="1062">
        <f>'No Recurrentes 24-26'!DH251</f>
        <v>59753.5488</v>
      </c>
      <c r="BY389" s="1062">
        <f>'No Recurrentes 24-26'!DI251</f>
        <v>37345.968</v>
      </c>
      <c r="BZ389" s="1062">
        <f>'No Recurrentes 24-26'!DJ251</f>
        <v>14938.3872</v>
      </c>
      <c r="CA389" s="1062">
        <f>'No Recurrentes 24-26'!DK251</f>
        <v>4979.4624</v>
      </c>
      <c r="CB389" s="1062">
        <f>'No Recurrentes 24-26'!DL251</f>
        <v>0</v>
      </c>
      <c r="CC389" s="1062">
        <f>'No Recurrentes 24-26'!DM251</f>
        <v>0</v>
      </c>
      <c r="CD389" s="1062">
        <f>'No Recurrentes 24-26'!DN251</f>
        <v>0</v>
      </c>
      <c r="CE389" s="1062">
        <f>'No Recurrentes 24-26'!DO251</f>
        <v>0</v>
      </c>
      <c r="CF389" s="1062">
        <f>'No Recurrentes 24-26'!DP251</f>
        <v>0</v>
      </c>
      <c r="CG389" s="1062">
        <f>'No Recurrentes 24-26'!DQ251</f>
        <v>0</v>
      </c>
      <c r="CH389" s="1062">
        <f>'No Recurrentes 24-26'!DR251</f>
        <v>0</v>
      </c>
      <c r="CI389" s="1068"/>
      <c r="CJ389" s="1062">
        <f>'No Recurrentes 24-26'!DS251</f>
        <v>57263.8176</v>
      </c>
      <c r="CK389" s="1062">
        <f>'No Recurrentes 24-26'!DT251</f>
        <v>154363.3344</v>
      </c>
      <c r="CL389" s="1064" t="str">
        <f>'No Recurrentes 24-26'!DU251</f>
        <v/>
      </c>
      <c r="CM389" s="1064" t="str">
        <f>'No Recurrentes 24-26'!DV251</f>
        <v/>
      </c>
      <c r="CN389" s="1065">
        <f>'No Recurrentes 24-26'!EI247</f>
        <v>33.73</v>
      </c>
      <c r="CO389" s="1065">
        <f>'No Recurrentes 24-26'!EJ247</f>
        <v>28.67</v>
      </c>
      <c r="CP389" s="1060" t="str">
        <f>'No Recurrentes 24-26'!EK247</f>
        <v/>
      </c>
    </row>
    <row r="390">
      <c r="A390" s="451" t="str">
        <f>'No Recurrentes 24-26'!A252</f>
        <v>Repuestos Electromecánicos no recurrentes</v>
      </c>
      <c r="B390" s="451">
        <f>'No Recurrentes 24-26'!B252</f>
        <v>2</v>
      </c>
      <c r="C390" s="451" t="str">
        <f>'No Recurrentes 24-26'!C252</f>
        <v>Vehiculo</v>
      </c>
      <c r="D390" s="451" t="str">
        <f>'No Recurrentes 24-26'!D252</f>
        <v>Manto. Pinza</v>
      </c>
      <c r="E390" s="451" t="str">
        <f>'No Recurrentes 24-26'!E252</f>
        <v>Repuesto Mecánico</v>
      </c>
      <c r="F390" s="451" t="str">
        <f>'No Recurrentes 24-26'!F252</f>
        <v>TDB</v>
      </c>
      <c r="G390" s="1025" t="str">
        <f>'No Recurrentes 24-26'!G252</f>
        <v>39800</v>
      </c>
      <c r="H390" s="1061" t="str">
        <f>'No Recurrentes 24-26'!H252</f>
        <v>2-01-00018</v>
      </c>
      <c r="I390" s="1061" t="str">
        <f>'No Recurrentes 24-26'!I252</f>
        <v>10274054</v>
      </c>
      <c r="J390" s="1061" t="str">
        <f>'No Recurrentes 24-26'!J252</f>
        <v>CASQUILLO PM 3240 DS  TIPO: KW AGA, SIN AGUJ.DE ENGR. GLACIER</v>
      </c>
      <c r="K390" s="451" t="str">
        <f>'No Recurrentes 24-26'!K252</f>
        <v>Pza</v>
      </c>
      <c r="L390" s="451" t="str">
        <f>'No Recurrentes 24-26'!BC252</f>
        <v/>
      </c>
      <c r="M390" s="451" t="str">
        <f>'No Recurrentes 24-26'!BD252</f>
        <v/>
      </c>
      <c r="N390" s="451">
        <f>'No Recurrentes 24-26'!BE252</f>
        <v>50</v>
      </c>
      <c r="O390" s="451" t="str">
        <f>'No Recurrentes 24-26'!BF252</f>
        <v/>
      </c>
      <c r="P390" s="451">
        <f>'No Recurrentes 24-26'!BG252</f>
        <v>252</v>
      </c>
      <c r="Q390" s="451">
        <f>'No Recurrentes 24-26'!BH252</f>
        <v>416</v>
      </c>
      <c r="R390" s="451" t="str">
        <f>'No Recurrentes 24-26'!BI252</f>
        <v/>
      </c>
      <c r="S390" s="451" t="str">
        <f>'No Recurrentes 24-26'!BJ252</f>
        <v/>
      </c>
      <c r="T390" s="451" t="str">
        <f>'No Recurrentes 24-26'!BK252</f>
        <v/>
      </c>
      <c r="U390" s="451" t="str">
        <f>'No Recurrentes 24-26'!BL252</f>
        <v/>
      </c>
      <c r="V390" s="1068"/>
      <c r="W390" s="1062">
        <f>'No Recurrentes 24-26'!BM252</f>
        <v>718</v>
      </c>
      <c r="X390" s="1062" t="str">
        <f>'No Recurrentes 24-26'!BN252</f>
        <v/>
      </c>
      <c r="Y390" s="1062">
        <f>'No Recurrentes 24-26'!BO252</f>
        <v>30</v>
      </c>
      <c r="Z390" s="1062">
        <f>'No Recurrentes 24-26'!BP252</f>
        <v>50</v>
      </c>
      <c r="AA390" s="1062" t="str">
        <f>'No Recurrentes 24-26'!BQ252</f>
        <v/>
      </c>
      <c r="AB390" s="1062" t="str">
        <f>'No Recurrentes 24-26'!BR252</f>
        <v/>
      </c>
      <c r="AC390" s="1062" t="str">
        <f>'No Recurrentes 24-26'!BS252</f>
        <v/>
      </c>
      <c r="AD390" s="1062">
        <f>'No Recurrentes 24-26'!BT252</f>
        <v>262</v>
      </c>
      <c r="AE390" s="1062">
        <f>'No Recurrentes 24-26'!BU252</f>
        <v>310</v>
      </c>
      <c r="AF390" s="1062">
        <f>'No Recurrentes 24-26'!BV252</f>
        <v>52</v>
      </c>
      <c r="AG390" s="1062" t="str">
        <f>'No Recurrentes 24-26'!BW252</f>
        <v/>
      </c>
      <c r="AH390" s="1068"/>
      <c r="AI390" s="1062">
        <f>'No Recurrentes 24-26'!BX252</f>
        <v>704</v>
      </c>
      <c r="AJ390" s="1062">
        <f>'No Recurrentes 24-26'!BY252</f>
        <v>234</v>
      </c>
      <c r="AK390" s="1062">
        <f>'No Recurrentes 24-26'!BZ252</f>
        <v>0</v>
      </c>
      <c r="AL390" s="1062">
        <f>'No Recurrentes 24-26'!CA252</f>
        <v>0</v>
      </c>
      <c r="AM390" s="1062">
        <f>'No Recurrentes 24-26'!CB252</f>
        <v>0</v>
      </c>
      <c r="AN390" s="1062">
        <f>'No Recurrentes 24-26'!CC252</f>
        <v>0</v>
      </c>
      <c r="AO390" s="1062">
        <f>'No Recurrentes 24-26'!CD252</f>
        <v>0</v>
      </c>
      <c r="AP390" s="1062">
        <f>'No Recurrentes 24-26'!CE252</f>
        <v>0</v>
      </c>
      <c r="AQ390" s="1062">
        <f>'No Recurrentes 24-26'!CF252</f>
        <v>0</v>
      </c>
      <c r="AR390" s="1062">
        <f>'No Recurrentes 24-26'!CG252</f>
        <v>0</v>
      </c>
      <c r="AS390" s="1062">
        <f>'No Recurrentes 24-26'!CH252</f>
        <v>0</v>
      </c>
      <c r="AT390" s="1068"/>
      <c r="AU390" s="1062">
        <f>'No Recurrentes 24-26'!CI252</f>
        <v>234</v>
      </c>
      <c r="AV390" s="1063">
        <f>'No Recurrentes 24-26'!CJ252</f>
        <v>1656</v>
      </c>
      <c r="AW390" s="1068"/>
      <c r="AX390" s="1065">
        <f>'No Recurrentes 24-26'!CK252</f>
        <v>10.04</v>
      </c>
      <c r="AY390" s="1062">
        <f>'No Recurrentes 24-26'!CL252</f>
        <v>69.8784</v>
      </c>
      <c r="AZ390" s="1068"/>
      <c r="BA390" s="1062">
        <f>'No Recurrentes 24-26'!CM252</f>
        <v>0</v>
      </c>
      <c r="BB390" s="1062">
        <f>'No Recurrentes 24-26'!CN252</f>
        <v>0</v>
      </c>
      <c r="BC390" s="1062">
        <f>'No Recurrentes 24-26'!CO252</f>
        <v>3493.92</v>
      </c>
      <c r="BD390" s="1062">
        <f>'No Recurrentes 24-26'!CP252</f>
        <v>0</v>
      </c>
      <c r="BE390" s="1062">
        <f>'No Recurrentes 24-26'!CQ252</f>
        <v>17609.3568</v>
      </c>
      <c r="BF390" s="1062">
        <f>'No Recurrentes 24-26'!CR252</f>
        <v>29069.4144</v>
      </c>
      <c r="BG390" s="1062">
        <f>'No Recurrentes 24-26'!CS252</f>
        <v>0</v>
      </c>
      <c r="BH390" s="1062">
        <f>'No Recurrentes 24-26'!CT252</f>
        <v>0</v>
      </c>
      <c r="BI390" s="1062">
        <f>'No Recurrentes 24-26'!CU252</f>
        <v>0</v>
      </c>
      <c r="BJ390" s="1062">
        <f>'No Recurrentes 24-26'!CV252</f>
        <v>0</v>
      </c>
      <c r="BK390" s="1068"/>
      <c r="BL390" s="1062">
        <f>'No Recurrentes 24-26'!CW252</f>
        <v>50172.6912</v>
      </c>
      <c r="BM390" s="1062">
        <f>'No Recurrentes 24-26'!CX252</f>
        <v>0</v>
      </c>
      <c r="BN390" s="1062">
        <f>'No Recurrentes 24-26'!CY252</f>
        <v>2096.352</v>
      </c>
      <c r="BO390" s="1062">
        <f>'No Recurrentes 24-26'!CZ252</f>
        <v>3493.92</v>
      </c>
      <c r="BP390" s="1062">
        <f>'No Recurrentes 24-26'!DA252</f>
        <v>0</v>
      </c>
      <c r="BQ390" s="1062">
        <f>'No Recurrentes 24-26'!DB252</f>
        <v>0</v>
      </c>
      <c r="BR390" s="1062">
        <f>'No Recurrentes 24-26'!DC252</f>
        <v>0</v>
      </c>
      <c r="BS390" s="1062">
        <f>'No Recurrentes 24-26'!DD252</f>
        <v>18308.1408</v>
      </c>
      <c r="BT390" s="1062">
        <f>'No Recurrentes 24-26'!DE252</f>
        <v>21662.304</v>
      </c>
      <c r="BU390" s="1062">
        <f>'No Recurrentes 24-26'!DF252</f>
        <v>3633.6768</v>
      </c>
      <c r="BV390" s="1062">
        <f>'No Recurrentes 24-26'!DG252</f>
        <v>0</v>
      </c>
      <c r="BW390" s="1068"/>
      <c r="BX390" s="1062">
        <f>'No Recurrentes 24-26'!DH252</f>
        <v>49194.3936</v>
      </c>
      <c r="BY390" s="1062">
        <f>'No Recurrentes 24-26'!DI252</f>
        <v>16351.5456</v>
      </c>
      <c r="BZ390" s="1062">
        <f>'No Recurrentes 24-26'!DJ252</f>
        <v>0</v>
      </c>
      <c r="CA390" s="1062">
        <f>'No Recurrentes 24-26'!DK252</f>
        <v>0</v>
      </c>
      <c r="CB390" s="1062">
        <f>'No Recurrentes 24-26'!DL252</f>
        <v>0</v>
      </c>
      <c r="CC390" s="1062">
        <f>'No Recurrentes 24-26'!DM252</f>
        <v>0</v>
      </c>
      <c r="CD390" s="1062">
        <f>'No Recurrentes 24-26'!DN252</f>
        <v>0</v>
      </c>
      <c r="CE390" s="1062">
        <f>'No Recurrentes 24-26'!DO252</f>
        <v>0</v>
      </c>
      <c r="CF390" s="1062">
        <f>'No Recurrentes 24-26'!DP252</f>
        <v>0</v>
      </c>
      <c r="CG390" s="1062">
        <f>'No Recurrentes 24-26'!DQ252</f>
        <v>0</v>
      </c>
      <c r="CH390" s="1062">
        <f>'No Recurrentes 24-26'!DR252</f>
        <v>0</v>
      </c>
      <c r="CI390" s="1068"/>
      <c r="CJ390" s="1062">
        <f>'No Recurrentes 24-26'!DS252</f>
        <v>16351.5456</v>
      </c>
      <c r="CK390" s="1062">
        <f>'No Recurrentes 24-26'!DT252</f>
        <v>115718.6304</v>
      </c>
      <c r="CL390" s="1064" t="str">
        <f>'No Recurrentes 24-26'!DU252</f>
        <v/>
      </c>
      <c r="CM390" s="1064" t="str">
        <f>'No Recurrentes 24-26'!DV252</f>
        <v/>
      </c>
      <c r="CN390" s="1065">
        <f>'No Recurrentes 24-26'!EI248</f>
        <v>302.61</v>
      </c>
      <c r="CO390" s="1065">
        <f>'No Recurrentes 24-26'!EJ248</f>
        <v>257.22</v>
      </c>
      <c r="CP390" s="1060" t="str">
        <f>'No Recurrentes 24-26'!EK248</f>
        <v/>
      </c>
    </row>
    <row r="391">
      <c r="A391" s="451" t="str">
        <f>'No Recurrentes 24-26'!A253</f>
        <v>Repuestos Electromecánicos no recurrentes</v>
      </c>
      <c r="B391" s="451">
        <f>'No Recurrentes 24-26'!B253</f>
        <v>2</v>
      </c>
      <c r="C391" s="451" t="str">
        <f>'No Recurrentes 24-26'!C253</f>
        <v>Vehiculo</v>
      </c>
      <c r="D391" s="451" t="str">
        <f>'No Recurrentes 24-26'!D253</f>
        <v>Manto. Pinza</v>
      </c>
      <c r="E391" s="451" t="str">
        <f>'No Recurrentes 24-26'!E253</f>
        <v>Repuesto Mecánico</v>
      </c>
      <c r="F391" s="451" t="str">
        <f>'No Recurrentes 24-26'!F253</f>
        <v>TDB</v>
      </c>
      <c r="G391" s="1025" t="str">
        <f>'No Recurrentes 24-26'!G253</f>
        <v>39800</v>
      </c>
      <c r="H391" s="1061" t="str">
        <f>'No Recurrentes 24-26'!H253</f>
        <v>2-01-00118</v>
      </c>
      <c r="I391" s="1061" t="str">
        <f>'No Recurrentes 24-26'!I253</f>
        <v>10628260</v>
      </c>
      <c r="J391" s="1061" t="str">
        <f>'No Recurrentes 24-26'!J253</f>
        <v>PLATILLO DE RESORTE SUP., A108-C, RECUB.DE LAMINILLAS DE CINC</v>
      </c>
      <c r="K391" s="451" t="str">
        <f>'No Recurrentes 24-26'!K253</f>
        <v>Pza</v>
      </c>
      <c r="L391" s="451" t="str">
        <f>'No Recurrentes 24-26'!BC253</f>
        <v/>
      </c>
      <c r="M391" s="451">
        <f>'No Recurrentes 24-26'!BD253</f>
        <v>5</v>
      </c>
      <c r="N391" s="451">
        <f>'No Recurrentes 24-26'!BE253</f>
        <v>15</v>
      </c>
      <c r="O391" s="451" t="str">
        <f>'No Recurrentes 24-26'!BF253</f>
        <v/>
      </c>
      <c r="P391" s="451" t="str">
        <f>'No Recurrentes 24-26'!BG253</f>
        <v/>
      </c>
      <c r="Q391" s="451" t="str">
        <f>'No Recurrentes 24-26'!BH253</f>
        <v/>
      </c>
      <c r="R391" s="451" t="str">
        <f>'No Recurrentes 24-26'!BI253</f>
        <v/>
      </c>
      <c r="S391" s="451" t="str">
        <f>'No Recurrentes 24-26'!BJ253</f>
        <v/>
      </c>
      <c r="T391" s="451" t="str">
        <f>'No Recurrentes 24-26'!BK253</f>
        <v/>
      </c>
      <c r="U391" s="451" t="str">
        <f>'No Recurrentes 24-26'!BL253</f>
        <v/>
      </c>
      <c r="V391" s="1068"/>
      <c r="W391" s="1062">
        <f>'No Recurrentes 24-26'!BM253</f>
        <v>20</v>
      </c>
      <c r="X391" s="1062">
        <f>'No Recurrentes 24-26'!BN253</f>
        <v>5</v>
      </c>
      <c r="Y391" s="1062" t="str">
        <f>'No Recurrentes 24-26'!BO253</f>
        <v/>
      </c>
      <c r="Z391" s="1062" t="str">
        <f>'No Recurrentes 24-26'!BP253</f>
        <v/>
      </c>
      <c r="AA391" s="1062" t="str">
        <f>'No Recurrentes 24-26'!BQ253</f>
        <v/>
      </c>
      <c r="AB391" s="1062" t="str">
        <f>'No Recurrentes 24-26'!BR253</f>
        <v/>
      </c>
      <c r="AC391" s="1062" t="str">
        <f>'No Recurrentes 24-26'!BS253</f>
        <v/>
      </c>
      <c r="AD391" s="1062" t="str">
        <f>'No Recurrentes 24-26'!BT253</f>
        <v/>
      </c>
      <c r="AE391" s="1062" t="str">
        <f>'No Recurrentes 24-26'!BU253</f>
        <v/>
      </c>
      <c r="AF391" s="1062" t="str">
        <f>'No Recurrentes 24-26'!BV253</f>
        <v/>
      </c>
      <c r="AG391" s="1062" t="str">
        <f>'No Recurrentes 24-26'!BW253</f>
        <v/>
      </c>
      <c r="AH391" s="1068"/>
      <c r="AI391" s="1062">
        <f>'No Recurrentes 24-26'!BX253</f>
        <v>5</v>
      </c>
      <c r="AJ391" s="1062">
        <f>'No Recurrentes 24-26'!BY253</f>
        <v>0</v>
      </c>
      <c r="AK391" s="1062">
        <f>'No Recurrentes 24-26'!BZ253</f>
        <v>0</v>
      </c>
      <c r="AL391" s="1062">
        <f>'No Recurrentes 24-26'!CA253</f>
        <v>0</v>
      </c>
      <c r="AM391" s="1062">
        <f>'No Recurrentes 24-26'!CB253</f>
        <v>0</v>
      </c>
      <c r="AN391" s="1062">
        <f>'No Recurrentes 24-26'!CC253</f>
        <v>0</v>
      </c>
      <c r="AO391" s="1062">
        <f>'No Recurrentes 24-26'!CD253</f>
        <v>0</v>
      </c>
      <c r="AP391" s="1062">
        <f>'No Recurrentes 24-26'!CE253</f>
        <v>0</v>
      </c>
      <c r="AQ391" s="1062">
        <f>'No Recurrentes 24-26'!CF253</f>
        <v>0</v>
      </c>
      <c r="AR391" s="1062">
        <f>'No Recurrentes 24-26'!CG253</f>
        <v>0</v>
      </c>
      <c r="AS391" s="1062">
        <f>'No Recurrentes 24-26'!CH253</f>
        <v>0</v>
      </c>
      <c r="AT391" s="1068"/>
      <c r="AU391" s="1062">
        <f>'No Recurrentes 24-26'!CI253</f>
        <v>0</v>
      </c>
      <c r="AV391" s="1063">
        <f>'No Recurrentes 24-26'!CJ253</f>
        <v>25</v>
      </c>
      <c r="AW391" s="1068"/>
      <c r="AX391" s="1065">
        <f>'No Recurrentes 24-26'!CK253</f>
        <v>194.51</v>
      </c>
      <c r="AY391" s="1062">
        <f>'No Recurrentes 24-26'!CL253</f>
        <v>1353.7896</v>
      </c>
      <c r="AZ391" s="1068"/>
      <c r="BA391" s="1062">
        <f>'No Recurrentes 24-26'!CM253</f>
        <v>0</v>
      </c>
      <c r="BB391" s="1062">
        <f>'No Recurrentes 24-26'!CN253</f>
        <v>6768.948</v>
      </c>
      <c r="BC391" s="1062">
        <f>'No Recurrentes 24-26'!CO253</f>
        <v>20306.844</v>
      </c>
      <c r="BD391" s="1062">
        <f>'No Recurrentes 24-26'!CP253</f>
        <v>0</v>
      </c>
      <c r="BE391" s="1062">
        <f>'No Recurrentes 24-26'!CQ253</f>
        <v>0</v>
      </c>
      <c r="BF391" s="1062">
        <f>'No Recurrentes 24-26'!CR253</f>
        <v>0</v>
      </c>
      <c r="BG391" s="1062">
        <f>'No Recurrentes 24-26'!CS253</f>
        <v>0</v>
      </c>
      <c r="BH391" s="1062">
        <f>'No Recurrentes 24-26'!CT253</f>
        <v>0</v>
      </c>
      <c r="BI391" s="1062">
        <f>'No Recurrentes 24-26'!CU253</f>
        <v>0</v>
      </c>
      <c r="BJ391" s="1062">
        <f>'No Recurrentes 24-26'!CV253</f>
        <v>0</v>
      </c>
      <c r="BK391" s="1068"/>
      <c r="BL391" s="1062">
        <f>'No Recurrentes 24-26'!CW253</f>
        <v>27075.792</v>
      </c>
      <c r="BM391" s="1062">
        <f>'No Recurrentes 24-26'!CX253</f>
        <v>6768.948</v>
      </c>
      <c r="BN391" s="1062">
        <f>'No Recurrentes 24-26'!CY253</f>
        <v>0</v>
      </c>
      <c r="BO391" s="1062">
        <f>'No Recurrentes 24-26'!CZ253</f>
        <v>0</v>
      </c>
      <c r="BP391" s="1062">
        <f>'No Recurrentes 24-26'!DA253</f>
        <v>0</v>
      </c>
      <c r="BQ391" s="1062">
        <f>'No Recurrentes 24-26'!DB253</f>
        <v>0</v>
      </c>
      <c r="BR391" s="1062">
        <f>'No Recurrentes 24-26'!DC253</f>
        <v>0</v>
      </c>
      <c r="BS391" s="1062">
        <f>'No Recurrentes 24-26'!DD253</f>
        <v>0</v>
      </c>
      <c r="BT391" s="1062">
        <f>'No Recurrentes 24-26'!DE253</f>
        <v>0</v>
      </c>
      <c r="BU391" s="1062">
        <f>'No Recurrentes 24-26'!DF253</f>
        <v>0</v>
      </c>
      <c r="BV391" s="1062">
        <f>'No Recurrentes 24-26'!DG253</f>
        <v>0</v>
      </c>
      <c r="BW391" s="1068"/>
      <c r="BX391" s="1062">
        <f>'No Recurrentes 24-26'!DH253</f>
        <v>6768.948</v>
      </c>
      <c r="BY391" s="1062">
        <f>'No Recurrentes 24-26'!DI253</f>
        <v>0</v>
      </c>
      <c r="BZ391" s="1062">
        <f>'No Recurrentes 24-26'!DJ253</f>
        <v>0</v>
      </c>
      <c r="CA391" s="1062">
        <f>'No Recurrentes 24-26'!DK253</f>
        <v>0</v>
      </c>
      <c r="CB391" s="1062">
        <f>'No Recurrentes 24-26'!DL253</f>
        <v>0</v>
      </c>
      <c r="CC391" s="1062">
        <f>'No Recurrentes 24-26'!DM253</f>
        <v>0</v>
      </c>
      <c r="CD391" s="1062">
        <f>'No Recurrentes 24-26'!DN253</f>
        <v>0</v>
      </c>
      <c r="CE391" s="1062">
        <f>'No Recurrentes 24-26'!DO253</f>
        <v>0</v>
      </c>
      <c r="CF391" s="1062">
        <f>'No Recurrentes 24-26'!DP253</f>
        <v>0</v>
      </c>
      <c r="CG391" s="1062">
        <f>'No Recurrentes 24-26'!DQ253</f>
        <v>0</v>
      </c>
      <c r="CH391" s="1062">
        <f>'No Recurrentes 24-26'!DR253</f>
        <v>0</v>
      </c>
      <c r="CI391" s="1068"/>
      <c r="CJ391" s="1062">
        <f>'No Recurrentes 24-26'!DS253</f>
        <v>0</v>
      </c>
      <c r="CK391" s="1062">
        <f>'No Recurrentes 24-26'!DT253</f>
        <v>33844.74</v>
      </c>
      <c r="CL391" s="1064" t="str">
        <f>'No Recurrentes 24-26'!DU253</f>
        <v/>
      </c>
      <c r="CM391" s="1064" t="str">
        <f>'No Recurrentes 24-26'!DV253</f>
        <v/>
      </c>
      <c r="CN391" s="1065">
        <f>'No Recurrentes 24-26'!EI249</f>
        <v>432.48</v>
      </c>
      <c r="CO391" s="1065">
        <f>'No Recurrentes 24-26'!EJ249</f>
        <v>367.61</v>
      </c>
      <c r="CP391" s="1060" t="str">
        <f>'No Recurrentes 24-26'!EK249</f>
        <v/>
      </c>
    </row>
    <row r="392">
      <c r="A392" s="451" t="str">
        <f>'No Recurrentes 24-26'!A254</f>
        <v>Repuestos Electromecánicos no recurrentes</v>
      </c>
      <c r="B392" s="451">
        <f>'No Recurrentes 24-26'!B254</f>
        <v>2</v>
      </c>
      <c r="C392" s="451" t="str">
        <f>'No Recurrentes 24-26'!C254</f>
        <v>Vehiculo</v>
      </c>
      <c r="D392" s="451" t="str">
        <f>'No Recurrentes 24-26'!D254</f>
        <v>Manto. Pinza</v>
      </c>
      <c r="E392" s="451" t="str">
        <f>'No Recurrentes 24-26'!E254</f>
        <v>Repuesto Mecánico</v>
      </c>
      <c r="F392" s="451" t="str">
        <f>'No Recurrentes 24-26'!F254</f>
        <v>TDB</v>
      </c>
      <c r="G392" s="1025" t="str">
        <f>'No Recurrentes 24-26'!G254</f>
        <v>39800</v>
      </c>
      <c r="H392" s="1061" t="str">
        <f>'No Recurrentes 24-26'!H254</f>
        <v>2-01-00029</v>
      </c>
      <c r="I392" s="1061" t="str">
        <f>'No Recurrentes 24-26'!I254</f>
        <v>10625658</v>
      </c>
      <c r="J392" s="1061" t="str">
        <f>'No Recurrentes 24-26'!J254</f>
        <v>ANILL.SINUS.85,8X75,8X1,10/8,0 N° ART.: SR 050.43-36</v>
      </c>
      <c r="K392" s="451" t="str">
        <f>'No Recurrentes 24-26'!K254</f>
        <v>Pza</v>
      </c>
      <c r="L392" s="451" t="str">
        <f>'No Recurrentes 24-26'!BC254</f>
        <v/>
      </c>
      <c r="M392" s="451" t="str">
        <f>'No Recurrentes 24-26'!BD254</f>
        <v/>
      </c>
      <c r="N392" s="451">
        <f>'No Recurrentes 24-26'!BE254</f>
        <v>10</v>
      </c>
      <c r="O392" s="451">
        <f>'No Recurrentes 24-26'!BF254</f>
        <v>110</v>
      </c>
      <c r="P392" s="451">
        <f>'No Recurrentes 24-26'!BG254</f>
        <v>126</v>
      </c>
      <c r="Q392" s="451" t="str">
        <f>'No Recurrentes 24-26'!BH254</f>
        <v/>
      </c>
      <c r="R392" s="451" t="str">
        <f>'No Recurrentes 24-26'!BI254</f>
        <v/>
      </c>
      <c r="S392" s="451" t="str">
        <f>'No Recurrentes 24-26'!BJ254</f>
        <v/>
      </c>
      <c r="T392" s="451" t="str">
        <f>'No Recurrentes 24-26'!BK254</f>
        <v/>
      </c>
      <c r="U392" s="451" t="str">
        <f>'No Recurrentes 24-26'!BL254</f>
        <v/>
      </c>
      <c r="V392" s="1068"/>
      <c r="W392" s="1062">
        <f>'No Recurrentes 24-26'!BM254</f>
        <v>246</v>
      </c>
      <c r="X392" s="1062" t="str">
        <f>'No Recurrentes 24-26'!BN254</f>
        <v/>
      </c>
      <c r="Y392" s="1062" t="str">
        <f>'No Recurrentes 24-26'!BO254</f>
        <v/>
      </c>
      <c r="Z392" s="1062" t="str">
        <f>'No Recurrentes 24-26'!BP254</f>
        <v/>
      </c>
      <c r="AA392" s="1062" t="str">
        <f>'No Recurrentes 24-26'!BQ254</f>
        <v/>
      </c>
      <c r="AB392" s="1062" t="str">
        <f>'No Recurrentes 24-26'!BR254</f>
        <v/>
      </c>
      <c r="AC392" s="1062">
        <f>'No Recurrentes 24-26'!BS254</f>
        <v>168</v>
      </c>
      <c r="AD392" s="1062" t="str">
        <f>'No Recurrentes 24-26'!BT254</f>
        <v/>
      </c>
      <c r="AE392" s="1062" t="str">
        <f>'No Recurrentes 24-26'!BU254</f>
        <v/>
      </c>
      <c r="AF392" s="1062" t="str">
        <f>'No Recurrentes 24-26'!BV254</f>
        <v/>
      </c>
      <c r="AG392" s="1062" t="str">
        <f>'No Recurrentes 24-26'!BW254</f>
        <v/>
      </c>
      <c r="AH392" s="1068"/>
      <c r="AI392" s="1062">
        <f>'No Recurrentes 24-26'!BX254</f>
        <v>168</v>
      </c>
      <c r="AJ392" s="1062">
        <f>'No Recurrentes 24-26'!BY254</f>
        <v>0</v>
      </c>
      <c r="AK392" s="1062">
        <f>'No Recurrentes 24-26'!BZ254</f>
        <v>0</v>
      </c>
      <c r="AL392" s="1062">
        <f>'No Recurrentes 24-26'!CA254</f>
        <v>0</v>
      </c>
      <c r="AM392" s="1062">
        <f>'No Recurrentes 24-26'!CB254</f>
        <v>0</v>
      </c>
      <c r="AN392" s="1062">
        <f>'No Recurrentes 24-26'!CC254</f>
        <v>0</v>
      </c>
      <c r="AO392" s="1062">
        <f>'No Recurrentes 24-26'!CD254</f>
        <v>0</v>
      </c>
      <c r="AP392" s="1062">
        <f>'No Recurrentes 24-26'!CE254</f>
        <v>0</v>
      </c>
      <c r="AQ392" s="1062">
        <f>'No Recurrentes 24-26'!CF254</f>
        <v>0</v>
      </c>
      <c r="AR392" s="1062">
        <f>'No Recurrentes 24-26'!CG254</f>
        <v>0</v>
      </c>
      <c r="AS392" s="1062">
        <f>'No Recurrentes 24-26'!CH254</f>
        <v>0</v>
      </c>
      <c r="AT392" s="1068"/>
      <c r="AU392" s="1062">
        <f>'No Recurrentes 24-26'!CI254</f>
        <v>0</v>
      </c>
      <c r="AV392" s="1063">
        <f>'No Recurrentes 24-26'!CJ254</f>
        <v>414</v>
      </c>
      <c r="AW392" s="1068"/>
      <c r="AX392" s="1065">
        <f>'No Recurrentes 24-26'!CK254</f>
        <v>14.96</v>
      </c>
      <c r="AY392" s="1062">
        <f>'No Recurrentes 24-26'!CL254</f>
        <v>104.1216</v>
      </c>
      <c r="AZ392" s="1068"/>
      <c r="BA392" s="1062">
        <f>'No Recurrentes 24-26'!CM254</f>
        <v>0</v>
      </c>
      <c r="BB392" s="1062">
        <f>'No Recurrentes 24-26'!CN254</f>
        <v>0</v>
      </c>
      <c r="BC392" s="1062">
        <f>'No Recurrentes 24-26'!CO254</f>
        <v>1041.216</v>
      </c>
      <c r="BD392" s="1062">
        <f>'No Recurrentes 24-26'!CP254</f>
        <v>11453.376</v>
      </c>
      <c r="BE392" s="1062">
        <f>'No Recurrentes 24-26'!CQ254</f>
        <v>13119.3216</v>
      </c>
      <c r="BF392" s="1062">
        <f>'No Recurrentes 24-26'!CR254</f>
        <v>0</v>
      </c>
      <c r="BG392" s="1062">
        <f>'No Recurrentes 24-26'!CS254</f>
        <v>0</v>
      </c>
      <c r="BH392" s="1062">
        <f>'No Recurrentes 24-26'!CT254</f>
        <v>0</v>
      </c>
      <c r="BI392" s="1062">
        <f>'No Recurrentes 24-26'!CU254</f>
        <v>0</v>
      </c>
      <c r="BJ392" s="1062">
        <f>'No Recurrentes 24-26'!CV254</f>
        <v>0</v>
      </c>
      <c r="BK392" s="1068"/>
      <c r="BL392" s="1062">
        <f>'No Recurrentes 24-26'!CW254</f>
        <v>25613.9136</v>
      </c>
      <c r="BM392" s="1062">
        <f>'No Recurrentes 24-26'!CX254</f>
        <v>0</v>
      </c>
      <c r="BN392" s="1062">
        <f>'No Recurrentes 24-26'!CY254</f>
        <v>0</v>
      </c>
      <c r="BO392" s="1062">
        <f>'No Recurrentes 24-26'!CZ254</f>
        <v>0</v>
      </c>
      <c r="BP392" s="1062">
        <f>'No Recurrentes 24-26'!DA254</f>
        <v>0</v>
      </c>
      <c r="BQ392" s="1062">
        <f>'No Recurrentes 24-26'!DB254</f>
        <v>0</v>
      </c>
      <c r="BR392" s="1062">
        <f>'No Recurrentes 24-26'!DC254</f>
        <v>17492.4288</v>
      </c>
      <c r="BS392" s="1062">
        <f>'No Recurrentes 24-26'!DD254</f>
        <v>0</v>
      </c>
      <c r="BT392" s="1062">
        <f>'No Recurrentes 24-26'!DE254</f>
        <v>0</v>
      </c>
      <c r="BU392" s="1062">
        <f>'No Recurrentes 24-26'!DF254</f>
        <v>0</v>
      </c>
      <c r="BV392" s="1062">
        <f>'No Recurrentes 24-26'!DG254</f>
        <v>0</v>
      </c>
      <c r="BW392" s="1068"/>
      <c r="BX392" s="1062">
        <f>'No Recurrentes 24-26'!DH254</f>
        <v>17492.4288</v>
      </c>
      <c r="BY392" s="1062">
        <f>'No Recurrentes 24-26'!DI254</f>
        <v>0</v>
      </c>
      <c r="BZ392" s="1062">
        <f>'No Recurrentes 24-26'!DJ254</f>
        <v>0</v>
      </c>
      <c r="CA392" s="1062">
        <f>'No Recurrentes 24-26'!DK254</f>
        <v>0</v>
      </c>
      <c r="CB392" s="1062">
        <f>'No Recurrentes 24-26'!DL254</f>
        <v>0</v>
      </c>
      <c r="CC392" s="1062">
        <f>'No Recurrentes 24-26'!DM254</f>
        <v>0</v>
      </c>
      <c r="CD392" s="1062">
        <f>'No Recurrentes 24-26'!DN254</f>
        <v>0</v>
      </c>
      <c r="CE392" s="1062">
        <f>'No Recurrentes 24-26'!DO254</f>
        <v>0</v>
      </c>
      <c r="CF392" s="1062">
        <f>'No Recurrentes 24-26'!DP254</f>
        <v>0</v>
      </c>
      <c r="CG392" s="1062">
        <f>'No Recurrentes 24-26'!DQ254</f>
        <v>0</v>
      </c>
      <c r="CH392" s="1062">
        <f>'No Recurrentes 24-26'!DR254</f>
        <v>0</v>
      </c>
      <c r="CI392" s="1068"/>
      <c r="CJ392" s="1062">
        <f>'No Recurrentes 24-26'!DS254</f>
        <v>0</v>
      </c>
      <c r="CK392" s="1062">
        <f>'No Recurrentes 24-26'!DT254</f>
        <v>43106.3424</v>
      </c>
      <c r="CL392" s="1064" t="str">
        <f>'No Recurrentes 24-26'!DU254</f>
        <v/>
      </c>
      <c r="CM392" s="1064" t="str">
        <f>'No Recurrentes 24-26'!DV254</f>
        <v/>
      </c>
      <c r="CN392" s="1065">
        <f>'No Recurrentes 24-26'!EI250</f>
        <v>49.22</v>
      </c>
      <c r="CO392" s="1065">
        <f>'No Recurrentes 24-26'!EJ250</f>
        <v>41.84</v>
      </c>
      <c r="CP392" s="1060" t="str">
        <f>'No Recurrentes 24-26'!EK250</f>
        <v/>
      </c>
    </row>
    <row r="393">
      <c r="A393" s="451" t="str">
        <f>'No Recurrentes 24-26'!A255</f>
        <v>Repuestos Electromecánicos no recurrentes</v>
      </c>
      <c r="B393" s="451">
        <f>'No Recurrentes 24-26'!B255</f>
        <v>2</v>
      </c>
      <c r="C393" s="451" t="str">
        <f>'No Recurrentes 24-26'!C255</f>
        <v>Vehiculo</v>
      </c>
      <c r="D393" s="451" t="str">
        <f>'No Recurrentes 24-26'!D255</f>
        <v>Manto. Pinza</v>
      </c>
      <c r="E393" s="451" t="str">
        <f>'No Recurrentes 24-26'!E255</f>
        <v>Repuesto Mecánico</v>
      </c>
      <c r="F393" s="451" t="str">
        <f>'No Recurrentes 24-26'!F255</f>
        <v>TDB</v>
      </c>
      <c r="G393" s="1025" t="str">
        <f>'No Recurrentes 24-26'!G255</f>
        <v>39800</v>
      </c>
      <c r="H393" s="1061" t="str">
        <f>'No Recurrentes 24-26'!H255</f>
        <v>2-01-00419</v>
      </c>
      <c r="I393" s="1061" t="str">
        <f>'No Recurrentes 24-26'!I255</f>
        <v>10488427</v>
      </c>
      <c r="J393" s="1061" t="str">
        <f>'No Recurrentes 24-26'!J255</f>
        <v>EJE DE CAB.A108-C DIA.32 L 354 </v>
      </c>
      <c r="K393" s="451" t="str">
        <f>'No Recurrentes 24-26'!K255</f>
        <v>Pza</v>
      </c>
      <c r="L393" s="451">
        <f>'No Recurrentes 24-26'!BC255</f>
        <v>20</v>
      </c>
      <c r="M393" s="451">
        <f>'No Recurrentes 24-26'!BD255</f>
        <v>4</v>
      </c>
      <c r="N393" s="451">
        <f>'No Recurrentes 24-26'!BE255</f>
        <v>10</v>
      </c>
      <c r="O393" s="451" t="str">
        <f>'No Recurrentes 24-26'!BF255</f>
        <v/>
      </c>
      <c r="P393" s="451" t="str">
        <f>'No Recurrentes 24-26'!BG255</f>
        <v/>
      </c>
      <c r="Q393" s="451" t="str">
        <f>'No Recurrentes 24-26'!BH255</f>
        <v/>
      </c>
      <c r="R393" s="451" t="str">
        <f>'No Recurrentes 24-26'!BI255</f>
        <v/>
      </c>
      <c r="S393" s="451" t="str">
        <f>'No Recurrentes 24-26'!BJ255</f>
        <v/>
      </c>
      <c r="T393" s="451" t="str">
        <f>'No Recurrentes 24-26'!BK255</f>
        <v/>
      </c>
      <c r="U393" s="451" t="str">
        <f>'No Recurrentes 24-26'!BL255</f>
        <v/>
      </c>
      <c r="V393" s="1068"/>
      <c r="W393" s="1062">
        <f>'No Recurrentes 24-26'!BM255</f>
        <v>34</v>
      </c>
      <c r="X393" s="1062">
        <f>'No Recurrentes 24-26'!BN255</f>
        <v>20</v>
      </c>
      <c r="Y393" s="1062" t="str">
        <f>'No Recurrentes 24-26'!BO255</f>
        <v/>
      </c>
      <c r="Z393" s="1062">
        <f>'No Recurrentes 24-26'!BP255</f>
        <v>10</v>
      </c>
      <c r="AA393" s="1062" t="str">
        <f>'No Recurrentes 24-26'!BQ255</f>
        <v/>
      </c>
      <c r="AB393" s="1062" t="str">
        <f>'No Recurrentes 24-26'!BR255</f>
        <v/>
      </c>
      <c r="AC393" s="1062" t="str">
        <f>'No Recurrentes 24-26'!BS255</f>
        <v/>
      </c>
      <c r="AD393" s="1062" t="str">
        <f>'No Recurrentes 24-26'!BT255</f>
        <v/>
      </c>
      <c r="AE393" s="1062" t="str">
        <f>'No Recurrentes 24-26'!BU255</f>
        <v/>
      </c>
      <c r="AF393" s="1062" t="str">
        <f>'No Recurrentes 24-26'!BV255</f>
        <v/>
      </c>
      <c r="AG393" s="1062" t="str">
        <f>'No Recurrentes 24-26'!BW255</f>
        <v/>
      </c>
      <c r="AH393" s="1068"/>
      <c r="AI393" s="1062">
        <f>'No Recurrentes 24-26'!BX255</f>
        <v>30</v>
      </c>
      <c r="AJ393" s="1062">
        <f>'No Recurrentes 24-26'!BY255</f>
        <v>0</v>
      </c>
      <c r="AK393" s="1062">
        <f>'No Recurrentes 24-26'!BZ255</f>
        <v>0</v>
      </c>
      <c r="AL393" s="1062">
        <f>'No Recurrentes 24-26'!CA255</f>
        <v>0</v>
      </c>
      <c r="AM393" s="1062">
        <f>'No Recurrentes 24-26'!CB255</f>
        <v>0</v>
      </c>
      <c r="AN393" s="1062">
        <f>'No Recurrentes 24-26'!CC255</f>
        <v>0</v>
      </c>
      <c r="AO393" s="1062">
        <f>'No Recurrentes 24-26'!CD255</f>
        <v>0</v>
      </c>
      <c r="AP393" s="1062">
        <f>'No Recurrentes 24-26'!CE255</f>
        <v>0</v>
      </c>
      <c r="AQ393" s="1062">
        <f>'No Recurrentes 24-26'!CF255</f>
        <v>0</v>
      </c>
      <c r="AR393" s="1062">
        <f>'No Recurrentes 24-26'!CG255</f>
        <v>0</v>
      </c>
      <c r="AS393" s="1062">
        <f>'No Recurrentes 24-26'!CH255</f>
        <v>0</v>
      </c>
      <c r="AT393" s="1068"/>
      <c r="AU393" s="1062">
        <f>'No Recurrentes 24-26'!CI255</f>
        <v>0</v>
      </c>
      <c r="AV393" s="1063">
        <f>'No Recurrentes 24-26'!CJ255</f>
        <v>64</v>
      </c>
      <c r="AW393" s="1068"/>
      <c r="AX393" s="1065">
        <f>'No Recurrentes 24-26'!CK255</f>
        <v>90.49</v>
      </c>
      <c r="AY393" s="1062">
        <f>'No Recurrentes 24-26'!CL255</f>
        <v>629.8104</v>
      </c>
      <c r="AZ393" s="1068"/>
      <c r="BA393" s="1062">
        <f>'No Recurrentes 24-26'!CM255</f>
        <v>12596.208</v>
      </c>
      <c r="BB393" s="1062">
        <f>'No Recurrentes 24-26'!CN255</f>
        <v>2519.2416</v>
      </c>
      <c r="BC393" s="1062">
        <f>'No Recurrentes 24-26'!CO255</f>
        <v>6298.104</v>
      </c>
      <c r="BD393" s="1062">
        <f>'No Recurrentes 24-26'!CP255</f>
        <v>0</v>
      </c>
      <c r="BE393" s="1062">
        <f>'No Recurrentes 24-26'!CQ255</f>
        <v>0</v>
      </c>
      <c r="BF393" s="1062">
        <f>'No Recurrentes 24-26'!CR255</f>
        <v>0</v>
      </c>
      <c r="BG393" s="1062">
        <f>'No Recurrentes 24-26'!CS255</f>
        <v>0</v>
      </c>
      <c r="BH393" s="1062">
        <f>'No Recurrentes 24-26'!CT255</f>
        <v>0</v>
      </c>
      <c r="BI393" s="1062">
        <f>'No Recurrentes 24-26'!CU255</f>
        <v>0</v>
      </c>
      <c r="BJ393" s="1062">
        <f>'No Recurrentes 24-26'!CV255</f>
        <v>0</v>
      </c>
      <c r="BK393" s="1068"/>
      <c r="BL393" s="1062">
        <f>'No Recurrentes 24-26'!CW255</f>
        <v>21413.5536</v>
      </c>
      <c r="BM393" s="1062">
        <f>'No Recurrentes 24-26'!CX255</f>
        <v>12596.208</v>
      </c>
      <c r="BN393" s="1062">
        <f>'No Recurrentes 24-26'!CY255</f>
        <v>0</v>
      </c>
      <c r="BO393" s="1062">
        <f>'No Recurrentes 24-26'!CZ255</f>
        <v>6298.104</v>
      </c>
      <c r="BP393" s="1062">
        <f>'No Recurrentes 24-26'!DA255</f>
        <v>0</v>
      </c>
      <c r="BQ393" s="1062">
        <f>'No Recurrentes 24-26'!DB255</f>
        <v>0</v>
      </c>
      <c r="BR393" s="1062">
        <f>'No Recurrentes 24-26'!DC255</f>
        <v>0</v>
      </c>
      <c r="BS393" s="1062">
        <f>'No Recurrentes 24-26'!DD255</f>
        <v>0</v>
      </c>
      <c r="BT393" s="1062">
        <f>'No Recurrentes 24-26'!DE255</f>
        <v>0</v>
      </c>
      <c r="BU393" s="1062">
        <f>'No Recurrentes 24-26'!DF255</f>
        <v>0</v>
      </c>
      <c r="BV393" s="1062">
        <f>'No Recurrentes 24-26'!DG255</f>
        <v>0</v>
      </c>
      <c r="BW393" s="1068"/>
      <c r="BX393" s="1062">
        <f>'No Recurrentes 24-26'!DH255</f>
        <v>18894.312</v>
      </c>
      <c r="BY393" s="1062">
        <f>'No Recurrentes 24-26'!DI255</f>
        <v>0</v>
      </c>
      <c r="BZ393" s="1062">
        <f>'No Recurrentes 24-26'!DJ255</f>
        <v>0</v>
      </c>
      <c r="CA393" s="1062">
        <f>'No Recurrentes 24-26'!DK255</f>
        <v>0</v>
      </c>
      <c r="CB393" s="1062">
        <f>'No Recurrentes 24-26'!DL255</f>
        <v>0</v>
      </c>
      <c r="CC393" s="1062">
        <f>'No Recurrentes 24-26'!DM255</f>
        <v>0</v>
      </c>
      <c r="CD393" s="1062">
        <f>'No Recurrentes 24-26'!DN255</f>
        <v>0</v>
      </c>
      <c r="CE393" s="1062">
        <f>'No Recurrentes 24-26'!DO255</f>
        <v>0</v>
      </c>
      <c r="CF393" s="1062">
        <f>'No Recurrentes 24-26'!DP255</f>
        <v>0</v>
      </c>
      <c r="CG393" s="1062">
        <f>'No Recurrentes 24-26'!DQ255</f>
        <v>0</v>
      </c>
      <c r="CH393" s="1062">
        <f>'No Recurrentes 24-26'!DR255</f>
        <v>0</v>
      </c>
      <c r="CI393" s="1068"/>
      <c r="CJ393" s="1062">
        <f>'No Recurrentes 24-26'!DS255</f>
        <v>0</v>
      </c>
      <c r="CK393" s="1062">
        <f>'No Recurrentes 24-26'!DT255</f>
        <v>40307.8656</v>
      </c>
      <c r="CL393" s="1064" t="str">
        <f>'No Recurrentes 24-26'!DU255</f>
        <v/>
      </c>
      <c r="CM393" s="1064" t="str">
        <f>'No Recurrentes 24-26'!DV255</f>
        <v/>
      </c>
      <c r="CN393" s="1065">
        <f>'No Recurrentes 24-26'!EI251</f>
        <v>357.72</v>
      </c>
      <c r="CO393" s="1065">
        <f>'No Recurrentes 24-26'!EJ251</f>
        <v>304.06</v>
      </c>
      <c r="CP393" s="1060" t="str">
        <f>'No Recurrentes 24-26'!EK251</f>
        <v/>
      </c>
    </row>
    <row r="394">
      <c r="A394" s="451" t="str">
        <f>'No Recurrentes 24-26'!A256</f>
        <v>Repuestos Electromecánicos no recurrentes</v>
      </c>
      <c r="B394" s="451">
        <f>'No Recurrentes 24-26'!B256</f>
        <v>2</v>
      </c>
      <c r="C394" s="451" t="str">
        <f>'No Recurrentes 24-26'!C256</f>
        <v>Vehiculo</v>
      </c>
      <c r="D394" s="451" t="str">
        <f>'No Recurrentes 24-26'!D256</f>
        <v>Manto. Pinza</v>
      </c>
      <c r="E394" s="451" t="str">
        <f>'No Recurrentes 24-26'!E256</f>
        <v>Repuesto Mecánico</v>
      </c>
      <c r="F394" s="451" t="str">
        <f>'No Recurrentes 24-26'!F256</f>
        <v>TDB</v>
      </c>
      <c r="G394" s="1025" t="str">
        <f>'No Recurrentes 24-26'!G256</f>
        <v>39800</v>
      </c>
      <c r="H394" s="1061" t="str">
        <f>'No Recurrentes 24-26'!H256</f>
        <v>2-01-00876</v>
      </c>
      <c r="I394" s="1061" t="str">
        <f>'No Recurrentes 24-26'!I256</f>
        <v>12023240</v>
      </c>
      <c r="J394" s="1061" t="str">
        <f>'No Recurrentes 24-26'!J256</f>
        <v>LENGÜETA  A108-C TIPO 2     CABLE Ø48-51 MM</v>
      </c>
      <c r="K394" s="451" t="str">
        <f>'No Recurrentes 24-26'!K256</f>
        <v>Pza</v>
      </c>
      <c r="L394" s="451" t="str">
        <f>'No Recurrentes 24-26'!BC256</f>
        <v/>
      </c>
      <c r="M394" s="451" t="str">
        <f>'No Recurrentes 24-26'!BD256</f>
        <v/>
      </c>
      <c r="N394" s="451" t="str">
        <f>'No Recurrentes 24-26'!BE256</f>
        <v/>
      </c>
      <c r="O394" s="451" t="str">
        <f>'No Recurrentes 24-26'!BF256</f>
        <v/>
      </c>
      <c r="P394" s="451" t="str">
        <f>'No Recurrentes 24-26'!BG256</f>
        <v/>
      </c>
      <c r="Q394" s="451" t="str">
        <f>'No Recurrentes 24-26'!BH256</f>
        <v/>
      </c>
      <c r="R394" s="451" t="str">
        <f>'No Recurrentes 24-26'!BI256</f>
        <v/>
      </c>
      <c r="S394" s="451" t="str">
        <f>'No Recurrentes 24-26'!BJ256</f>
        <v/>
      </c>
      <c r="T394" s="451" t="str">
        <f>'No Recurrentes 24-26'!BK256</f>
        <v/>
      </c>
      <c r="U394" s="451" t="str">
        <f>'No Recurrentes 24-26'!BL256</f>
        <v/>
      </c>
      <c r="V394" s="1068"/>
      <c r="W394" s="1062">
        <f>'No Recurrentes 24-26'!BM256</f>
        <v>0</v>
      </c>
      <c r="X394" s="1062">
        <f>'No Recurrentes 24-26'!BN256</f>
        <v>40</v>
      </c>
      <c r="Y394" s="1062">
        <f>'No Recurrentes 24-26'!BO256</f>
        <v>40</v>
      </c>
      <c r="Z394" s="1062">
        <f>'No Recurrentes 24-26'!BP256</f>
        <v>50</v>
      </c>
      <c r="AA394" s="1062" t="str">
        <f>'No Recurrentes 24-26'!BQ256</f>
        <v/>
      </c>
      <c r="AB394" s="1062">
        <f>'No Recurrentes 24-26'!BR256</f>
        <v>232</v>
      </c>
      <c r="AC394" s="1062" t="str">
        <f>'No Recurrentes 24-26'!BS256</f>
        <v/>
      </c>
      <c r="AD394" s="1062" t="str">
        <f>'No Recurrentes 24-26'!BT256</f>
        <v/>
      </c>
      <c r="AE394" s="1062" t="str">
        <f>'No Recurrentes 24-26'!BU256</f>
        <v/>
      </c>
      <c r="AF394" s="1062" t="str">
        <f>'No Recurrentes 24-26'!BV256</f>
        <v/>
      </c>
      <c r="AG394" s="1062" t="str">
        <f>'No Recurrentes 24-26'!BW256</f>
        <v/>
      </c>
      <c r="AH394" s="1068"/>
      <c r="AI394" s="1062">
        <f>'No Recurrentes 24-26'!BX256</f>
        <v>362</v>
      </c>
      <c r="AJ394" s="1062">
        <f>'No Recurrentes 24-26'!BY256</f>
        <v>30</v>
      </c>
      <c r="AK394" s="1062">
        <f>'No Recurrentes 24-26'!BZ256</f>
        <v>30</v>
      </c>
      <c r="AL394" s="1062">
        <f>'No Recurrentes 24-26'!CA256</f>
        <v>0</v>
      </c>
      <c r="AM394" s="1062">
        <f>'No Recurrentes 24-26'!CB256</f>
        <v>20</v>
      </c>
      <c r="AN394" s="1062">
        <f>'No Recurrentes 24-26'!CC256</f>
        <v>0</v>
      </c>
      <c r="AO394" s="1062">
        <f>'No Recurrentes 24-26'!CD256</f>
        <v>50</v>
      </c>
      <c r="AP394" s="1062">
        <f>'No Recurrentes 24-26'!CE256</f>
        <v>0</v>
      </c>
      <c r="AQ394" s="1062">
        <f>'No Recurrentes 24-26'!CF256</f>
        <v>0</v>
      </c>
      <c r="AR394" s="1062">
        <f>'No Recurrentes 24-26'!CG256</f>
        <v>0</v>
      </c>
      <c r="AS394" s="1062">
        <f>'No Recurrentes 24-26'!CH256</f>
        <v>0</v>
      </c>
      <c r="AT394" s="1068"/>
      <c r="AU394" s="1062">
        <f>'No Recurrentes 24-26'!CI256</f>
        <v>130</v>
      </c>
      <c r="AV394" s="1063">
        <f>'No Recurrentes 24-26'!CJ256</f>
        <v>492</v>
      </c>
      <c r="AW394" s="1068"/>
      <c r="AX394" s="1065">
        <f>'No Recurrentes 24-26'!CK256</f>
        <v>65.03</v>
      </c>
      <c r="AY394" s="1062">
        <f>'No Recurrentes 24-26'!CL256</f>
        <v>452.6088</v>
      </c>
      <c r="AZ394" s="1068"/>
      <c r="BA394" s="1062">
        <f>'No Recurrentes 24-26'!CM256</f>
        <v>0</v>
      </c>
      <c r="BB394" s="1062">
        <f>'No Recurrentes 24-26'!CN256</f>
        <v>0</v>
      </c>
      <c r="BC394" s="1062">
        <f>'No Recurrentes 24-26'!CO256</f>
        <v>0</v>
      </c>
      <c r="BD394" s="1062">
        <f>'No Recurrentes 24-26'!CP256</f>
        <v>0</v>
      </c>
      <c r="BE394" s="1062">
        <f>'No Recurrentes 24-26'!CQ256</f>
        <v>0</v>
      </c>
      <c r="BF394" s="1062">
        <f>'No Recurrentes 24-26'!CR256</f>
        <v>0</v>
      </c>
      <c r="BG394" s="1062">
        <f>'No Recurrentes 24-26'!CS256</f>
        <v>0</v>
      </c>
      <c r="BH394" s="1062">
        <f>'No Recurrentes 24-26'!CT256</f>
        <v>0</v>
      </c>
      <c r="BI394" s="1062">
        <f>'No Recurrentes 24-26'!CU256</f>
        <v>0</v>
      </c>
      <c r="BJ394" s="1062">
        <f>'No Recurrentes 24-26'!CV256</f>
        <v>0</v>
      </c>
      <c r="BK394" s="1068"/>
      <c r="BL394" s="1062">
        <f>'No Recurrentes 24-26'!CW256</f>
        <v>0</v>
      </c>
      <c r="BM394" s="1062">
        <f>'No Recurrentes 24-26'!CX256</f>
        <v>18104.352</v>
      </c>
      <c r="BN394" s="1062">
        <f>'No Recurrentes 24-26'!CY256</f>
        <v>18104.352</v>
      </c>
      <c r="BO394" s="1062">
        <f>'No Recurrentes 24-26'!CZ256</f>
        <v>22630.44</v>
      </c>
      <c r="BP394" s="1062">
        <f>'No Recurrentes 24-26'!DA256</f>
        <v>0</v>
      </c>
      <c r="BQ394" s="1062">
        <f>'No Recurrentes 24-26'!DB256</f>
        <v>105005.2416</v>
      </c>
      <c r="BR394" s="1062">
        <f>'No Recurrentes 24-26'!DC256</f>
        <v>0</v>
      </c>
      <c r="BS394" s="1062">
        <f>'No Recurrentes 24-26'!DD256</f>
        <v>0</v>
      </c>
      <c r="BT394" s="1062">
        <f>'No Recurrentes 24-26'!DE256</f>
        <v>0</v>
      </c>
      <c r="BU394" s="1062">
        <f>'No Recurrentes 24-26'!DF256</f>
        <v>0</v>
      </c>
      <c r="BV394" s="1062">
        <f>'No Recurrentes 24-26'!DG256</f>
        <v>0</v>
      </c>
      <c r="BW394" s="1068"/>
      <c r="BX394" s="1062">
        <f>'No Recurrentes 24-26'!DH256</f>
        <v>163844.3856</v>
      </c>
      <c r="BY394" s="1062">
        <f>'No Recurrentes 24-26'!DI256</f>
        <v>13578.264</v>
      </c>
      <c r="BZ394" s="1062">
        <f>'No Recurrentes 24-26'!DJ256</f>
        <v>13578.264</v>
      </c>
      <c r="CA394" s="1062">
        <f>'No Recurrentes 24-26'!DK256</f>
        <v>0</v>
      </c>
      <c r="CB394" s="1062">
        <f>'No Recurrentes 24-26'!DL256</f>
        <v>9052.176</v>
      </c>
      <c r="CC394" s="1062">
        <f>'No Recurrentes 24-26'!DM256</f>
        <v>0</v>
      </c>
      <c r="CD394" s="1062">
        <f>'No Recurrentes 24-26'!DN256</f>
        <v>22630.44</v>
      </c>
      <c r="CE394" s="1062">
        <f>'No Recurrentes 24-26'!DO256</f>
        <v>0</v>
      </c>
      <c r="CF394" s="1062">
        <f>'No Recurrentes 24-26'!DP256</f>
        <v>0</v>
      </c>
      <c r="CG394" s="1062">
        <f>'No Recurrentes 24-26'!DQ256</f>
        <v>0</v>
      </c>
      <c r="CH394" s="1062">
        <f>'No Recurrentes 24-26'!DR256</f>
        <v>0</v>
      </c>
      <c r="CI394" s="1068"/>
      <c r="CJ394" s="1062">
        <f>'No Recurrentes 24-26'!DS256</f>
        <v>58839.144</v>
      </c>
      <c r="CK394" s="1062">
        <f>'No Recurrentes 24-26'!DT256</f>
        <v>222683.5296</v>
      </c>
      <c r="CL394" s="1064" t="str">
        <f>'No Recurrentes 24-26'!DU256</f>
        <v/>
      </c>
      <c r="CM394" s="1064" t="str">
        <f>'No Recurrentes 24-26'!DV256</f>
        <v/>
      </c>
      <c r="CN394" s="1065">
        <f>'No Recurrentes 24-26'!EI252</f>
        <v>10.04</v>
      </c>
      <c r="CO394" s="1065">
        <f>'No Recurrentes 24-26'!EJ252</f>
        <v>8.53</v>
      </c>
      <c r="CP394" s="1060" t="str">
        <f>'No Recurrentes 24-26'!EK252</f>
        <v/>
      </c>
    </row>
    <row r="395">
      <c r="A395" s="451" t="str">
        <f>'No Recurrentes 24-26'!A257</f>
        <v>Repuestos Electromecánicos no recurrentes</v>
      </c>
      <c r="B395" s="451">
        <f>'No Recurrentes 24-26'!B257</f>
        <v>2</v>
      </c>
      <c r="C395" s="451" t="str">
        <f>'No Recurrentes 24-26'!C257</f>
        <v>Vehiculo</v>
      </c>
      <c r="D395" s="451" t="str">
        <f>'No Recurrentes 24-26'!D257</f>
        <v>Manto. Pinza</v>
      </c>
      <c r="E395" s="451" t="str">
        <f>'No Recurrentes 24-26'!E257</f>
        <v>Repuesto Mecánico</v>
      </c>
      <c r="F395" s="451" t="str">
        <f>'No Recurrentes 24-26'!F257</f>
        <v>TDB</v>
      </c>
      <c r="G395" s="1025" t="str">
        <f>'No Recurrentes 24-26'!G257</f>
        <v>39800</v>
      </c>
      <c r="H395" s="1061" t="str">
        <f>'No Recurrentes 24-26'!H257</f>
        <v>2-01-00353</v>
      </c>
      <c r="I395" s="1061" t="str">
        <f>'No Recurrentes 24-26'!I257</f>
        <v>10274056</v>
      </c>
      <c r="J395" s="1061" t="str">
        <f>'No Recurrentes 24-26'!J257</f>
        <v>CASQUILLO NTPM 2830 DS DE=32MM AGA (CON BOQUI.ENGRASE)GLACIER</v>
      </c>
      <c r="K395" s="451" t="str">
        <f>'No Recurrentes 24-26'!K257</f>
        <v>Pza</v>
      </c>
      <c r="L395" s="451">
        <f>'No Recurrentes 24-26'!BC257</f>
        <v>50</v>
      </c>
      <c r="M395" s="451">
        <f>'No Recurrentes 24-26'!BD257</f>
        <v>40</v>
      </c>
      <c r="N395" s="451">
        <f>'No Recurrentes 24-26'!BE257</f>
        <v>80</v>
      </c>
      <c r="O395" s="451" t="str">
        <f>'No Recurrentes 24-26'!BF257</f>
        <v/>
      </c>
      <c r="P395" s="451" t="str">
        <f>'No Recurrentes 24-26'!BG257</f>
        <v/>
      </c>
      <c r="Q395" s="451" t="str">
        <f>'No Recurrentes 24-26'!BH257</f>
        <v/>
      </c>
      <c r="R395" s="451" t="str">
        <f>'No Recurrentes 24-26'!BI257</f>
        <v/>
      </c>
      <c r="S395" s="451" t="str">
        <f>'No Recurrentes 24-26'!BJ257</f>
        <v/>
      </c>
      <c r="T395" s="451" t="str">
        <f>'No Recurrentes 24-26'!BK257</f>
        <v/>
      </c>
      <c r="U395" s="451" t="str">
        <f>'No Recurrentes 24-26'!BL257</f>
        <v/>
      </c>
      <c r="V395" s="1068"/>
      <c r="W395" s="1062">
        <f>'No Recurrentes 24-26'!BM257</f>
        <v>170</v>
      </c>
      <c r="X395" s="1062" t="str">
        <f>'No Recurrentes 24-26'!BN257</f>
        <v/>
      </c>
      <c r="Y395" s="1062" t="str">
        <f>'No Recurrentes 24-26'!BO257</f>
        <v/>
      </c>
      <c r="Z395" s="1062" t="str">
        <f>'No Recurrentes 24-26'!BP257</f>
        <v/>
      </c>
      <c r="AA395" s="1062" t="str">
        <f>'No Recurrentes 24-26'!BQ257</f>
        <v/>
      </c>
      <c r="AB395" s="1062" t="str">
        <f>'No Recurrentes 24-26'!BR257</f>
        <v/>
      </c>
      <c r="AC395" s="1062" t="str">
        <f>'No Recurrentes 24-26'!BS257</f>
        <v/>
      </c>
      <c r="AD395" s="1062" t="str">
        <f>'No Recurrentes 24-26'!BT257</f>
        <v/>
      </c>
      <c r="AE395" s="1062" t="str">
        <f>'No Recurrentes 24-26'!BU257</f>
        <v/>
      </c>
      <c r="AF395" s="1062" t="str">
        <f>'No Recurrentes 24-26'!BV257</f>
        <v/>
      </c>
      <c r="AG395" s="1062" t="str">
        <f>'No Recurrentes 24-26'!BW257</f>
        <v/>
      </c>
      <c r="AH395" s="1068"/>
      <c r="AI395" s="1062">
        <f>'No Recurrentes 24-26'!BX257</f>
        <v>0</v>
      </c>
      <c r="AJ395" s="1062">
        <f>'No Recurrentes 24-26'!BY257</f>
        <v>0</v>
      </c>
      <c r="AK395" s="1062">
        <f>'No Recurrentes 24-26'!BZ257</f>
        <v>0</v>
      </c>
      <c r="AL395" s="1062">
        <f>'No Recurrentes 24-26'!CA257</f>
        <v>0</v>
      </c>
      <c r="AM395" s="1062">
        <f>'No Recurrentes 24-26'!CB257</f>
        <v>0</v>
      </c>
      <c r="AN395" s="1062">
        <f>'No Recurrentes 24-26'!CC257</f>
        <v>0</v>
      </c>
      <c r="AO395" s="1062">
        <f>'No Recurrentes 24-26'!CD257</f>
        <v>0</v>
      </c>
      <c r="AP395" s="1062">
        <f>'No Recurrentes 24-26'!CE257</f>
        <v>0</v>
      </c>
      <c r="AQ395" s="1062">
        <f>'No Recurrentes 24-26'!CF257</f>
        <v>0</v>
      </c>
      <c r="AR395" s="1062">
        <f>'No Recurrentes 24-26'!CG257</f>
        <v>0</v>
      </c>
      <c r="AS395" s="1062">
        <f>'No Recurrentes 24-26'!CH257</f>
        <v>0</v>
      </c>
      <c r="AT395" s="1068"/>
      <c r="AU395" s="1062">
        <f>'No Recurrentes 24-26'!CI257</f>
        <v>0</v>
      </c>
      <c r="AV395" s="1063">
        <f>'No Recurrentes 24-26'!CJ257</f>
        <v>170</v>
      </c>
      <c r="AW395" s="1068"/>
      <c r="AX395" s="1065">
        <f>'No Recurrentes 24-26'!CK257</f>
        <v>15.65</v>
      </c>
      <c r="AY395" s="1062">
        <f>'No Recurrentes 24-26'!CL257</f>
        <v>108.924</v>
      </c>
      <c r="AZ395" s="1068"/>
      <c r="BA395" s="1062">
        <f>'No Recurrentes 24-26'!CM257</f>
        <v>5446.2</v>
      </c>
      <c r="BB395" s="1062">
        <f>'No Recurrentes 24-26'!CN257</f>
        <v>4356.96</v>
      </c>
      <c r="BC395" s="1062">
        <f>'No Recurrentes 24-26'!CO257</f>
        <v>8713.92</v>
      </c>
      <c r="BD395" s="1062">
        <f>'No Recurrentes 24-26'!CP257</f>
        <v>0</v>
      </c>
      <c r="BE395" s="1062">
        <f>'No Recurrentes 24-26'!CQ257</f>
        <v>0</v>
      </c>
      <c r="BF395" s="1062">
        <f>'No Recurrentes 24-26'!CR257</f>
        <v>0</v>
      </c>
      <c r="BG395" s="1062">
        <f>'No Recurrentes 24-26'!CS257</f>
        <v>0</v>
      </c>
      <c r="BH395" s="1062">
        <f>'No Recurrentes 24-26'!CT257</f>
        <v>0</v>
      </c>
      <c r="BI395" s="1062">
        <f>'No Recurrentes 24-26'!CU257</f>
        <v>0</v>
      </c>
      <c r="BJ395" s="1062">
        <f>'No Recurrentes 24-26'!CV257</f>
        <v>0</v>
      </c>
      <c r="BK395" s="1068"/>
      <c r="BL395" s="1062">
        <f>'No Recurrentes 24-26'!CW257</f>
        <v>18517.08</v>
      </c>
      <c r="BM395" s="1062">
        <f>'No Recurrentes 24-26'!CX257</f>
        <v>0</v>
      </c>
      <c r="BN395" s="1062">
        <f>'No Recurrentes 24-26'!CY257</f>
        <v>0</v>
      </c>
      <c r="BO395" s="1062">
        <f>'No Recurrentes 24-26'!CZ257</f>
        <v>0</v>
      </c>
      <c r="BP395" s="1062">
        <f>'No Recurrentes 24-26'!DA257</f>
        <v>0</v>
      </c>
      <c r="BQ395" s="1062">
        <f>'No Recurrentes 24-26'!DB257</f>
        <v>0</v>
      </c>
      <c r="BR395" s="1062">
        <f>'No Recurrentes 24-26'!DC257</f>
        <v>0</v>
      </c>
      <c r="BS395" s="1062">
        <f>'No Recurrentes 24-26'!DD257</f>
        <v>0</v>
      </c>
      <c r="BT395" s="1062">
        <f>'No Recurrentes 24-26'!DE257</f>
        <v>0</v>
      </c>
      <c r="BU395" s="1062">
        <f>'No Recurrentes 24-26'!DF257</f>
        <v>0</v>
      </c>
      <c r="BV395" s="1062">
        <f>'No Recurrentes 24-26'!DG257</f>
        <v>0</v>
      </c>
      <c r="BW395" s="1068"/>
      <c r="BX395" s="1062">
        <f>'No Recurrentes 24-26'!DH257</f>
        <v>0</v>
      </c>
      <c r="BY395" s="1062">
        <f>'No Recurrentes 24-26'!DI257</f>
        <v>0</v>
      </c>
      <c r="BZ395" s="1062">
        <f>'No Recurrentes 24-26'!DJ257</f>
        <v>0</v>
      </c>
      <c r="CA395" s="1062">
        <f>'No Recurrentes 24-26'!DK257</f>
        <v>0</v>
      </c>
      <c r="CB395" s="1062">
        <f>'No Recurrentes 24-26'!DL257</f>
        <v>0</v>
      </c>
      <c r="CC395" s="1062">
        <f>'No Recurrentes 24-26'!DM257</f>
        <v>0</v>
      </c>
      <c r="CD395" s="1062">
        <f>'No Recurrentes 24-26'!DN257</f>
        <v>0</v>
      </c>
      <c r="CE395" s="1062">
        <f>'No Recurrentes 24-26'!DO257</f>
        <v>0</v>
      </c>
      <c r="CF395" s="1062">
        <f>'No Recurrentes 24-26'!DP257</f>
        <v>0</v>
      </c>
      <c r="CG395" s="1062">
        <f>'No Recurrentes 24-26'!DQ257</f>
        <v>0</v>
      </c>
      <c r="CH395" s="1062">
        <f>'No Recurrentes 24-26'!DR257</f>
        <v>0</v>
      </c>
      <c r="CI395" s="1068"/>
      <c r="CJ395" s="1062">
        <f>'No Recurrentes 24-26'!DS257</f>
        <v>0</v>
      </c>
      <c r="CK395" s="1062">
        <f>'No Recurrentes 24-26'!DT257</f>
        <v>18517.08</v>
      </c>
      <c r="CL395" s="1064" t="str">
        <f>'No Recurrentes 24-26'!DU257</f>
        <v/>
      </c>
      <c r="CM395" s="1064" t="str">
        <f>'No Recurrentes 24-26'!DV257</f>
        <v/>
      </c>
      <c r="CN395" s="1065">
        <f>'No Recurrentes 24-26'!EI253</f>
        <v>194.51</v>
      </c>
      <c r="CO395" s="1065">
        <f>'No Recurrentes 24-26'!EJ253</f>
        <v>165.33</v>
      </c>
      <c r="CP395" s="1060" t="str">
        <f>'No Recurrentes 24-26'!EK253</f>
        <v/>
      </c>
    </row>
    <row r="396">
      <c r="A396" s="451" t="str">
        <f>'No Recurrentes 24-26'!A258</f>
        <v>Repuestos Electromecánicos no recurrentes</v>
      </c>
      <c r="B396" s="451">
        <f>'No Recurrentes 24-26'!B258</f>
        <v>2</v>
      </c>
      <c r="C396" s="451" t="str">
        <f>'No Recurrentes 24-26'!C258</f>
        <v>Vehiculo</v>
      </c>
      <c r="D396" s="451" t="str">
        <f>'No Recurrentes 24-26'!D258</f>
        <v>Manto. Pinza</v>
      </c>
      <c r="E396" s="451" t="str">
        <f>'No Recurrentes 24-26'!E258</f>
        <v>Repuesto Mecánico</v>
      </c>
      <c r="F396" s="451" t="str">
        <f>'No Recurrentes 24-26'!F258</f>
        <v>TDB</v>
      </c>
      <c r="G396" s="1025" t="str">
        <f>'No Recurrentes 24-26'!G258</f>
        <v>39800</v>
      </c>
      <c r="H396" s="1061" t="str">
        <f>'No Recurrentes 24-26'!H258</f>
        <v>2-01-00264</v>
      </c>
      <c r="I396" s="1061" t="str">
        <f>'No Recurrentes 24-26'!I258</f>
        <v>10752990</v>
      </c>
      <c r="J396" s="1061" t="str">
        <f>'No Recurrentes 24-26'!J258</f>
        <v>NIPLE ENGRASE M10X1 H1 RES.RESF. NIPLE CÓNICO DE ENGRASE 0°</v>
      </c>
      <c r="K396" s="451" t="str">
        <f>'No Recurrentes 24-26'!K258</f>
        <v>Pza</v>
      </c>
      <c r="L396" s="451">
        <f>'No Recurrentes 24-26'!BC258</f>
        <v>200</v>
      </c>
      <c r="M396" s="451">
        <f>'No Recurrentes 24-26'!BD258</f>
        <v>120</v>
      </c>
      <c r="N396" s="451">
        <f>'No Recurrentes 24-26'!BE258</f>
        <v>200</v>
      </c>
      <c r="O396" s="451">
        <f>'No Recurrentes 24-26'!BF258</f>
        <v>110</v>
      </c>
      <c r="P396" s="451">
        <f>'No Recurrentes 24-26'!BG258</f>
        <v>126</v>
      </c>
      <c r="Q396" s="451">
        <f>'No Recurrentes 24-26'!BH258</f>
        <v>208</v>
      </c>
      <c r="R396" s="451" t="str">
        <f>'No Recurrentes 24-26'!BI258</f>
        <v/>
      </c>
      <c r="S396" s="451" t="str">
        <f>'No Recurrentes 24-26'!BJ258</f>
        <v/>
      </c>
      <c r="T396" s="451" t="str">
        <f>'No Recurrentes 24-26'!BK258</f>
        <v/>
      </c>
      <c r="U396" s="451">
        <f>'No Recurrentes 24-26'!BL258</f>
        <v>10</v>
      </c>
      <c r="V396" s="1068"/>
      <c r="W396" s="1062">
        <f>'No Recurrentes 24-26'!BM258</f>
        <v>974</v>
      </c>
      <c r="X396" s="1062" t="str">
        <f>'No Recurrentes 24-26'!BN258</f>
        <v/>
      </c>
      <c r="Y396" s="1062" t="str">
        <f>'No Recurrentes 24-26'!BO258</f>
        <v/>
      </c>
      <c r="Z396" s="1062" t="str">
        <f>'No Recurrentes 24-26'!BP258</f>
        <v/>
      </c>
      <c r="AA396" s="1062" t="str">
        <f>'No Recurrentes 24-26'!BQ258</f>
        <v/>
      </c>
      <c r="AB396" s="1062" t="str">
        <f>'No Recurrentes 24-26'!BR258</f>
        <v/>
      </c>
      <c r="AC396" s="1062" t="str">
        <f>'No Recurrentes 24-26'!BS258</f>
        <v/>
      </c>
      <c r="AD396" s="1062" t="str">
        <f>'No Recurrentes 24-26'!BT258</f>
        <v/>
      </c>
      <c r="AE396" s="1062" t="str">
        <f>'No Recurrentes 24-26'!BU258</f>
        <v/>
      </c>
      <c r="AF396" s="1062" t="str">
        <f>'No Recurrentes 24-26'!BV258</f>
        <v/>
      </c>
      <c r="AG396" s="1062" t="str">
        <f>'No Recurrentes 24-26'!BW258</f>
        <v/>
      </c>
      <c r="AH396" s="1068"/>
      <c r="AI396" s="1062">
        <f>'No Recurrentes 24-26'!BX258</f>
        <v>0</v>
      </c>
      <c r="AJ396" s="1062">
        <f>'No Recurrentes 24-26'!BY258</f>
        <v>0</v>
      </c>
      <c r="AK396" s="1062">
        <f>'No Recurrentes 24-26'!BZ258</f>
        <v>0</v>
      </c>
      <c r="AL396" s="1062">
        <f>'No Recurrentes 24-26'!CA258</f>
        <v>0</v>
      </c>
      <c r="AM396" s="1062">
        <f>'No Recurrentes 24-26'!CB258</f>
        <v>0</v>
      </c>
      <c r="AN396" s="1062">
        <f>'No Recurrentes 24-26'!CC258</f>
        <v>0</v>
      </c>
      <c r="AO396" s="1062">
        <f>'No Recurrentes 24-26'!CD258</f>
        <v>0</v>
      </c>
      <c r="AP396" s="1062">
        <f>'No Recurrentes 24-26'!CE258</f>
        <v>0</v>
      </c>
      <c r="AQ396" s="1062">
        <f>'No Recurrentes 24-26'!CF258</f>
        <v>0</v>
      </c>
      <c r="AR396" s="1062">
        <f>'No Recurrentes 24-26'!CG258</f>
        <v>0</v>
      </c>
      <c r="AS396" s="1062">
        <f>'No Recurrentes 24-26'!CH258</f>
        <v>0</v>
      </c>
      <c r="AT396" s="1068"/>
      <c r="AU396" s="1062">
        <f>'No Recurrentes 24-26'!CI258</f>
        <v>0</v>
      </c>
      <c r="AV396" s="1063">
        <f>'No Recurrentes 24-26'!CJ258</f>
        <v>974</v>
      </c>
      <c r="AW396" s="1068"/>
      <c r="AX396" s="1065">
        <f>'No Recurrentes 24-26'!CK258</f>
        <v>2.11</v>
      </c>
      <c r="AY396" s="1062">
        <f>'No Recurrentes 24-26'!CL258</f>
        <v>14.6856</v>
      </c>
      <c r="AZ396" s="1068"/>
      <c r="BA396" s="1062">
        <f>'No Recurrentes 24-26'!CM258</f>
        <v>2937.12</v>
      </c>
      <c r="BB396" s="1062">
        <f>'No Recurrentes 24-26'!CN258</f>
        <v>1762.272</v>
      </c>
      <c r="BC396" s="1062">
        <f>'No Recurrentes 24-26'!CO258</f>
        <v>2937.12</v>
      </c>
      <c r="BD396" s="1062">
        <f>'No Recurrentes 24-26'!CP258</f>
        <v>1615.416</v>
      </c>
      <c r="BE396" s="1062">
        <f>'No Recurrentes 24-26'!CQ258</f>
        <v>1850.3856</v>
      </c>
      <c r="BF396" s="1062">
        <f>'No Recurrentes 24-26'!CR258</f>
        <v>3054.6048</v>
      </c>
      <c r="BG396" s="1062">
        <f>'No Recurrentes 24-26'!CS258</f>
        <v>0</v>
      </c>
      <c r="BH396" s="1062">
        <f>'No Recurrentes 24-26'!CT258</f>
        <v>0</v>
      </c>
      <c r="BI396" s="1062">
        <f>'No Recurrentes 24-26'!CU258</f>
        <v>0</v>
      </c>
      <c r="BJ396" s="1062">
        <f>'No Recurrentes 24-26'!CV258</f>
        <v>146.856</v>
      </c>
      <c r="BK396" s="1068"/>
      <c r="BL396" s="1062">
        <f>'No Recurrentes 24-26'!CW258</f>
        <v>14303.7744</v>
      </c>
      <c r="BM396" s="1062">
        <f>'No Recurrentes 24-26'!CX258</f>
        <v>0</v>
      </c>
      <c r="BN396" s="1062">
        <f>'No Recurrentes 24-26'!CY258</f>
        <v>0</v>
      </c>
      <c r="BO396" s="1062">
        <f>'No Recurrentes 24-26'!CZ258</f>
        <v>0</v>
      </c>
      <c r="BP396" s="1062">
        <f>'No Recurrentes 24-26'!DA258</f>
        <v>0</v>
      </c>
      <c r="BQ396" s="1062">
        <f>'No Recurrentes 24-26'!DB258</f>
        <v>0</v>
      </c>
      <c r="BR396" s="1062">
        <f>'No Recurrentes 24-26'!DC258</f>
        <v>0</v>
      </c>
      <c r="BS396" s="1062">
        <f>'No Recurrentes 24-26'!DD258</f>
        <v>0</v>
      </c>
      <c r="BT396" s="1062">
        <f>'No Recurrentes 24-26'!DE258</f>
        <v>0</v>
      </c>
      <c r="BU396" s="1062">
        <f>'No Recurrentes 24-26'!DF258</f>
        <v>0</v>
      </c>
      <c r="BV396" s="1062">
        <f>'No Recurrentes 24-26'!DG258</f>
        <v>0</v>
      </c>
      <c r="BW396" s="1068"/>
      <c r="BX396" s="1062">
        <f>'No Recurrentes 24-26'!DH258</f>
        <v>0</v>
      </c>
      <c r="BY396" s="1062">
        <f>'No Recurrentes 24-26'!DI258</f>
        <v>0</v>
      </c>
      <c r="BZ396" s="1062">
        <f>'No Recurrentes 24-26'!DJ258</f>
        <v>0</v>
      </c>
      <c r="CA396" s="1062">
        <f>'No Recurrentes 24-26'!DK258</f>
        <v>0</v>
      </c>
      <c r="CB396" s="1062">
        <f>'No Recurrentes 24-26'!DL258</f>
        <v>0</v>
      </c>
      <c r="CC396" s="1062">
        <f>'No Recurrentes 24-26'!DM258</f>
        <v>0</v>
      </c>
      <c r="CD396" s="1062">
        <f>'No Recurrentes 24-26'!DN258</f>
        <v>0</v>
      </c>
      <c r="CE396" s="1062">
        <f>'No Recurrentes 24-26'!DO258</f>
        <v>0</v>
      </c>
      <c r="CF396" s="1062">
        <f>'No Recurrentes 24-26'!DP258</f>
        <v>0</v>
      </c>
      <c r="CG396" s="1062">
        <f>'No Recurrentes 24-26'!DQ258</f>
        <v>0</v>
      </c>
      <c r="CH396" s="1062">
        <f>'No Recurrentes 24-26'!DR258</f>
        <v>0</v>
      </c>
      <c r="CI396" s="1068"/>
      <c r="CJ396" s="1062">
        <f>'No Recurrentes 24-26'!DS258</f>
        <v>0</v>
      </c>
      <c r="CK396" s="1062">
        <f>'No Recurrentes 24-26'!DT258</f>
        <v>14303.7744</v>
      </c>
      <c r="CL396" s="1064" t="str">
        <f>'No Recurrentes 24-26'!DU258</f>
        <v/>
      </c>
      <c r="CM396" s="1064" t="str">
        <f>'No Recurrentes 24-26'!DV258</f>
        <v>Se tenia duplicado</v>
      </c>
      <c r="CN396" s="1065">
        <f>'No Recurrentes 24-26'!EI254</f>
        <v>14.96</v>
      </c>
      <c r="CO396" s="1065">
        <f>'No Recurrentes 24-26'!EJ254</f>
        <v>12.72</v>
      </c>
      <c r="CP396" s="1060" t="str">
        <f>'No Recurrentes 24-26'!EK254</f>
        <v/>
      </c>
    </row>
    <row r="397">
      <c r="A397" s="451" t="str">
        <f>'No Recurrentes 24-26'!A259</f>
        <v>Repuestos Electromecánicos no recurrentes</v>
      </c>
      <c r="B397" s="451">
        <f>'No Recurrentes 24-26'!B259</f>
        <v>2</v>
      </c>
      <c r="C397" s="451" t="str">
        <f>'No Recurrentes 24-26'!C259</f>
        <v>Vehiculo</v>
      </c>
      <c r="D397" s="451" t="str">
        <f>'No Recurrentes 24-26'!D259</f>
        <v>Manto. Pinza</v>
      </c>
      <c r="E397" s="451" t="str">
        <f>'No Recurrentes 24-26'!E259</f>
        <v>Repuesto Mecánico</v>
      </c>
      <c r="F397" s="451" t="str">
        <f>'No Recurrentes 24-26'!F259</f>
        <v>TDB</v>
      </c>
      <c r="G397" s="1025" t="str">
        <f>'No Recurrentes 24-26'!G259</f>
        <v>39800</v>
      </c>
      <c r="H397" s="1061" t="str">
        <f>'No Recurrentes 24-26'!H259</f>
        <v>2-01-00363</v>
      </c>
      <c r="I397" s="1061" t="str">
        <f>'No Recurrentes 24-26'!I259</f>
        <v>10274057</v>
      </c>
      <c r="J397" s="1061" t="str">
        <f>'No Recurrentes 24-26'!J259</f>
        <v>CASQUILLO PM 2260 DS  TIPO: KW SIN AGUJERO DE ENGRASE GLACIER</v>
      </c>
      <c r="K397" s="451" t="str">
        <f>'No Recurrentes 24-26'!K259</f>
        <v>Pza</v>
      </c>
      <c r="L397" s="451">
        <f>'No Recurrentes 24-26'!BC259</f>
        <v>50</v>
      </c>
      <c r="M397" s="451">
        <f>'No Recurrentes 24-26'!BD259</f>
        <v>30</v>
      </c>
      <c r="N397" s="451">
        <f>'No Recurrentes 24-26'!BE259</f>
        <v>80</v>
      </c>
      <c r="O397" s="451" t="str">
        <f>'No Recurrentes 24-26'!BF259</f>
        <v/>
      </c>
      <c r="P397" s="451" t="str">
        <f>'No Recurrentes 24-26'!BG259</f>
        <v/>
      </c>
      <c r="Q397" s="451" t="str">
        <f>'No Recurrentes 24-26'!BH259</f>
        <v/>
      </c>
      <c r="R397" s="451" t="str">
        <f>'No Recurrentes 24-26'!BI259</f>
        <v/>
      </c>
      <c r="S397" s="451" t="str">
        <f>'No Recurrentes 24-26'!BJ259</f>
        <v/>
      </c>
      <c r="T397" s="451" t="str">
        <f>'No Recurrentes 24-26'!BK259</f>
        <v/>
      </c>
      <c r="U397" s="451" t="str">
        <f>'No Recurrentes 24-26'!BL259</f>
        <v/>
      </c>
      <c r="V397" s="1068"/>
      <c r="W397" s="1062">
        <f>'No Recurrentes 24-26'!BM259</f>
        <v>160</v>
      </c>
      <c r="X397" s="1062" t="str">
        <f>'No Recurrentes 24-26'!BN259</f>
        <v/>
      </c>
      <c r="Y397" s="1062" t="str">
        <f>'No Recurrentes 24-26'!BO259</f>
        <v/>
      </c>
      <c r="Z397" s="1062" t="str">
        <f>'No Recurrentes 24-26'!BP259</f>
        <v/>
      </c>
      <c r="AA397" s="1062" t="str">
        <f>'No Recurrentes 24-26'!BQ259</f>
        <v/>
      </c>
      <c r="AB397" s="1062" t="str">
        <f>'No Recurrentes 24-26'!BR259</f>
        <v/>
      </c>
      <c r="AC397" s="1062" t="str">
        <f>'No Recurrentes 24-26'!BS259</f>
        <v/>
      </c>
      <c r="AD397" s="1062" t="str">
        <f>'No Recurrentes 24-26'!BT259</f>
        <v/>
      </c>
      <c r="AE397" s="1062" t="str">
        <f>'No Recurrentes 24-26'!BU259</f>
        <v/>
      </c>
      <c r="AF397" s="1062" t="str">
        <f>'No Recurrentes 24-26'!BV259</f>
        <v/>
      </c>
      <c r="AG397" s="1062" t="str">
        <f>'No Recurrentes 24-26'!BW259</f>
        <v/>
      </c>
      <c r="AH397" s="1068"/>
      <c r="AI397" s="1062">
        <f>'No Recurrentes 24-26'!BX259</f>
        <v>0</v>
      </c>
      <c r="AJ397" s="1062">
        <f>'No Recurrentes 24-26'!BY259</f>
        <v>0</v>
      </c>
      <c r="AK397" s="1062">
        <f>'No Recurrentes 24-26'!BZ259</f>
        <v>0</v>
      </c>
      <c r="AL397" s="1062">
        <f>'No Recurrentes 24-26'!CA259</f>
        <v>0</v>
      </c>
      <c r="AM397" s="1062">
        <f>'No Recurrentes 24-26'!CB259</f>
        <v>0</v>
      </c>
      <c r="AN397" s="1062">
        <f>'No Recurrentes 24-26'!CC259</f>
        <v>0</v>
      </c>
      <c r="AO397" s="1062">
        <f>'No Recurrentes 24-26'!CD259</f>
        <v>0</v>
      </c>
      <c r="AP397" s="1062">
        <f>'No Recurrentes 24-26'!CE259</f>
        <v>0</v>
      </c>
      <c r="AQ397" s="1062">
        <f>'No Recurrentes 24-26'!CF259</f>
        <v>0</v>
      </c>
      <c r="AR397" s="1062">
        <f>'No Recurrentes 24-26'!CG259</f>
        <v>0</v>
      </c>
      <c r="AS397" s="1062">
        <f>'No Recurrentes 24-26'!CH259</f>
        <v>0</v>
      </c>
      <c r="AT397" s="1068"/>
      <c r="AU397" s="1062">
        <f>'No Recurrentes 24-26'!CI259</f>
        <v>0</v>
      </c>
      <c r="AV397" s="1063">
        <f>'No Recurrentes 24-26'!CJ259</f>
        <v>160</v>
      </c>
      <c r="AW397" s="1068"/>
      <c r="AX397" s="1065">
        <f>'No Recurrentes 24-26'!CK259</f>
        <v>11.81</v>
      </c>
      <c r="AY397" s="1062">
        <f>'No Recurrentes 24-26'!CL259</f>
        <v>82.1976</v>
      </c>
      <c r="AZ397" s="1068"/>
      <c r="BA397" s="1062">
        <f>'No Recurrentes 24-26'!CM259</f>
        <v>4109.88</v>
      </c>
      <c r="BB397" s="1062">
        <f>'No Recurrentes 24-26'!CN259</f>
        <v>2465.928</v>
      </c>
      <c r="BC397" s="1062">
        <f>'No Recurrentes 24-26'!CO259</f>
        <v>6575.808</v>
      </c>
      <c r="BD397" s="1062">
        <f>'No Recurrentes 24-26'!CP259</f>
        <v>0</v>
      </c>
      <c r="BE397" s="1062">
        <f>'No Recurrentes 24-26'!CQ259</f>
        <v>0</v>
      </c>
      <c r="BF397" s="1062">
        <f>'No Recurrentes 24-26'!CR259</f>
        <v>0</v>
      </c>
      <c r="BG397" s="1062">
        <f>'No Recurrentes 24-26'!CS259</f>
        <v>0</v>
      </c>
      <c r="BH397" s="1062">
        <f>'No Recurrentes 24-26'!CT259</f>
        <v>0</v>
      </c>
      <c r="BI397" s="1062">
        <f>'No Recurrentes 24-26'!CU259</f>
        <v>0</v>
      </c>
      <c r="BJ397" s="1062">
        <f>'No Recurrentes 24-26'!CV259</f>
        <v>0</v>
      </c>
      <c r="BK397" s="1068"/>
      <c r="BL397" s="1062">
        <f>'No Recurrentes 24-26'!CW259</f>
        <v>13151.616</v>
      </c>
      <c r="BM397" s="1062">
        <f>'No Recurrentes 24-26'!CX259</f>
        <v>0</v>
      </c>
      <c r="BN397" s="1062">
        <f>'No Recurrentes 24-26'!CY259</f>
        <v>0</v>
      </c>
      <c r="BO397" s="1062">
        <f>'No Recurrentes 24-26'!CZ259</f>
        <v>0</v>
      </c>
      <c r="BP397" s="1062">
        <f>'No Recurrentes 24-26'!DA259</f>
        <v>0</v>
      </c>
      <c r="BQ397" s="1062">
        <f>'No Recurrentes 24-26'!DB259</f>
        <v>0</v>
      </c>
      <c r="BR397" s="1062">
        <f>'No Recurrentes 24-26'!DC259</f>
        <v>0</v>
      </c>
      <c r="BS397" s="1062">
        <f>'No Recurrentes 24-26'!DD259</f>
        <v>0</v>
      </c>
      <c r="BT397" s="1062">
        <f>'No Recurrentes 24-26'!DE259</f>
        <v>0</v>
      </c>
      <c r="BU397" s="1062">
        <f>'No Recurrentes 24-26'!DF259</f>
        <v>0</v>
      </c>
      <c r="BV397" s="1062">
        <f>'No Recurrentes 24-26'!DG259</f>
        <v>0</v>
      </c>
      <c r="BW397" s="1068"/>
      <c r="BX397" s="1062">
        <f>'No Recurrentes 24-26'!DH259</f>
        <v>0</v>
      </c>
      <c r="BY397" s="1062">
        <f>'No Recurrentes 24-26'!DI259</f>
        <v>0</v>
      </c>
      <c r="BZ397" s="1062">
        <f>'No Recurrentes 24-26'!DJ259</f>
        <v>0</v>
      </c>
      <c r="CA397" s="1062">
        <f>'No Recurrentes 24-26'!DK259</f>
        <v>0</v>
      </c>
      <c r="CB397" s="1062">
        <f>'No Recurrentes 24-26'!DL259</f>
        <v>0</v>
      </c>
      <c r="CC397" s="1062">
        <f>'No Recurrentes 24-26'!DM259</f>
        <v>0</v>
      </c>
      <c r="CD397" s="1062">
        <f>'No Recurrentes 24-26'!DN259</f>
        <v>0</v>
      </c>
      <c r="CE397" s="1062">
        <f>'No Recurrentes 24-26'!DO259</f>
        <v>0</v>
      </c>
      <c r="CF397" s="1062">
        <f>'No Recurrentes 24-26'!DP259</f>
        <v>0</v>
      </c>
      <c r="CG397" s="1062">
        <f>'No Recurrentes 24-26'!DQ259</f>
        <v>0</v>
      </c>
      <c r="CH397" s="1062">
        <f>'No Recurrentes 24-26'!DR259</f>
        <v>0</v>
      </c>
      <c r="CI397" s="1068"/>
      <c r="CJ397" s="1062">
        <f>'No Recurrentes 24-26'!DS259</f>
        <v>0</v>
      </c>
      <c r="CK397" s="1062">
        <f>'No Recurrentes 24-26'!DT259</f>
        <v>13151.616</v>
      </c>
      <c r="CL397" s="1064" t="str">
        <f>'No Recurrentes 24-26'!DU259</f>
        <v/>
      </c>
      <c r="CM397" s="1064" t="str">
        <f>'No Recurrentes 24-26'!DV259</f>
        <v/>
      </c>
      <c r="CN397" s="1065">
        <f>'No Recurrentes 24-26'!EI255</f>
        <v>90.49</v>
      </c>
      <c r="CO397" s="1065">
        <f>'No Recurrentes 24-26'!EJ255</f>
        <v>76.92</v>
      </c>
      <c r="CP397" s="1060" t="str">
        <f>'No Recurrentes 24-26'!EK255</f>
        <v/>
      </c>
    </row>
    <row r="398">
      <c r="A398" s="451" t="str">
        <f>'No Recurrentes 24-26'!A260</f>
        <v>Repuestos Electromecánicos no recurrentes</v>
      </c>
      <c r="B398" s="451">
        <f>'No Recurrentes 24-26'!B260</f>
        <v>2</v>
      </c>
      <c r="C398" s="451" t="str">
        <f>'No Recurrentes 24-26'!C260</f>
        <v>Vehiculo</v>
      </c>
      <c r="D398" s="451" t="str">
        <f>'No Recurrentes 24-26'!D260</f>
        <v>Manto. Pinza</v>
      </c>
      <c r="E398" s="451" t="str">
        <f>'No Recurrentes 24-26'!E260</f>
        <v>Repuesto Mecánico</v>
      </c>
      <c r="F398" s="451" t="str">
        <f>'No Recurrentes 24-26'!F260</f>
        <v>TDB</v>
      </c>
      <c r="G398" s="1025" t="str">
        <f>'No Recurrentes 24-26'!G260</f>
        <v>39800</v>
      </c>
      <c r="H398" s="1061" t="str">
        <f>'No Recurrentes 24-26'!H260</f>
        <v>2-01-00021</v>
      </c>
      <c r="I398" s="1061" t="str">
        <f>'No Recurrentes 24-26'!I260</f>
        <v>10274052</v>
      </c>
      <c r="J398" s="1061" t="str">
        <f>'No Recurrentes 24-26'!J260</f>
        <v>CIRCLIP INTER. DIN 472  72X3,0 GALVAN.</v>
      </c>
      <c r="K398" s="451" t="str">
        <f>'No Recurrentes 24-26'!K260</f>
        <v>Pza</v>
      </c>
      <c r="L398" s="451">
        <f>'No Recurrentes 24-26'!BC260</f>
        <v>45</v>
      </c>
      <c r="M398" s="451">
        <f>'No Recurrentes 24-26'!BD260</f>
        <v>15</v>
      </c>
      <c r="N398" s="451">
        <f>'No Recurrentes 24-26'!BE260</f>
        <v>50</v>
      </c>
      <c r="O398" s="451">
        <f>'No Recurrentes 24-26'!BF260</f>
        <v>220</v>
      </c>
      <c r="P398" s="451">
        <f>'No Recurrentes 24-26'!BG260</f>
        <v>227</v>
      </c>
      <c r="Q398" s="451" t="str">
        <f>'No Recurrentes 24-26'!BH260</f>
        <v/>
      </c>
      <c r="R398" s="451">
        <f>'No Recurrentes 24-26'!BI260</f>
        <v>15</v>
      </c>
      <c r="S398" s="451">
        <f>'No Recurrentes 24-26'!BJ260</f>
        <v>15</v>
      </c>
      <c r="T398" s="451">
        <f>'No Recurrentes 24-26'!BK260</f>
        <v>8</v>
      </c>
      <c r="U398" s="451">
        <f>'No Recurrentes 24-26'!BL260</f>
        <v>10</v>
      </c>
      <c r="V398" s="1068"/>
      <c r="W398" s="1062">
        <f>'No Recurrentes 24-26'!BM260</f>
        <v>605</v>
      </c>
      <c r="X398" s="1062" t="str">
        <f>'No Recurrentes 24-26'!BN260</f>
        <v/>
      </c>
      <c r="Y398" s="1062" t="str">
        <f>'No Recurrentes 24-26'!BO260</f>
        <v/>
      </c>
      <c r="Z398" s="1062" t="str">
        <f>'No Recurrentes 24-26'!BP260</f>
        <v/>
      </c>
      <c r="AA398" s="1062" t="str">
        <f>'No Recurrentes 24-26'!BQ260</f>
        <v/>
      </c>
      <c r="AB398" s="1062" t="str">
        <f>'No Recurrentes 24-26'!BR260</f>
        <v/>
      </c>
      <c r="AC398" s="1062" t="str">
        <f>'No Recurrentes 24-26'!BS260</f>
        <v/>
      </c>
      <c r="AD398" s="1062" t="str">
        <f>'No Recurrentes 24-26'!BT260</f>
        <v/>
      </c>
      <c r="AE398" s="1062" t="str">
        <f>'No Recurrentes 24-26'!BU260</f>
        <v/>
      </c>
      <c r="AF398" s="1062" t="str">
        <f>'No Recurrentes 24-26'!BV260</f>
        <v/>
      </c>
      <c r="AG398" s="1062" t="str">
        <f>'No Recurrentes 24-26'!BW260</f>
        <v/>
      </c>
      <c r="AH398" s="1068"/>
      <c r="AI398" s="1062">
        <f>'No Recurrentes 24-26'!BX260</f>
        <v>0</v>
      </c>
      <c r="AJ398" s="1062">
        <f>'No Recurrentes 24-26'!BY260</f>
        <v>20</v>
      </c>
      <c r="AK398" s="1062">
        <f>'No Recurrentes 24-26'!BZ260</f>
        <v>10</v>
      </c>
      <c r="AL398" s="1062">
        <f>'No Recurrentes 24-26'!CA260</f>
        <v>20</v>
      </c>
      <c r="AM398" s="1062">
        <f>'No Recurrentes 24-26'!CB260</f>
        <v>0</v>
      </c>
      <c r="AN398" s="1062">
        <f>'No Recurrentes 24-26'!CC260</f>
        <v>0</v>
      </c>
      <c r="AO398" s="1062">
        <f>'No Recurrentes 24-26'!CD260</f>
        <v>0</v>
      </c>
      <c r="AP398" s="1062">
        <f>'No Recurrentes 24-26'!CE260</f>
        <v>0</v>
      </c>
      <c r="AQ398" s="1062">
        <f>'No Recurrentes 24-26'!CF260</f>
        <v>0</v>
      </c>
      <c r="AR398" s="1062">
        <f>'No Recurrentes 24-26'!CG260</f>
        <v>0</v>
      </c>
      <c r="AS398" s="1062">
        <f>'No Recurrentes 24-26'!CH260</f>
        <v>0</v>
      </c>
      <c r="AT398" s="1068"/>
      <c r="AU398" s="1062">
        <f>'No Recurrentes 24-26'!CI260</f>
        <v>50</v>
      </c>
      <c r="AV398" s="1063">
        <f>'No Recurrentes 24-26'!CJ260</f>
        <v>655</v>
      </c>
      <c r="AW398" s="1068"/>
      <c r="AX398" s="1065">
        <f>'No Recurrentes 24-26'!CK260</f>
        <v>3.81</v>
      </c>
      <c r="AY398" s="1062">
        <f>'No Recurrentes 24-26'!CL260</f>
        <v>26.5176</v>
      </c>
      <c r="AZ398" s="1068"/>
      <c r="BA398" s="1062">
        <f>'No Recurrentes 24-26'!CM260</f>
        <v>1193.292</v>
      </c>
      <c r="BB398" s="1062">
        <f>'No Recurrentes 24-26'!CN260</f>
        <v>397.764</v>
      </c>
      <c r="BC398" s="1062">
        <f>'No Recurrentes 24-26'!CO260</f>
        <v>1325.88</v>
      </c>
      <c r="BD398" s="1062">
        <f>'No Recurrentes 24-26'!CP260</f>
        <v>5833.872</v>
      </c>
      <c r="BE398" s="1062">
        <f>'No Recurrentes 24-26'!CQ260</f>
        <v>6019.4952</v>
      </c>
      <c r="BF398" s="1062">
        <f>'No Recurrentes 24-26'!CR260</f>
        <v>0</v>
      </c>
      <c r="BG398" s="1062">
        <f>'No Recurrentes 24-26'!CS260</f>
        <v>397.764</v>
      </c>
      <c r="BH398" s="1062">
        <f>'No Recurrentes 24-26'!CT260</f>
        <v>397.764</v>
      </c>
      <c r="BI398" s="1062">
        <f>'No Recurrentes 24-26'!CU260</f>
        <v>212.1408</v>
      </c>
      <c r="BJ398" s="1062">
        <f>'No Recurrentes 24-26'!CV260</f>
        <v>265.176</v>
      </c>
      <c r="BK398" s="1068"/>
      <c r="BL398" s="1062">
        <f>'No Recurrentes 24-26'!CW260</f>
        <v>16043.148</v>
      </c>
      <c r="BM398" s="1062">
        <f>'No Recurrentes 24-26'!CX260</f>
        <v>0</v>
      </c>
      <c r="BN398" s="1062">
        <f>'No Recurrentes 24-26'!CY260</f>
        <v>0</v>
      </c>
      <c r="BO398" s="1062">
        <f>'No Recurrentes 24-26'!CZ260</f>
        <v>0</v>
      </c>
      <c r="BP398" s="1062">
        <f>'No Recurrentes 24-26'!DA260</f>
        <v>0</v>
      </c>
      <c r="BQ398" s="1062">
        <f>'No Recurrentes 24-26'!DB260</f>
        <v>0</v>
      </c>
      <c r="BR398" s="1062">
        <f>'No Recurrentes 24-26'!DC260</f>
        <v>0</v>
      </c>
      <c r="BS398" s="1062">
        <f>'No Recurrentes 24-26'!DD260</f>
        <v>0</v>
      </c>
      <c r="BT398" s="1062">
        <f>'No Recurrentes 24-26'!DE260</f>
        <v>0</v>
      </c>
      <c r="BU398" s="1062">
        <f>'No Recurrentes 24-26'!DF260</f>
        <v>0</v>
      </c>
      <c r="BV398" s="1062">
        <f>'No Recurrentes 24-26'!DG260</f>
        <v>0</v>
      </c>
      <c r="BW398" s="1068"/>
      <c r="BX398" s="1062">
        <f>'No Recurrentes 24-26'!DH260</f>
        <v>0</v>
      </c>
      <c r="BY398" s="1062">
        <f>'No Recurrentes 24-26'!DI260</f>
        <v>530.352</v>
      </c>
      <c r="BZ398" s="1062">
        <f>'No Recurrentes 24-26'!DJ260</f>
        <v>265.176</v>
      </c>
      <c r="CA398" s="1062">
        <f>'No Recurrentes 24-26'!DK260</f>
        <v>530.352</v>
      </c>
      <c r="CB398" s="1062">
        <f>'No Recurrentes 24-26'!DL260</f>
        <v>0</v>
      </c>
      <c r="CC398" s="1062">
        <f>'No Recurrentes 24-26'!DM260</f>
        <v>0</v>
      </c>
      <c r="CD398" s="1062">
        <f>'No Recurrentes 24-26'!DN260</f>
        <v>0</v>
      </c>
      <c r="CE398" s="1062">
        <f>'No Recurrentes 24-26'!DO260</f>
        <v>0</v>
      </c>
      <c r="CF398" s="1062">
        <f>'No Recurrentes 24-26'!DP260</f>
        <v>0</v>
      </c>
      <c r="CG398" s="1062">
        <f>'No Recurrentes 24-26'!DQ260</f>
        <v>0</v>
      </c>
      <c r="CH398" s="1062">
        <f>'No Recurrentes 24-26'!DR260</f>
        <v>0</v>
      </c>
      <c r="CI398" s="1068"/>
      <c r="CJ398" s="1062">
        <f>'No Recurrentes 24-26'!DS260</f>
        <v>1325.88</v>
      </c>
      <c r="CK398" s="1062">
        <f>'No Recurrentes 24-26'!DT260</f>
        <v>17369.028</v>
      </c>
      <c r="CL398" s="1064" t="str">
        <f>'No Recurrentes 24-26'!DU260</f>
        <v/>
      </c>
      <c r="CM398" s="1064" t="str">
        <f>'No Recurrentes 24-26'!DV260</f>
        <v/>
      </c>
      <c r="CN398" s="1065">
        <f>'No Recurrentes 24-26'!EI256</f>
        <v>65.03</v>
      </c>
      <c r="CO398" s="1065">
        <f>'No Recurrentes 24-26'!EJ256</f>
        <v>55.28</v>
      </c>
      <c r="CP398" s="1060" t="str">
        <f>'No Recurrentes 24-26'!EK256</f>
        <v/>
      </c>
    </row>
    <row r="399">
      <c r="A399" s="451" t="str">
        <f>'No Recurrentes 24-26'!A261</f>
        <v>Repuestos Electromecánicos no recurrentes</v>
      </c>
      <c r="B399" s="451">
        <f>'No Recurrentes 24-26'!B261</f>
        <v>2</v>
      </c>
      <c r="C399" s="451" t="str">
        <f>'No Recurrentes 24-26'!C261</f>
        <v>Vehiculo</v>
      </c>
      <c r="D399" s="451" t="str">
        <f>'No Recurrentes 24-26'!D261</f>
        <v>Manto. Pinza</v>
      </c>
      <c r="E399" s="451" t="str">
        <f>'No Recurrentes 24-26'!E261</f>
        <v>Repuesto Mecánico</v>
      </c>
      <c r="F399" s="451" t="str">
        <f>'No Recurrentes 24-26'!F261</f>
        <v>TDB</v>
      </c>
      <c r="G399" s="1025" t="str">
        <f>'No Recurrentes 24-26'!G261</f>
        <v>39800</v>
      </c>
      <c r="H399" s="1061" t="str">
        <f>'No Recurrentes 24-26'!H261</f>
        <v>2-01-00284</v>
      </c>
      <c r="I399" s="1061" t="str">
        <f>'No Recurrentes 24-26'!I261</f>
        <v>10083923</v>
      </c>
      <c r="J399" s="1061" t="str">
        <f>'No Recurrentes 24-26'!J261</f>
        <v>CASQUILLO PM 5040 DS  TIPO: KW SIN AGUJ.DE ENGRASE    GLACIER</v>
      </c>
      <c r="K399" s="451" t="str">
        <f>'No Recurrentes 24-26'!K261</f>
        <v>Pza</v>
      </c>
      <c r="L399" s="451" t="str">
        <f>'No Recurrentes 24-26'!BC261</f>
        <v/>
      </c>
      <c r="M399" s="451">
        <f>'No Recurrentes 24-26'!BD261</f>
        <v>20</v>
      </c>
      <c r="N399" s="451">
        <f>'No Recurrentes 24-26'!BE261</f>
        <v>50</v>
      </c>
      <c r="O399" s="451" t="str">
        <f>'No Recurrentes 24-26'!BF261</f>
        <v/>
      </c>
      <c r="P399" s="451" t="str">
        <f>'No Recurrentes 24-26'!BG261</f>
        <v/>
      </c>
      <c r="Q399" s="451" t="str">
        <f>'No Recurrentes 24-26'!BH261</f>
        <v/>
      </c>
      <c r="R399" s="451" t="str">
        <f>'No Recurrentes 24-26'!BI261</f>
        <v/>
      </c>
      <c r="S399" s="451" t="str">
        <f>'No Recurrentes 24-26'!BJ261</f>
        <v/>
      </c>
      <c r="T399" s="451" t="str">
        <f>'No Recurrentes 24-26'!BK261</f>
        <v/>
      </c>
      <c r="U399" s="451" t="str">
        <f>'No Recurrentes 24-26'!BL261</f>
        <v/>
      </c>
      <c r="V399" s="1068"/>
      <c r="W399" s="1062">
        <f>'No Recurrentes 24-26'!BM261</f>
        <v>70</v>
      </c>
      <c r="X399" s="1062">
        <f>'No Recurrentes 24-26'!BN261</f>
        <v>30</v>
      </c>
      <c r="Y399" s="1062">
        <f>'No Recurrentes 24-26'!BO261</f>
        <v>10</v>
      </c>
      <c r="Z399" s="1062">
        <f>'No Recurrentes 24-26'!BP261</f>
        <v>30</v>
      </c>
      <c r="AA399" s="1062" t="str">
        <f>'No Recurrentes 24-26'!BQ261</f>
        <v/>
      </c>
      <c r="AB399" s="1062">
        <f>'No Recurrentes 24-26'!BR261</f>
        <v>252</v>
      </c>
      <c r="AC399" s="1062">
        <f>'No Recurrentes 24-26'!BS261</f>
        <v>416</v>
      </c>
      <c r="AD399" s="1062">
        <f>'No Recurrentes 24-26'!BT261</f>
        <v>262</v>
      </c>
      <c r="AE399" s="1062">
        <f>'No Recurrentes 24-26'!BU261</f>
        <v>310</v>
      </c>
      <c r="AF399" s="1062">
        <f>'No Recurrentes 24-26'!BV261</f>
        <v>52</v>
      </c>
      <c r="AG399" s="1062" t="str">
        <f>'No Recurrentes 24-26'!BW261</f>
        <v/>
      </c>
      <c r="AH399" s="1068"/>
      <c r="AI399" s="1062">
        <f>'No Recurrentes 24-26'!BX261</f>
        <v>1362</v>
      </c>
      <c r="AJ399" s="1062">
        <f>'No Recurrentes 24-26'!BY261</f>
        <v>224</v>
      </c>
      <c r="AK399" s="1062">
        <f>'No Recurrentes 24-26'!BZ261</f>
        <v>0</v>
      </c>
      <c r="AL399" s="1062">
        <f>'No Recurrentes 24-26'!CA261</f>
        <v>30</v>
      </c>
      <c r="AM399" s="1062">
        <f>'No Recurrentes 24-26'!CB261</f>
        <v>0</v>
      </c>
      <c r="AN399" s="1062">
        <f>'No Recurrentes 24-26'!CC261</f>
        <v>0</v>
      </c>
      <c r="AO399" s="1062">
        <f>'No Recurrentes 24-26'!CD261</f>
        <v>0</v>
      </c>
      <c r="AP399" s="1062">
        <f>'No Recurrentes 24-26'!CE261</f>
        <v>0</v>
      </c>
      <c r="AQ399" s="1062">
        <f>'No Recurrentes 24-26'!CF261</f>
        <v>0</v>
      </c>
      <c r="AR399" s="1062">
        <f>'No Recurrentes 24-26'!CG261</f>
        <v>0</v>
      </c>
      <c r="AS399" s="1062">
        <f>'No Recurrentes 24-26'!CH261</f>
        <v>0</v>
      </c>
      <c r="AT399" s="1068"/>
      <c r="AU399" s="1062">
        <f>'No Recurrentes 24-26'!CI261</f>
        <v>254</v>
      </c>
      <c r="AV399" s="1063">
        <f>'No Recurrentes 24-26'!CJ261</f>
        <v>1686</v>
      </c>
      <c r="AW399" s="1068"/>
      <c r="AX399" s="1065">
        <f>'No Recurrentes 24-26'!CK261</f>
        <v>13.42</v>
      </c>
      <c r="AY399" s="1062">
        <f>'No Recurrentes 24-26'!CL261</f>
        <v>93.4032</v>
      </c>
      <c r="AZ399" s="1068"/>
      <c r="BA399" s="1062">
        <f>'No Recurrentes 24-26'!CM261</f>
        <v>0</v>
      </c>
      <c r="BB399" s="1062">
        <f>'No Recurrentes 24-26'!CN261</f>
        <v>1868.064</v>
      </c>
      <c r="BC399" s="1062">
        <f>'No Recurrentes 24-26'!CO261</f>
        <v>4670.16</v>
      </c>
      <c r="BD399" s="1062">
        <f>'No Recurrentes 24-26'!CP261</f>
        <v>0</v>
      </c>
      <c r="BE399" s="1062">
        <f>'No Recurrentes 24-26'!CQ261</f>
        <v>0</v>
      </c>
      <c r="BF399" s="1062">
        <f>'No Recurrentes 24-26'!CR261</f>
        <v>0</v>
      </c>
      <c r="BG399" s="1062">
        <f>'No Recurrentes 24-26'!CS261</f>
        <v>0</v>
      </c>
      <c r="BH399" s="1062">
        <f>'No Recurrentes 24-26'!CT261</f>
        <v>0</v>
      </c>
      <c r="BI399" s="1062">
        <f>'No Recurrentes 24-26'!CU261</f>
        <v>0</v>
      </c>
      <c r="BJ399" s="1062">
        <f>'No Recurrentes 24-26'!CV261</f>
        <v>0</v>
      </c>
      <c r="BK399" s="1068"/>
      <c r="BL399" s="1062">
        <f>'No Recurrentes 24-26'!CW261</f>
        <v>6538.224</v>
      </c>
      <c r="BM399" s="1062">
        <f>'No Recurrentes 24-26'!CX261</f>
        <v>2802.096</v>
      </c>
      <c r="BN399" s="1062">
        <f>'No Recurrentes 24-26'!CY261</f>
        <v>934.032</v>
      </c>
      <c r="BO399" s="1062">
        <f>'No Recurrentes 24-26'!CZ261</f>
        <v>2802.096</v>
      </c>
      <c r="BP399" s="1062">
        <f>'No Recurrentes 24-26'!DA261</f>
        <v>0</v>
      </c>
      <c r="BQ399" s="1062">
        <f>'No Recurrentes 24-26'!DB261</f>
        <v>23537.6064</v>
      </c>
      <c r="BR399" s="1062">
        <f>'No Recurrentes 24-26'!DC261</f>
        <v>38855.7312</v>
      </c>
      <c r="BS399" s="1062">
        <f>'No Recurrentes 24-26'!DD261</f>
        <v>24471.6384</v>
      </c>
      <c r="BT399" s="1062">
        <f>'No Recurrentes 24-26'!DE261</f>
        <v>28954.992</v>
      </c>
      <c r="BU399" s="1062">
        <f>'No Recurrentes 24-26'!DF261</f>
        <v>4856.9664</v>
      </c>
      <c r="BV399" s="1062">
        <f>'No Recurrentes 24-26'!DG261</f>
        <v>0</v>
      </c>
      <c r="BW399" s="1068"/>
      <c r="BX399" s="1062">
        <f>'No Recurrentes 24-26'!DH261</f>
        <v>127215.1584</v>
      </c>
      <c r="BY399" s="1062">
        <f>'No Recurrentes 24-26'!DI261</f>
        <v>20922.3168</v>
      </c>
      <c r="BZ399" s="1062">
        <f>'No Recurrentes 24-26'!DJ261</f>
        <v>0</v>
      </c>
      <c r="CA399" s="1062">
        <f>'No Recurrentes 24-26'!DK261</f>
        <v>2802.096</v>
      </c>
      <c r="CB399" s="1062">
        <f>'No Recurrentes 24-26'!DL261</f>
        <v>0</v>
      </c>
      <c r="CC399" s="1062">
        <f>'No Recurrentes 24-26'!DM261</f>
        <v>0</v>
      </c>
      <c r="CD399" s="1062">
        <f>'No Recurrentes 24-26'!DN261</f>
        <v>0</v>
      </c>
      <c r="CE399" s="1062">
        <f>'No Recurrentes 24-26'!DO261</f>
        <v>0</v>
      </c>
      <c r="CF399" s="1062">
        <f>'No Recurrentes 24-26'!DP261</f>
        <v>0</v>
      </c>
      <c r="CG399" s="1062">
        <f>'No Recurrentes 24-26'!DQ261</f>
        <v>0</v>
      </c>
      <c r="CH399" s="1062">
        <f>'No Recurrentes 24-26'!DR261</f>
        <v>0</v>
      </c>
      <c r="CI399" s="1068"/>
      <c r="CJ399" s="1062">
        <f>'No Recurrentes 24-26'!DS261</f>
        <v>23724.4128</v>
      </c>
      <c r="CK399" s="1062">
        <f>'No Recurrentes 24-26'!DT261</f>
        <v>157477.7952</v>
      </c>
      <c r="CL399" s="1064" t="str">
        <f>'No Recurrentes 24-26'!DU261</f>
        <v/>
      </c>
      <c r="CM399" s="1064" t="str">
        <f>'No Recurrentes 24-26'!DV261</f>
        <v/>
      </c>
      <c r="CN399" s="1065">
        <f>'No Recurrentes 24-26'!EI257</f>
        <v>15.65</v>
      </c>
      <c r="CO399" s="1065">
        <f>'No Recurrentes 24-26'!EJ257</f>
        <v>13.3</v>
      </c>
      <c r="CP399" s="1060" t="str">
        <f>'No Recurrentes 24-26'!EK257</f>
        <v/>
      </c>
    </row>
    <row r="400">
      <c r="A400" s="451" t="str">
        <f>'No Recurrentes 24-26'!A262</f>
        <v>Repuestos Electromecánicos no recurrentes</v>
      </c>
      <c r="B400" s="451">
        <f>'No Recurrentes 24-26'!B262</f>
        <v>2</v>
      </c>
      <c r="C400" s="451" t="str">
        <f>'No Recurrentes 24-26'!C262</f>
        <v>Vehiculo</v>
      </c>
      <c r="D400" s="451" t="str">
        <f>'No Recurrentes 24-26'!D262</f>
        <v>Manto. Pinza</v>
      </c>
      <c r="E400" s="451" t="str">
        <f>'No Recurrentes 24-26'!E262</f>
        <v>Repuesto Mecánico</v>
      </c>
      <c r="F400" s="451" t="str">
        <f>'No Recurrentes 24-26'!F262</f>
        <v>TDB</v>
      </c>
      <c r="G400" s="1025" t="str">
        <f>'No Recurrentes 24-26'!G262</f>
        <v>39800</v>
      </c>
      <c r="H400" s="1061" t="str">
        <f>'No Recurrentes 24-26'!H262</f>
        <v>2-01-00192</v>
      </c>
      <c r="I400" s="1061" t="str">
        <f>'No Recurrentes 24-26'!I262</f>
        <v>10687475</v>
      </c>
      <c r="J400" s="1061" t="str">
        <f>'No Recurrentes 24-26'!J262</f>
        <v>TORNILLO DE AJUSTE      A108-C </v>
      </c>
      <c r="K400" s="451" t="str">
        <f>'No Recurrentes 24-26'!K262</f>
        <v>Pza</v>
      </c>
      <c r="L400" s="451">
        <f>'No Recurrentes 24-26'!BC262</f>
        <v>5</v>
      </c>
      <c r="M400" s="451">
        <f>'No Recurrentes 24-26'!BD262</f>
        <v>2</v>
      </c>
      <c r="N400" s="451">
        <f>'No Recurrentes 24-26'!BE262</f>
        <v>10</v>
      </c>
      <c r="O400" s="451" t="str">
        <f>'No Recurrentes 24-26'!BF262</f>
        <v/>
      </c>
      <c r="P400" s="451" t="str">
        <f>'No Recurrentes 24-26'!BG262</f>
        <v/>
      </c>
      <c r="Q400" s="451" t="str">
        <f>'No Recurrentes 24-26'!BH262</f>
        <v/>
      </c>
      <c r="R400" s="451" t="str">
        <f>'No Recurrentes 24-26'!BI262</f>
        <v/>
      </c>
      <c r="S400" s="451" t="str">
        <f>'No Recurrentes 24-26'!BJ262</f>
        <v/>
      </c>
      <c r="T400" s="451" t="str">
        <f>'No Recurrentes 24-26'!BK262</f>
        <v/>
      </c>
      <c r="U400" s="451" t="str">
        <f>'No Recurrentes 24-26'!BL262</f>
        <v/>
      </c>
      <c r="V400" s="1068"/>
      <c r="W400" s="1062">
        <f>'No Recurrentes 24-26'!BM262</f>
        <v>17</v>
      </c>
      <c r="X400" s="1062" t="str">
        <f>'No Recurrentes 24-26'!BN262</f>
        <v/>
      </c>
      <c r="Y400" s="1062" t="str">
        <f>'No Recurrentes 24-26'!BO262</f>
        <v/>
      </c>
      <c r="Z400" s="1062" t="str">
        <f>'No Recurrentes 24-26'!BP262</f>
        <v/>
      </c>
      <c r="AA400" s="1062" t="str">
        <f>'No Recurrentes 24-26'!BQ262</f>
        <v/>
      </c>
      <c r="AB400" s="1062" t="str">
        <f>'No Recurrentes 24-26'!BR262</f>
        <v/>
      </c>
      <c r="AC400" s="1062" t="str">
        <f>'No Recurrentes 24-26'!BS262</f>
        <v/>
      </c>
      <c r="AD400" s="1062" t="str">
        <f>'No Recurrentes 24-26'!BT262</f>
        <v/>
      </c>
      <c r="AE400" s="1062" t="str">
        <f>'No Recurrentes 24-26'!BU262</f>
        <v/>
      </c>
      <c r="AF400" s="1062" t="str">
        <f>'No Recurrentes 24-26'!BV262</f>
        <v/>
      </c>
      <c r="AG400" s="1062" t="str">
        <f>'No Recurrentes 24-26'!BW262</f>
        <v/>
      </c>
      <c r="AH400" s="1068"/>
      <c r="AI400" s="1062">
        <f>'No Recurrentes 24-26'!BX262</f>
        <v>0</v>
      </c>
      <c r="AJ400" s="1062">
        <f>'No Recurrentes 24-26'!BY262</f>
        <v>5</v>
      </c>
      <c r="AK400" s="1062">
        <f>'No Recurrentes 24-26'!BZ262</f>
        <v>2</v>
      </c>
      <c r="AL400" s="1062">
        <f>'No Recurrentes 24-26'!CA262</f>
        <v>10</v>
      </c>
      <c r="AM400" s="1062">
        <f>'No Recurrentes 24-26'!CB262</f>
        <v>0</v>
      </c>
      <c r="AN400" s="1062">
        <f>'No Recurrentes 24-26'!CC262</f>
        <v>0</v>
      </c>
      <c r="AO400" s="1062">
        <f>'No Recurrentes 24-26'!CD262</f>
        <v>0</v>
      </c>
      <c r="AP400" s="1062">
        <f>'No Recurrentes 24-26'!CE262</f>
        <v>0</v>
      </c>
      <c r="AQ400" s="1062">
        <f>'No Recurrentes 24-26'!CF262</f>
        <v>0</v>
      </c>
      <c r="AR400" s="1062">
        <f>'No Recurrentes 24-26'!CG262</f>
        <v>0</v>
      </c>
      <c r="AS400" s="1062">
        <f>'No Recurrentes 24-26'!CH262</f>
        <v>0</v>
      </c>
      <c r="AT400" s="1068"/>
      <c r="AU400" s="1062">
        <f>'No Recurrentes 24-26'!CI262</f>
        <v>17</v>
      </c>
      <c r="AV400" s="1063">
        <f>'No Recurrentes 24-26'!CJ262</f>
        <v>34</v>
      </c>
      <c r="AW400" s="1068"/>
      <c r="AX400" s="1065">
        <f>'No Recurrentes 24-26'!CK262</f>
        <v>33.92</v>
      </c>
      <c r="AY400" s="1062">
        <f>'No Recurrentes 24-26'!CL262</f>
        <v>236.0832</v>
      </c>
      <c r="AZ400" s="1068"/>
      <c r="BA400" s="1062">
        <f>'No Recurrentes 24-26'!CM262</f>
        <v>1180.416</v>
      </c>
      <c r="BB400" s="1062">
        <f>'No Recurrentes 24-26'!CN262</f>
        <v>472.1664</v>
      </c>
      <c r="BC400" s="1062">
        <f>'No Recurrentes 24-26'!CO262</f>
        <v>2360.832</v>
      </c>
      <c r="BD400" s="1062">
        <f>'No Recurrentes 24-26'!CP262</f>
        <v>0</v>
      </c>
      <c r="BE400" s="1062">
        <f>'No Recurrentes 24-26'!CQ262</f>
        <v>0</v>
      </c>
      <c r="BF400" s="1062">
        <f>'No Recurrentes 24-26'!CR262</f>
        <v>0</v>
      </c>
      <c r="BG400" s="1062">
        <f>'No Recurrentes 24-26'!CS262</f>
        <v>0</v>
      </c>
      <c r="BH400" s="1062">
        <f>'No Recurrentes 24-26'!CT262</f>
        <v>0</v>
      </c>
      <c r="BI400" s="1062">
        <f>'No Recurrentes 24-26'!CU262</f>
        <v>0</v>
      </c>
      <c r="BJ400" s="1062">
        <f>'No Recurrentes 24-26'!CV262</f>
        <v>0</v>
      </c>
      <c r="BK400" s="1068"/>
      <c r="BL400" s="1062">
        <f>'No Recurrentes 24-26'!CW262</f>
        <v>4013.4144</v>
      </c>
      <c r="BM400" s="1062">
        <f>'No Recurrentes 24-26'!CX262</f>
        <v>0</v>
      </c>
      <c r="BN400" s="1062">
        <f>'No Recurrentes 24-26'!CY262</f>
        <v>0</v>
      </c>
      <c r="BO400" s="1062">
        <f>'No Recurrentes 24-26'!CZ262</f>
        <v>0</v>
      </c>
      <c r="BP400" s="1062">
        <f>'No Recurrentes 24-26'!DA262</f>
        <v>0</v>
      </c>
      <c r="BQ400" s="1062">
        <f>'No Recurrentes 24-26'!DB262</f>
        <v>0</v>
      </c>
      <c r="BR400" s="1062">
        <f>'No Recurrentes 24-26'!DC262</f>
        <v>0</v>
      </c>
      <c r="BS400" s="1062">
        <f>'No Recurrentes 24-26'!DD262</f>
        <v>0</v>
      </c>
      <c r="BT400" s="1062">
        <f>'No Recurrentes 24-26'!DE262</f>
        <v>0</v>
      </c>
      <c r="BU400" s="1062">
        <f>'No Recurrentes 24-26'!DF262</f>
        <v>0</v>
      </c>
      <c r="BV400" s="1062">
        <f>'No Recurrentes 24-26'!DG262</f>
        <v>0</v>
      </c>
      <c r="BW400" s="1068"/>
      <c r="BX400" s="1062">
        <f>'No Recurrentes 24-26'!DH262</f>
        <v>0</v>
      </c>
      <c r="BY400" s="1062">
        <f>'No Recurrentes 24-26'!DI262</f>
        <v>1180.416</v>
      </c>
      <c r="BZ400" s="1062">
        <f>'No Recurrentes 24-26'!DJ262</f>
        <v>472.1664</v>
      </c>
      <c r="CA400" s="1062">
        <f>'No Recurrentes 24-26'!DK262</f>
        <v>2360.832</v>
      </c>
      <c r="CB400" s="1062">
        <f>'No Recurrentes 24-26'!DL262</f>
        <v>0</v>
      </c>
      <c r="CC400" s="1062">
        <f>'No Recurrentes 24-26'!DM262</f>
        <v>0</v>
      </c>
      <c r="CD400" s="1062">
        <f>'No Recurrentes 24-26'!DN262</f>
        <v>0</v>
      </c>
      <c r="CE400" s="1062">
        <f>'No Recurrentes 24-26'!DO262</f>
        <v>0</v>
      </c>
      <c r="CF400" s="1062">
        <f>'No Recurrentes 24-26'!DP262</f>
        <v>0</v>
      </c>
      <c r="CG400" s="1062">
        <f>'No Recurrentes 24-26'!DQ262</f>
        <v>0</v>
      </c>
      <c r="CH400" s="1062">
        <f>'No Recurrentes 24-26'!DR262</f>
        <v>0</v>
      </c>
      <c r="CI400" s="1068"/>
      <c r="CJ400" s="1062">
        <f>'No Recurrentes 24-26'!DS262</f>
        <v>4013.4144</v>
      </c>
      <c r="CK400" s="1062">
        <f>'No Recurrentes 24-26'!DT262</f>
        <v>8026.8288</v>
      </c>
      <c r="CL400" s="1064" t="str">
        <f>'No Recurrentes 24-26'!DU262</f>
        <v/>
      </c>
      <c r="CM400" s="1064" t="str">
        <f>'No Recurrentes 24-26'!DV262</f>
        <v/>
      </c>
      <c r="CN400" s="1065">
        <f>'No Recurrentes 24-26'!EI258</f>
        <v>2.11</v>
      </c>
      <c r="CO400" s="1065">
        <f>'No Recurrentes 24-26'!EJ258</f>
        <v>1.79</v>
      </c>
      <c r="CP400" s="1060" t="str">
        <f>'No Recurrentes 24-26'!EK258</f>
        <v/>
      </c>
    </row>
    <row r="401">
      <c r="A401" s="451" t="str">
        <f>'No Recurrentes 24-26'!A263</f>
        <v>Repuestos Electromecánicos no recurrentes</v>
      </c>
      <c r="B401" s="451">
        <f>'No Recurrentes 24-26'!B263</f>
        <v>2</v>
      </c>
      <c r="C401" s="451" t="str">
        <f>'No Recurrentes 24-26'!C263</f>
        <v>Vehiculo</v>
      </c>
      <c r="D401" s="451" t="str">
        <f>'No Recurrentes 24-26'!D263</f>
        <v>Manto. Pinza</v>
      </c>
      <c r="E401" s="451" t="str">
        <f>'No Recurrentes 24-26'!E263</f>
        <v>Repuesto Mecánico</v>
      </c>
      <c r="F401" s="451" t="str">
        <f>'No Recurrentes 24-26'!F263</f>
        <v>TDB</v>
      </c>
      <c r="G401" s="1025" t="str">
        <f>'No Recurrentes 24-26'!G263</f>
        <v>39800</v>
      </c>
      <c r="H401" s="1061" t="str">
        <f>'No Recurrentes 24-26'!H263</f>
        <v/>
      </c>
      <c r="I401" s="1061" t="str">
        <f>'No Recurrentes 24-26'!I263</f>
        <v>10488431</v>
      </c>
      <c r="J401" s="1061" t="str">
        <f>'No Recurrentes 24-26'!J263</f>
        <v>ANILLO DE CIERRE        A108-C DIA95,0/ 75,0  S=26,0  EL.GALV</v>
      </c>
      <c r="K401" s="451" t="str">
        <f>'No Recurrentes 24-26'!K263</f>
        <v>Pza</v>
      </c>
      <c r="L401" s="451">
        <f>'No Recurrentes 24-26'!BC263</f>
        <v>4</v>
      </c>
      <c r="M401" s="451" t="str">
        <f>'No Recurrentes 24-26'!BD263</f>
        <v/>
      </c>
      <c r="N401" s="451">
        <f>'No Recurrentes 24-26'!BE263</f>
        <v>5</v>
      </c>
      <c r="O401" s="451" t="str">
        <f>'No Recurrentes 24-26'!BF263</f>
        <v/>
      </c>
      <c r="P401" s="451" t="str">
        <f>'No Recurrentes 24-26'!BG263</f>
        <v/>
      </c>
      <c r="Q401" s="451" t="str">
        <f>'No Recurrentes 24-26'!BH263</f>
        <v/>
      </c>
      <c r="R401" s="451" t="str">
        <f>'No Recurrentes 24-26'!BI263</f>
        <v/>
      </c>
      <c r="S401" s="451" t="str">
        <f>'No Recurrentes 24-26'!BJ263</f>
        <v/>
      </c>
      <c r="T401" s="451" t="str">
        <f>'No Recurrentes 24-26'!BK263</f>
        <v/>
      </c>
      <c r="U401" s="451" t="str">
        <f>'No Recurrentes 24-26'!BL263</f>
        <v/>
      </c>
      <c r="V401" s="1068"/>
      <c r="W401" s="1062">
        <f>'No Recurrentes 24-26'!BM263</f>
        <v>9</v>
      </c>
      <c r="X401" s="1062" t="str">
        <f>'No Recurrentes 24-26'!BN263</f>
        <v/>
      </c>
      <c r="Y401" s="1062" t="str">
        <f>'No Recurrentes 24-26'!BO263</f>
        <v/>
      </c>
      <c r="Z401" s="1062" t="str">
        <f>'No Recurrentes 24-26'!BP263</f>
        <v/>
      </c>
      <c r="AA401" s="1062" t="str">
        <f>'No Recurrentes 24-26'!BQ263</f>
        <v/>
      </c>
      <c r="AB401" s="1062" t="str">
        <f>'No Recurrentes 24-26'!BR263</f>
        <v/>
      </c>
      <c r="AC401" s="1062" t="str">
        <f>'No Recurrentes 24-26'!BS263</f>
        <v/>
      </c>
      <c r="AD401" s="1062" t="str">
        <f>'No Recurrentes 24-26'!BT263</f>
        <v/>
      </c>
      <c r="AE401" s="1062" t="str">
        <f>'No Recurrentes 24-26'!BU263</f>
        <v/>
      </c>
      <c r="AF401" s="1062" t="str">
        <f>'No Recurrentes 24-26'!BV263</f>
        <v/>
      </c>
      <c r="AG401" s="1062">
        <f>'No Recurrentes 24-26'!BW263</f>
        <v>1</v>
      </c>
      <c r="AH401" s="1068"/>
      <c r="AI401" s="1062">
        <f>'No Recurrentes 24-26'!BX263</f>
        <v>1</v>
      </c>
      <c r="AJ401" s="1062">
        <f>'No Recurrentes 24-26'!BY263</f>
        <v>0</v>
      </c>
      <c r="AK401" s="1062">
        <f>'No Recurrentes 24-26'!BZ263</f>
        <v>0</v>
      </c>
      <c r="AL401" s="1062">
        <f>'No Recurrentes 24-26'!CA263</f>
        <v>0</v>
      </c>
      <c r="AM401" s="1062">
        <f>'No Recurrentes 24-26'!CB263</f>
        <v>0</v>
      </c>
      <c r="AN401" s="1062">
        <f>'No Recurrentes 24-26'!CC263</f>
        <v>0</v>
      </c>
      <c r="AO401" s="1062">
        <f>'No Recurrentes 24-26'!CD263</f>
        <v>0</v>
      </c>
      <c r="AP401" s="1062">
        <f>'No Recurrentes 24-26'!CE263</f>
        <v>0</v>
      </c>
      <c r="AQ401" s="1062">
        <f>'No Recurrentes 24-26'!CF263</f>
        <v>0</v>
      </c>
      <c r="AR401" s="1062">
        <f>'No Recurrentes 24-26'!CG263</f>
        <v>0</v>
      </c>
      <c r="AS401" s="1062">
        <f>'No Recurrentes 24-26'!CH263</f>
        <v>0</v>
      </c>
      <c r="AT401" s="1068"/>
      <c r="AU401" s="1062">
        <f>'No Recurrentes 24-26'!CI263</f>
        <v>0</v>
      </c>
      <c r="AV401" s="1063">
        <f>'No Recurrentes 24-26'!CJ263</f>
        <v>10</v>
      </c>
      <c r="AW401" s="1068"/>
      <c r="AX401" s="1065">
        <f>'No Recurrentes 24-26'!CK263</f>
        <v>40.65</v>
      </c>
      <c r="AY401" s="1062">
        <f>'No Recurrentes 24-26'!CL263</f>
        <v>282.924</v>
      </c>
      <c r="AZ401" s="1068"/>
      <c r="BA401" s="1062">
        <f>'No Recurrentes 24-26'!CM263</f>
        <v>1131.696</v>
      </c>
      <c r="BB401" s="1062">
        <f>'No Recurrentes 24-26'!CN263</f>
        <v>0</v>
      </c>
      <c r="BC401" s="1062">
        <f>'No Recurrentes 24-26'!CO263</f>
        <v>1414.62</v>
      </c>
      <c r="BD401" s="1062">
        <f>'No Recurrentes 24-26'!CP263</f>
        <v>0</v>
      </c>
      <c r="BE401" s="1062">
        <f>'No Recurrentes 24-26'!CQ263</f>
        <v>0</v>
      </c>
      <c r="BF401" s="1062">
        <f>'No Recurrentes 24-26'!CR263</f>
        <v>0</v>
      </c>
      <c r="BG401" s="1062">
        <f>'No Recurrentes 24-26'!CS263</f>
        <v>0</v>
      </c>
      <c r="BH401" s="1062">
        <f>'No Recurrentes 24-26'!CT263</f>
        <v>0</v>
      </c>
      <c r="BI401" s="1062">
        <f>'No Recurrentes 24-26'!CU263</f>
        <v>0</v>
      </c>
      <c r="BJ401" s="1062">
        <f>'No Recurrentes 24-26'!CV263</f>
        <v>0</v>
      </c>
      <c r="BK401" s="1068"/>
      <c r="BL401" s="1062">
        <f>'No Recurrentes 24-26'!CW263</f>
        <v>2546.316</v>
      </c>
      <c r="BM401" s="1062">
        <f>'No Recurrentes 24-26'!CX263</f>
        <v>0</v>
      </c>
      <c r="BN401" s="1062">
        <f>'No Recurrentes 24-26'!CY263</f>
        <v>0</v>
      </c>
      <c r="BO401" s="1062">
        <f>'No Recurrentes 24-26'!CZ263</f>
        <v>0</v>
      </c>
      <c r="BP401" s="1062">
        <f>'No Recurrentes 24-26'!DA263</f>
        <v>0</v>
      </c>
      <c r="BQ401" s="1062">
        <f>'No Recurrentes 24-26'!DB263</f>
        <v>0</v>
      </c>
      <c r="BR401" s="1062">
        <f>'No Recurrentes 24-26'!DC263</f>
        <v>0</v>
      </c>
      <c r="BS401" s="1062">
        <f>'No Recurrentes 24-26'!DD263</f>
        <v>0</v>
      </c>
      <c r="BT401" s="1062">
        <f>'No Recurrentes 24-26'!DE263</f>
        <v>0</v>
      </c>
      <c r="BU401" s="1062">
        <f>'No Recurrentes 24-26'!DF263</f>
        <v>0</v>
      </c>
      <c r="BV401" s="1062">
        <f>'No Recurrentes 24-26'!DG263</f>
        <v>282.924</v>
      </c>
      <c r="BW401" s="1068"/>
      <c r="BX401" s="1062">
        <f>'No Recurrentes 24-26'!DH263</f>
        <v>282.924</v>
      </c>
      <c r="BY401" s="1062">
        <f>'No Recurrentes 24-26'!DI263</f>
        <v>0</v>
      </c>
      <c r="BZ401" s="1062">
        <f>'No Recurrentes 24-26'!DJ263</f>
        <v>0</v>
      </c>
      <c r="CA401" s="1062">
        <f>'No Recurrentes 24-26'!DK263</f>
        <v>0</v>
      </c>
      <c r="CB401" s="1062">
        <f>'No Recurrentes 24-26'!DL263</f>
        <v>0</v>
      </c>
      <c r="CC401" s="1062">
        <f>'No Recurrentes 24-26'!DM263</f>
        <v>0</v>
      </c>
      <c r="CD401" s="1062">
        <f>'No Recurrentes 24-26'!DN263</f>
        <v>0</v>
      </c>
      <c r="CE401" s="1062">
        <f>'No Recurrentes 24-26'!DO263</f>
        <v>0</v>
      </c>
      <c r="CF401" s="1062">
        <f>'No Recurrentes 24-26'!DP263</f>
        <v>0</v>
      </c>
      <c r="CG401" s="1062">
        <f>'No Recurrentes 24-26'!DQ263</f>
        <v>0</v>
      </c>
      <c r="CH401" s="1062">
        <f>'No Recurrentes 24-26'!DR263</f>
        <v>0</v>
      </c>
      <c r="CI401" s="1068"/>
      <c r="CJ401" s="1062">
        <f>'No Recurrentes 24-26'!DS263</f>
        <v>0</v>
      </c>
      <c r="CK401" s="1062">
        <f>'No Recurrentes 24-26'!DT263</f>
        <v>2829.24</v>
      </c>
      <c r="CL401" s="1064" t="str">
        <f>'No Recurrentes 24-26'!DU263</f>
        <v/>
      </c>
      <c r="CM401" s="1064" t="str">
        <f>'No Recurrentes 24-26'!DV263</f>
        <v/>
      </c>
      <c r="CN401" s="1065">
        <f>'No Recurrentes 24-26'!EI259</f>
        <v>11.81</v>
      </c>
      <c r="CO401" s="1065">
        <f>'No Recurrentes 24-26'!EJ259</f>
        <v>10.04</v>
      </c>
      <c r="CP401" s="1060" t="str">
        <f>'No Recurrentes 24-26'!EK259</f>
        <v/>
      </c>
    </row>
    <row r="402">
      <c r="A402" s="451" t="str">
        <f>'No Recurrentes 24-26'!A264</f>
        <v>Repuestos Electromecánicos no recurrentes</v>
      </c>
      <c r="B402" s="451">
        <f>'No Recurrentes 24-26'!B264</f>
        <v>2</v>
      </c>
      <c r="C402" s="451" t="str">
        <f>'No Recurrentes 24-26'!C264</f>
        <v>Vehiculo</v>
      </c>
      <c r="D402" s="451" t="str">
        <f>'No Recurrentes 24-26'!D264</f>
        <v>Manto. Pinza</v>
      </c>
      <c r="E402" s="451" t="str">
        <f>'No Recurrentes 24-26'!E264</f>
        <v>Repuesto Mecánico</v>
      </c>
      <c r="F402" s="451" t="str">
        <f>'No Recurrentes 24-26'!F264</f>
        <v>TDB</v>
      </c>
      <c r="G402" s="1025" t="str">
        <f>'No Recurrentes 24-26'!G264</f>
        <v>39800</v>
      </c>
      <c r="H402" s="1061" t="str">
        <f>'No Recurrentes 24-26'!H264</f>
        <v>2-01-00282</v>
      </c>
      <c r="I402" s="1061" t="str">
        <f>'No Recurrentes 24-26'!I264</f>
        <v>11304628</v>
      </c>
      <c r="J402" s="1061" t="str">
        <f>'No Recurrentes 24-26'!J264</f>
        <v>NIPLE DE ENGRASE A 6X1,0 ~DIN71412 NIPLE CÓNICO (CIL.) RECTA</v>
      </c>
      <c r="K402" s="451" t="str">
        <f>'No Recurrentes 24-26'!K264</f>
        <v>Pza</v>
      </c>
      <c r="L402" s="451">
        <f>'No Recurrentes 24-26'!BC264</f>
        <v>200</v>
      </c>
      <c r="M402" s="451" t="str">
        <f>'No Recurrentes 24-26'!BD264</f>
        <v/>
      </c>
      <c r="N402" s="451">
        <f>'No Recurrentes 24-26'!BE264</f>
        <v>300</v>
      </c>
      <c r="O402" s="451" t="str">
        <f>'No Recurrentes 24-26'!BF264</f>
        <v/>
      </c>
      <c r="P402" s="451" t="str">
        <f>'No Recurrentes 24-26'!BG264</f>
        <v/>
      </c>
      <c r="Q402" s="451" t="str">
        <f>'No Recurrentes 24-26'!BH264</f>
        <v/>
      </c>
      <c r="R402" s="451" t="str">
        <f>'No Recurrentes 24-26'!BI264</f>
        <v/>
      </c>
      <c r="S402" s="451" t="str">
        <f>'No Recurrentes 24-26'!BJ264</f>
        <v/>
      </c>
      <c r="T402" s="451" t="str">
        <f>'No Recurrentes 24-26'!BK264</f>
        <v/>
      </c>
      <c r="U402" s="451" t="str">
        <f>'No Recurrentes 24-26'!BL264</f>
        <v/>
      </c>
      <c r="V402" s="1068"/>
      <c r="W402" s="1062">
        <f>'No Recurrentes 24-26'!BM264</f>
        <v>500</v>
      </c>
      <c r="X402" s="1062">
        <f>'No Recurrentes 24-26'!BN264</f>
        <v>200</v>
      </c>
      <c r="Y402" s="1062">
        <f>'No Recurrentes 24-26'!BO264</f>
        <v>120</v>
      </c>
      <c r="Z402" s="1062">
        <f>'No Recurrentes 24-26'!BP264</f>
        <v>300</v>
      </c>
      <c r="AA402" s="1062" t="str">
        <f>'No Recurrentes 24-26'!BQ264</f>
        <v/>
      </c>
      <c r="AB402" s="1062" t="str">
        <f>'No Recurrentes 24-26'!BR264</f>
        <v/>
      </c>
      <c r="AC402" s="1062" t="str">
        <f>'No Recurrentes 24-26'!BS264</f>
        <v/>
      </c>
      <c r="AD402" s="1062" t="str">
        <f>'No Recurrentes 24-26'!BT264</f>
        <v/>
      </c>
      <c r="AE402" s="1062" t="str">
        <f>'No Recurrentes 24-26'!BU264</f>
        <v/>
      </c>
      <c r="AF402" s="1062" t="str">
        <f>'No Recurrentes 24-26'!BV264</f>
        <v/>
      </c>
      <c r="AG402" s="1062" t="str">
        <f>'No Recurrentes 24-26'!BW264</f>
        <v/>
      </c>
      <c r="AH402" s="1068"/>
      <c r="AI402" s="1062">
        <f>'No Recurrentes 24-26'!BX264</f>
        <v>620</v>
      </c>
      <c r="AJ402" s="1062">
        <f>'No Recurrentes 24-26'!BY264</f>
        <v>200</v>
      </c>
      <c r="AK402" s="1062">
        <f>'No Recurrentes 24-26'!BZ264</f>
        <v>120</v>
      </c>
      <c r="AL402" s="1062">
        <f>'No Recurrentes 24-26'!CA264</f>
        <v>300</v>
      </c>
      <c r="AM402" s="1062">
        <f>'No Recurrentes 24-26'!CB264</f>
        <v>0</v>
      </c>
      <c r="AN402" s="1062">
        <f>'No Recurrentes 24-26'!CC264</f>
        <v>0</v>
      </c>
      <c r="AO402" s="1062">
        <f>'No Recurrentes 24-26'!CD264</f>
        <v>0</v>
      </c>
      <c r="AP402" s="1062">
        <f>'No Recurrentes 24-26'!CE264</f>
        <v>0</v>
      </c>
      <c r="AQ402" s="1062">
        <f>'No Recurrentes 24-26'!CF264</f>
        <v>0</v>
      </c>
      <c r="AR402" s="1062">
        <f>'No Recurrentes 24-26'!CG264</f>
        <v>0</v>
      </c>
      <c r="AS402" s="1062">
        <f>'No Recurrentes 24-26'!CH264</f>
        <v>0</v>
      </c>
      <c r="AT402" s="1068"/>
      <c r="AU402" s="1062">
        <f>'No Recurrentes 24-26'!CI264</f>
        <v>620</v>
      </c>
      <c r="AV402" s="1063">
        <f>'No Recurrentes 24-26'!CJ264</f>
        <v>1740</v>
      </c>
      <c r="AW402" s="1068"/>
      <c r="AX402" s="1065">
        <f>'No Recurrentes 24-26'!CK264</f>
        <v>0.73</v>
      </c>
      <c r="AY402" s="1062">
        <f>'No Recurrentes 24-26'!CL264</f>
        <v>5.0808</v>
      </c>
      <c r="AZ402" s="1068"/>
      <c r="BA402" s="1062">
        <f>'No Recurrentes 24-26'!CM264</f>
        <v>1016.16</v>
      </c>
      <c r="BB402" s="1062">
        <f>'No Recurrentes 24-26'!CN264</f>
        <v>0</v>
      </c>
      <c r="BC402" s="1062">
        <f>'No Recurrentes 24-26'!CO264</f>
        <v>1524.24</v>
      </c>
      <c r="BD402" s="1062">
        <f>'No Recurrentes 24-26'!CP264</f>
        <v>0</v>
      </c>
      <c r="BE402" s="1062">
        <f>'No Recurrentes 24-26'!CQ264</f>
        <v>0</v>
      </c>
      <c r="BF402" s="1062">
        <f>'No Recurrentes 24-26'!CR264</f>
        <v>0</v>
      </c>
      <c r="BG402" s="1062">
        <f>'No Recurrentes 24-26'!CS264</f>
        <v>0</v>
      </c>
      <c r="BH402" s="1062">
        <f>'No Recurrentes 24-26'!CT264</f>
        <v>0</v>
      </c>
      <c r="BI402" s="1062">
        <f>'No Recurrentes 24-26'!CU264</f>
        <v>0</v>
      </c>
      <c r="BJ402" s="1062">
        <f>'No Recurrentes 24-26'!CV264</f>
        <v>0</v>
      </c>
      <c r="BK402" s="1068"/>
      <c r="BL402" s="1062">
        <f>'No Recurrentes 24-26'!CW264</f>
        <v>2540.4</v>
      </c>
      <c r="BM402" s="1062">
        <f>'No Recurrentes 24-26'!CX264</f>
        <v>1016.16</v>
      </c>
      <c r="BN402" s="1062">
        <f>'No Recurrentes 24-26'!CY264</f>
        <v>609.696</v>
      </c>
      <c r="BO402" s="1062">
        <f>'No Recurrentes 24-26'!CZ264</f>
        <v>1524.24</v>
      </c>
      <c r="BP402" s="1062">
        <f>'No Recurrentes 24-26'!DA264</f>
        <v>0</v>
      </c>
      <c r="BQ402" s="1062">
        <f>'No Recurrentes 24-26'!DB264</f>
        <v>0</v>
      </c>
      <c r="BR402" s="1062">
        <f>'No Recurrentes 24-26'!DC264</f>
        <v>0</v>
      </c>
      <c r="BS402" s="1062">
        <f>'No Recurrentes 24-26'!DD264</f>
        <v>0</v>
      </c>
      <c r="BT402" s="1062">
        <f>'No Recurrentes 24-26'!DE264</f>
        <v>0</v>
      </c>
      <c r="BU402" s="1062">
        <f>'No Recurrentes 24-26'!DF264</f>
        <v>0</v>
      </c>
      <c r="BV402" s="1062">
        <f>'No Recurrentes 24-26'!DG264</f>
        <v>0</v>
      </c>
      <c r="BW402" s="1068"/>
      <c r="BX402" s="1062">
        <f>'No Recurrentes 24-26'!DH264</f>
        <v>3150.096</v>
      </c>
      <c r="BY402" s="1062">
        <f>'No Recurrentes 24-26'!DI264</f>
        <v>1016.16</v>
      </c>
      <c r="BZ402" s="1062">
        <f>'No Recurrentes 24-26'!DJ264</f>
        <v>609.696</v>
      </c>
      <c r="CA402" s="1062">
        <f>'No Recurrentes 24-26'!DK264</f>
        <v>1524.24</v>
      </c>
      <c r="CB402" s="1062">
        <f>'No Recurrentes 24-26'!DL264</f>
        <v>0</v>
      </c>
      <c r="CC402" s="1062">
        <f>'No Recurrentes 24-26'!DM264</f>
        <v>0</v>
      </c>
      <c r="CD402" s="1062">
        <f>'No Recurrentes 24-26'!DN264</f>
        <v>0</v>
      </c>
      <c r="CE402" s="1062">
        <f>'No Recurrentes 24-26'!DO264</f>
        <v>0</v>
      </c>
      <c r="CF402" s="1062">
        <f>'No Recurrentes 24-26'!DP264</f>
        <v>0</v>
      </c>
      <c r="CG402" s="1062">
        <f>'No Recurrentes 24-26'!DQ264</f>
        <v>0</v>
      </c>
      <c r="CH402" s="1062">
        <f>'No Recurrentes 24-26'!DR264</f>
        <v>0</v>
      </c>
      <c r="CI402" s="1068"/>
      <c r="CJ402" s="1062">
        <f>'No Recurrentes 24-26'!DS264</f>
        <v>3150.096</v>
      </c>
      <c r="CK402" s="1062">
        <f>'No Recurrentes 24-26'!DT264</f>
        <v>8840.592</v>
      </c>
      <c r="CL402" s="1064" t="str">
        <f>'No Recurrentes 24-26'!DU264</f>
        <v/>
      </c>
      <c r="CM402" s="1064" t="str">
        <f>'No Recurrentes 24-26'!DV264</f>
        <v/>
      </c>
      <c r="CN402" s="1065">
        <f>'No Recurrentes 24-26'!EI260</f>
        <v>3.81</v>
      </c>
      <c r="CO402" s="1065">
        <f>'No Recurrentes 24-26'!EJ260</f>
        <v>3.24</v>
      </c>
      <c r="CP402" s="1060" t="str">
        <f>'No Recurrentes 24-26'!EK260</f>
        <v/>
      </c>
    </row>
    <row r="403">
      <c r="A403" s="451" t="str">
        <f>'No Recurrentes 24-26'!A265</f>
        <v>Repuestos Electromecánicos no recurrentes</v>
      </c>
      <c r="B403" s="451">
        <f>'No Recurrentes 24-26'!B265</f>
        <v>2</v>
      </c>
      <c r="C403" s="451" t="str">
        <f>'No Recurrentes 24-26'!C265</f>
        <v>Vehiculo</v>
      </c>
      <c r="D403" s="451" t="str">
        <f>'No Recurrentes 24-26'!D265</f>
        <v>Manto. Pinza</v>
      </c>
      <c r="E403" s="451" t="str">
        <f>'No Recurrentes 24-26'!E265</f>
        <v>Repuesto Mecánico</v>
      </c>
      <c r="F403" s="451" t="str">
        <f>'No Recurrentes 24-26'!F265</f>
        <v>TDB</v>
      </c>
      <c r="G403" s="1025" t="str">
        <f>'No Recurrentes 24-26'!G265</f>
        <v>39800</v>
      </c>
      <c r="H403" s="1061" t="str">
        <f>'No Recurrentes 24-26'!H265</f>
        <v>2-01-00023</v>
      </c>
      <c r="I403" s="1061" t="str">
        <f>'No Recurrentes 24-26'!I265</f>
        <v>10292406</v>
      </c>
      <c r="J403" s="1061" t="str">
        <f>'No Recurrentes 24-26'!J265</f>
        <v>TUERCA ALMEN. DIN979-04 M30X2  VERZINKT, NIEDRIGE BAUART</v>
      </c>
      <c r="K403" s="451" t="str">
        <f>'No Recurrentes 24-26'!K265</f>
        <v>Pza</v>
      </c>
      <c r="L403" s="451">
        <f>'No Recurrentes 24-26'!BC265</f>
        <v>10</v>
      </c>
      <c r="M403" s="451" t="str">
        <f>'No Recurrentes 24-26'!BD265</f>
        <v/>
      </c>
      <c r="N403" s="451">
        <f>'No Recurrentes 24-26'!BE265</f>
        <v>5</v>
      </c>
      <c r="O403" s="451" t="str">
        <f>'No Recurrentes 24-26'!BF265</f>
        <v/>
      </c>
      <c r="P403" s="451" t="str">
        <f>'No Recurrentes 24-26'!BG265</f>
        <v/>
      </c>
      <c r="Q403" s="451" t="str">
        <f>'No Recurrentes 24-26'!BH265</f>
        <v/>
      </c>
      <c r="R403" s="451" t="str">
        <f>'No Recurrentes 24-26'!BI265</f>
        <v/>
      </c>
      <c r="S403" s="451" t="str">
        <f>'No Recurrentes 24-26'!BJ265</f>
        <v/>
      </c>
      <c r="T403" s="451" t="str">
        <f>'No Recurrentes 24-26'!BK265</f>
        <v/>
      </c>
      <c r="U403" s="451" t="str">
        <f>'No Recurrentes 24-26'!BL265</f>
        <v/>
      </c>
      <c r="V403" s="1068"/>
      <c r="W403" s="1062">
        <f>'No Recurrentes 24-26'!BM265</f>
        <v>15</v>
      </c>
      <c r="X403" s="1062" t="str">
        <f>'No Recurrentes 24-26'!BN265</f>
        <v/>
      </c>
      <c r="Y403" s="1062" t="str">
        <f>'No Recurrentes 24-26'!BO265</f>
        <v/>
      </c>
      <c r="Z403" s="1062" t="str">
        <f>'No Recurrentes 24-26'!BP265</f>
        <v/>
      </c>
      <c r="AA403" s="1062" t="str">
        <f>'No Recurrentes 24-26'!BQ265</f>
        <v/>
      </c>
      <c r="AB403" s="1062" t="str">
        <f>'No Recurrentes 24-26'!BR265</f>
        <v/>
      </c>
      <c r="AC403" s="1062" t="str">
        <f>'No Recurrentes 24-26'!BS265</f>
        <v/>
      </c>
      <c r="AD403" s="1062" t="str">
        <f>'No Recurrentes 24-26'!BT265</f>
        <v/>
      </c>
      <c r="AE403" s="1062" t="str">
        <f>'No Recurrentes 24-26'!BU265</f>
        <v/>
      </c>
      <c r="AF403" s="1062" t="str">
        <f>'No Recurrentes 24-26'!BV265</f>
        <v/>
      </c>
      <c r="AG403" s="1062" t="str">
        <f>'No Recurrentes 24-26'!BW265</f>
        <v/>
      </c>
      <c r="AH403" s="1068"/>
      <c r="AI403" s="1062">
        <f>'No Recurrentes 24-26'!BX265</f>
        <v>0</v>
      </c>
      <c r="AJ403" s="1062">
        <f>'No Recurrentes 24-26'!BY265</f>
        <v>0</v>
      </c>
      <c r="AK403" s="1062">
        <f>'No Recurrentes 24-26'!BZ265</f>
        <v>0</v>
      </c>
      <c r="AL403" s="1062">
        <f>'No Recurrentes 24-26'!CA265</f>
        <v>0</v>
      </c>
      <c r="AM403" s="1062">
        <f>'No Recurrentes 24-26'!CB265</f>
        <v>0</v>
      </c>
      <c r="AN403" s="1062">
        <f>'No Recurrentes 24-26'!CC265</f>
        <v>0</v>
      </c>
      <c r="AO403" s="1062">
        <f>'No Recurrentes 24-26'!CD265</f>
        <v>0</v>
      </c>
      <c r="AP403" s="1062">
        <f>'No Recurrentes 24-26'!CE265</f>
        <v>0</v>
      </c>
      <c r="AQ403" s="1062">
        <f>'No Recurrentes 24-26'!CF265</f>
        <v>0</v>
      </c>
      <c r="AR403" s="1062">
        <f>'No Recurrentes 24-26'!CG265</f>
        <v>0</v>
      </c>
      <c r="AS403" s="1062">
        <f>'No Recurrentes 24-26'!CH265</f>
        <v>0</v>
      </c>
      <c r="AT403" s="1068"/>
      <c r="AU403" s="1062">
        <f>'No Recurrentes 24-26'!CI265</f>
        <v>0</v>
      </c>
      <c r="AV403" s="1063">
        <f>'No Recurrentes 24-26'!CJ265</f>
        <v>15</v>
      </c>
      <c r="AW403" s="1068"/>
      <c r="AX403" s="1065">
        <f>'No Recurrentes 24-26'!CK265</f>
        <v>10.96</v>
      </c>
      <c r="AY403" s="1062">
        <f>'No Recurrentes 24-26'!CL265</f>
        <v>76.2816</v>
      </c>
      <c r="AZ403" s="1068"/>
      <c r="BA403" s="1062">
        <f>'No Recurrentes 24-26'!CM265</f>
        <v>762.816</v>
      </c>
      <c r="BB403" s="1062">
        <f>'No Recurrentes 24-26'!CN265</f>
        <v>0</v>
      </c>
      <c r="BC403" s="1062">
        <f>'No Recurrentes 24-26'!CO265</f>
        <v>381.408</v>
      </c>
      <c r="BD403" s="1062">
        <f>'No Recurrentes 24-26'!CP265</f>
        <v>0</v>
      </c>
      <c r="BE403" s="1062">
        <f>'No Recurrentes 24-26'!CQ265</f>
        <v>0</v>
      </c>
      <c r="BF403" s="1062">
        <f>'No Recurrentes 24-26'!CR265</f>
        <v>0</v>
      </c>
      <c r="BG403" s="1062">
        <f>'No Recurrentes 24-26'!CS265</f>
        <v>0</v>
      </c>
      <c r="BH403" s="1062">
        <f>'No Recurrentes 24-26'!CT265</f>
        <v>0</v>
      </c>
      <c r="BI403" s="1062">
        <f>'No Recurrentes 24-26'!CU265</f>
        <v>0</v>
      </c>
      <c r="BJ403" s="1062">
        <f>'No Recurrentes 24-26'!CV265</f>
        <v>0</v>
      </c>
      <c r="BK403" s="1068"/>
      <c r="BL403" s="1062">
        <f>'No Recurrentes 24-26'!CW265</f>
        <v>1144.224</v>
      </c>
      <c r="BM403" s="1062">
        <f>'No Recurrentes 24-26'!CX265</f>
        <v>0</v>
      </c>
      <c r="BN403" s="1062">
        <f>'No Recurrentes 24-26'!CY265</f>
        <v>0</v>
      </c>
      <c r="BO403" s="1062">
        <f>'No Recurrentes 24-26'!CZ265</f>
        <v>0</v>
      </c>
      <c r="BP403" s="1062">
        <f>'No Recurrentes 24-26'!DA265</f>
        <v>0</v>
      </c>
      <c r="BQ403" s="1062">
        <f>'No Recurrentes 24-26'!DB265</f>
        <v>0</v>
      </c>
      <c r="BR403" s="1062">
        <f>'No Recurrentes 24-26'!DC265</f>
        <v>0</v>
      </c>
      <c r="BS403" s="1062">
        <f>'No Recurrentes 24-26'!DD265</f>
        <v>0</v>
      </c>
      <c r="BT403" s="1062">
        <f>'No Recurrentes 24-26'!DE265</f>
        <v>0</v>
      </c>
      <c r="BU403" s="1062">
        <f>'No Recurrentes 24-26'!DF265</f>
        <v>0</v>
      </c>
      <c r="BV403" s="1062">
        <f>'No Recurrentes 24-26'!DG265</f>
        <v>0</v>
      </c>
      <c r="BW403" s="1068"/>
      <c r="BX403" s="1062">
        <f>'No Recurrentes 24-26'!DH265</f>
        <v>0</v>
      </c>
      <c r="BY403" s="1062">
        <f>'No Recurrentes 24-26'!DI265</f>
        <v>0</v>
      </c>
      <c r="BZ403" s="1062">
        <f>'No Recurrentes 24-26'!DJ265</f>
        <v>0</v>
      </c>
      <c r="CA403" s="1062">
        <f>'No Recurrentes 24-26'!DK265</f>
        <v>0</v>
      </c>
      <c r="CB403" s="1062">
        <f>'No Recurrentes 24-26'!DL265</f>
        <v>0</v>
      </c>
      <c r="CC403" s="1062">
        <f>'No Recurrentes 24-26'!DM265</f>
        <v>0</v>
      </c>
      <c r="CD403" s="1062">
        <f>'No Recurrentes 24-26'!DN265</f>
        <v>0</v>
      </c>
      <c r="CE403" s="1062">
        <f>'No Recurrentes 24-26'!DO265</f>
        <v>0</v>
      </c>
      <c r="CF403" s="1062">
        <f>'No Recurrentes 24-26'!DP265</f>
        <v>0</v>
      </c>
      <c r="CG403" s="1062">
        <f>'No Recurrentes 24-26'!DQ265</f>
        <v>0</v>
      </c>
      <c r="CH403" s="1062">
        <f>'No Recurrentes 24-26'!DR265</f>
        <v>0</v>
      </c>
      <c r="CI403" s="1068"/>
      <c r="CJ403" s="1062">
        <f>'No Recurrentes 24-26'!DS265</f>
        <v>0</v>
      </c>
      <c r="CK403" s="1062">
        <f>'No Recurrentes 24-26'!DT265</f>
        <v>1144.224</v>
      </c>
      <c r="CL403" s="1064" t="str">
        <f>'No Recurrentes 24-26'!DU265</f>
        <v/>
      </c>
      <c r="CM403" s="1064" t="str">
        <f>'No Recurrentes 24-26'!DV265</f>
        <v/>
      </c>
      <c r="CN403" s="1065">
        <f>'No Recurrentes 24-26'!EI261</f>
        <v>13.42</v>
      </c>
      <c r="CO403" s="1065">
        <f>'No Recurrentes 24-26'!EJ261</f>
        <v>11.41</v>
      </c>
      <c r="CP403" s="1060" t="str">
        <f>'No Recurrentes 24-26'!EK261</f>
        <v/>
      </c>
    </row>
    <row r="404">
      <c r="A404" s="451" t="str">
        <f>'No Recurrentes 24-26'!A266</f>
        <v>Repuestos Electromecánicos no recurrentes</v>
      </c>
      <c r="B404" s="451">
        <f>'No Recurrentes 24-26'!B266</f>
        <v>2</v>
      </c>
      <c r="C404" s="451" t="str">
        <f>'No Recurrentes 24-26'!C266</f>
        <v>Vehiculo</v>
      </c>
      <c r="D404" s="451" t="str">
        <f>'No Recurrentes 24-26'!D266</f>
        <v>Manto. Pinza</v>
      </c>
      <c r="E404" s="451" t="str">
        <f>'No Recurrentes 24-26'!E266</f>
        <v>Repuesto Mecánico</v>
      </c>
      <c r="F404" s="451" t="str">
        <f>'No Recurrentes 24-26'!F266</f>
        <v>TDB</v>
      </c>
      <c r="G404" s="1025" t="str">
        <f>'No Recurrentes 24-26'!G266</f>
        <v>39800</v>
      </c>
      <c r="H404" s="1061" t="str">
        <f>'No Recurrentes 24-26'!H266</f>
        <v>2-01-00286</v>
      </c>
      <c r="I404" s="1061" t="str">
        <f>'No Recurrentes 24-26'!I266</f>
        <v>10000079</v>
      </c>
      <c r="J404" s="1061" t="str">
        <f>'No Recurrentes 24-26'!J266</f>
        <v>TUERCA HEXAG. DIN 985-8 M10 ELECTROGALV. (C.ELEM.DE FIJAC.)</v>
      </c>
      <c r="K404" s="451" t="str">
        <f>'No Recurrentes 24-26'!K266</f>
        <v>Pza</v>
      </c>
      <c r="L404" s="451">
        <f>'No Recurrentes 24-26'!BC266</f>
        <v>80</v>
      </c>
      <c r="M404" s="451">
        <f>'No Recurrentes 24-26'!BD266</f>
        <v>60</v>
      </c>
      <c r="N404" s="451">
        <f>'No Recurrentes 24-26'!BE266</f>
        <v>80</v>
      </c>
      <c r="O404" s="451">
        <f>'No Recurrentes 24-26'!BF266</f>
        <v>360</v>
      </c>
      <c r="P404" s="451">
        <f>'No Recurrentes 24-26'!BG266</f>
        <v>0</v>
      </c>
      <c r="Q404" s="451">
        <f>'No Recurrentes 24-26'!BH266</f>
        <v>0</v>
      </c>
      <c r="R404" s="451" t="str">
        <f>'No Recurrentes 24-26'!BI266</f>
        <v/>
      </c>
      <c r="S404" s="451" t="str">
        <f>'No Recurrentes 24-26'!BJ266</f>
        <v/>
      </c>
      <c r="T404" s="451" t="str">
        <f>'No Recurrentes 24-26'!BK266</f>
        <v/>
      </c>
      <c r="U404" s="451" t="str">
        <f>'No Recurrentes 24-26'!BL266</f>
        <v/>
      </c>
      <c r="V404" s="1068"/>
      <c r="W404" s="1062">
        <f>'No Recurrentes 24-26'!BM266</f>
        <v>580</v>
      </c>
      <c r="X404" s="1062" t="str">
        <f>'No Recurrentes 24-26'!BN266</f>
        <v/>
      </c>
      <c r="Y404" s="1062" t="str">
        <f>'No Recurrentes 24-26'!BO266</f>
        <v/>
      </c>
      <c r="Z404" s="1062" t="str">
        <f>'No Recurrentes 24-26'!BP266</f>
        <v/>
      </c>
      <c r="AA404" s="1062" t="str">
        <f>'No Recurrentes 24-26'!BQ266</f>
        <v/>
      </c>
      <c r="AB404" s="1062" t="str">
        <f>'No Recurrentes 24-26'!BR266</f>
        <v/>
      </c>
      <c r="AC404" s="1062" t="str">
        <f>'No Recurrentes 24-26'!BS266</f>
        <v/>
      </c>
      <c r="AD404" s="1062" t="str">
        <f>'No Recurrentes 24-26'!BT266</f>
        <v/>
      </c>
      <c r="AE404" s="1062" t="str">
        <f>'No Recurrentes 24-26'!BU266</f>
        <v/>
      </c>
      <c r="AF404" s="1062" t="str">
        <f>'No Recurrentes 24-26'!BV266</f>
        <v/>
      </c>
      <c r="AG404" s="1062" t="str">
        <f>'No Recurrentes 24-26'!BW266</f>
        <v/>
      </c>
      <c r="AH404" s="1068"/>
      <c r="AI404" s="1062">
        <f>'No Recurrentes 24-26'!BX266</f>
        <v>0</v>
      </c>
      <c r="AJ404" s="1062">
        <f>'No Recurrentes 24-26'!BY266</f>
        <v>0</v>
      </c>
      <c r="AK404" s="1062">
        <f>'No Recurrentes 24-26'!BZ266</f>
        <v>0</v>
      </c>
      <c r="AL404" s="1062">
        <f>'No Recurrentes 24-26'!CA266</f>
        <v>0</v>
      </c>
      <c r="AM404" s="1062">
        <f>'No Recurrentes 24-26'!CB266</f>
        <v>0</v>
      </c>
      <c r="AN404" s="1062">
        <f>'No Recurrentes 24-26'!CC266</f>
        <v>0</v>
      </c>
      <c r="AO404" s="1062">
        <f>'No Recurrentes 24-26'!CD266</f>
        <v>0</v>
      </c>
      <c r="AP404" s="1062">
        <f>'No Recurrentes 24-26'!CE266</f>
        <v>0</v>
      </c>
      <c r="AQ404" s="1062">
        <f>'No Recurrentes 24-26'!CF266</f>
        <v>0</v>
      </c>
      <c r="AR404" s="1062">
        <f>'No Recurrentes 24-26'!CG266</f>
        <v>0</v>
      </c>
      <c r="AS404" s="1062">
        <f>'No Recurrentes 24-26'!CH266</f>
        <v>0</v>
      </c>
      <c r="AT404" s="1068"/>
      <c r="AU404" s="1062">
        <f>'No Recurrentes 24-26'!CI266</f>
        <v>0</v>
      </c>
      <c r="AV404" s="1063">
        <f>'No Recurrentes 24-26'!CJ266</f>
        <v>580</v>
      </c>
      <c r="AW404" s="1068"/>
      <c r="AX404" s="1065">
        <f>'No Recurrentes 24-26'!CK266</f>
        <v>0.23</v>
      </c>
      <c r="AY404" s="1062">
        <f>'No Recurrentes 24-26'!CL266</f>
        <v>1.6008</v>
      </c>
      <c r="AZ404" s="1068"/>
      <c r="BA404" s="1062">
        <f>'No Recurrentes 24-26'!CM266</f>
        <v>128.064</v>
      </c>
      <c r="BB404" s="1062">
        <f>'No Recurrentes 24-26'!CN266</f>
        <v>96.048</v>
      </c>
      <c r="BC404" s="1062">
        <f>'No Recurrentes 24-26'!CO266</f>
        <v>128.064</v>
      </c>
      <c r="BD404" s="1062">
        <f>'No Recurrentes 24-26'!CP266</f>
        <v>576.288</v>
      </c>
      <c r="BE404" s="1062">
        <f>'No Recurrentes 24-26'!CQ266</f>
        <v>0</v>
      </c>
      <c r="BF404" s="1062">
        <f>'No Recurrentes 24-26'!CR266</f>
        <v>0</v>
      </c>
      <c r="BG404" s="1062">
        <f>'No Recurrentes 24-26'!CS266</f>
        <v>0</v>
      </c>
      <c r="BH404" s="1062">
        <f>'No Recurrentes 24-26'!CT266</f>
        <v>0</v>
      </c>
      <c r="BI404" s="1062">
        <f>'No Recurrentes 24-26'!CU266</f>
        <v>0</v>
      </c>
      <c r="BJ404" s="1062">
        <f>'No Recurrentes 24-26'!CV266</f>
        <v>0</v>
      </c>
      <c r="BK404" s="1068"/>
      <c r="BL404" s="1062">
        <f>'No Recurrentes 24-26'!CW266</f>
        <v>928.464</v>
      </c>
      <c r="BM404" s="1062">
        <f>'No Recurrentes 24-26'!CX266</f>
        <v>0</v>
      </c>
      <c r="BN404" s="1062">
        <f>'No Recurrentes 24-26'!CY266</f>
        <v>0</v>
      </c>
      <c r="BO404" s="1062">
        <f>'No Recurrentes 24-26'!CZ266</f>
        <v>0</v>
      </c>
      <c r="BP404" s="1062">
        <f>'No Recurrentes 24-26'!DA266</f>
        <v>0</v>
      </c>
      <c r="BQ404" s="1062">
        <f>'No Recurrentes 24-26'!DB266</f>
        <v>0</v>
      </c>
      <c r="BR404" s="1062">
        <f>'No Recurrentes 24-26'!DC266</f>
        <v>0</v>
      </c>
      <c r="BS404" s="1062">
        <f>'No Recurrentes 24-26'!DD266</f>
        <v>0</v>
      </c>
      <c r="BT404" s="1062">
        <f>'No Recurrentes 24-26'!DE266</f>
        <v>0</v>
      </c>
      <c r="BU404" s="1062">
        <f>'No Recurrentes 24-26'!DF266</f>
        <v>0</v>
      </c>
      <c r="BV404" s="1062">
        <f>'No Recurrentes 24-26'!DG266</f>
        <v>0</v>
      </c>
      <c r="BW404" s="1068"/>
      <c r="BX404" s="1062">
        <f>'No Recurrentes 24-26'!DH266</f>
        <v>0</v>
      </c>
      <c r="BY404" s="1062">
        <f>'No Recurrentes 24-26'!DI266</f>
        <v>0</v>
      </c>
      <c r="BZ404" s="1062">
        <f>'No Recurrentes 24-26'!DJ266</f>
        <v>0</v>
      </c>
      <c r="CA404" s="1062">
        <f>'No Recurrentes 24-26'!DK266</f>
        <v>0</v>
      </c>
      <c r="CB404" s="1062">
        <f>'No Recurrentes 24-26'!DL266</f>
        <v>0</v>
      </c>
      <c r="CC404" s="1062">
        <f>'No Recurrentes 24-26'!DM266</f>
        <v>0</v>
      </c>
      <c r="CD404" s="1062">
        <f>'No Recurrentes 24-26'!DN266</f>
        <v>0</v>
      </c>
      <c r="CE404" s="1062">
        <f>'No Recurrentes 24-26'!DO266</f>
        <v>0</v>
      </c>
      <c r="CF404" s="1062">
        <f>'No Recurrentes 24-26'!DP266</f>
        <v>0</v>
      </c>
      <c r="CG404" s="1062">
        <f>'No Recurrentes 24-26'!DQ266</f>
        <v>0</v>
      </c>
      <c r="CH404" s="1062">
        <f>'No Recurrentes 24-26'!DR266</f>
        <v>0</v>
      </c>
      <c r="CI404" s="1068"/>
      <c r="CJ404" s="1062">
        <f>'No Recurrentes 24-26'!DS266</f>
        <v>0</v>
      </c>
      <c r="CK404" s="1062">
        <f>'No Recurrentes 24-26'!DT266</f>
        <v>928.464</v>
      </c>
      <c r="CL404" s="1064" t="str">
        <f>'No Recurrentes 24-26'!DU266</f>
        <v/>
      </c>
      <c r="CM404" s="1064" t="str">
        <f>'No Recurrentes 24-26'!DV266</f>
        <v/>
      </c>
      <c r="CN404" s="1065">
        <f>'No Recurrentes 24-26'!EI262</f>
        <v>33.92</v>
      </c>
      <c r="CO404" s="1065">
        <f>'No Recurrentes 24-26'!EJ262</f>
        <v>28.83</v>
      </c>
      <c r="CP404" s="1060" t="str">
        <f>'No Recurrentes 24-26'!EK262</f>
        <v/>
      </c>
    </row>
    <row r="405">
      <c r="A405" s="451" t="str">
        <f>'No Recurrentes 24-26'!A267</f>
        <v>Repuestos Electromecánicos no recurrentes</v>
      </c>
      <c r="B405" s="451">
        <f>'No Recurrentes 24-26'!B267</f>
        <v>2</v>
      </c>
      <c r="C405" s="451" t="str">
        <f>'No Recurrentes 24-26'!C267</f>
        <v>Vehiculo</v>
      </c>
      <c r="D405" s="451" t="str">
        <f>'No Recurrentes 24-26'!D267</f>
        <v>Manto. Pinza</v>
      </c>
      <c r="E405" s="451" t="str">
        <f>'No Recurrentes 24-26'!E267</f>
        <v>Repuesto Mecánico</v>
      </c>
      <c r="F405" s="451" t="str">
        <f>'No Recurrentes 24-26'!F267</f>
        <v>TDB</v>
      </c>
      <c r="G405" s="1025" t="str">
        <f>'No Recurrentes 24-26'!G267</f>
        <v>39800</v>
      </c>
      <c r="H405" s="1061" t="str">
        <f>'No Recurrentes 24-26'!H267</f>
        <v>2-01-00351</v>
      </c>
      <c r="I405" s="1061" t="str">
        <f>'No Recurrentes 24-26'!I267</f>
        <v>10001860</v>
      </c>
      <c r="J405" s="1061" t="str">
        <f>'No Recurrentes 24-26'!J267</f>
        <v>TORNILLO ISO 4017-8.8 M8X20, TORN. HEXAG., GALVAN.</v>
      </c>
      <c r="K405" s="451" t="str">
        <f>'No Recurrentes 24-26'!K267</f>
        <v>Pza</v>
      </c>
      <c r="L405" s="451">
        <f>'No Recurrentes 24-26'!BC267</f>
        <v>120</v>
      </c>
      <c r="M405" s="451">
        <f>'No Recurrentes 24-26'!BD267</f>
        <v>50</v>
      </c>
      <c r="N405" s="451">
        <f>'No Recurrentes 24-26'!BE267</f>
        <v>110</v>
      </c>
      <c r="O405" s="451" t="str">
        <f>'No Recurrentes 24-26'!BF267</f>
        <v/>
      </c>
      <c r="P405" s="451" t="str">
        <f>'No Recurrentes 24-26'!BG267</f>
        <v/>
      </c>
      <c r="Q405" s="451" t="str">
        <f>'No Recurrentes 24-26'!BH267</f>
        <v/>
      </c>
      <c r="R405" s="451">
        <f>'No Recurrentes 24-26'!BI267</f>
        <v>10</v>
      </c>
      <c r="S405" s="451" t="str">
        <f>'No Recurrentes 24-26'!BJ267</f>
        <v/>
      </c>
      <c r="T405" s="451" t="str">
        <f>'No Recurrentes 24-26'!BK267</f>
        <v/>
      </c>
      <c r="U405" s="451" t="str">
        <f>'No Recurrentes 24-26'!BL267</f>
        <v/>
      </c>
      <c r="V405" s="1068"/>
      <c r="W405" s="1062">
        <f>'No Recurrentes 24-26'!BM267</f>
        <v>290</v>
      </c>
      <c r="X405" s="1062">
        <f>'No Recurrentes 24-26'!BN267</f>
        <v>200</v>
      </c>
      <c r="Y405" s="1062">
        <f>'No Recurrentes 24-26'!BO267</f>
        <v>100</v>
      </c>
      <c r="Z405" s="1062">
        <f>'No Recurrentes 24-26'!BP267</f>
        <v>40</v>
      </c>
      <c r="AA405" s="1062" t="str">
        <f>'No Recurrentes 24-26'!BQ267</f>
        <v/>
      </c>
      <c r="AB405" s="1062" t="str">
        <f>'No Recurrentes 24-26'!BR267</f>
        <v/>
      </c>
      <c r="AC405" s="1062" t="str">
        <f>'No Recurrentes 24-26'!BS267</f>
        <v/>
      </c>
      <c r="AD405" s="1062" t="str">
        <f>'No Recurrentes 24-26'!BT267</f>
        <v/>
      </c>
      <c r="AE405" s="1062" t="str">
        <f>'No Recurrentes 24-26'!BU267</f>
        <v/>
      </c>
      <c r="AF405" s="1062">
        <f>'No Recurrentes 24-26'!BV267</f>
        <v>5</v>
      </c>
      <c r="AG405" s="1062" t="str">
        <f>'No Recurrentes 24-26'!BW267</f>
        <v/>
      </c>
      <c r="AH405" s="1068"/>
      <c r="AI405" s="1062">
        <f>'No Recurrentes 24-26'!BX267</f>
        <v>345</v>
      </c>
      <c r="AJ405" s="1062">
        <f>'No Recurrentes 24-26'!BY267</f>
        <v>120</v>
      </c>
      <c r="AK405" s="1062">
        <f>'No Recurrentes 24-26'!BZ267</f>
        <v>100</v>
      </c>
      <c r="AL405" s="1062">
        <f>'No Recurrentes 24-26'!CA267</f>
        <v>80</v>
      </c>
      <c r="AM405" s="1062">
        <f>'No Recurrentes 24-26'!CB267</f>
        <v>0</v>
      </c>
      <c r="AN405" s="1062">
        <f>'No Recurrentes 24-26'!CC267</f>
        <v>0</v>
      </c>
      <c r="AO405" s="1062">
        <f>'No Recurrentes 24-26'!CD267</f>
        <v>0</v>
      </c>
      <c r="AP405" s="1062">
        <f>'No Recurrentes 24-26'!CE267</f>
        <v>0</v>
      </c>
      <c r="AQ405" s="1062">
        <f>'No Recurrentes 24-26'!CF267</f>
        <v>0</v>
      </c>
      <c r="AR405" s="1062">
        <f>'No Recurrentes 24-26'!CG267</f>
        <v>0</v>
      </c>
      <c r="AS405" s="1062">
        <f>'No Recurrentes 24-26'!CH267</f>
        <v>0</v>
      </c>
      <c r="AT405" s="1068"/>
      <c r="AU405" s="1062">
        <f>'No Recurrentes 24-26'!CI267</f>
        <v>300</v>
      </c>
      <c r="AV405" s="1063">
        <f>'No Recurrentes 24-26'!CJ267</f>
        <v>935</v>
      </c>
      <c r="AW405" s="1068"/>
      <c r="AX405" s="1065">
        <f>'No Recurrentes 24-26'!CK267</f>
        <v>0.31</v>
      </c>
      <c r="AY405" s="1062">
        <f>'No Recurrentes 24-26'!CL267</f>
        <v>2.1576</v>
      </c>
      <c r="AZ405" s="1068"/>
      <c r="BA405" s="1062">
        <f>'No Recurrentes 24-26'!CM267</f>
        <v>258.912</v>
      </c>
      <c r="BB405" s="1062">
        <f>'No Recurrentes 24-26'!CN267</f>
        <v>107.88</v>
      </c>
      <c r="BC405" s="1062">
        <f>'No Recurrentes 24-26'!CO267</f>
        <v>237.336</v>
      </c>
      <c r="BD405" s="1062">
        <f>'No Recurrentes 24-26'!CP267</f>
        <v>0</v>
      </c>
      <c r="BE405" s="1062">
        <f>'No Recurrentes 24-26'!CQ267</f>
        <v>0</v>
      </c>
      <c r="BF405" s="1062">
        <f>'No Recurrentes 24-26'!CR267</f>
        <v>0</v>
      </c>
      <c r="BG405" s="1062">
        <f>'No Recurrentes 24-26'!CS267</f>
        <v>21.576</v>
      </c>
      <c r="BH405" s="1062">
        <f>'No Recurrentes 24-26'!CT267</f>
        <v>0</v>
      </c>
      <c r="BI405" s="1062">
        <f>'No Recurrentes 24-26'!CU267</f>
        <v>0</v>
      </c>
      <c r="BJ405" s="1062">
        <f>'No Recurrentes 24-26'!CV267</f>
        <v>0</v>
      </c>
      <c r="BK405" s="1068"/>
      <c r="BL405" s="1062">
        <f>'No Recurrentes 24-26'!CW267</f>
        <v>625.704</v>
      </c>
      <c r="BM405" s="1062">
        <f>'No Recurrentes 24-26'!CX267</f>
        <v>431.52</v>
      </c>
      <c r="BN405" s="1062">
        <f>'No Recurrentes 24-26'!CY267</f>
        <v>215.76</v>
      </c>
      <c r="BO405" s="1062">
        <f>'No Recurrentes 24-26'!CZ267</f>
        <v>86.304</v>
      </c>
      <c r="BP405" s="1062">
        <f>'No Recurrentes 24-26'!DA267</f>
        <v>0</v>
      </c>
      <c r="BQ405" s="1062">
        <f>'No Recurrentes 24-26'!DB267</f>
        <v>0</v>
      </c>
      <c r="BR405" s="1062">
        <f>'No Recurrentes 24-26'!DC267</f>
        <v>0</v>
      </c>
      <c r="BS405" s="1062">
        <f>'No Recurrentes 24-26'!DD267</f>
        <v>0</v>
      </c>
      <c r="BT405" s="1062">
        <f>'No Recurrentes 24-26'!DE267</f>
        <v>0</v>
      </c>
      <c r="BU405" s="1062">
        <f>'No Recurrentes 24-26'!DF267</f>
        <v>10.788</v>
      </c>
      <c r="BV405" s="1062">
        <f>'No Recurrentes 24-26'!DG267</f>
        <v>0</v>
      </c>
      <c r="BW405" s="1068"/>
      <c r="BX405" s="1062">
        <f>'No Recurrentes 24-26'!DH267</f>
        <v>744.372</v>
      </c>
      <c r="BY405" s="1062">
        <f>'No Recurrentes 24-26'!DI267</f>
        <v>258.912</v>
      </c>
      <c r="BZ405" s="1062">
        <f>'No Recurrentes 24-26'!DJ267</f>
        <v>215.76</v>
      </c>
      <c r="CA405" s="1062">
        <f>'No Recurrentes 24-26'!DK267</f>
        <v>172.608</v>
      </c>
      <c r="CB405" s="1062">
        <f>'No Recurrentes 24-26'!DL267</f>
        <v>0</v>
      </c>
      <c r="CC405" s="1062">
        <f>'No Recurrentes 24-26'!DM267</f>
        <v>0</v>
      </c>
      <c r="CD405" s="1062">
        <f>'No Recurrentes 24-26'!DN267</f>
        <v>0</v>
      </c>
      <c r="CE405" s="1062">
        <f>'No Recurrentes 24-26'!DO267</f>
        <v>0</v>
      </c>
      <c r="CF405" s="1062">
        <f>'No Recurrentes 24-26'!DP267</f>
        <v>0</v>
      </c>
      <c r="CG405" s="1062">
        <f>'No Recurrentes 24-26'!DQ267</f>
        <v>0</v>
      </c>
      <c r="CH405" s="1062">
        <f>'No Recurrentes 24-26'!DR267</f>
        <v>0</v>
      </c>
      <c r="CI405" s="1068"/>
      <c r="CJ405" s="1062">
        <f>'No Recurrentes 24-26'!DS267</f>
        <v>647.28</v>
      </c>
      <c r="CK405" s="1062">
        <f>'No Recurrentes 24-26'!DT267</f>
        <v>2017.356</v>
      </c>
      <c r="CL405" s="1064" t="str">
        <f>'No Recurrentes 24-26'!DU267</f>
        <v/>
      </c>
      <c r="CM405" s="1064" t="str">
        <f>'No Recurrentes 24-26'!DV267</f>
        <v/>
      </c>
      <c r="CN405" s="1065">
        <f>'No Recurrentes 24-26'!EI263</f>
        <v>40.65</v>
      </c>
      <c r="CO405" s="1065">
        <f>'No Recurrentes 24-26'!EJ263</f>
        <v>34.55</v>
      </c>
      <c r="CP405" s="1060" t="str">
        <f>'No Recurrentes 24-26'!EK263</f>
        <v/>
      </c>
    </row>
    <row r="406">
      <c r="A406" s="451" t="str">
        <f>'No Recurrentes 24-26'!A268</f>
        <v>Repuestos Electromecánicos no recurrentes</v>
      </c>
      <c r="B406" s="451">
        <f>'No Recurrentes 24-26'!B268</f>
        <v>2</v>
      </c>
      <c r="C406" s="451" t="str">
        <f>'No Recurrentes 24-26'!C268</f>
        <v>Vehiculo</v>
      </c>
      <c r="D406" s="451" t="str">
        <f>'No Recurrentes 24-26'!D268</f>
        <v>Manto. Pinza</v>
      </c>
      <c r="E406" s="451" t="str">
        <f>'No Recurrentes 24-26'!E268</f>
        <v>Repuesto Mecánico</v>
      </c>
      <c r="F406" s="451" t="str">
        <f>'No Recurrentes 24-26'!F268</f>
        <v>TDB</v>
      </c>
      <c r="G406" s="1025" t="str">
        <f>'No Recurrentes 24-26'!G268</f>
        <v>39800</v>
      </c>
      <c r="H406" s="1061" t="str">
        <f>'No Recurrentes 24-26'!H268</f>
        <v>2-01-00349</v>
      </c>
      <c r="I406" s="1061" t="str">
        <f>'No Recurrentes 24-26'!I268</f>
        <v>11125072</v>
      </c>
      <c r="J406" s="1061" t="str">
        <f>'No Recurrentes 24-26'!J268</f>
        <v>TUERCA HEX.ISO4035- 8 M18       GALVANIZADA         (DIN439B)</v>
      </c>
      <c r="K406" s="451" t="str">
        <f>'No Recurrentes 24-26'!K268</f>
        <v>Pza</v>
      </c>
      <c r="L406" s="451" t="str">
        <f>'No Recurrentes 24-26'!BC268</f>
        <v/>
      </c>
      <c r="M406" s="451">
        <f>'No Recurrentes 24-26'!BD268</f>
        <v>50</v>
      </c>
      <c r="N406" s="451" t="str">
        <f>'No Recurrentes 24-26'!BE268</f>
        <v/>
      </c>
      <c r="O406" s="451" t="str">
        <f>'No Recurrentes 24-26'!BF268</f>
        <v/>
      </c>
      <c r="P406" s="451" t="str">
        <f>'No Recurrentes 24-26'!BG268</f>
        <v/>
      </c>
      <c r="Q406" s="451" t="str">
        <f>'No Recurrentes 24-26'!BH268</f>
        <v/>
      </c>
      <c r="R406" s="451" t="str">
        <f>'No Recurrentes 24-26'!BI268</f>
        <v/>
      </c>
      <c r="S406" s="451" t="str">
        <f>'No Recurrentes 24-26'!BJ268</f>
        <v/>
      </c>
      <c r="T406" s="451" t="str">
        <f>'No Recurrentes 24-26'!BK268</f>
        <v/>
      </c>
      <c r="U406" s="451">
        <f>'No Recurrentes 24-26'!BL268</f>
        <v>0</v>
      </c>
      <c r="V406" s="1068"/>
      <c r="W406" s="1062">
        <f>'No Recurrentes 24-26'!BM268</f>
        <v>50</v>
      </c>
      <c r="X406" s="1062">
        <f>'No Recurrentes 24-26'!BN268</f>
        <v>120</v>
      </c>
      <c r="Y406" s="1062" t="str">
        <f>'No Recurrentes 24-26'!BO268</f>
        <v/>
      </c>
      <c r="Z406" s="1062" t="str">
        <f>'No Recurrentes 24-26'!BP268</f>
        <v/>
      </c>
      <c r="AA406" s="1062">
        <f>'No Recurrentes 24-26'!BQ268</f>
        <v>220</v>
      </c>
      <c r="AB406" s="1062">
        <f>'No Recurrentes 24-26'!BR268</f>
        <v>252</v>
      </c>
      <c r="AC406" s="1062">
        <f>'No Recurrentes 24-26'!BS268</f>
        <v>416</v>
      </c>
      <c r="AD406" s="1062">
        <f>'No Recurrentes 24-26'!BT268</f>
        <v>262</v>
      </c>
      <c r="AE406" s="1062" t="str">
        <f>'No Recurrentes 24-26'!BU268</f>
        <v/>
      </c>
      <c r="AF406" s="1062">
        <f>'No Recurrentes 24-26'!BV268</f>
        <v>52</v>
      </c>
      <c r="AG406" s="1062">
        <f>'No Recurrentes 24-26'!BW268</f>
        <v>330</v>
      </c>
      <c r="AH406" s="1068"/>
      <c r="AI406" s="1062">
        <f>'No Recurrentes 24-26'!BX268</f>
        <v>1652</v>
      </c>
      <c r="AJ406" s="1062">
        <f>'No Recurrentes 24-26'!BY268</f>
        <v>0</v>
      </c>
      <c r="AK406" s="1062">
        <f>'No Recurrentes 24-26'!BZ268</f>
        <v>0</v>
      </c>
      <c r="AL406" s="1062">
        <f>'No Recurrentes 24-26'!CA268</f>
        <v>0</v>
      </c>
      <c r="AM406" s="1062">
        <f>'No Recurrentes 24-26'!CB268</f>
        <v>0</v>
      </c>
      <c r="AN406" s="1062">
        <f>'No Recurrentes 24-26'!CC268</f>
        <v>0</v>
      </c>
      <c r="AO406" s="1062">
        <f>'No Recurrentes 24-26'!CD268</f>
        <v>0</v>
      </c>
      <c r="AP406" s="1062">
        <f>'No Recurrentes 24-26'!CE268</f>
        <v>0</v>
      </c>
      <c r="AQ406" s="1062">
        <f>'No Recurrentes 24-26'!CF268</f>
        <v>310</v>
      </c>
      <c r="AR406" s="1062">
        <f>'No Recurrentes 24-26'!CG268</f>
        <v>0</v>
      </c>
      <c r="AS406" s="1062">
        <f>'No Recurrentes 24-26'!CH268</f>
        <v>0</v>
      </c>
      <c r="AT406" s="1068"/>
      <c r="AU406" s="1062">
        <f>'No Recurrentes 24-26'!CI268</f>
        <v>310</v>
      </c>
      <c r="AV406" s="1063">
        <f>'No Recurrentes 24-26'!CJ268</f>
        <v>2012</v>
      </c>
      <c r="AW406" s="1068"/>
      <c r="AX406" s="1065">
        <f>'No Recurrentes 24-26'!CK268</f>
        <v>0.39</v>
      </c>
      <c r="AY406" s="1062">
        <f>'No Recurrentes 24-26'!CL268</f>
        <v>2.7144</v>
      </c>
      <c r="AZ406" s="1068"/>
      <c r="BA406" s="1062">
        <f>'No Recurrentes 24-26'!CM268</f>
        <v>0</v>
      </c>
      <c r="BB406" s="1062">
        <f>'No Recurrentes 24-26'!CN268</f>
        <v>135.72</v>
      </c>
      <c r="BC406" s="1062">
        <f>'No Recurrentes 24-26'!CO268</f>
        <v>0</v>
      </c>
      <c r="BD406" s="1062">
        <f>'No Recurrentes 24-26'!CP268</f>
        <v>0</v>
      </c>
      <c r="BE406" s="1062">
        <f>'No Recurrentes 24-26'!CQ268</f>
        <v>0</v>
      </c>
      <c r="BF406" s="1062">
        <f>'No Recurrentes 24-26'!CR268</f>
        <v>0</v>
      </c>
      <c r="BG406" s="1062">
        <f>'No Recurrentes 24-26'!CS268</f>
        <v>0</v>
      </c>
      <c r="BH406" s="1062">
        <f>'No Recurrentes 24-26'!CT268</f>
        <v>0</v>
      </c>
      <c r="BI406" s="1062">
        <f>'No Recurrentes 24-26'!CU268</f>
        <v>0</v>
      </c>
      <c r="BJ406" s="1062">
        <f>'No Recurrentes 24-26'!CV268</f>
        <v>0</v>
      </c>
      <c r="BK406" s="1068"/>
      <c r="BL406" s="1062">
        <f>'No Recurrentes 24-26'!CW268</f>
        <v>135.72</v>
      </c>
      <c r="BM406" s="1062">
        <f>'No Recurrentes 24-26'!CX268</f>
        <v>325.728</v>
      </c>
      <c r="BN406" s="1062">
        <f>'No Recurrentes 24-26'!CY268</f>
        <v>0</v>
      </c>
      <c r="BO406" s="1062">
        <f>'No Recurrentes 24-26'!CZ268</f>
        <v>0</v>
      </c>
      <c r="BP406" s="1062">
        <f>'No Recurrentes 24-26'!DA268</f>
        <v>597.168</v>
      </c>
      <c r="BQ406" s="1062">
        <f>'No Recurrentes 24-26'!DB268</f>
        <v>684.0288</v>
      </c>
      <c r="BR406" s="1062">
        <f>'No Recurrentes 24-26'!DC268</f>
        <v>1129.1904</v>
      </c>
      <c r="BS406" s="1062">
        <f>'No Recurrentes 24-26'!DD268</f>
        <v>711.1728</v>
      </c>
      <c r="BT406" s="1062">
        <f>'No Recurrentes 24-26'!DE268</f>
        <v>0</v>
      </c>
      <c r="BU406" s="1062">
        <f>'No Recurrentes 24-26'!DF268</f>
        <v>141.1488</v>
      </c>
      <c r="BV406" s="1062">
        <f>'No Recurrentes 24-26'!DG268</f>
        <v>895.752</v>
      </c>
      <c r="BW406" s="1068"/>
      <c r="BX406" s="1062">
        <f>'No Recurrentes 24-26'!DH268</f>
        <v>4484.1888</v>
      </c>
      <c r="BY406" s="1062">
        <f>'No Recurrentes 24-26'!DI268</f>
        <v>0</v>
      </c>
      <c r="BZ406" s="1062">
        <f>'No Recurrentes 24-26'!DJ268</f>
        <v>0</v>
      </c>
      <c r="CA406" s="1062">
        <f>'No Recurrentes 24-26'!DK268</f>
        <v>0</v>
      </c>
      <c r="CB406" s="1062">
        <f>'No Recurrentes 24-26'!DL268</f>
        <v>0</v>
      </c>
      <c r="CC406" s="1062">
        <f>'No Recurrentes 24-26'!DM268</f>
        <v>0</v>
      </c>
      <c r="CD406" s="1062">
        <f>'No Recurrentes 24-26'!DN268</f>
        <v>0</v>
      </c>
      <c r="CE406" s="1062">
        <f>'No Recurrentes 24-26'!DO268</f>
        <v>0</v>
      </c>
      <c r="CF406" s="1062">
        <f>'No Recurrentes 24-26'!DP268</f>
        <v>841.464</v>
      </c>
      <c r="CG406" s="1062">
        <f>'No Recurrentes 24-26'!DQ268</f>
        <v>0</v>
      </c>
      <c r="CH406" s="1062">
        <f>'No Recurrentes 24-26'!DR268</f>
        <v>0</v>
      </c>
      <c r="CI406" s="1068"/>
      <c r="CJ406" s="1062">
        <f>'No Recurrentes 24-26'!DS268</f>
        <v>841.464</v>
      </c>
      <c r="CK406" s="1062">
        <f>'No Recurrentes 24-26'!DT268</f>
        <v>5461.3728</v>
      </c>
      <c r="CL406" s="1064" t="str">
        <f>'No Recurrentes 24-26'!DU268</f>
        <v/>
      </c>
      <c r="CM406" s="1064" t="str">
        <f>'No Recurrentes 24-26'!DV268</f>
        <v/>
      </c>
      <c r="CN406" s="1065">
        <f>'No Recurrentes 24-26'!EI264</f>
        <v>0.73</v>
      </c>
      <c r="CO406" s="1065">
        <f>'No Recurrentes 24-26'!EJ264</f>
        <v>0.62</v>
      </c>
      <c r="CP406" s="1060" t="str">
        <f>'No Recurrentes 24-26'!EK264</f>
        <v/>
      </c>
    </row>
    <row r="407">
      <c r="A407" s="451" t="str">
        <f>'No Recurrentes 24-26'!A269</f>
        <v>Repuestos Electromecánicos no recurrentes</v>
      </c>
      <c r="B407" s="451" t="str">
        <f>'No Recurrentes 24-26'!B269</f>
        <v/>
      </c>
      <c r="C407" s="451" t="str">
        <f>'No Recurrentes 24-26'!C269</f>
        <v>Vehiculo</v>
      </c>
      <c r="D407" s="451" t="str">
        <f>'No Recurrentes 24-26'!D269</f>
        <v>Manto. Pinza</v>
      </c>
      <c r="E407" s="451" t="str">
        <f>'No Recurrentes 24-26'!E269</f>
        <v>Repuesto Mecánico</v>
      </c>
      <c r="F407" s="451" t="str">
        <f>'No Recurrentes 24-26'!F269</f>
        <v>TDB</v>
      </c>
      <c r="G407" s="1061" t="str">
        <f>'No Recurrentes 24-26'!G269</f>
        <v>39800</v>
      </c>
      <c r="H407" s="1061" t="str">
        <f>'No Recurrentes 24-26'!H269</f>
        <v>2-01-00348</v>
      </c>
      <c r="I407" s="1061">
        <f>'No Recurrentes 24-26'!I269</f>
        <v>10488571</v>
      </c>
      <c r="J407" s="1061" t="str">
        <f>'No Recurrentes 24-26'!J269</f>
        <v>TUERCA HEXAGONAL M18   A 108-C</v>
      </c>
      <c r="K407" s="451" t="str">
        <f>'No Recurrentes 24-26'!K269</f>
        <v>Pza</v>
      </c>
      <c r="L407" s="451" t="str">
        <f>'No Recurrentes 24-26'!BC269</f>
        <v/>
      </c>
      <c r="M407" s="451" t="str">
        <f>'No Recurrentes 24-26'!BD269</f>
        <v/>
      </c>
      <c r="N407" s="451" t="str">
        <f>'No Recurrentes 24-26'!BE269</f>
        <v/>
      </c>
      <c r="O407" s="451" t="str">
        <f>'No Recurrentes 24-26'!BF269</f>
        <v/>
      </c>
      <c r="P407" s="451" t="str">
        <f>'No Recurrentes 24-26'!BG269</f>
        <v/>
      </c>
      <c r="Q407" s="451" t="str">
        <f>'No Recurrentes 24-26'!BH269</f>
        <v/>
      </c>
      <c r="R407" s="451" t="str">
        <f>'No Recurrentes 24-26'!BI269</f>
        <v/>
      </c>
      <c r="S407" s="451" t="str">
        <f>'No Recurrentes 24-26'!BJ269</f>
        <v/>
      </c>
      <c r="T407" s="451" t="str">
        <f>'No Recurrentes 24-26'!BK269</f>
        <v/>
      </c>
      <c r="U407" s="451">
        <f>'No Recurrentes 24-26'!BL269</f>
        <v>0</v>
      </c>
      <c r="V407" s="1068"/>
      <c r="W407" s="1062">
        <f>'No Recurrentes 24-26'!BM269</f>
        <v>0</v>
      </c>
      <c r="X407" s="1062" t="str">
        <f>'No Recurrentes 24-26'!BN269</f>
        <v/>
      </c>
      <c r="Y407" s="1062" t="str">
        <f>'No Recurrentes 24-26'!BO269</f>
        <v/>
      </c>
      <c r="Z407" s="1062" t="str">
        <f>'No Recurrentes 24-26'!BP269</f>
        <v/>
      </c>
      <c r="AA407" s="1062" t="str">
        <f>'No Recurrentes 24-26'!BQ269</f>
        <v/>
      </c>
      <c r="AB407" s="1062" t="str">
        <f>'No Recurrentes 24-26'!BR269</f>
        <v/>
      </c>
      <c r="AC407" s="1062" t="str">
        <f>'No Recurrentes 24-26'!BS269</f>
        <v/>
      </c>
      <c r="AD407" s="1062" t="str">
        <f>'No Recurrentes 24-26'!BT269</f>
        <v/>
      </c>
      <c r="AE407" s="1062" t="str">
        <f>'No Recurrentes 24-26'!BU269</f>
        <v/>
      </c>
      <c r="AF407" s="1062" t="str">
        <f>'No Recurrentes 24-26'!BV269</f>
        <v/>
      </c>
      <c r="AG407" s="1062" t="str">
        <f>'No Recurrentes 24-26'!BW269</f>
        <v/>
      </c>
      <c r="AH407" s="1068"/>
      <c r="AI407" s="1062">
        <f>'No Recurrentes 24-26'!BX269</f>
        <v>0</v>
      </c>
      <c r="AJ407" s="1062">
        <f>'No Recurrentes 24-26'!BY269</f>
        <v>0</v>
      </c>
      <c r="AK407" s="1062">
        <f>'No Recurrentes 24-26'!BZ269</f>
        <v>0</v>
      </c>
      <c r="AL407" s="1062">
        <f>'No Recurrentes 24-26'!CA269</f>
        <v>0</v>
      </c>
      <c r="AM407" s="1062">
        <f>'No Recurrentes 24-26'!CB269</f>
        <v>0</v>
      </c>
      <c r="AN407" s="1062">
        <f>'No Recurrentes 24-26'!CC269</f>
        <v>0</v>
      </c>
      <c r="AO407" s="1062">
        <f>'No Recurrentes 24-26'!CD269</f>
        <v>0</v>
      </c>
      <c r="AP407" s="1062">
        <f>'No Recurrentes 24-26'!CE269</f>
        <v>0</v>
      </c>
      <c r="AQ407" s="1062">
        <f>'No Recurrentes 24-26'!CF269</f>
        <v>0</v>
      </c>
      <c r="AR407" s="1062">
        <f>'No Recurrentes 24-26'!CG269</f>
        <v>0</v>
      </c>
      <c r="AS407" s="1062">
        <f>'No Recurrentes 24-26'!CH269</f>
        <v>0</v>
      </c>
      <c r="AT407" s="1068"/>
      <c r="AU407" s="1062">
        <f>'No Recurrentes 24-26'!CI269</f>
        <v>0</v>
      </c>
      <c r="AV407" s="1063">
        <f>'No Recurrentes 24-26'!CJ269</f>
        <v>0</v>
      </c>
      <c r="AW407" s="1068"/>
      <c r="AX407" s="1062">
        <f>'No Recurrentes 24-26'!CK269</f>
        <v>11.11</v>
      </c>
      <c r="AY407" s="1062">
        <f>'No Recurrentes 24-26'!CL269</f>
        <v>77.4367</v>
      </c>
      <c r="AZ407" s="1068"/>
      <c r="BA407" s="1062">
        <f>'No Recurrentes 24-26'!CM269</f>
        <v>0</v>
      </c>
      <c r="BB407" s="1062">
        <f>'No Recurrentes 24-26'!CN269</f>
        <v>0</v>
      </c>
      <c r="BC407" s="1062">
        <f>'No Recurrentes 24-26'!CO269</f>
        <v>0</v>
      </c>
      <c r="BD407" s="1062">
        <f>'No Recurrentes 24-26'!CP269</f>
        <v>0</v>
      </c>
      <c r="BE407" s="1062">
        <f>'No Recurrentes 24-26'!CQ269</f>
        <v>0</v>
      </c>
      <c r="BF407" s="1062">
        <f>'No Recurrentes 24-26'!CR269</f>
        <v>0</v>
      </c>
      <c r="BG407" s="1062">
        <f>'No Recurrentes 24-26'!CS269</f>
        <v>0</v>
      </c>
      <c r="BH407" s="1062">
        <f>'No Recurrentes 24-26'!CT269</f>
        <v>0</v>
      </c>
      <c r="BI407" s="1062">
        <f>'No Recurrentes 24-26'!CU269</f>
        <v>0</v>
      </c>
      <c r="BJ407" s="1062">
        <f>'No Recurrentes 24-26'!CV269</f>
        <v>0</v>
      </c>
      <c r="BK407" s="1068"/>
      <c r="BL407" s="1062">
        <f>'No Recurrentes 24-26'!CW269</f>
        <v>0</v>
      </c>
      <c r="BM407" s="1062">
        <f>'No Recurrentes 24-26'!CX269</f>
        <v>0</v>
      </c>
      <c r="BN407" s="1062">
        <f>'No Recurrentes 24-26'!CY269</f>
        <v>0</v>
      </c>
      <c r="BO407" s="1062">
        <f>'No Recurrentes 24-26'!CZ269</f>
        <v>0</v>
      </c>
      <c r="BP407" s="1062">
        <f>'No Recurrentes 24-26'!DA269</f>
        <v>0</v>
      </c>
      <c r="BQ407" s="1062">
        <f>'No Recurrentes 24-26'!DB269</f>
        <v>0</v>
      </c>
      <c r="BR407" s="1062">
        <f>'No Recurrentes 24-26'!DC269</f>
        <v>0</v>
      </c>
      <c r="BS407" s="1062">
        <f>'No Recurrentes 24-26'!DD269</f>
        <v>0</v>
      </c>
      <c r="BT407" s="1062">
        <f>'No Recurrentes 24-26'!DE269</f>
        <v>0</v>
      </c>
      <c r="BU407" s="1062">
        <f>'No Recurrentes 24-26'!DF269</f>
        <v>0</v>
      </c>
      <c r="BV407" s="1062">
        <f>'No Recurrentes 24-26'!DG269</f>
        <v>0</v>
      </c>
      <c r="BW407" s="1068"/>
      <c r="BX407" s="1062">
        <f>'No Recurrentes 24-26'!DH269</f>
        <v>0</v>
      </c>
      <c r="BY407" s="1062">
        <f>'No Recurrentes 24-26'!DI269</f>
        <v>0</v>
      </c>
      <c r="BZ407" s="1062">
        <f>'No Recurrentes 24-26'!DJ269</f>
        <v>0</v>
      </c>
      <c r="CA407" s="1062">
        <f>'No Recurrentes 24-26'!DK269</f>
        <v>0</v>
      </c>
      <c r="CB407" s="1062">
        <f>'No Recurrentes 24-26'!DL269</f>
        <v>0</v>
      </c>
      <c r="CC407" s="1062">
        <f>'No Recurrentes 24-26'!DM269</f>
        <v>0</v>
      </c>
      <c r="CD407" s="1062">
        <f>'No Recurrentes 24-26'!DN269</f>
        <v>0</v>
      </c>
      <c r="CE407" s="1062">
        <f>'No Recurrentes 24-26'!DO269</f>
        <v>0</v>
      </c>
      <c r="CF407" s="1062">
        <f>'No Recurrentes 24-26'!DP269</f>
        <v>0</v>
      </c>
      <c r="CG407" s="1062">
        <f>'No Recurrentes 24-26'!DQ269</f>
        <v>0</v>
      </c>
      <c r="CH407" s="1062">
        <f>'No Recurrentes 24-26'!DR269</f>
        <v>0</v>
      </c>
      <c r="CI407" s="1068"/>
      <c r="CJ407" s="1062">
        <f>'No Recurrentes 24-26'!DS269</f>
        <v>0</v>
      </c>
      <c r="CK407" s="1062">
        <f>'No Recurrentes 24-26'!DT269</f>
        <v>0</v>
      </c>
      <c r="CL407" s="1064" t="str">
        <f>'No Recurrentes 24-26'!DU269</f>
        <v/>
      </c>
      <c r="CM407" s="1064" t="str">
        <f>'No Recurrentes 24-26'!DV269</f>
        <v/>
      </c>
      <c r="CN407" s="1065">
        <f>'No Recurrentes 24-26'!EI265</f>
        <v>10.96</v>
      </c>
      <c r="CO407" s="1065">
        <f>'No Recurrentes 24-26'!EJ265</f>
        <v>9.32</v>
      </c>
      <c r="CP407" s="1060" t="str">
        <f>'No Recurrentes 24-26'!EK265</f>
        <v/>
      </c>
    </row>
    <row r="408">
      <c r="A408" s="451" t="str">
        <f>'No Recurrentes 24-26'!A270</f>
        <v>Repuestos Electromecánicos no recurrentes</v>
      </c>
      <c r="B408" s="451" t="str">
        <f>'No Recurrentes 24-26'!B270</f>
        <v/>
      </c>
      <c r="C408" s="451" t="str">
        <f>'No Recurrentes 24-26'!C270</f>
        <v>Vehiculo</v>
      </c>
      <c r="D408" s="451" t="str">
        <f>'No Recurrentes 24-26'!D270</f>
        <v>Manto. Pinza</v>
      </c>
      <c r="E408" s="451" t="str">
        <f>'No Recurrentes 24-26'!E270</f>
        <v>Repuesto Mecánico</v>
      </c>
      <c r="F408" s="451" t="str">
        <f>'No Recurrentes 24-26'!F270</f>
        <v>LOCAL</v>
      </c>
      <c r="G408" s="1061" t="str">
        <f>'No Recurrentes 24-26'!G270</f>
        <v>39800</v>
      </c>
      <c r="H408" s="1061" t="str">
        <f>'No Recurrentes 24-26'!H270</f>
        <v/>
      </c>
      <c r="I408" s="1061">
        <f>'No Recurrentes 24-26'!I270</f>
        <v>11982756</v>
      </c>
      <c r="J408" s="1061" t="str">
        <f>'No Recurrentes 24-26'!J270</f>
        <v>POLEA DE RODADURA DIÁ.180MM, A-108C ENSAYO FINAL</v>
      </c>
      <c r="K408" s="451" t="str">
        <f>'No Recurrentes 24-26'!K270</f>
        <v>Pza</v>
      </c>
      <c r="L408" s="451">
        <f>'No Recurrentes 24-26'!BC270</f>
        <v>0</v>
      </c>
      <c r="M408" s="451">
        <f>'No Recurrentes 24-26'!BD270</f>
        <v>0</v>
      </c>
      <c r="N408" s="451">
        <f>'No Recurrentes 24-26'!BE270</f>
        <v>0</v>
      </c>
      <c r="O408" s="451" t="str">
        <f>'No Recurrentes 24-26'!BF270</f>
        <v/>
      </c>
      <c r="P408" s="451" t="str">
        <f>'No Recurrentes 24-26'!BG270</f>
        <v/>
      </c>
      <c r="Q408" s="451" t="str">
        <f>'No Recurrentes 24-26'!BH270</f>
        <v/>
      </c>
      <c r="R408" s="451">
        <f>'No Recurrentes 24-26'!BI270</f>
        <v>0</v>
      </c>
      <c r="S408" s="451" t="str">
        <f>'No Recurrentes 24-26'!BJ270</f>
        <v/>
      </c>
      <c r="T408" s="451" t="str">
        <f>'No Recurrentes 24-26'!BK270</f>
        <v/>
      </c>
      <c r="U408" s="451" t="str">
        <f>'No Recurrentes 24-26'!BL270</f>
        <v/>
      </c>
      <c r="V408" s="1068"/>
      <c r="W408" s="1062">
        <f>'No Recurrentes 24-26'!BM270</f>
        <v>0</v>
      </c>
      <c r="X408" s="1062">
        <f>'No Recurrentes 24-26'!BN270</f>
        <v>60</v>
      </c>
      <c r="Y408" s="1062">
        <f>'No Recurrentes 24-26'!BO270</f>
        <v>25</v>
      </c>
      <c r="Z408" s="1062">
        <f>'No Recurrentes 24-26'!BP270</f>
        <v>20</v>
      </c>
      <c r="AA408" s="1062">
        <f>'No Recurrentes 24-26'!BQ270</f>
        <v>60</v>
      </c>
      <c r="AB408" s="1062">
        <f>'No Recurrentes 24-26'!BR270</f>
        <v>60</v>
      </c>
      <c r="AC408" s="1062">
        <f>'No Recurrentes 24-26'!BS270</f>
        <v>100</v>
      </c>
      <c r="AD408" s="1062">
        <f>'No Recurrentes 24-26'!BT270</f>
        <v>50</v>
      </c>
      <c r="AE408" s="1062" t="str">
        <f>'No Recurrentes 24-26'!BU270</f>
        <v/>
      </c>
      <c r="AF408" s="1062" t="str">
        <f>'No Recurrentes 24-26'!BV270</f>
        <v/>
      </c>
      <c r="AG408" s="1062" t="str">
        <f>'No Recurrentes 24-26'!BW270</f>
        <v/>
      </c>
      <c r="AH408" s="1068"/>
      <c r="AI408" s="1062">
        <f>'No Recurrentes 24-26'!BX270</f>
        <v>375</v>
      </c>
      <c r="AJ408" s="1062">
        <f>'No Recurrentes 24-26'!BY270</f>
        <v>60</v>
      </c>
      <c r="AK408" s="1062">
        <f>'No Recurrentes 24-26'!BZ270</f>
        <v>25</v>
      </c>
      <c r="AL408" s="1062">
        <f>'No Recurrentes 24-26'!CA270</f>
        <v>20</v>
      </c>
      <c r="AM408" s="1062">
        <f>'No Recurrentes 24-26'!CB270</f>
        <v>0</v>
      </c>
      <c r="AN408" s="1062">
        <f>'No Recurrentes 24-26'!CC270</f>
        <v>0</v>
      </c>
      <c r="AO408" s="1062">
        <f>'No Recurrentes 24-26'!CD270</f>
        <v>0</v>
      </c>
      <c r="AP408" s="1062">
        <f>'No Recurrentes 24-26'!CE270</f>
        <v>0</v>
      </c>
      <c r="AQ408" s="1062">
        <f>'No Recurrentes 24-26'!CF270</f>
        <v>0</v>
      </c>
      <c r="AR408" s="1062">
        <f>'No Recurrentes 24-26'!CG270</f>
        <v>0</v>
      </c>
      <c r="AS408" s="1062">
        <f>'No Recurrentes 24-26'!CH270</f>
        <v>0</v>
      </c>
      <c r="AT408" s="1068"/>
      <c r="AU408" s="1062">
        <f>'No Recurrentes 24-26'!CI270</f>
        <v>105</v>
      </c>
      <c r="AV408" s="1063">
        <f>'No Recurrentes 24-26'!CJ270</f>
        <v>480</v>
      </c>
      <c r="AW408" s="1068"/>
      <c r="AX408" s="1062">
        <f>'No Recurrentes 24-26'!CK270</f>
        <v>439.02</v>
      </c>
      <c r="AY408" s="1062">
        <f>'No Recurrentes 24-26'!CL270</f>
        <v>3059.9694</v>
      </c>
      <c r="AZ408" s="1068"/>
      <c r="BA408" s="1062">
        <f>'No Recurrentes 24-26'!CM270</f>
        <v>0</v>
      </c>
      <c r="BB408" s="1062">
        <f>'No Recurrentes 24-26'!CN270</f>
        <v>0</v>
      </c>
      <c r="BC408" s="1062">
        <f>'No Recurrentes 24-26'!CO270</f>
        <v>0</v>
      </c>
      <c r="BD408" s="1062">
        <f>'No Recurrentes 24-26'!CP270</f>
        <v>0</v>
      </c>
      <c r="BE408" s="1062">
        <f>'No Recurrentes 24-26'!CQ270</f>
        <v>0</v>
      </c>
      <c r="BF408" s="1062">
        <f>'No Recurrentes 24-26'!CR270</f>
        <v>0</v>
      </c>
      <c r="BG408" s="1062">
        <f>'No Recurrentes 24-26'!CS270</f>
        <v>0</v>
      </c>
      <c r="BH408" s="1062">
        <f>'No Recurrentes 24-26'!CT270</f>
        <v>0</v>
      </c>
      <c r="BI408" s="1062">
        <f>'No Recurrentes 24-26'!CU270</f>
        <v>0</v>
      </c>
      <c r="BJ408" s="1062">
        <f>'No Recurrentes 24-26'!CV270</f>
        <v>0</v>
      </c>
      <c r="BK408" s="1068"/>
      <c r="BL408" s="1062">
        <f>'No Recurrentes 24-26'!CW270</f>
        <v>0</v>
      </c>
      <c r="BM408" s="1062">
        <f>'No Recurrentes 24-26'!CX270</f>
        <v>183598.164</v>
      </c>
      <c r="BN408" s="1062">
        <f>'No Recurrentes 24-26'!CY270</f>
        <v>76499.235</v>
      </c>
      <c r="BO408" s="1062">
        <f>'No Recurrentes 24-26'!CZ270</f>
        <v>61199.388</v>
      </c>
      <c r="BP408" s="1062">
        <f>'No Recurrentes 24-26'!DA270</f>
        <v>183598.164</v>
      </c>
      <c r="BQ408" s="1062">
        <f>'No Recurrentes 24-26'!DB270</f>
        <v>183598.164</v>
      </c>
      <c r="BR408" s="1062">
        <f>'No Recurrentes 24-26'!DC270</f>
        <v>305996.94</v>
      </c>
      <c r="BS408" s="1062">
        <f>'No Recurrentes 24-26'!DD270</f>
        <v>152998.47</v>
      </c>
      <c r="BT408" s="1062">
        <f>'No Recurrentes 24-26'!DE270</f>
        <v>0</v>
      </c>
      <c r="BU408" s="1062">
        <f>'No Recurrentes 24-26'!DF270</f>
        <v>0</v>
      </c>
      <c r="BV408" s="1062">
        <f>'No Recurrentes 24-26'!DG270</f>
        <v>0</v>
      </c>
      <c r="BW408" s="1068"/>
      <c r="BX408" s="1062">
        <f>'No Recurrentes 24-26'!DH270</f>
        <v>1147488.525</v>
      </c>
      <c r="BY408" s="1062">
        <f>'No Recurrentes 24-26'!DI270</f>
        <v>183598.164</v>
      </c>
      <c r="BZ408" s="1062">
        <f>'No Recurrentes 24-26'!DJ270</f>
        <v>76499.235</v>
      </c>
      <c r="CA408" s="1062">
        <f>'No Recurrentes 24-26'!DK270</f>
        <v>61199.388</v>
      </c>
      <c r="CB408" s="1062">
        <f>'No Recurrentes 24-26'!DL270</f>
        <v>0</v>
      </c>
      <c r="CC408" s="1062">
        <f>'No Recurrentes 24-26'!DM270</f>
        <v>0</v>
      </c>
      <c r="CD408" s="1062">
        <f>'No Recurrentes 24-26'!DN270</f>
        <v>0</v>
      </c>
      <c r="CE408" s="1062">
        <f>'No Recurrentes 24-26'!DO270</f>
        <v>0</v>
      </c>
      <c r="CF408" s="1062">
        <f>'No Recurrentes 24-26'!DP270</f>
        <v>0</v>
      </c>
      <c r="CG408" s="1062">
        <f>'No Recurrentes 24-26'!DQ270</f>
        <v>0</v>
      </c>
      <c r="CH408" s="1062">
        <f>'No Recurrentes 24-26'!DR270</f>
        <v>0</v>
      </c>
      <c r="CI408" s="1068"/>
      <c r="CJ408" s="1062">
        <f>'No Recurrentes 24-26'!DS270</f>
        <v>321296.787</v>
      </c>
      <c r="CK408" s="1062">
        <f>'No Recurrentes 24-26'!DT270</f>
        <v>1468785.312</v>
      </c>
      <c r="CL408" s="1064" t="str">
        <f>'No Recurrentes 24-26'!DU270</f>
        <v/>
      </c>
      <c r="CM408" s="1064" t="str">
        <f>'No Recurrentes 24-26'!DV270</f>
        <v/>
      </c>
      <c r="CN408" s="1065">
        <f>'No Recurrentes 24-26'!EI266</f>
        <v>0.23</v>
      </c>
      <c r="CO408" s="1065">
        <f>'No Recurrentes 24-26'!EJ266</f>
        <v>0.2</v>
      </c>
      <c r="CP408" s="1060" t="str">
        <f>'No Recurrentes 24-26'!EK266</f>
        <v/>
      </c>
    </row>
    <row r="409">
      <c r="A409" s="451" t="str">
        <f>'No Recurrentes 24-26'!A274</f>
        <v>Repuestos Electromecánicos no recurrentes</v>
      </c>
      <c r="B409" s="451" t="str">
        <f>'No Recurrentes 24-26'!B274</f>
        <v/>
      </c>
      <c r="C409" s="451" t="str">
        <f>'No Recurrentes 24-26'!C274</f>
        <v>Vehiculo</v>
      </c>
      <c r="D409" s="451" t="str">
        <f>'No Recurrentes 24-26'!D274</f>
        <v>Manto. Pinza</v>
      </c>
      <c r="E409" s="451" t="str">
        <f>'No Recurrentes 24-26'!E274</f>
        <v>Repuesto Mecánico</v>
      </c>
      <c r="F409" s="451" t="str">
        <f>'No Recurrentes 24-26'!F274</f>
        <v>LOCAL</v>
      </c>
      <c r="G409" s="1061" t="str">
        <f>'No Recurrentes 24-26'!G274</f>
        <v>39800</v>
      </c>
      <c r="H409" s="1061" t="str">
        <f>'No Recurrentes 24-26'!H274</f>
        <v>2-01-00019</v>
      </c>
      <c r="I409" s="1061">
        <f>'No Recurrentes 24-26'!I274</f>
        <v>10488086</v>
      </c>
      <c r="J409" s="1061" t="str">
        <f>'No Recurrentes 24-26'!J274</f>
        <v>POLEA GUÍA DIA.158 MM    AGA-C </v>
      </c>
      <c r="K409" s="451" t="str">
        <f>'No Recurrentes 24-26'!K274</f>
        <v>Pza</v>
      </c>
      <c r="L409" s="451" t="str">
        <f>'No Recurrentes 24-26'!BC274</f>
        <v/>
      </c>
      <c r="M409" s="451" t="str">
        <f>'No Recurrentes 24-26'!BD274</f>
        <v/>
      </c>
      <c r="N409" s="451">
        <f>'No Recurrentes 24-26'!BE274</f>
        <v>0</v>
      </c>
      <c r="O409" s="451" t="str">
        <f>'No Recurrentes 24-26'!BF274</f>
        <v/>
      </c>
      <c r="P409" s="451" t="str">
        <f>'No Recurrentes 24-26'!BG274</f>
        <v/>
      </c>
      <c r="Q409" s="451" t="str">
        <f>'No Recurrentes 24-26'!BH274</f>
        <v/>
      </c>
      <c r="R409" s="451" t="str">
        <f>'No Recurrentes 24-26'!BI274</f>
        <v/>
      </c>
      <c r="S409" s="451" t="str">
        <f>'No Recurrentes 24-26'!BJ274</f>
        <v/>
      </c>
      <c r="T409" s="451" t="str">
        <f>'No Recurrentes 24-26'!BK274</f>
        <v/>
      </c>
      <c r="U409" s="451" t="str">
        <f>'No Recurrentes 24-26'!BL274</f>
        <v/>
      </c>
      <c r="V409" s="1068"/>
      <c r="W409" s="1062">
        <f>'No Recurrentes 24-26'!BM274</f>
        <v>0</v>
      </c>
      <c r="X409" s="1062">
        <f>'No Recurrentes 24-26'!BN274</f>
        <v>40</v>
      </c>
      <c r="Y409" s="1062">
        <f>'No Recurrentes 24-26'!BO274</f>
        <v>25</v>
      </c>
      <c r="Z409" s="1062" t="str">
        <f>'No Recurrentes 24-26'!BP274</f>
        <v/>
      </c>
      <c r="AA409" s="1062">
        <f>'No Recurrentes 24-26'!BQ274</f>
        <v>40</v>
      </c>
      <c r="AB409" s="1062">
        <f>'No Recurrentes 24-26'!BR274</f>
        <v>40</v>
      </c>
      <c r="AC409" s="1062">
        <f>'No Recurrentes 24-26'!BS274</f>
        <v>50</v>
      </c>
      <c r="AD409" s="1062" t="str">
        <f>'No Recurrentes 24-26'!BT274</f>
        <v/>
      </c>
      <c r="AE409" s="1062" t="str">
        <f>'No Recurrentes 24-26'!BU274</f>
        <v/>
      </c>
      <c r="AF409" s="1062" t="str">
        <f>'No Recurrentes 24-26'!BV274</f>
        <v/>
      </c>
      <c r="AG409" s="1062" t="str">
        <f>'No Recurrentes 24-26'!BW274</f>
        <v/>
      </c>
      <c r="AH409" s="1068"/>
      <c r="AI409" s="1062">
        <f>'No Recurrentes 24-26'!BX274</f>
        <v>195</v>
      </c>
      <c r="AJ409" s="1062">
        <f>'No Recurrentes 24-26'!BY274</f>
        <v>0</v>
      </c>
      <c r="AK409" s="1062">
        <f>'No Recurrentes 24-26'!BZ274</f>
        <v>0</v>
      </c>
      <c r="AL409" s="1062">
        <f>'No Recurrentes 24-26'!CA274</f>
        <v>0</v>
      </c>
      <c r="AM409" s="1062">
        <f>'No Recurrentes 24-26'!CB274</f>
        <v>0</v>
      </c>
      <c r="AN409" s="1062">
        <f>'No Recurrentes 24-26'!CC274</f>
        <v>0</v>
      </c>
      <c r="AO409" s="1062">
        <f>'No Recurrentes 24-26'!CD274</f>
        <v>0</v>
      </c>
      <c r="AP409" s="1062">
        <f>'No Recurrentes 24-26'!CE274</f>
        <v>0</v>
      </c>
      <c r="AQ409" s="1062">
        <f>'No Recurrentes 24-26'!CF274</f>
        <v>0</v>
      </c>
      <c r="AR409" s="1062">
        <f>'No Recurrentes 24-26'!CG274</f>
        <v>0</v>
      </c>
      <c r="AS409" s="1062">
        <f>'No Recurrentes 24-26'!CH274</f>
        <v>0</v>
      </c>
      <c r="AT409" s="1068"/>
      <c r="AU409" s="1062">
        <f>'No Recurrentes 24-26'!CI274</f>
        <v>0</v>
      </c>
      <c r="AV409" s="1063">
        <f>'No Recurrentes 24-26'!CJ274</f>
        <v>195</v>
      </c>
      <c r="AW409" s="1068"/>
      <c r="AX409" s="1062">
        <f>'No Recurrentes 24-26'!CK274</f>
        <v>261</v>
      </c>
      <c r="AY409" s="1062">
        <f>'No Recurrentes 24-26'!CL274</f>
        <v>1819.17</v>
      </c>
      <c r="AZ409" s="1068"/>
      <c r="BA409" s="1062">
        <f>'No Recurrentes 24-26'!CM274</f>
        <v>0</v>
      </c>
      <c r="BB409" s="1062">
        <f>'No Recurrentes 24-26'!CN274</f>
        <v>0</v>
      </c>
      <c r="BC409" s="1062">
        <f>'No Recurrentes 24-26'!CO274</f>
        <v>0</v>
      </c>
      <c r="BD409" s="1062">
        <f>'No Recurrentes 24-26'!CP274</f>
        <v>0</v>
      </c>
      <c r="BE409" s="1062">
        <f>'No Recurrentes 24-26'!CQ274</f>
        <v>0</v>
      </c>
      <c r="BF409" s="1062">
        <f>'No Recurrentes 24-26'!CR274</f>
        <v>0</v>
      </c>
      <c r="BG409" s="1062">
        <f>'No Recurrentes 24-26'!CS274</f>
        <v>0</v>
      </c>
      <c r="BH409" s="1062">
        <f>'No Recurrentes 24-26'!CT274</f>
        <v>0</v>
      </c>
      <c r="BI409" s="1062">
        <f>'No Recurrentes 24-26'!CU274</f>
        <v>0</v>
      </c>
      <c r="BJ409" s="1062">
        <f>'No Recurrentes 24-26'!CV274</f>
        <v>0</v>
      </c>
      <c r="BK409" s="1068"/>
      <c r="BL409" s="1062">
        <f>'No Recurrentes 24-26'!CW274</f>
        <v>0</v>
      </c>
      <c r="BM409" s="1062">
        <f>'No Recurrentes 24-26'!CX274</f>
        <v>72766.8</v>
      </c>
      <c r="BN409" s="1062">
        <f>'No Recurrentes 24-26'!CY274</f>
        <v>45479.25</v>
      </c>
      <c r="BO409" s="1062">
        <f>'No Recurrentes 24-26'!CZ274</f>
        <v>0</v>
      </c>
      <c r="BP409" s="1062">
        <f>'No Recurrentes 24-26'!DA274</f>
        <v>72766.8</v>
      </c>
      <c r="BQ409" s="1062">
        <f>'No Recurrentes 24-26'!DB274</f>
        <v>72766.8</v>
      </c>
      <c r="BR409" s="1062">
        <f>'No Recurrentes 24-26'!DC274</f>
        <v>90958.5</v>
      </c>
      <c r="BS409" s="1062">
        <f>'No Recurrentes 24-26'!DD274</f>
        <v>0</v>
      </c>
      <c r="BT409" s="1062">
        <f>'No Recurrentes 24-26'!DE274</f>
        <v>0</v>
      </c>
      <c r="BU409" s="1062">
        <f>'No Recurrentes 24-26'!DF274</f>
        <v>0</v>
      </c>
      <c r="BV409" s="1062">
        <f>'No Recurrentes 24-26'!DG274</f>
        <v>0</v>
      </c>
      <c r="BW409" s="1068"/>
      <c r="BX409" s="1062">
        <f>'No Recurrentes 24-26'!DH274</f>
        <v>354738.15</v>
      </c>
      <c r="BY409" s="1062">
        <f>'No Recurrentes 24-26'!DI274</f>
        <v>0</v>
      </c>
      <c r="BZ409" s="1062">
        <f>'No Recurrentes 24-26'!DJ274</f>
        <v>0</v>
      </c>
      <c r="CA409" s="1062">
        <f>'No Recurrentes 24-26'!DK274</f>
        <v>0</v>
      </c>
      <c r="CB409" s="1062">
        <f>'No Recurrentes 24-26'!DL274</f>
        <v>0</v>
      </c>
      <c r="CC409" s="1062">
        <f>'No Recurrentes 24-26'!DM274</f>
        <v>0</v>
      </c>
      <c r="CD409" s="1062">
        <f>'No Recurrentes 24-26'!DN274</f>
        <v>0</v>
      </c>
      <c r="CE409" s="1062">
        <f>'No Recurrentes 24-26'!DO274</f>
        <v>0</v>
      </c>
      <c r="CF409" s="1062">
        <f>'No Recurrentes 24-26'!DP274</f>
        <v>0</v>
      </c>
      <c r="CG409" s="1062">
        <f>'No Recurrentes 24-26'!DQ274</f>
        <v>0</v>
      </c>
      <c r="CH409" s="1062">
        <f>'No Recurrentes 24-26'!DR274</f>
        <v>0</v>
      </c>
      <c r="CI409" s="1068"/>
      <c r="CJ409" s="1062">
        <f>'No Recurrentes 24-26'!DS274</f>
        <v>0</v>
      </c>
      <c r="CK409" s="1062">
        <f>'No Recurrentes 24-26'!DT274</f>
        <v>354738.15</v>
      </c>
      <c r="CL409" s="1064" t="str">
        <f>'No Recurrentes 24-26'!DU274</f>
        <v/>
      </c>
      <c r="CM409" s="1064" t="str">
        <f>'No Recurrentes 24-26'!DV274</f>
        <v/>
      </c>
      <c r="CN409" s="1065">
        <f>'No Recurrentes 24-26'!EI267</f>
        <v>0.31</v>
      </c>
      <c r="CO409" s="1065">
        <f>'No Recurrentes 24-26'!EJ267</f>
        <v>0.26</v>
      </c>
      <c r="CP409" s="1060" t="str">
        <f>'No Recurrentes 24-26'!EK267</f>
        <v/>
      </c>
    </row>
    <row r="410">
      <c r="A410" s="451" t="str">
        <f>'No Recurrentes 24-26'!A275</f>
        <v>Repuestos Electromecánicos no recurrentes</v>
      </c>
      <c r="B410" s="451">
        <f>'No Recurrentes 24-26'!B275</f>
        <v>2</v>
      </c>
      <c r="C410" s="451" t="str">
        <f>'No Recurrentes 24-26'!C275</f>
        <v>Estación</v>
      </c>
      <c r="D410" s="451" t="str">
        <f>'No Recurrentes 24-26'!D275</f>
        <v>Manto. Transmisión Tren de Ruedas</v>
      </c>
      <c r="E410" s="451" t="str">
        <f>'No Recurrentes 24-26'!E275</f>
        <v>Repuesto Mecánico</v>
      </c>
      <c r="F410" s="451" t="str">
        <f>'No Recurrentes 24-26'!F275</f>
        <v>TDB</v>
      </c>
      <c r="G410" s="1025" t="str">
        <f>'No Recurrentes 24-26'!G275</f>
        <v>39800</v>
      </c>
      <c r="H410" s="1061" t="str">
        <f>'No Recurrentes 24-26'!H275</f>
        <v>2-01-00874</v>
      </c>
      <c r="I410" s="1061" t="str">
        <f>'No Recurrentes 24-26'!I275</f>
        <v>10506622</v>
      </c>
      <c r="J410" s="1061" t="str">
        <f>'No Recurrentes 24-26'!J275</f>
        <v>POLEA DE CORREA TRAPEZ.DIÁ.160 ALUM.DIÁ.72 PERFIL CORR.T.XPC</v>
      </c>
      <c r="K410" s="451" t="str">
        <f>'No Recurrentes 24-26'!K275</f>
        <v>Pza</v>
      </c>
      <c r="L410" s="451">
        <f>'No Recurrentes 24-26'!BC275</f>
        <v>50</v>
      </c>
      <c r="M410" s="451">
        <f>'No Recurrentes 24-26'!BD275</f>
        <v>30</v>
      </c>
      <c r="N410" s="451">
        <f>'No Recurrentes 24-26'!BE275</f>
        <v>70</v>
      </c>
      <c r="O410" s="451" t="str">
        <f>'No Recurrentes 24-26'!BF275</f>
        <v/>
      </c>
      <c r="P410" s="451">
        <f>'No Recurrentes 24-26'!BG275</f>
        <v>0</v>
      </c>
      <c r="Q410" s="451">
        <f>'No Recurrentes 24-26'!BH275</f>
        <v>0</v>
      </c>
      <c r="R410" s="451" t="str">
        <f>'No Recurrentes 24-26'!BI275</f>
        <v/>
      </c>
      <c r="S410" s="451" t="str">
        <f>'No Recurrentes 24-26'!BJ275</f>
        <v/>
      </c>
      <c r="T410" s="451" t="str">
        <f>'No Recurrentes 24-26'!BK275</f>
        <v/>
      </c>
      <c r="U410" s="451">
        <f>'No Recurrentes 24-26'!BL275</f>
        <v>30</v>
      </c>
      <c r="V410" s="1068"/>
      <c r="W410" s="1062">
        <f>'No Recurrentes 24-26'!BM275</f>
        <v>180</v>
      </c>
      <c r="X410" s="1062">
        <f>'No Recurrentes 24-26'!BN275</f>
        <v>70</v>
      </c>
      <c r="Y410" s="1062">
        <f>'No Recurrentes 24-26'!BO275</f>
        <v>40</v>
      </c>
      <c r="Z410" s="1062">
        <f>'No Recurrentes 24-26'!BP275</f>
        <v>90</v>
      </c>
      <c r="AA410" s="1062" t="str">
        <f>'No Recurrentes 24-26'!BQ275</f>
        <v/>
      </c>
      <c r="AB410" s="1062">
        <f>'No Recurrentes 24-26'!BR275</f>
        <v>160</v>
      </c>
      <c r="AC410" s="1062">
        <f>'No Recurrentes 24-26'!BS275</f>
        <v>80</v>
      </c>
      <c r="AD410" s="1062">
        <f>'No Recurrentes 24-26'!BT275</f>
        <v>10</v>
      </c>
      <c r="AE410" s="1062" t="str">
        <f>'No Recurrentes 24-26'!BU275</f>
        <v/>
      </c>
      <c r="AF410" s="1062" t="str">
        <f>'No Recurrentes 24-26'!BV275</f>
        <v/>
      </c>
      <c r="AG410" s="1062">
        <f>'No Recurrentes 24-26'!BW275</f>
        <v>30</v>
      </c>
      <c r="AH410" s="1068"/>
      <c r="AI410" s="1062">
        <f>'No Recurrentes 24-26'!BX275</f>
        <v>480</v>
      </c>
      <c r="AJ410" s="1062">
        <f>'No Recurrentes 24-26'!BY275</f>
        <v>0</v>
      </c>
      <c r="AK410" s="1062">
        <f>'No Recurrentes 24-26'!BZ275</f>
        <v>0</v>
      </c>
      <c r="AL410" s="1062">
        <f>'No Recurrentes 24-26'!CA275</f>
        <v>0</v>
      </c>
      <c r="AM410" s="1062">
        <f>'No Recurrentes 24-26'!CB275</f>
        <v>0</v>
      </c>
      <c r="AN410" s="1062">
        <f>'No Recurrentes 24-26'!CC275</f>
        <v>0</v>
      </c>
      <c r="AO410" s="1062">
        <f>'No Recurrentes 24-26'!CD275</f>
        <v>0</v>
      </c>
      <c r="AP410" s="1062">
        <f>'No Recurrentes 24-26'!CE275</f>
        <v>0</v>
      </c>
      <c r="AQ410" s="1062">
        <f>'No Recurrentes 24-26'!CF275</f>
        <v>0</v>
      </c>
      <c r="AR410" s="1062">
        <f>'No Recurrentes 24-26'!CG275</f>
        <v>0</v>
      </c>
      <c r="AS410" s="1062">
        <f>'No Recurrentes 24-26'!CH275</f>
        <v>0</v>
      </c>
      <c r="AT410" s="1068"/>
      <c r="AU410" s="1062">
        <f>'No Recurrentes 24-26'!CI275</f>
        <v>0</v>
      </c>
      <c r="AV410" s="1063">
        <f>'No Recurrentes 24-26'!CJ275</f>
        <v>660</v>
      </c>
      <c r="AW410" s="1068"/>
      <c r="AX410" s="1065">
        <f>'No Recurrentes 24-26'!CK275</f>
        <v>205.63</v>
      </c>
      <c r="AY410" s="1062">
        <f>'No Recurrentes 24-26'!CL275</f>
        <v>1431.1848</v>
      </c>
      <c r="AZ410" s="1068"/>
      <c r="BA410" s="1062">
        <f>'No Recurrentes 24-26'!CM275</f>
        <v>71559.24</v>
      </c>
      <c r="BB410" s="1062">
        <f>'No Recurrentes 24-26'!CN275</f>
        <v>42935.544</v>
      </c>
      <c r="BC410" s="1062">
        <f>'No Recurrentes 24-26'!CO275</f>
        <v>100182.936</v>
      </c>
      <c r="BD410" s="1062">
        <f>'No Recurrentes 24-26'!CP275</f>
        <v>0</v>
      </c>
      <c r="BE410" s="1062">
        <f>'No Recurrentes 24-26'!CQ275</f>
        <v>0</v>
      </c>
      <c r="BF410" s="1062">
        <f>'No Recurrentes 24-26'!CR275</f>
        <v>0</v>
      </c>
      <c r="BG410" s="1062">
        <f>'No Recurrentes 24-26'!CS275</f>
        <v>0</v>
      </c>
      <c r="BH410" s="1062">
        <f>'No Recurrentes 24-26'!CT275</f>
        <v>0</v>
      </c>
      <c r="BI410" s="1062">
        <f>'No Recurrentes 24-26'!CU275</f>
        <v>0</v>
      </c>
      <c r="BJ410" s="1062">
        <f>'No Recurrentes 24-26'!CV275</f>
        <v>42935.544</v>
      </c>
      <c r="BK410" s="1068"/>
      <c r="BL410" s="1062">
        <f>'No Recurrentes 24-26'!CW275</f>
        <v>257613.264</v>
      </c>
      <c r="BM410" s="1062">
        <f>'No Recurrentes 24-26'!CX275</f>
        <v>100182.936</v>
      </c>
      <c r="BN410" s="1062">
        <f>'No Recurrentes 24-26'!CY275</f>
        <v>57247.392</v>
      </c>
      <c r="BO410" s="1062">
        <f>'No Recurrentes 24-26'!CZ275</f>
        <v>128806.632</v>
      </c>
      <c r="BP410" s="1062">
        <f>'No Recurrentes 24-26'!DA275</f>
        <v>0</v>
      </c>
      <c r="BQ410" s="1062">
        <f>'No Recurrentes 24-26'!DB275</f>
        <v>228989.568</v>
      </c>
      <c r="BR410" s="1062">
        <f>'No Recurrentes 24-26'!DC275</f>
        <v>114494.784</v>
      </c>
      <c r="BS410" s="1062">
        <f>'No Recurrentes 24-26'!DD275</f>
        <v>14311.848</v>
      </c>
      <c r="BT410" s="1062">
        <f>'No Recurrentes 24-26'!DE275</f>
        <v>0</v>
      </c>
      <c r="BU410" s="1062">
        <f>'No Recurrentes 24-26'!DF275</f>
        <v>0</v>
      </c>
      <c r="BV410" s="1062">
        <f>'No Recurrentes 24-26'!DG275</f>
        <v>42935.544</v>
      </c>
      <c r="BW410" s="1068"/>
      <c r="BX410" s="1062">
        <f>'No Recurrentes 24-26'!DH275</f>
        <v>686968.704</v>
      </c>
      <c r="BY410" s="1062">
        <f>'No Recurrentes 24-26'!DI275</f>
        <v>0</v>
      </c>
      <c r="BZ410" s="1062">
        <f>'No Recurrentes 24-26'!DJ275</f>
        <v>0</v>
      </c>
      <c r="CA410" s="1062">
        <f>'No Recurrentes 24-26'!DK275</f>
        <v>0</v>
      </c>
      <c r="CB410" s="1062">
        <f>'No Recurrentes 24-26'!DL275</f>
        <v>0</v>
      </c>
      <c r="CC410" s="1062">
        <f>'No Recurrentes 24-26'!DM275</f>
        <v>0</v>
      </c>
      <c r="CD410" s="1062">
        <f>'No Recurrentes 24-26'!DN275</f>
        <v>0</v>
      </c>
      <c r="CE410" s="1062">
        <f>'No Recurrentes 24-26'!DO275</f>
        <v>0</v>
      </c>
      <c r="CF410" s="1062">
        <f>'No Recurrentes 24-26'!DP275</f>
        <v>0</v>
      </c>
      <c r="CG410" s="1062">
        <f>'No Recurrentes 24-26'!DQ275</f>
        <v>0</v>
      </c>
      <c r="CH410" s="1062">
        <f>'No Recurrentes 24-26'!DR275</f>
        <v>0</v>
      </c>
      <c r="CI410" s="1068"/>
      <c r="CJ410" s="1062">
        <f>'No Recurrentes 24-26'!DS275</f>
        <v>0</v>
      </c>
      <c r="CK410" s="1062">
        <f>'No Recurrentes 24-26'!DT275</f>
        <v>944581.968</v>
      </c>
      <c r="CL410" s="1064" t="str">
        <f>'No Recurrentes 24-26'!DU275</f>
        <v/>
      </c>
      <c r="CM410" s="1064" t="str">
        <f>'No Recurrentes 24-26'!DV275</f>
        <v/>
      </c>
      <c r="CN410" s="1065">
        <f>'No Recurrentes 24-26'!EI268</f>
        <v>0.39</v>
      </c>
      <c r="CO410" s="1065">
        <f>'No Recurrentes 24-26'!EJ268</f>
        <v>0.33</v>
      </c>
      <c r="CP410" s="1060" t="str">
        <f>'No Recurrentes 24-26'!EK268</f>
        <v/>
      </c>
    </row>
    <row r="411">
      <c r="A411" s="451" t="str">
        <f>'No Recurrentes 24-26'!A276</f>
        <v>Repuestos Electromecánicos no recurrentes</v>
      </c>
      <c r="B411" s="451">
        <f>'No Recurrentes 24-26'!B276</f>
        <v>2</v>
      </c>
      <c r="C411" s="451" t="str">
        <f>'No Recurrentes 24-26'!C276</f>
        <v>Estación</v>
      </c>
      <c r="D411" s="451" t="str">
        <f>'No Recurrentes 24-26'!D276</f>
        <v>Manto. Transmisión Tren de Ruedas</v>
      </c>
      <c r="E411" s="451" t="str">
        <f>'No Recurrentes 24-26'!E276</f>
        <v>Repuesto Mecánico</v>
      </c>
      <c r="F411" s="451" t="str">
        <f>'No Recurrentes 24-26'!F276</f>
        <v>TDB</v>
      </c>
      <c r="G411" s="1025" t="str">
        <f>'No Recurrentes 24-26'!G276</f>
        <v>39800</v>
      </c>
      <c r="H411" s="1061" t="str">
        <f>'No Recurrentes 24-26'!H276</f>
        <v>2-01-00442</v>
      </c>
      <c r="I411" s="1061" t="str">
        <f>'No Recurrentes 24-26'!I276</f>
        <v>10686566</v>
      </c>
      <c r="J411" s="1061" t="str">
        <f>'No Recurrentes 24-26'!J276</f>
        <v>RODAM.RAN.D.BOLAS DIN625/1-6308-2RS1-C3GLE VT210 (90% +/-5%)</v>
      </c>
      <c r="K411" s="451" t="str">
        <f>'No Recurrentes 24-26'!K276</f>
        <v>Pza</v>
      </c>
      <c r="L411" s="451">
        <f>'No Recurrentes 24-26'!BC276</f>
        <v>0</v>
      </c>
      <c r="M411" s="451">
        <f>'No Recurrentes 24-26'!BD276</f>
        <v>10</v>
      </c>
      <c r="N411" s="451" t="str">
        <f>'No Recurrentes 24-26'!BE276</f>
        <v/>
      </c>
      <c r="O411" s="451" t="str">
        <f>'No Recurrentes 24-26'!BF276</f>
        <v/>
      </c>
      <c r="P411" s="451" t="str">
        <f>'No Recurrentes 24-26'!BG276</f>
        <v/>
      </c>
      <c r="Q411" s="451" t="str">
        <f>'No Recurrentes 24-26'!BH276</f>
        <v/>
      </c>
      <c r="R411" s="451" t="str">
        <f>'No Recurrentes 24-26'!BI276</f>
        <v/>
      </c>
      <c r="S411" s="451" t="str">
        <f>'No Recurrentes 24-26'!BJ276</f>
        <v/>
      </c>
      <c r="T411" s="451" t="str">
        <f>'No Recurrentes 24-26'!BK276</f>
        <v/>
      </c>
      <c r="U411" s="451" t="str">
        <f>'No Recurrentes 24-26'!BL276</f>
        <v/>
      </c>
      <c r="V411" s="1068"/>
      <c r="W411" s="1062">
        <f>'No Recurrentes 24-26'!BM276</f>
        <v>10</v>
      </c>
      <c r="X411" s="1062" t="str">
        <f>'No Recurrentes 24-26'!BN276</f>
        <v/>
      </c>
      <c r="Y411" s="1062">
        <f>'No Recurrentes 24-26'!BO276</f>
        <v>30</v>
      </c>
      <c r="Z411" s="1062">
        <f>'No Recurrentes 24-26'!BP276</f>
        <v>110</v>
      </c>
      <c r="AA411" s="1062" t="str">
        <f>'No Recurrentes 24-26'!BQ276</f>
        <v/>
      </c>
      <c r="AB411" s="1062">
        <f>'No Recurrentes 24-26'!BR276</f>
        <v>100</v>
      </c>
      <c r="AC411" s="1062">
        <f>'No Recurrentes 24-26'!BS276</f>
        <v>75</v>
      </c>
      <c r="AD411" s="1062" t="str">
        <f>'No Recurrentes 24-26'!BT276</f>
        <v/>
      </c>
      <c r="AE411" s="1062" t="str">
        <f>'No Recurrentes 24-26'!BU276</f>
        <v/>
      </c>
      <c r="AF411" s="1062" t="str">
        <f>'No Recurrentes 24-26'!BV276</f>
        <v/>
      </c>
      <c r="AG411" s="1062">
        <f>'No Recurrentes 24-26'!BW276</f>
        <v>30</v>
      </c>
      <c r="AH411" s="1068"/>
      <c r="AI411" s="1062">
        <f>'No Recurrentes 24-26'!BX276</f>
        <v>345</v>
      </c>
      <c r="AJ411" s="1062">
        <f>'No Recurrentes 24-26'!BY276</f>
        <v>110</v>
      </c>
      <c r="AK411" s="1062">
        <f>'No Recurrentes 24-26'!BZ276</f>
        <v>0</v>
      </c>
      <c r="AL411" s="1062">
        <f>'No Recurrentes 24-26'!CA276</f>
        <v>110</v>
      </c>
      <c r="AM411" s="1062">
        <f>'No Recurrentes 24-26'!CB276</f>
        <v>0</v>
      </c>
      <c r="AN411" s="1062">
        <f>'No Recurrentes 24-26'!CC276</f>
        <v>0</v>
      </c>
      <c r="AO411" s="1062">
        <f>'No Recurrentes 24-26'!CD276</f>
        <v>0</v>
      </c>
      <c r="AP411" s="1062">
        <f>'No Recurrentes 24-26'!CE276</f>
        <v>0</v>
      </c>
      <c r="AQ411" s="1062">
        <f>'No Recurrentes 24-26'!CF276</f>
        <v>0</v>
      </c>
      <c r="AR411" s="1062">
        <f>'No Recurrentes 24-26'!CG276</f>
        <v>0</v>
      </c>
      <c r="AS411" s="1062">
        <f>'No Recurrentes 24-26'!CH276</f>
        <v>0</v>
      </c>
      <c r="AT411" s="1068"/>
      <c r="AU411" s="1062">
        <f>'No Recurrentes 24-26'!CI276</f>
        <v>220</v>
      </c>
      <c r="AV411" s="1063">
        <f>'No Recurrentes 24-26'!CJ276</f>
        <v>575</v>
      </c>
      <c r="AW411" s="1068"/>
      <c r="AX411" s="1065">
        <f>'No Recurrentes 24-26'!CK276</f>
        <v>35.34</v>
      </c>
      <c r="AY411" s="1062">
        <f>'No Recurrentes 24-26'!CL276</f>
        <v>245.9664</v>
      </c>
      <c r="AZ411" s="1068"/>
      <c r="BA411" s="1062">
        <f>'No Recurrentes 24-26'!CM276</f>
        <v>0</v>
      </c>
      <c r="BB411" s="1062">
        <f>'No Recurrentes 24-26'!CN276</f>
        <v>2459.664</v>
      </c>
      <c r="BC411" s="1062">
        <f>'No Recurrentes 24-26'!CO276</f>
        <v>0</v>
      </c>
      <c r="BD411" s="1062">
        <f>'No Recurrentes 24-26'!CP276</f>
        <v>0</v>
      </c>
      <c r="BE411" s="1062">
        <f>'No Recurrentes 24-26'!CQ276</f>
        <v>0</v>
      </c>
      <c r="BF411" s="1062">
        <f>'No Recurrentes 24-26'!CR276</f>
        <v>0</v>
      </c>
      <c r="BG411" s="1062">
        <f>'No Recurrentes 24-26'!CS276</f>
        <v>0</v>
      </c>
      <c r="BH411" s="1062">
        <f>'No Recurrentes 24-26'!CT276</f>
        <v>0</v>
      </c>
      <c r="BI411" s="1062">
        <f>'No Recurrentes 24-26'!CU276</f>
        <v>0</v>
      </c>
      <c r="BJ411" s="1062">
        <f>'No Recurrentes 24-26'!CV276</f>
        <v>0</v>
      </c>
      <c r="BK411" s="1068"/>
      <c r="BL411" s="1062">
        <f>'No Recurrentes 24-26'!CW276</f>
        <v>2459.664</v>
      </c>
      <c r="BM411" s="1062">
        <f>'No Recurrentes 24-26'!CX276</f>
        <v>0</v>
      </c>
      <c r="BN411" s="1062">
        <f>'No Recurrentes 24-26'!CY276</f>
        <v>7378.992</v>
      </c>
      <c r="BO411" s="1062">
        <f>'No Recurrentes 24-26'!CZ276</f>
        <v>27056.304</v>
      </c>
      <c r="BP411" s="1062">
        <f>'No Recurrentes 24-26'!DA276</f>
        <v>0</v>
      </c>
      <c r="BQ411" s="1062">
        <f>'No Recurrentes 24-26'!DB276</f>
        <v>24596.64</v>
      </c>
      <c r="BR411" s="1062">
        <f>'No Recurrentes 24-26'!DC276</f>
        <v>18447.48</v>
      </c>
      <c r="BS411" s="1062">
        <f>'No Recurrentes 24-26'!DD276</f>
        <v>0</v>
      </c>
      <c r="BT411" s="1062">
        <f>'No Recurrentes 24-26'!DE276</f>
        <v>0</v>
      </c>
      <c r="BU411" s="1062">
        <f>'No Recurrentes 24-26'!DF276</f>
        <v>0</v>
      </c>
      <c r="BV411" s="1062">
        <f>'No Recurrentes 24-26'!DG276</f>
        <v>7378.992</v>
      </c>
      <c r="BW411" s="1068"/>
      <c r="BX411" s="1062">
        <f>'No Recurrentes 24-26'!DH276</f>
        <v>84858.408</v>
      </c>
      <c r="BY411" s="1062">
        <f>'No Recurrentes 24-26'!DI276</f>
        <v>27056.304</v>
      </c>
      <c r="BZ411" s="1062">
        <f>'No Recurrentes 24-26'!DJ276</f>
        <v>0</v>
      </c>
      <c r="CA411" s="1062">
        <f>'No Recurrentes 24-26'!DK276</f>
        <v>27056.304</v>
      </c>
      <c r="CB411" s="1062">
        <f>'No Recurrentes 24-26'!DL276</f>
        <v>0</v>
      </c>
      <c r="CC411" s="1062">
        <f>'No Recurrentes 24-26'!DM276</f>
        <v>0</v>
      </c>
      <c r="CD411" s="1062">
        <f>'No Recurrentes 24-26'!DN276</f>
        <v>0</v>
      </c>
      <c r="CE411" s="1062">
        <f>'No Recurrentes 24-26'!DO276</f>
        <v>0</v>
      </c>
      <c r="CF411" s="1062">
        <f>'No Recurrentes 24-26'!DP276</f>
        <v>0</v>
      </c>
      <c r="CG411" s="1062">
        <f>'No Recurrentes 24-26'!DQ276</f>
        <v>0</v>
      </c>
      <c r="CH411" s="1062">
        <f>'No Recurrentes 24-26'!DR276</f>
        <v>0</v>
      </c>
      <c r="CI411" s="1068"/>
      <c r="CJ411" s="1062">
        <f>'No Recurrentes 24-26'!DS276</f>
        <v>54112.608</v>
      </c>
      <c r="CK411" s="1062">
        <f>'No Recurrentes 24-26'!DT276</f>
        <v>141430.68</v>
      </c>
      <c r="CL411" s="1064" t="str">
        <f>'No Recurrentes 24-26'!DU276</f>
        <v/>
      </c>
      <c r="CM411" s="1064" t="str">
        <f>'No Recurrentes 24-26'!DV276</f>
        <v>Recorrer años</v>
      </c>
      <c r="CN411" s="1060">
        <f>'No Recurrentes 24-26'!EI269</f>
        <v>1</v>
      </c>
      <c r="CO411" s="1060" t="str">
        <f>'No Recurrentes 24-26'!EJ269</f>
        <v/>
      </c>
      <c r="CP411" s="1060" t="str">
        <f>'No Recurrentes 24-26'!EK269</f>
        <v/>
      </c>
    </row>
    <row r="412">
      <c r="A412" s="451" t="str">
        <f>'No Recurrentes 24-26'!A277</f>
        <v>Repuestos Electromecánicos no recurrentes</v>
      </c>
      <c r="B412" s="451">
        <f>'No Recurrentes 24-26'!B277</f>
        <v>2</v>
      </c>
      <c r="C412" s="451" t="str">
        <f>'No Recurrentes 24-26'!C277</f>
        <v>Estación</v>
      </c>
      <c r="D412" s="451" t="str">
        <f>'No Recurrentes 24-26'!D277</f>
        <v>Manto. Transmisión Tren de Ruedas</v>
      </c>
      <c r="E412" s="451" t="str">
        <f>'No Recurrentes 24-26'!E277</f>
        <v>Repuesto Mecánico</v>
      </c>
      <c r="F412" s="451" t="str">
        <f>'No Recurrentes 24-26'!F277</f>
        <v>TDB</v>
      </c>
      <c r="G412" s="1025" t="str">
        <f>'No Recurrentes 24-26'!G277</f>
        <v>39800</v>
      </c>
      <c r="H412" s="1061" t="str">
        <f>'No Recurrentes 24-26'!H277</f>
        <v>2-01-00002</v>
      </c>
      <c r="I412" s="1061" t="str">
        <f>'No Recurrentes 24-26'!I277</f>
        <v>10275085</v>
      </c>
      <c r="J412" s="1061" t="str">
        <f>'No Recurrentes 24-26'!J277</f>
        <v>CORREA TRAP.CC/HCC LREF=6150MM DOBLE</v>
      </c>
      <c r="K412" s="451" t="str">
        <f>'No Recurrentes 24-26'!K277</f>
        <v>Pza</v>
      </c>
      <c r="L412" s="451" t="str">
        <f>'No Recurrentes 24-26'!BC277</f>
        <v/>
      </c>
      <c r="M412" s="451">
        <f>'No Recurrentes 24-26'!BD277</f>
        <v>9</v>
      </c>
      <c r="N412" s="451">
        <f>'No Recurrentes 24-26'!BE277</f>
        <v>10</v>
      </c>
      <c r="O412" s="451" t="str">
        <f>'No Recurrentes 24-26'!BF277</f>
        <v/>
      </c>
      <c r="P412" s="451">
        <f>'No Recurrentes 24-26'!BG277</f>
        <v>12</v>
      </c>
      <c r="Q412" s="451">
        <f>'No Recurrentes 24-26'!BH277</f>
        <v>18</v>
      </c>
      <c r="R412" s="451" t="str">
        <f>'No Recurrentes 24-26'!BI277</f>
        <v/>
      </c>
      <c r="S412" s="451" t="str">
        <f>'No Recurrentes 24-26'!BJ277</f>
        <v/>
      </c>
      <c r="T412" s="451" t="str">
        <f>'No Recurrentes 24-26'!BK277</f>
        <v/>
      </c>
      <c r="U412" s="451" t="str">
        <f>'No Recurrentes 24-26'!BL277</f>
        <v/>
      </c>
      <c r="V412" s="1068"/>
      <c r="W412" s="1062">
        <f>'No Recurrentes 24-26'!BM277</f>
        <v>49</v>
      </c>
      <c r="X412" s="1062" t="str">
        <f>'No Recurrentes 24-26'!BN277</f>
        <v/>
      </c>
      <c r="Y412" s="1062" t="str">
        <f>'No Recurrentes 24-26'!BO277</f>
        <v/>
      </c>
      <c r="Z412" s="1062" t="str">
        <f>'No Recurrentes 24-26'!BP277</f>
        <v/>
      </c>
      <c r="AA412" s="1062" t="str">
        <f>'No Recurrentes 24-26'!BQ277</f>
        <v/>
      </c>
      <c r="AB412" s="1062" t="str">
        <f>'No Recurrentes 24-26'!BR277</f>
        <v/>
      </c>
      <c r="AC412" s="1062" t="str">
        <f>'No Recurrentes 24-26'!BS277</f>
        <v/>
      </c>
      <c r="AD412" s="1062" t="str">
        <f>'No Recurrentes 24-26'!BT277</f>
        <v/>
      </c>
      <c r="AE412" s="1062" t="str">
        <f>'No Recurrentes 24-26'!BU277</f>
        <v/>
      </c>
      <c r="AF412" s="1062" t="str">
        <f>'No Recurrentes 24-26'!BV277</f>
        <v/>
      </c>
      <c r="AG412" s="1062" t="str">
        <f>'No Recurrentes 24-26'!BW277</f>
        <v/>
      </c>
      <c r="AH412" s="1068"/>
      <c r="AI412" s="1062">
        <f>'No Recurrentes 24-26'!BX277</f>
        <v>0</v>
      </c>
      <c r="AJ412" s="1062">
        <f>'No Recurrentes 24-26'!BY277</f>
        <v>20</v>
      </c>
      <c r="AK412" s="1062">
        <f>'No Recurrentes 24-26'!BZ277</f>
        <v>0</v>
      </c>
      <c r="AL412" s="1062">
        <f>'No Recurrentes 24-26'!CA277</f>
        <v>10</v>
      </c>
      <c r="AM412" s="1062">
        <f>'No Recurrentes 24-26'!CB277</f>
        <v>12</v>
      </c>
      <c r="AN412" s="1062">
        <f>'No Recurrentes 24-26'!CC277</f>
        <v>0</v>
      </c>
      <c r="AO412" s="1062">
        <f>'No Recurrentes 24-26'!CD277</f>
        <v>0</v>
      </c>
      <c r="AP412" s="1062">
        <f>'No Recurrentes 24-26'!CE277</f>
        <v>0</v>
      </c>
      <c r="AQ412" s="1062">
        <f>'No Recurrentes 24-26'!CF277</f>
        <v>0</v>
      </c>
      <c r="AR412" s="1062">
        <f>'No Recurrentes 24-26'!CG277</f>
        <v>0</v>
      </c>
      <c r="AS412" s="1062">
        <f>'No Recurrentes 24-26'!CH277</f>
        <v>0</v>
      </c>
      <c r="AT412" s="1068"/>
      <c r="AU412" s="1062">
        <f>'No Recurrentes 24-26'!CI277</f>
        <v>42</v>
      </c>
      <c r="AV412" s="1063">
        <f>'No Recurrentes 24-26'!CJ277</f>
        <v>91</v>
      </c>
      <c r="AW412" s="1068"/>
      <c r="AX412" s="1065">
        <f>'No Recurrentes 24-26'!CK277</f>
        <v>274.62</v>
      </c>
      <c r="AY412" s="1062">
        <f>'No Recurrentes 24-26'!CL277</f>
        <v>1911.3552</v>
      </c>
      <c r="AZ412" s="1068"/>
      <c r="BA412" s="1062">
        <f>'No Recurrentes 24-26'!CM277</f>
        <v>0</v>
      </c>
      <c r="BB412" s="1062">
        <f>'No Recurrentes 24-26'!CN277</f>
        <v>17202.1968</v>
      </c>
      <c r="BC412" s="1062">
        <f>'No Recurrentes 24-26'!CO277</f>
        <v>19113.552</v>
      </c>
      <c r="BD412" s="1062">
        <f>'No Recurrentes 24-26'!CP277</f>
        <v>0</v>
      </c>
      <c r="BE412" s="1062">
        <f>'No Recurrentes 24-26'!CQ277</f>
        <v>22936.2624</v>
      </c>
      <c r="BF412" s="1062">
        <f>'No Recurrentes 24-26'!CR277</f>
        <v>34404.3936</v>
      </c>
      <c r="BG412" s="1062">
        <f>'No Recurrentes 24-26'!CS277</f>
        <v>0</v>
      </c>
      <c r="BH412" s="1062">
        <f>'No Recurrentes 24-26'!CT277</f>
        <v>0</v>
      </c>
      <c r="BI412" s="1062">
        <f>'No Recurrentes 24-26'!CU277</f>
        <v>0</v>
      </c>
      <c r="BJ412" s="1062">
        <f>'No Recurrentes 24-26'!CV277</f>
        <v>0</v>
      </c>
      <c r="BK412" s="1068"/>
      <c r="BL412" s="1062">
        <f>'No Recurrentes 24-26'!CW277</f>
        <v>93656.4048</v>
      </c>
      <c r="BM412" s="1062">
        <f>'No Recurrentes 24-26'!CX277</f>
        <v>0</v>
      </c>
      <c r="BN412" s="1062">
        <f>'No Recurrentes 24-26'!CY277</f>
        <v>0</v>
      </c>
      <c r="BO412" s="1062">
        <f>'No Recurrentes 24-26'!CZ277</f>
        <v>0</v>
      </c>
      <c r="BP412" s="1062">
        <f>'No Recurrentes 24-26'!DA277</f>
        <v>0</v>
      </c>
      <c r="BQ412" s="1062">
        <f>'No Recurrentes 24-26'!DB277</f>
        <v>0</v>
      </c>
      <c r="BR412" s="1062">
        <f>'No Recurrentes 24-26'!DC277</f>
        <v>0</v>
      </c>
      <c r="BS412" s="1062">
        <f>'No Recurrentes 24-26'!DD277</f>
        <v>0</v>
      </c>
      <c r="BT412" s="1062">
        <f>'No Recurrentes 24-26'!DE277</f>
        <v>0</v>
      </c>
      <c r="BU412" s="1062">
        <f>'No Recurrentes 24-26'!DF277</f>
        <v>0</v>
      </c>
      <c r="BV412" s="1062">
        <f>'No Recurrentes 24-26'!DG277</f>
        <v>0</v>
      </c>
      <c r="BW412" s="1068"/>
      <c r="BX412" s="1062">
        <f>'No Recurrentes 24-26'!DH277</f>
        <v>0</v>
      </c>
      <c r="BY412" s="1062">
        <f>'No Recurrentes 24-26'!DI277</f>
        <v>38227.104</v>
      </c>
      <c r="BZ412" s="1062">
        <f>'No Recurrentes 24-26'!DJ277</f>
        <v>0</v>
      </c>
      <c r="CA412" s="1062">
        <f>'No Recurrentes 24-26'!DK277</f>
        <v>19113.552</v>
      </c>
      <c r="CB412" s="1062">
        <f>'No Recurrentes 24-26'!DL277</f>
        <v>22936.2624</v>
      </c>
      <c r="CC412" s="1062">
        <f>'No Recurrentes 24-26'!DM277</f>
        <v>0</v>
      </c>
      <c r="CD412" s="1062">
        <f>'No Recurrentes 24-26'!DN277</f>
        <v>0</v>
      </c>
      <c r="CE412" s="1062">
        <f>'No Recurrentes 24-26'!DO277</f>
        <v>0</v>
      </c>
      <c r="CF412" s="1062">
        <f>'No Recurrentes 24-26'!DP277</f>
        <v>0</v>
      </c>
      <c r="CG412" s="1062">
        <f>'No Recurrentes 24-26'!DQ277</f>
        <v>0</v>
      </c>
      <c r="CH412" s="1062">
        <f>'No Recurrentes 24-26'!DR277</f>
        <v>0</v>
      </c>
      <c r="CI412" s="1068"/>
      <c r="CJ412" s="1062">
        <f>'No Recurrentes 24-26'!DS277</f>
        <v>80276.9184</v>
      </c>
      <c r="CK412" s="1062">
        <f>'No Recurrentes 24-26'!DT277</f>
        <v>173933.3232</v>
      </c>
      <c r="CL412" s="1064" t="str">
        <f>'No Recurrentes 24-26'!DU277</f>
        <v/>
      </c>
      <c r="CM412" s="1064" t="str">
        <f>'No Recurrentes 24-26'!DV277</f>
        <v/>
      </c>
      <c r="CN412" s="1060">
        <f>'No Recurrentes 24-26'!EI270</f>
        <v>1</v>
      </c>
      <c r="CO412" s="1060" t="str">
        <f>'No Recurrentes 24-26'!EJ270</f>
        <v/>
      </c>
      <c r="CP412" s="1060" t="str">
        <f>'No Recurrentes 24-26'!EK270</f>
        <v/>
      </c>
    </row>
    <row r="413">
      <c r="A413" s="451" t="str">
        <f>'No Recurrentes 24-26'!A278</f>
        <v>Repuestos Electromecánicos no recurrentes</v>
      </c>
      <c r="B413" s="451">
        <f>'No Recurrentes 24-26'!B278</f>
        <v>2</v>
      </c>
      <c r="C413" s="451" t="str">
        <f>'No Recurrentes 24-26'!C278</f>
        <v>Estación</v>
      </c>
      <c r="D413" s="451" t="str">
        <f>'No Recurrentes 24-26'!D278</f>
        <v>Manto. Transmisión Tren de Ruedas</v>
      </c>
      <c r="E413" s="451" t="str">
        <f>'No Recurrentes 24-26'!E278</f>
        <v>Repuesto Mecánico</v>
      </c>
      <c r="F413" s="451" t="str">
        <f>'No Recurrentes 24-26'!F278</f>
        <v>TDB</v>
      </c>
      <c r="G413" s="1025" t="str">
        <f>'No Recurrentes 24-26'!G278</f>
        <v>39800</v>
      </c>
      <c r="H413" s="1061" t="str">
        <f>'No Recurrentes 24-26'!H278</f>
        <v>2-01-00038</v>
      </c>
      <c r="I413" s="1061" t="str">
        <f>'No Recurrentes 24-26'!I278</f>
        <v>10309716</v>
      </c>
      <c r="J413" s="1061" t="str">
        <f>'No Recurrentes 24-26'!J278</f>
        <v>TORN.HALFEN 72/48  8.8 M20X 60 TORNIL.HALFEN C. TUERCA,   GIC</v>
      </c>
      <c r="K413" s="451" t="str">
        <f>'No Recurrentes 24-26'!K278</f>
        <v>Pza</v>
      </c>
      <c r="L413" s="451" t="str">
        <f>'No Recurrentes 24-26'!BC278</f>
        <v/>
      </c>
      <c r="M413" s="451">
        <f>'No Recurrentes 24-26'!BD278</f>
        <v>10</v>
      </c>
      <c r="N413" s="451">
        <f>'No Recurrentes 24-26'!BE278</f>
        <v>50</v>
      </c>
      <c r="O413" s="451">
        <f>'No Recurrentes 24-26'!BF278</f>
        <v>111</v>
      </c>
      <c r="P413" s="451" t="str">
        <f>'No Recurrentes 24-26'!BG278</f>
        <v/>
      </c>
      <c r="Q413" s="451" t="str">
        <f>'No Recurrentes 24-26'!BH278</f>
        <v/>
      </c>
      <c r="R413" s="451" t="str">
        <f>'No Recurrentes 24-26'!BI278</f>
        <v/>
      </c>
      <c r="S413" s="451" t="str">
        <f>'No Recurrentes 24-26'!BJ278</f>
        <v/>
      </c>
      <c r="T413" s="451" t="str">
        <f>'No Recurrentes 24-26'!BK278</f>
        <v/>
      </c>
      <c r="U413" s="451" t="str">
        <f>'No Recurrentes 24-26'!BL278</f>
        <v/>
      </c>
      <c r="V413" s="1068"/>
      <c r="W413" s="1062">
        <f>'No Recurrentes 24-26'!BM278</f>
        <v>171</v>
      </c>
      <c r="X413" s="1062" t="str">
        <f>'No Recurrentes 24-26'!BN278</f>
        <v/>
      </c>
      <c r="Y413" s="1062" t="str">
        <f>'No Recurrentes 24-26'!BO278</f>
        <v/>
      </c>
      <c r="Z413" s="1062" t="str">
        <f>'No Recurrentes 24-26'!BP278</f>
        <v/>
      </c>
      <c r="AA413" s="1062">
        <f>'No Recurrentes 24-26'!BQ278</f>
        <v>111</v>
      </c>
      <c r="AB413" s="1062">
        <f>'No Recurrentes 24-26'!BR278</f>
        <v>50</v>
      </c>
      <c r="AC413" s="1062">
        <f>'No Recurrentes 24-26'!BS278</f>
        <v>50</v>
      </c>
      <c r="AD413" s="1062" t="str">
        <f>'No Recurrentes 24-26'!BT278</f>
        <v/>
      </c>
      <c r="AE413" s="1062" t="str">
        <f>'No Recurrentes 24-26'!BU278</f>
        <v/>
      </c>
      <c r="AF413" s="1062" t="str">
        <f>'No Recurrentes 24-26'!BV278</f>
        <v/>
      </c>
      <c r="AG413" s="1062" t="str">
        <f>'No Recurrentes 24-26'!BW278</f>
        <v/>
      </c>
      <c r="AH413" s="1068"/>
      <c r="AI413" s="1062">
        <f>'No Recurrentes 24-26'!BX278</f>
        <v>211</v>
      </c>
      <c r="AJ413" s="1062">
        <f>'No Recurrentes 24-26'!BY278</f>
        <v>80</v>
      </c>
      <c r="AK413" s="1062">
        <f>'No Recurrentes 24-26'!BZ278</f>
        <v>0</v>
      </c>
      <c r="AL413" s="1062">
        <f>'No Recurrentes 24-26'!CA278</f>
        <v>0</v>
      </c>
      <c r="AM413" s="1062">
        <f>'No Recurrentes 24-26'!CB278</f>
        <v>0</v>
      </c>
      <c r="AN413" s="1062">
        <f>'No Recurrentes 24-26'!CC278</f>
        <v>50</v>
      </c>
      <c r="AO413" s="1062">
        <f>'No Recurrentes 24-26'!CD278</f>
        <v>50</v>
      </c>
      <c r="AP413" s="1062">
        <f>'No Recurrentes 24-26'!CE278</f>
        <v>0</v>
      </c>
      <c r="AQ413" s="1062">
        <f>'No Recurrentes 24-26'!CF278</f>
        <v>0</v>
      </c>
      <c r="AR413" s="1062">
        <f>'No Recurrentes 24-26'!CG278</f>
        <v>0</v>
      </c>
      <c r="AS413" s="1062">
        <f>'No Recurrentes 24-26'!CH278</f>
        <v>0</v>
      </c>
      <c r="AT413" s="1068"/>
      <c r="AU413" s="1062">
        <f>'No Recurrentes 24-26'!CI278</f>
        <v>180</v>
      </c>
      <c r="AV413" s="1063">
        <f>'No Recurrentes 24-26'!CJ278</f>
        <v>562</v>
      </c>
      <c r="AW413" s="1068"/>
      <c r="AX413" s="1065">
        <f>'No Recurrentes 24-26'!CK278</f>
        <v>41.53</v>
      </c>
      <c r="AY413" s="1062">
        <f>'No Recurrentes 24-26'!CL278</f>
        <v>289.0488</v>
      </c>
      <c r="AZ413" s="1068"/>
      <c r="BA413" s="1062">
        <f>'No Recurrentes 24-26'!CM278</f>
        <v>0</v>
      </c>
      <c r="BB413" s="1062">
        <f>'No Recurrentes 24-26'!CN278</f>
        <v>2890.488</v>
      </c>
      <c r="BC413" s="1062">
        <f>'No Recurrentes 24-26'!CO278</f>
        <v>14452.44</v>
      </c>
      <c r="BD413" s="1062">
        <f>'No Recurrentes 24-26'!CP278</f>
        <v>32084.4168</v>
      </c>
      <c r="BE413" s="1062">
        <f>'No Recurrentes 24-26'!CQ278</f>
        <v>0</v>
      </c>
      <c r="BF413" s="1062">
        <f>'No Recurrentes 24-26'!CR278</f>
        <v>0</v>
      </c>
      <c r="BG413" s="1062">
        <f>'No Recurrentes 24-26'!CS278</f>
        <v>0</v>
      </c>
      <c r="BH413" s="1062">
        <f>'No Recurrentes 24-26'!CT278</f>
        <v>0</v>
      </c>
      <c r="BI413" s="1062">
        <f>'No Recurrentes 24-26'!CU278</f>
        <v>0</v>
      </c>
      <c r="BJ413" s="1062">
        <f>'No Recurrentes 24-26'!CV278</f>
        <v>0</v>
      </c>
      <c r="BK413" s="1068"/>
      <c r="BL413" s="1062">
        <f>'No Recurrentes 24-26'!CW278</f>
        <v>49427.3448</v>
      </c>
      <c r="BM413" s="1062">
        <f>'No Recurrentes 24-26'!CX278</f>
        <v>0</v>
      </c>
      <c r="BN413" s="1062">
        <f>'No Recurrentes 24-26'!CY278</f>
        <v>0</v>
      </c>
      <c r="BO413" s="1062">
        <f>'No Recurrentes 24-26'!CZ278</f>
        <v>0</v>
      </c>
      <c r="BP413" s="1062">
        <f>'No Recurrentes 24-26'!DA278</f>
        <v>32084.4168</v>
      </c>
      <c r="BQ413" s="1062">
        <f>'No Recurrentes 24-26'!DB278</f>
        <v>14452.44</v>
      </c>
      <c r="BR413" s="1062">
        <f>'No Recurrentes 24-26'!DC278</f>
        <v>14452.44</v>
      </c>
      <c r="BS413" s="1062">
        <f>'No Recurrentes 24-26'!DD278</f>
        <v>0</v>
      </c>
      <c r="BT413" s="1062">
        <f>'No Recurrentes 24-26'!DE278</f>
        <v>0</v>
      </c>
      <c r="BU413" s="1062">
        <f>'No Recurrentes 24-26'!DF278</f>
        <v>0</v>
      </c>
      <c r="BV413" s="1062">
        <f>'No Recurrentes 24-26'!DG278</f>
        <v>0</v>
      </c>
      <c r="BW413" s="1068"/>
      <c r="BX413" s="1062">
        <f>'No Recurrentes 24-26'!DH278</f>
        <v>60989.2968</v>
      </c>
      <c r="BY413" s="1062">
        <f>'No Recurrentes 24-26'!DI278</f>
        <v>23123.904</v>
      </c>
      <c r="BZ413" s="1062">
        <f>'No Recurrentes 24-26'!DJ278</f>
        <v>0</v>
      </c>
      <c r="CA413" s="1062">
        <f>'No Recurrentes 24-26'!DK278</f>
        <v>0</v>
      </c>
      <c r="CB413" s="1062">
        <f>'No Recurrentes 24-26'!DL278</f>
        <v>0</v>
      </c>
      <c r="CC413" s="1062">
        <f>'No Recurrentes 24-26'!DM278</f>
        <v>14452.44</v>
      </c>
      <c r="CD413" s="1062">
        <f>'No Recurrentes 24-26'!DN278</f>
        <v>14452.44</v>
      </c>
      <c r="CE413" s="1062">
        <f>'No Recurrentes 24-26'!DO278</f>
        <v>0</v>
      </c>
      <c r="CF413" s="1062">
        <f>'No Recurrentes 24-26'!DP278</f>
        <v>0</v>
      </c>
      <c r="CG413" s="1062">
        <f>'No Recurrentes 24-26'!DQ278</f>
        <v>0</v>
      </c>
      <c r="CH413" s="1062">
        <f>'No Recurrentes 24-26'!DR278</f>
        <v>0</v>
      </c>
      <c r="CI413" s="1068"/>
      <c r="CJ413" s="1062">
        <f>'No Recurrentes 24-26'!DS278</f>
        <v>52028.784</v>
      </c>
      <c r="CK413" s="1062">
        <f>'No Recurrentes 24-26'!DT278</f>
        <v>162445.4256</v>
      </c>
      <c r="CL413" s="1064" t="str">
        <f>'No Recurrentes 24-26'!DU278</f>
        <v/>
      </c>
      <c r="CM413" s="1064" t="str">
        <f>'No Recurrentes 24-26'!DV278</f>
        <v/>
      </c>
      <c r="CN413" s="1060">
        <f>'No Recurrentes 24-26'!EI274</f>
        <v>1</v>
      </c>
      <c r="CO413" s="1060" t="str">
        <f>'No Recurrentes 24-26'!EJ274</f>
        <v/>
      </c>
      <c r="CP413" s="1060" t="str">
        <f>'No Recurrentes 24-26'!EK274</f>
        <v/>
      </c>
    </row>
    <row r="414">
      <c r="A414" s="451" t="str">
        <f>'No Recurrentes 24-26'!A279</f>
        <v>Repuestos Electromecánicos no recurrentes</v>
      </c>
      <c r="B414" s="451">
        <f>'No Recurrentes 24-26'!B279</f>
        <v>2</v>
      </c>
      <c r="C414" s="451" t="str">
        <f>'No Recurrentes 24-26'!C279</f>
        <v>Estación</v>
      </c>
      <c r="D414" s="451" t="str">
        <f>'No Recurrentes 24-26'!D279</f>
        <v>Manto. Transmisión Tren de Ruedas</v>
      </c>
      <c r="E414" s="451" t="str">
        <f>'No Recurrentes 24-26'!E279</f>
        <v>Repuesto Mecánico</v>
      </c>
      <c r="F414" s="451" t="str">
        <f>'No Recurrentes 24-26'!F279</f>
        <v>TDB</v>
      </c>
      <c r="G414" s="1025" t="str">
        <f>'No Recurrentes 24-26'!G279</f>
        <v>39800</v>
      </c>
      <c r="H414" s="1061" t="str">
        <f>'No Recurrentes 24-26'!H279</f>
        <v>2-01-00003</v>
      </c>
      <c r="I414" s="1061" t="str">
        <f>'No Recurrentes 24-26'!I279</f>
        <v>10082482</v>
      </c>
      <c r="J414" s="1061" t="str">
        <f>'No Recurrentes 24-26'!J279</f>
        <v>CORREA TRAP.XPC     LA=1900 MM DIN 7753-1</v>
      </c>
      <c r="K414" s="451" t="str">
        <f>'No Recurrentes 24-26'!K279</f>
        <v>Pza</v>
      </c>
      <c r="L414" s="451" t="str">
        <f>'No Recurrentes 24-26'!BC279</f>
        <v/>
      </c>
      <c r="M414" s="451">
        <f>'No Recurrentes 24-26'!BD279</f>
        <v>42</v>
      </c>
      <c r="N414" s="451">
        <f>'No Recurrentes 24-26'!BE279</f>
        <v>84</v>
      </c>
      <c r="O414" s="451" t="str">
        <f>'No Recurrentes 24-26'!BF279</f>
        <v/>
      </c>
      <c r="P414" s="451" t="str">
        <f>'No Recurrentes 24-26'!BG279</f>
        <v/>
      </c>
      <c r="Q414" s="451" t="str">
        <f>'No Recurrentes 24-26'!BH279</f>
        <v/>
      </c>
      <c r="R414" s="451" t="str">
        <f>'No Recurrentes 24-26'!BI279</f>
        <v/>
      </c>
      <c r="S414" s="451" t="str">
        <f>'No Recurrentes 24-26'!BJ279</f>
        <v/>
      </c>
      <c r="T414" s="451" t="str">
        <f>'No Recurrentes 24-26'!BK279</f>
        <v/>
      </c>
      <c r="U414" s="451" t="str">
        <f>'No Recurrentes 24-26'!BL279</f>
        <v/>
      </c>
      <c r="V414" s="1068"/>
      <c r="W414" s="1062">
        <f>'No Recurrentes 24-26'!BM279</f>
        <v>126</v>
      </c>
      <c r="X414" s="1062" t="str">
        <f>'No Recurrentes 24-26'!BN279</f>
        <v/>
      </c>
      <c r="Y414" s="1062" t="str">
        <f>'No Recurrentes 24-26'!BO279</f>
        <v/>
      </c>
      <c r="Z414" s="1062" t="str">
        <f>'No Recurrentes 24-26'!BP279</f>
        <v/>
      </c>
      <c r="AA414" s="1062">
        <f>'No Recurrentes 24-26'!BQ279</f>
        <v>186</v>
      </c>
      <c r="AB414" s="1062">
        <f>'No Recurrentes 24-26'!BR279</f>
        <v>292</v>
      </c>
      <c r="AC414" s="1062">
        <f>'No Recurrentes 24-26'!BS279</f>
        <v>372</v>
      </c>
      <c r="AD414" s="1062" t="str">
        <f>'No Recurrentes 24-26'!BT279</f>
        <v/>
      </c>
      <c r="AE414" s="1062" t="str">
        <f>'No Recurrentes 24-26'!BU279</f>
        <v/>
      </c>
      <c r="AF414" s="1062" t="str">
        <f>'No Recurrentes 24-26'!BV279</f>
        <v/>
      </c>
      <c r="AG414" s="1062" t="str">
        <f>'No Recurrentes 24-26'!BW279</f>
        <v/>
      </c>
      <c r="AH414" s="1068"/>
      <c r="AI414" s="1062">
        <f>'No Recurrentes 24-26'!BX279</f>
        <v>850</v>
      </c>
      <c r="AJ414" s="1062">
        <f>'No Recurrentes 24-26'!BY279</f>
        <v>172</v>
      </c>
      <c r="AK414" s="1062">
        <f>'No Recurrentes 24-26'!BZ279</f>
        <v>0</v>
      </c>
      <c r="AL414" s="1062">
        <f>'No Recurrentes 24-26'!CA279</f>
        <v>84</v>
      </c>
      <c r="AM414" s="1062">
        <f>'No Recurrentes 24-26'!CB279</f>
        <v>0</v>
      </c>
      <c r="AN414" s="1062">
        <f>'No Recurrentes 24-26'!CC279</f>
        <v>0</v>
      </c>
      <c r="AO414" s="1062">
        <f>'No Recurrentes 24-26'!CD279</f>
        <v>0</v>
      </c>
      <c r="AP414" s="1062">
        <f>'No Recurrentes 24-26'!CE279</f>
        <v>0</v>
      </c>
      <c r="AQ414" s="1062">
        <f>'No Recurrentes 24-26'!CF279</f>
        <v>0</v>
      </c>
      <c r="AR414" s="1062">
        <f>'No Recurrentes 24-26'!CG279</f>
        <v>0</v>
      </c>
      <c r="AS414" s="1062">
        <f>'No Recurrentes 24-26'!CH279</f>
        <v>120</v>
      </c>
      <c r="AT414" s="1068"/>
      <c r="AU414" s="1062">
        <f>'No Recurrentes 24-26'!CI279</f>
        <v>376</v>
      </c>
      <c r="AV414" s="1063">
        <f>'No Recurrentes 24-26'!CJ279</f>
        <v>1352</v>
      </c>
      <c r="AW414" s="1068"/>
      <c r="AX414" s="1065">
        <f>'No Recurrentes 24-26'!CK279</f>
        <v>55.84</v>
      </c>
      <c r="AY414" s="1062">
        <f>'No Recurrentes 24-26'!CL279</f>
        <v>388.6464</v>
      </c>
      <c r="AZ414" s="1068"/>
      <c r="BA414" s="1062">
        <f>'No Recurrentes 24-26'!CM279</f>
        <v>0</v>
      </c>
      <c r="BB414" s="1062">
        <f>'No Recurrentes 24-26'!CN279</f>
        <v>16323.1488</v>
      </c>
      <c r="BC414" s="1062">
        <f>'No Recurrentes 24-26'!CO279</f>
        <v>32646.2976</v>
      </c>
      <c r="BD414" s="1062">
        <f>'No Recurrentes 24-26'!CP279</f>
        <v>0</v>
      </c>
      <c r="BE414" s="1062">
        <f>'No Recurrentes 24-26'!CQ279</f>
        <v>0</v>
      </c>
      <c r="BF414" s="1062">
        <f>'No Recurrentes 24-26'!CR279</f>
        <v>0</v>
      </c>
      <c r="BG414" s="1062">
        <f>'No Recurrentes 24-26'!CS279</f>
        <v>0</v>
      </c>
      <c r="BH414" s="1062">
        <f>'No Recurrentes 24-26'!CT279</f>
        <v>0</v>
      </c>
      <c r="BI414" s="1062">
        <f>'No Recurrentes 24-26'!CU279</f>
        <v>0</v>
      </c>
      <c r="BJ414" s="1062">
        <f>'No Recurrentes 24-26'!CV279</f>
        <v>0</v>
      </c>
      <c r="BK414" s="1068"/>
      <c r="BL414" s="1062">
        <f>'No Recurrentes 24-26'!CW279</f>
        <v>48969.4464</v>
      </c>
      <c r="BM414" s="1062">
        <f>'No Recurrentes 24-26'!CX279</f>
        <v>0</v>
      </c>
      <c r="BN414" s="1062">
        <f>'No Recurrentes 24-26'!CY279</f>
        <v>0</v>
      </c>
      <c r="BO414" s="1062">
        <f>'No Recurrentes 24-26'!CZ279</f>
        <v>0</v>
      </c>
      <c r="BP414" s="1062">
        <f>'No Recurrentes 24-26'!DA279</f>
        <v>72288.2304</v>
      </c>
      <c r="BQ414" s="1062">
        <f>'No Recurrentes 24-26'!DB279</f>
        <v>113484.7488</v>
      </c>
      <c r="BR414" s="1062">
        <f>'No Recurrentes 24-26'!DC279</f>
        <v>144576.4608</v>
      </c>
      <c r="BS414" s="1062">
        <f>'No Recurrentes 24-26'!DD279</f>
        <v>0</v>
      </c>
      <c r="BT414" s="1062">
        <f>'No Recurrentes 24-26'!DE279</f>
        <v>0</v>
      </c>
      <c r="BU414" s="1062">
        <f>'No Recurrentes 24-26'!DF279</f>
        <v>0</v>
      </c>
      <c r="BV414" s="1062">
        <f>'No Recurrentes 24-26'!DG279</f>
        <v>0</v>
      </c>
      <c r="BW414" s="1068"/>
      <c r="BX414" s="1062">
        <f>'No Recurrentes 24-26'!DH279</f>
        <v>330349.44</v>
      </c>
      <c r="BY414" s="1062">
        <f>'No Recurrentes 24-26'!DI279</f>
        <v>66847.1808</v>
      </c>
      <c r="BZ414" s="1062">
        <f>'No Recurrentes 24-26'!DJ279</f>
        <v>0</v>
      </c>
      <c r="CA414" s="1062">
        <f>'No Recurrentes 24-26'!DK279</f>
        <v>32646.2976</v>
      </c>
      <c r="CB414" s="1062">
        <f>'No Recurrentes 24-26'!DL279</f>
        <v>0</v>
      </c>
      <c r="CC414" s="1062">
        <f>'No Recurrentes 24-26'!DM279</f>
        <v>0</v>
      </c>
      <c r="CD414" s="1062">
        <f>'No Recurrentes 24-26'!DN279</f>
        <v>0</v>
      </c>
      <c r="CE414" s="1062">
        <f>'No Recurrentes 24-26'!DO279</f>
        <v>0</v>
      </c>
      <c r="CF414" s="1062">
        <f>'No Recurrentes 24-26'!DP279</f>
        <v>0</v>
      </c>
      <c r="CG414" s="1062">
        <f>'No Recurrentes 24-26'!DQ279</f>
        <v>0</v>
      </c>
      <c r="CH414" s="1062">
        <f>'No Recurrentes 24-26'!DR279</f>
        <v>46637.568</v>
      </c>
      <c r="CI414" s="1068"/>
      <c r="CJ414" s="1062">
        <f>'No Recurrentes 24-26'!DS279</f>
        <v>146131.0464</v>
      </c>
      <c r="CK414" s="1062">
        <f>'No Recurrentes 24-26'!DT279</f>
        <v>525449.9328</v>
      </c>
      <c r="CL414" s="1064" t="str">
        <f>'No Recurrentes 24-26'!DU279</f>
        <v/>
      </c>
      <c r="CM414" s="1064" t="str">
        <f>'No Recurrentes 24-26'!DV279</f>
        <v/>
      </c>
      <c r="CN414" s="1065">
        <f>'No Recurrentes 24-26'!EI275</f>
        <v>205.63</v>
      </c>
      <c r="CO414" s="1065">
        <f>'No Recurrentes 24-26'!EJ275</f>
        <v>174.79</v>
      </c>
      <c r="CP414" s="1060" t="str">
        <f>'No Recurrentes 24-26'!EK275</f>
        <v/>
      </c>
    </row>
    <row r="415">
      <c r="A415" s="451" t="str">
        <f>'No Recurrentes 24-26'!A280</f>
        <v>Repuestos Electromecánicos no recurrentes</v>
      </c>
      <c r="B415" s="451">
        <f>'No Recurrentes 24-26'!B280</f>
        <v>2</v>
      </c>
      <c r="C415" s="451" t="str">
        <f>'No Recurrentes 24-26'!C280</f>
        <v>Estación</v>
      </c>
      <c r="D415" s="451" t="str">
        <f>'No Recurrentes 24-26'!D280</f>
        <v>Manto. Transmisión Tren de Ruedas</v>
      </c>
      <c r="E415" s="451" t="str">
        <f>'No Recurrentes 24-26'!E280</f>
        <v>Repuesto Mecánico</v>
      </c>
      <c r="F415" s="451" t="str">
        <f>'No Recurrentes 24-26'!F280</f>
        <v>TDB</v>
      </c>
      <c r="G415" s="1025" t="str">
        <f>'No Recurrentes 24-26'!G280</f>
        <v>39800</v>
      </c>
      <c r="H415" s="1061" t="str">
        <f>'No Recurrentes 24-26'!H280</f>
        <v>2-01-00595</v>
      </c>
      <c r="I415" s="1061" t="str">
        <f>'No Recurrentes 24-26'!I280</f>
        <v>10217238</v>
      </c>
      <c r="J415" s="1061" t="str">
        <f>'No Recurrentes 24-26'!J280</f>
        <v>CORREA TRAP. XPC LW=2000 MM DIN 7753-1</v>
      </c>
      <c r="K415" s="451" t="str">
        <f>'No Recurrentes 24-26'!K280</f>
        <v>Pza</v>
      </c>
      <c r="L415" s="451">
        <f>'No Recurrentes 24-26'!BC280</f>
        <v>10</v>
      </c>
      <c r="M415" s="451">
        <f>'No Recurrentes 24-26'!BD280</f>
        <v>5</v>
      </c>
      <c r="N415" s="451">
        <f>'No Recurrentes 24-26'!BE280</f>
        <v>9</v>
      </c>
      <c r="O415" s="451">
        <f>'No Recurrentes 24-26'!BF280</f>
        <v>10</v>
      </c>
      <c r="P415" s="451">
        <f>'No Recurrentes 24-26'!BG280</f>
        <v>18</v>
      </c>
      <c r="Q415" s="451">
        <f>'No Recurrentes 24-26'!BH280</f>
        <v>18</v>
      </c>
      <c r="R415" s="451" t="str">
        <f>'No Recurrentes 24-26'!BI280</f>
        <v/>
      </c>
      <c r="S415" s="451" t="str">
        <f>'No Recurrentes 24-26'!BJ280</f>
        <v/>
      </c>
      <c r="T415" s="451" t="str">
        <f>'No Recurrentes 24-26'!BK280</f>
        <v/>
      </c>
      <c r="U415" s="451" t="str">
        <f>'No Recurrentes 24-26'!BL280</f>
        <v/>
      </c>
      <c r="V415" s="1068"/>
      <c r="W415" s="1062">
        <f>'No Recurrentes 24-26'!BM280</f>
        <v>70</v>
      </c>
      <c r="X415" s="1062" t="str">
        <f>'No Recurrentes 24-26'!BN280</f>
        <v/>
      </c>
      <c r="Y415" s="1062" t="str">
        <f>'No Recurrentes 24-26'!BO280</f>
        <v/>
      </c>
      <c r="Z415" s="1062" t="str">
        <f>'No Recurrentes 24-26'!BP280</f>
        <v/>
      </c>
      <c r="AA415" s="1062" t="str">
        <f>'No Recurrentes 24-26'!BQ280</f>
        <v/>
      </c>
      <c r="AB415" s="1062" t="str">
        <f>'No Recurrentes 24-26'!BR280</f>
        <v/>
      </c>
      <c r="AC415" s="1062" t="str">
        <f>'No Recurrentes 24-26'!BS280</f>
        <v/>
      </c>
      <c r="AD415" s="1062" t="str">
        <f>'No Recurrentes 24-26'!BT280</f>
        <v/>
      </c>
      <c r="AE415" s="1062" t="str">
        <f>'No Recurrentes 24-26'!BU280</f>
        <v/>
      </c>
      <c r="AF415" s="1062" t="str">
        <f>'No Recurrentes 24-26'!BV280</f>
        <v/>
      </c>
      <c r="AG415" s="1062" t="str">
        <f>'No Recurrentes 24-26'!BW280</f>
        <v/>
      </c>
      <c r="AH415" s="1068"/>
      <c r="AI415" s="1062">
        <f>'No Recurrentes 24-26'!BX280</f>
        <v>0</v>
      </c>
      <c r="AJ415" s="1062">
        <f>'No Recurrentes 24-26'!BY280</f>
        <v>0</v>
      </c>
      <c r="AK415" s="1062">
        <f>'No Recurrentes 24-26'!BZ280</f>
        <v>0</v>
      </c>
      <c r="AL415" s="1062">
        <f>'No Recurrentes 24-26'!CA280</f>
        <v>9</v>
      </c>
      <c r="AM415" s="1062">
        <f>'No Recurrentes 24-26'!CB280</f>
        <v>0</v>
      </c>
      <c r="AN415" s="1062">
        <f>'No Recurrentes 24-26'!CC280</f>
        <v>0</v>
      </c>
      <c r="AO415" s="1062">
        <f>'No Recurrentes 24-26'!CD280</f>
        <v>0</v>
      </c>
      <c r="AP415" s="1062">
        <f>'No Recurrentes 24-26'!CE280</f>
        <v>0</v>
      </c>
      <c r="AQ415" s="1062">
        <f>'No Recurrentes 24-26'!CF280</f>
        <v>0</v>
      </c>
      <c r="AR415" s="1062">
        <f>'No Recurrentes 24-26'!CG280</f>
        <v>0</v>
      </c>
      <c r="AS415" s="1062">
        <f>'No Recurrentes 24-26'!CH280</f>
        <v>0</v>
      </c>
      <c r="AT415" s="1068"/>
      <c r="AU415" s="1062">
        <f>'No Recurrentes 24-26'!CI280</f>
        <v>9</v>
      </c>
      <c r="AV415" s="1063">
        <f>'No Recurrentes 24-26'!CJ280</f>
        <v>79</v>
      </c>
      <c r="AW415" s="1068"/>
      <c r="AX415" s="1065">
        <f>'No Recurrentes 24-26'!CK280</f>
        <v>92.68</v>
      </c>
      <c r="AY415" s="1062">
        <f>'No Recurrentes 24-26'!CL280</f>
        <v>645.0528</v>
      </c>
      <c r="AZ415" s="1068"/>
      <c r="BA415" s="1062">
        <f>'No Recurrentes 24-26'!CM280</f>
        <v>6450.528</v>
      </c>
      <c r="BB415" s="1062">
        <f>'No Recurrentes 24-26'!CN280</f>
        <v>3225.264</v>
      </c>
      <c r="BC415" s="1062">
        <f>'No Recurrentes 24-26'!CO280</f>
        <v>5805.4752</v>
      </c>
      <c r="BD415" s="1062">
        <f>'No Recurrentes 24-26'!CP280</f>
        <v>6450.528</v>
      </c>
      <c r="BE415" s="1062">
        <f>'No Recurrentes 24-26'!CQ280</f>
        <v>11610.9504</v>
      </c>
      <c r="BF415" s="1062">
        <f>'No Recurrentes 24-26'!CR280</f>
        <v>11610.9504</v>
      </c>
      <c r="BG415" s="1062">
        <f>'No Recurrentes 24-26'!CS280</f>
        <v>0</v>
      </c>
      <c r="BH415" s="1062">
        <f>'No Recurrentes 24-26'!CT280</f>
        <v>0</v>
      </c>
      <c r="BI415" s="1062">
        <f>'No Recurrentes 24-26'!CU280</f>
        <v>0</v>
      </c>
      <c r="BJ415" s="1062">
        <f>'No Recurrentes 24-26'!CV280</f>
        <v>0</v>
      </c>
      <c r="BK415" s="1068"/>
      <c r="BL415" s="1062">
        <f>'No Recurrentes 24-26'!CW280</f>
        <v>45153.696</v>
      </c>
      <c r="BM415" s="1062">
        <f>'No Recurrentes 24-26'!CX280</f>
        <v>0</v>
      </c>
      <c r="BN415" s="1062">
        <f>'No Recurrentes 24-26'!CY280</f>
        <v>0</v>
      </c>
      <c r="BO415" s="1062">
        <f>'No Recurrentes 24-26'!CZ280</f>
        <v>0</v>
      </c>
      <c r="BP415" s="1062">
        <f>'No Recurrentes 24-26'!DA280</f>
        <v>0</v>
      </c>
      <c r="BQ415" s="1062">
        <f>'No Recurrentes 24-26'!DB280</f>
        <v>0</v>
      </c>
      <c r="BR415" s="1062">
        <f>'No Recurrentes 24-26'!DC280</f>
        <v>0</v>
      </c>
      <c r="BS415" s="1062">
        <f>'No Recurrentes 24-26'!DD280</f>
        <v>0</v>
      </c>
      <c r="BT415" s="1062">
        <f>'No Recurrentes 24-26'!DE280</f>
        <v>0</v>
      </c>
      <c r="BU415" s="1062">
        <f>'No Recurrentes 24-26'!DF280</f>
        <v>0</v>
      </c>
      <c r="BV415" s="1062">
        <f>'No Recurrentes 24-26'!DG280</f>
        <v>0</v>
      </c>
      <c r="BW415" s="1068"/>
      <c r="BX415" s="1062">
        <f>'No Recurrentes 24-26'!DH280</f>
        <v>0</v>
      </c>
      <c r="BY415" s="1062">
        <f>'No Recurrentes 24-26'!DI280</f>
        <v>0</v>
      </c>
      <c r="BZ415" s="1062">
        <f>'No Recurrentes 24-26'!DJ280</f>
        <v>0</v>
      </c>
      <c r="CA415" s="1062">
        <f>'No Recurrentes 24-26'!DK280</f>
        <v>5805.4752</v>
      </c>
      <c r="CB415" s="1062">
        <f>'No Recurrentes 24-26'!DL280</f>
        <v>0</v>
      </c>
      <c r="CC415" s="1062">
        <f>'No Recurrentes 24-26'!DM280</f>
        <v>0</v>
      </c>
      <c r="CD415" s="1062">
        <f>'No Recurrentes 24-26'!DN280</f>
        <v>0</v>
      </c>
      <c r="CE415" s="1062">
        <f>'No Recurrentes 24-26'!DO280</f>
        <v>0</v>
      </c>
      <c r="CF415" s="1062">
        <f>'No Recurrentes 24-26'!DP280</f>
        <v>0</v>
      </c>
      <c r="CG415" s="1062">
        <f>'No Recurrentes 24-26'!DQ280</f>
        <v>0</v>
      </c>
      <c r="CH415" s="1062">
        <f>'No Recurrentes 24-26'!DR280</f>
        <v>0</v>
      </c>
      <c r="CI415" s="1068"/>
      <c r="CJ415" s="1062">
        <f>'No Recurrentes 24-26'!DS280</f>
        <v>5805.4752</v>
      </c>
      <c r="CK415" s="1062">
        <f>'No Recurrentes 24-26'!DT280</f>
        <v>50959.1712</v>
      </c>
      <c r="CL415" s="1064" t="str">
        <f>'No Recurrentes 24-26'!DU280</f>
        <v/>
      </c>
      <c r="CM415" s="1064" t="str">
        <f>'No Recurrentes 24-26'!DV280</f>
        <v/>
      </c>
      <c r="CN415" s="1065">
        <f>'No Recurrentes 24-26'!EI276</f>
        <v>35.34</v>
      </c>
      <c r="CO415" s="1065">
        <f>'No Recurrentes 24-26'!EJ276</f>
        <v>30.04</v>
      </c>
      <c r="CP415" s="1060" t="str">
        <f>'No Recurrentes 24-26'!EK276</f>
        <v/>
      </c>
    </row>
    <row r="416">
      <c r="A416" s="451" t="str">
        <f>'No Recurrentes 24-26'!A281</f>
        <v>Repuestos Electromecánicos no recurrentes</v>
      </c>
      <c r="B416" s="451">
        <f>'No Recurrentes 24-26'!B281</f>
        <v>2</v>
      </c>
      <c r="C416" s="451" t="str">
        <f>'No Recurrentes 24-26'!C281</f>
        <v>Estación</v>
      </c>
      <c r="D416" s="451" t="str">
        <f>'No Recurrentes 24-26'!D281</f>
        <v>Manto. Transmisión Tren de Ruedas</v>
      </c>
      <c r="E416" s="451" t="str">
        <f>'No Recurrentes 24-26'!E281</f>
        <v>Repuesto Mecánico</v>
      </c>
      <c r="F416" s="451" t="str">
        <f>'No Recurrentes 24-26'!F281</f>
        <v>TDB</v>
      </c>
      <c r="G416" s="1025" t="str">
        <f>'No Recurrentes 24-26'!G281</f>
        <v>39800</v>
      </c>
      <c r="H416" s="1061" t="str">
        <f>'No Recurrentes 24-26'!H281</f>
        <v>2-01-00101</v>
      </c>
      <c r="I416" s="1061" t="str">
        <f>'No Recurrentes 24-26'!I281</f>
        <v>10004079</v>
      </c>
      <c r="J416" s="1061" t="str">
        <f>'No Recurrentes 24-26'!J281</f>
        <v>RODAM.RAN.DIN 625/1- 6306-2RS1 RODAM.RANUR.DE BOLAS (TTF-60%)</v>
      </c>
      <c r="K416" s="451" t="str">
        <f>'No Recurrentes 24-26'!K281</f>
        <v>Pza</v>
      </c>
      <c r="L416" s="451" t="str">
        <f>'No Recurrentes 24-26'!BC281</f>
        <v/>
      </c>
      <c r="M416" s="451" t="str">
        <f>'No Recurrentes 24-26'!BD281</f>
        <v/>
      </c>
      <c r="N416" s="451">
        <f>'No Recurrentes 24-26'!BE281</f>
        <v>50</v>
      </c>
      <c r="O416" s="451" t="str">
        <f>'No Recurrentes 24-26'!BF281</f>
        <v/>
      </c>
      <c r="P416" s="451" t="str">
        <f>'No Recurrentes 24-26'!BG281</f>
        <v/>
      </c>
      <c r="Q416" s="451" t="str">
        <f>'No Recurrentes 24-26'!BH281</f>
        <v/>
      </c>
      <c r="R416" s="451" t="str">
        <f>'No Recurrentes 24-26'!BI281</f>
        <v/>
      </c>
      <c r="S416" s="451" t="str">
        <f>'No Recurrentes 24-26'!BJ281</f>
        <v/>
      </c>
      <c r="T416" s="451" t="str">
        <f>'No Recurrentes 24-26'!BK281</f>
        <v/>
      </c>
      <c r="U416" s="451">
        <f>'No Recurrentes 24-26'!BL281</f>
        <v>60</v>
      </c>
      <c r="V416" s="1068"/>
      <c r="W416" s="1062">
        <f>'No Recurrentes 24-26'!BM281</f>
        <v>110</v>
      </c>
      <c r="X416" s="1062">
        <f>'No Recurrentes 24-26'!BN281</f>
        <v>50</v>
      </c>
      <c r="Y416" s="1062">
        <f>'No Recurrentes 24-26'!BO281</f>
        <v>30</v>
      </c>
      <c r="Z416" s="1062" t="str">
        <f>'No Recurrentes 24-26'!BP281</f>
        <v/>
      </c>
      <c r="AA416" s="1062" t="str">
        <f>'No Recurrentes 24-26'!BQ281</f>
        <v/>
      </c>
      <c r="AB416" s="1062" t="str">
        <f>'No Recurrentes 24-26'!BR281</f>
        <v/>
      </c>
      <c r="AC416" s="1062" t="str">
        <f>'No Recurrentes 24-26'!BS281</f>
        <v/>
      </c>
      <c r="AD416" s="1062" t="str">
        <f>'No Recurrentes 24-26'!BT281</f>
        <v/>
      </c>
      <c r="AE416" s="1062" t="str">
        <f>'No Recurrentes 24-26'!BU281</f>
        <v/>
      </c>
      <c r="AF416" s="1062" t="str">
        <f>'No Recurrentes 24-26'!BV281</f>
        <v/>
      </c>
      <c r="AG416" s="1062">
        <f>'No Recurrentes 24-26'!BW281</f>
        <v>60</v>
      </c>
      <c r="AH416" s="1068"/>
      <c r="AI416" s="1062">
        <f>'No Recurrentes 24-26'!BX281</f>
        <v>140</v>
      </c>
      <c r="AJ416" s="1062">
        <f>'No Recurrentes 24-26'!BY281</f>
        <v>0</v>
      </c>
      <c r="AK416" s="1062">
        <f>'No Recurrentes 24-26'!BZ281</f>
        <v>0</v>
      </c>
      <c r="AL416" s="1062">
        <f>'No Recurrentes 24-26'!CA281</f>
        <v>0</v>
      </c>
      <c r="AM416" s="1062">
        <f>'No Recurrentes 24-26'!CB281</f>
        <v>0</v>
      </c>
      <c r="AN416" s="1062">
        <f>'No Recurrentes 24-26'!CC281</f>
        <v>0</v>
      </c>
      <c r="AO416" s="1062">
        <f>'No Recurrentes 24-26'!CD281</f>
        <v>0</v>
      </c>
      <c r="AP416" s="1062">
        <f>'No Recurrentes 24-26'!CE281</f>
        <v>0</v>
      </c>
      <c r="AQ416" s="1062">
        <f>'No Recurrentes 24-26'!CF281</f>
        <v>0</v>
      </c>
      <c r="AR416" s="1062">
        <f>'No Recurrentes 24-26'!CG281</f>
        <v>0</v>
      </c>
      <c r="AS416" s="1062">
        <f>'No Recurrentes 24-26'!CH281</f>
        <v>0</v>
      </c>
      <c r="AT416" s="1068"/>
      <c r="AU416" s="1062">
        <f>'No Recurrentes 24-26'!CI281</f>
        <v>0</v>
      </c>
      <c r="AV416" s="1063">
        <f>'No Recurrentes 24-26'!CJ281</f>
        <v>250</v>
      </c>
      <c r="AW416" s="1068"/>
      <c r="AX416" s="1065">
        <f>'No Recurrentes 24-26'!CK281</f>
        <v>19.07</v>
      </c>
      <c r="AY416" s="1062">
        <f>'No Recurrentes 24-26'!CL281</f>
        <v>132.7272</v>
      </c>
      <c r="AZ416" s="1068"/>
      <c r="BA416" s="1062">
        <f>'No Recurrentes 24-26'!CM281</f>
        <v>0</v>
      </c>
      <c r="BB416" s="1062">
        <f>'No Recurrentes 24-26'!CN281</f>
        <v>0</v>
      </c>
      <c r="BC416" s="1062">
        <f>'No Recurrentes 24-26'!CO281</f>
        <v>6636.36</v>
      </c>
      <c r="BD416" s="1062">
        <f>'No Recurrentes 24-26'!CP281</f>
        <v>0</v>
      </c>
      <c r="BE416" s="1062">
        <f>'No Recurrentes 24-26'!CQ281</f>
        <v>0</v>
      </c>
      <c r="BF416" s="1062">
        <f>'No Recurrentes 24-26'!CR281</f>
        <v>0</v>
      </c>
      <c r="BG416" s="1062">
        <f>'No Recurrentes 24-26'!CS281</f>
        <v>0</v>
      </c>
      <c r="BH416" s="1062">
        <f>'No Recurrentes 24-26'!CT281</f>
        <v>0</v>
      </c>
      <c r="BI416" s="1062">
        <f>'No Recurrentes 24-26'!CU281</f>
        <v>0</v>
      </c>
      <c r="BJ416" s="1062">
        <f>'No Recurrentes 24-26'!CV281</f>
        <v>7963.632</v>
      </c>
      <c r="BK416" s="1068"/>
      <c r="BL416" s="1062">
        <f>'No Recurrentes 24-26'!CW281</f>
        <v>14599.992</v>
      </c>
      <c r="BM416" s="1062">
        <f>'No Recurrentes 24-26'!CX281</f>
        <v>6636.36</v>
      </c>
      <c r="BN416" s="1062">
        <f>'No Recurrentes 24-26'!CY281</f>
        <v>3981.816</v>
      </c>
      <c r="BO416" s="1062">
        <f>'No Recurrentes 24-26'!CZ281</f>
        <v>0</v>
      </c>
      <c r="BP416" s="1062">
        <f>'No Recurrentes 24-26'!DA281</f>
        <v>0</v>
      </c>
      <c r="BQ416" s="1062">
        <f>'No Recurrentes 24-26'!DB281</f>
        <v>0</v>
      </c>
      <c r="BR416" s="1062">
        <f>'No Recurrentes 24-26'!DC281</f>
        <v>0</v>
      </c>
      <c r="BS416" s="1062">
        <f>'No Recurrentes 24-26'!DD281</f>
        <v>0</v>
      </c>
      <c r="BT416" s="1062">
        <f>'No Recurrentes 24-26'!DE281</f>
        <v>0</v>
      </c>
      <c r="BU416" s="1062">
        <f>'No Recurrentes 24-26'!DF281</f>
        <v>0</v>
      </c>
      <c r="BV416" s="1062">
        <f>'No Recurrentes 24-26'!DG281</f>
        <v>7963.632</v>
      </c>
      <c r="BW416" s="1068"/>
      <c r="BX416" s="1062">
        <f>'No Recurrentes 24-26'!DH281</f>
        <v>18581.808</v>
      </c>
      <c r="BY416" s="1062">
        <f>'No Recurrentes 24-26'!DI281</f>
        <v>0</v>
      </c>
      <c r="BZ416" s="1062">
        <f>'No Recurrentes 24-26'!DJ281</f>
        <v>0</v>
      </c>
      <c r="CA416" s="1062">
        <f>'No Recurrentes 24-26'!DK281</f>
        <v>0</v>
      </c>
      <c r="CB416" s="1062">
        <f>'No Recurrentes 24-26'!DL281</f>
        <v>0</v>
      </c>
      <c r="CC416" s="1062">
        <f>'No Recurrentes 24-26'!DM281</f>
        <v>0</v>
      </c>
      <c r="CD416" s="1062">
        <f>'No Recurrentes 24-26'!DN281</f>
        <v>0</v>
      </c>
      <c r="CE416" s="1062">
        <f>'No Recurrentes 24-26'!DO281</f>
        <v>0</v>
      </c>
      <c r="CF416" s="1062">
        <f>'No Recurrentes 24-26'!DP281</f>
        <v>0</v>
      </c>
      <c r="CG416" s="1062">
        <f>'No Recurrentes 24-26'!DQ281</f>
        <v>0</v>
      </c>
      <c r="CH416" s="1062">
        <f>'No Recurrentes 24-26'!DR281</f>
        <v>0</v>
      </c>
      <c r="CI416" s="1068"/>
      <c r="CJ416" s="1062">
        <f>'No Recurrentes 24-26'!DS281</f>
        <v>0</v>
      </c>
      <c r="CK416" s="1062">
        <f>'No Recurrentes 24-26'!DT281</f>
        <v>33181.8</v>
      </c>
      <c r="CL416" s="1064" t="str">
        <f>'No Recurrentes 24-26'!DU281</f>
        <v/>
      </c>
      <c r="CM416" s="1064" t="str">
        <f>'No Recurrentes 24-26'!DV281</f>
        <v/>
      </c>
      <c r="CN416" s="1065">
        <f>'No Recurrentes 24-26'!EI277</f>
        <v>274.62</v>
      </c>
      <c r="CO416" s="1065">
        <f>'No Recurrentes 24-26'!EJ277</f>
        <v>233.43</v>
      </c>
      <c r="CP416" s="1060" t="str">
        <f>'No Recurrentes 24-26'!EK277</f>
        <v/>
      </c>
    </row>
    <row r="417">
      <c r="A417" s="451" t="str">
        <f>'No Recurrentes 24-26'!A282</f>
        <v>Repuestos Electromecánicos no recurrentes</v>
      </c>
      <c r="B417" s="451">
        <f>'No Recurrentes 24-26'!B282</f>
        <v>2</v>
      </c>
      <c r="C417" s="451" t="str">
        <f>'No Recurrentes 24-26'!C282</f>
        <v>Estación</v>
      </c>
      <c r="D417" s="451" t="str">
        <f>'No Recurrentes 24-26'!D282</f>
        <v>Manto. Transmisión Tren de Ruedas</v>
      </c>
      <c r="E417" s="451" t="str">
        <f>'No Recurrentes 24-26'!E282</f>
        <v>Repuesto Mecánico</v>
      </c>
      <c r="F417" s="451" t="str">
        <f>'No Recurrentes 24-26'!F282</f>
        <v>TDB</v>
      </c>
      <c r="G417" s="1025" t="str">
        <f>'No Recurrentes 24-26'!G282</f>
        <v>39800</v>
      </c>
      <c r="H417" s="1061" t="str">
        <f>'No Recurrentes 24-26'!H282</f>
        <v>2-01-00232</v>
      </c>
      <c r="I417" s="1061" t="str">
        <f>'No Recurrentes 24-26'!I282</f>
        <v>10745857</v>
      </c>
      <c r="J417" s="1061" t="str">
        <f>'No Recurrentes 24-26'!J282</f>
        <v>RODAM.RAN.D.BOLAS DIN625/1-6312-2RS1-C3GLE VT210 (90% +/-5%)</v>
      </c>
      <c r="K417" s="451" t="str">
        <f>'No Recurrentes 24-26'!K282</f>
        <v>Pza</v>
      </c>
      <c r="L417" s="451">
        <f>'No Recurrentes 24-26'!BC282</f>
        <v>30</v>
      </c>
      <c r="M417" s="451" t="str">
        <f>'No Recurrentes 24-26'!BD282</f>
        <v/>
      </c>
      <c r="N417" s="451">
        <f>'No Recurrentes 24-26'!BE282</f>
        <v>30</v>
      </c>
      <c r="O417" s="451" t="str">
        <f>'No Recurrentes 24-26'!BF282</f>
        <v/>
      </c>
      <c r="P417" s="451" t="str">
        <f>'No Recurrentes 24-26'!BG282</f>
        <v/>
      </c>
      <c r="Q417" s="451" t="str">
        <f>'No Recurrentes 24-26'!BH282</f>
        <v/>
      </c>
      <c r="R417" s="451" t="str">
        <f>'No Recurrentes 24-26'!BI282</f>
        <v/>
      </c>
      <c r="S417" s="451" t="str">
        <f>'No Recurrentes 24-26'!BJ282</f>
        <v/>
      </c>
      <c r="T417" s="451" t="str">
        <f>'No Recurrentes 24-26'!BK282</f>
        <v/>
      </c>
      <c r="U417" s="451" t="str">
        <f>'No Recurrentes 24-26'!BL282</f>
        <v/>
      </c>
      <c r="V417" s="1068"/>
      <c r="W417" s="1062">
        <f>'No Recurrentes 24-26'!BM282</f>
        <v>60</v>
      </c>
      <c r="X417" s="1062" t="str">
        <f>'No Recurrentes 24-26'!BN282</f>
        <v/>
      </c>
      <c r="Y417" s="1062">
        <f>'No Recurrentes 24-26'!BO282</f>
        <v>30</v>
      </c>
      <c r="Z417" s="1062" t="str">
        <f>'No Recurrentes 24-26'!BP282</f>
        <v/>
      </c>
      <c r="AA417" s="1062" t="str">
        <f>'No Recurrentes 24-26'!BQ282</f>
        <v/>
      </c>
      <c r="AB417" s="1062" t="str">
        <f>'No Recurrentes 24-26'!BR282</f>
        <v/>
      </c>
      <c r="AC417" s="1062" t="str">
        <f>'No Recurrentes 24-26'!BS282</f>
        <v/>
      </c>
      <c r="AD417" s="1062" t="str">
        <f>'No Recurrentes 24-26'!BT282</f>
        <v/>
      </c>
      <c r="AE417" s="1062" t="str">
        <f>'No Recurrentes 24-26'!BU282</f>
        <v/>
      </c>
      <c r="AF417" s="1062" t="str">
        <f>'No Recurrentes 24-26'!BV282</f>
        <v/>
      </c>
      <c r="AG417" s="1062">
        <f>'No Recurrentes 24-26'!BW282</f>
        <v>20</v>
      </c>
      <c r="AH417" s="1068"/>
      <c r="AI417" s="1062">
        <f>'No Recurrentes 24-26'!BX282</f>
        <v>50</v>
      </c>
      <c r="AJ417" s="1062">
        <f>'No Recurrentes 24-26'!BY282</f>
        <v>0</v>
      </c>
      <c r="AK417" s="1062">
        <f>'No Recurrentes 24-26'!BZ282</f>
        <v>0</v>
      </c>
      <c r="AL417" s="1062">
        <f>'No Recurrentes 24-26'!CA282</f>
        <v>0</v>
      </c>
      <c r="AM417" s="1062">
        <f>'No Recurrentes 24-26'!CB282</f>
        <v>0</v>
      </c>
      <c r="AN417" s="1062">
        <f>'No Recurrentes 24-26'!CC282</f>
        <v>0</v>
      </c>
      <c r="AO417" s="1062">
        <f>'No Recurrentes 24-26'!CD282</f>
        <v>0</v>
      </c>
      <c r="AP417" s="1062">
        <f>'No Recurrentes 24-26'!CE282</f>
        <v>0</v>
      </c>
      <c r="AQ417" s="1062">
        <f>'No Recurrentes 24-26'!CF282</f>
        <v>0</v>
      </c>
      <c r="AR417" s="1062">
        <f>'No Recurrentes 24-26'!CG282</f>
        <v>0</v>
      </c>
      <c r="AS417" s="1062">
        <f>'No Recurrentes 24-26'!CH282</f>
        <v>0</v>
      </c>
      <c r="AT417" s="1068"/>
      <c r="AU417" s="1062">
        <f>'No Recurrentes 24-26'!CI282</f>
        <v>0</v>
      </c>
      <c r="AV417" s="1063">
        <f>'No Recurrentes 24-26'!CJ282</f>
        <v>110</v>
      </c>
      <c r="AW417" s="1068"/>
      <c r="AX417" s="1065">
        <f>'No Recurrentes 24-26'!CK282</f>
        <v>102.95</v>
      </c>
      <c r="AY417" s="1062">
        <f>'No Recurrentes 24-26'!CL282</f>
        <v>716.532</v>
      </c>
      <c r="AZ417" s="1068"/>
      <c r="BA417" s="1062">
        <f>'No Recurrentes 24-26'!CM282</f>
        <v>21495.96</v>
      </c>
      <c r="BB417" s="1062">
        <f>'No Recurrentes 24-26'!CN282</f>
        <v>0</v>
      </c>
      <c r="BC417" s="1062">
        <f>'No Recurrentes 24-26'!CO282</f>
        <v>21495.96</v>
      </c>
      <c r="BD417" s="1062">
        <f>'No Recurrentes 24-26'!CP282</f>
        <v>0</v>
      </c>
      <c r="BE417" s="1062">
        <f>'No Recurrentes 24-26'!CQ282</f>
        <v>0</v>
      </c>
      <c r="BF417" s="1062">
        <f>'No Recurrentes 24-26'!CR282</f>
        <v>0</v>
      </c>
      <c r="BG417" s="1062">
        <f>'No Recurrentes 24-26'!CS282</f>
        <v>0</v>
      </c>
      <c r="BH417" s="1062">
        <f>'No Recurrentes 24-26'!CT282</f>
        <v>0</v>
      </c>
      <c r="BI417" s="1062">
        <f>'No Recurrentes 24-26'!CU282</f>
        <v>0</v>
      </c>
      <c r="BJ417" s="1062">
        <f>'No Recurrentes 24-26'!CV282</f>
        <v>0</v>
      </c>
      <c r="BK417" s="1068"/>
      <c r="BL417" s="1062">
        <f>'No Recurrentes 24-26'!CW282</f>
        <v>42991.92</v>
      </c>
      <c r="BM417" s="1062">
        <f>'No Recurrentes 24-26'!CX282</f>
        <v>0</v>
      </c>
      <c r="BN417" s="1062">
        <f>'No Recurrentes 24-26'!CY282</f>
        <v>21495.96</v>
      </c>
      <c r="BO417" s="1062">
        <f>'No Recurrentes 24-26'!CZ282</f>
        <v>0</v>
      </c>
      <c r="BP417" s="1062">
        <f>'No Recurrentes 24-26'!DA282</f>
        <v>0</v>
      </c>
      <c r="BQ417" s="1062">
        <f>'No Recurrentes 24-26'!DB282</f>
        <v>0</v>
      </c>
      <c r="BR417" s="1062">
        <f>'No Recurrentes 24-26'!DC282</f>
        <v>0</v>
      </c>
      <c r="BS417" s="1062">
        <f>'No Recurrentes 24-26'!DD282</f>
        <v>0</v>
      </c>
      <c r="BT417" s="1062">
        <f>'No Recurrentes 24-26'!DE282</f>
        <v>0</v>
      </c>
      <c r="BU417" s="1062">
        <f>'No Recurrentes 24-26'!DF282</f>
        <v>0</v>
      </c>
      <c r="BV417" s="1062">
        <f>'No Recurrentes 24-26'!DG282</f>
        <v>14330.64</v>
      </c>
      <c r="BW417" s="1068"/>
      <c r="BX417" s="1062">
        <f>'No Recurrentes 24-26'!DH282</f>
        <v>35826.6</v>
      </c>
      <c r="BY417" s="1062">
        <f>'No Recurrentes 24-26'!DI282</f>
        <v>0</v>
      </c>
      <c r="BZ417" s="1062">
        <f>'No Recurrentes 24-26'!DJ282</f>
        <v>0</v>
      </c>
      <c r="CA417" s="1062">
        <f>'No Recurrentes 24-26'!DK282</f>
        <v>0</v>
      </c>
      <c r="CB417" s="1062">
        <f>'No Recurrentes 24-26'!DL282</f>
        <v>0</v>
      </c>
      <c r="CC417" s="1062">
        <f>'No Recurrentes 24-26'!DM282</f>
        <v>0</v>
      </c>
      <c r="CD417" s="1062">
        <f>'No Recurrentes 24-26'!DN282</f>
        <v>0</v>
      </c>
      <c r="CE417" s="1062">
        <f>'No Recurrentes 24-26'!DO282</f>
        <v>0</v>
      </c>
      <c r="CF417" s="1062">
        <f>'No Recurrentes 24-26'!DP282</f>
        <v>0</v>
      </c>
      <c r="CG417" s="1062">
        <f>'No Recurrentes 24-26'!DQ282</f>
        <v>0</v>
      </c>
      <c r="CH417" s="1062">
        <f>'No Recurrentes 24-26'!DR282</f>
        <v>0</v>
      </c>
      <c r="CI417" s="1068"/>
      <c r="CJ417" s="1062">
        <f>'No Recurrentes 24-26'!DS282</f>
        <v>0</v>
      </c>
      <c r="CK417" s="1062">
        <f>'No Recurrentes 24-26'!DT282</f>
        <v>78818.52</v>
      </c>
      <c r="CL417" s="1064" t="str">
        <f>'No Recurrentes 24-26'!DU282</f>
        <v/>
      </c>
      <c r="CM417" s="1064" t="str">
        <f>'No Recurrentes 24-26'!DV282</f>
        <v/>
      </c>
      <c r="CN417" s="1065">
        <f>'No Recurrentes 24-26'!EI278</f>
        <v>41.53</v>
      </c>
      <c r="CO417" s="1065">
        <f>'No Recurrentes 24-26'!EJ278</f>
        <v>35.3</v>
      </c>
      <c r="CP417" s="1060" t="str">
        <f>'No Recurrentes 24-26'!EK278</f>
        <v/>
      </c>
    </row>
    <row r="418">
      <c r="A418" s="451" t="str">
        <f>'No Recurrentes 24-26'!A283</f>
        <v>Repuestos Electromecánicos no recurrentes</v>
      </c>
      <c r="B418" s="451">
        <f>'No Recurrentes 24-26'!B283</f>
        <v>2</v>
      </c>
      <c r="C418" s="451" t="str">
        <f>'No Recurrentes 24-26'!C283</f>
        <v>Estación</v>
      </c>
      <c r="D418" s="451" t="str">
        <f>'No Recurrentes 24-26'!D283</f>
        <v>Manto. Transmisión Tren de Ruedas</v>
      </c>
      <c r="E418" s="451" t="str">
        <f>'No Recurrentes 24-26'!E283</f>
        <v>Repuesto Mecánico</v>
      </c>
      <c r="F418" s="451" t="str">
        <f>'No Recurrentes 24-26'!F283</f>
        <v>TDB</v>
      </c>
      <c r="G418" s="1025" t="str">
        <f>'No Recurrentes 24-26'!G283</f>
        <v>39800</v>
      </c>
      <c r="H418" s="1061" t="str">
        <f>'No Recurrentes 24-26'!H283</f>
        <v/>
      </c>
      <c r="I418" s="1061" t="str">
        <f>'No Recurrentes 24-26'!I283</f>
        <v>12008364</v>
      </c>
      <c r="J418" s="1061" t="str">
        <f>'No Recurrentes 24-26'!J283</f>
        <v>RUEDA COMPLETA "DOPPELMAYR-G" PRESION 3,5 - 5,0 BARES</v>
      </c>
      <c r="K418" s="451" t="str">
        <f>'No Recurrentes 24-26'!K283</f>
        <v>Pza</v>
      </c>
      <c r="L418" s="451" t="str">
        <f>'No Recurrentes 24-26'!BC283</f>
        <v/>
      </c>
      <c r="M418" s="451" t="str">
        <f>'No Recurrentes 24-26'!BD283</f>
        <v/>
      </c>
      <c r="N418" s="451" t="str">
        <f>'No Recurrentes 24-26'!BE283</f>
        <v/>
      </c>
      <c r="O418" s="451">
        <f>'No Recurrentes 24-26'!BF283</f>
        <v>8</v>
      </c>
      <c r="P418" s="451">
        <f>'No Recurrentes 24-26'!BG283</f>
        <v>2</v>
      </c>
      <c r="Q418" s="451">
        <f>'No Recurrentes 24-26'!BH283</f>
        <v>5</v>
      </c>
      <c r="R418" s="451" t="str">
        <f>'No Recurrentes 24-26'!BI283</f>
        <v/>
      </c>
      <c r="S418" s="451" t="str">
        <f>'No Recurrentes 24-26'!BJ283</f>
        <v/>
      </c>
      <c r="T418" s="451" t="str">
        <f>'No Recurrentes 24-26'!BK283</f>
        <v/>
      </c>
      <c r="U418" s="451" t="str">
        <f>'No Recurrentes 24-26'!BL283</f>
        <v/>
      </c>
      <c r="V418" s="1068"/>
      <c r="W418" s="1062">
        <f>'No Recurrentes 24-26'!BM283</f>
        <v>15</v>
      </c>
      <c r="X418" s="1062" t="str">
        <f>'No Recurrentes 24-26'!BN283</f>
        <v/>
      </c>
      <c r="Y418" s="1062" t="str">
        <f>'No Recurrentes 24-26'!BO283</f>
        <v/>
      </c>
      <c r="Z418" s="1062" t="str">
        <f>'No Recurrentes 24-26'!BP283</f>
        <v/>
      </c>
      <c r="AA418" s="1062" t="str">
        <f>'No Recurrentes 24-26'!BQ283</f>
        <v/>
      </c>
      <c r="AB418" s="1062" t="str">
        <f>'No Recurrentes 24-26'!BR283</f>
        <v/>
      </c>
      <c r="AC418" s="1062" t="str">
        <f>'No Recurrentes 24-26'!BS283</f>
        <v/>
      </c>
      <c r="AD418" s="1062" t="str">
        <f>'No Recurrentes 24-26'!BT283</f>
        <v/>
      </c>
      <c r="AE418" s="1062" t="str">
        <f>'No Recurrentes 24-26'!BU283</f>
        <v/>
      </c>
      <c r="AF418" s="1062" t="str">
        <f>'No Recurrentes 24-26'!BV283</f>
        <v/>
      </c>
      <c r="AG418" s="1062" t="str">
        <f>'No Recurrentes 24-26'!BW283</f>
        <v/>
      </c>
      <c r="AH418" s="1068"/>
      <c r="AI418" s="1062">
        <f>'No Recurrentes 24-26'!BX283</f>
        <v>0</v>
      </c>
      <c r="AJ418" s="1062">
        <f>'No Recurrentes 24-26'!BY283</f>
        <v>0</v>
      </c>
      <c r="AK418" s="1062">
        <f>'No Recurrentes 24-26'!BZ283</f>
        <v>0</v>
      </c>
      <c r="AL418" s="1062">
        <f>'No Recurrentes 24-26'!CA283</f>
        <v>0</v>
      </c>
      <c r="AM418" s="1062">
        <f>'No Recurrentes 24-26'!CB283</f>
        <v>0</v>
      </c>
      <c r="AN418" s="1062">
        <f>'No Recurrentes 24-26'!CC283</f>
        <v>0</v>
      </c>
      <c r="AO418" s="1062">
        <f>'No Recurrentes 24-26'!CD283</f>
        <v>0</v>
      </c>
      <c r="AP418" s="1062">
        <f>'No Recurrentes 24-26'!CE283</f>
        <v>0</v>
      </c>
      <c r="AQ418" s="1062">
        <f>'No Recurrentes 24-26'!CF283</f>
        <v>0</v>
      </c>
      <c r="AR418" s="1062">
        <f>'No Recurrentes 24-26'!CG283</f>
        <v>0</v>
      </c>
      <c r="AS418" s="1062">
        <f>'No Recurrentes 24-26'!CH283</f>
        <v>0</v>
      </c>
      <c r="AT418" s="1068"/>
      <c r="AU418" s="1062">
        <f>'No Recurrentes 24-26'!CI283</f>
        <v>0</v>
      </c>
      <c r="AV418" s="1063">
        <f>'No Recurrentes 24-26'!CJ283</f>
        <v>15</v>
      </c>
      <c r="AW418" s="1068"/>
      <c r="AX418" s="1065">
        <f>'No Recurrentes 24-26'!CK283</f>
        <v>280.08</v>
      </c>
      <c r="AY418" s="1062">
        <f>'No Recurrentes 24-26'!CL283</f>
        <v>1949.3568</v>
      </c>
      <c r="AZ418" s="1068"/>
      <c r="BA418" s="1062">
        <f>'No Recurrentes 24-26'!CM283</f>
        <v>0</v>
      </c>
      <c r="BB418" s="1062">
        <f>'No Recurrentes 24-26'!CN283</f>
        <v>0</v>
      </c>
      <c r="BC418" s="1062">
        <f>'No Recurrentes 24-26'!CO283</f>
        <v>0</v>
      </c>
      <c r="BD418" s="1062">
        <f>'No Recurrentes 24-26'!CP283</f>
        <v>15594.8544</v>
      </c>
      <c r="BE418" s="1062">
        <f>'No Recurrentes 24-26'!CQ283</f>
        <v>3898.7136</v>
      </c>
      <c r="BF418" s="1062">
        <f>'No Recurrentes 24-26'!CR283</f>
        <v>9746.784</v>
      </c>
      <c r="BG418" s="1062">
        <f>'No Recurrentes 24-26'!CS283</f>
        <v>0</v>
      </c>
      <c r="BH418" s="1062">
        <f>'No Recurrentes 24-26'!CT283</f>
        <v>0</v>
      </c>
      <c r="BI418" s="1062">
        <f>'No Recurrentes 24-26'!CU283</f>
        <v>0</v>
      </c>
      <c r="BJ418" s="1062">
        <f>'No Recurrentes 24-26'!CV283</f>
        <v>0</v>
      </c>
      <c r="BK418" s="1068"/>
      <c r="BL418" s="1062">
        <f>'No Recurrentes 24-26'!CW283</f>
        <v>29240.352</v>
      </c>
      <c r="BM418" s="1062">
        <f>'No Recurrentes 24-26'!CX283</f>
        <v>0</v>
      </c>
      <c r="BN418" s="1062">
        <f>'No Recurrentes 24-26'!CY283</f>
        <v>0</v>
      </c>
      <c r="BO418" s="1062">
        <f>'No Recurrentes 24-26'!CZ283</f>
        <v>0</v>
      </c>
      <c r="BP418" s="1062">
        <f>'No Recurrentes 24-26'!DA283</f>
        <v>0</v>
      </c>
      <c r="BQ418" s="1062">
        <f>'No Recurrentes 24-26'!DB283</f>
        <v>0</v>
      </c>
      <c r="BR418" s="1062">
        <f>'No Recurrentes 24-26'!DC283</f>
        <v>0</v>
      </c>
      <c r="BS418" s="1062">
        <f>'No Recurrentes 24-26'!DD283</f>
        <v>0</v>
      </c>
      <c r="BT418" s="1062">
        <f>'No Recurrentes 24-26'!DE283</f>
        <v>0</v>
      </c>
      <c r="BU418" s="1062">
        <f>'No Recurrentes 24-26'!DF283</f>
        <v>0</v>
      </c>
      <c r="BV418" s="1062">
        <f>'No Recurrentes 24-26'!DG283</f>
        <v>0</v>
      </c>
      <c r="BW418" s="1068"/>
      <c r="BX418" s="1062">
        <f>'No Recurrentes 24-26'!DH283</f>
        <v>0</v>
      </c>
      <c r="BY418" s="1062">
        <f>'No Recurrentes 24-26'!DI283</f>
        <v>0</v>
      </c>
      <c r="BZ418" s="1062">
        <f>'No Recurrentes 24-26'!DJ283</f>
        <v>0</v>
      </c>
      <c r="CA418" s="1062">
        <f>'No Recurrentes 24-26'!DK283</f>
        <v>0</v>
      </c>
      <c r="CB418" s="1062">
        <f>'No Recurrentes 24-26'!DL283</f>
        <v>0</v>
      </c>
      <c r="CC418" s="1062">
        <f>'No Recurrentes 24-26'!DM283</f>
        <v>0</v>
      </c>
      <c r="CD418" s="1062">
        <f>'No Recurrentes 24-26'!DN283</f>
        <v>0</v>
      </c>
      <c r="CE418" s="1062">
        <f>'No Recurrentes 24-26'!DO283</f>
        <v>0</v>
      </c>
      <c r="CF418" s="1062">
        <f>'No Recurrentes 24-26'!DP283</f>
        <v>0</v>
      </c>
      <c r="CG418" s="1062">
        <f>'No Recurrentes 24-26'!DQ283</f>
        <v>0</v>
      </c>
      <c r="CH418" s="1062">
        <f>'No Recurrentes 24-26'!DR283</f>
        <v>0</v>
      </c>
      <c r="CI418" s="1068"/>
      <c r="CJ418" s="1062">
        <f>'No Recurrentes 24-26'!DS283</f>
        <v>0</v>
      </c>
      <c r="CK418" s="1062">
        <f>'No Recurrentes 24-26'!DT283</f>
        <v>29240.352</v>
      </c>
      <c r="CL418" s="1064" t="str">
        <f>'No Recurrentes 24-26'!DU283</f>
        <v/>
      </c>
      <c r="CM418" s="1064" t="str">
        <f>'No Recurrentes 24-26'!DV283</f>
        <v/>
      </c>
      <c r="CN418" s="1065">
        <f>'No Recurrentes 24-26'!EI279</f>
        <v>55.84</v>
      </c>
      <c r="CO418" s="1065">
        <f>'No Recurrentes 24-26'!EJ279</f>
        <v>47.46</v>
      </c>
      <c r="CP418" s="1060" t="str">
        <f>'No Recurrentes 24-26'!EK279</f>
        <v/>
      </c>
    </row>
    <row r="419">
      <c r="A419" s="451" t="str">
        <f>'No Recurrentes 24-26'!A284</f>
        <v>Repuestos Electromecánicos no recurrentes</v>
      </c>
      <c r="B419" s="451">
        <f>'No Recurrentes 24-26'!B284</f>
        <v>2</v>
      </c>
      <c r="C419" s="451" t="str">
        <f>'No Recurrentes 24-26'!C284</f>
        <v>Estación</v>
      </c>
      <c r="D419" s="451" t="str">
        <f>'No Recurrentes 24-26'!D284</f>
        <v>Manto. Transmisión Tren de Ruedas</v>
      </c>
      <c r="E419" s="451" t="str">
        <f>'No Recurrentes 24-26'!E284</f>
        <v>Repuesto Mecánico</v>
      </c>
      <c r="F419" s="451" t="str">
        <f>'No Recurrentes 24-26'!F284</f>
        <v>TDB</v>
      </c>
      <c r="G419" s="1025" t="str">
        <f>'No Recurrentes 24-26'!G284</f>
        <v>39800</v>
      </c>
      <c r="H419" s="1061" t="str">
        <f>'No Recurrentes 24-26'!H284</f>
        <v>1-01-00763</v>
      </c>
      <c r="I419" s="1061" t="str">
        <f>'No Recurrentes 24-26'!I284</f>
        <v>10360353</v>
      </c>
      <c r="J419" s="1061" t="str">
        <f>'No Recurrentes 24-26'!J284</f>
        <v>CORREA TRAPEZOIDAL XPC LA=1850 MM DIN 7753-1</v>
      </c>
      <c r="K419" s="451" t="str">
        <f>'No Recurrentes 24-26'!K284</f>
        <v>Pza</v>
      </c>
      <c r="L419" s="451">
        <f>'No Recurrentes 24-26'!BC284</f>
        <v>10</v>
      </c>
      <c r="M419" s="451">
        <f>'No Recurrentes 24-26'!BD284</f>
        <v>5</v>
      </c>
      <c r="N419" s="451">
        <f>'No Recurrentes 24-26'!BE284</f>
        <v>10</v>
      </c>
      <c r="O419" s="451" t="str">
        <f>'No Recurrentes 24-26'!BF284</f>
        <v/>
      </c>
      <c r="P419" s="451" t="str">
        <f>'No Recurrentes 24-26'!BG284</f>
        <v/>
      </c>
      <c r="Q419" s="451" t="str">
        <f>'No Recurrentes 24-26'!BH284</f>
        <v/>
      </c>
      <c r="R419" s="451" t="str">
        <f>'No Recurrentes 24-26'!BI284</f>
        <v/>
      </c>
      <c r="S419" s="451" t="str">
        <f>'No Recurrentes 24-26'!BJ284</f>
        <v/>
      </c>
      <c r="T419" s="451" t="str">
        <f>'No Recurrentes 24-26'!BK284</f>
        <v/>
      </c>
      <c r="U419" s="451" t="str">
        <f>'No Recurrentes 24-26'!BL284</f>
        <v/>
      </c>
      <c r="V419" s="1068"/>
      <c r="W419" s="1062">
        <f>'No Recurrentes 24-26'!BM284</f>
        <v>25</v>
      </c>
      <c r="X419" s="1062" t="str">
        <f>'No Recurrentes 24-26'!BN284</f>
        <v/>
      </c>
      <c r="Y419" s="1062" t="str">
        <f>'No Recurrentes 24-26'!BO284</f>
        <v/>
      </c>
      <c r="Z419" s="1062" t="str">
        <f>'No Recurrentes 24-26'!BP284</f>
        <v/>
      </c>
      <c r="AA419" s="1062" t="str">
        <f>'No Recurrentes 24-26'!BQ284</f>
        <v/>
      </c>
      <c r="AB419" s="1062" t="str">
        <f>'No Recurrentes 24-26'!BR284</f>
        <v/>
      </c>
      <c r="AC419" s="1062" t="str">
        <f>'No Recurrentes 24-26'!BS284</f>
        <v/>
      </c>
      <c r="AD419" s="1062" t="str">
        <f>'No Recurrentes 24-26'!BT284</f>
        <v/>
      </c>
      <c r="AE419" s="1062" t="str">
        <f>'No Recurrentes 24-26'!BU284</f>
        <v/>
      </c>
      <c r="AF419" s="1062" t="str">
        <f>'No Recurrentes 24-26'!BV284</f>
        <v/>
      </c>
      <c r="AG419" s="1062" t="str">
        <f>'No Recurrentes 24-26'!BW284</f>
        <v/>
      </c>
      <c r="AH419" s="1068"/>
      <c r="AI419" s="1062">
        <f>'No Recurrentes 24-26'!BX284</f>
        <v>0</v>
      </c>
      <c r="AJ419" s="1062">
        <f>'No Recurrentes 24-26'!BY284</f>
        <v>10</v>
      </c>
      <c r="AK419" s="1062">
        <f>'No Recurrentes 24-26'!BZ284</f>
        <v>0</v>
      </c>
      <c r="AL419" s="1062">
        <f>'No Recurrentes 24-26'!CA284</f>
        <v>10</v>
      </c>
      <c r="AM419" s="1062">
        <f>'No Recurrentes 24-26'!CB284</f>
        <v>0</v>
      </c>
      <c r="AN419" s="1062">
        <f>'No Recurrentes 24-26'!CC284</f>
        <v>0</v>
      </c>
      <c r="AO419" s="1062">
        <f>'No Recurrentes 24-26'!CD284</f>
        <v>0</v>
      </c>
      <c r="AP419" s="1062">
        <f>'No Recurrentes 24-26'!CE284</f>
        <v>0</v>
      </c>
      <c r="AQ419" s="1062">
        <f>'No Recurrentes 24-26'!CF284</f>
        <v>0</v>
      </c>
      <c r="AR419" s="1062">
        <f>'No Recurrentes 24-26'!CG284</f>
        <v>0</v>
      </c>
      <c r="AS419" s="1062">
        <f>'No Recurrentes 24-26'!CH284</f>
        <v>0</v>
      </c>
      <c r="AT419" s="1068"/>
      <c r="AU419" s="1062">
        <f>'No Recurrentes 24-26'!CI284</f>
        <v>20</v>
      </c>
      <c r="AV419" s="1063">
        <f>'No Recurrentes 24-26'!CJ284</f>
        <v>45</v>
      </c>
      <c r="AW419" s="1068"/>
      <c r="AX419" s="1065">
        <f>'No Recurrentes 24-26'!CK284</f>
        <v>100.29</v>
      </c>
      <c r="AY419" s="1062">
        <f>'No Recurrentes 24-26'!CL284</f>
        <v>698.0184</v>
      </c>
      <c r="AZ419" s="1068"/>
      <c r="BA419" s="1062">
        <f>'No Recurrentes 24-26'!CM284</f>
        <v>6980.184</v>
      </c>
      <c r="BB419" s="1062">
        <f>'No Recurrentes 24-26'!CN284</f>
        <v>3490.092</v>
      </c>
      <c r="BC419" s="1062">
        <f>'No Recurrentes 24-26'!CO284</f>
        <v>6980.184</v>
      </c>
      <c r="BD419" s="1062">
        <f>'No Recurrentes 24-26'!CP284</f>
        <v>0</v>
      </c>
      <c r="BE419" s="1062">
        <f>'No Recurrentes 24-26'!CQ284</f>
        <v>0</v>
      </c>
      <c r="BF419" s="1062">
        <f>'No Recurrentes 24-26'!CR284</f>
        <v>0</v>
      </c>
      <c r="BG419" s="1062">
        <f>'No Recurrentes 24-26'!CS284</f>
        <v>0</v>
      </c>
      <c r="BH419" s="1062">
        <f>'No Recurrentes 24-26'!CT284</f>
        <v>0</v>
      </c>
      <c r="BI419" s="1062">
        <f>'No Recurrentes 24-26'!CU284</f>
        <v>0</v>
      </c>
      <c r="BJ419" s="1062">
        <f>'No Recurrentes 24-26'!CV284</f>
        <v>0</v>
      </c>
      <c r="BK419" s="1068"/>
      <c r="BL419" s="1062">
        <f>'No Recurrentes 24-26'!CW284</f>
        <v>17450.46</v>
      </c>
      <c r="BM419" s="1062">
        <f>'No Recurrentes 24-26'!CX284</f>
        <v>0</v>
      </c>
      <c r="BN419" s="1062">
        <f>'No Recurrentes 24-26'!CY284</f>
        <v>0</v>
      </c>
      <c r="BO419" s="1062">
        <f>'No Recurrentes 24-26'!CZ284</f>
        <v>0</v>
      </c>
      <c r="BP419" s="1062">
        <f>'No Recurrentes 24-26'!DA284</f>
        <v>0</v>
      </c>
      <c r="BQ419" s="1062">
        <f>'No Recurrentes 24-26'!DB284</f>
        <v>0</v>
      </c>
      <c r="BR419" s="1062">
        <f>'No Recurrentes 24-26'!DC284</f>
        <v>0</v>
      </c>
      <c r="BS419" s="1062">
        <f>'No Recurrentes 24-26'!DD284</f>
        <v>0</v>
      </c>
      <c r="BT419" s="1062">
        <f>'No Recurrentes 24-26'!DE284</f>
        <v>0</v>
      </c>
      <c r="BU419" s="1062">
        <f>'No Recurrentes 24-26'!DF284</f>
        <v>0</v>
      </c>
      <c r="BV419" s="1062">
        <f>'No Recurrentes 24-26'!DG284</f>
        <v>0</v>
      </c>
      <c r="BW419" s="1068"/>
      <c r="BX419" s="1062">
        <f>'No Recurrentes 24-26'!DH284</f>
        <v>0</v>
      </c>
      <c r="BY419" s="1062">
        <f>'No Recurrentes 24-26'!DI284</f>
        <v>6980.184</v>
      </c>
      <c r="BZ419" s="1062">
        <f>'No Recurrentes 24-26'!DJ284</f>
        <v>0</v>
      </c>
      <c r="CA419" s="1062">
        <f>'No Recurrentes 24-26'!DK284</f>
        <v>6980.184</v>
      </c>
      <c r="CB419" s="1062">
        <f>'No Recurrentes 24-26'!DL284</f>
        <v>0</v>
      </c>
      <c r="CC419" s="1062">
        <f>'No Recurrentes 24-26'!DM284</f>
        <v>0</v>
      </c>
      <c r="CD419" s="1062">
        <f>'No Recurrentes 24-26'!DN284</f>
        <v>0</v>
      </c>
      <c r="CE419" s="1062">
        <f>'No Recurrentes 24-26'!DO284</f>
        <v>0</v>
      </c>
      <c r="CF419" s="1062">
        <f>'No Recurrentes 24-26'!DP284</f>
        <v>0</v>
      </c>
      <c r="CG419" s="1062">
        <f>'No Recurrentes 24-26'!DQ284</f>
        <v>0</v>
      </c>
      <c r="CH419" s="1062">
        <f>'No Recurrentes 24-26'!DR284</f>
        <v>0</v>
      </c>
      <c r="CI419" s="1068"/>
      <c r="CJ419" s="1062">
        <f>'No Recurrentes 24-26'!DS284</f>
        <v>13960.368</v>
      </c>
      <c r="CK419" s="1062">
        <f>'No Recurrentes 24-26'!DT284</f>
        <v>31410.828</v>
      </c>
      <c r="CL419" s="1064" t="str">
        <f>'No Recurrentes 24-26'!DU284</f>
        <v/>
      </c>
      <c r="CM419" s="1064" t="str">
        <f>'No Recurrentes 24-26'!DV284</f>
        <v/>
      </c>
      <c r="CN419" s="1065">
        <f>'No Recurrentes 24-26'!EI280</f>
        <v>92.68</v>
      </c>
      <c r="CO419" s="1065">
        <f>'No Recurrentes 24-26'!EJ280</f>
        <v>78.78</v>
      </c>
      <c r="CP419" s="1060" t="str">
        <f>'No Recurrentes 24-26'!EK280</f>
        <v/>
      </c>
    </row>
    <row r="420">
      <c r="A420" s="451" t="str">
        <f>'No Recurrentes 24-26'!A285</f>
        <v>Repuestos Electromecánicos no recurrentes</v>
      </c>
      <c r="B420" s="451">
        <f>'No Recurrentes 24-26'!B285</f>
        <v>2</v>
      </c>
      <c r="C420" s="451" t="str">
        <f>'No Recurrentes 24-26'!C285</f>
        <v>Estación</v>
      </c>
      <c r="D420" s="451" t="str">
        <f>'No Recurrentes 24-26'!D285</f>
        <v>Manto. Transmisión Tren de Ruedas</v>
      </c>
      <c r="E420" s="451" t="str">
        <f>'No Recurrentes 24-26'!E285</f>
        <v>Repuesto Mecánico</v>
      </c>
      <c r="F420" s="451" t="str">
        <f>'No Recurrentes 24-26'!F285</f>
        <v>TDB</v>
      </c>
      <c r="G420" s="1025" t="str">
        <f>'No Recurrentes 24-26'!G285</f>
        <v>39800</v>
      </c>
      <c r="H420" s="1061" t="str">
        <f>'No Recurrentes 24-26'!H285</f>
        <v>2-01-00233</v>
      </c>
      <c r="I420" s="1061" t="str">
        <f>'No Recurrentes 24-26'!I285</f>
        <v>10745855</v>
      </c>
      <c r="J420" s="1061" t="str">
        <f>'No Recurrentes 24-26'!J285</f>
        <v>RODAM.RAN.D.BOLAS DIN625/1- 6309-2RS1-C3GLE VT210 (90% +/-5%)</v>
      </c>
      <c r="K420" s="451" t="str">
        <f>'No Recurrentes 24-26'!K285</f>
        <v>Pza</v>
      </c>
      <c r="L420" s="451">
        <f>'No Recurrentes 24-26'!BC285</f>
        <v>30</v>
      </c>
      <c r="M420" s="451" t="str">
        <f>'No Recurrentes 24-26'!BD285</f>
        <v/>
      </c>
      <c r="N420" s="451">
        <f>'No Recurrentes 24-26'!BE285</f>
        <v>30</v>
      </c>
      <c r="O420" s="451" t="str">
        <f>'No Recurrentes 24-26'!BF285</f>
        <v/>
      </c>
      <c r="P420" s="451" t="str">
        <f>'No Recurrentes 24-26'!BG285</f>
        <v/>
      </c>
      <c r="Q420" s="451" t="str">
        <f>'No Recurrentes 24-26'!BH285</f>
        <v/>
      </c>
      <c r="R420" s="451" t="str">
        <f>'No Recurrentes 24-26'!BI285</f>
        <v/>
      </c>
      <c r="S420" s="451" t="str">
        <f>'No Recurrentes 24-26'!BJ285</f>
        <v/>
      </c>
      <c r="T420" s="451" t="str">
        <f>'No Recurrentes 24-26'!BK285</f>
        <v/>
      </c>
      <c r="U420" s="451" t="str">
        <f>'No Recurrentes 24-26'!BL285</f>
        <v/>
      </c>
      <c r="V420" s="1068"/>
      <c r="W420" s="1062">
        <f>'No Recurrentes 24-26'!BM285</f>
        <v>60</v>
      </c>
      <c r="X420" s="1062" t="str">
        <f>'No Recurrentes 24-26'!BN285</f>
        <v/>
      </c>
      <c r="Y420" s="1062">
        <f>'No Recurrentes 24-26'!BO285</f>
        <v>30</v>
      </c>
      <c r="Z420" s="1062" t="str">
        <f>'No Recurrentes 24-26'!BP285</f>
        <v/>
      </c>
      <c r="AA420" s="1062" t="str">
        <f>'No Recurrentes 24-26'!BQ285</f>
        <v/>
      </c>
      <c r="AB420" s="1062" t="str">
        <f>'No Recurrentes 24-26'!BR285</f>
        <v/>
      </c>
      <c r="AC420" s="1062" t="str">
        <f>'No Recurrentes 24-26'!BS285</f>
        <v/>
      </c>
      <c r="AD420" s="1062" t="str">
        <f>'No Recurrentes 24-26'!BT285</f>
        <v/>
      </c>
      <c r="AE420" s="1062" t="str">
        <f>'No Recurrentes 24-26'!BU285</f>
        <v/>
      </c>
      <c r="AF420" s="1062" t="str">
        <f>'No Recurrentes 24-26'!BV285</f>
        <v/>
      </c>
      <c r="AG420" s="1062">
        <f>'No Recurrentes 24-26'!BW285</f>
        <v>20</v>
      </c>
      <c r="AH420" s="1068"/>
      <c r="AI420" s="1062">
        <f>'No Recurrentes 24-26'!BX285</f>
        <v>50</v>
      </c>
      <c r="AJ420" s="1062">
        <f>'No Recurrentes 24-26'!BY285</f>
        <v>0</v>
      </c>
      <c r="AK420" s="1062">
        <f>'No Recurrentes 24-26'!BZ285</f>
        <v>0</v>
      </c>
      <c r="AL420" s="1062">
        <f>'No Recurrentes 24-26'!CA285</f>
        <v>0</v>
      </c>
      <c r="AM420" s="1062">
        <f>'No Recurrentes 24-26'!CB285</f>
        <v>0</v>
      </c>
      <c r="AN420" s="1062">
        <f>'No Recurrentes 24-26'!CC285</f>
        <v>0</v>
      </c>
      <c r="AO420" s="1062">
        <f>'No Recurrentes 24-26'!CD285</f>
        <v>0</v>
      </c>
      <c r="AP420" s="1062">
        <f>'No Recurrentes 24-26'!CE285</f>
        <v>0</v>
      </c>
      <c r="AQ420" s="1062">
        <f>'No Recurrentes 24-26'!CF285</f>
        <v>0</v>
      </c>
      <c r="AR420" s="1062">
        <f>'No Recurrentes 24-26'!CG285</f>
        <v>0</v>
      </c>
      <c r="AS420" s="1062">
        <f>'No Recurrentes 24-26'!CH285</f>
        <v>0</v>
      </c>
      <c r="AT420" s="1068"/>
      <c r="AU420" s="1062">
        <f>'No Recurrentes 24-26'!CI285</f>
        <v>0</v>
      </c>
      <c r="AV420" s="1063">
        <f>'No Recurrentes 24-26'!CJ285</f>
        <v>110</v>
      </c>
      <c r="AW420" s="1068"/>
      <c r="AX420" s="1065">
        <f>'No Recurrentes 24-26'!CK285</f>
        <v>36.46</v>
      </c>
      <c r="AY420" s="1062">
        <f>'No Recurrentes 24-26'!CL285</f>
        <v>253.7616</v>
      </c>
      <c r="AZ420" s="1068"/>
      <c r="BA420" s="1062">
        <f>'No Recurrentes 24-26'!CM285</f>
        <v>7612.848</v>
      </c>
      <c r="BB420" s="1062">
        <f>'No Recurrentes 24-26'!CN285</f>
        <v>0</v>
      </c>
      <c r="BC420" s="1062">
        <f>'No Recurrentes 24-26'!CO285</f>
        <v>7612.848</v>
      </c>
      <c r="BD420" s="1062">
        <f>'No Recurrentes 24-26'!CP285</f>
        <v>0</v>
      </c>
      <c r="BE420" s="1062">
        <f>'No Recurrentes 24-26'!CQ285</f>
        <v>0</v>
      </c>
      <c r="BF420" s="1062">
        <f>'No Recurrentes 24-26'!CR285</f>
        <v>0</v>
      </c>
      <c r="BG420" s="1062">
        <f>'No Recurrentes 24-26'!CS285</f>
        <v>0</v>
      </c>
      <c r="BH420" s="1062">
        <f>'No Recurrentes 24-26'!CT285</f>
        <v>0</v>
      </c>
      <c r="BI420" s="1062">
        <f>'No Recurrentes 24-26'!CU285</f>
        <v>0</v>
      </c>
      <c r="BJ420" s="1062">
        <f>'No Recurrentes 24-26'!CV285</f>
        <v>0</v>
      </c>
      <c r="BK420" s="1068"/>
      <c r="BL420" s="1062">
        <f>'No Recurrentes 24-26'!CW285</f>
        <v>15225.696</v>
      </c>
      <c r="BM420" s="1062">
        <f>'No Recurrentes 24-26'!CX285</f>
        <v>0</v>
      </c>
      <c r="BN420" s="1062">
        <f>'No Recurrentes 24-26'!CY285</f>
        <v>7612.848</v>
      </c>
      <c r="BO420" s="1062">
        <f>'No Recurrentes 24-26'!CZ285</f>
        <v>0</v>
      </c>
      <c r="BP420" s="1062">
        <f>'No Recurrentes 24-26'!DA285</f>
        <v>0</v>
      </c>
      <c r="BQ420" s="1062">
        <f>'No Recurrentes 24-26'!DB285</f>
        <v>0</v>
      </c>
      <c r="BR420" s="1062">
        <f>'No Recurrentes 24-26'!DC285</f>
        <v>0</v>
      </c>
      <c r="BS420" s="1062">
        <f>'No Recurrentes 24-26'!DD285</f>
        <v>0</v>
      </c>
      <c r="BT420" s="1062">
        <f>'No Recurrentes 24-26'!DE285</f>
        <v>0</v>
      </c>
      <c r="BU420" s="1062">
        <f>'No Recurrentes 24-26'!DF285</f>
        <v>0</v>
      </c>
      <c r="BV420" s="1062">
        <f>'No Recurrentes 24-26'!DG285</f>
        <v>5075.232</v>
      </c>
      <c r="BW420" s="1068"/>
      <c r="BX420" s="1062">
        <f>'No Recurrentes 24-26'!DH285</f>
        <v>12688.08</v>
      </c>
      <c r="BY420" s="1062">
        <f>'No Recurrentes 24-26'!DI285</f>
        <v>0</v>
      </c>
      <c r="BZ420" s="1062">
        <f>'No Recurrentes 24-26'!DJ285</f>
        <v>0</v>
      </c>
      <c r="CA420" s="1062">
        <f>'No Recurrentes 24-26'!DK285</f>
        <v>0</v>
      </c>
      <c r="CB420" s="1062">
        <f>'No Recurrentes 24-26'!DL285</f>
        <v>0</v>
      </c>
      <c r="CC420" s="1062">
        <f>'No Recurrentes 24-26'!DM285</f>
        <v>0</v>
      </c>
      <c r="CD420" s="1062">
        <f>'No Recurrentes 24-26'!DN285</f>
        <v>0</v>
      </c>
      <c r="CE420" s="1062">
        <f>'No Recurrentes 24-26'!DO285</f>
        <v>0</v>
      </c>
      <c r="CF420" s="1062">
        <f>'No Recurrentes 24-26'!DP285</f>
        <v>0</v>
      </c>
      <c r="CG420" s="1062">
        <f>'No Recurrentes 24-26'!DQ285</f>
        <v>0</v>
      </c>
      <c r="CH420" s="1062">
        <f>'No Recurrentes 24-26'!DR285</f>
        <v>0</v>
      </c>
      <c r="CI420" s="1068"/>
      <c r="CJ420" s="1062">
        <f>'No Recurrentes 24-26'!DS285</f>
        <v>0</v>
      </c>
      <c r="CK420" s="1062">
        <f>'No Recurrentes 24-26'!DT285</f>
        <v>27913.776</v>
      </c>
      <c r="CL420" s="1064" t="str">
        <f>'No Recurrentes 24-26'!DU285</f>
        <v/>
      </c>
      <c r="CM420" s="1064" t="str">
        <f>'No Recurrentes 24-26'!DV285</f>
        <v/>
      </c>
      <c r="CN420" s="1065">
        <f>'No Recurrentes 24-26'!EI281</f>
        <v>19.07</v>
      </c>
      <c r="CO420" s="1065">
        <f>'No Recurrentes 24-26'!EJ281</f>
        <v>16.21</v>
      </c>
      <c r="CP420" s="1060" t="str">
        <f>'No Recurrentes 24-26'!EK281</f>
        <v/>
      </c>
    </row>
    <row r="421">
      <c r="A421" s="451" t="str">
        <f>'No Recurrentes 24-26'!A286</f>
        <v>Repuestos Electromecánicos no recurrentes</v>
      </c>
      <c r="B421" s="451">
        <f>'No Recurrentes 24-26'!B286</f>
        <v>2</v>
      </c>
      <c r="C421" s="451" t="str">
        <f>'No Recurrentes 24-26'!C286</f>
        <v>Estación</v>
      </c>
      <c r="D421" s="451" t="str">
        <f>'No Recurrentes 24-26'!D286</f>
        <v>Manto. Transmisión Tren de Ruedas</v>
      </c>
      <c r="E421" s="451" t="str">
        <f>'No Recurrentes 24-26'!E286</f>
        <v>Repuesto Mecánico</v>
      </c>
      <c r="F421" s="451" t="str">
        <f>'No Recurrentes 24-26'!F286</f>
        <v>TDB</v>
      </c>
      <c r="G421" s="1025" t="str">
        <f>'No Recurrentes 24-26'!G286</f>
        <v>39800</v>
      </c>
      <c r="H421" s="1061" t="str">
        <f>'No Recurrentes 24-26'!H286</f>
        <v>2-01-00004</v>
      </c>
      <c r="I421" s="1061" t="str">
        <f>'No Recurrentes 24-26'!I286</f>
        <v>10388513</v>
      </c>
      <c r="J421" s="1061" t="str">
        <f>'No Recurrentes 24-26'!J286</f>
        <v>CORREA TRAPEZOIDAL XPC LW=1960 MM DIN 7753-1</v>
      </c>
      <c r="K421" s="451" t="str">
        <f>'No Recurrentes 24-26'!K286</f>
        <v>Pza</v>
      </c>
      <c r="L421" s="451">
        <f>'No Recurrentes 24-26'!BC286</f>
        <v>10</v>
      </c>
      <c r="M421" s="451">
        <f>'No Recurrentes 24-26'!BD286</f>
        <v>3</v>
      </c>
      <c r="N421" s="451">
        <f>'No Recurrentes 24-26'!BE286</f>
        <v>10</v>
      </c>
      <c r="O421" s="451" t="str">
        <f>'No Recurrentes 24-26'!BF286</f>
        <v/>
      </c>
      <c r="P421" s="451" t="str">
        <f>'No Recurrentes 24-26'!BG286</f>
        <v/>
      </c>
      <c r="Q421" s="451" t="str">
        <f>'No Recurrentes 24-26'!BH286</f>
        <v/>
      </c>
      <c r="R421" s="451" t="str">
        <f>'No Recurrentes 24-26'!BI286</f>
        <v/>
      </c>
      <c r="S421" s="451" t="str">
        <f>'No Recurrentes 24-26'!BJ286</f>
        <v/>
      </c>
      <c r="T421" s="451" t="str">
        <f>'No Recurrentes 24-26'!BK286</f>
        <v/>
      </c>
      <c r="U421" s="451" t="str">
        <f>'No Recurrentes 24-26'!BL286</f>
        <v/>
      </c>
      <c r="V421" s="1068"/>
      <c r="W421" s="1062">
        <f>'No Recurrentes 24-26'!BM286</f>
        <v>23</v>
      </c>
      <c r="X421" s="1062" t="str">
        <f>'No Recurrentes 24-26'!BN286</f>
        <v/>
      </c>
      <c r="Y421" s="1062" t="str">
        <f>'No Recurrentes 24-26'!BO286</f>
        <v/>
      </c>
      <c r="Z421" s="1062" t="str">
        <f>'No Recurrentes 24-26'!BP286</f>
        <v/>
      </c>
      <c r="AA421" s="1062" t="str">
        <f>'No Recurrentes 24-26'!BQ286</f>
        <v/>
      </c>
      <c r="AB421" s="1062" t="str">
        <f>'No Recurrentes 24-26'!BR286</f>
        <v/>
      </c>
      <c r="AC421" s="1062" t="str">
        <f>'No Recurrentes 24-26'!BS286</f>
        <v/>
      </c>
      <c r="AD421" s="1062" t="str">
        <f>'No Recurrentes 24-26'!BT286</f>
        <v/>
      </c>
      <c r="AE421" s="1062" t="str">
        <f>'No Recurrentes 24-26'!BU286</f>
        <v/>
      </c>
      <c r="AF421" s="1062" t="str">
        <f>'No Recurrentes 24-26'!BV286</f>
        <v/>
      </c>
      <c r="AG421" s="1062" t="str">
        <f>'No Recurrentes 24-26'!BW286</f>
        <v/>
      </c>
      <c r="AH421" s="1068"/>
      <c r="AI421" s="1062">
        <f>'No Recurrentes 24-26'!BX286</f>
        <v>0</v>
      </c>
      <c r="AJ421" s="1062">
        <f>'No Recurrentes 24-26'!BY286</f>
        <v>10</v>
      </c>
      <c r="AK421" s="1062">
        <f>'No Recurrentes 24-26'!BZ286</f>
        <v>0</v>
      </c>
      <c r="AL421" s="1062">
        <f>'No Recurrentes 24-26'!CA286</f>
        <v>10</v>
      </c>
      <c r="AM421" s="1062">
        <f>'No Recurrentes 24-26'!CB286</f>
        <v>0</v>
      </c>
      <c r="AN421" s="1062">
        <f>'No Recurrentes 24-26'!CC286</f>
        <v>0</v>
      </c>
      <c r="AO421" s="1062">
        <f>'No Recurrentes 24-26'!CD286</f>
        <v>0</v>
      </c>
      <c r="AP421" s="1062">
        <f>'No Recurrentes 24-26'!CE286</f>
        <v>0</v>
      </c>
      <c r="AQ421" s="1062">
        <f>'No Recurrentes 24-26'!CF286</f>
        <v>0</v>
      </c>
      <c r="AR421" s="1062">
        <f>'No Recurrentes 24-26'!CG286</f>
        <v>0</v>
      </c>
      <c r="AS421" s="1062">
        <f>'No Recurrentes 24-26'!CH286</f>
        <v>0</v>
      </c>
      <c r="AT421" s="1068"/>
      <c r="AU421" s="1062">
        <f>'No Recurrentes 24-26'!CI286</f>
        <v>20</v>
      </c>
      <c r="AV421" s="1063">
        <f>'No Recurrentes 24-26'!CJ286</f>
        <v>43</v>
      </c>
      <c r="AW421" s="1068"/>
      <c r="AX421" s="1065">
        <f>'No Recurrentes 24-26'!CK286</f>
        <v>86.76</v>
      </c>
      <c r="AY421" s="1062">
        <f>'No Recurrentes 24-26'!CL286</f>
        <v>603.8496</v>
      </c>
      <c r="AZ421" s="1068"/>
      <c r="BA421" s="1062">
        <f>'No Recurrentes 24-26'!CM286</f>
        <v>6038.496</v>
      </c>
      <c r="BB421" s="1062">
        <f>'No Recurrentes 24-26'!CN286</f>
        <v>1811.5488</v>
      </c>
      <c r="BC421" s="1062">
        <f>'No Recurrentes 24-26'!CO286</f>
        <v>6038.496</v>
      </c>
      <c r="BD421" s="1062">
        <f>'No Recurrentes 24-26'!CP286</f>
        <v>0</v>
      </c>
      <c r="BE421" s="1062">
        <f>'No Recurrentes 24-26'!CQ286</f>
        <v>0</v>
      </c>
      <c r="BF421" s="1062">
        <f>'No Recurrentes 24-26'!CR286</f>
        <v>0</v>
      </c>
      <c r="BG421" s="1062">
        <f>'No Recurrentes 24-26'!CS286</f>
        <v>0</v>
      </c>
      <c r="BH421" s="1062">
        <f>'No Recurrentes 24-26'!CT286</f>
        <v>0</v>
      </c>
      <c r="BI421" s="1062">
        <f>'No Recurrentes 24-26'!CU286</f>
        <v>0</v>
      </c>
      <c r="BJ421" s="1062">
        <f>'No Recurrentes 24-26'!CV286</f>
        <v>0</v>
      </c>
      <c r="BK421" s="1068"/>
      <c r="BL421" s="1062">
        <f>'No Recurrentes 24-26'!CW286</f>
        <v>13888.5408</v>
      </c>
      <c r="BM421" s="1062">
        <f>'No Recurrentes 24-26'!CX286</f>
        <v>0</v>
      </c>
      <c r="BN421" s="1062">
        <f>'No Recurrentes 24-26'!CY286</f>
        <v>0</v>
      </c>
      <c r="BO421" s="1062">
        <f>'No Recurrentes 24-26'!CZ286</f>
        <v>0</v>
      </c>
      <c r="BP421" s="1062">
        <f>'No Recurrentes 24-26'!DA286</f>
        <v>0</v>
      </c>
      <c r="BQ421" s="1062">
        <f>'No Recurrentes 24-26'!DB286</f>
        <v>0</v>
      </c>
      <c r="BR421" s="1062">
        <f>'No Recurrentes 24-26'!DC286</f>
        <v>0</v>
      </c>
      <c r="BS421" s="1062">
        <f>'No Recurrentes 24-26'!DD286</f>
        <v>0</v>
      </c>
      <c r="BT421" s="1062">
        <f>'No Recurrentes 24-26'!DE286</f>
        <v>0</v>
      </c>
      <c r="BU421" s="1062">
        <f>'No Recurrentes 24-26'!DF286</f>
        <v>0</v>
      </c>
      <c r="BV421" s="1062">
        <f>'No Recurrentes 24-26'!DG286</f>
        <v>0</v>
      </c>
      <c r="BW421" s="1068"/>
      <c r="BX421" s="1062">
        <f>'No Recurrentes 24-26'!DH286</f>
        <v>0</v>
      </c>
      <c r="BY421" s="1062">
        <f>'No Recurrentes 24-26'!DI286</f>
        <v>6038.496</v>
      </c>
      <c r="BZ421" s="1062">
        <f>'No Recurrentes 24-26'!DJ286</f>
        <v>0</v>
      </c>
      <c r="CA421" s="1062">
        <f>'No Recurrentes 24-26'!DK286</f>
        <v>6038.496</v>
      </c>
      <c r="CB421" s="1062">
        <f>'No Recurrentes 24-26'!DL286</f>
        <v>0</v>
      </c>
      <c r="CC421" s="1062">
        <f>'No Recurrentes 24-26'!DM286</f>
        <v>0</v>
      </c>
      <c r="CD421" s="1062">
        <f>'No Recurrentes 24-26'!DN286</f>
        <v>0</v>
      </c>
      <c r="CE421" s="1062">
        <f>'No Recurrentes 24-26'!DO286</f>
        <v>0</v>
      </c>
      <c r="CF421" s="1062">
        <f>'No Recurrentes 24-26'!DP286</f>
        <v>0</v>
      </c>
      <c r="CG421" s="1062">
        <f>'No Recurrentes 24-26'!DQ286</f>
        <v>0</v>
      </c>
      <c r="CH421" s="1062">
        <f>'No Recurrentes 24-26'!DR286</f>
        <v>0</v>
      </c>
      <c r="CI421" s="1068"/>
      <c r="CJ421" s="1062">
        <f>'No Recurrentes 24-26'!DS286</f>
        <v>12076.992</v>
      </c>
      <c r="CK421" s="1062">
        <f>'No Recurrentes 24-26'!DT286</f>
        <v>25965.5328</v>
      </c>
      <c r="CL421" s="1064" t="str">
        <f>'No Recurrentes 24-26'!DU286</f>
        <v/>
      </c>
      <c r="CM421" s="1064" t="str">
        <f>'No Recurrentes 24-26'!DV286</f>
        <v/>
      </c>
      <c r="CN421" s="1065">
        <f>'No Recurrentes 24-26'!EI282</f>
        <v>102.95</v>
      </c>
      <c r="CO421" s="1065">
        <f>'No Recurrentes 24-26'!EJ282</f>
        <v>87.51</v>
      </c>
      <c r="CP421" s="1060" t="str">
        <f>'No Recurrentes 24-26'!EK282</f>
        <v/>
      </c>
    </row>
    <row r="422">
      <c r="A422" s="451" t="str">
        <f>'No Recurrentes 24-26'!A287</f>
        <v>Repuestos Electromecánicos no recurrentes</v>
      </c>
      <c r="B422" s="451">
        <f>'No Recurrentes 24-26'!B287</f>
        <v>2</v>
      </c>
      <c r="C422" s="451" t="str">
        <f>'No Recurrentes 24-26'!C287</f>
        <v>Estación</v>
      </c>
      <c r="D422" s="451" t="str">
        <f>'No Recurrentes 24-26'!D287</f>
        <v>Manto. Transmisión Tren de Ruedas</v>
      </c>
      <c r="E422" s="451" t="str">
        <f>'No Recurrentes 24-26'!E287</f>
        <v>Repuesto Mecánico</v>
      </c>
      <c r="F422" s="451" t="str">
        <f>'No Recurrentes 24-26'!F287</f>
        <v>TDB</v>
      </c>
      <c r="G422" s="1025" t="str">
        <f>'No Recurrentes 24-26'!G287</f>
        <v>39800</v>
      </c>
      <c r="H422" s="1061" t="str">
        <f>'No Recurrentes 24-26'!H287</f>
        <v>2-01-00001</v>
      </c>
      <c r="I422" s="1061" t="str">
        <f>'No Recurrentes 24-26'!I287</f>
        <v>10241558</v>
      </c>
      <c r="J422" s="1061" t="str">
        <f>'No Recurrentes 24-26'!J287</f>
        <v>CORREA TRAP.XPB     LW=1500 MM DIN 7753-1</v>
      </c>
      <c r="K422" s="451" t="str">
        <f>'No Recurrentes 24-26'!K287</f>
        <v>Pza</v>
      </c>
      <c r="L422" s="451" t="str">
        <f>'No Recurrentes 24-26'!BC287</f>
        <v/>
      </c>
      <c r="M422" s="451" t="str">
        <f>'No Recurrentes 24-26'!BD287</f>
        <v/>
      </c>
      <c r="N422" s="451">
        <f>'No Recurrentes 24-26'!BE287</f>
        <v>8</v>
      </c>
      <c r="O422" s="451" t="str">
        <f>'No Recurrentes 24-26'!BF287</f>
        <v/>
      </c>
      <c r="P422" s="451" t="str">
        <f>'No Recurrentes 24-26'!BG287</f>
        <v/>
      </c>
      <c r="Q422" s="451" t="str">
        <f>'No Recurrentes 24-26'!BH287</f>
        <v/>
      </c>
      <c r="R422" s="451" t="str">
        <f>'No Recurrentes 24-26'!BI287</f>
        <v/>
      </c>
      <c r="S422" s="451" t="str">
        <f>'No Recurrentes 24-26'!BJ287</f>
        <v/>
      </c>
      <c r="T422" s="451" t="str">
        <f>'No Recurrentes 24-26'!BK287</f>
        <v/>
      </c>
      <c r="U422" s="451" t="str">
        <f>'No Recurrentes 24-26'!BL287</f>
        <v/>
      </c>
      <c r="V422" s="1068"/>
      <c r="W422" s="1062">
        <f>'No Recurrentes 24-26'!BM287</f>
        <v>8</v>
      </c>
      <c r="X422" s="1062" t="str">
        <f>'No Recurrentes 24-26'!BN287</f>
        <v/>
      </c>
      <c r="Y422" s="1062" t="str">
        <f>'No Recurrentes 24-26'!BO287</f>
        <v/>
      </c>
      <c r="Z422" s="1062" t="str">
        <f>'No Recurrentes 24-26'!BP287</f>
        <v/>
      </c>
      <c r="AA422" s="1062" t="str">
        <f>'No Recurrentes 24-26'!BQ287</f>
        <v/>
      </c>
      <c r="AB422" s="1062" t="str">
        <f>'No Recurrentes 24-26'!BR287</f>
        <v/>
      </c>
      <c r="AC422" s="1062" t="str">
        <f>'No Recurrentes 24-26'!BS287</f>
        <v/>
      </c>
      <c r="AD422" s="1062" t="str">
        <f>'No Recurrentes 24-26'!BT287</f>
        <v/>
      </c>
      <c r="AE422" s="1062" t="str">
        <f>'No Recurrentes 24-26'!BU287</f>
        <v/>
      </c>
      <c r="AF422" s="1062" t="str">
        <f>'No Recurrentes 24-26'!BV287</f>
        <v/>
      </c>
      <c r="AG422" s="1062" t="str">
        <f>'No Recurrentes 24-26'!BW287</f>
        <v/>
      </c>
      <c r="AH422" s="1068"/>
      <c r="AI422" s="1062">
        <f>'No Recurrentes 24-26'!BX287</f>
        <v>0</v>
      </c>
      <c r="AJ422" s="1062">
        <f>'No Recurrentes 24-26'!BY287</f>
        <v>10</v>
      </c>
      <c r="AK422" s="1062">
        <f>'No Recurrentes 24-26'!BZ287</f>
        <v>7</v>
      </c>
      <c r="AL422" s="1062">
        <f>'No Recurrentes 24-26'!CA287</f>
        <v>8</v>
      </c>
      <c r="AM422" s="1062">
        <f>'No Recurrentes 24-26'!CB287</f>
        <v>0</v>
      </c>
      <c r="AN422" s="1062">
        <f>'No Recurrentes 24-26'!CC287</f>
        <v>0</v>
      </c>
      <c r="AO422" s="1062">
        <f>'No Recurrentes 24-26'!CD287</f>
        <v>0</v>
      </c>
      <c r="AP422" s="1062">
        <f>'No Recurrentes 24-26'!CE287</f>
        <v>0</v>
      </c>
      <c r="AQ422" s="1062">
        <f>'No Recurrentes 24-26'!CF287</f>
        <v>0</v>
      </c>
      <c r="AR422" s="1062">
        <f>'No Recurrentes 24-26'!CG287</f>
        <v>0</v>
      </c>
      <c r="AS422" s="1062">
        <f>'No Recurrentes 24-26'!CH287</f>
        <v>0</v>
      </c>
      <c r="AT422" s="1068"/>
      <c r="AU422" s="1062">
        <f>'No Recurrentes 24-26'!CI287</f>
        <v>25</v>
      </c>
      <c r="AV422" s="1063">
        <f>'No Recurrentes 24-26'!CJ287</f>
        <v>33</v>
      </c>
      <c r="AW422" s="1068"/>
      <c r="AX422" s="1065">
        <f>'No Recurrentes 24-26'!CK287</f>
        <v>83.87</v>
      </c>
      <c r="AY422" s="1062">
        <f>'No Recurrentes 24-26'!CL287</f>
        <v>583.7352</v>
      </c>
      <c r="AZ422" s="1068"/>
      <c r="BA422" s="1062">
        <f>'No Recurrentes 24-26'!CM287</f>
        <v>0</v>
      </c>
      <c r="BB422" s="1062">
        <f>'No Recurrentes 24-26'!CN287</f>
        <v>0</v>
      </c>
      <c r="BC422" s="1062">
        <f>'No Recurrentes 24-26'!CO287</f>
        <v>4669.8816</v>
      </c>
      <c r="BD422" s="1062">
        <f>'No Recurrentes 24-26'!CP287</f>
        <v>0</v>
      </c>
      <c r="BE422" s="1062">
        <f>'No Recurrentes 24-26'!CQ287</f>
        <v>0</v>
      </c>
      <c r="BF422" s="1062">
        <f>'No Recurrentes 24-26'!CR287</f>
        <v>0</v>
      </c>
      <c r="BG422" s="1062">
        <f>'No Recurrentes 24-26'!CS287</f>
        <v>0</v>
      </c>
      <c r="BH422" s="1062">
        <f>'No Recurrentes 24-26'!CT287</f>
        <v>0</v>
      </c>
      <c r="BI422" s="1062">
        <f>'No Recurrentes 24-26'!CU287</f>
        <v>0</v>
      </c>
      <c r="BJ422" s="1062">
        <f>'No Recurrentes 24-26'!CV287</f>
        <v>0</v>
      </c>
      <c r="BK422" s="1068"/>
      <c r="BL422" s="1062">
        <f>'No Recurrentes 24-26'!CW287</f>
        <v>4669.8816</v>
      </c>
      <c r="BM422" s="1062">
        <f>'No Recurrentes 24-26'!CX287</f>
        <v>0</v>
      </c>
      <c r="BN422" s="1062">
        <f>'No Recurrentes 24-26'!CY287</f>
        <v>0</v>
      </c>
      <c r="BO422" s="1062">
        <f>'No Recurrentes 24-26'!CZ287</f>
        <v>0</v>
      </c>
      <c r="BP422" s="1062">
        <f>'No Recurrentes 24-26'!DA287</f>
        <v>0</v>
      </c>
      <c r="BQ422" s="1062">
        <f>'No Recurrentes 24-26'!DB287</f>
        <v>0</v>
      </c>
      <c r="BR422" s="1062">
        <f>'No Recurrentes 24-26'!DC287</f>
        <v>0</v>
      </c>
      <c r="BS422" s="1062">
        <f>'No Recurrentes 24-26'!DD287</f>
        <v>0</v>
      </c>
      <c r="BT422" s="1062">
        <f>'No Recurrentes 24-26'!DE287</f>
        <v>0</v>
      </c>
      <c r="BU422" s="1062">
        <f>'No Recurrentes 24-26'!DF287</f>
        <v>0</v>
      </c>
      <c r="BV422" s="1062">
        <f>'No Recurrentes 24-26'!DG287</f>
        <v>0</v>
      </c>
      <c r="BW422" s="1068"/>
      <c r="BX422" s="1062">
        <f>'No Recurrentes 24-26'!DH287</f>
        <v>0</v>
      </c>
      <c r="BY422" s="1062">
        <f>'No Recurrentes 24-26'!DI287</f>
        <v>5837.352</v>
      </c>
      <c r="BZ422" s="1062">
        <f>'No Recurrentes 24-26'!DJ287</f>
        <v>4086.1464</v>
      </c>
      <c r="CA422" s="1062">
        <f>'No Recurrentes 24-26'!DK287</f>
        <v>4669.8816</v>
      </c>
      <c r="CB422" s="1062">
        <f>'No Recurrentes 24-26'!DL287</f>
        <v>0</v>
      </c>
      <c r="CC422" s="1062">
        <f>'No Recurrentes 24-26'!DM287</f>
        <v>0</v>
      </c>
      <c r="CD422" s="1062">
        <f>'No Recurrentes 24-26'!DN287</f>
        <v>0</v>
      </c>
      <c r="CE422" s="1062">
        <f>'No Recurrentes 24-26'!DO287</f>
        <v>0</v>
      </c>
      <c r="CF422" s="1062">
        <f>'No Recurrentes 24-26'!DP287</f>
        <v>0</v>
      </c>
      <c r="CG422" s="1062">
        <f>'No Recurrentes 24-26'!DQ287</f>
        <v>0</v>
      </c>
      <c r="CH422" s="1062">
        <f>'No Recurrentes 24-26'!DR287</f>
        <v>0</v>
      </c>
      <c r="CI422" s="1068"/>
      <c r="CJ422" s="1062">
        <f>'No Recurrentes 24-26'!DS287</f>
        <v>14593.38</v>
      </c>
      <c r="CK422" s="1062">
        <f>'No Recurrentes 24-26'!DT287</f>
        <v>19263.2616</v>
      </c>
      <c r="CL422" s="1064" t="str">
        <f>'No Recurrentes 24-26'!DU287</f>
        <v/>
      </c>
      <c r="CM422" s="1064" t="str">
        <f>'No Recurrentes 24-26'!DV287</f>
        <v/>
      </c>
      <c r="CN422" s="1065">
        <f>'No Recurrentes 24-26'!EI283</f>
        <v>280.08</v>
      </c>
      <c r="CO422" s="1065">
        <f>'No Recurrentes 24-26'!EJ283</f>
        <v>238.07</v>
      </c>
      <c r="CP422" s="1060" t="str">
        <f>'No Recurrentes 24-26'!EK283</f>
        <v/>
      </c>
    </row>
    <row r="423">
      <c r="A423" s="451" t="str">
        <f>'No Recurrentes 24-26'!A288</f>
        <v>Repuestos Electromecánicos no recurrentes</v>
      </c>
      <c r="B423" s="451">
        <f>'No Recurrentes 24-26'!B288</f>
        <v>2</v>
      </c>
      <c r="C423" s="451" t="str">
        <f>'No Recurrentes 24-26'!C288</f>
        <v>Estación</v>
      </c>
      <c r="D423" s="451" t="str">
        <f>'No Recurrentes 24-26'!D288</f>
        <v>Manto. Transmisión Tren de Ruedas</v>
      </c>
      <c r="E423" s="451" t="str">
        <f>'No Recurrentes 24-26'!E288</f>
        <v>Repuesto Mecánico</v>
      </c>
      <c r="F423" s="451" t="str">
        <f>'No Recurrentes 24-26'!F288</f>
        <v>TDB</v>
      </c>
      <c r="G423" s="1025" t="str">
        <f>'No Recurrentes 24-26'!G288</f>
        <v>39800</v>
      </c>
      <c r="H423" s="1061" t="str">
        <f>'No Recurrentes 24-26'!H288</f>
        <v>2-01-00009</v>
      </c>
      <c r="I423" s="1061" t="str">
        <f>'No Recurrentes 24-26'!I288</f>
        <v>10319011</v>
      </c>
      <c r="J423" s="1061" t="str">
        <f>'No Recurrentes 24-26'!J288</f>
        <v>CORREA TRAP.XPB     LW=1545 MM DIN 7753-1</v>
      </c>
      <c r="K423" s="451" t="str">
        <f>'No Recurrentes 24-26'!K288</f>
        <v>Pza</v>
      </c>
      <c r="L423" s="451" t="str">
        <f>'No Recurrentes 24-26'!BC288</f>
        <v/>
      </c>
      <c r="M423" s="451">
        <f>'No Recurrentes 24-26'!BD288</f>
        <v>5</v>
      </c>
      <c r="N423" s="451">
        <f>'No Recurrentes 24-26'!BE288</f>
        <v>5</v>
      </c>
      <c r="O423" s="451" t="str">
        <f>'No Recurrentes 24-26'!BF288</f>
        <v/>
      </c>
      <c r="P423" s="451" t="str">
        <f>'No Recurrentes 24-26'!BG288</f>
        <v/>
      </c>
      <c r="Q423" s="451" t="str">
        <f>'No Recurrentes 24-26'!BH288</f>
        <v/>
      </c>
      <c r="R423" s="451" t="str">
        <f>'No Recurrentes 24-26'!BI288</f>
        <v/>
      </c>
      <c r="S423" s="451" t="str">
        <f>'No Recurrentes 24-26'!BJ288</f>
        <v/>
      </c>
      <c r="T423" s="451" t="str">
        <f>'No Recurrentes 24-26'!BK288</f>
        <v/>
      </c>
      <c r="U423" s="451" t="str">
        <f>'No Recurrentes 24-26'!BL288</f>
        <v/>
      </c>
      <c r="V423" s="1068"/>
      <c r="W423" s="1062">
        <f>'No Recurrentes 24-26'!BM288</f>
        <v>10</v>
      </c>
      <c r="X423" s="1062">
        <f>'No Recurrentes 24-26'!BN288</f>
        <v>5</v>
      </c>
      <c r="Y423" s="1062" t="str">
        <f>'No Recurrentes 24-26'!BO288</f>
        <v/>
      </c>
      <c r="Z423" s="1062" t="str">
        <f>'No Recurrentes 24-26'!BP288</f>
        <v/>
      </c>
      <c r="AA423" s="1062" t="str">
        <f>'No Recurrentes 24-26'!BQ288</f>
        <v/>
      </c>
      <c r="AB423" s="1062" t="str">
        <f>'No Recurrentes 24-26'!BR288</f>
        <v/>
      </c>
      <c r="AC423" s="1062" t="str">
        <f>'No Recurrentes 24-26'!BS288</f>
        <v/>
      </c>
      <c r="AD423" s="1062" t="str">
        <f>'No Recurrentes 24-26'!BT288</f>
        <v/>
      </c>
      <c r="AE423" s="1062" t="str">
        <f>'No Recurrentes 24-26'!BU288</f>
        <v/>
      </c>
      <c r="AF423" s="1062" t="str">
        <f>'No Recurrentes 24-26'!BV288</f>
        <v/>
      </c>
      <c r="AG423" s="1062" t="str">
        <f>'No Recurrentes 24-26'!BW288</f>
        <v/>
      </c>
      <c r="AH423" s="1068"/>
      <c r="AI423" s="1062">
        <f>'No Recurrentes 24-26'!BX288</f>
        <v>5</v>
      </c>
      <c r="AJ423" s="1062">
        <f>'No Recurrentes 24-26'!BY288</f>
        <v>5</v>
      </c>
      <c r="AK423" s="1062">
        <f>'No Recurrentes 24-26'!BZ288</f>
        <v>0</v>
      </c>
      <c r="AL423" s="1062">
        <f>'No Recurrentes 24-26'!CA288</f>
        <v>5</v>
      </c>
      <c r="AM423" s="1062">
        <f>'No Recurrentes 24-26'!CB288</f>
        <v>0</v>
      </c>
      <c r="AN423" s="1062">
        <f>'No Recurrentes 24-26'!CC288</f>
        <v>0</v>
      </c>
      <c r="AO423" s="1062">
        <f>'No Recurrentes 24-26'!CD288</f>
        <v>0</v>
      </c>
      <c r="AP423" s="1062">
        <f>'No Recurrentes 24-26'!CE288</f>
        <v>0</v>
      </c>
      <c r="AQ423" s="1062">
        <f>'No Recurrentes 24-26'!CF288</f>
        <v>0</v>
      </c>
      <c r="AR423" s="1062">
        <f>'No Recurrentes 24-26'!CG288</f>
        <v>0</v>
      </c>
      <c r="AS423" s="1062">
        <f>'No Recurrentes 24-26'!CH288</f>
        <v>0</v>
      </c>
      <c r="AT423" s="1068"/>
      <c r="AU423" s="1062">
        <f>'No Recurrentes 24-26'!CI288</f>
        <v>10</v>
      </c>
      <c r="AV423" s="1063">
        <f>'No Recurrentes 24-26'!CJ288</f>
        <v>25</v>
      </c>
      <c r="AW423" s="1068"/>
      <c r="AX423" s="1065">
        <f>'No Recurrentes 24-26'!CK288</f>
        <v>64.26</v>
      </c>
      <c r="AY423" s="1062">
        <f>'No Recurrentes 24-26'!CL288</f>
        <v>447.2496</v>
      </c>
      <c r="AZ423" s="1068"/>
      <c r="BA423" s="1062">
        <f>'No Recurrentes 24-26'!CM288</f>
        <v>0</v>
      </c>
      <c r="BB423" s="1062">
        <f>'No Recurrentes 24-26'!CN288</f>
        <v>2236.248</v>
      </c>
      <c r="BC423" s="1062">
        <f>'No Recurrentes 24-26'!CO288</f>
        <v>2236.248</v>
      </c>
      <c r="BD423" s="1062">
        <f>'No Recurrentes 24-26'!CP288</f>
        <v>0</v>
      </c>
      <c r="BE423" s="1062">
        <f>'No Recurrentes 24-26'!CQ288</f>
        <v>0</v>
      </c>
      <c r="BF423" s="1062">
        <f>'No Recurrentes 24-26'!CR288</f>
        <v>0</v>
      </c>
      <c r="BG423" s="1062">
        <f>'No Recurrentes 24-26'!CS288</f>
        <v>0</v>
      </c>
      <c r="BH423" s="1062">
        <f>'No Recurrentes 24-26'!CT288</f>
        <v>0</v>
      </c>
      <c r="BI423" s="1062">
        <f>'No Recurrentes 24-26'!CU288</f>
        <v>0</v>
      </c>
      <c r="BJ423" s="1062">
        <f>'No Recurrentes 24-26'!CV288</f>
        <v>0</v>
      </c>
      <c r="BK423" s="1068"/>
      <c r="BL423" s="1062">
        <f>'No Recurrentes 24-26'!CW288</f>
        <v>4472.496</v>
      </c>
      <c r="BM423" s="1062">
        <f>'No Recurrentes 24-26'!CX288</f>
        <v>2236.248</v>
      </c>
      <c r="BN423" s="1062">
        <f>'No Recurrentes 24-26'!CY288</f>
        <v>0</v>
      </c>
      <c r="BO423" s="1062">
        <f>'No Recurrentes 24-26'!CZ288</f>
        <v>0</v>
      </c>
      <c r="BP423" s="1062">
        <f>'No Recurrentes 24-26'!DA288</f>
        <v>0</v>
      </c>
      <c r="BQ423" s="1062">
        <f>'No Recurrentes 24-26'!DB288</f>
        <v>0</v>
      </c>
      <c r="BR423" s="1062">
        <f>'No Recurrentes 24-26'!DC288</f>
        <v>0</v>
      </c>
      <c r="BS423" s="1062">
        <f>'No Recurrentes 24-26'!DD288</f>
        <v>0</v>
      </c>
      <c r="BT423" s="1062">
        <f>'No Recurrentes 24-26'!DE288</f>
        <v>0</v>
      </c>
      <c r="BU423" s="1062">
        <f>'No Recurrentes 24-26'!DF288</f>
        <v>0</v>
      </c>
      <c r="BV423" s="1062">
        <f>'No Recurrentes 24-26'!DG288</f>
        <v>0</v>
      </c>
      <c r="BW423" s="1068"/>
      <c r="BX423" s="1062">
        <f>'No Recurrentes 24-26'!DH288</f>
        <v>2236.248</v>
      </c>
      <c r="BY423" s="1062">
        <f>'No Recurrentes 24-26'!DI288</f>
        <v>2236.248</v>
      </c>
      <c r="BZ423" s="1062">
        <f>'No Recurrentes 24-26'!DJ288</f>
        <v>0</v>
      </c>
      <c r="CA423" s="1062">
        <f>'No Recurrentes 24-26'!DK288</f>
        <v>2236.248</v>
      </c>
      <c r="CB423" s="1062">
        <f>'No Recurrentes 24-26'!DL288</f>
        <v>0</v>
      </c>
      <c r="CC423" s="1062">
        <f>'No Recurrentes 24-26'!DM288</f>
        <v>0</v>
      </c>
      <c r="CD423" s="1062">
        <f>'No Recurrentes 24-26'!DN288</f>
        <v>0</v>
      </c>
      <c r="CE423" s="1062">
        <f>'No Recurrentes 24-26'!DO288</f>
        <v>0</v>
      </c>
      <c r="CF423" s="1062">
        <f>'No Recurrentes 24-26'!DP288</f>
        <v>0</v>
      </c>
      <c r="CG423" s="1062">
        <f>'No Recurrentes 24-26'!DQ288</f>
        <v>0</v>
      </c>
      <c r="CH423" s="1062">
        <f>'No Recurrentes 24-26'!DR288</f>
        <v>0</v>
      </c>
      <c r="CI423" s="1068"/>
      <c r="CJ423" s="1062">
        <f>'No Recurrentes 24-26'!DS288</f>
        <v>4472.496</v>
      </c>
      <c r="CK423" s="1062">
        <f>'No Recurrentes 24-26'!DT288</f>
        <v>11181.24</v>
      </c>
      <c r="CL423" s="1064" t="str">
        <f>'No Recurrentes 24-26'!DU288</f>
        <v/>
      </c>
      <c r="CM423" s="1064" t="str">
        <f>'No Recurrentes 24-26'!DV288</f>
        <v/>
      </c>
      <c r="CN423" s="1065">
        <f>'No Recurrentes 24-26'!EI284</f>
        <v>100.29</v>
      </c>
      <c r="CO423" s="1065">
        <f>'No Recurrentes 24-26'!EJ284</f>
        <v>85.25</v>
      </c>
      <c r="CP423" s="1060" t="str">
        <f>'No Recurrentes 24-26'!EK284</f>
        <v/>
      </c>
    </row>
    <row r="424">
      <c r="A424" s="451" t="str">
        <f>'No Recurrentes 24-26'!A289</f>
        <v>Repuestos Electromecánicos no recurrentes</v>
      </c>
      <c r="B424" s="451">
        <f>'No Recurrentes 24-26'!B289</f>
        <v>2</v>
      </c>
      <c r="C424" s="451" t="str">
        <f>'No Recurrentes 24-26'!C289</f>
        <v>Estación</v>
      </c>
      <c r="D424" s="451" t="str">
        <f>'No Recurrentes 24-26'!D289</f>
        <v>Manto. Transmisión Tren de Ruedas</v>
      </c>
      <c r="E424" s="451" t="str">
        <f>'No Recurrentes 24-26'!E289</f>
        <v>Repuesto Mecánico</v>
      </c>
      <c r="F424" s="451" t="str">
        <f>'No Recurrentes 24-26'!F289</f>
        <v>TDB</v>
      </c>
      <c r="G424" s="1025" t="str">
        <f>'No Recurrentes 24-26'!G289</f>
        <v>39800</v>
      </c>
      <c r="H424" s="1061" t="str">
        <f>'No Recurrentes 24-26'!H289</f>
        <v>2-01-00275</v>
      </c>
      <c r="I424" s="1061" t="str">
        <f>'No Recurrentes 24-26'!I289</f>
        <v>10388509</v>
      </c>
      <c r="J424" s="1061" t="str">
        <f>'No Recurrentes 24-26'!J289</f>
        <v>CORREA TRAPEZOIDAL XPC LA=2140 MM DIN 7753-1</v>
      </c>
      <c r="K424" s="451" t="str">
        <f>'No Recurrentes 24-26'!K289</f>
        <v>Pza</v>
      </c>
      <c r="L424" s="451" t="str">
        <f>'No Recurrentes 24-26'!BC289</f>
        <v/>
      </c>
      <c r="M424" s="451">
        <f>'No Recurrentes 24-26'!BD289</f>
        <v>1</v>
      </c>
      <c r="N424" s="451">
        <f>'No Recurrentes 24-26'!BE289</f>
        <v>5</v>
      </c>
      <c r="O424" s="451" t="str">
        <f>'No Recurrentes 24-26'!BF289</f>
        <v/>
      </c>
      <c r="P424" s="451" t="str">
        <f>'No Recurrentes 24-26'!BG289</f>
        <v/>
      </c>
      <c r="Q424" s="451" t="str">
        <f>'No Recurrentes 24-26'!BH289</f>
        <v/>
      </c>
      <c r="R424" s="451" t="str">
        <f>'No Recurrentes 24-26'!BI289</f>
        <v/>
      </c>
      <c r="S424" s="451" t="str">
        <f>'No Recurrentes 24-26'!BJ289</f>
        <v/>
      </c>
      <c r="T424" s="451" t="str">
        <f>'No Recurrentes 24-26'!BK289</f>
        <v/>
      </c>
      <c r="U424" s="451" t="str">
        <f>'No Recurrentes 24-26'!BL289</f>
        <v/>
      </c>
      <c r="V424" s="1068"/>
      <c r="W424" s="1062">
        <f>'No Recurrentes 24-26'!BM289</f>
        <v>6</v>
      </c>
      <c r="X424" s="1062">
        <f>'No Recurrentes 24-26'!BN289</f>
        <v>5</v>
      </c>
      <c r="Y424" s="1062" t="str">
        <f>'No Recurrentes 24-26'!BO289</f>
        <v/>
      </c>
      <c r="Z424" s="1062" t="str">
        <f>'No Recurrentes 24-26'!BP289</f>
        <v/>
      </c>
      <c r="AA424" s="1062" t="str">
        <f>'No Recurrentes 24-26'!BQ289</f>
        <v/>
      </c>
      <c r="AB424" s="1062" t="str">
        <f>'No Recurrentes 24-26'!BR289</f>
        <v/>
      </c>
      <c r="AC424" s="1062" t="str">
        <f>'No Recurrentes 24-26'!BS289</f>
        <v/>
      </c>
      <c r="AD424" s="1062" t="str">
        <f>'No Recurrentes 24-26'!BT289</f>
        <v/>
      </c>
      <c r="AE424" s="1062" t="str">
        <f>'No Recurrentes 24-26'!BU289</f>
        <v/>
      </c>
      <c r="AF424" s="1062" t="str">
        <f>'No Recurrentes 24-26'!BV289</f>
        <v/>
      </c>
      <c r="AG424" s="1062" t="str">
        <f>'No Recurrentes 24-26'!BW289</f>
        <v/>
      </c>
      <c r="AH424" s="1068"/>
      <c r="AI424" s="1062">
        <f>'No Recurrentes 24-26'!BX289</f>
        <v>5</v>
      </c>
      <c r="AJ424" s="1062">
        <f>'No Recurrentes 24-26'!BY289</f>
        <v>5</v>
      </c>
      <c r="AK424" s="1062">
        <f>'No Recurrentes 24-26'!BZ289</f>
        <v>0</v>
      </c>
      <c r="AL424" s="1062">
        <f>'No Recurrentes 24-26'!CA289</f>
        <v>5</v>
      </c>
      <c r="AM424" s="1062">
        <f>'No Recurrentes 24-26'!CB289</f>
        <v>0</v>
      </c>
      <c r="AN424" s="1062">
        <f>'No Recurrentes 24-26'!CC289</f>
        <v>0</v>
      </c>
      <c r="AO424" s="1062">
        <f>'No Recurrentes 24-26'!CD289</f>
        <v>0</v>
      </c>
      <c r="AP424" s="1062">
        <f>'No Recurrentes 24-26'!CE289</f>
        <v>0</v>
      </c>
      <c r="AQ424" s="1062">
        <f>'No Recurrentes 24-26'!CF289</f>
        <v>0</v>
      </c>
      <c r="AR424" s="1062">
        <f>'No Recurrentes 24-26'!CG289</f>
        <v>0</v>
      </c>
      <c r="AS424" s="1062">
        <f>'No Recurrentes 24-26'!CH289</f>
        <v>0</v>
      </c>
      <c r="AT424" s="1068"/>
      <c r="AU424" s="1062">
        <f>'No Recurrentes 24-26'!CI289</f>
        <v>10</v>
      </c>
      <c r="AV424" s="1063">
        <f>'No Recurrentes 24-26'!CJ289</f>
        <v>21</v>
      </c>
      <c r="AW424" s="1068"/>
      <c r="AX424" s="1065">
        <f>'No Recurrentes 24-26'!CK289</f>
        <v>94.95</v>
      </c>
      <c r="AY424" s="1062">
        <f>'No Recurrentes 24-26'!CL289</f>
        <v>660.852</v>
      </c>
      <c r="AZ424" s="1068"/>
      <c r="BA424" s="1062">
        <f>'No Recurrentes 24-26'!CM289</f>
        <v>0</v>
      </c>
      <c r="BB424" s="1062">
        <f>'No Recurrentes 24-26'!CN289</f>
        <v>660.852</v>
      </c>
      <c r="BC424" s="1062">
        <f>'No Recurrentes 24-26'!CO289</f>
        <v>3304.26</v>
      </c>
      <c r="BD424" s="1062">
        <f>'No Recurrentes 24-26'!CP289</f>
        <v>0</v>
      </c>
      <c r="BE424" s="1062">
        <f>'No Recurrentes 24-26'!CQ289</f>
        <v>0</v>
      </c>
      <c r="BF424" s="1062">
        <f>'No Recurrentes 24-26'!CR289</f>
        <v>0</v>
      </c>
      <c r="BG424" s="1062">
        <f>'No Recurrentes 24-26'!CS289</f>
        <v>0</v>
      </c>
      <c r="BH424" s="1062">
        <f>'No Recurrentes 24-26'!CT289</f>
        <v>0</v>
      </c>
      <c r="BI424" s="1062">
        <f>'No Recurrentes 24-26'!CU289</f>
        <v>0</v>
      </c>
      <c r="BJ424" s="1062">
        <f>'No Recurrentes 24-26'!CV289</f>
        <v>0</v>
      </c>
      <c r="BK424" s="1068"/>
      <c r="BL424" s="1062">
        <f>'No Recurrentes 24-26'!CW289</f>
        <v>3965.112</v>
      </c>
      <c r="BM424" s="1062">
        <f>'No Recurrentes 24-26'!CX289</f>
        <v>3304.26</v>
      </c>
      <c r="BN424" s="1062">
        <f>'No Recurrentes 24-26'!CY289</f>
        <v>0</v>
      </c>
      <c r="BO424" s="1062">
        <f>'No Recurrentes 24-26'!CZ289</f>
        <v>0</v>
      </c>
      <c r="BP424" s="1062">
        <f>'No Recurrentes 24-26'!DA289</f>
        <v>0</v>
      </c>
      <c r="BQ424" s="1062">
        <f>'No Recurrentes 24-26'!DB289</f>
        <v>0</v>
      </c>
      <c r="BR424" s="1062">
        <f>'No Recurrentes 24-26'!DC289</f>
        <v>0</v>
      </c>
      <c r="BS424" s="1062">
        <f>'No Recurrentes 24-26'!DD289</f>
        <v>0</v>
      </c>
      <c r="BT424" s="1062">
        <f>'No Recurrentes 24-26'!DE289</f>
        <v>0</v>
      </c>
      <c r="BU424" s="1062">
        <f>'No Recurrentes 24-26'!DF289</f>
        <v>0</v>
      </c>
      <c r="BV424" s="1062">
        <f>'No Recurrentes 24-26'!DG289</f>
        <v>0</v>
      </c>
      <c r="BW424" s="1068"/>
      <c r="BX424" s="1062">
        <f>'No Recurrentes 24-26'!DH289</f>
        <v>3304.26</v>
      </c>
      <c r="BY424" s="1062">
        <f>'No Recurrentes 24-26'!DI289</f>
        <v>3304.26</v>
      </c>
      <c r="BZ424" s="1062">
        <f>'No Recurrentes 24-26'!DJ289</f>
        <v>0</v>
      </c>
      <c r="CA424" s="1062">
        <f>'No Recurrentes 24-26'!DK289</f>
        <v>3304.26</v>
      </c>
      <c r="CB424" s="1062">
        <f>'No Recurrentes 24-26'!DL289</f>
        <v>0</v>
      </c>
      <c r="CC424" s="1062">
        <f>'No Recurrentes 24-26'!DM289</f>
        <v>0</v>
      </c>
      <c r="CD424" s="1062">
        <f>'No Recurrentes 24-26'!DN289</f>
        <v>0</v>
      </c>
      <c r="CE424" s="1062">
        <f>'No Recurrentes 24-26'!DO289</f>
        <v>0</v>
      </c>
      <c r="CF424" s="1062">
        <f>'No Recurrentes 24-26'!DP289</f>
        <v>0</v>
      </c>
      <c r="CG424" s="1062">
        <f>'No Recurrentes 24-26'!DQ289</f>
        <v>0</v>
      </c>
      <c r="CH424" s="1062">
        <f>'No Recurrentes 24-26'!DR289</f>
        <v>0</v>
      </c>
      <c r="CI424" s="1068"/>
      <c r="CJ424" s="1062">
        <f>'No Recurrentes 24-26'!DS289</f>
        <v>6608.52</v>
      </c>
      <c r="CK424" s="1062">
        <f>'No Recurrentes 24-26'!DT289</f>
        <v>13877.892</v>
      </c>
      <c r="CL424" s="1064" t="str">
        <f>'No Recurrentes 24-26'!DU289</f>
        <v/>
      </c>
      <c r="CM424" s="1064" t="str">
        <f>'No Recurrentes 24-26'!DV289</f>
        <v/>
      </c>
      <c r="CN424" s="1065">
        <f>'No Recurrentes 24-26'!EI285</f>
        <v>36.46</v>
      </c>
      <c r="CO424" s="1065">
        <f>'No Recurrentes 24-26'!EJ285</f>
        <v>30.99</v>
      </c>
      <c r="CP424" s="1060" t="str">
        <f>'No Recurrentes 24-26'!EK285</f>
        <v/>
      </c>
    </row>
    <row r="425">
      <c r="A425" s="451" t="str">
        <f>'No Recurrentes 24-26'!A290</f>
        <v>Repuestos Electromecánicos no recurrentes</v>
      </c>
      <c r="B425" s="451">
        <f>'No Recurrentes 24-26'!B290</f>
        <v>2</v>
      </c>
      <c r="C425" s="451" t="str">
        <f>'No Recurrentes 24-26'!C290</f>
        <v>Estación</v>
      </c>
      <c r="D425" s="451" t="str">
        <f>'No Recurrentes 24-26'!D290</f>
        <v>Manto. Transmisión Tren de Ruedas</v>
      </c>
      <c r="E425" s="451" t="str">
        <f>'No Recurrentes 24-26'!E290</f>
        <v>Repuesto Mecánico</v>
      </c>
      <c r="F425" s="451" t="str">
        <f>'No Recurrentes 24-26'!F290</f>
        <v>TDB</v>
      </c>
      <c r="G425" s="1025" t="str">
        <f>'No Recurrentes 24-26'!G290</f>
        <v>39800</v>
      </c>
      <c r="H425" s="1061" t="str">
        <f>'No Recurrentes 24-26'!H290</f>
        <v>2-01-00701</v>
      </c>
      <c r="I425" s="1061" t="str">
        <f>'No Recurrentes 24-26'!I290</f>
        <v>10567647</v>
      </c>
      <c r="J425" s="1061" t="str">
        <f>'No Recurrentes 24-26'!J290</f>
        <v>CORREA TRAPEZ. XPC  LA=2080 MM DIN 7753-1</v>
      </c>
      <c r="K425" s="451" t="str">
        <f>'No Recurrentes 24-26'!K290</f>
        <v>Pza</v>
      </c>
      <c r="L425" s="451" t="str">
        <f>'No Recurrentes 24-26'!BC290</f>
        <v/>
      </c>
      <c r="M425" s="451">
        <f>'No Recurrentes 24-26'!BD290</f>
        <v>2</v>
      </c>
      <c r="N425" s="451">
        <f>'No Recurrentes 24-26'!BE290</f>
        <v>4</v>
      </c>
      <c r="O425" s="451" t="str">
        <f>'No Recurrentes 24-26'!BF290</f>
        <v/>
      </c>
      <c r="P425" s="451" t="str">
        <f>'No Recurrentes 24-26'!BG290</f>
        <v/>
      </c>
      <c r="Q425" s="451" t="str">
        <f>'No Recurrentes 24-26'!BH290</f>
        <v/>
      </c>
      <c r="R425" s="451" t="str">
        <f>'No Recurrentes 24-26'!BI290</f>
        <v/>
      </c>
      <c r="S425" s="451" t="str">
        <f>'No Recurrentes 24-26'!BJ290</f>
        <v/>
      </c>
      <c r="T425" s="451" t="str">
        <f>'No Recurrentes 24-26'!BK290</f>
        <v/>
      </c>
      <c r="U425" s="451" t="str">
        <f>'No Recurrentes 24-26'!BL290</f>
        <v/>
      </c>
      <c r="V425" s="1068"/>
      <c r="W425" s="1062">
        <f>'No Recurrentes 24-26'!BM290</f>
        <v>6</v>
      </c>
      <c r="X425" s="1062">
        <f>'No Recurrentes 24-26'!BN290</f>
        <v>6</v>
      </c>
      <c r="Y425" s="1062" t="str">
        <f>'No Recurrentes 24-26'!BO290</f>
        <v/>
      </c>
      <c r="Z425" s="1062" t="str">
        <f>'No Recurrentes 24-26'!BP290</f>
        <v/>
      </c>
      <c r="AA425" s="1062" t="str">
        <f>'No Recurrentes 24-26'!BQ290</f>
        <v/>
      </c>
      <c r="AB425" s="1062" t="str">
        <f>'No Recurrentes 24-26'!BR290</f>
        <v/>
      </c>
      <c r="AC425" s="1062" t="str">
        <f>'No Recurrentes 24-26'!BS290</f>
        <v/>
      </c>
      <c r="AD425" s="1062" t="str">
        <f>'No Recurrentes 24-26'!BT290</f>
        <v/>
      </c>
      <c r="AE425" s="1062" t="str">
        <f>'No Recurrentes 24-26'!BU290</f>
        <v/>
      </c>
      <c r="AF425" s="1062" t="str">
        <f>'No Recurrentes 24-26'!BV290</f>
        <v/>
      </c>
      <c r="AG425" s="1062" t="str">
        <f>'No Recurrentes 24-26'!BW290</f>
        <v/>
      </c>
      <c r="AH425" s="1068"/>
      <c r="AI425" s="1062">
        <f>'No Recurrentes 24-26'!BX290</f>
        <v>6</v>
      </c>
      <c r="AJ425" s="1062">
        <f>'No Recurrentes 24-26'!BY290</f>
        <v>6</v>
      </c>
      <c r="AK425" s="1062">
        <f>'No Recurrentes 24-26'!BZ290</f>
        <v>0</v>
      </c>
      <c r="AL425" s="1062">
        <f>'No Recurrentes 24-26'!CA290</f>
        <v>4</v>
      </c>
      <c r="AM425" s="1062">
        <f>'No Recurrentes 24-26'!CB290</f>
        <v>0</v>
      </c>
      <c r="AN425" s="1062">
        <f>'No Recurrentes 24-26'!CC290</f>
        <v>0</v>
      </c>
      <c r="AO425" s="1062">
        <f>'No Recurrentes 24-26'!CD290</f>
        <v>0</v>
      </c>
      <c r="AP425" s="1062">
        <f>'No Recurrentes 24-26'!CE290</f>
        <v>0</v>
      </c>
      <c r="AQ425" s="1062">
        <f>'No Recurrentes 24-26'!CF290</f>
        <v>0</v>
      </c>
      <c r="AR425" s="1062">
        <f>'No Recurrentes 24-26'!CG290</f>
        <v>0</v>
      </c>
      <c r="AS425" s="1062">
        <f>'No Recurrentes 24-26'!CH290</f>
        <v>0</v>
      </c>
      <c r="AT425" s="1068"/>
      <c r="AU425" s="1062">
        <f>'No Recurrentes 24-26'!CI290</f>
        <v>10</v>
      </c>
      <c r="AV425" s="1063">
        <f>'No Recurrentes 24-26'!CJ290</f>
        <v>22</v>
      </c>
      <c r="AW425" s="1068"/>
      <c r="AX425" s="1065">
        <f>'No Recurrentes 24-26'!CK290</f>
        <v>94.87</v>
      </c>
      <c r="AY425" s="1062">
        <f>'No Recurrentes 24-26'!CL290</f>
        <v>660.2952</v>
      </c>
      <c r="AZ425" s="1068"/>
      <c r="BA425" s="1062">
        <f>'No Recurrentes 24-26'!CM290</f>
        <v>0</v>
      </c>
      <c r="BB425" s="1062">
        <f>'No Recurrentes 24-26'!CN290</f>
        <v>1320.5904</v>
      </c>
      <c r="BC425" s="1062">
        <f>'No Recurrentes 24-26'!CO290</f>
        <v>2641.1808</v>
      </c>
      <c r="BD425" s="1062">
        <f>'No Recurrentes 24-26'!CP290</f>
        <v>0</v>
      </c>
      <c r="BE425" s="1062">
        <f>'No Recurrentes 24-26'!CQ290</f>
        <v>0</v>
      </c>
      <c r="BF425" s="1062">
        <f>'No Recurrentes 24-26'!CR290</f>
        <v>0</v>
      </c>
      <c r="BG425" s="1062">
        <f>'No Recurrentes 24-26'!CS290</f>
        <v>0</v>
      </c>
      <c r="BH425" s="1062">
        <f>'No Recurrentes 24-26'!CT290</f>
        <v>0</v>
      </c>
      <c r="BI425" s="1062">
        <f>'No Recurrentes 24-26'!CU290</f>
        <v>0</v>
      </c>
      <c r="BJ425" s="1062">
        <f>'No Recurrentes 24-26'!CV290</f>
        <v>0</v>
      </c>
      <c r="BK425" s="1068"/>
      <c r="BL425" s="1062">
        <f>'No Recurrentes 24-26'!CW290</f>
        <v>3961.7712</v>
      </c>
      <c r="BM425" s="1062">
        <f>'No Recurrentes 24-26'!CX290</f>
        <v>3961.7712</v>
      </c>
      <c r="BN425" s="1062">
        <f>'No Recurrentes 24-26'!CY290</f>
        <v>0</v>
      </c>
      <c r="BO425" s="1062">
        <f>'No Recurrentes 24-26'!CZ290</f>
        <v>0</v>
      </c>
      <c r="BP425" s="1062">
        <f>'No Recurrentes 24-26'!DA290</f>
        <v>0</v>
      </c>
      <c r="BQ425" s="1062">
        <f>'No Recurrentes 24-26'!DB290</f>
        <v>0</v>
      </c>
      <c r="BR425" s="1062">
        <f>'No Recurrentes 24-26'!DC290</f>
        <v>0</v>
      </c>
      <c r="BS425" s="1062">
        <f>'No Recurrentes 24-26'!DD290</f>
        <v>0</v>
      </c>
      <c r="BT425" s="1062">
        <f>'No Recurrentes 24-26'!DE290</f>
        <v>0</v>
      </c>
      <c r="BU425" s="1062">
        <f>'No Recurrentes 24-26'!DF290</f>
        <v>0</v>
      </c>
      <c r="BV425" s="1062">
        <f>'No Recurrentes 24-26'!DG290</f>
        <v>0</v>
      </c>
      <c r="BW425" s="1068"/>
      <c r="BX425" s="1062">
        <f>'No Recurrentes 24-26'!DH290</f>
        <v>3961.7712</v>
      </c>
      <c r="BY425" s="1062">
        <f>'No Recurrentes 24-26'!DI290</f>
        <v>3961.7712</v>
      </c>
      <c r="BZ425" s="1062">
        <f>'No Recurrentes 24-26'!DJ290</f>
        <v>0</v>
      </c>
      <c r="CA425" s="1062">
        <f>'No Recurrentes 24-26'!DK290</f>
        <v>2641.1808</v>
      </c>
      <c r="CB425" s="1062">
        <f>'No Recurrentes 24-26'!DL290</f>
        <v>0</v>
      </c>
      <c r="CC425" s="1062">
        <f>'No Recurrentes 24-26'!DM290</f>
        <v>0</v>
      </c>
      <c r="CD425" s="1062">
        <f>'No Recurrentes 24-26'!DN290</f>
        <v>0</v>
      </c>
      <c r="CE425" s="1062">
        <f>'No Recurrentes 24-26'!DO290</f>
        <v>0</v>
      </c>
      <c r="CF425" s="1062">
        <f>'No Recurrentes 24-26'!DP290</f>
        <v>0</v>
      </c>
      <c r="CG425" s="1062">
        <f>'No Recurrentes 24-26'!DQ290</f>
        <v>0</v>
      </c>
      <c r="CH425" s="1062">
        <f>'No Recurrentes 24-26'!DR290</f>
        <v>0</v>
      </c>
      <c r="CI425" s="1068"/>
      <c r="CJ425" s="1062">
        <f>'No Recurrentes 24-26'!DS290</f>
        <v>6602.952</v>
      </c>
      <c r="CK425" s="1062">
        <f>'No Recurrentes 24-26'!DT290</f>
        <v>14526.4944</v>
      </c>
      <c r="CL425" s="1064" t="str">
        <f>'No Recurrentes 24-26'!DU290</f>
        <v/>
      </c>
      <c r="CM425" s="1064" t="str">
        <f>'No Recurrentes 24-26'!DV290</f>
        <v/>
      </c>
      <c r="CN425" s="1065">
        <f>'No Recurrentes 24-26'!EI286</f>
        <v>86.76</v>
      </c>
      <c r="CO425" s="1065">
        <f>'No Recurrentes 24-26'!EJ286</f>
        <v>73.75</v>
      </c>
      <c r="CP425" s="1060" t="str">
        <f>'No Recurrentes 24-26'!EK286</f>
        <v/>
      </c>
    </row>
    <row r="426">
      <c r="A426" s="451" t="str">
        <f>'No Recurrentes 24-26'!A291</f>
        <v>Repuestos Electromecánicos no recurrentes</v>
      </c>
      <c r="B426" s="451">
        <f>'No Recurrentes 24-26'!B291</f>
        <v>2</v>
      </c>
      <c r="C426" s="451" t="str">
        <f>'No Recurrentes 24-26'!C291</f>
        <v>Estación</v>
      </c>
      <c r="D426" s="451" t="str">
        <f>'No Recurrentes 24-26'!D291</f>
        <v>Manto. Transmisión Tren de Ruedas</v>
      </c>
      <c r="E426" s="451" t="str">
        <f>'No Recurrentes 24-26'!E291</f>
        <v>Repuesto Mecánico</v>
      </c>
      <c r="F426" s="451" t="str">
        <f>'No Recurrentes 24-26'!F291</f>
        <v>TDB</v>
      </c>
      <c r="G426" s="1025" t="str">
        <f>'No Recurrentes 24-26'!G291</f>
        <v>39800</v>
      </c>
      <c r="H426" s="1061" t="str">
        <f>'No Recurrentes 24-26'!H291</f>
        <v>2-01-00840</v>
      </c>
      <c r="I426" s="1061" t="str">
        <f>'No Recurrentes 24-26'!I291</f>
        <v>10873673</v>
      </c>
      <c r="J426" s="1061" t="str">
        <f>'No Recurrentes 24-26'!J291</f>
        <v>ARANDELA ISO 7089 M20 300HV, FLZNNC-720H-L, REV.L.ZINC SIN CH</v>
      </c>
      <c r="K426" s="451" t="str">
        <f>'No Recurrentes 24-26'!K291</f>
        <v>Pza</v>
      </c>
      <c r="L426" s="451">
        <f>'No Recurrentes 24-26'!BC291</f>
        <v>80</v>
      </c>
      <c r="M426" s="451">
        <f>'No Recurrentes 24-26'!BD291</f>
        <v>10</v>
      </c>
      <c r="N426" s="451">
        <f>'No Recurrentes 24-26'!BE291</f>
        <v>50</v>
      </c>
      <c r="O426" s="451">
        <f>'No Recurrentes 24-26'!BF291</f>
        <v>222</v>
      </c>
      <c r="P426" s="451">
        <f>'No Recurrentes 24-26'!BG291</f>
        <v>50</v>
      </c>
      <c r="Q426" s="451">
        <f>'No Recurrentes 24-26'!BH291</f>
        <v>54</v>
      </c>
      <c r="R426" s="451" t="str">
        <f>'No Recurrentes 24-26'!BI291</f>
        <v/>
      </c>
      <c r="S426" s="451" t="str">
        <f>'No Recurrentes 24-26'!BJ291</f>
        <v/>
      </c>
      <c r="T426" s="451" t="str">
        <f>'No Recurrentes 24-26'!BK291</f>
        <v/>
      </c>
      <c r="U426" s="451" t="str">
        <f>'No Recurrentes 24-26'!BL291</f>
        <v/>
      </c>
      <c r="V426" s="1068"/>
      <c r="W426" s="1062">
        <f>'No Recurrentes 24-26'!BM291</f>
        <v>466</v>
      </c>
      <c r="X426" s="1062" t="str">
        <f>'No Recurrentes 24-26'!BN291</f>
        <v/>
      </c>
      <c r="Y426" s="1062" t="str">
        <f>'No Recurrentes 24-26'!BO291</f>
        <v/>
      </c>
      <c r="Z426" s="1062" t="str">
        <f>'No Recurrentes 24-26'!BP291</f>
        <v/>
      </c>
      <c r="AA426" s="1062" t="str">
        <f>'No Recurrentes 24-26'!BQ291</f>
        <v/>
      </c>
      <c r="AB426" s="1062" t="str">
        <f>'No Recurrentes 24-26'!BR291</f>
        <v/>
      </c>
      <c r="AC426" s="1062" t="str">
        <f>'No Recurrentes 24-26'!BS291</f>
        <v/>
      </c>
      <c r="AD426" s="1062" t="str">
        <f>'No Recurrentes 24-26'!BT291</f>
        <v/>
      </c>
      <c r="AE426" s="1062" t="str">
        <f>'No Recurrentes 24-26'!BU291</f>
        <v/>
      </c>
      <c r="AF426" s="1062" t="str">
        <f>'No Recurrentes 24-26'!BV291</f>
        <v/>
      </c>
      <c r="AG426" s="1062" t="str">
        <f>'No Recurrentes 24-26'!BW291</f>
        <v/>
      </c>
      <c r="AH426" s="1068"/>
      <c r="AI426" s="1062">
        <f>'No Recurrentes 24-26'!BX291</f>
        <v>0</v>
      </c>
      <c r="AJ426" s="1062">
        <f>'No Recurrentes 24-26'!BY291</f>
        <v>0</v>
      </c>
      <c r="AK426" s="1062">
        <f>'No Recurrentes 24-26'!BZ291</f>
        <v>0</v>
      </c>
      <c r="AL426" s="1062">
        <f>'No Recurrentes 24-26'!CA291</f>
        <v>0</v>
      </c>
      <c r="AM426" s="1062">
        <f>'No Recurrentes 24-26'!CB291</f>
        <v>222</v>
      </c>
      <c r="AN426" s="1062">
        <f>'No Recurrentes 24-26'!CC291</f>
        <v>50</v>
      </c>
      <c r="AO426" s="1062">
        <f>'No Recurrentes 24-26'!CD291</f>
        <v>54</v>
      </c>
      <c r="AP426" s="1062">
        <f>'No Recurrentes 24-26'!CE291</f>
        <v>0</v>
      </c>
      <c r="AQ426" s="1062">
        <f>'No Recurrentes 24-26'!CF291</f>
        <v>0</v>
      </c>
      <c r="AR426" s="1062">
        <f>'No Recurrentes 24-26'!CG291</f>
        <v>0</v>
      </c>
      <c r="AS426" s="1062">
        <f>'No Recurrentes 24-26'!CH291</f>
        <v>0</v>
      </c>
      <c r="AT426" s="1068"/>
      <c r="AU426" s="1062">
        <f>'No Recurrentes 24-26'!CI291</f>
        <v>326</v>
      </c>
      <c r="AV426" s="1063">
        <f>'No Recurrentes 24-26'!CJ291</f>
        <v>792</v>
      </c>
      <c r="AW426" s="1068"/>
      <c r="AX426" s="1065">
        <f>'No Recurrentes 24-26'!CK291</f>
        <v>0.65</v>
      </c>
      <c r="AY426" s="1062">
        <f>'No Recurrentes 24-26'!CL291</f>
        <v>4.524</v>
      </c>
      <c r="AZ426" s="1068"/>
      <c r="BA426" s="1062">
        <f>'No Recurrentes 24-26'!CM291</f>
        <v>361.92</v>
      </c>
      <c r="BB426" s="1062">
        <f>'No Recurrentes 24-26'!CN291</f>
        <v>45.24</v>
      </c>
      <c r="BC426" s="1062">
        <f>'No Recurrentes 24-26'!CO291</f>
        <v>226.2</v>
      </c>
      <c r="BD426" s="1062">
        <f>'No Recurrentes 24-26'!CP291</f>
        <v>1004.328</v>
      </c>
      <c r="BE426" s="1062">
        <f>'No Recurrentes 24-26'!CQ291</f>
        <v>226.2</v>
      </c>
      <c r="BF426" s="1062">
        <f>'No Recurrentes 24-26'!CR291</f>
        <v>244.296</v>
      </c>
      <c r="BG426" s="1062">
        <f>'No Recurrentes 24-26'!CS291</f>
        <v>0</v>
      </c>
      <c r="BH426" s="1062">
        <f>'No Recurrentes 24-26'!CT291</f>
        <v>0</v>
      </c>
      <c r="BI426" s="1062">
        <f>'No Recurrentes 24-26'!CU291</f>
        <v>0</v>
      </c>
      <c r="BJ426" s="1062">
        <f>'No Recurrentes 24-26'!CV291</f>
        <v>0</v>
      </c>
      <c r="BK426" s="1068"/>
      <c r="BL426" s="1062">
        <f>'No Recurrentes 24-26'!CW291</f>
        <v>2108.184</v>
      </c>
      <c r="BM426" s="1062">
        <f>'No Recurrentes 24-26'!CX291</f>
        <v>0</v>
      </c>
      <c r="BN426" s="1062">
        <f>'No Recurrentes 24-26'!CY291</f>
        <v>0</v>
      </c>
      <c r="BO426" s="1062">
        <f>'No Recurrentes 24-26'!CZ291</f>
        <v>0</v>
      </c>
      <c r="BP426" s="1062">
        <f>'No Recurrentes 24-26'!DA291</f>
        <v>0</v>
      </c>
      <c r="BQ426" s="1062">
        <f>'No Recurrentes 24-26'!DB291</f>
        <v>0</v>
      </c>
      <c r="BR426" s="1062">
        <f>'No Recurrentes 24-26'!DC291</f>
        <v>0</v>
      </c>
      <c r="BS426" s="1062">
        <f>'No Recurrentes 24-26'!DD291</f>
        <v>0</v>
      </c>
      <c r="BT426" s="1062">
        <f>'No Recurrentes 24-26'!DE291</f>
        <v>0</v>
      </c>
      <c r="BU426" s="1062">
        <f>'No Recurrentes 24-26'!DF291</f>
        <v>0</v>
      </c>
      <c r="BV426" s="1062">
        <f>'No Recurrentes 24-26'!DG291</f>
        <v>0</v>
      </c>
      <c r="BW426" s="1068"/>
      <c r="BX426" s="1062">
        <f>'No Recurrentes 24-26'!DH291</f>
        <v>0</v>
      </c>
      <c r="BY426" s="1062">
        <f>'No Recurrentes 24-26'!DI291</f>
        <v>0</v>
      </c>
      <c r="BZ426" s="1062">
        <f>'No Recurrentes 24-26'!DJ291</f>
        <v>0</v>
      </c>
      <c r="CA426" s="1062">
        <f>'No Recurrentes 24-26'!DK291</f>
        <v>0</v>
      </c>
      <c r="CB426" s="1062">
        <f>'No Recurrentes 24-26'!DL291</f>
        <v>1004.328</v>
      </c>
      <c r="CC426" s="1062">
        <f>'No Recurrentes 24-26'!DM291</f>
        <v>226.2</v>
      </c>
      <c r="CD426" s="1062">
        <f>'No Recurrentes 24-26'!DN291</f>
        <v>244.296</v>
      </c>
      <c r="CE426" s="1062">
        <f>'No Recurrentes 24-26'!DO291</f>
        <v>0</v>
      </c>
      <c r="CF426" s="1062">
        <f>'No Recurrentes 24-26'!DP291</f>
        <v>0</v>
      </c>
      <c r="CG426" s="1062">
        <f>'No Recurrentes 24-26'!DQ291</f>
        <v>0</v>
      </c>
      <c r="CH426" s="1062">
        <f>'No Recurrentes 24-26'!DR291</f>
        <v>0</v>
      </c>
      <c r="CI426" s="1068"/>
      <c r="CJ426" s="1062">
        <f>'No Recurrentes 24-26'!DS291</f>
        <v>1474.824</v>
      </c>
      <c r="CK426" s="1062">
        <f>'No Recurrentes 24-26'!DT291</f>
        <v>3583.008</v>
      </c>
      <c r="CL426" s="1064" t="str">
        <f>'No Recurrentes 24-26'!DU291</f>
        <v/>
      </c>
      <c r="CM426" s="1064" t="str">
        <f>'No Recurrentes 24-26'!DV291</f>
        <v/>
      </c>
      <c r="CN426" s="1065">
        <f>'No Recurrentes 24-26'!EI287</f>
        <v>83.87</v>
      </c>
      <c r="CO426" s="1065">
        <f>'No Recurrentes 24-26'!EJ287</f>
        <v>71.29</v>
      </c>
      <c r="CP426" s="1060" t="str">
        <f>'No Recurrentes 24-26'!EK287</f>
        <v/>
      </c>
    </row>
    <row r="427">
      <c r="A427" s="451" t="str">
        <f>'No Recurrentes 24-26'!A292</f>
        <v>Repuestos Electromecánicos no recurrentes</v>
      </c>
      <c r="B427" s="451">
        <f>'No Recurrentes 24-26'!B292</f>
        <v>2</v>
      </c>
      <c r="C427" s="451" t="str">
        <f>'No Recurrentes 24-26'!C292</f>
        <v>Estación</v>
      </c>
      <c r="D427" s="451" t="str">
        <f>'No Recurrentes 24-26'!D292</f>
        <v>Manto. Transmisión Tren de Ruedas</v>
      </c>
      <c r="E427" s="451" t="str">
        <f>'No Recurrentes 24-26'!E292</f>
        <v>Repuesto Mecánico</v>
      </c>
      <c r="F427" s="451" t="str">
        <f>'No Recurrentes 24-26'!F292</f>
        <v>TDB</v>
      </c>
      <c r="G427" s="1025" t="str">
        <f>'No Recurrentes 24-26'!G292</f>
        <v>39800</v>
      </c>
      <c r="H427" s="1061" t="str">
        <f>'No Recurrentes 24-26'!H292</f>
        <v>2-01-00298</v>
      </c>
      <c r="I427" s="1061" t="str">
        <f>'No Recurrentes 24-26'!I292</f>
        <v>10653936</v>
      </c>
      <c r="J427" s="1061" t="str">
        <f>'No Recurrentes 24-26'!J292</f>
        <v>TORN.P.RUEDA 8.8 M12X 20  ESP. HEXAGONAL, DIN 933 + ARANDELA</v>
      </c>
      <c r="K427" s="451" t="str">
        <f>'No Recurrentes 24-26'!K292</f>
        <v>Pza</v>
      </c>
      <c r="L427" s="451" t="str">
        <f>'No Recurrentes 24-26'!BC292</f>
        <v/>
      </c>
      <c r="M427" s="451" t="str">
        <f>'No Recurrentes 24-26'!BD292</f>
        <v/>
      </c>
      <c r="N427" s="451">
        <f>'No Recurrentes 24-26'!BE292</f>
        <v>200</v>
      </c>
      <c r="O427" s="451" t="str">
        <f>'No Recurrentes 24-26'!BF292</f>
        <v/>
      </c>
      <c r="P427" s="451" t="str">
        <f>'No Recurrentes 24-26'!BG292</f>
        <v/>
      </c>
      <c r="Q427" s="451" t="str">
        <f>'No Recurrentes 24-26'!BH292</f>
        <v/>
      </c>
      <c r="R427" s="451" t="str">
        <f>'No Recurrentes 24-26'!BI292</f>
        <v/>
      </c>
      <c r="S427" s="451" t="str">
        <f>'No Recurrentes 24-26'!BJ292</f>
        <v/>
      </c>
      <c r="T427" s="451" t="str">
        <f>'No Recurrentes 24-26'!BK292</f>
        <v/>
      </c>
      <c r="U427" s="451" t="str">
        <f>'No Recurrentes 24-26'!BL292</f>
        <v/>
      </c>
      <c r="V427" s="1068"/>
      <c r="W427" s="1062">
        <f>'No Recurrentes 24-26'!BM292</f>
        <v>200</v>
      </c>
      <c r="X427" s="1062" t="str">
        <f>'No Recurrentes 24-26'!BN292</f>
        <v/>
      </c>
      <c r="Y427" s="1062" t="str">
        <f>'No Recurrentes 24-26'!BO292</f>
        <v/>
      </c>
      <c r="Z427" s="1062">
        <f>'No Recurrentes 24-26'!BP292</f>
        <v>200</v>
      </c>
      <c r="AA427" s="1062">
        <f>'No Recurrentes 24-26'!BQ292</f>
        <v>1776</v>
      </c>
      <c r="AB427" s="1062">
        <f>'No Recurrentes 24-26'!BR292</f>
        <v>200</v>
      </c>
      <c r="AC427" s="1062">
        <f>'No Recurrentes 24-26'!BS292</f>
        <v>200</v>
      </c>
      <c r="AD427" s="1062" t="str">
        <f>'No Recurrentes 24-26'!BT292</f>
        <v/>
      </c>
      <c r="AE427" s="1062" t="str">
        <f>'No Recurrentes 24-26'!BU292</f>
        <v/>
      </c>
      <c r="AF427" s="1062" t="str">
        <f>'No Recurrentes 24-26'!BV292</f>
        <v/>
      </c>
      <c r="AG427" s="1062" t="str">
        <f>'No Recurrentes 24-26'!BW292</f>
        <v/>
      </c>
      <c r="AH427" s="1068"/>
      <c r="AI427" s="1062">
        <f>'No Recurrentes 24-26'!BX292</f>
        <v>2376</v>
      </c>
      <c r="AJ427" s="1062">
        <f>'No Recurrentes 24-26'!BY292</f>
        <v>150</v>
      </c>
      <c r="AK427" s="1062">
        <f>'No Recurrentes 24-26'!BZ292</f>
        <v>50</v>
      </c>
      <c r="AL427" s="1062">
        <f>'No Recurrentes 24-26'!CA292</f>
        <v>200</v>
      </c>
      <c r="AM427" s="1062">
        <f>'No Recurrentes 24-26'!CB292</f>
        <v>0</v>
      </c>
      <c r="AN427" s="1062">
        <f>'No Recurrentes 24-26'!CC292</f>
        <v>200</v>
      </c>
      <c r="AO427" s="1062">
        <f>'No Recurrentes 24-26'!CD292</f>
        <v>200</v>
      </c>
      <c r="AP427" s="1062">
        <f>'No Recurrentes 24-26'!CE292</f>
        <v>0</v>
      </c>
      <c r="AQ427" s="1062">
        <f>'No Recurrentes 24-26'!CF292</f>
        <v>0</v>
      </c>
      <c r="AR427" s="1062">
        <f>'No Recurrentes 24-26'!CG292</f>
        <v>0</v>
      </c>
      <c r="AS427" s="1062">
        <f>'No Recurrentes 24-26'!CH292</f>
        <v>0</v>
      </c>
      <c r="AT427" s="1068"/>
      <c r="AU427" s="1062">
        <f>'No Recurrentes 24-26'!CI292</f>
        <v>800</v>
      </c>
      <c r="AV427" s="1063">
        <f>'No Recurrentes 24-26'!CJ292</f>
        <v>3376</v>
      </c>
      <c r="AW427" s="1068"/>
      <c r="AX427" s="1065">
        <f>'No Recurrentes 24-26'!CK292</f>
        <v>1</v>
      </c>
      <c r="AY427" s="1062">
        <f>'No Recurrentes 24-26'!CL292</f>
        <v>6.96</v>
      </c>
      <c r="AZ427" s="1068"/>
      <c r="BA427" s="1062">
        <f>'No Recurrentes 24-26'!CM292</f>
        <v>0</v>
      </c>
      <c r="BB427" s="1062">
        <f>'No Recurrentes 24-26'!CN292</f>
        <v>0</v>
      </c>
      <c r="BC427" s="1062">
        <f>'No Recurrentes 24-26'!CO292</f>
        <v>1392</v>
      </c>
      <c r="BD427" s="1062">
        <f>'No Recurrentes 24-26'!CP292</f>
        <v>0</v>
      </c>
      <c r="BE427" s="1062">
        <f>'No Recurrentes 24-26'!CQ292</f>
        <v>0</v>
      </c>
      <c r="BF427" s="1062">
        <f>'No Recurrentes 24-26'!CR292</f>
        <v>0</v>
      </c>
      <c r="BG427" s="1062">
        <f>'No Recurrentes 24-26'!CS292</f>
        <v>0</v>
      </c>
      <c r="BH427" s="1062">
        <f>'No Recurrentes 24-26'!CT292</f>
        <v>0</v>
      </c>
      <c r="BI427" s="1062">
        <f>'No Recurrentes 24-26'!CU292</f>
        <v>0</v>
      </c>
      <c r="BJ427" s="1062">
        <f>'No Recurrentes 24-26'!CV292</f>
        <v>0</v>
      </c>
      <c r="BK427" s="1068"/>
      <c r="BL427" s="1062">
        <f>'No Recurrentes 24-26'!CW292</f>
        <v>1392</v>
      </c>
      <c r="BM427" s="1062">
        <f>'No Recurrentes 24-26'!CX292</f>
        <v>0</v>
      </c>
      <c r="BN427" s="1062">
        <f>'No Recurrentes 24-26'!CY292</f>
        <v>0</v>
      </c>
      <c r="BO427" s="1062">
        <f>'No Recurrentes 24-26'!CZ292</f>
        <v>1392</v>
      </c>
      <c r="BP427" s="1062">
        <f>'No Recurrentes 24-26'!DA292</f>
        <v>12360.96</v>
      </c>
      <c r="BQ427" s="1062">
        <f>'No Recurrentes 24-26'!DB292</f>
        <v>1392</v>
      </c>
      <c r="BR427" s="1062">
        <f>'No Recurrentes 24-26'!DC292</f>
        <v>1392</v>
      </c>
      <c r="BS427" s="1062">
        <f>'No Recurrentes 24-26'!DD292</f>
        <v>0</v>
      </c>
      <c r="BT427" s="1062">
        <f>'No Recurrentes 24-26'!DE292</f>
        <v>0</v>
      </c>
      <c r="BU427" s="1062">
        <f>'No Recurrentes 24-26'!DF292</f>
        <v>0</v>
      </c>
      <c r="BV427" s="1062">
        <f>'No Recurrentes 24-26'!DG292</f>
        <v>0</v>
      </c>
      <c r="BW427" s="1068"/>
      <c r="BX427" s="1062">
        <f>'No Recurrentes 24-26'!DH292</f>
        <v>16536.96</v>
      </c>
      <c r="BY427" s="1062">
        <f>'No Recurrentes 24-26'!DI292</f>
        <v>1044</v>
      </c>
      <c r="BZ427" s="1062">
        <f>'No Recurrentes 24-26'!DJ292</f>
        <v>348</v>
      </c>
      <c r="CA427" s="1062">
        <f>'No Recurrentes 24-26'!DK292</f>
        <v>1392</v>
      </c>
      <c r="CB427" s="1062">
        <f>'No Recurrentes 24-26'!DL292</f>
        <v>0</v>
      </c>
      <c r="CC427" s="1062">
        <f>'No Recurrentes 24-26'!DM292</f>
        <v>1392</v>
      </c>
      <c r="CD427" s="1062">
        <f>'No Recurrentes 24-26'!DN292</f>
        <v>1392</v>
      </c>
      <c r="CE427" s="1062">
        <f>'No Recurrentes 24-26'!DO292</f>
        <v>0</v>
      </c>
      <c r="CF427" s="1062">
        <f>'No Recurrentes 24-26'!DP292</f>
        <v>0</v>
      </c>
      <c r="CG427" s="1062">
        <f>'No Recurrentes 24-26'!DQ292</f>
        <v>0</v>
      </c>
      <c r="CH427" s="1062">
        <f>'No Recurrentes 24-26'!DR292</f>
        <v>0</v>
      </c>
      <c r="CI427" s="1068"/>
      <c r="CJ427" s="1062">
        <f>'No Recurrentes 24-26'!DS292</f>
        <v>5568</v>
      </c>
      <c r="CK427" s="1062">
        <f>'No Recurrentes 24-26'!DT292</f>
        <v>23496.96</v>
      </c>
      <c r="CL427" s="1064" t="str">
        <f>'No Recurrentes 24-26'!DU292</f>
        <v/>
      </c>
      <c r="CM427" s="1064" t="str">
        <f>'No Recurrentes 24-26'!DV292</f>
        <v/>
      </c>
      <c r="CN427" s="1065">
        <f>'No Recurrentes 24-26'!EI288</f>
        <v>64.26</v>
      </c>
      <c r="CO427" s="1065">
        <f>'No Recurrentes 24-26'!EJ288</f>
        <v>54.62</v>
      </c>
      <c r="CP427" s="1060" t="str">
        <f>'No Recurrentes 24-26'!EK288</f>
        <v/>
      </c>
    </row>
    <row r="428">
      <c r="A428" s="451" t="str">
        <f>'No Recurrentes 24-26'!A293</f>
        <v>Repuestos Electromecánicos no recurrentes</v>
      </c>
      <c r="B428" s="451">
        <f>'No Recurrentes 24-26'!B293</f>
        <v>2</v>
      </c>
      <c r="C428" s="451" t="str">
        <f>'No Recurrentes 24-26'!C293</f>
        <v>Estación</v>
      </c>
      <c r="D428" s="451" t="str">
        <f>'No Recurrentes 24-26'!D293</f>
        <v>Manto. Transmisión Tren de Ruedas</v>
      </c>
      <c r="E428" s="451" t="str">
        <f>'No Recurrentes 24-26'!E293</f>
        <v>Repuesto Mecánico</v>
      </c>
      <c r="F428" s="451" t="str">
        <f>'No Recurrentes 24-26'!F293</f>
        <v>TDB</v>
      </c>
      <c r="G428" s="1025" t="str">
        <f>'No Recurrentes 24-26'!G293</f>
        <v>39800</v>
      </c>
      <c r="H428" s="1061" t="str">
        <f>'No Recurrentes 24-26'!H293</f>
        <v>2-01-00179</v>
      </c>
      <c r="I428" s="1061" t="str">
        <f>'No Recurrentes 24-26'!I293</f>
        <v>10000398</v>
      </c>
      <c r="J428" s="1061" t="str">
        <f>'No Recurrentes 24-26'!J293</f>
        <v>CIRCLIP INTER. DIN 472  72X2,5, FOSFAT., SEEGER</v>
      </c>
      <c r="K428" s="451" t="str">
        <f>'No Recurrentes 24-26'!K293</f>
        <v>Pza</v>
      </c>
      <c r="L428" s="451">
        <f>'No Recurrentes 24-26'!BC293</f>
        <v>2</v>
      </c>
      <c r="M428" s="451">
        <f>'No Recurrentes 24-26'!BD293</f>
        <v>1</v>
      </c>
      <c r="N428" s="451">
        <f>'No Recurrentes 24-26'!BE293</f>
        <v>2</v>
      </c>
      <c r="O428" s="451">
        <f>'No Recurrentes 24-26'!BF293</f>
        <v>20</v>
      </c>
      <c r="P428" s="451">
        <f>'No Recurrentes 24-26'!BG293</f>
        <v>50</v>
      </c>
      <c r="Q428" s="451">
        <f>'No Recurrentes 24-26'!BH293</f>
        <v>50</v>
      </c>
      <c r="R428" s="451" t="str">
        <f>'No Recurrentes 24-26'!BI293</f>
        <v/>
      </c>
      <c r="S428" s="451" t="str">
        <f>'No Recurrentes 24-26'!BJ293</f>
        <v/>
      </c>
      <c r="T428" s="451" t="str">
        <f>'No Recurrentes 24-26'!BK293</f>
        <v/>
      </c>
      <c r="U428" s="451" t="str">
        <f>'No Recurrentes 24-26'!BL293</f>
        <v/>
      </c>
      <c r="V428" s="1068"/>
      <c r="W428" s="1062">
        <f>'No Recurrentes 24-26'!BM293</f>
        <v>125</v>
      </c>
      <c r="X428" s="1062" t="str">
        <f>'No Recurrentes 24-26'!BN293</f>
        <v/>
      </c>
      <c r="Y428" s="1062" t="str">
        <f>'No Recurrentes 24-26'!BO293</f>
        <v/>
      </c>
      <c r="Z428" s="1062" t="str">
        <f>'No Recurrentes 24-26'!BP293</f>
        <v/>
      </c>
      <c r="AA428" s="1062" t="str">
        <f>'No Recurrentes 24-26'!BQ293</f>
        <v/>
      </c>
      <c r="AB428" s="1062" t="str">
        <f>'No Recurrentes 24-26'!BR293</f>
        <v/>
      </c>
      <c r="AC428" s="1062" t="str">
        <f>'No Recurrentes 24-26'!BS293</f>
        <v/>
      </c>
      <c r="AD428" s="1062" t="str">
        <f>'No Recurrentes 24-26'!BT293</f>
        <v/>
      </c>
      <c r="AE428" s="1062" t="str">
        <f>'No Recurrentes 24-26'!BU293</f>
        <v/>
      </c>
      <c r="AF428" s="1062" t="str">
        <f>'No Recurrentes 24-26'!BV293</f>
        <v/>
      </c>
      <c r="AG428" s="1062" t="str">
        <f>'No Recurrentes 24-26'!BW293</f>
        <v/>
      </c>
      <c r="AH428" s="1068"/>
      <c r="AI428" s="1062">
        <f>'No Recurrentes 24-26'!BX293</f>
        <v>0</v>
      </c>
      <c r="AJ428" s="1062">
        <f>'No Recurrentes 24-26'!BY293</f>
        <v>0</v>
      </c>
      <c r="AK428" s="1062">
        <f>'No Recurrentes 24-26'!BZ293</f>
        <v>0</v>
      </c>
      <c r="AL428" s="1062">
        <f>'No Recurrentes 24-26'!CA293</f>
        <v>0</v>
      </c>
      <c r="AM428" s="1062">
        <f>'No Recurrentes 24-26'!CB293</f>
        <v>0</v>
      </c>
      <c r="AN428" s="1062">
        <f>'No Recurrentes 24-26'!CC293</f>
        <v>0</v>
      </c>
      <c r="AO428" s="1062">
        <f>'No Recurrentes 24-26'!CD293</f>
        <v>0</v>
      </c>
      <c r="AP428" s="1062">
        <f>'No Recurrentes 24-26'!CE293</f>
        <v>0</v>
      </c>
      <c r="AQ428" s="1062">
        <f>'No Recurrentes 24-26'!CF293</f>
        <v>0</v>
      </c>
      <c r="AR428" s="1062">
        <f>'No Recurrentes 24-26'!CG293</f>
        <v>0</v>
      </c>
      <c r="AS428" s="1062">
        <f>'No Recurrentes 24-26'!CH293</f>
        <v>0</v>
      </c>
      <c r="AT428" s="1068"/>
      <c r="AU428" s="1062">
        <f>'No Recurrentes 24-26'!CI293</f>
        <v>0</v>
      </c>
      <c r="AV428" s="1063">
        <f>'No Recurrentes 24-26'!CJ293</f>
        <v>125</v>
      </c>
      <c r="AW428" s="1068"/>
      <c r="AX428" s="1065">
        <f>'No Recurrentes 24-26'!CK293</f>
        <v>1.5</v>
      </c>
      <c r="AY428" s="1062">
        <f>'No Recurrentes 24-26'!CL293</f>
        <v>10.44</v>
      </c>
      <c r="AZ428" s="1068"/>
      <c r="BA428" s="1062">
        <f>'No Recurrentes 24-26'!CM293</f>
        <v>20.88</v>
      </c>
      <c r="BB428" s="1062">
        <f>'No Recurrentes 24-26'!CN293</f>
        <v>10.44</v>
      </c>
      <c r="BC428" s="1062">
        <f>'No Recurrentes 24-26'!CO293</f>
        <v>20.88</v>
      </c>
      <c r="BD428" s="1062">
        <f>'No Recurrentes 24-26'!CP293</f>
        <v>208.8</v>
      </c>
      <c r="BE428" s="1062">
        <f>'No Recurrentes 24-26'!CQ293</f>
        <v>522</v>
      </c>
      <c r="BF428" s="1062">
        <f>'No Recurrentes 24-26'!CR293</f>
        <v>522</v>
      </c>
      <c r="BG428" s="1062">
        <f>'No Recurrentes 24-26'!CS293</f>
        <v>0</v>
      </c>
      <c r="BH428" s="1062">
        <f>'No Recurrentes 24-26'!CT293</f>
        <v>0</v>
      </c>
      <c r="BI428" s="1062">
        <f>'No Recurrentes 24-26'!CU293</f>
        <v>0</v>
      </c>
      <c r="BJ428" s="1062">
        <f>'No Recurrentes 24-26'!CV293</f>
        <v>0</v>
      </c>
      <c r="BK428" s="1068"/>
      <c r="BL428" s="1062">
        <f>'No Recurrentes 24-26'!CW293</f>
        <v>1305</v>
      </c>
      <c r="BM428" s="1062">
        <f>'No Recurrentes 24-26'!CX293</f>
        <v>0</v>
      </c>
      <c r="BN428" s="1062">
        <f>'No Recurrentes 24-26'!CY293</f>
        <v>0</v>
      </c>
      <c r="BO428" s="1062">
        <f>'No Recurrentes 24-26'!CZ293</f>
        <v>0</v>
      </c>
      <c r="BP428" s="1062">
        <f>'No Recurrentes 24-26'!DA293</f>
        <v>0</v>
      </c>
      <c r="BQ428" s="1062">
        <f>'No Recurrentes 24-26'!DB293</f>
        <v>0</v>
      </c>
      <c r="BR428" s="1062">
        <f>'No Recurrentes 24-26'!DC293</f>
        <v>0</v>
      </c>
      <c r="BS428" s="1062">
        <f>'No Recurrentes 24-26'!DD293</f>
        <v>0</v>
      </c>
      <c r="BT428" s="1062">
        <f>'No Recurrentes 24-26'!DE293</f>
        <v>0</v>
      </c>
      <c r="BU428" s="1062">
        <f>'No Recurrentes 24-26'!DF293</f>
        <v>0</v>
      </c>
      <c r="BV428" s="1062">
        <f>'No Recurrentes 24-26'!DG293</f>
        <v>0</v>
      </c>
      <c r="BW428" s="1068"/>
      <c r="BX428" s="1062">
        <f>'No Recurrentes 24-26'!DH293</f>
        <v>0</v>
      </c>
      <c r="BY428" s="1062">
        <f>'No Recurrentes 24-26'!DI293</f>
        <v>0</v>
      </c>
      <c r="BZ428" s="1062">
        <f>'No Recurrentes 24-26'!DJ293</f>
        <v>0</v>
      </c>
      <c r="CA428" s="1062">
        <f>'No Recurrentes 24-26'!DK293</f>
        <v>0</v>
      </c>
      <c r="CB428" s="1062">
        <f>'No Recurrentes 24-26'!DL293</f>
        <v>0</v>
      </c>
      <c r="CC428" s="1062">
        <f>'No Recurrentes 24-26'!DM293</f>
        <v>0</v>
      </c>
      <c r="CD428" s="1062">
        <f>'No Recurrentes 24-26'!DN293</f>
        <v>0</v>
      </c>
      <c r="CE428" s="1062">
        <f>'No Recurrentes 24-26'!DO293</f>
        <v>0</v>
      </c>
      <c r="CF428" s="1062">
        <f>'No Recurrentes 24-26'!DP293</f>
        <v>0</v>
      </c>
      <c r="CG428" s="1062">
        <f>'No Recurrentes 24-26'!DQ293</f>
        <v>0</v>
      </c>
      <c r="CH428" s="1062">
        <f>'No Recurrentes 24-26'!DR293</f>
        <v>0</v>
      </c>
      <c r="CI428" s="1068"/>
      <c r="CJ428" s="1062">
        <f>'No Recurrentes 24-26'!DS293</f>
        <v>0</v>
      </c>
      <c r="CK428" s="1062">
        <f>'No Recurrentes 24-26'!DT293</f>
        <v>1305</v>
      </c>
      <c r="CL428" s="1064" t="str">
        <f>'No Recurrentes 24-26'!DU293</f>
        <v/>
      </c>
      <c r="CM428" s="1064" t="str">
        <f>'No Recurrentes 24-26'!DV293</f>
        <v/>
      </c>
      <c r="CN428" s="1065">
        <f>'No Recurrentes 24-26'!EI289</f>
        <v>94.95</v>
      </c>
      <c r="CO428" s="1065">
        <f>'No Recurrentes 24-26'!EJ289</f>
        <v>80.71</v>
      </c>
      <c r="CP428" s="1060" t="str">
        <f>'No Recurrentes 24-26'!EK289</f>
        <v/>
      </c>
    </row>
    <row r="429">
      <c r="A429" s="451" t="str">
        <f>'No Recurrentes 24-26'!A294</f>
        <v>Repuestos Electromecánicos no recurrentes</v>
      </c>
      <c r="B429" s="451">
        <f>'No Recurrentes 24-26'!B294</f>
        <v>2</v>
      </c>
      <c r="C429" s="451" t="str">
        <f>'No Recurrentes 24-26'!C294</f>
        <v>Estación</v>
      </c>
      <c r="D429" s="451" t="str">
        <f>'No Recurrentes 24-26'!D294</f>
        <v>Manto. Transmisión Tren de Ruedas</v>
      </c>
      <c r="E429" s="451" t="str">
        <f>'No Recurrentes 24-26'!E294</f>
        <v>Repuesto Mecánico</v>
      </c>
      <c r="F429" s="451" t="str">
        <f>'No Recurrentes 24-26'!F294</f>
        <v>TDB</v>
      </c>
      <c r="G429" s="1025" t="str">
        <f>'No Recurrentes 24-26'!G294</f>
        <v>39800</v>
      </c>
      <c r="H429" s="1061" t="str">
        <f>'No Recurrentes 24-26'!H294</f>
        <v>2-01-00100</v>
      </c>
      <c r="I429" s="1061" t="str">
        <f>'No Recurrentes 24-26'!I294</f>
        <v>10871603</v>
      </c>
      <c r="J429" s="1061" t="str">
        <f>'No Recurrentes 24-26'!J294</f>
        <v>ARANDELA ISO 7089 M12 300AR FLZNNC-720H-L LAM.CINC SIN BISEL</v>
      </c>
      <c r="K429" s="451" t="str">
        <f>'No Recurrentes 24-26'!K294</f>
        <v>Pza</v>
      </c>
      <c r="L429" s="451">
        <f>'No Recurrentes 24-26'!BC294</f>
        <v>4</v>
      </c>
      <c r="M429" s="451" t="str">
        <f>'No Recurrentes 24-26'!BD294</f>
        <v/>
      </c>
      <c r="N429" s="451">
        <f>'No Recurrentes 24-26'!BE294</f>
        <v>4</v>
      </c>
      <c r="O429" s="451">
        <f>'No Recurrentes 24-26'!BF294</f>
        <v>50</v>
      </c>
      <c r="P429" s="451">
        <f>'No Recurrentes 24-26'!BG294</f>
        <v>50</v>
      </c>
      <c r="Q429" s="451">
        <f>'No Recurrentes 24-26'!BH294</f>
        <v>50</v>
      </c>
      <c r="R429" s="451" t="str">
        <f>'No Recurrentes 24-26'!BI294</f>
        <v/>
      </c>
      <c r="S429" s="451" t="str">
        <f>'No Recurrentes 24-26'!BJ294</f>
        <v/>
      </c>
      <c r="T429" s="451" t="str">
        <f>'No Recurrentes 24-26'!BK294</f>
        <v/>
      </c>
      <c r="U429" s="451" t="str">
        <f>'No Recurrentes 24-26'!BL294</f>
        <v/>
      </c>
      <c r="V429" s="1068"/>
      <c r="W429" s="1062">
        <f>'No Recurrentes 24-26'!BM294</f>
        <v>158</v>
      </c>
      <c r="X429" s="1062" t="str">
        <f>'No Recurrentes 24-26'!BN294</f>
        <v/>
      </c>
      <c r="Y429" s="1062" t="str">
        <f>'No Recurrentes 24-26'!BO294</f>
        <v/>
      </c>
      <c r="Z429" s="1062" t="str">
        <f>'No Recurrentes 24-26'!BP294</f>
        <v/>
      </c>
      <c r="AA429" s="1062" t="str">
        <f>'No Recurrentes 24-26'!BQ294</f>
        <v/>
      </c>
      <c r="AB429" s="1062" t="str">
        <f>'No Recurrentes 24-26'!BR294</f>
        <v/>
      </c>
      <c r="AC429" s="1062" t="str">
        <f>'No Recurrentes 24-26'!BS294</f>
        <v/>
      </c>
      <c r="AD429" s="1062" t="str">
        <f>'No Recurrentes 24-26'!BT294</f>
        <v/>
      </c>
      <c r="AE429" s="1062" t="str">
        <f>'No Recurrentes 24-26'!BU294</f>
        <v/>
      </c>
      <c r="AF429" s="1062" t="str">
        <f>'No Recurrentes 24-26'!BV294</f>
        <v/>
      </c>
      <c r="AG429" s="1062" t="str">
        <f>'No Recurrentes 24-26'!BW294</f>
        <v/>
      </c>
      <c r="AH429" s="1068"/>
      <c r="AI429" s="1062">
        <f>'No Recurrentes 24-26'!BX294</f>
        <v>0</v>
      </c>
      <c r="AJ429" s="1062">
        <f>'No Recurrentes 24-26'!BY294</f>
        <v>0</v>
      </c>
      <c r="AK429" s="1062">
        <f>'No Recurrentes 24-26'!BZ294</f>
        <v>0</v>
      </c>
      <c r="AL429" s="1062">
        <f>'No Recurrentes 24-26'!CA294</f>
        <v>0</v>
      </c>
      <c r="AM429" s="1062">
        <f>'No Recurrentes 24-26'!CB294</f>
        <v>0</v>
      </c>
      <c r="AN429" s="1062">
        <f>'No Recurrentes 24-26'!CC294</f>
        <v>0</v>
      </c>
      <c r="AO429" s="1062">
        <f>'No Recurrentes 24-26'!CD294</f>
        <v>0</v>
      </c>
      <c r="AP429" s="1062">
        <f>'No Recurrentes 24-26'!CE294</f>
        <v>0</v>
      </c>
      <c r="AQ429" s="1062">
        <f>'No Recurrentes 24-26'!CF294</f>
        <v>0</v>
      </c>
      <c r="AR429" s="1062">
        <f>'No Recurrentes 24-26'!CG294</f>
        <v>0</v>
      </c>
      <c r="AS429" s="1062">
        <f>'No Recurrentes 24-26'!CH294</f>
        <v>0</v>
      </c>
      <c r="AT429" s="1068"/>
      <c r="AU429" s="1062">
        <f>'No Recurrentes 24-26'!CI294</f>
        <v>0</v>
      </c>
      <c r="AV429" s="1063">
        <f>'No Recurrentes 24-26'!CJ294</f>
        <v>158</v>
      </c>
      <c r="AW429" s="1068"/>
      <c r="AX429" s="1065">
        <f>'No Recurrentes 24-26'!CK294</f>
        <v>0.23</v>
      </c>
      <c r="AY429" s="1062">
        <f>'No Recurrentes 24-26'!CL294</f>
        <v>1.6008</v>
      </c>
      <c r="AZ429" s="1068"/>
      <c r="BA429" s="1062">
        <f>'No Recurrentes 24-26'!CM294</f>
        <v>6.4032</v>
      </c>
      <c r="BB429" s="1062">
        <f>'No Recurrentes 24-26'!CN294</f>
        <v>0</v>
      </c>
      <c r="BC429" s="1062">
        <f>'No Recurrentes 24-26'!CO294</f>
        <v>6.4032</v>
      </c>
      <c r="BD429" s="1062">
        <f>'No Recurrentes 24-26'!CP294</f>
        <v>80.04</v>
      </c>
      <c r="BE429" s="1062">
        <f>'No Recurrentes 24-26'!CQ294</f>
        <v>80.04</v>
      </c>
      <c r="BF429" s="1062">
        <f>'No Recurrentes 24-26'!CR294</f>
        <v>80.04</v>
      </c>
      <c r="BG429" s="1062">
        <f>'No Recurrentes 24-26'!CS294</f>
        <v>0</v>
      </c>
      <c r="BH429" s="1062">
        <f>'No Recurrentes 24-26'!CT294</f>
        <v>0</v>
      </c>
      <c r="BI429" s="1062">
        <f>'No Recurrentes 24-26'!CU294</f>
        <v>0</v>
      </c>
      <c r="BJ429" s="1062">
        <f>'No Recurrentes 24-26'!CV294</f>
        <v>0</v>
      </c>
      <c r="BK429" s="1068"/>
      <c r="BL429" s="1062">
        <f>'No Recurrentes 24-26'!CW294</f>
        <v>252.9264</v>
      </c>
      <c r="BM429" s="1062">
        <f>'No Recurrentes 24-26'!CX294</f>
        <v>0</v>
      </c>
      <c r="BN429" s="1062">
        <f>'No Recurrentes 24-26'!CY294</f>
        <v>0</v>
      </c>
      <c r="BO429" s="1062">
        <f>'No Recurrentes 24-26'!CZ294</f>
        <v>0</v>
      </c>
      <c r="BP429" s="1062">
        <f>'No Recurrentes 24-26'!DA294</f>
        <v>0</v>
      </c>
      <c r="BQ429" s="1062">
        <f>'No Recurrentes 24-26'!DB294</f>
        <v>0</v>
      </c>
      <c r="BR429" s="1062">
        <f>'No Recurrentes 24-26'!DC294</f>
        <v>0</v>
      </c>
      <c r="BS429" s="1062">
        <f>'No Recurrentes 24-26'!DD294</f>
        <v>0</v>
      </c>
      <c r="BT429" s="1062">
        <f>'No Recurrentes 24-26'!DE294</f>
        <v>0</v>
      </c>
      <c r="BU429" s="1062">
        <f>'No Recurrentes 24-26'!DF294</f>
        <v>0</v>
      </c>
      <c r="BV429" s="1062">
        <f>'No Recurrentes 24-26'!DG294</f>
        <v>0</v>
      </c>
      <c r="BW429" s="1068"/>
      <c r="BX429" s="1062">
        <f>'No Recurrentes 24-26'!DH294</f>
        <v>0</v>
      </c>
      <c r="BY429" s="1062">
        <f>'No Recurrentes 24-26'!DI294</f>
        <v>0</v>
      </c>
      <c r="BZ429" s="1062">
        <f>'No Recurrentes 24-26'!DJ294</f>
        <v>0</v>
      </c>
      <c r="CA429" s="1062">
        <f>'No Recurrentes 24-26'!DK294</f>
        <v>0</v>
      </c>
      <c r="CB429" s="1062">
        <f>'No Recurrentes 24-26'!DL294</f>
        <v>0</v>
      </c>
      <c r="CC429" s="1062">
        <f>'No Recurrentes 24-26'!DM294</f>
        <v>0</v>
      </c>
      <c r="CD429" s="1062">
        <f>'No Recurrentes 24-26'!DN294</f>
        <v>0</v>
      </c>
      <c r="CE429" s="1062">
        <f>'No Recurrentes 24-26'!DO294</f>
        <v>0</v>
      </c>
      <c r="CF429" s="1062">
        <f>'No Recurrentes 24-26'!DP294</f>
        <v>0</v>
      </c>
      <c r="CG429" s="1062">
        <f>'No Recurrentes 24-26'!DQ294</f>
        <v>0</v>
      </c>
      <c r="CH429" s="1062">
        <f>'No Recurrentes 24-26'!DR294</f>
        <v>0</v>
      </c>
      <c r="CI429" s="1068"/>
      <c r="CJ429" s="1062">
        <f>'No Recurrentes 24-26'!DS294</f>
        <v>0</v>
      </c>
      <c r="CK429" s="1062">
        <f>'No Recurrentes 24-26'!DT294</f>
        <v>252.9264</v>
      </c>
      <c r="CL429" s="1064" t="str">
        <f>'No Recurrentes 24-26'!DU294</f>
        <v/>
      </c>
      <c r="CM429" s="1064" t="str">
        <f>'No Recurrentes 24-26'!DV294</f>
        <v/>
      </c>
      <c r="CN429" s="1065">
        <f>'No Recurrentes 24-26'!EI290</f>
        <v>94.87</v>
      </c>
      <c r="CO429" s="1065">
        <f>'No Recurrentes 24-26'!EJ290</f>
        <v>80.64</v>
      </c>
      <c r="CP429" s="1060" t="str">
        <f>'No Recurrentes 24-26'!EK290</f>
        <v/>
      </c>
    </row>
    <row r="430">
      <c r="A430" s="451" t="str">
        <f>'No Recurrentes 24-26'!A295</f>
        <v>Repuestos Electromecánicos no recurrentes</v>
      </c>
      <c r="B430" s="451">
        <f>'No Recurrentes 24-26'!B295</f>
        <v>2</v>
      </c>
      <c r="C430" s="451" t="str">
        <f>'No Recurrentes 24-26'!C295</f>
        <v>Estación</v>
      </c>
      <c r="D430" s="451" t="str">
        <f>'No Recurrentes 24-26'!D295</f>
        <v>Manto. Transmisión Tren de Ruedas</v>
      </c>
      <c r="E430" s="451" t="str">
        <f>'No Recurrentes 24-26'!E295</f>
        <v>Repuesto Mecánico</v>
      </c>
      <c r="F430" s="451" t="str">
        <f>'No Recurrentes 24-26'!F295</f>
        <v>TDB</v>
      </c>
      <c r="G430" s="1025" t="str">
        <f>'No Recurrentes 24-26'!G295</f>
        <v>39800</v>
      </c>
      <c r="H430" s="1061" t="str">
        <f>'No Recurrentes 24-26'!H295</f>
        <v>2-01-00399</v>
      </c>
      <c r="I430" s="1061" t="str">
        <f>'No Recurrentes 24-26'!I295</f>
        <v>10000083</v>
      </c>
      <c r="J430" s="1061" t="str">
        <f>'No Recurrentes 24-26'!J295</f>
        <v>TUERCA HEXAG. DIN 985-8 M20 ELECTROGALV. (C. ELEM.DE FIJAC.)</v>
      </c>
      <c r="K430" s="451" t="str">
        <f>'No Recurrentes 24-26'!K295</f>
        <v>Pza</v>
      </c>
      <c r="L430" s="451">
        <f>'No Recurrentes 24-26'!BC295</f>
        <v>0</v>
      </c>
      <c r="M430" s="451" t="str">
        <f>'No Recurrentes 24-26'!BD295</f>
        <v/>
      </c>
      <c r="N430" s="451" t="str">
        <f>'No Recurrentes 24-26'!BE295</f>
        <v/>
      </c>
      <c r="O430" s="451" t="str">
        <f>'No Recurrentes 24-26'!BF295</f>
        <v/>
      </c>
      <c r="P430" s="451" t="str">
        <f>'No Recurrentes 24-26'!BG295</f>
        <v/>
      </c>
      <c r="Q430" s="451" t="str">
        <f>'No Recurrentes 24-26'!BH295</f>
        <v/>
      </c>
      <c r="R430" s="451" t="str">
        <f>'No Recurrentes 24-26'!BI295</f>
        <v/>
      </c>
      <c r="S430" s="451" t="str">
        <f>'No Recurrentes 24-26'!BJ295</f>
        <v/>
      </c>
      <c r="T430" s="451" t="str">
        <f>'No Recurrentes 24-26'!BK295</f>
        <v/>
      </c>
      <c r="U430" s="451" t="str">
        <f>'No Recurrentes 24-26'!BL295</f>
        <v/>
      </c>
      <c r="V430" s="1068"/>
      <c r="W430" s="1062">
        <f>'No Recurrentes 24-26'!BM295</f>
        <v>0</v>
      </c>
      <c r="X430" s="1062">
        <f>'No Recurrentes 24-26'!BN295</f>
        <v>80</v>
      </c>
      <c r="Y430" s="1062">
        <f>'No Recurrentes 24-26'!BO295</f>
        <v>20</v>
      </c>
      <c r="Z430" s="1062">
        <f>'No Recurrentes 24-26'!BP295</f>
        <v>50</v>
      </c>
      <c r="AA430" s="1062">
        <f>'No Recurrentes 24-26'!BQ295</f>
        <v>222</v>
      </c>
      <c r="AB430" s="1062">
        <f>'No Recurrentes 24-26'!BR295</f>
        <v>50</v>
      </c>
      <c r="AC430" s="1062">
        <f>'No Recurrentes 24-26'!BS295</f>
        <v>50</v>
      </c>
      <c r="AD430" s="1062" t="str">
        <f>'No Recurrentes 24-26'!BT295</f>
        <v/>
      </c>
      <c r="AE430" s="1062" t="str">
        <f>'No Recurrentes 24-26'!BU295</f>
        <v/>
      </c>
      <c r="AF430" s="1062" t="str">
        <f>'No Recurrentes 24-26'!BV295</f>
        <v/>
      </c>
      <c r="AG430" s="1062" t="str">
        <f>'No Recurrentes 24-26'!BW295</f>
        <v/>
      </c>
      <c r="AH430" s="1068"/>
      <c r="AI430" s="1062">
        <f>'No Recurrentes 24-26'!BX295</f>
        <v>472</v>
      </c>
      <c r="AJ430" s="1062">
        <f>'No Recurrentes 24-26'!BY295</f>
        <v>0</v>
      </c>
      <c r="AK430" s="1062" t="str">
        <f>'No Recurrentes 24-26'!BZ295</f>
        <v/>
      </c>
      <c r="AL430" s="1062">
        <f>'No Recurrentes 24-26'!CA295</f>
        <v>0</v>
      </c>
      <c r="AM430" s="1062">
        <f>'No Recurrentes 24-26'!CB295</f>
        <v>222</v>
      </c>
      <c r="AN430" s="1062">
        <f>'No Recurrentes 24-26'!CC295</f>
        <v>50</v>
      </c>
      <c r="AO430" s="1062">
        <f>'No Recurrentes 24-26'!CD295</f>
        <v>50</v>
      </c>
      <c r="AP430" s="1062">
        <f>'No Recurrentes 24-26'!CE295</f>
        <v>0</v>
      </c>
      <c r="AQ430" s="1062">
        <f>'No Recurrentes 24-26'!CF295</f>
        <v>0</v>
      </c>
      <c r="AR430" s="1062">
        <f>'No Recurrentes 24-26'!CG295</f>
        <v>0</v>
      </c>
      <c r="AS430" s="1062">
        <f>'No Recurrentes 24-26'!CH295</f>
        <v>20</v>
      </c>
      <c r="AT430" s="1068"/>
      <c r="AU430" s="1062">
        <f>'No Recurrentes 24-26'!CI295</f>
        <v>342</v>
      </c>
      <c r="AV430" s="1063">
        <f>'No Recurrentes 24-26'!CJ295</f>
        <v>814</v>
      </c>
      <c r="AW430" s="1068"/>
      <c r="AX430" s="1065">
        <f>'No Recurrentes 24-26'!CK295</f>
        <v>1.89</v>
      </c>
      <c r="AY430" s="1062">
        <f>'No Recurrentes 24-26'!CL295</f>
        <v>13.1544</v>
      </c>
      <c r="AZ430" s="1068"/>
      <c r="BA430" s="1062">
        <f>'No Recurrentes 24-26'!CM295</f>
        <v>0</v>
      </c>
      <c r="BB430" s="1062">
        <f>'No Recurrentes 24-26'!CN295</f>
        <v>0</v>
      </c>
      <c r="BC430" s="1062">
        <f>'No Recurrentes 24-26'!CO295</f>
        <v>0</v>
      </c>
      <c r="BD430" s="1062">
        <f>'No Recurrentes 24-26'!CP295</f>
        <v>0</v>
      </c>
      <c r="BE430" s="1062">
        <f>'No Recurrentes 24-26'!CQ295</f>
        <v>0</v>
      </c>
      <c r="BF430" s="1062">
        <f>'No Recurrentes 24-26'!CR295</f>
        <v>0</v>
      </c>
      <c r="BG430" s="1062">
        <f>'No Recurrentes 24-26'!CS295</f>
        <v>0</v>
      </c>
      <c r="BH430" s="1062">
        <f>'No Recurrentes 24-26'!CT295</f>
        <v>0</v>
      </c>
      <c r="BI430" s="1062">
        <f>'No Recurrentes 24-26'!CU295</f>
        <v>0</v>
      </c>
      <c r="BJ430" s="1062">
        <f>'No Recurrentes 24-26'!CV295</f>
        <v>0</v>
      </c>
      <c r="BK430" s="1068"/>
      <c r="BL430" s="1062">
        <f>'No Recurrentes 24-26'!CW295</f>
        <v>0</v>
      </c>
      <c r="BM430" s="1062">
        <f>'No Recurrentes 24-26'!CX295</f>
        <v>1052.352</v>
      </c>
      <c r="BN430" s="1062">
        <f>'No Recurrentes 24-26'!CY295</f>
        <v>263.088</v>
      </c>
      <c r="BO430" s="1062">
        <f>'No Recurrentes 24-26'!CZ295</f>
        <v>657.72</v>
      </c>
      <c r="BP430" s="1062">
        <f>'No Recurrentes 24-26'!DA295</f>
        <v>2920.2768</v>
      </c>
      <c r="BQ430" s="1062">
        <f>'No Recurrentes 24-26'!DB295</f>
        <v>657.72</v>
      </c>
      <c r="BR430" s="1062">
        <f>'No Recurrentes 24-26'!DC295</f>
        <v>657.72</v>
      </c>
      <c r="BS430" s="1062">
        <f>'No Recurrentes 24-26'!DD295</f>
        <v>0</v>
      </c>
      <c r="BT430" s="1062">
        <f>'No Recurrentes 24-26'!DE295</f>
        <v>0</v>
      </c>
      <c r="BU430" s="1062">
        <f>'No Recurrentes 24-26'!DF295</f>
        <v>0</v>
      </c>
      <c r="BV430" s="1062">
        <f>'No Recurrentes 24-26'!DG295</f>
        <v>0</v>
      </c>
      <c r="BW430" s="1068"/>
      <c r="BX430" s="1062">
        <f>'No Recurrentes 24-26'!DH295</f>
        <v>6208.8768</v>
      </c>
      <c r="BY430" s="1062">
        <f>'No Recurrentes 24-26'!DI295</f>
        <v>0</v>
      </c>
      <c r="BZ430" s="1062">
        <f>'No Recurrentes 24-26'!DJ295</f>
        <v>0</v>
      </c>
      <c r="CA430" s="1062">
        <f>'No Recurrentes 24-26'!DK295</f>
        <v>0</v>
      </c>
      <c r="CB430" s="1062">
        <f>'No Recurrentes 24-26'!DL295</f>
        <v>2920.2768</v>
      </c>
      <c r="CC430" s="1062">
        <f>'No Recurrentes 24-26'!DM295</f>
        <v>657.72</v>
      </c>
      <c r="CD430" s="1062">
        <f>'No Recurrentes 24-26'!DN295</f>
        <v>657.72</v>
      </c>
      <c r="CE430" s="1062">
        <f>'No Recurrentes 24-26'!DO295</f>
        <v>0</v>
      </c>
      <c r="CF430" s="1062">
        <f>'No Recurrentes 24-26'!DP295</f>
        <v>0</v>
      </c>
      <c r="CG430" s="1062">
        <f>'No Recurrentes 24-26'!DQ295</f>
        <v>0</v>
      </c>
      <c r="CH430" s="1062">
        <f>'No Recurrentes 24-26'!DR295</f>
        <v>263.088</v>
      </c>
      <c r="CI430" s="1068"/>
      <c r="CJ430" s="1062">
        <f>'No Recurrentes 24-26'!DS295</f>
        <v>4498.8048</v>
      </c>
      <c r="CK430" s="1062">
        <f>'No Recurrentes 24-26'!DT295</f>
        <v>10707.6816</v>
      </c>
      <c r="CL430" s="1064" t="str">
        <f>'No Recurrentes 24-26'!DU295</f>
        <v/>
      </c>
      <c r="CM430" s="1064" t="str">
        <f>'No Recurrentes 24-26'!DV295</f>
        <v/>
      </c>
      <c r="CN430" s="1065">
        <f>'No Recurrentes 24-26'!EI291</f>
        <v>0.65</v>
      </c>
      <c r="CO430" s="1065">
        <f>'No Recurrentes 24-26'!EJ291</f>
        <v>0.55</v>
      </c>
      <c r="CP430" s="1060" t="str">
        <f>'No Recurrentes 24-26'!EK291</f>
        <v/>
      </c>
    </row>
    <row r="431">
      <c r="A431" s="451" t="str">
        <f>'No Recurrentes 24-26'!A296</f>
        <v>Repuestos Electromecánicos no recurrentes</v>
      </c>
      <c r="B431" s="451" t="str">
        <f>'No Recurrentes 24-26'!B296</f>
        <v/>
      </c>
      <c r="C431" s="451" t="str">
        <f>'No Recurrentes 24-26'!C296</f>
        <v>Estación</v>
      </c>
      <c r="D431" s="451" t="str">
        <f>'No Recurrentes 24-26'!D296</f>
        <v>Manto. Transmisión Tren de Ruedas</v>
      </c>
      <c r="E431" s="451" t="str">
        <f>'No Recurrentes 24-26'!E296</f>
        <v>Repuesto Mecánico</v>
      </c>
      <c r="F431" s="451" t="str">
        <f>'No Recurrentes 24-26'!F296</f>
        <v>TDB</v>
      </c>
      <c r="G431" s="1061" t="str">
        <f>'No Recurrentes 24-26'!G296</f>
        <v>39800</v>
      </c>
      <c r="H431" s="1061" t="str">
        <f>'No Recurrentes 24-26'!H296</f>
        <v>1-01-00034</v>
      </c>
      <c r="I431" s="1061">
        <f>'No Recurrentes 24-26'!I296</f>
        <v>10413477</v>
      </c>
      <c r="J431" s="1061" t="str">
        <f>'No Recurrentes 24-26'!J296</f>
        <v>TENSOR DE CORREA O°</v>
      </c>
      <c r="K431" s="451" t="str">
        <f>'No Recurrentes 24-26'!K296</f>
        <v>Pza</v>
      </c>
      <c r="L431" s="451" t="str">
        <f>'No Recurrentes 24-26'!BC296</f>
        <v/>
      </c>
      <c r="M431" s="451" t="str">
        <f>'No Recurrentes 24-26'!BD296</f>
        <v/>
      </c>
      <c r="N431" s="451" t="str">
        <f>'No Recurrentes 24-26'!BE296</f>
        <v/>
      </c>
      <c r="O431" s="451" t="str">
        <f>'No Recurrentes 24-26'!BF296</f>
        <v/>
      </c>
      <c r="P431" s="451" t="str">
        <f>'No Recurrentes 24-26'!BG296</f>
        <v/>
      </c>
      <c r="Q431" s="451" t="str">
        <f>'No Recurrentes 24-26'!BH296</f>
        <v/>
      </c>
      <c r="R431" s="451" t="str">
        <f>'No Recurrentes 24-26'!BI296</f>
        <v/>
      </c>
      <c r="S431" s="451" t="str">
        <f>'No Recurrentes 24-26'!BJ296</f>
        <v/>
      </c>
      <c r="T431" s="451" t="str">
        <f>'No Recurrentes 24-26'!BK296</f>
        <v/>
      </c>
      <c r="U431" s="451" t="str">
        <f>'No Recurrentes 24-26'!BL296</f>
        <v/>
      </c>
      <c r="V431" s="1068"/>
      <c r="W431" s="1062">
        <f>'No Recurrentes 24-26'!BM296</f>
        <v>0</v>
      </c>
      <c r="X431" s="1062" t="str">
        <f>'No Recurrentes 24-26'!BN296</f>
        <v/>
      </c>
      <c r="Y431" s="1062" t="str">
        <f>'No Recurrentes 24-26'!BO296</f>
        <v/>
      </c>
      <c r="Z431" s="1062" t="str">
        <f>'No Recurrentes 24-26'!BP296</f>
        <v/>
      </c>
      <c r="AA431" s="1062" t="str">
        <f>'No Recurrentes 24-26'!BQ296</f>
        <v/>
      </c>
      <c r="AB431" s="1062" t="str">
        <f>'No Recurrentes 24-26'!BR296</f>
        <v/>
      </c>
      <c r="AC431" s="1062" t="str">
        <f>'No Recurrentes 24-26'!BS296</f>
        <v/>
      </c>
      <c r="AD431" s="1062" t="str">
        <f>'No Recurrentes 24-26'!BT296</f>
        <v/>
      </c>
      <c r="AE431" s="1062" t="str">
        <f>'No Recurrentes 24-26'!BU296</f>
        <v/>
      </c>
      <c r="AF431" s="1062" t="str">
        <f>'No Recurrentes 24-26'!BV296</f>
        <v/>
      </c>
      <c r="AG431" s="1062" t="str">
        <f>'No Recurrentes 24-26'!BW296</f>
        <v/>
      </c>
      <c r="AH431" s="1068"/>
      <c r="AI431" s="1062">
        <f>'No Recurrentes 24-26'!BX296</f>
        <v>0</v>
      </c>
      <c r="AJ431" s="1062">
        <f>'No Recurrentes 24-26'!BY296</f>
        <v>0</v>
      </c>
      <c r="AK431" s="1062">
        <f>'No Recurrentes 24-26'!BZ296</f>
        <v>0</v>
      </c>
      <c r="AL431" s="1062">
        <f>'No Recurrentes 24-26'!CA296</f>
        <v>0</v>
      </c>
      <c r="AM431" s="1062">
        <f>'No Recurrentes 24-26'!CB296</f>
        <v>0</v>
      </c>
      <c r="AN431" s="1062">
        <f>'No Recurrentes 24-26'!CC296</f>
        <v>0</v>
      </c>
      <c r="AO431" s="1062">
        <f>'No Recurrentes 24-26'!CD296</f>
        <v>0</v>
      </c>
      <c r="AP431" s="1062">
        <f>'No Recurrentes 24-26'!CE296</f>
        <v>0</v>
      </c>
      <c r="AQ431" s="1062">
        <f>'No Recurrentes 24-26'!CF296</f>
        <v>0</v>
      </c>
      <c r="AR431" s="1062">
        <f>'No Recurrentes 24-26'!CG296</f>
        <v>0</v>
      </c>
      <c r="AS431" s="1062">
        <f>'No Recurrentes 24-26'!CH296</f>
        <v>0</v>
      </c>
      <c r="AT431" s="1068"/>
      <c r="AU431" s="1062">
        <f>'No Recurrentes 24-26'!CI296</f>
        <v>0</v>
      </c>
      <c r="AV431" s="1063">
        <f>'No Recurrentes 24-26'!CJ296</f>
        <v>0</v>
      </c>
      <c r="AW431" s="1068"/>
      <c r="AX431" s="1062" t="str">
        <f>'No Recurrentes 24-26'!CK296</f>
        <v/>
      </c>
      <c r="AY431" s="1062">
        <f>'No Recurrentes 24-26'!CL296</f>
        <v>8665.7313</v>
      </c>
      <c r="AZ431" s="1068"/>
      <c r="BA431" s="1062">
        <f>'No Recurrentes 24-26'!CM296</f>
        <v>0</v>
      </c>
      <c r="BB431" s="1062">
        <f>'No Recurrentes 24-26'!CN296</f>
        <v>0</v>
      </c>
      <c r="BC431" s="1062">
        <f>'No Recurrentes 24-26'!CO296</f>
        <v>0</v>
      </c>
      <c r="BD431" s="1062">
        <f>'No Recurrentes 24-26'!CP296</f>
        <v>0</v>
      </c>
      <c r="BE431" s="1062">
        <f>'No Recurrentes 24-26'!CQ296</f>
        <v>0</v>
      </c>
      <c r="BF431" s="1062">
        <f>'No Recurrentes 24-26'!CR296</f>
        <v>0</v>
      </c>
      <c r="BG431" s="1062">
        <f>'No Recurrentes 24-26'!CS296</f>
        <v>0</v>
      </c>
      <c r="BH431" s="1062">
        <f>'No Recurrentes 24-26'!CT296</f>
        <v>0</v>
      </c>
      <c r="BI431" s="1062">
        <f>'No Recurrentes 24-26'!CU296</f>
        <v>0</v>
      </c>
      <c r="BJ431" s="1062">
        <f>'No Recurrentes 24-26'!CV296</f>
        <v>0</v>
      </c>
      <c r="BK431" s="1068"/>
      <c r="BL431" s="1062">
        <f>'No Recurrentes 24-26'!CW296</f>
        <v>0</v>
      </c>
      <c r="BM431" s="1062">
        <f>'No Recurrentes 24-26'!CX296</f>
        <v>0</v>
      </c>
      <c r="BN431" s="1062">
        <f>'No Recurrentes 24-26'!CY296</f>
        <v>0</v>
      </c>
      <c r="BO431" s="1062">
        <f>'No Recurrentes 24-26'!CZ296</f>
        <v>0</v>
      </c>
      <c r="BP431" s="1062">
        <f>'No Recurrentes 24-26'!DA296</f>
        <v>0</v>
      </c>
      <c r="BQ431" s="1062">
        <f>'No Recurrentes 24-26'!DB296</f>
        <v>0</v>
      </c>
      <c r="BR431" s="1062">
        <f>'No Recurrentes 24-26'!DC296</f>
        <v>0</v>
      </c>
      <c r="BS431" s="1062">
        <f>'No Recurrentes 24-26'!DD296</f>
        <v>0</v>
      </c>
      <c r="BT431" s="1062">
        <f>'No Recurrentes 24-26'!DE296</f>
        <v>0</v>
      </c>
      <c r="BU431" s="1062">
        <f>'No Recurrentes 24-26'!DF296</f>
        <v>0</v>
      </c>
      <c r="BV431" s="1062">
        <f>'No Recurrentes 24-26'!DG296</f>
        <v>0</v>
      </c>
      <c r="BW431" s="1068"/>
      <c r="BX431" s="1062">
        <f>'No Recurrentes 24-26'!DH296</f>
        <v>0</v>
      </c>
      <c r="BY431" s="1062">
        <f>'No Recurrentes 24-26'!DI296</f>
        <v>0</v>
      </c>
      <c r="BZ431" s="1062">
        <f>'No Recurrentes 24-26'!DJ296</f>
        <v>0</v>
      </c>
      <c r="CA431" s="1062">
        <f>'No Recurrentes 24-26'!DK296</f>
        <v>0</v>
      </c>
      <c r="CB431" s="1062">
        <f>'No Recurrentes 24-26'!DL296</f>
        <v>0</v>
      </c>
      <c r="CC431" s="1062">
        <f>'No Recurrentes 24-26'!DM296</f>
        <v>0</v>
      </c>
      <c r="CD431" s="1062">
        <f>'No Recurrentes 24-26'!DN296</f>
        <v>0</v>
      </c>
      <c r="CE431" s="1062">
        <f>'No Recurrentes 24-26'!DO296</f>
        <v>0</v>
      </c>
      <c r="CF431" s="1062">
        <f>'No Recurrentes 24-26'!DP296</f>
        <v>0</v>
      </c>
      <c r="CG431" s="1062">
        <f>'No Recurrentes 24-26'!DQ296</f>
        <v>0</v>
      </c>
      <c r="CH431" s="1062">
        <f>'No Recurrentes 24-26'!DR296</f>
        <v>0</v>
      </c>
      <c r="CI431" s="1068"/>
      <c r="CJ431" s="1062">
        <f>'No Recurrentes 24-26'!DS296</f>
        <v>0</v>
      </c>
      <c r="CK431" s="1062">
        <f>'No Recurrentes 24-26'!DT296</f>
        <v>0</v>
      </c>
      <c r="CL431" s="1064" t="str">
        <f>'No Recurrentes 24-26'!DU296</f>
        <v/>
      </c>
      <c r="CM431" s="1064" t="str">
        <f>'No Recurrentes 24-26'!DV296</f>
        <v/>
      </c>
      <c r="CN431" s="1065">
        <f>'No Recurrentes 24-26'!EI292</f>
        <v>1</v>
      </c>
      <c r="CO431" s="1065">
        <f>'No Recurrentes 24-26'!EJ292</f>
        <v>0.85</v>
      </c>
      <c r="CP431" s="1060" t="str">
        <f>'No Recurrentes 24-26'!EK292</f>
        <v/>
      </c>
    </row>
    <row r="432">
      <c r="A432" s="451" t="str">
        <f>'No Recurrentes 24-26'!A297</f>
        <v>Repuestos Electromecánicos no recurrentes</v>
      </c>
      <c r="B432" s="451">
        <f>'No Recurrentes 24-26'!B297</f>
        <v>2</v>
      </c>
      <c r="C432" s="451" t="str">
        <f>'No Recurrentes 24-26'!C297</f>
        <v>Estación</v>
      </c>
      <c r="D432" s="451" t="str">
        <f>'No Recurrentes 24-26'!D297</f>
        <v>Manto. Transmisión Tren de Ruedas</v>
      </c>
      <c r="E432" s="451" t="str">
        <f>'No Recurrentes 24-26'!E297</f>
        <v>Herramienta</v>
      </c>
      <c r="F432" s="451" t="str">
        <f>'No Recurrentes 24-26'!F297</f>
        <v>TDB</v>
      </c>
      <c r="G432" s="1061" t="str">
        <f>'No Recurrentes 24-26'!G297</f>
        <v>34800</v>
      </c>
      <c r="H432" s="1061" t="str">
        <f>'No Recurrentes 24-26'!H297</f>
        <v>1-08-00038</v>
      </c>
      <c r="I432" s="1061" t="str">
        <f>'No Recurrentes 24-26'!I297</f>
        <v>10689732</v>
      </c>
      <c r="J432" s="1061" t="str">
        <f>'No Recurrentes 24-26'!J297</f>
        <v>HERRAM.DE SUJEC. P.CORREAS UNIG GALVANIZADA, COMPUESTA DE:</v>
      </c>
      <c r="K432" s="451" t="str">
        <f>'No Recurrentes 24-26'!K297</f>
        <v>Pza</v>
      </c>
      <c r="L432" s="451" t="str">
        <f>'No Recurrentes 24-26'!BC297</f>
        <v/>
      </c>
      <c r="M432" s="451" t="str">
        <f>'No Recurrentes 24-26'!BD297</f>
        <v/>
      </c>
      <c r="N432" s="451">
        <f>'No Recurrentes 24-26'!BE297</f>
        <v>0</v>
      </c>
      <c r="O432" s="451" t="str">
        <f>'No Recurrentes 24-26'!BF297</f>
        <v/>
      </c>
      <c r="P432" s="451" t="str">
        <f>'No Recurrentes 24-26'!BG297</f>
        <v/>
      </c>
      <c r="Q432" s="451" t="str">
        <f>'No Recurrentes 24-26'!BH297</f>
        <v/>
      </c>
      <c r="R432" s="451" t="str">
        <f>'No Recurrentes 24-26'!BI297</f>
        <v/>
      </c>
      <c r="S432" s="451" t="str">
        <f>'No Recurrentes 24-26'!BJ297</f>
        <v/>
      </c>
      <c r="T432" s="451" t="str">
        <f>'No Recurrentes 24-26'!BK297</f>
        <v/>
      </c>
      <c r="U432" s="451" t="str">
        <f>'No Recurrentes 24-26'!BL297</f>
        <v/>
      </c>
      <c r="V432" s="1068"/>
      <c r="W432" s="1062">
        <f>'No Recurrentes 24-26'!BM297</f>
        <v>0</v>
      </c>
      <c r="X432" s="1062" t="str">
        <f>'No Recurrentes 24-26'!BN297</f>
        <v/>
      </c>
      <c r="Y432" s="1062" t="str">
        <f>'No Recurrentes 24-26'!BO297</f>
        <v/>
      </c>
      <c r="Z432" s="1062">
        <f>'No Recurrentes 24-26'!BP297</f>
        <v>1</v>
      </c>
      <c r="AA432" s="1062" t="str">
        <f>'No Recurrentes 24-26'!BQ297</f>
        <v/>
      </c>
      <c r="AB432" s="1062" t="str">
        <f>'No Recurrentes 24-26'!BR297</f>
        <v/>
      </c>
      <c r="AC432" s="1062" t="str">
        <f>'No Recurrentes 24-26'!BS297</f>
        <v/>
      </c>
      <c r="AD432" s="1062" t="str">
        <f>'No Recurrentes 24-26'!BT297</f>
        <v/>
      </c>
      <c r="AE432" s="1062" t="str">
        <f>'No Recurrentes 24-26'!BU297</f>
        <v/>
      </c>
      <c r="AF432" s="1062" t="str">
        <f>'No Recurrentes 24-26'!BV297</f>
        <v/>
      </c>
      <c r="AG432" s="1062" t="str">
        <f>'No Recurrentes 24-26'!BW297</f>
        <v/>
      </c>
      <c r="AH432" s="1068"/>
      <c r="AI432" s="1062">
        <f>'No Recurrentes 24-26'!BX297</f>
        <v>1</v>
      </c>
      <c r="AJ432" s="1062">
        <f>'No Recurrentes 24-26'!BY297</f>
        <v>0</v>
      </c>
      <c r="AK432" s="1062">
        <f>'No Recurrentes 24-26'!BZ297</f>
        <v>0</v>
      </c>
      <c r="AL432" s="1062">
        <f>'No Recurrentes 24-26'!CA297</f>
        <v>0</v>
      </c>
      <c r="AM432" s="1062">
        <f>'No Recurrentes 24-26'!CB297</f>
        <v>0</v>
      </c>
      <c r="AN432" s="1062">
        <f>'No Recurrentes 24-26'!CC297</f>
        <v>0</v>
      </c>
      <c r="AO432" s="1062">
        <f>'No Recurrentes 24-26'!CD297</f>
        <v>0</v>
      </c>
      <c r="AP432" s="1062">
        <f>'No Recurrentes 24-26'!CE297</f>
        <v>0</v>
      </c>
      <c r="AQ432" s="1062">
        <f>'No Recurrentes 24-26'!CF297</f>
        <v>0</v>
      </c>
      <c r="AR432" s="1062">
        <f>'No Recurrentes 24-26'!CG297</f>
        <v>0</v>
      </c>
      <c r="AS432" s="1062">
        <f>'No Recurrentes 24-26'!CH297</f>
        <v>0</v>
      </c>
      <c r="AT432" s="1068"/>
      <c r="AU432" s="1062">
        <f>'No Recurrentes 24-26'!CI297</f>
        <v>0</v>
      </c>
      <c r="AV432" s="1063">
        <f>'No Recurrentes 24-26'!CJ297</f>
        <v>1</v>
      </c>
      <c r="AW432" s="1068"/>
      <c r="AX432" s="1065">
        <f>'No Recurrentes 24-26'!CK297</f>
        <v>4972.78</v>
      </c>
      <c r="AY432" s="1062">
        <f>'No Recurrentes 24-26'!CL297</f>
        <v>34610.5488</v>
      </c>
      <c r="AZ432" s="1068"/>
      <c r="BA432" s="1062">
        <f>'No Recurrentes 24-26'!CM297</f>
        <v>0</v>
      </c>
      <c r="BB432" s="1062">
        <f>'No Recurrentes 24-26'!CN297</f>
        <v>0</v>
      </c>
      <c r="BC432" s="1062">
        <f>'No Recurrentes 24-26'!CO297</f>
        <v>0</v>
      </c>
      <c r="BD432" s="1062">
        <f>'No Recurrentes 24-26'!CP297</f>
        <v>0</v>
      </c>
      <c r="BE432" s="1062">
        <f>'No Recurrentes 24-26'!CQ297</f>
        <v>0</v>
      </c>
      <c r="BF432" s="1062">
        <f>'No Recurrentes 24-26'!CR297</f>
        <v>0</v>
      </c>
      <c r="BG432" s="1062">
        <f>'No Recurrentes 24-26'!CS297</f>
        <v>0</v>
      </c>
      <c r="BH432" s="1062">
        <f>'No Recurrentes 24-26'!CT297</f>
        <v>0</v>
      </c>
      <c r="BI432" s="1062">
        <f>'No Recurrentes 24-26'!CU297</f>
        <v>0</v>
      </c>
      <c r="BJ432" s="1062">
        <f>'No Recurrentes 24-26'!CV297</f>
        <v>0</v>
      </c>
      <c r="BK432" s="1068"/>
      <c r="BL432" s="1062">
        <f>'No Recurrentes 24-26'!CW297</f>
        <v>0</v>
      </c>
      <c r="BM432" s="1062">
        <f>'No Recurrentes 24-26'!CX297</f>
        <v>0</v>
      </c>
      <c r="BN432" s="1062">
        <f>'No Recurrentes 24-26'!CY297</f>
        <v>0</v>
      </c>
      <c r="BO432" s="1062">
        <f>'No Recurrentes 24-26'!CZ297</f>
        <v>34610.5488</v>
      </c>
      <c r="BP432" s="1062">
        <f>'No Recurrentes 24-26'!DA297</f>
        <v>0</v>
      </c>
      <c r="BQ432" s="1062">
        <f>'No Recurrentes 24-26'!DB297</f>
        <v>0</v>
      </c>
      <c r="BR432" s="1062">
        <f>'No Recurrentes 24-26'!DC297</f>
        <v>0</v>
      </c>
      <c r="BS432" s="1062">
        <f>'No Recurrentes 24-26'!DD297</f>
        <v>0</v>
      </c>
      <c r="BT432" s="1062">
        <f>'No Recurrentes 24-26'!DE297</f>
        <v>0</v>
      </c>
      <c r="BU432" s="1062">
        <f>'No Recurrentes 24-26'!DF297</f>
        <v>0</v>
      </c>
      <c r="BV432" s="1062">
        <f>'No Recurrentes 24-26'!DG297</f>
        <v>0</v>
      </c>
      <c r="BW432" s="1068"/>
      <c r="BX432" s="1062">
        <f>'No Recurrentes 24-26'!DH297</f>
        <v>34610.5488</v>
      </c>
      <c r="BY432" s="1062">
        <f>'No Recurrentes 24-26'!DI297</f>
        <v>0</v>
      </c>
      <c r="BZ432" s="1062">
        <f>'No Recurrentes 24-26'!DJ297</f>
        <v>0</v>
      </c>
      <c r="CA432" s="1062">
        <f>'No Recurrentes 24-26'!DK297</f>
        <v>0</v>
      </c>
      <c r="CB432" s="1062">
        <f>'No Recurrentes 24-26'!DL297</f>
        <v>0</v>
      </c>
      <c r="CC432" s="1062">
        <f>'No Recurrentes 24-26'!DM297</f>
        <v>0</v>
      </c>
      <c r="CD432" s="1062">
        <f>'No Recurrentes 24-26'!DN297</f>
        <v>0</v>
      </c>
      <c r="CE432" s="1062">
        <f>'No Recurrentes 24-26'!DO297</f>
        <v>0</v>
      </c>
      <c r="CF432" s="1062">
        <f>'No Recurrentes 24-26'!DP297</f>
        <v>0</v>
      </c>
      <c r="CG432" s="1062">
        <f>'No Recurrentes 24-26'!DQ297</f>
        <v>0</v>
      </c>
      <c r="CH432" s="1062">
        <f>'No Recurrentes 24-26'!DR297</f>
        <v>0</v>
      </c>
      <c r="CI432" s="1068"/>
      <c r="CJ432" s="1062">
        <f>'No Recurrentes 24-26'!DS297</f>
        <v>0</v>
      </c>
      <c r="CK432" s="1062">
        <f>'No Recurrentes 24-26'!DT297</f>
        <v>34610.5488</v>
      </c>
      <c r="CL432" s="1064" t="str">
        <f>'No Recurrentes 24-26'!DU297</f>
        <v/>
      </c>
      <c r="CM432" s="1064" t="str">
        <f>'No Recurrentes 24-26'!DV297</f>
        <v/>
      </c>
      <c r="CN432" s="1065">
        <f>'No Recurrentes 24-26'!EI293</f>
        <v>1.5</v>
      </c>
      <c r="CO432" s="1065">
        <f>'No Recurrentes 24-26'!EJ293</f>
        <v>1.28</v>
      </c>
      <c r="CP432" s="1060" t="str">
        <f>'No Recurrentes 24-26'!EK293</f>
        <v/>
      </c>
    </row>
    <row r="433">
      <c r="A433" s="451" t="str">
        <f>'No Recurrentes 24-26'!A298</f>
        <v>Repuestos Electromecánicos no recurrentes</v>
      </c>
      <c r="B433" s="451">
        <f>'No Recurrentes 24-26'!B298</f>
        <v>2</v>
      </c>
      <c r="C433" s="451" t="str">
        <f>'No Recurrentes 24-26'!C298</f>
        <v>Estación</v>
      </c>
      <c r="D433" s="451" t="str">
        <f>'No Recurrentes 24-26'!D298</f>
        <v>Manto. Transmisión Tren de Ruedas</v>
      </c>
      <c r="E433" s="451" t="str">
        <f>'No Recurrentes 24-26'!E298</f>
        <v>Repuesto Mecánico</v>
      </c>
      <c r="F433" s="451" t="str">
        <f>'No Recurrentes 24-26'!F298</f>
        <v>TDB</v>
      </c>
      <c r="G433" s="1025" t="str">
        <f>'No Recurrentes 24-26'!G298</f>
        <v>39800</v>
      </c>
      <c r="H433" s="1061" t="str">
        <f>'No Recurrentes 24-26'!H298</f>
        <v/>
      </c>
      <c r="I433" s="1061" t="str">
        <f>'No Recurrentes 24-26'!I298</f>
        <v>11211339</v>
      </c>
      <c r="J433" s="1061" t="str">
        <f>'No Recurrentes 24-26'!J298</f>
        <v>POLEA CORR.TRAPEZ. DIÁ.318/328 DIÁ.59 PERFIL CORR. XPC ALUM.</v>
      </c>
      <c r="K433" s="451" t="str">
        <f>'No Recurrentes 24-26'!K298</f>
        <v>Pza</v>
      </c>
      <c r="L433" s="451" t="str">
        <f>'No Recurrentes 24-26'!BC298</f>
        <v/>
      </c>
      <c r="M433" s="451" t="str">
        <f>'No Recurrentes 24-26'!BD298</f>
        <v/>
      </c>
      <c r="N433" s="451" t="str">
        <f>'No Recurrentes 24-26'!BE298</f>
        <v/>
      </c>
      <c r="O433" s="451" t="str">
        <f>'No Recurrentes 24-26'!BF298</f>
        <v/>
      </c>
      <c r="P433" s="451" t="str">
        <f>'No Recurrentes 24-26'!BG298</f>
        <v/>
      </c>
      <c r="Q433" s="451" t="str">
        <f>'No Recurrentes 24-26'!BH298</f>
        <v/>
      </c>
      <c r="R433" s="451" t="str">
        <f>'No Recurrentes 24-26'!BI298</f>
        <v/>
      </c>
      <c r="S433" s="451" t="str">
        <f>'No Recurrentes 24-26'!BJ298</f>
        <v/>
      </c>
      <c r="T433" s="451" t="str">
        <f>'No Recurrentes 24-26'!BK298</f>
        <v/>
      </c>
      <c r="U433" s="451" t="str">
        <f>'No Recurrentes 24-26'!BL298</f>
        <v/>
      </c>
      <c r="V433" s="1068"/>
      <c r="W433" s="1062">
        <f>'No Recurrentes 24-26'!BM298</f>
        <v>0</v>
      </c>
      <c r="X433" s="1062" t="str">
        <f>'No Recurrentes 24-26'!BN298</f>
        <v/>
      </c>
      <c r="Y433" s="1062" t="str">
        <f>'No Recurrentes 24-26'!BO298</f>
        <v/>
      </c>
      <c r="Z433" s="1062" t="str">
        <f>'No Recurrentes 24-26'!BP298</f>
        <v/>
      </c>
      <c r="AA433" s="1062">
        <f>'No Recurrentes 24-26'!BQ298</f>
        <v>22</v>
      </c>
      <c r="AB433" s="1062" t="str">
        <f>'No Recurrentes 24-26'!BR298</f>
        <v/>
      </c>
      <c r="AC433" s="1062">
        <f>'No Recurrentes 24-26'!BS298</f>
        <v>5</v>
      </c>
      <c r="AD433" s="1062" t="str">
        <f>'No Recurrentes 24-26'!BT298</f>
        <v/>
      </c>
      <c r="AE433" s="1062" t="str">
        <f>'No Recurrentes 24-26'!BU298</f>
        <v/>
      </c>
      <c r="AF433" s="1062" t="str">
        <f>'No Recurrentes 24-26'!BV298</f>
        <v/>
      </c>
      <c r="AG433" s="1062" t="str">
        <f>'No Recurrentes 24-26'!BW298</f>
        <v/>
      </c>
      <c r="AH433" s="1068"/>
      <c r="AI433" s="1062">
        <f>'No Recurrentes 24-26'!BX298</f>
        <v>27</v>
      </c>
      <c r="AJ433" s="1062">
        <f>'No Recurrentes 24-26'!BY298</f>
        <v>0</v>
      </c>
      <c r="AK433" s="1062">
        <f>'No Recurrentes 24-26'!BZ298</f>
        <v>0</v>
      </c>
      <c r="AL433" s="1062">
        <f>'No Recurrentes 24-26'!CA298</f>
        <v>0</v>
      </c>
      <c r="AM433" s="1062">
        <f>'No Recurrentes 24-26'!CB298</f>
        <v>0</v>
      </c>
      <c r="AN433" s="1062">
        <f>'No Recurrentes 24-26'!CC298</f>
        <v>0</v>
      </c>
      <c r="AO433" s="1062">
        <f>'No Recurrentes 24-26'!CD298</f>
        <v>0</v>
      </c>
      <c r="AP433" s="1062">
        <f>'No Recurrentes 24-26'!CE298</f>
        <v>0</v>
      </c>
      <c r="AQ433" s="1062">
        <f>'No Recurrentes 24-26'!CF298</f>
        <v>0</v>
      </c>
      <c r="AR433" s="1062">
        <f>'No Recurrentes 24-26'!CG298</f>
        <v>0</v>
      </c>
      <c r="AS433" s="1062">
        <f>'No Recurrentes 24-26'!CH298</f>
        <v>0</v>
      </c>
      <c r="AT433" s="1068"/>
      <c r="AU433" s="1062">
        <f>'No Recurrentes 24-26'!CI298</f>
        <v>0</v>
      </c>
      <c r="AV433" s="1063">
        <f>'No Recurrentes 24-26'!CJ298</f>
        <v>27</v>
      </c>
      <c r="AW433" s="1068"/>
      <c r="AX433" s="1065">
        <f>'No Recurrentes 24-26'!CK298</f>
        <v>999.86</v>
      </c>
      <c r="AY433" s="1062">
        <f>'No Recurrentes 24-26'!CL298</f>
        <v>6959.0256</v>
      </c>
      <c r="AZ433" s="1068"/>
      <c r="BA433" s="1062">
        <f>'No Recurrentes 24-26'!CM298</f>
        <v>0</v>
      </c>
      <c r="BB433" s="1062">
        <f>'No Recurrentes 24-26'!CN298</f>
        <v>0</v>
      </c>
      <c r="BC433" s="1062">
        <f>'No Recurrentes 24-26'!CO298</f>
        <v>0</v>
      </c>
      <c r="BD433" s="1062">
        <f>'No Recurrentes 24-26'!CP298</f>
        <v>0</v>
      </c>
      <c r="BE433" s="1062">
        <f>'No Recurrentes 24-26'!CQ298</f>
        <v>0</v>
      </c>
      <c r="BF433" s="1062">
        <f>'No Recurrentes 24-26'!CR298</f>
        <v>0</v>
      </c>
      <c r="BG433" s="1062">
        <f>'No Recurrentes 24-26'!CS298</f>
        <v>0</v>
      </c>
      <c r="BH433" s="1062">
        <f>'No Recurrentes 24-26'!CT298</f>
        <v>0</v>
      </c>
      <c r="BI433" s="1062">
        <f>'No Recurrentes 24-26'!CU298</f>
        <v>0</v>
      </c>
      <c r="BJ433" s="1062">
        <f>'No Recurrentes 24-26'!CV298</f>
        <v>0</v>
      </c>
      <c r="BK433" s="1068"/>
      <c r="BL433" s="1062">
        <f>'No Recurrentes 24-26'!CW298</f>
        <v>0</v>
      </c>
      <c r="BM433" s="1062">
        <f>'No Recurrentes 24-26'!CX298</f>
        <v>0</v>
      </c>
      <c r="BN433" s="1062">
        <f>'No Recurrentes 24-26'!CY298</f>
        <v>0</v>
      </c>
      <c r="BO433" s="1062">
        <f>'No Recurrentes 24-26'!CZ298</f>
        <v>0</v>
      </c>
      <c r="BP433" s="1062">
        <f>'No Recurrentes 24-26'!DA298</f>
        <v>153098.5632</v>
      </c>
      <c r="BQ433" s="1062">
        <f>'No Recurrentes 24-26'!DB298</f>
        <v>0</v>
      </c>
      <c r="BR433" s="1062">
        <f>'No Recurrentes 24-26'!DC298</f>
        <v>34795.128</v>
      </c>
      <c r="BS433" s="1062">
        <f>'No Recurrentes 24-26'!DD298</f>
        <v>0</v>
      </c>
      <c r="BT433" s="1062">
        <f>'No Recurrentes 24-26'!DE298</f>
        <v>0</v>
      </c>
      <c r="BU433" s="1062">
        <f>'No Recurrentes 24-26'!DF298</f>
        <v>0</v>
      </c>
      <c r="BV433" s="1062">
        <f>'No Recurrentes 24-26'!DG298</f>
        <v>0</v>
      </c>
      <c r="BW433" s="1068"/>
      <c r="BX433" s="1062">
        <f>'No Recurrentes 24-26'!DH298</f>
        <v>187893.6912</v>
      </c>
      <c r="BY433" s="1062">
        <f>'No Recurrentes 24-26'!DI298</f>
        <v>0</v>
      </c>
      <c r="BZ433" s="1062">
        <f>'No Recurrentes 24-26'!DJ298</f>
        <v>0</v>
      </c>
      <c r="CA433" s="1062">
        <f>'No Recurrentes 24-26'!DK298</f>
        <v>0</v>
      </c>
      <c r="CB433" s="1062">
        <f>'No Recurrentes 24-26'!DL298</f>
        <v>0</v>
      </c>
      <c r="CC433" s="1062">
        <f>'No Recurrentes 24-26'!DM298</f>
        <v>0</v>
      </c>
      <c r="CD433" s="1062">
        <f>'No Recurrentes 24-26'!DN298</f>
        <v>0</v>
      </c>
      <c r="CE433" s="1062">
        <f>'No Recurrentes 24-26'!DO298</f>
        <v>0</v>
      </c>
      <c r="CF433" s="1062">
        <f>'No Recurrentes 24-26'!DP298</f>
        <v>0</v>
      </c>
      <c r="CG433" s="1062">
        <f>'No Recurrentes 24-26'!DQ298</f>
        <v>0</v>
      </c>
      <c r="CH433" s="1062">
        <f>'No Recurrentes 24-26'!DR298</f>
        <v>0</v>
      </c>
      <c r="CI433" s="1068"/>
      <c r="CJ433" s="1062">
        <f>'No Recurrentes 24-26'!DS298</f>
        <v>0</v>
      </c>
      <c r="CK433" s="1062">
        <f>'No Recurrentes 24-26'!DT298</f>
        <v>187893.6912</v>
      </c>
      <c r="CL433" s="1064" t="str">
        <f>'No Recurrentes 24-26'!DU298</f>
        <v/>
      </c>
      <c r="CM433" s="1064" t="str">
        <f>'No Recurrentes 24-26'!DV298</f>
        <v/>
      </c>
      <c r="CN433" s="1065">
        <f>'No Recurrentes 24-26'!EI294</f>
        <v>0.23</v>
      </c>
      <c r="CO433" s="1065">
        <f>'No Recurrentes 24-26'!EJ294</f>
        <v>0.2</v>
      </c>
      <c r="CP433" s="1060" t="str">
        <f>'No Recurrentes 24-26'!EK294</f>
        <v/>
      </c>
    </row>
    <row r="434">
      <c r="A434" s="451" t="str">
        <f>'No Recurrentes 24-26'!A299</f>
        <v>Repuestos Electromecánicos no recurrentes</v>
      </c>
      <c r="B434" s="451">
        <f>'No Recurrentes 24-26'!B299</f>
        <v>2</v>
      </c>
      <c r="C434" s="451" t="str">
        <f>'No Recurrentes 24-26'!C299</f>
        <v>Vehiculo</v>
      </c>
      <c r="D434" s="451" t="str">
        <f>'No Recurrentes 24-26'!D299</f>
        <v>OVH Suspension Cabina</v>
      </c>
      <c r="E434" s="451" t="str">
        <f>'No Recurrentes 24-26'!E299</f>
        <v>Repuesto Mecánico</v>
      </c>
      <c r="F434" s="451" t="str">
        <f>'No Recurrentes 24-26'!F299</f>
        <v>TDB</v>
      </c>
      <c r="G434" s="1025" t="str">
        <f>'No Recurrentes 24-26'!G299</f>
        <v>39800</v>
      </c>
      <c r="H434" s="1061" t="str">
        <f>'No Recurrentes 24-26'!H299</f>
        <v>2-01-00198</v>
      </c>
      <c r="I434" s="1061" t="str">
        <f>'No Recurrentes 24-26'!I299</f>
        <v>10894128</v>
      </c>
      <c r="J434" s="1061" t="str">
        <f>'No Recurrentes 24-26'!J299</f>
        <v>CILINDRO DE FRENO, COMPLETO    CARRERA=300, D=1080</v>
      </c>
      <c r="K434" s="451" t="str">
        <f>'No Recurrentes 24-26'!K299</f>
        <v>Pza</v>
      </c>
      <c r="L434" s="451">
        <f>'No Recurrentes 24-26'!BC299</f>
        <v>4</v>
      </c>
      <c r="M434" s="451">
        <f>'No Recurrentes 24-26'!BD299</f>
        <v>2</v>
      </c>
      <c r="N434" s="451">
        <f>'No Recurrentes 24-26'!BE299</f>
        <v>6</v>
      </c>
      <c r="O434" s="451" t="str">
        <f>'No Recurrentes 24-26'!BF299</f>
        <v/>
      </c>
      <c r="P434" s="451" t="str">
        <f>'No Recurrentes 24-26'!BG299</f>
        <v/>
      </c>
      <c r="Q434" s="451" t="str">
        <f>'No Recurrentes 24-26'!BH299</f>
        <v/>
      </c>
      <c r="R434" s="451">
        <f>'No Recurrentes 24-26'!BI299</f>
        <v>1</v>
      </c>
      <c r="S434" s="451">
        <f>'No Recurrentes 24-26'!BJ299</f>
        <v>1</v>
      </c>
      <c r="T434" s="451" t="str">
        <f>'No Recurrentes 24-26'!BK299</f>
        <v/>
      </c>
      <c r="U434" s="451">
        <f>'No Recurrentes 24-26'!BL299</f>
        <v>6</v>
      </c>
      <c r="V434" s="1068"/>
      <c r="W434" s="1062">
        <f>'No Recurrentes 24-26'!BM299</f>
        <v>20</v>
      </c>
      <c r="X434" s="1062" t="str">
        <f>'No Recurrentes 24-26'!BN299</f>
        <v/>
      </c>
      <c r="Y434" s="1062" t="str">
        <f>'No Recurrentes 24-26'!BO299</f>
        <v/>
      </c>
      <c r="Z434" s="1062" t="str">
        <f>'No Recurrentes 24-26'!BP299</f>
        <v/>
      </c>
      <c r="AA434" s="1062" t="str">
        <f>'No Recurrentes 24-26'!BQ299</f>
        <v/>
      </c>
      <c r="AB434" s="1062" t="str">
        <f>'No Recurrentes 24-26'!BR299</f>
        <v/>
      </c>
      <c r="AC434" s="1062" t="str">
        <f>'No Recurrentes 24-26'!BS299</f>
        <v/>
      </c>
      <c r="AD434" s="1062" t="str">
        <f>'No Recurrentes 24-26'!BT299</f>
        <v/>
      </c>
      <c r="AE434" s="1062" t="str">
        <f>'No Recurrentes 24-26'!BU299</f>
        <v/>
      </c>
      <c r="AF434" s="1062" t="str">
        <f>'No Recurrentes 24-26'!BV299</f>
        <v/>
      </c>
      <c r="AG434" s="1062">
        <f>'No Recurrentes 24-26'!BW299</f>
        <v>9</v>
      </c>
      <c r="AH434" s="1068"/>
      <c r="AI434" s="1062">
        <f>'No Recurrentes 24-26'!BX299</f>
        <v>9</v>
      </c>
      <c r="AJ434" s="1062">
        <f>'No Recurrentes 24-26'!BY299</f>
        <v>0</v>
      </c>
      <c r="AK434" s="1062">
        <f>'No Recurrentes 24-26'!BZ299</f>
        <v>0</v>
      </c>
      <c r="AL434" s="1062">
        <f>'No Recurrentes 24-26'!CA299</f>
        <v>0</v>
      </c>
      <c r="AM434" s="1062">
        <f>'No Recurrentes 24-26'!CB299</f>
        <v>0</v>
      </c>
      <c r="AN434" s="1062">
        <f>'No Recurrentes 24-26'!CC299</f>
        <v>0</v>
      </c>
      <c r="AO434" s="1062">
        <f>'No Recurrentes 24-26'!CD299</f>
        <v>0</v>
      </c>
      <c r="AP434" s="1062">
        <f>'No Recurrentes 24-26'!CE299</f>
        <v>0</v>
      </c>
      <c r="AQ434" s="1062">
        <f>'No Recurrentes 24-26'!CF299</f>
        <v>0</v>
      </c>
      <c r="AR434" s="1062">
        <f>'No Recurrentes 24-26'!CG299</f>
        <v>0</v>
      </c>
      <c r="AS434" s="1062">
        <f>'No Recurrentes 24-26'!CH299</f>
        <v>0</v>
      </c>
      <c r="AT434" s="1068"/>
      <c r="AU434" s="1062">
        <f>'No Recurrentes 24-26'!CI299</f>
        <v>0</v>
      </c>
      <c r="AV434" s="1063">
        <f>'No Recurrentes 24-26'!CJ299</f>
        <v>29</v>
      </c>
      <c r="AW434" s="1068"/>
      <c r="AX434" s="1065">
        <f>'No Recurrentes 24-26'!CK299</f>
        <v>532.66</v>
      </c>
      <c r="AY434" s="1062">
        <f>'No Recurrentes 24-26'!CL299</f>
        <v>3707.3136</v>
      </c>
      <c r="AZ434" s="1068"/>
      <c r="BA434" s="1062">
        <f>'No Recurrentes 24-26'!CM299</f>
        <v>14829.2544</v>
      </c>
      <c r="BB434" s="1062">
        <f>'No Recurrentes 24-26'!CN299</f>
        <v>7414.6272</v>
      </c>
      <c r="BC434" s="1062">
        <f>'No Recurrentes 24-26'!CO299</f>
        <v>22243.8816</v>
      </c>
      <c r="BD434" s="1062">
        <f>'No Recurrentes 24-26'!CP299</f>
        <v>0</v>
      </c>
      <c r="BE434" s="1062">
        <f>'No Recurrentes 24-26'!CQ299</f>
        <v>0</v>
      </c>
      <c r="BF434" s="1062">
        <f>'No Recurrentes 24-26'!CR299</f>
        <v>0</v>
      </c>
      <c r="BG434" s="1062">
        <f>'No Recurrentes 24-26'!CS299</f>
        <v>3707.3136</v>
      </c>
      <c r="BH434" s="1062">
        <f>'No Recurrentes 24-26'!CT299</f>
        <v>3707.3136</v>
      </c>
      <c r="BI434" s="1062">
        <f>'No Recurrentes 24-26'!CU299</f>
        <v>0</v>
      </c>
      <c r="BJ434" s="1062">
        <f>'No Recurrentes 24-26'!CV299</f>
        <v>22243.8816</v>
      </c>
      <c r="BK434" s="1068"/>
      <c r="BL434" s="1062">
        <f>'No Recurrentes 24-26'!CW299</f>
        <v>74146.272</v>
      </c>
      <c r="BM434" s="1062">
        <f>'No Recurrentes 24-26'!CX299</f>
        <v>0</v>
      </c>
      <c r="BN434" s="1062">
        <f>'No Recurrentes 24-26'!CY299</f>
        <v>0</v>
      </c>
      <c r="BO434" s="1062">
        <f>'No Recurrentes 24-26'!CZ299</f>
        <v>0</v>
      </c>
      <c r="BP434" s="1062">
        <f>'No Recurrentes 24-26'!DA299</f>
        <v>0</v>
      </c>
      <c r="BQ434" s="1062">
        <f>'No Recurrentes 24-26'!DB299</f>
        <v>0</v>
      </c>
      <c r="BR434" s="1062">
        <f>'No Recurrentes 24-26'!DC299</f>
        <v>0</v>
      </c>
      <c r="BS434" s="1062">
        <f>'No Recurrentes 24-26'!DD299</f>
        <v>0</v>
      </c>
      <c r="BT434" s="1062">
        <f>'No Recurrentes 24-26'!DE299</f>
        <v>0</v>
      </c>
      <c r="BU434" s="1062">
        <f>'No Recurrentes 24-26'!DF299</f>
        <v>0</v>
      </c>
      <c r="BV434" s="1062">
        <f>'No Recurrentes 24-26'!DG299</f>
        <v>33365.8224</v>
      </c>
      <c r="BW434" s="1068"/>
      <c r="BX434" s="1062">
        <f>'No Recurrentes 24-26'!DH299</f>
        <v>33365.8224</v>
      </c>
      <c r="BY434" s="1062">
        <f>'No Recurrentes 24-26'!DI299</f>
        <v>0</v>
      </c>
      <c r="BZ434" s="1062">
        <f>'No Recurrentes 24-26'!DJ299</f>
        <v>0</v>
      </c>
      <c r="CA434" s="1062">
        <f>'No Recurrentes 24-26'!DK299</f>
        <v>0</v>
      </c>
      <c r="CB434" s="1062">
        <f>'No Recurrentes 24-26'!DL299</f>
        <v>0</v>
      </c>
      <c r="CC434" s="1062">
        <f>'No Recurrentes 24-26'!DM299</f>
        <v>0</v>
      </c>
      <c r="CD434" s="1062">
        <f>'No Recurrentes 24-26'!DN299</f>
        <v>0</v>
      </c>
      <c r="CE434" s="1062">
        <f>'No Recurrentes 24-26'!DO299</f>
        <v>0</v>
      </c>
      <c r="CF434" s="1062">
        <f>'No Recurrentes 24-26'!DP299</f>
        <v>0</v>
      </c>
      <c r="CG434" s="1062">
        <f>'No Recurrentes 24-26'!DQ299</f>
        <v>0</v>
      </c>
      <c r="CH434" s="1062">
        <f>'No Recurrentes 24-26'!DR299</f>
        <v>0</v>
      </c>
      <c r="CI434" s="1068"/>
      <c r="CJ434" s="1062">
        <f>'No Recurrentes 24-26'!DS299</f>
        <v>0</v>
      </c>
      <c r="CK434" s="1062">
        <f>'No Recurrentes 24-26'!DT299</f>
        <v>107512.0944</v>
      </c>
      <c r="CL434" s="1064" t="str">
        <f>'No Recurrentes 24-26'!DU299</f>
        <v/>
      </c>
      <c r="CM434" s="1064" t="str">
        <f>'No Recurrentes 24-26'!DV299</f>
        <v/>
      </c>
      <c r="CN434" s="1065">
        <f>'No Recurrentes 24-26'!EI295</f>
        <v>1.89</v>
      </c>
      <c r="CO434" s="1065">
        <f>'No Recurrentes 24-26'!EJ295</f>
        <v>1.61</v>
      </c>
      <c r="CP434" s="1060" t="str">
        <f>'No Recurrentes 24-26'!EK295</f>
        <v/>
      </c>
    </row>
    <row r="435">
      <c r="A435" s="451" t="str">
        <f>'No Recurrentes 24-26'!A300</f>
        <v>Repuestos Electromecánicos no recurrentes</v>
      </c>
      <c r="B435" s="451">
        <f>'No Recurrentes 24-26'!B300</f>
        <v>2</v>
      </c>
      <c r="C435" s="451" t="str">
        <f>'No Recurrentes 24-26'!C300</f>
        <v>Vehiculo</v>
      </c>
      <c r="D435" s="451" t="str">
        <f>'No Recurrentes 24-26'!D300</f>
        <v>OVH Suspension Cabina</v>
      </c>
      <c r="E435" s="451" t="str">
        <f>'No Recurrentes 24-26'!E300</f>
        <v>Repuesto Mecánico</v>
      </c>
      <c r="F435" s="451" t="str">
        <f>'No Recurrentes 24-26'!F300</f>
        <v>TDB</v>
      </c>
      <c r="G435" s="1025" t="str">
        <f>'No Recurrentes 24-26'!G300</f>
        <v>39800</v>
      </c>
      <c r="H435" s="1061" t="str">
        <f>'No Recurrentes 24-26'!H300</f>
        <v>2-01-00336</v>
      </c>
      <c r="I435" s="1061" t="str">
        <f>'No Recurrentes 24-26'!I300</f>
        <v>10568945</v>
      </c>
      <c r="J435" s="1061" t="str">
        <f>'No Recurrentes 24-26'!J300</f>
        <v>BULÓN DIA.22H7  LN 297,5  M16  ARMAZ.4PTS.  8P. CWA OMEGA III</v>
      </c>
      <c r="K435" s="451" t="str">
        <f>'No Recurrentes 24-26'!K300</f>
        <v>Pza</v>
      </c>
      <c r="L435" s="451">
        <f>'No Recurrentes 24-26'!BC300</f>
        <v>5</v>
      </c>
      <c r="M435" s="451" t="str">
        <f>'No Recurrentes 24-26'!BD300</f>
        <v/>
      </c>
      <c r="N435" s="451" t="str">
        <f>'No Recurrentes 24-26'!BE300</f>
        <v/>
      </c>
      <c r="O435" s="451" t="str">
        <f>'No Recurrentes 24-26'!BF300</f>
        <v/>
      </c>
      <c r="P435" s="451" t="str">
        <f>'No Recurrentes 24-26'!BG300</f>
        <v/>
      </c>
      <c r="Q435" s="451" t="str">
        <f>'No Recurrentes 24-26'!BH300</f>
        <v/>
      </c>
      <c r="R435" s="451" t="str">
        <f>'No Recurrentes 24-26'!BI300</f>
        <v/>
      </c>
      <c r="S435" s="451" t="str">
        <f>'No Recurrentes 24-26'!BJ300</f>
        <v/>
      </c>
      <c r="T435" s="451" t="str">
        <f>'No Recurrentes 24-26'!BK300</f>
        <v/>
      </c>
      <c r="U435" s="451" t="str">
        <f>'No Recurrentes 24-26'!BL300</f>
        <v/>
      </c>
      <c r="V435" s="1068"/>
      <c r="W435" s="1062">
        <f>'No Recurrentes 24-26'!BM300</f>
        <v>5</v>
      </c>
      <c r="X435" s="1062" t="str">
        <f>'No Recurrentes 24-26'!BN300</f>
        <v/>
      </c>
      <c r="Y435" s="1062" t="str">
        <f>'No Recurrentes 24-26'!BO300</f>
        <v/>
      </c>
      <c r="Z435" s="1062" t="str">
        <f>'No Recurrentes 24-26'!BP300</f>
        <v/>
      </c>
      <c r="AA435" s="1062" t="str">
        <f>'No Recurrentes 24-26'!BQ300</f>
        <v/>
      </c>
      <c r="AB435" s="1062" t="str">
        <f>'No Recurrentes 24-26'!BR300</f>
        <v/>
      </c>
      <c r="AC435" s="1062" t="str">
        <f>'No Recurrentes 24-26'!BS300</f>
        <v/>
      </c>
      <c r="AD435" s="1062" t="str">
        <f>'No Recurrentes 24-26'!BT300</f>
        <v/>
      </c>
      <c r="AE435" s="1062" t="str">
        <f>'No Recurrentes 24-26'!BU300</f>
        <v/>
      </c>
      <c r="AF435" s="1062" t="str">
        <f>'No Recurrentes 24-26'!BV300</f>
        <v/>
      </c>
      <c r="AG435" s="1062" t="str">
        <f>'No Recurrentes 24-26'!BW300</f>
        <v/>
      </c>
      <c r="AH435" s="1068"/>
      <c r="AI435" s="1062">
        <f>'No Recurrentes 24-26'!BX300</f>
        <v>0</v>
      </c>
      <c r="AJ435" s="1062">
        <f>'No Recurrentes 24-26'!BY300</f>
        <v>0</v>
      </c>
      <c r="AK435" s="1062">
        <f>'No Recurrentes 24-26'!BZ300</f>
        <v>0</v>
      </c>
      <c r="AL435" s="1062">
        <f>'No Recurrentes 24-26'!CA300</f>
        <v>0</v>
      </c>
      <c r="AM435" s="1062">
        <f>'No Recurrentes 24-26'!CB300</f>
        <v>0</v>
      </c>
      <c r="AN435" s="1062">
        <f>'No Recurrentes 24-26'!CC300</f>
        <v>0</v>
      </c>
      <c r="AO435" s="1062">
        <f>'No Recurrentes 24-26'!CD300</f>
        <v>0</v>
      </c>
      <c r="AP435" s="1062">
        <f>'No Recurrentes 24-26'!CE300</f>
        <v>0</v>
      </c>
      <c r="AQ435" s="1062">
        <f>'No Recurrentes 24-26'!CF300</f>
        <v>0</v>
      </c>
      <c r="AR435" s="1062">
        <f>'No Recurrentes 24-26'!CG300</f>
        <v>0</v>
      </c>
      <c r="AS435" s="1062">
        <f>'No Recurrentes 24-26'!CH300</f>
        <v>0</v>
      </c>
      <c r="AT435" s="1068"/>
      <c r="AU435" s="1062">
        <f>'No Recurrentes 24-26'!CI300</f>
        <v>0</v>
      </c>
      <c r="AV435" s="1062">
        <f>'No Recurrentes 24-26'!CJ300</f>
        <v>5</v>
      </c>
      <c r="AW435" s="1068"/>
      <c r="AX435" s="1065">
        <f>'No Recurrentes 24-26'!CK300</f>
        <v>81.41</v>
      </c>
      <c r="AY435" s="1062">
        <f>'No Recurrentes 24-26'!CL300</f>
        <v>566.6136</v>
      </c>
      <c r="AZ435" s="1068"/>
      <c r="BA435" s="1062">
        <f>'No Recurrentes 24-26'!CM300</f>
        <v>2833.068</v>
      </c>
      <c r="BB435" s="1062">
        <f>'No Recurrentes 24-26'!CN300</f>
        <v>0</v>
      </c>
      <c r="BC435" s="1062">
        <f>'No Recurrentes 24-26'!CO300</f>
        <v>0</v>
      </c>
      <c r="BD435" s="1062">
        <f>'No Recurrentes 24-26'!CP300</f>
        <v>0</v>
      </c>
      <c r="BE435" s="1062">
        <f>'No Recurrentes 24-26'!CQ300</f>
        <v>0</v>
      </c>
      <c r="BF435" s="1062">
        <f>'No Recurrentes 24-26'!CR300</f>
        <v>0</v>
      </c>
      <c r="BG435" s="1062">
        <f>'No Recurrentes 24-26'!CS300</f>
        <v>0</v>
      </c>
      <c r="BH435" s="1062">
        <f>'No Recurrentes 24-26'!CT300</f>
        <v>0</v>
      </c>
      <c r="BI435" s="1062">
        <f>'No Recurrentes 24-26'!CU300</f>
        <v>0</v>
      </c>
      <c r="BJ435" s="1062">
        <f>'No Recurrentes 24-26'!CV300</f>
        <v>0</v>
      </c>
      <c r="BK435" s="1068"/>
      <c r="BL435" s="1062">
        <f>'No Recurrentes 24-26'!CW300</f>
        <v>2833.068</v>
      </c>
      <c r="BM435" s="1062">
        <f>'No Recurrentes 24-26'!CX300</f>
        <v>0</v>
      </c>
      <c r="BN435" s="1062">
        <f>'No Recurrentes 24-26'!CY300</f>
        <v>0</v>
      </c>
      <c r="BO435" s="1062">
        <f>'No Recurrentes 24-26'!CZ300</f>
        <v>0</v>
      </c>
      <c r="BP435" s="1062">
        <f>'No Recurrentes 24-26'!DA300</f>
        <v>0</v>
      </c>
      <c r="BQ435" s="1062">
        <f>'No Recurrentes 24-26'!DB300</f>
        <v>0</v>
      </c>
      <c r="BR435" s="1062">
        <f>'No Recurrentes 24-26'!DC300</f>
        <v>0</v>
      </c>
      <c r="BS435" s="1062">
        <f>'No Recurrentes 24-26'!DD300</f>
        <v>0</v>
      </c>
      <c r="BT435" s="1062">
        <f>'No Recurrentes 24-26'!DE300</f>
        <v>0</v>
      </c>
      <c r="BU435" s="1062">
        <f>'No Recurrentes 24-26'!DF300</f>
        <v>0</v>
      </c>
      <c r="BV435" s="1062">
        <f>'No Recurrentes 24-26'!DG300</f>
        <v>0</v>
      </c>
      <c r="BW435" s="1068"/>
      <c r="BX435" s="1062">
        <f>'No Recurrentes 24-26'!DH300</f>
        <v>0</v>
      </c>
      <c r="BY435" s="1062">
        <f>'No Recurrentes 24-26'!DI300</f>
        <v>0</v>
      </c>
      <c r="BZ435" s="1062">
        <f>'No Recurrentes 24-26'!DJ300</f>
        <v>0</v>
      </c>
      <c r="CA435" s="1062">
        <f>'No Recurrentes 24-26'!DK300</f>
        <v>0</v>
      </c>
      <c r="CB435" s="1062">
        <f>'No Recurrentes 24-26'!DL300</f>
        <v>0</v>
      </c>
      <c r="CC435" s="1062">
        <f>'No Recurrentes 24-26'!DM300</f>
        <v>0</v>
      </c>
      <c r="CD435" s="1062">
        <f>'No Recurrentes 24-26'!DN300</f>
        <v>0</v>
      </c>
      <c r="CE435" s="1062">
        <f>'No Recurrentes 24-26'!DO300</f>
        <v>0</v>
      </c>
      <c r="CF435" s="1062">
        <f>'No Recurrentes 24-26'!DP300</f>
        <v>0</v>
      </c>
      <c r="CG435" s="1062">
        <f>'No Recurrentes 24-26'!DQ300</f>
        <v>0</v>
      </c>
      <c r="CH435" s="1062">
        <f>'No Recurrentes 24-26'!DR300</f>
        <v>0</v>
      </c>
      <c r="CI435" s="1068"/>
      <c r="CJ435" s="1062">
        <f>'No Recurrentes 24-26'!DS300</f>
        <v>0</v>
      </c>
      <c r="CK435" s="1062">
        <f>'No Recurrentes 24-26'!DT300</f>
        <v>2833.068</v>
      </c>
      <c r="CL435" s="1064" t="str">
        <f>'No Recurrentes 24-26'!DU300</f>
        <v/>
      </c>
      <c r="CM435" s="1064" t="str">
        <f>'No Recurrentes 24-26'!DV300</f>
        <v/>
      </c>
      <c r="CN435" s="1060">
        <f>'No Recurrentes 24-26'!EI296</f>
        <v>1</v>
      </c>
      <c r="CO435" s="1060" t="str">
        <f>'No Recurrentes 24-26'!EJ296</f>
        <v/>
      </c>
      <c r="CP435" s="1060" t="str">
        <f>'No Recurrentes 24-26'!EK296</f>
        <v/>
      </c>
    </row>
    <row r="436">
      <c r="A436" s="451" t="str">
        <f>'No Recurrentes 24-26'!A301</f>
        <v>Repuestos Electromecánicos no recurrentes</v>
      </c>
      <c r="B436" s="451">
        <f>'No Recurrentes 24-26'!B301</f>
        <v>2</v>
      </c>
      <c r="C436" s="451" t="str">
        <f>'No Recurrentes 24-26'!C301</f>
        <v>Vehiculo</v>
      </c>
      <c r="D436" s="451" t="str">
        <f>'No Recurrentes 24-26'!D301</f>
        <v>OVH Suspension Cabina</v>
      </c>
      <c r="E436" s="451" t="str">
        <f>'No Recurrentes 24-26'!E301</f>
        <v>Repuesto Mecánico</v>
      </c>
      <c r="F436" s="451" t="str">
        <f>'No Recurrentes 24-26'!F301</f>
        <v>TDB</v>
      </c>
      <c r="G436" s="1025" t="str">
        <f>'No Recurrentes 24-26'!G301</f>
        <v>39800</v>
      </c>
      <c r="H436" s="1061" t="str">
        <f>'No Recurrentes 24-26'!H301</f>
        <v>2-01-00201</v>
      </c>
      <c r="I436" s="1061" t="str">
        <f>'No Recurrentes 24-26'!I301</f>
        <v>10542461</v>
      </c>
      <c r="J436" s="1061" t="str">
        <f>'No Recurrentes 24-26'!J301</f>
        <v>TOPE DE GOMA    DIA.90/36 A=24 CENTR.RESORTE ESPIRAL 8MGD-GCS</v>
      </c>
      <c r="K436" s="451" t="str">
        <f>'No Recurrentes 24-26'!K301</f>
        <v>Pza</v>
      </c>
      <c r="L436" s="451">
        <f>'No Recurrentes 24-26'!BC301</f>
        <v>7</v>
      </c>
      <c r="M436" s="451" t="str">
        <f>'No Recurrentes 24-26'!BD301</f>
        <v/>
      </c>
      <c r="N436" s="451" t="str">
        <f>'No Recurrentes 24-26'!BE301</f>
        <v/>
      </c>
      <c r="O436" s="451" t="str">
        <f>'No Recurrentes 24-26'!BF301</f>
        <v/>
      </c>
      <c r="P436" s="451" t="str">
        <f>'No Recurrentes 24-26'!BG301</f>
        <v/>
      </c>
      <c r="Q436" s="451" t="str">
        <f>'No Recurrentes 24-26'!BH301</f>
        <v/>
      </c>
      <c r="R436" s="451" t="str">
        <f>'No Recurrentes 24-26'!BI301</f>
        <v/>
      </c>
      <c r="S436" s="451" t="str">
        <f>'No Recurrentes 24-26'!BJ301</f>
        <v/>
      </c>
      <c r="T436" s="451" t="str">
        <f>'No Recurrentes 24-26'!BK301</f>
        <v/>
      </c>
      <c r="U436" s="451" t="str">
        <f>'No Recurrentes 24-26'!BL301</f>
        <v/>
      </c>
      <c r="V436" s="1068"/>
      <c r="W436" s="1062">
        <f>'No Recurrentes 24-26'!BM301</f>
        <v>7</v>
      </c>
      <c r="X436" s="1062" t="str">
        <f>'No Recurrentes 24-26'!BN301</f>
        <v/>
      </c>
      <c r="Y436" s="1062" t="str">
        <f>'No Recurrentes 24-26'!BO301</f>
        <v/>
      </c>
      <c r="Z436" s="1062" t="str">
        <f>'No Recurrentes 24-26'!BP301</f>
        <v/>
      </c>
      <c r="AA436" s="1062" t="str">
        <f>'No Recurrentes 24-26'!BQ301</f>
        <v/>
      </c>
      <c r="AB436" s="1062" t="str">
        <f>'No Recurrentes 24-26'!BR301</f>
        <v/>
      </c>
      <c r="AC436" s="1062" t="str">
        <f>'No Recurrentes 24-26'!BS301</f>
        <v/>
      </c>
      <c r="AD436" s="1062" t="str">
        <f>'No Recurrentes 24-26'!BT301</f>
        <v/>
      </c>
      <c r="AE436" s="1062" t="str">
        <f>'No Recurrentes 24-26'!BU301</f>
        <v/>
      </c>
      <c r="AF436" s="1062" t="str">
        <f>'No Recurrentes 24-26'!BV301</f>
        <v/>
      </c>
      <c r="AG436" s="1062" t="str">
        <f>'No Recurrentes 24-26'!BW301</f>
        <v/>
      </c>
      <c r="AH436" s="1068"/>
      <c r="AI436" s="1062">
        <f>'No Recurrentes 24-26'!BX301</f>
        <v>0</v>
      </c>
      <c r="AJ436" s="1062">
        <f>'No Recurrentes 24-26'!BY301</f>
        <v>0</v>
      </c>
      <c r="AK436" s="1062">
        <f>'No Recurrentes 24-26'!BZ301</f>
        <v>0</v>
      </c>
      <c r="AL436" s="1062">
        <f>'No Recurrentes 24-26'!CA301</f>
        <v>0</v>
      </c>
      <c r="AM436" s="1062">
        <f>'No Recurrentes 24-26'!CB301</f>
        <v>0</v>
      </c>
      <c r="AN436" s="1062">
        <f>'No Recurrentes 24-26'!CC301</f>
        <v>0</v>
      </c>
      <c r="AO436" s="1062">
        <f>'No Recurrentes 24-26'!CD301</f>
        <v>0</v>
      </c>
      <c r="AP436" s="1062">
        <f>'No Recurrentes 24-26'!CE301</f>
        <v>0</v>
      </c>
      <c r="AQ436" s="1062">
        <f>'No Recurrentes 24-26'!CF301</f>
        <v>0</v>
      </c>
      <c r="AR436" s="1062">
        <f>'No Recurrentes 24-26'!CG301</f>
        <v>0</v>
      </c>
      <c r="AS436" s="1062">
        <f>'No Recurrentes 24-26'!CH301</f>
        <v>0</v>
      </c>
      <c r="AT436" s="1068"/>
      <c r="AU436" s="1062">
        <f>'No Recurrentes 24-26'!CI301</f>
        <v>0</v>
      </c>
      <c r="AV436" s="1062">
        <f>'No Recurrentes 24-26'!CJ301</f>
        <v>7</v>
      </c>
      <c r="AW436" s="1068"/>
      <c r="AX436" s="1065">
        <f>'No Recurrentes 24-26'!CK301</f>
        <v>50.42</v>
      </c>
      <c r="AY436" s="1062">
        <f>'No Recurrentes 24-26'!CL301</f>
        <v>350.9232</v>
      </c>
      <c r="AZ436" s="1068"/>
      <c r="BA436" s="1062">
        <f>'No Recurrentes 24-26'!CM301</f>
        <v>2456.4624</v>
      </c>
      <c r="BB436" s="1062">
        <f>'No Recurrentes 24-26'!CN301</f>
        <v>0</v>
      </c>
      <c r="BC436" s="1062">
        <f>'No Recurrentes 24-26'!CO301</f>
        <v>0</v>
      </c>
      <c r="BD436" s="1062">
        <f>'No Recurrentes 24-26'!CP301</f>
        <v>0</v>
      </c>
      <c r="BE436" s="1062">
        <f>'No Recurrentes 24-26'!CQ301</f>
        <v>0</v>
      </c>
      <c r="BF436" s="1062">
        <f>'No Recurrentes 24-26'!CR301</f>
        <v>0</v>
      </c>
      <c r="BG436" s="1062">
        <f>'No Recurrentes 24-26'!CS301</f>
        <v>0</v>
      </c>
      <c r="BH436" s="1062">
        <f>'No Recurrentes 24-26'!CT301</f>
        <v>0</v>
      </c>
      <c r="BI436" s="1062">
        <f>'No Recurrentes 24-26'!CU301</f>
        <v>0</v>
      </c>
      <c r="BJ436" s="1062">
        <f>'No Recurrentes 24-26'!CV301</f>
        <v>0</v>
      </c>
      <c r="BK436" s="1068"/>
      <c r="BL436" s="1062">
        <f>'No Recurrentes 24-26'!CW301</f>
        <v>2456.4624</v>
      </c>
      <c r="BM436" s="1062">
        <f>'No Recurrentes 24-26'!CX301</f>
        <v>0</v>
      </c>
      <c r="BN436" s="1062">
        <f>'No Recurrentes 24-26'!CY301</f>
        <v>0</v>
      </c>
      <c r="BO436" s="1062">
        <f>'No Recurrentes 24-26'!CZ301</f>
        <v>0</v>
      </c>
      <c r="BP436" s="1062">
        <f>'No Recurrentes 24-26'!DA301</f>
        <v>0</v>
      </c>
      <c r="BQ436" s="1062">
        <f>'No Recurrentes 24-26'!DB301</f>
        <v>0</v>
      </c>
      <c r="BR436" s="1062">
        <f>'No Recurrentes 24-26'!DC301</f>
        <v>0</v>
      </c>
      <c r="BS436" s="1062">
        <f>'No Recurrentes 24-26'!DD301</f>
        <v>0</v>
      </c>
      <c r="BT436" s="1062">
        <f>'No Recurrentes 24-26'!DE301</f>
        <v>0</v>
      </c>
      <c r="BU436" s="1062">
        <f>'No Recurrentes 24-26'!DF301</f>
        <v>0</v>
      </c>
      <c r="BV436" s="1062">
        <f>'No Recurrentes 24-26'!DG301</f>
        <v>0</v>
      </c>
      <c r="BW436" s="1068"/>
      <c r="BX436" s="1062">
        <f>'No Recurrentes 24-26'!DH301</f>
        <v>0</v>
      </c>
      <c r="BY436" s="1062">
        <f>'No Recurrentes 24-26'!DI301</f>
        <v>0</v>
      </c>
      <c r="BZ436" s="1062">
        <f>'No Recurrentes 24-26'!DJ301</f>
        <v>0</v>
      </c>
      <c r="CA436" s="1062">
        <f>'No Recurrentes 24-26'!DK301</f>
        <v>0</v>
      </c>
      <c r="CB436" s="1062">
        <f>'No Recurrentes 24-26'!DL301</f>
        <v>0</v>
      </c>
      <c r="CC436" s="1062">
        <f>'No Recurrentes 24-26'!DM301</f>
        <v>0</v>
      </c>
      <c r="CD436" s="1062">
        <f>'No Recurrentes 24-26'!DN301</f>
        <v>0</v>
      </c>
      <c r="CE436" s="1062">
        <f>'No Recurrentes 24-26'!DO301</f>
        <v>0</v>
      </c>
      <c r="CF436" s="1062">
        <f>'No Recurrentes 24-26'!DP301</f>
        <v>0</v>
      </c>
      <c r="CG436" s="1062">
        <f>'No Recurrentes 24-26'!DQ301</f>
        <v>0</v>
      </c>
      <c r="CH436" s="1062">
        <f>'No Recurrentes 24-26'!DR301</f>
        <v>0</v>
      </c>
      <c r="CI436" s="1068"/>
      <c r="CJ436" s="1062">
        <f>'No Recurrentes 24-26'!DS301</f>
        <v>0</v>
      </c>
      <c r="CK436" s="1062">
        <f>'No Recurrentes 24-26'!DT301</f>
        <v>2456.4624</v>
      </c>
      <c r="CL436" s="1064" t="str">
        <f>'No Recurrentes 24-26'!DU301</f>
        <v/>
      </c>
      <c r="CM436" s="1064" t="str">
        <f>'No Recurrentes 24-26'!DV301</f>
        <v/>
      </c>
      <c r="CN436" s="1065">
        <f>'No Recurrentes 24-26'!EI297</f>
        <v>4972.78</v>
      </c>
      <c r="CO436" s="1065">
        <f>'No Recurrentes 24-26'!EJ297</f>
        <v>4226.86</v>
      </c>
      <c r="CP436" s="1060" t="str">
        <f>'No Recurrentes 24-26'!EK297</f>
        <v/>
      </c>
    </row>
    <row r="437">
      <c r="A437" s="451" t="str">
        <f>'No Recurrentes 24-26'!A302</f>
        <v>Repuestos Electromecánicos no recurrentes</v>
      </c>
      <c r="B437" s="451">
        <f>'No Recurrentes 24-26'!B302</f>
        <v>2</v>
      </c>
      <c r="C437" s="451" t="str">
        <f>'No Recurrentes 24-26'!C302</f>
        <v>Vehiculo</v>
      </c>
      <c r="D437" s="451" t="str">
        <f>'No Recurrentes 24-26'!D302</f>
        <v>OVH Suspension Cabina</v>
      </c>
      <c r="E437" s="451" t="str">
        <f>'No Recurrentes 24-26'!E302</f>
        <v>Repuesto Mecánico</v>
      </c>
      <c r="F437" s="451" t="str">
        <f>'No Recurrentes 24-26'!F302</f>
        <v>TDB</v>
      </c>
      <c r="G437" s="1025" t="str">
        <f>'No Recurrentes 24-26'!G302</f>
        <v>39800</v>
      </c>
      <c r="H437" s="1061" t="str">
        <f>'No Recurrentes 24-26'!H302</f>
        <v>2-01-00335</v>
      </c>
      <c r="I437" s="1061" t="str">
        <f>'No Recurrentes 24-26'!I302</f>
        <v>10340528</v>
      </c>
      <c r="J437" s="1061" t="str">
        <f>'No Recurrentes 24-26'!J302</f>
        <v>TOPE DE GOMA    DIA.90/35 A=24 CENTRAJE RESORTE ESPIRAL</v>
      </c>
      <c r="K437" s="451" t="str">
        <f>'No Recurrentes 24-26'!K302</f>
        <v>Pza</v>
      </c>
      <c r="L437" s="451">
        <f>'No Recurrentes 24-26'!BC302</f>
        <v>5</v>
      </c>
      <c r="M437" s="451" t="str">
        <f>'No Recurrentes 24-26'!BD302</f>
        <v/>
      </c>
      <c r="N437" s="451" t="str">
        <f>'No Recurrentes 24-26'!BE302</f>
        <v/>
      </c>
      <c r="O437" s="451" t="str">
        <f>'No Recurrentes 24-26'!BF302</f>
        <v/>
      </c>
      <c r="P437" s="451" t="str">
        <f>'No Recurrentes 24-26'!BG302</f>
        <v/>
      </c>
      <c r="Q437" s="451" t="str">
        <f>'No Recurrentes 24-26'!BH302</f>
        <v/>
      </c>
      <c r="R437" s="451" t="str">
        <f>'No Recurrentes 24-26'!BI302</f>
        <v/>
      </c>
      <c r="S437" s="451" t="str">
        <f>'No Recurrentes 24-26'!BJ302</f>
        <v/>
      </c>
      <c r="T437" s="451" t="str">
        <f>'No Recurrentes 24-26'!BK302</f>
        <v/>
      </c>
      <c r="U437" s="451" t="str">
        <f>'No Recurrentes 24-26'!BL302</f>
        <v/>
      </c>
      <c r="V437" s="1068"/>
      <c r="W437" s="1062">
        <f>'No Recurrentes 24-26'!BM302</f>
        <v>5</v>
      </c>
      <c r="X437" s="1062" t="str">
        <f>'No Recurrentes 24-26'!BN302</f>
        <v/>
      </c>
      <c r="Y437" s="1062" t="str">
        <f>'No Recurrentes 24-26'!BO302</f>
        <v/>
      </c>
      <c r="Z437" s="1062" t="str">
        <f>'No Recurrentes 24-26'!BP302</f>
        <v/>
      </c>
      <c r="AA437" s="1062" t="str">
        <f>'No Recurrentes 24-26'!BQ302</f>
        <v/>
      </c>
      <c r="AB437" s="1062" t="str">
        <f>'No Recurrentes 24-26'!BR302</f>
        <v/>
      </c>
      <c r="AC437" s="1062" t="str">
        <f>'No Recurrentes 24-26'!BS302</f>
        <v/>
      </c>
      <c r="AD437" s="1062" t="str">
        <f>'No Recurrentes 24-26'!BT302</f>
        <v/>
      </c>
      <c r="AE437" s="1062" t="str">
        <f>'No Recurrentes 24-26'!BU302</f>
        <v/>
      </c>
      <c r="AF437" s="1062" t="str">
        <f>'No Recurrentes 24-26'!BV302</f>
        <v/>
      </c>
      <c r="AG437" s="1062" t="str">
        <f>'No Recurrentes 24-26'!BW302</f>
        <v/>
      </c>
      <c r="AH437" s="1068"/>
      <c r="AI437" s="1062">
        <f>'No Recurrentes 24-26'!BX302</f>
        <v>0</v>
      </c>
      <c r="AJ437" s="1062">
        <f>'No Recurrentes 24-26'!BY302</f>
        <v>0</v>
      </c>
      <c r="AK437" s="1062">
        <f>'No Recurrentes 24-26'!BZ302</f>
        <v>0</v>
      </c>
      <c r="AL437" s="1062">
        <f>'No Recurrentes 24-26'!CA302</f>
        <v>0</v>
      </c>
      <c r="AM437" s="1062">
        <f>'No Recurrentes 24-26'!CB302</f>
        <v>0</v>
      </c>
      <c r="AN437" s="1062">
        <f>'No Recurrentes 24-26'!CC302</f>
        <v>0</v>
      </c>
      <c r="AO437" s="1062">
        <f>'No Recurrentes 24-26'!CD302</f>
        <v>0</v>
      </c>
      <c r="AP437" s="1062">
        <f>'No Recurrentes 24-26'!CE302</f>
        <v>0</v>
      </c>
      <c r="AQ437" s="1062">
        <f>'No Recurrentes 24-26'!CF302</f>
        <v>0</v>
      </c>
      <c r="AR437" s="1062">
        <f>'No Recurrentes 24-26'!CG302</f>
        <v>0</v>
      </c>
      <c r="AS437" s="1062">
        <f>'No Recurrentes 24-26'!CH302</f>
        <v>0</v>
      </c>
      <c r="AT437" s="1068"/>
      <c r="AU437" s="1062">
        <f>'No Recurrentes 24-26'!CI302</f>
        <v>0</v>
      </c>
      <c r="AV437" s="1062">
        <f>'No Recurrentes 24-26'!CJ302</f>
        <v>5</v>
      </c>
      <c r="AW437" s="1068"/>
      <c r="AX437" s="1065">
        <f>'No Recurrentes 24-26'!CK302</f>
        <v>35.53</v>
      </c>
      <c r="AY437" s="1062">
        <f>'No Recurrentes 24-26'!CL302</f>
        <v>247.2888</v>
      </c>
      <c r="AZ437" s="1068"/>
      <c r="BA437" s="1062">
        <f>'No Recurrentes 24-26'!CM302</f>
        <v>1236.444</v>
      </c>
      <c r="BB437" s="1062">
        <f>'No Recurrentes 24-26'!CN302</f>
        <v>0</v>
      </c>
      <c r="BC437" s="1062">
        <f>'No Recurrentes 24-26'!CO302</f>
        <v>0</v>
      </c>
      <c r="BD437" s="1062">
        <f>'No Recurrentes 24-26'!CP302</f>
        <v>0</v>
      </c>
      <c r="BE437" s="1062">
        <f>'No Recurrentes 24-26'!CQ302</f>
        <v>0</v>
      </c>
      <c r="BF437" s="1062">
        <f>'No Recurrentes 24-26'!CR302</f>
        <v>0</v>
      </c>
      <c r="BG437" s="1062">
        <f>'No Recurrentes 24-26'!CS302</f>
        <v>0</v>
      </c>
      <c r="BH437" s="1062">
        <f>'No Recurrentes 24-26'!CT302</f>
        <v>0</v>
      </c>
      <c r="BI437" s="1062">
        <f>'No Recurrentes 24-26'!CU302</f>
        <v>0</v>
      </c>
      <c r="BJ437" s="1062">
        <f>'No Recurrentes 24-26'!CV302</f>
        <v>0</v>
      </c>
      <c r="BK437" s="1068"/>
      <c r="BL437" s="1062">
        <f>'No Recurrentes 24-26'!CW302</f>
        <v>1236.444</v>
      </c>
      <c r="BM437" s="1062">
        <f>'No Recurrentes 24-26'!CX302</f>
        <v>0</v>
      </c>
      <c r="BN437" s="1062">
        <f>'No Recurrentes 24-26'!CY302</f>
        <v>0</v>
      </c>
      <c r="BO437" s="1062">
        <f>'No Recurrentes 24-26'!CZ302</f>
        <v>0</v>
      </c>
      <c r="BP437" s="1062">
        <f>'No Recurrentes 24-26'!DA302</f>
        <v>0</v>
      </c>
      <c r="BQ437" s="1062">
        <f>'No Recurrentes 24-26'!DB302</f>
        <v>0</v>
      </c>
      <c r="BR437" s="1062">
        <f>'No Recurrentes 24-26'!DC302</f>
        <v>0</v>
      </c>
      <c r="BS437" s="1062">
        <f>'No Recurrentes 24-26'!DD302</f>
        <v>0</v>
      </c>
      <c r="BT437" s="1062">
        <f>'No Recurrentes 24-26'!DE302</f>
        <v>0</v>
      </c>
      <c r="BU437" s="1062">
        <f>'No Recurrentes 24-26'!DF302</f>
        <v>0</v>
      </c>
      <c r="BV437" s="1062">
        <f>'No Recurrentes 24-26'!DG302</f>
        <v>0</v>
      </c>
      <c r="BW437" s="1068"/>
      <c r="BX437" s="1062">
        <f>'No Recurrentes 24-26'!DH302</f>
        <v>0</v>
      </c>
      <c r="BY437" s="1062">
        <f>'No Recurrentes 24-26'!DI302</f>
        <v>0</v>
      </c>
      <c r="BZ437" s="1062">
        <f>'No Recurrentes 24-26'!DJ302</f>
        <v>0</v>
      </c>
      <c r="CA437" s="1062">
        <f>'No Recurrentes 24-26'!DK302</f>
        <v>0</v>
      </c>
      <c r="CB437" s="1062">
        <f>'No Recurrentes 24-26'!DL302</f>
        <v>0</v>
      </c>
      <c r="CC437" s="1062">
        <f>'No Recurrentes 24-26'!DM302</f>
        <v>0</v>
      </c>
      <c r="CD437" s="1062">
        <f>'No Recurrentes 24-26'!DN302</f>
        <v>0</v>
      </c>
      <c r="CE437" s="1062">
        <f>'No Recurrentes 24-26'!DO302</f>
        <v>0</v>
      </c>
      <c r="CF437" s="1062">
        <f>'No Recurrentes 24-26'!DP302</f>
        <v>0</v>
      </c>
      <c r="CG437" s="1062">
        <f>'No Recurrentes 24-26'!DQ302</f>
        <v>0</v>
      </c>
      <c r="CH437" s="1062">
        <f>'No Recurrentes 24-26'!DR302</f>
        <v>0</v>
      </c>
      <c r="CI437" s="1068"/>
      <c r="CJ437" s="1062">
        <f>'No Recurrentes 24-26'!DS302</f>
        <v>0</v>
      </c>
      <c r="CK437" s="1062">
        <f>'No Recurrentes 24-26'!DT302</f>
        <v>1236.444</v>
      </c>
      <c r="CL437" s="1064" t="str">
        <f>'No Recurrentes 24-26'!DU302</f>
        <v/>
      </c>
      <c r="CM437" s="1064" t="str">
        <f>'No Recurrentes 24-26'!DV302</f>
        <v/>
      </c>
      <c r="CN437" s="1065">
        <f>'No Recurrentes 24-26'!EI298</f>
        <v>999.86</v>
      </c>
      <c r="CO437" s="1065">
        <f>'No Recurrentes 24-26'!EJ298</f>
        <v>849.88</v>
      </c>
      <c r="CP437" s="1060" t="str">
        <f>'No Recurrentes 24-26'!EK298</f>
        <v/>
      </c>
    </row>
    <row r="438">
      <c r="A438" s="451" t="str">
        <f>'No Recurrentes 24-26'!A303</f>
        <v>Repuestos Electromecánicos no recurrentes</v>
      </c>
      <c r="B438" s="451">
        <f>'No Recurrentes 24-26'!B303</f>
        <v>2</v>
      </c>
      <c r="C438" s="451" t="str">
        <f>'No Recurrentes 24-26'!C303</f>
        <v>Vehiculo</v>
      </c>
      <c r="D438" s="451" t="str">
        <f>'No Recurrentes 24-26'!D303</f>
        <v>OVH Suspension Cabina</v>
      </c>
      <c r="E438" s="451" t="str">
        <f>'No Recurrentes 24-26'!E303</f>
        <v>Repuesto Mecánico</v>
      </c>
      <c r="F438" s="451" t="str">
        <f>'No Recurrentes 24-26'!F303</f>
        <v>TDB</v>
      </c>
      <c r="G438" s="1025" t="str">
        <f>'No Recurrentes 24-26'!G303</f>
        <v>39800</v>
      </c>
      <c r="H438" s="1061" t="str">
        <f>'No Recurrentes 24-26'!H303</f>
        <v/>
      </c>
      <c r="I438" s="1061" t="str">
        <f>'No Recurrentes 24-26'!I303</f>
        <v>11288340</v>
      </c>
      <c r="J438" s="1061" t="str">
        <f>'No Recurrentes 24-26'!J303</f>
        <v>CABLE P. PUENTEO COMPLETO ARMAZÓN DE 4 PUNTOS DG</v>
      </c>
      <c r="K438" s="451" t="str">
        <f>'No Recurrentes 24-26'!K303</f>
        <v>Pza</v>
      </c>
      <c r="L438" s="451">
        <f>'No Recurrentes 24-26'!BC303</f>
        <v>5</v>
      </c>
      <c r="M438" s="451" t="str">
        <f>'No Recurrentes 24-26'!BD303</f>
        <v/>
      </c>
      <c r="N438" s="451" t="str">
        <f>'No Recurrentes 24-26'!BE303</f>
        <v/>
      </c>
      <c r="O438" s="451" t="str">
        <f>'No Recurrentes 24-26'!BF303</f>
        <v/>
      </c>
      <c r="P438" s="451" t="str">
        <f>'No Recurrentes 24-26'!BG303</f>
        <v/>
      </c>
      <c r="Q438" s="451" t="str">
        <f>'No Recurrentes 24-26'!BH303</f>
        <v/>
      </c>
      <c r="R438" s="451" t="str">
        <f>'No Recurrentes 24-26'!BI303</f>
        <v/>
      </c>
      <c r="S438" s="451" t="str">
        <f>'No Recurrentes 24-26'!BJ303</f>
        <v/>
      </c>
      <c r="T438" s="451" t="str">
        <f>'No Recurrentes 24-26'!BK303</f>
        <v/>
      </c>
      <c r="U438" s="451" t="str">
        <f>'No Recurrentes 24-26'!BL303</f>
        <v/>
      </c>
      <c r="V438" s="1068"/>
      <c r="W438" s="1062">
        <f>'No Recurrentes 24-26'!BM303</f>
        <v>5</v>
      </c>
      <c r="X438" s="1062" t="str">
        <f>'No Recurrentes 24-26'!BN303</f>
        <v/>
      </c>
      <c r="Y438" s="1062" t="str">
        <f>'No Recurrentes 24-26'!BO303</f>
        <v/>
      </c>
      <c r="Z438" s="1062" t="str">
        <f>'No Recurrentes 24-26'!BP303</f>
        <v/>
      </c>
      <c r="AA438" s="1062" t="str">
        <f>'No Recurrentes 24-26'!BQ303</f>
        <v/>
      </c>
      <c r="AB438" s="1062" t="str">
        <f>'No Recurrentes 24-26'!BR303</f>
        <v/>
      </c>
      <c r="AC438" s="1062" t="str">
        <f>'No Recurrentes 24-26'!BS303</f>
        <v/>
      </c>
      <c r="AD438" s="1062" t="str">
        <f>'No Recurrentes 24-26'!BT303</f>
        <v/>
      </c>
      <c r="AE438" s="1062" t="str">
        <f>'No Recurrentes 24-26'!BU303</f>
        <v/>
      </c>
      <c r="AF438" s="1062" t="str">
        <f>'No Recurrentes 24-26'!BV303</f>
        <v/>
      </c>
      <c r="AG438" s="1062" t="str">
        <f>'No Recurrentes 24-26'!BW303</f>
        <v/>
      </c>
      <c r="AH438" s="1068"/>
      <c r="AI438" s="1062">
        <f>'No Recurrentes 24-26'!BX303</f>
        <v>0</v>
      </c>
      <c r="AJ438" s="1062">
        <f>'No Recurrentes 24-26'!BY303</f>
        <v>0</v>
      </c>
      <c r="AK438" s="1062">
        <f>'No Recurrentes 24-26'!BZ303</f>
        <v>0</v>
      </c>
      <c r="AL438" s="1062">
        <f>'No Recurrentes 24-26'!CA303</f>
        <v>0</v>
      </c>
      <c r="AM438" s="1062">
        <f>'No Recurrentes 24-26'!CB303</f>
        <v>0</v>
      </c>
      <c r="AN438" s="1062">
        <f>'No Recurrentes 24-26'!CC303</f>
        <v>0</v>
      </c>
      <c r="AO438" s="1062">
        <f>'No Recurrentes 24-26'!CD303</f>
        <v>0</v>
      </c>
      <c r="AP438" s="1062">
        <f>'No Recurrentes 24-26'!CE303</f>
        <v>0</v>
      </c>
      <c r="AQ438" s="1062">
        <f>'No Recurrentes 24-26'!CF303</f>
        <v>0</v>
      </c>
      <c r="AR438" s="1062">
        <f>'No Recurrentes 24-26'!CG303</f>
        <v>0</v>
      </c>
      <c r="AS438" s="1062">
        <f>'No Recurrentes 24-26'!CH303</f>
        <v>0</v>
      </c>
      <c r="AT438" s="1068"/>
      <c r="AU438" s="1062">
        <f>'No Recurrentes 24-26'!CI303</f>
        <v>0</v>
      </c>
      <c r="AV438" s="1063">
        <f>'No Recurrentes 24-26'!CJ303</f>
        <v>5</v>
      </c>
      <c r="AW438" s="1068"/>
      <c r="AX438" s="1065">
        <f>'No Recurrentes 24-26'!CK303</f>
        <v>35.26</v>
      </c>
      <c r="AY438" s="1062">
        <f>'No Recurrentes 24-26'!CL303</f>
        <v>245.4096</v>
      </c>
      <c r="AZ438" s="1068"/>
      <c r="BA438" s="1062">
        <f>'No Recurrentes 24-26'!CM303</f>
        <v>1227.048</v>
      </c>
      <c r="BB438" s="1062">
        <f>'No Recurrentes 24-26'!CN303</f>
        <v>0</v>
      </c>
      <c r="BC438" s="1062">
        <f>'No Recurrentes 24-26'!CO303</f>
        <v>0</v>
      </c>
      <c r="BD438" s="1062">
        <f>'No Recurrentes 24-26'!CP303</f>
        <v>0</v>
      </c>
      <c r="BE438" s="1062">
        <f>'No Recurrentes 24-26'!CQ303</f>
        <v>0</v>
      </c>
      <c r="BF438" s="1062">
        <f>'No Recurrentes 24-26'!CR303</f>
        <v>0</v>
      </c>
      <c r="BG438" s="1062">
        <f>'No Recurrentes 24-26'!CS303</f>
        <v>0</v>
      </c>
      <c r="BH438" s="1062">
        <f>'No Recurrentes 24-26'!CT303</f>
        <v>0</v>
      </c>
      <c r="BI438" s="1062">
        <f>'No Recurrentes 24-26'!CU303</f>
        <v>0</v>
      </c>
      <c r="BJ438" s="1062">
        <f>'No Recurrentes 24-26'!CV303</f>
        <v>0</v>
      </c>
      <c r="BK438" s="1068"/>
      <c r="BL438" s="1062">
        <f>'No Recurrentes 24-26'!CW303</f>
        <v>1227.048</v>
      </c>
      <c r="BM438" s="1062">
        <f>'No Recurrentes 24-26'!CX303</f>
        <v>0</v>
      </c>
      <c r="BN438" s="1062">
        <f>'No Recurrentes 24-26'!CY303</f>
        <v>0</v>
      </c>
      <c r="BO438" s="1062">
        <f>'No Recurrentes 24-26'!CZ303</f>
        <v>0</v>
      </c>
      <c r="BP438" s="1062">
        <f>'No Recurrentes 24-26'!DA303</f>
        <v>0</v>
      </c>
      <c r="BQ438" s="1062">
        <f>'No Recurrentes 24-26'!DB303</f>
        <v>0</v>
      </c>
      <c r="BR438" s="1062">
        <f>'No Recurrentes 24-26'!DC303</f>
        <v>0</v>
      </c>
      <c r="BS438" s="1062">
        <f>'No Recurrentes 24-26'!DD303</f>
        <v>0</v>
      </c>
      <c r="BT438" s="1062">
        <f>'No Recurrentes 24-26'!DE303</f>
        <v>0</v>
      </c>
      <c r="BU438" s="1062">
        <f>'No Recurrentes 24-26'!DF303</f>
        <v>0</v>
      </c>
      <c r="BV438" s="1062">
        <f>'No Recurrentes 24-26'!DG303</f>
        <v>0</v>
      </c>
      <c r="BW438" s="1068"/>
      <c r="BX438" s="1062">
        <f>'No Recurrentes 24-26'!DH303</f>
        <v>0</v>
      </c>
      <c r="BY438" s="1062">
        <f>'No Recurrentes 24-26'!DI303</f>
        <v>0</v>
      </c>
      <c r="BZ438" s="1062">
        <f>'No Recurrentes 24-26'!DJ303</f>
        <v>0</v>
      </c>
      <c r="CA438" s="1062">
        <f>'No Recurrentes 24-26'!DK303</f>
        <v>0</v>
      </c>
      <c r="CB438" s="1062">
        <f>'No Recurrentes 24-26'!DL303</f>
        <v>0</v>
      </c>
      <c r="CC438" s="1062">
        <f>'No Recurrentes 24-26'!DM303</f>
        <v>0</v>
      </c>
      <c r="CD438" s="1062">
        <f>'No Recurrentes 24-26'!DN303</f>
        <v>0</v>
      </c>
      <c r="CE438" s="1062">
        <f>'No Recurrentes 24-26'!DO303</f>
        <v>0</v>
      </c>
      <c r="CF438" s="1062">
        <f>'No Recurrentes 24-26'!DP303</f>
        <v>0</v>
      </c>
      <c r="CG438" s="1062">
        <f>'No Recurrentes 24-26'!DQ303</f>
        <v>0</v>
      </c>
      <c r="CH438" s="1062">
        <f>'No Recurrentes 24-26'!DR303</f>
        <v>0</v>
      </c>
      <c r="CI438" s="1068"/>
      <c r="CJ438" s="1062">
        <f>'No Recurrentes 24-26'!DS303</f>
        <v>0</v>
      </c>
      <c r="CK438" s="1062">
        <f>'No Recurrentes 24-26'!DT303</f>
        <v>1227.048</v>
      </c>
      <c r="CL438" s="1064" t="str">
        <f>'No Recurrentes 24-26'!DU303</f>
        <v/>
      </c>
      <c r="CM438" s="1064" t="str">
        <f>'No Recurrentes 24-26'!DV303</f>
        <v/>
      </c>
      <c r="CN438" s="1065">
        <f>'No Recurrentes 24-26'!EI299</f>
        <v>532.66</v>
      </c>
      <c r="CO438" s="1065">
        <f>'No Recurrentes 24-26'!EJ299</f>
        <v>452.76</v>
      </c>
      <c r="CP438" s="1060" t="str">
        <f>'No Recurrentes 24-26'!EK299</f>
        <v/>
      </c>
    </row>
    <row r="439">
      <c r="A439" s="451" t="str">
        <f>'No Recurrentes 24-26'!A304</f>
        <v>Repuestos Electromecánicos no recurrentes</v>
      </c>
      <c r="B439" s="451">
        <f>'No Recurrentes 24-26'!B304</f>
        <v>2</v>
      </c>
      <c r="C439" s="451" t="str">
        <f>'No Recurrentes 24-26'!C304</f>
        <v>Vehiculo</v>
      </c>
      <c r="D439" s="451" t="str">
        <f>'No Recurrentes 24-26'!D304</f>
        <v>OVH Suspension Cabina</v>
      </c>
      <c r="E439" s="451" t="str">
        <f>'No Recurrentes 24-26'!E304</f>
        <v>Repuesto Mecánico</v>
      </c>
      <c r="F439" s="451" t="str">
        <f>'No Recurrentes 24-26'!F304</f>
        <v>TDB</v>
      </c>
      <c r="G439" s="1025" t="str">
        <f>'No Recurrentes 24-26'!G304</f>
        <v>39800</v>
      </c>
      <c r="H439" s="1061" t="str">
        <f>'No Recurrentes 24-26'!H304</f>
        <v>2-01-00333</v>
      </c>
      <c r="I439" s="1061" t="str">
        <f>'No Recurrentes 24-26'!I304</f>
        <v>10392341</v>
      </c>
      <c r="J439" s="1061" t="str">
        <f>'No Recurrentes 24-26'!J304</f>
        <v>ARANDELA D.CENTRAR DIA.104,5MM P.SUSPENSIÓN DE CABINA  6/8MGD</v>
      </c>
      <c r="K439" s="451" t="str">
        <f>'No Recurrentes 24-26'!K304</f>
        <v>Pza</v>
      </c>
      <c r="L439" s="451">
        <f>'No Recurrentes 24-26'!BC304</f>
        <v>5</v>
      </c>
      <c r="M439" s="451" t="str">
        <f>'No Recurrentes 24-26'!BD304</f>
        <v/>
      </c>
      <c r="N439" s="451" t="str">
        <f>'No Recurrentes 24-26'!BE304</f>
        <v/>
      </c>
      <c r="O439" s="451" t="str">
        <f>'No Recurrentes 24-26'!BF304</f>
        <v/>
      </c>
      <c r="P439" s="451" t="str">
        <f>'No Recurrentes 24-26'!BG304</f>
        <v/>
      </c>
      <c r="Q439" s="451" t="str">
        <f>'No Recurrentes 24-26'!BH304</f>
        <v/>
      </c>
      <c r="R439" s="451">
        <f>'No Recurrentes 24-26'!BI304</f>
        <v>5</v>
      </c>
      <c r="S439" s="451">
        <f>'No Recurrentes 24-26'!BJ304</f>
        <v>5</v>
      </c>
      <c r="T439" s="451" t="str">
        <f>'No Recurrentes 24-26'!BK304</f>
        <v/>
      </c>
      <c r="U439" s="451">
        <f>'No Recurrentes 24-26'!BL304</f>
        <v>0</v>
      </c>
      <c r="V439" s="1068"/>
      <c r="W439" s="1062">
        <f>'No Recurrentes 24-26'!BM304</f>
        <v>15</v>
      </c>
      <c r="X439" s="1062" t="str">
        <f>'No Recurrentes 24-26'!BN304</f>
        <v/>
      </c>
      <c r="Y439" s="1062" t="str">
        <f>'No Recurrentes 24-26'!BO304</f>
        <v/>
      </c>
      <c r="Z439" s="1062" t="str">
        <f>'No Recurrentes 24-26'!BP304</f>
        <v/>
      </c>
      <c r="AA439" s="1062" t="str">
        <f>'No Recurrentes 24-26'!BQ304</f>
        <v/>
      </c>
      <c r="AB439" s="1062" t="str">
        <f>'No Recurrentes 24-26'!BR304</f>
        <v/>
      </c>
      <c r="AC439" s="1062" t="str">
        <f>'No Recurrentes 24-26'!BS304</f>
        <v/>
      </c>
      <c r="AD439" s="1062" t="str">
        <f>'No Recurrentes 24-26'!BT304</f>
        <v/>
      </c>
      <c r="AE439" s="1062" t="str">
        <f>'No Recurrentes 24-26'!BU304</f>
        <v/>
      </c>
      <c r="AF439" s="1062" t="str">
        <f>'No Recurrentes 24-26'!BV304</f>
        <v/>
      </c>
      <c r="AG439" s="1062" t="str">
        <f>'No Recurrentes 24-26'!BW304</f>
        <v/>
      </c>
      <c r="AH439" s="1068"/>
      <c r="AI439" s="1062">
        <f>'No Recurrentes 24-26'!BX304</f>
        <v>0</v>
      </c>
      <c r="AJ439" s="1062">
        <f>'No Recurrentes 24-26'!BY304</f>
        <v>0</v>
      </c>
      <c r="AK439" s="1062">
        <f>'No Recurrentes 24-26'!BZ304</f>
        <v>0</v>
      </c>
      <c r="AL439" s="1062">
        <f>'No Recurrentes 24-26'!CA304</f>
        <v>0</v>
      </c>
      <c r="AM439" s="1062">
        <f>'No Recurrentes 24-26'!CB304</f>
        <v>0</v>
      </c>
      <c r="AN439" s="1062">
        <f>'No Recurrentes 24-26'!CC304</f>
        <v>0</v>
      </c>
      <c r="AO439" s="1062">
        <f>'No Recurrentes 24-26'!CD304</f>
        <v>0</v>
      </c>
      <c r="AP439" s="1062">
        <f>'No Recurrentes 24-26'!CE304</f>
        <v>0</v>
      </c>
      <c r="AQ439" s="1062">
        <f>'No Recurrentes 24-26'!CF304</f>
        <v>0</v>
      </c>
      <c r="AR439" s="1062">
        <f>'No Recurrentes 24-26'!CG304</f>
        <v>0</v>
      </c>
      <c r="AS439" s="1062">
        <f>'No Recurrentes 24-26'!CH304</f>
        <v>0</v>
      </c>
      <c r="AT439" s="1068"/>
      <c r="AU439" s="1062">
        <f>'No Recurrentes 24-26'!CI304</f>
        <v>0</v>
      </c>
      <c r="AV439" s="1062">
        <f>'No Recurrentes 24-26'!CJ304</f>
        <v>15</v>
      </c>
      <c r="AW439" s="1068"/>
      <c r="AX439" s="1065">
        <f>'No Recurrentes 24-26'!CK304</f>
        <v>4</v>
      </c>
      <c r="AY439" s="1062">
        <f>'No Recurrentes 24-26'!CL304</f>
        <v>27.84</v>
      </c>
      <c r="AZ439" s="1068"/>
      <c r="BA439" s="1062">
        <f>'No Recurrentes 24-26'!CM304</f>
        <v>139.2</v>
      </c>
      <c r="BB439" s="1062">
        <f>'No Recurrentes 24-26'!CN304</f>
        <v>0</v>
      </c>
      <c r="BC439" s="1062">
        <f>'No Recurrentes 24-26'!CO304</f>
        <v>0</v>
      </c>
      <c r="BD439" s="1062">
        <f>'No Recurrentes 24-26'!CP304</f>
        <v>0</v>
      </c>
      <c r="BE439" s="1062">
        <f>'No Recurrentes 24-26'!CQ304</f>
        <v>0</v>
      </c>
      <c r="BF439" s="1062">
        <f>'No Recurrentes 24-26'!CR304</f>
        <v>0</v>
      </c>
      <c r="BG439" s="1062">
        <f>'No Recurrentes 24-26'!CS304</f>
        <v>139.2</v>
      </c>
      <c r="BH439" s="1062">
        <f>'No Recurrentes 24-26'!CT304</f>
        <v>139.2</v>
      </c>
      <c r="BI439" s="1062">
        <f>'No Recurrentes 24-26'!CU304</f>
        <v>0</v>
      </c>
      <c r="BJ439" s="1062">
        <f>'No Recurrentes 24-26'!CV304</f>
        <v>0</v>
      </c>
      <c r="BK439" s="1068"/>
      <c r="BL439" s="1062">
        <f>'No Recurrentes 24-26'!CW304</f>
        <v>417.6</v>
      </c>
      <c r="BM439" s="1062">
        <f>'No Recurrentes 24-26'!CX304</f>
        <v>0</v>
      </c>
      <c r="BN439" s="1062">
        <f>'No Recurrentes 24-26'!CY304</f>
        <v>0</v>
      </c>
      <c r="BO439" s="1062">
        <f>'No Recurrentes 24-26'!CZ304</f>
        <v>0</v>
      </c>
      <c r="BP439" s="1062">
        <f>'No Recurrentes 24-26'!DA304</f>
        <v>0</v>
      </c>
      <c r="BQ439" s="1062">
        <f>'No Recurrentes 24-26'!DB304</f>
        <v>0</v>
      </c>
      <c r="BR439" s="1062">
        <f>'No Recurrentes 24-26'!DC304</f>
        <v>0</v>
      </c>
      <c r="BS439" s="1062">
        <f>'No Recurrentes 24-26'!DD304</f>
        <v>0</v>
      </c>
      <c r="BT439" s="1062">
        <f>'No Recurrentes 24-26'!DE304</f>
        <v>0</v>
      </c>
      <c r="BU439" s="1062">
        <f>'No Recurrentes 24-26'!DF304</f>
        <v>0</v>
      </c>
      <c r="BV439" s="1062">
        <f>'No Recurrentes 24-26'!DG304</f>
        <v>0</v>
      </c>
      <c r="BW439" s="1068"/>
      <c r="BX439" s="1062">
        <f>'No Recurrentes 24-26'!DH304</f>
        <v>0</v>
      </c>
      <c r="BY439" s="1062">
        <f>'No Recurrentes 24-26'!DI304</f>
        <v>0</v>
      </c>
      <c r="BZ439" s="1062">
        <f>'No Recurrentes 24-26'!DJ304</f>
        <v>0</v>
      </c>
      <c r="CA439" s="1062">
        <f>'No Recurrentes 24-26'!DK304</f>
        <v>0</v>
      </c>
      <c r="CB439" s="1062">
        <f>'No Recurrentes 24-26'!DL304</f>
        <v>0</v>
      </c>
      <c r="CC439" s="1062">
        <f>'No Recurrentes 24-26'!DM304</f>
        <v>0</v>
      </c>
      <c r="CD439" s="1062">
        <f>'No Recurrentes 24-26'!DN304</f>
        <v>0</v>
      </c>
      <c r="CE439" s="1062">
        <f>'No Recurrentes 24-26'!DO304</f>
        <v>0</v>
      </c>
      <c r="CF439" s="1062">
        <f>'No Recurrentes 24-26'!DP304</f>
        <v>0</v>
      </c>
      <c r="CG439" s="1062">
        <f>'No Recurrentes 24-26'!DQ304</f>
        <v>0</v>
      </c>
      <c r="CH439" s="1062">
        <f>'No Recurrentes 24-26'!DR304</f>
        <v>0</v>
      </c>
      <c r="CI439" s="1068"/>
      <c r="CJ439" s="1062">
        <f>'No Recurrentes 24-26'!DS304</f>
        <v>0</v>
      </c>
      <c r="CK439" s="1062">
        <f>'No Recurrentes 24-26'!DT304</f>
        <v>417.6</v>
      </c>
      <c r="CL439" s="1064" t="str">
        <f>'No Recurrentes 24-26'!DU304</f>
        <v/>
      </c>
      <c r="CM439" s="1064" t="str">
        <f>'No Recurrentes 24-26'!DV304</f>
        <v/>
      </c>
      <c r="CN439" s="1065">
        <f>'No Recurrentes 24-26'!EI300</f>
        <v>81.41</v>
      </c>
      <c r="CO439" s="1065">
        <f>'No Recurrentes 24-26'!EJ300</f>
        <v>69.2</v>
      </c>
      <c r="CP439" s="1060" t="str">
        <f>'No Recurrentes 24-26'!EK300</f>
        <v/>
      </c>
    </row>
    <row r="440">
      <c r="A440" s="451" t="str">
        <f>'No Recurrentes 24-26'!A305</f>
        <v>Repuestos Electromecánicos no recurrentes</v>
      </c>
      <c r="B440" s="451">
        <f>'No Recurrentes 24-26'!B305</f>
        <v>2</v>
      </c>
      <c r="C440" s="451" t="str">
        <f>'No Recurrentes 24-26'!C305</f>
        <v>Vehiculo</v>
      </c>
      <c r="D440" s="451" t="str">
        <f>'No Recurrentes 24-26'!D305</f>
        <v>OVH Suspension Cabina</v>
      </c>
      <c r="E440" s="451" t="str">
        <f>'No Recurrentes 24-26'!E305</f>
        <v>Repuesto Mecánico</v>
      </c>
      <c r="F440" s="451" t="str">
        <f>'No Recurrentes 24-26'!F305</f>
        <v>TDB</v>
      </c>
      <c r="G440" s="1025" t="str">
        <f>'No Recurrentes 24-26'!G305</f>
        <v>39800</v>
      </c>
      <c r="H440" s="1061" t="str">
        <f>'No Recurrentes 24-26'!H305</f>
        <v>2-01-00744</v>
      </c>
      <c r="I440" s="1061" t="str">
        <f>'No Recurrentes 24-26'!I305</f>
        <v>10872356</v>
      </c>
      <c r="J440" s="1061" t="str">
        <f>'No Recurrentes 24-26'!J305</f>
        <v>ARANDELA DIN 7349-8,4 300HV, FLZNNC-720H-L, REV.ZINC LAM. S.B</v>
      </c>
      <c r="K440" s="451" t="str">
        <f>'No Recurrentes 24-26'!K305</f>
        <v>Pza</v>
      </c>
      <c r="L440" s="451" t="str">
        <f>'No Recurrentes 24-26'!BC305</f>
        <v/>
      </c>
      <c r="M440" s="451" t="str">
        <f>'No Recurrentes 24-26'!BD305</f>
        <v/>
      </c>
      <c r="N440" s="451">
        <f>'No Recurrentes 24-26'!BE305</f>
        <v>20</v>
      </c>
      <c r="O440" s="451" t="str">
        <f>'No Recurrentes 24-26'!BF305</f>
        <v/>
      </c>
      <c r="P440" s="451" t="str">
        <f>'No Recurrentes 24-26'!BG305</f>
        <v/>
      </c>
      <c r="Q440" s="451" t="str">
        <f>'No Recurrentes 24-26'!BH305</f>
        <v/>
      </c>
      <c r="R440" s="451" t="str">
        <f>'No Recurrentes 24-26'!BI305</f>
        <v/>
      </c>
      <c r="S440" s="451" t="str">
        <f>'No Recurrentes 24-26'!BJ305</f>
        <v/>
      </c>
      <c r="T440" s="451" t="str">
        <f>'No Recurrentes 24-26'!BK305</f>
        <v/>
      </c>
      <c r="U440" s="451">
        <f>'No Recurrentes 24-26'!BL305</f>
        <v>20</v>
      </c>
      <c r="V440" s="1068"/>
      <c r="W440" s="1062">
        <f>'No Recurrentes 24-26'!BM305</f>
        <v>40</v>
      </c>
      <c r="X440" s="1062" t="str">
        <f>'No Recurrentes 24-26'!BN305</f>
        <v/>
      </c>
      <c r="Y440" s="1062" t="str">
        <f>'No Recurrentes 24-26'!BO305</f>
        <v/>
      </c>
      <c r="Z440" s="1062" t="str">
        <f>'No Recurrentes 24-26'!BP305</f>
        <v/>
      </c>
      <c r="AA440" s="1062" t="str">
        <f>'No Recurrentes 24-26'!BQ305</f>
        <v/>
      </c>
      <c r="AB440" s="1062" t="str">
        <f>'No Recurrentes 24-26'!BR305</f>
        <v/>
      </c>
      <c r="AC440" s="1062" t="str">
        <f>'No Recurrentes 24-26'!BS305</f>
        <v/>
      </c>
      <c r="AD440" s="1062" t="str">
        <f>'No Recurrentes 24-26'!BT305</f>
        <v/>
      </c>
      <c r="AE440" s="1062" t="str">
        <f>'No Recurrentes 24-26'!BU305</f>
        <v/>
      </c>
      <c r="AF440" s="1062" t="str">
        <f>'No Recurrentes 24-26'!BV305</f>
        <v/>
      </c>
      <c r="AG440" s="1062" t="str">
        <f>'No Recurrentes 24-26'!BW305</f>
        <v/>
      </c>
      <c r="AH440" s="1068"/>
      <c r="AI440" s="1062">
        <f>'No Recurrentes 24-26'!BX305</f>
        <v>0</v>
      </c>
      <c r="AJ440" s="1062">
        <f>'No Recurrentes 24-26'!BY305</f>
        <v>0</v>
      </c>
      <c r="AK440" s="1062">
        <f>'No Recurrentes 24-26'!BZ305</f>
        <v>0</v>
      </c>
      <c r="AL440" s="1062">
        <f>'No Recurrentes 24-26'!CA305</f>
        <v>0</v>
      </c>
      <c r="AM440" s="1062">
        <f>'No Recurrentes 24-26'!CB305</f>
        <v>0</v>
      </c>
      <c r="AN440" s="1062">
        <f>'No Recurrentes 24-26'!CC305</f>
        <v>0</v>
      </c>
      <c r="AO440" s="1062">
        <f>'No Recurrentes 24-26'!CD305</f>
        <v>0</v>
      </c>
      <c r="AP440" s="1062">
        <f>'No Recurrentes 24-26'!CE305</f>
        <v>0</v>
      </c>
      <c r="AQ440" s="1062">
        <f>'No Recurrentes 24-26'!CF305</f>
        <v>0</v>
      </c>
      <c r="AR440" s="1062">
        <f>'No Recurrentes 24-26'!CG305</f>
        <v>0</v>
      </c>
      <c r="AS440" s="1062">
        <f>'No Recurrentes 24-26'!CH305</f>
        <v>0</v>
      </c>
      <c r="AT440" s="1068"/>
      <c r="AU440" s="1062">
        <f>'No Recurrentes 24-26'!CI305</f>
        <v>0</v>
      </c>
      <c r="AV440" s="1062">
        <f>'No Recurrentes 24-26'!CJ305</f>
        <v>40</v>
      </c>
      <c r="AW440" s="1068"/>
      <c r="AX440" s="1065">
        <f>'No Recurrentes 24-26'!CK305</f>
        <v>0.46</v>
      </c>
      <c r="AY440" s="1062">
        <f>'No Recurrentes 24-26'!CL305</f>
        <v>3.2016</v>
      </c>
      <c r="AZ440" s="1068"/>
      <c r="BA440" s="1062">
        <f>'No Recurrentes 24-26'!CM305</f>
        <v>0</v>
      </c>
      <c r="BB440" s="1062">
        <f>'No Recurrentes 24-26'!CN305</f>
        <v>0</v>
      </c>
      <c r="BC440" s="1062">
        <f>'No Recurrentes 24-26'!CO305</f>
        <v>64.032</v>
      </c>
      <c r="BD440" s="1062">
        <f>'No Recurrentes 24-26'!CP305</f>
        <v>0</v>
      </c>
      <c r="BE440" s="1062">
        <f>'No Recurrentes 24-26'!CQ305</f>
        <v>0</v>
      </c>
      <c r="BF440" s="1062">
        <f>'No Recurrentes 24-26'!CR305</f>
        <v>0</v>
      </c>
      <c r="BG440" s="1062">
        <f>'No Recurrentes 24-26'!CS305</f>
        <v>0</v>
      </c>
      <c r="BH440" s="1062">
        <f>'No Recurrentes 24-26'!CT305</f>
        <v>0</v>
      </c>
      <c r="BI440" s="1062">
        <f>'No Recurrentes 24-26'!CU305</f>
        <v>0</v>
      </c>
      <c r="BJ440" s="1062">
        <f>'No Recurrentes 24-26'!CV305</f>
        <v>64.032</v>
      </c>
      <c r="BK440" s="1068"/>
      <c r="BL440" s="1062">
        <f>'No Recurrentes 24-26'!CW305</f>
        <v>128.064</v>
      </c>
      <c r="BM440" s="1062">
        <f>'No Recurrentes 24-26'!CX305</f>
        <v>0</v>
      </c>
      <c r="BN440" s="1062">
        <f>'No Recurrentes 24-26'!CY305</f>
        <v>0</v>
      </c>
      <c r="BO440" s="1062">
        <f>'No Recurrentes 24-26'!CZ305</f>
        <v>0</v>
      </c>
      <c r="BP440" s="1062">
        <f>'No Recurrentes 24-26'!DA305</f>
        <v>0</v>
      </c>
      <c r="BQ440" s="1062">
        <f>'No Recurrentes 24-26'!DB305</f>
        <v>0</v>
      </c>
      <c r="BR440" s="1062">
        <f>'No Recurrentes 24-26'!DC305</f>
        <v>0</v>
      </c>
      <c r="BS440" s="1062">
        <f>'No Recurrentes 24-26'!DD305</f>
        <v>0</v>
      </c>
      <c r="BT440" s="1062">
        <f>'No Recurrentes 24-26'!DE305</f>
        <v>0</v>
      </c>
      <c r="BU440" s="1062">
        <f>'No Recurrentes 24-26'!DF305</f>
        <v>0</v>
      </c>
      <c r="BV440" s="1062">
        <f>'No Recurrentes 24-26'!DG305</f>
        <v>0</v>
      </c>
      <c r="BW440" s="1068"/>
      <c r="BX440" s="1062">
        <f>'No Recurrentes 24-26'!DH305</f>
        <v>0</v>
      </c>
      <c r="BY440" s="1062">
        <f>'No Recurrentes 24-26'!DI305</f>
        <v>0</v>
      </c>
      <c r="BZ440" s="1062">
        <f>'No Recurrentes 24-26'!DJ305</f>
        <v>0</v>
      </c>
      <c r="CA440" s="1062">
        <f>'No Recurrentes 24-26'!DK305</f>
        <v>0</v>
      </c>
      <c r="CB440" s="1062">
        <f>'No Recurrentes 24-26'!DL305</f>
        <v>0</v>
      </c>
      <c r="CC440" s="1062">
        <f>'No Recurrentes 24-26'!DM305</f>
        <v>0</v>
      </c>
      <c r="CD440" s="1062">
        <f>'No Recurrentes 24-26'!DN305</f>
        <v>0</v>
      </c>
      <c r="CE440" s="1062">
        <f>'No Recurrentes 24-26'!DO305</f>
        <v>0</v>
      </c>
      <c r="CF440" s="1062">
        <f>'No Recurrentes 24-26'!DP305</f>
        <v>0</v>
      </c>
      <c r="CG440" s="1062">
        <f>'No Recurrentes 24-26'!DQ305</f>
        <v>0</v>
      </c>
      <c r="CH440" s="1062">
        <f>'No Recurrentes 24-26'!DR305</f>
        <v>0</v>
      </c>
      <c r="CI440" s="1068"/>
      <c r="CJ440" s="1062">
        <f>'No Recurrentes 24-26'!DS305</f>
        <v>0</v>
      </c>
      <c r="CK440" s="1062">
        <f>'No Recurrentes 24-26'!DT305</f>
        <v>128.064</v>
      </c>
      <c r="CL440" s="1064" t="str">
        <f>'No Recurrentes 24-26'!DU305</f>
        <v/>
      </c>
      <c r="CM440" s="1064" t="str">
        <f>'No Recurrentes 24-26'!DV305</f>
        <v/>
      </c>
      <c r="CN440" s="1065">
        <f>'No Recurrentes 24-26'!EI301</f>
        <v>50.42</v>
      </c>
      <c r="CO440" s="1065">
        <f>'No Recurrentes 24-26'!EJ301</f>
        <v>42.86</v>
      </c>
      <c r="CP440" s="1060" t="str">
        <f>'No Recurrentes 24-26'!EK301</f>
        <v/>
      </c>
    </row>
    <row r="441">
      <c r="A441" s="451" t="str">
        <f>'No Recurrentes 24-26'!A306</f>
        <v>Repuestos Electromecánicos no recurrentes</v>
      </c>
      <c r="B441" s="451">
        <f>'No Recurrentes 24-26'!B306</f>
        <v>2</v>
      </c>
      <c r="C441" s="451" t="str">
        <f>'No Recurrentes 24-26'!C306</f>
        <v>Vehiculo</v>
      </c>
      <c r="D441" s="451" t="str">
        <f>'No Recurrentes 24-26'!D306</f>
        <v>OVH Suspension Cabina</v>
      </c>
      <c r="E441" s="451" t="str">
        <f>'No Recurrentes 24-26'!E306</f>
        <v>Repuesto Mecánico</v>
      </c>
      <c r="F441" s="451" t="str">
        <f>'No Recurrentes 24-26'!F306</f>
        <v>TDB</v>
      </c>
      <c r="G441" s="1025" t="str">
        <f>'No Recurrentes 24-26'!G306</f>
        <v>39800</v>
      </c>
      <c r="H441" s="1061" t="str">
        <f>'No Recurrentes 24-26'!H306</f>
        <v>2-01-00738</v>
      </c>
      <c r="I441" s="1061" t="str">
        <f>'No Recurrentes 24-26'!I306</f>
        <v>10000123</v>
      </c>
      <c r="J441" s="1061" t="str">
        <f>'No Recurrentes 24-26'!J306</f>
        <v>TUERCA HEX.ISO4035-04 M20      GALVAN.              (DIN439B)</v>
      </c>
      <c r="K441" s="451" t="str">
        <f>'No Recurrentes 24-26'!K306</f>
        <v>Pza</v>
      </c>
      <c r="L441" s="451">
        <f>'No Recurrentes 24-26'!BC306</f>
        <v>10</v>
      </c>
      <c r="M441" s="451" t="str">
        <f>'No Recurrentes 24-26'!BD306</f>
        <v/>
      </c>
      <c r="N441" s="451" t="str">
        <f>'No Recurrentes 24-26'!BE306</f>
        <v/>
      </c>
      <c r="O441" s="451" t="str">
        <f>'No Recurrentes 24-26'!BF306</f>
        <v/>
      </c>
      <c r="P441" s="451" t="str">
        <f>'No Recurrentes 24-26'!BG306</f>
        <v/>
      </c>
      <c r="Q441" s="451" t="str">
        <f>'No Recurrentes 24-26'!BH306</f>
        <v/>
      </c>
      <c r="R441" s="451" t="str">
        <f>'No Recurrentes 24-26'!BI306</f>
        <v/>
      </c>
      <c r="S441" s="451" t="str">
        <f>'No Recurrentes 24-26'!BJ306</f>
        <v/>
      </c>
      <c r="T441" s="451" t="str">
        <f>'No Recurrentes 24-26'!BK306</f>
        <v/>
      </c>
      <c r="U441" s="451" t="str">
        <f>'No Recurrentes 24-26'!BL306</f>
        <v/>
      </c>
      <c r="V441" s="1068"/>
      <c r="W441" s="1062">
        <f>'No Recurrentes 24-26'!BM306</f>
        <v>10</v>
      </c>
      <c r="X441" s="1062" t="str">
        <f>'No Recurrentes 24-26'!BN306</f>
        <v/>
      </c>
      <c r="Y441" s="1062" t="str">
        <f>'No Recurrentes 24-26'!BO306</f>
        <v/>
      </c>
      <c r="Z441" s="1062" t="str">
        <f>'No Recurrentes 24-26'!BP306</f>
        <v/>
      </c>
      <c r="AA441" s="1062" t="str">
        <f>'No Recurrentes 24-26'!BQ306</f>
        <v/>
      </c>
      <c r="AB441" s="1062" t="str">
        <f>'No Recurrentes 24-26'!BR306</f>
        <v/>
      </c>
      <c r="AC441" s="1062" t="str">
        <f>'No Recurrentes 24-26'!BS306</f>
        <v/>
      </c>
      <c r="AD441" s="1062" t="str">
        <f>'No Recurrentes 24-26'!BT306</f>
        <v/>
      </c>
      <c r="AE441" s="1062" t="str">
        <f>'No Recurrentes 24-26'!BU306</f>
        <v/>
      </c>
      <c r="AF441" s="1062" t="str">
        <f>'No Recurrentes 24-26'!BV306</f>
        <v/>
      </c>
      <c r="AG441" s="1062" t="str">
        <f>'No Recurrentes 24-26'!BW306</f>
        <v/>
      </c>
      <c r="AH441" s="1068"/>
      <c r="AI441" s="1062">
        <f>'No Recurrentes 24-26'!BX306</f>
        <v>0</v>
      </c>
      <c r="AJ441" s="1062">
        <f>'No Recurrentes 24-26'!BY306</f>
        <v>0</v>
      </c>
      <c r="AK441" s="1062">
        <f>'No Recurrentes 24-26'!BZ306</f>
        <v>0</v>
      </c>
      <c r="AL441" s="1062">
        <f>'No Recurrentes 24-26'!CA306</f>
        <v>0</v>
      </c>
      <c r="AM441" s="1062">
        <f>'No Recurrentes 24-26'!CB306</f>
        <v>0</v>
      </c>
      <c r="AN441" s="1062">
        <f>'No Recurrentes 24-26'!CC306</f>
        <v>0</v>
      </c>
      <c r="AO441" s="1062">
        <f>'No Recurrentes 24-26'!CD306</f>
        <v>0</v>
      </c>
      <c r="AP441" s="1062">
        <f>'No Recurrentes 24-26'!CE306</f>
        <v>0</v>
      </c>
      <c r="AQ441" s="1062">
        <f>'No Recurrentes 24-26'!CF306</f>
        <v>0</v>
      </c>
      <c r="AR441" s="1062">
        <f>'No Recurrentes 24-26'!CG306</f>
        <v>0</v>
      </c>
      <c r="AS441" s="1062">
        <f>'No Recurrentes 24-26'!CH306</f>
        <v>0</v>
      </c>
      <c r="AT441" s="1068"/>
      <c r="AU441" s="1062">
        <f>'No Recurrentes 24-26'!CI306</f>
        <v>0</v>
      </c>
      <c r="AV441" s="1062">
        <f>'No Recurrentes 24-26'!CJ306</f>
        <v>10</v>
      </c>
      <c r="AW441" s="1068"/>
      <c r="AX441" s="1065">
        <f>'No Recurrentes 24-26'!CK306</f>
        <v>0.89</v>
      </c>
      <c r="AY441" s="1062">
        <f>'No Recurrentes 24-26'!CL306</f>
        <v>6.1944</v>
      </c>
      <c r="AZ441" s="1068"/>
      <c r="BA441" s="1062">
        <f>'No Recurrentes 24-26'!CM306</f>
        <v>61.944</v>
      </c>
      <c r="BB441" s="1062">
        <f>'No Recurrentes 24-26'!CN306</f>
        <v>0</v>
      </c>
      <c r="BC441" s="1062">
        <f>'No Recurrentes 24-26'!CO306</f>
        <v>0</v>
      </c>
      <c r="BD441" s="1062">
        <f>'No Recurrentes 24-26'!CP306</f>
        <v>0</v>
      </c>
      <c r="BE441" s="1062">
        <f>'No Recurrentes 24-26'!CQ306</f>
        <v>0</v>
      </c>
      <c r="BF441" s="1062">
        <f>'No Recurrentes 24-26'!CR306</f>
        <v>0</v>
      </c>
      <c r="BG441" s="1062">
        <f>'No Recurrentes 24-26'!CS306</f>
        <v>0</v>
      </c>
      <c r="BH441" s="1062">
        <f>'No Recurrentes 24-26'!CT306</f>
        <v>0</v>
      </c>
      <c r="BI441" s="1062">
        <f>'No Recurrentes 24-26'!CU306</f>
        <v>0</v>
      </c>
      <c r="BJ441" s="1062">
        <f>'No Recurrentes 24-26'!CV306</f>
        <v>0</v>
      </c>
      <c r="BK441" s="1068"/>
      <c r="BL441" s="1062">
        <f>'No Recurrentes 24-26'!CW306</f>
        <v>61.944</v>
      </c>
      <c r="BM441" s="1062">
        <f>'No Recurrentes 24-26'!CX306</f>
        <v>0</v>
      </c>
      <c r="BN441" s="1062">
        <f>'No Recurrentes 24-26'!CY306</f>
        <v>0</v>
      </c>
      <c r="BO441" s="1062">
        <f>'No Recurrentes 24-26'!CZ306</f>
        <v>0</v>
      </c>
      <c r="BP441" s="1062">
        <f>'No Recurrentes 24-26'!DA306</f>
        <v>0</v>
      </c>
      <c r="BQ441" s="1062">
        <f>'No Recurrentes 24-26'!DB306</f>
        <v>0</v>
      </c>
      <c r="BR441" s="1062">
        <f>'No Recurrentes 24-26'!DC306</f>
        <v>0</v>
      </c>
      <c r="BS441" s="1062">
        <f>'No Recurrentes 24-26'!DD306</f>
        <v>0</v>
      </c>
      <c r="BT441" s="1062">
        <f>'No Recurrentes 24-26'!DE306</f>
        <v>0</v>
      </c>
      <c r="BU441" s="1062">
        <f>'No Recurrentes 24-26'!DF306</f>
        <v>0</v>
      </c>
      <c r="BV441" s="1062">
        <f>'No Recurrentes 24-26'!DG306</f>
        <v>0</v>
      </c>
      <c r="BW441" s="1068"/>
      <c r="BX441" s="1062">
        <f>'No Recurrentes 24-26'!DH306</f>
        <v>0</v>
      </c>
      <c r="BY441" s="1062">
        <f>'No Recurrentes 24-26'!DI306</f>
        <v>0</v>
      </c>
      <c r="BZ441" s="1062">
        <f>'No Recurrentes 24-26'!DJ306</f>
        <v>0</v>
      </c>
      <c r="CA441" s="1062">
        <f>'No Recurrentes 24-26'!DK306</f>
        <v>0</v>
      </c>
      <c r="CB441" s="1062">
        <f>'No Recurrentes 24-26'!DL306</f>
        <v>0</v>
      </c>
      <c r="CC441" s="1062">
        <f>'No Recurrentes 24-26'!DM306</f>
        <v>0</v>
      </c>
      <c r="CD441" s="1062">
        <f>'No Recurrentes 24-26'!DN306</f>
        <v>0</v>
      </c>
      <c r="CE441" s="1062">
        <f>'No Recurrentes 24-26'!DO306</f>
        <v>0</v>
      </c>
      <c r="CF441" s="1062">
        <f>'No Recurrentes 24-26'!DP306</f>
        <v>0</v>
      </c>
      <c r="CG441" s="1062">
        <f>'No Recurrentes 24-26'!DQ306</f>
        <v>0</v>
      </c>
      <c r="CH441" s="1062">
        <f>'No Recurrentes 24-26'!DR306</f>
        <v>0</v>
      </c>
      <c r="CI441" s="1068"/>
      <c r="CJ441" s="1062">
        <f>'No Recurrentes 24-26'!DS306</f>
        <v>0</v>
      </c>
      <c r="CK441" s="1062">
        <f>'No Recurrentes 24-26'!DT306</f>
        <v>61.944</v>
      </c>
      <c r="CL441" s="1064" t="str">
        <f>'No Recurrentes 24-26'!DU306</f>
        <v/>
      </c>
      <c r="CM441" s="1064" t="str">
        <f>'No Recurrentes 24-26'!DV306</f>
        <v/>
      </c>
      <c r="CN441" s="1065">
        <f>'No Recurrentes 24-26'!EI302</f>
        <v>35.53</v>
      </c>
      <c r="CO441" s="1065">
        <f>'No Recurrentes 24-26'!EJ302</f>
        <v>30.2</v>
      </c>
      <c r="CP441" s="1060" t="str">
        <f>'No Recurrentes 24-26'!EK302</f>
        <v/>
      </c>
    </row>
    <row r="442">
      <c r="A442" s="451" t="str">
        <f>'No Recurrentes 24-26'!A307</f>
        <v>Repuestos Electromecánicos no recurrentes</v>
      </c>
      <c r="B442" s="451">
        <f>'No Recurrentes 24-26'!B307</f>
        <v>2</v>
      </c>
      <c r="C442" s="451" t="str">
        <f>'No Recurrentes 24-26'!C307</f>
        <v>Vehiculo</v>
      </c>
      <c r="D442" s="451" t="str">
        <f>'No Recurrentes 24-26'!D307</f>
        <v>OVH Suspension Cabina</v>
      </c>
      <c r="E442" s="451" t="str">
        <f>'No Recurrentes 24-26'!E307</f>
        <v>Repuesto Mecánico</v>
      </c>
      <c r="F442" s="451" t="str">
        <f>'No Recurrentes 24-26'!F307</f>
        <v>TDB</v>
      </c>
      <c r="G442" s="1025" t="str">
        <f>'No Recurrentes 24-26'!G307</f>
        <v>39800</v>
      </c>
      <c r="H442" s="1061" t="str">
        <f>'No Recurrentes 24-26'!H307</f>
        <v/>
      </c>
      <c r="I442" s="1061" t="str">
        <f>'No Recurrentes 24-26'!I307</f>
        <v>11870273</v>
      </c>
      <c r="J442" s="1061" t="str">
        <f>'No Recurrentes 24-26'!J307</f>
        <v>RESORTE DE COMPR. D=10,50/DIÁ=72,00/LO=91,0 IF= 2,71; RAL5003</v>
      </c>
      <c r="K442" s="451" t="str">
        <f>'No Recurrentes 24-26'!K307</f>
        <v>Pza</v>
      </c>
      <c r="L442" s="451" t="str">
        <f>'No Recurrentes 24-26'!BC307</f>
        <v/>
      </c>
      <c r="M442" s="451" t="str">
        <f>'No Recurrentes 24-26'!BD307</f>
        <v/>
      </c>
      <c r="N442" s="451" t="str">
        <f>'No Recurrentes 24-26'!BE307</f>
        <v/>
      </c>
      <c r="O442" s="451" t="str">
        <f>'No Recurrentes 24-26'!BF307</f>
        <v/>
      </c>
      <c r="P442" s="451" t="str">
        <f>'No Recurrentes 24-26'!BG307</f>
        <v/>
      </c>
      <c r="Q442" s="451" t="str">
        <f>'No Recurrentes 24-26'!BH307</f>
        <v/>
      </c>
      <c r="R442" s="451" t="str">
        <f>'No Recurrentes 24-26'!BI307</f>
        <v/>
      </c>
      <c r="S442" s="451" t="str">
        <f>'No Recurrentes 24-26'!BJ307</f>
        <v/>
      </c>
      <c r="T442" s="451" t="str">
        <f>'No Recurrentes 24-26'!BK307</f>
        <v/>
      </c>
      <c r="U442" s="451" t="str">
        <f>'No Recurrentes 24-26'!BL307</f>
        <v/>
      </c>
      <c r="V442" s="1068"/>
      <c r="W442" s="1062">
        <f>'No Recurrentes 24-26'!BM307</f>
        <v>0</v>
      </c>
      <c r="X442" s="1062">
        <f>'No Recurrentes 24-26'!BN307</f>
        <v>6</v>
      </c>
      <c r="Y442" s="1062" t="str">
        <f>'No Recurrentes 24-26'!BO307</f>
        <v/>
      </c>
      <c r="Z442" s="1062" t="str">
        <f>'No Recurrentes 24-26'!BP307</f>
        <v/>
      </c>
      <c r="AA442" s="1062" t="str">
        <f>'No Recurrentes 24-26'!BQ307</f>
        <v/>
      </c>
      <c r="AB442" s="1062" t="str">
        <f>'No Recurrentes 24-26'!BR307</f>
        <v/>
      </c>
      <c r="AC442" s="1062" t="str">
        <f>'No Recurrentes 24-26'!BS307</f>
        <v/>
      </c>
      <c r="AD442" s="1062" t="str">
        <f>'No Recurrentes 24-26'!BT307</f>
        <v/>
      </c>
      <c r="AE442" s="1062" t="str">
        <f>'No Recurrentes 24-26'!BU307</f>
        <v/>
      </c>
      <c r="AF442" s="1062" t="str">
        <f>'No Recurrentes 24-26'!BV307</f>
        <v/>
      </c>
      <c r="AG442" s="1062" t="str">
        <f>'No Recurrentes 24-26'!BW307</f>
        <v/>
      </c>
      <c r="AH442" s="1068"/>
      <c r="AI442" s="1062">
        <f>'No Recurrentes 24-26'!BX307</f>
        <v>6</v>
      </c>
      <c r="AJ442" s="1062">
        <f>'No Recurrentes 24-26'!BY307</f>
        <v>0</v>
      </c>
      <c r="AK442" s="1062">
        <f>'No Recurrentes 24-26'!BZ307</f>
        <v>0</v>
      </c>
      <c r="AL442" s="1062">
        <f>'No Recurrentes 24-26'!CA307</f>
        <v>0</v>
      </c>
      <c r="AM442" s="1062">
        <f>'No Recurrentes 24-26'!CB307</f>
        <v>0</v>
      </c>
      <c r="AN442" s="1062">
        <f>'No Recurrentes 24-26'!CC307</f>
        <v>0</v>
      </c>
      <c r="AO442" s="1062">
        <f>'No Recurrentes 24-26'!CD307</f>
        <v>0</v>
      </c>
      <c r="AP442" s="1062">
        <f>'No Recurrentes 24-26'!CE307</f>
        <v>0</v>
      </c>
      <c r="AQ442" s="1062">
        <f>'No Recurrentes 24-26'!CF307</f>
        <v>0</v>
      </c>
      <c r="AR442" s="1062">
        <f>'No Recurrentes 24-26'!CG307</f>
        <v>0</v>
      </c>
      <c r="AS442" s="1062">
        <f>'No Recurrentes 24-26'!CH307</f>
        <v>0</v>
      </c>
      <c r="AT442" s="1068"/>
      <c r="AU442" s="1062">
        <f>'No Recurrentes 24-26'!CI307</f>
        <v>0</v>
      </c>
      <c r="AV442" s="1062">
        <f>'No Recurrentes 24-26'!CJ307</f>
        <v>6</v>
      </c>
      <c r="AW442" s="1068"/>
      <c r="AX442" s="1065">
        <f>'No Recurrentes 24-26'!CK307</f>
        <v>37.07</v>
      </c>
      <c r="AY442" s="1062">
        <f>'No Recurrentes 24-26'!CL307</f>
        <v>258.0072</v>
      </c>
      <c r="AZ442" s="1068"/>
      <c r="BA442" s="1062">
        <f>'No Recurrentes 24-26'!CM307</f>
        <v>0</v>
      </c>
      <c r="BB442" s="1062">
        <f>'No Recurrentes 24-26'!CN307</f>
        <v>0</v>
      </c>
      <c r="BC442" s="1062">
        <f>'No Recurrentes 24-26'!CO307</f>
        <v>0</v>
      </c>
      <c r="BD442" s="1062">
        <f>'No Recurrentes 24-26'!CP307</f>
        <v>0</v>
      </c>
      <c r="BE442" s="1062">
        <f>'No Recurrentes 24-26'!CQ307</f>
        <v>0</v>
      </c>
      <c r="BF442" s="1062">
        <f>'No Recurrentes 24-26'!CR307</f>
        <v>0</v>
      </c>
      <c r="BG442" s="1062">
        <f>'No Recurrentes 24-26'!CS307</f>
        <v>0</v>
      </c>
      <c r="BH442" s="1062">
        <f>'No Recurrentes 24-26'!CT307</f>
        <v>0</v>
      </c>
      <c r="BI442" s="1062">
        <f>'No Recurrentes 24-26'!CU307</f>
        <v>0</v>
      </c>
      <c r="BJ442" s="1062">
        <f>'No Recurrentes 24-26'!CV307</f>
        <v>0</v>
      </c>
      <c r="BK442" s="1068"/>
      <c r="BL442" s="1062">
        <f>'No Recurrentes 24-26'!CW307</f>
        <v>0</v>
      </c>
      <c r="BM442" s="1062">
        <f>'No Recurrentes 24-26'!CX307</f>
        <v>1548.0432</v>
      </c>
      <c r="BN442" s="1062">
        <f>'No Recurrentes 24-26'!CY307</f>
        <v>0</v>
      </c>
      <c r="BO442" s="1062">
        <f>'No Recurrentes 24-26'!CZ307</f>
        <v>0</v>
      </c>
      <c r="BP442" s="1062">
        <f>'No Recurrentes 24-26'!DA307</f>
        <v>0</v>
      </c>
      <c r="BQ442" s="1062">
        <f>'No Recurrentes 24-26'!DB307</f>
        <v>0</v>
      </c>
      <c r="BR442" s="1062">
        <f>'No Recurrentes 24-26'!DC307</f>
        <v>0</v>
      </c>
      <c r="BS442" s="1062">
        <f>'No Recurrentes 24-26'!DD307</f>
        <v>0</v>
      </c>
      <c r="BT442" s="1062">
        <f>'No Recurrentes 24-26'!DE307</f>
        <v>0</v>
      </c>
      <c r="BU442" s="1062">
        <f>'No Recurrentes 24-26'!DF307</f>
        <v>0</v>
      </c>
      <c r="BV442" s="1062">
        <f>'No Recurrentes 24-26'!DG307</f>
        <v>0</v>
      </c>
      <c r="BW442" s="1068"/>
      <c r="BX442" s="1062">
        <f>'No Recurrentes 24-26'!DH307</f>
        <v>1548.0432</v>
      </c>
      <c r="BY442" s="1062">
        <f>'No Recurrentes 24-26'!DI307</f>
        <v>0</v>
      </c>
      <c r="BZ442" s="1062">
        <f>'No Recurrentes 24-26'!DJ307</f>
        <v>0</v>
      </c>
      <c r="CA442" s="1062">
        <f>'No Recurrentes 24-26'!DK307</f>
        <v>0</v>
      </c>
      <c r="CB442" s="1062">
        <f>'No Recurrentes 24-26'!DL307</f>
        <v>0</v>
      </c>
      <c r="CC442" s="1062">
        <f>'No Recurrentes 24-26'!DM307</f>
        <v>0</v>
      </c>
      <c r="CD442" s="1062">
        <f>'No Recurrentes 24-26'!DN307</f>
        <v>0</v>
      </c>
      <c r="CE442" s="1062">
        <f>'No Recurrentes 24-26'!DO307</f>
        <v>0</v>
      </c>
      <c r="CF442" s="1062">
        <f>'No Recurrentes 24-26'!DP307</f>
        <v>0</v>
      </c>
      <c r="CG442" s="1062">
        <f>'No Recurrentes 24-26'!DQ307</f>
        <v>0</v>
      </c>
      <c r="CH442" s="1062">
        <f>'No Recurrentes 24-26'!DR307</f>
        <v>0</v>
      </c>
      <c r="CI442" s="1068"/>
      <c r="CJ442" s="1062">
        <f>'No Recurrentes 24-26'!DS307</f>
        <v>0</v>
      </c>
      <c r="CK442" s="1062">
        <f>'No Recurrentes 24-26'!DT307</f>
        <v>1548.0432</v>
      </c>
      <c r="CL442" s="1064" t="str">
        <f>'No Recurrentes 24-26'!DU307</f>
        <v/>
      </c>
      <c r="CM442" s="1064" t="str">
        <f>'No Recurrentes 24-26'!DV307</f>
        <v/>
      </c>
      <c r="CN442" s="1065">
        <f>'No Recurrentes 24-26'!EI303</f>
        <v>35.26</v>
      </c>
      <c r="CO442" s="1065">
        <f>'No Recurrentes 24-26'!EJ303</f>
        <v>29.97</v>
      </c>
      <c r="CP442" s="1060" t="str">
        <f>'No Recurrentes 24-26'!EK303</f>
        <v/>
      </c>
    </row>
    <row r="443">
      <c r="A443" s="451" t="str">
        <f>'No Recurrentes 24-26'!A308</f>
        <v>Repuestos Electromecánicos no recurrentes</v>
      </c>
      <c r="B443" s="451">
        <f>'No Recurrentes 24-26'!B308</f>
        <v>2</v>
      </c>
      <c r="C443" s="451" t="str">
        <f>'No Recurrentes 24-26'!C308</f>
        <v>Vehiculo</v>
      </c>
      <c r="D443" s="451" t="str">
        <f>'No Recurrentes 24-26'!D308</f>
        <v>OVH Suspension Cabina</v>
      </c>
      <c r="E443" s="451" t="str">
        <f>'No Recurrentes 24-26'!E308</f>
        <v>Repuesto Mecánico</v>
      </c>
      <c r="F443" s="451" t="str">
        <f>'No Recurrentes 24-26'!F308</f>
        <v>TDB</v>
      </c>
      <c r="G443" s="1025" t="str">
        <f>'No Recurrentes 24-26'!G308</f>
        <v>39800</v>
      </c>
      <c r="H443" s="1061" t="str">
        <f>'No Recurrentes 24-26'!H308</f>
        <v>2-01-00922</v>
      </c>
      <c r="I443" s="1061" t="str">
        <f>'No Recurrentes 24-26'!I308</f>
        <v>11870272</v>
      </c>
      <c r="J443" s="1061" t="str">
        <f>'No Recurrentes 24-26'!J308</f>
        <v>RESORTE DE COMPR.D=10,00/DIÁ=71,00/LO=85,7 IF= 2,42; RAL7016</v>
      </c>
      <c r="K443" s="451" t="str">
        <f>'No Recurrentes 24-26'!K308</f>
        <v>Pza</v>
      </c>
      <c r="L443" s="451" t="str">
        <f>'No Recurrentes 24-26'!BC308</f>
        <v/>
      </c>
      <c r="M443" s="451" t="str">
        <f>'No Recurrentes 24-26'!BD308</f>
        <v/>
      </c>
      <c r="N443" s="451" t="str">
        <f>'No Recurrentes 24-26'!BE308</f>
        <v/>
      </c>
      <c r="O443" s="451" t="str">
        <f>'No Recurrentes 24-26'!BF308</f>
        <v/>
      </c>
      <c r="P443" s="451" t="str">
        <f>'No Recurrentes 24-26'!BG308</f>
        <v/>
      </c>
      <c r="Q443" s="451" t="str">
        <f>'No Recurrentes 24-26'!BH308</f>
        <v/>
      </c>
      <c r="R443" s="451" t="str">
        <f>'No Recurrentes 24-26'!BI308</f>
        <v/>
      </c>
      <c r="S443" s="451" t="str">
        <f>'No Recurrentes 24-26'!BJ308</f>
        <v/>
      </c>
      <c r="T443" s="451" t="str">
        <f>'No Recurrentes 24-26'!BK308</f>
        <v/>
      </c>
      <c r="U443" s="451" t="str">
        <f>'No Recurrentes 24-26'!BL308</f>
        <v/>
      </c>
      <c r="V443" s="1068"/>
      <c r="W443" s="1062">
        <f>'No Recurrentes 24-26'!BM308</f>
        <v>0</v>
      </c>
      <c r="X443" s="1062">
        <f>'No Recurrentes 24-26'!BN308</f>
        <v>6</v>
      </c>
      <c r="Y443" s="1062" t="str">
        <f>'No Recurrentes 24-26'!BO308</f>
        <v/>
      </c>
      <c r="Z443" s="1062" t="str">
        <f>'No Recurrentes 24-26'!BP308</f>
        <v/>
      </c>
      <c r="AA443" s="1062" t="str">
        <f>'No Recurrentes 24-26'!BQ308</f>
        <v/>
      </c>
      <c r="AB443" s="1062" t="str">
        <f>'No Recurrentes 24-26'!BR308</f>
        <v/>
      </c>
      <c r="AC443" s="1062" t="str">
        <f>'No Recurrentes 24-26'!BS308</f>
        <v/>
      </c>
      <c r="AD443" s="1062" t="str">
        <f>'No Recurrentes 24-26'!BT308</f>
        <v/>
      </c>
      <c r="AE443" s="1062" t="str">
        <f>'No Recurrentes 24-26'!BU308</f>
        <v/>
      </c>
      <c r="AF443" s="1062" t="str">
        <f>'No Recurrentes 24-26'!BV308</f>
        <v/>
      </c>
      <c r="AG443" s="1062" t="str">
        <f>'No Recurrentes 24-26'!BW308</f>
        <v/>
      </c>
      <c r="AH443" s="1068"/>
      <c r="AI443" s="1062">
        <f>'No Recurrentes 24-26'!BX308</f>
        <v>6</v>
      </c>
      <c r="AJ443" s="1062">
        <f>'No Recurrentes 24-26'!BY308</f>
        <v>0</v>
      </c>
      <c r="AK443" s="1062">
        <f>'No Recurrentes 24-26'!BZ308</f>
        <v>0</v>
      </c>
      <c r="AL443" s="1062">
        <f>'No Recurrentes 24-26'!CA308</f>
        <v>0</v>
      </c>
      <c r="AM443" s="1062">
        <f>'No Recurrentes 24-26'!CB308</f>
        <v>0</v>
      </c>
      <c r="AN443" s="1062">
        <f>'No Recurrentes 24-26'!CC308</f>
        <v>0</v>
      </c>
      <c r="AO443" s="1062">
        <f>'No Recurrentes 24-26'!CD308</f>
        <v>0</v>
      </c>
      <c r="AP443" s="1062">
        <f>'No Recurrentes 24-26'!CE308</f>
        <v>0</v>
      </c>
      <c r="AQ443" s="1062">
        <f>'No Recurrentes 24-26'!CF308</f>
        <v>0</v>
      </c>
      <c r="AR443" s="1062">
        <f>'No Recurrentes 24-26'!CG308</f>
        <v>0</v>
      </c>
      <c r="AS443" s="1062">
        <f>'No Recurrentes 24-26'!CH308</f>
        <v>0</v>
      </c>
      <c r="AT443" s="1068"/>
      <c r="AU443" s="1062">
        <f>'No Recurrentes 24-26'!CI308</f>
        <v>0</v>
      </c>
      <c r="AV443" s="1062">
        <f>'No Recurrentes 24-26'!CJ308</f>
        <v>6</v>
      </c>
      <c r="AW443" s="1068"/>
      <c r="AX443" s="1065">
        <f>'No Recurrentes 24-26'!CK308</f>
        <v>26.23</v>
      </c>
      <c r="AY443" s="1062">
        <f>'No Recurrentes 24-26'!CL308</f>
        <v>182.5608</v>
      </c>
      <c r="AZ443" s="1068"/>
      <c r="BA443" s="1062">
        <f>'No Recurrentes 24-26'!CM308</f>
        <v>0</v>
      </c>
      <c r="BB443" s="1062">
        <f>'No Recurrentes 24-26'!CN308</f>
        <v>0</v>
      </c>
      <c r="BC443" s="1062">
        <f>'No Recurrentes 24-26'!CO308</f>
        <v>0</v>
      </c>
      <c r="BD443" s="1062">
        <f>'No Recurrentes 24-26'!CP308</f>
        <v>0</v>
      </c>
      <c r="BE443" s="1062">
        <f>'No Recurrentes 24-26'!CQ308</f>
        <v>0</v>
      </c>
      <c r="BF443" s="1062">
        <f>'No Recurrentes 24-26'!CR308</f>
        <v>0</v>
      </c>
      <c r="BG443" s="1062">
        <f>'No Recurrentes 24-26'!CS308</f>
        <v>0</v>
      </c>
      <c r="BH443" s="1062">
        <f>'No Recurrentes 24-26'!CT308</f>
        <v>0</v>
      </c>
      <c r="BI443" s="1062">
        <f>'No Recurrentes 24-26'!CU308</f>
        <v>0</v>
      </c>
      <c r="BJ443" s="1062">
        <f>'No Recurrentes 24-26'!CV308</f>
        <v>0</v>
      </c>
      <c r="BK443" s="1068"/>
      <c r="BL443" s="1062">
        <f>'No Recurrentes 24-26'!CW308</f>
        <v>0</v>
      </c>
      <c r="BM443" s="1062">
        <f>'No Recurrentes 24-26'!CX308</f>
        <v>1095.3648</v>
      </c>
      <c r="BN443" s="1062">
        <f>'No Recurrentes 24-26'!CY308</f>
        <v>0</v>
      </c>
      <c r="BO443" s="1062">
        <f>'No Recurrentes 24-26'!CZ308</f>
        <v>0</v>
      </c>
      <c r="BP443" s="1062">
        <f>'No Recurrentes 24-26'!DA308</f>
        <v>0</v>
      </c>
      <c r="BQ443" s="1062">
        <f>'No Recurrentes 24-26'!DB308</f>
        <v>0</v>
      </c>
      <c r="BR443" s="1062">
        <f>'No Recurrentes 24-26'!DC308</f>
        <v>0</v>
      </c>
      <c r="BS443" s="1062">
        <f>'No Recurrentes 24-26'!DD308</f>
        <v>0</v>
      </c>
      <c r="BT443" s="1062">
        <f>'No Recurrentes 24-26'!DE308</f>
        <v>0</v>
      </c>
      <c r="BU443" s="1062">
        <f>'No Recurrentes 24-26'!DF308</f>
        <v>0</v>
      </c>
      <c r="BV443" s="1062">
        <f>'No Recurrentes 24-26'!DG308</f>
        <v>0</v>
      </c>
      <c r="BW443" s="1068"/>
      <c r="BX443" s="1062">
        <f>'No Recurrentes 24-26'!DH308</f>
        <v>1095.3648</v>
      </c>
      <c r="BY443" s="1062">
        <f>'No Recurrentes 24-26'!DI308</f>
        <v>0</v>
      </c>
      <c r="BZ443" s="1062">
        <f>'No Recurrentes 24-26'!DJ308</f>
        <v>0</v>
      </c>
      <c r="CA443" s="1062">
        <f>'No Recurrentes 24-26'!DK308</f>
        <v>0</v>
      </c>
      <c r="CB443" s="1062">
        <f>'No Recurrentes 24-26'!DL308</f>
        <v>0</v>
      </c>
      <c r="CC443" s="1062">
        <f>'No Recurrentes 24-26'!DM308</f>
        <v>0</v>
      </c>
      <c r="CD443" s="1062">
        <f>'No Recurrentes 24-26'!DN308</f>
        <v>0</v>
      </c>
      <c r="CE443" s="1062">
        <f>'No Recurrentes 24-26'!DO308</f>
        <v>0</v>
      </c>
      <c r="CF443" s="1062">
        <f>'No Recurrentes 24-26'!DP308</f>
        <v>0</v>
      </c>
      <c r="CG443" s="1062">
        <f>'No Recurrentes 24-26'!DQ308</f>
        <v>0</v>
      </c>
      <c r="CH443" s="1062">
        <f>'No Recurrentes 24-26'!DR308</f>
        <v>0</v>
      </c>
      <c r="CI443" s="1068"/>
      <c r="CJ443" s="1062">
        <f>'No Recurrentes 24-26'!DS308</f>
        <v>0</v>
      </c>
      <c r="CK443" s="1062">
        <f>'No Recurrentes 24-26'!DT308</f>
        <v>1095.3648</v>
      </c>
      <c r="CL443" s="1064" t="str">
        <f>'No Recurrentes 24-26'!DU308</f>
        <v/>
      </c>
      <c r="CM443" s="1064" t="str">
        <f>'No Recurrentes 24-26'!DV308</f>
        <v/>
      </c>
      <c r="CN443" s="1065">
        <f>'No Recurrentes 24-26'!EI304</f>
        <v>4</v>
      </c>
      <c r="CO443" s="1065">
        <f>'No Recurrentes 24-26'!EJ304</f>
        <v>3.4</v>
      </c>
      <c r="CP443" s="1060" t="str">
        <f>'No Recurrentes 24-26'!EK304</f>
        <v/>
      </c>
    </row>
    <row r="444">
      <c r="A444" s="451" t="str">
        <f>'No Recurrentes 24-26'!A309</f>
        <v>Repuestos Electromecánicos no recurrentes</v>
      </c>
      <c r="B444" s="451">
        <f>'No Recurrentes 24-26'!B309</f>
        <v>2</v>
      </c>
      <c r="C444" s="451" t="str">
        <f>'No Recurrentes 24-26'!C309</f>
        <v>Estación</v>
      </c>
      <c r="D444" s="451" t="str">
        <f>'No Recurrentes 24-26'!D309</f>
        <v>Poleas de estacion</v>
      </c>
      <c r="E444" s="451" t="str">
        <f>'No Recurrentes 24-26'!E309</f>
        <v>Repuesto Mecánico</v>
      </c>
      <c r="F444" s="451" t="str">
        <f>'No Recurrentes 24-26'!F309</f>
        <v>TDB</v>
      </c>
      <c r="G444" s="1025" t="str">
        <f>'No Recurrentes 24-26'!G309</f>
        <v>39800</v>
      </c>
      <c r="H444" s="1061" t="str">
        <f>'No Recurrentes 24-26'!H309</f>
        <v/>
      </c>
      <c r="I444" s="1061" t="str">
        <f>'No Recurrentes 24-26'!I309</f>
        <v>11107822</v>
      </c>
      <c r="J444" s="1061" t="str">
        <f>'No Recurrentes 24-26'!J309</f>
        <v>POLEA DE CORREA TRAPEZ. DIÁ.340 PERF. DE CORREA HCC ALUM</v>
      </c>
      <c r="K444" s="451" t="str">
        <f>'No Recurrentes 24-26'!K309</f>
        <v>Pza</v>
      </c>
      <c r="L444" s="451" t="str">
        <f>'No Recurrentes 24-26'!BC309</f>
        <v/>
      </c>
      <c r="M444" s="451" t="str">
        <f>'No Recurrentes 24-26'!BD309</f>
        <v/>
      </c>
      <c r="N444" s="451" t="str">
        <f>'No Recurrentes 24-26'!BE309</f>
        <v/>
      </c>
      <c r="O444" s="451">
        <f>'No Recurrentes 24-26'!BF309</f>
        <v>1</v>
      </c>
      <c r="P444" s="451" t="str">
        <f>'No Recurrentes 24-26'!BG309</f>
        <v/>
      </c>
      <c r="Q444" s="451" t="str">
        <f>'No Recurrentes 24-26'!BH309</f>
        <v/>
      </c>
      <c r="R444" s="451" t="str">
        <f>'No Recurrentes 24-26'!BI309</f>
        <v/>
      </c>
      <c r="S444" s="451" t="str">
        <f>'No Recurrentes 24-26'!BJ309</f>
        <v/>
      </c>
      <c r="T444" s="451" t="str">
        <f>'No Recurrentes 24-26'!BK309</f>
        <v/>
      </c>
      <c r="U444" s="451" t="str">
        <f>'No Recurrentes 24-26'!BL309</f>
        <v/>
      </c>
      <c r="V444" s="1068"/>
      <c r="W444" s="1062">
        <f>'No Recurrentes 24-26'!BM309</f>
        <v>1</v>
      </c>
      <c r="X444" s="1062" t="str">
        <f>'No Recurrentes 24-26'!BN309</f>
        <v/>
      </c>
      <c r="Y444" s="1062" t="str">
        <f>'No Recurrentes 24-26'!BO309</f>
        <v/>
      </c>
      <c r="Z444" s="1062" t="str">
        <f>'No Recurrentes 24-26'!BP309</f>
        <v/>
      </c>
      <c r="AA444" s="1062">
        <f>'No Recurrentes 24-26'!BQ309</f>
        <v>1</v>
      </c>
      <c r="AB444" s="1062" t="str">
        <f>'No Recurrentes 24-26'!BR309</f>
        <v/>
      </c>
      <c r="AC444" s="1062" t="str">
        <f>'No Recurrentes 24-26'!BS309</f>
        <v/>
      </c>
      <c r="AD444" s="1062" t="str">
        <f>'No Recurrentes 24-26'!BT309</f>
        <v/>
      </c>
      <c r="AE444" s="1062" t="str">
        <f>'No Recurrentes 24-26'!BU309</f>
        <v/>
      </c>
      <c r="AF444" s="1062" t="str">
        <f>'No Recurrentes 24-26'!BV309</f>
        <v/>
      </c>
      <c r="AG444" s="1062">
        <f>'No Recurrentes 24-26'!BW309</f>
        <v>4</v>
      </c>
      <c r="AH444" s="1068"/>
      <c r="AI444" s="1062">
        <f>'No Recurrentes 24-26'!BX309</f>
        <v>5</v>
      </c>
      <c r="AJ444" s="1062">
        <f>'No Recurrentes 24-26'!BY309</f>
        <v>0</v>
      </c>
      <c r="AK444" s="1062">
        <f>'No Recurrentes 24-26'!BZ309</f>
        <v>0</v>
      </c>
      <c r="AL444" s="1062">
        <f>'No Recurrentes 24-26'!CA309</f>
        <v>0</v>
      </c>
      <c r="AM444" s="1062">
        <f>'No Recurrentes 24-26'!CB309</f>
        <v>0</v>
      </c>
      <c r="AN444" s="1062">
        <f>'No Recurrentes 24-26'!CC309</f>
        <v>0</v>
      </c>
      <c r="AO444" s="1062">
        <f>'No Recurrentes 24-26'!CD309</f>
        <v>0</v>
      </c>
      <c r="AP444" s="1062">
        <f>'No Recurrentes 24-26'!CE309</f>
        <v>0</v>
      </c>
      <c r="AQ444" s="1062">
        <f>'No Recurrentes 24-26'!CF309</f>
        <v>0</v>
      </c>
      <c r="AR444" s="1062">
        <f>'No Recurrentes 24-26'!CG309</f>
        <v>0</v>
      </c>
      <c r="AS444" s="1062">
        <f>'No Recurrentes 24-26'!CH309</f>
        <v>0</v>
      </c>
      <c r="AT444" s="1068"/>
      <c r="AU444" s="1062">
        <f>'No Recurrentes 24-26'!CI309</f>
        <v>0</v>
      </c>
      <c r="AV444" s="1063">
        <f>'No Recurrentes 24-26'!CJ309</f>
        <v>6</v>
      </c>
      <c r="AW444" s="1068"/>
      <c r="AX444" s="1065">
        <f>'No Recurrentes 24-26'!CK309</f>
        <v>1945.19</v>
      </c>
      <c r="AY444" s="1062">
        <f>'No Recurrentes 24-26'!CL309</f>
        <v>13538.5224</v>
      </c>
      <c r="AZ444" s="1068"/>
      <c r="BA444" s="1062">
        <f>'No Recurrentes 24-26'!CM309</f>
        <v>0</v>
      </c>
      <c r="BB444" s="1062">
        <f>'No Recurrentes 24-26'!CN309</f>
        <v>0</v>
      </c>
      <c r="BC444" s="1062">
        <f>'No Recurrentes 24-26'!CO309</f>
        <v>0</v>
      </c>
      <c r="BD444" s="1062">
        <f>'No Recurrentes 24-26'!CP309</f>
        <v>13538.5224</v>
      </c>
      <c r="BE444" s="1062">
        <f>'No Recurrentes 24-26'!CQ309</f>
        <v>0</v>
      </c>
      <c r="BF444" s="1062">
        <f>'No Recurrentes 24-26'!CR309</f>
        <v>0</v>
      </c>
      <c r="BG444" s="1062">
        <f>'No Recurrentes 24-26'!CS309</f>
        <v>0</v>
      </c>
      <c r="BH444" s="1062">
        <f>'No Recurrentes 24-26'!CT309</f>
        <v>0</v>
      </c>
      <c r="BI444" s="1062">
        <f>'No Recurrentes 24-26'!CU309</f>
        <v>0</v>
      </c>
      <c r="BJ444" s="1062">
        <f>'No Recurrentes 24-26'!CV309</f>
        <v>0</v>
      </c>
      <c r="BK444" s="1068"/>
      <c r="BL444" s="1062">
        <f>'No Recurrentes 24-26'!CW309</f>
        <v>13538.5224</v>
      </c>
      <c r="BM444" s="1062">
        <f>'No Recurrentes 24-26'!CX309</f>
        <v>0</v>
      </c>
      <c r="BN444" s="1062">
        <f>'No Recurrentes 24-26'!CY309</f>
        <v>0</v>
      </c>
      <c r="BO444" s="1062">
        <f>'No Recurrentes 24-26'!CZ309</f>
        <v>0</v>
      </c>
      <c r="BP444" s="1062">
        <f>'No Recurrentes 24-26'!DA309</f>
        <v>13538.5224</v>
      </c>
      <c r="BQ444" s="1062">
        <f>'No Recurrentes 24-26'!DB309</f>
        <v>0</v>
      </c>
      <c r="BR444" s="1062">
        <f>'No Recurrentes 24-26'!DC309</f>
        <v>0</v>
      </c>
      <c r="BS444" s="1062">
        <f>'No Recurrentes 24-26'!DD309</f>
        <v>0</v>
      </c>
      <c r="BT444" s="1062">
        <f>'No Recurrentes 24-26'!DE309</f>
        <v>0</v>
      </c>
      <c r="BU444" s="1062">
        <f>'No Recurrentes 24-26'!DF309</f>
        <v>0</v>
      </c>
      <c r="BV444" s="1062">
        <f>'No Recurrentes 24-26'!DG309</f>
        <v>54154.0896</v>
      </c>
      <c r="BW444" s="1068"/>
      <c r="BX444" s="1062">
        <f>'No Recurrentes 24-26'!DH309</f>
        <v>67692.612</v>
      </c>
      <c r="BY444" s="1062">
        <f>'No Recurrentes 24-26'!DI309</f>
        <v>0</v>
      </c>
      <c r="BZ444" s="1062">
        <f>'No Recurrentes 24-26'!DJ309</f>
        <v>0</v>
      </c>
      <c r="CA444" s="1062">
        <f>'No Recurrentes 24-26'!DK309</f>
        <v>0</v>
      </c>
      <c r="CB444" s="1062">
        <f>'No Recurrentes 24-26'!DL309</f>
        <v>0</v>
      </c>
      <c r="CC444" s="1062">
        <f>'No Recurrentes 24-26'!DM309</f>
        <v>0</v>
      </c>
      <c r="CD444" s="1062">
        <f>'No Recurrentes 24-26'!DN309</f>
        <v>0</v>
      </c>
      <c r="CE444" s="1062">
        <f>'No Recurrentes 24-26'!DO309</f>
        <v>0</v>
      </c>
      <c r="CF444" s="1062">
        <f>'No Recurrentes 24-26'!DP309</f>
        <v>0</v>
      </c>
      <c r="CG444" s="1062">
        <f>'No Recurrentes 24-26'!DQ309</f>
        <v>0</v>
      </c>
      <c r="CH444" s="1062">
        <f>'No Recurrentes 24-26'!DR309</f>
        <v>0</v>
      </c>
      <c r="CI444" s="1068"/>
      <c r="CJ444" s="1062">
        <f>'No Recurrentes 24-26'!DS309</f>
        <v>0</v>
      </c>
      <c r="CK444" s="1062">
        <f>'No Recurrentes 24-26'!DT309</f>
        <v>81231.1344</v>
      </c>
      <c r="CL444" s="1064" t="str">
        <f>'No Recurrentes 24-26'!DU309</f>
        <v/>
      </c>
      <c r="CM444" s="1064" t="str">
        <f>'No Recurrentes 24-26'!DV309</f>
        <v/>
      </c>
      <c r="CN444" s="1065">
        <f>'No Recurrentes 24-26'!EI305</f>
        <v>0.46</v>
      </c>
      <c r="CO444" s="1065">
        <f>'No Recurrentes 24-26'!EJ305</f>
        <v>0.39</v>
      </c>
      <c r="CP444" s="1060" t="str">
        <f>'No Recurrentes 24-26'!EK305</f>
        <v/>
      </c>
    </row>
    <row r="445">
      <c r="A445" s="451" t="str">
        <f>'No Recurrentes 24-26'!A310</f>
        <v>Repuestos Electromecánicos no recurrentes</v>
      </c>
      <c r="B445" s="451">
        <f>'No Recurrentes 24-26'!B310</f>
        <v>2</v>
      </c>
      <c r="C445" s="451" t="str">
        <f>'No Recurrentes 24-26'!C310</f>
        <v>Estación</v>
      </c>
      <c r="D445" s="451" t="str">
        <f>'No Recurrentes 24-26'!D310</f>
        <v>Poleas de estacion</v>
      </c>
      <c r="E445" s="451" t="str">
        <f>'No Recurrentes 24-26'!E310</f>
        <v>Repuesto Mecánico</v>
      </c>
      <c r="F445" s="451" t="str">
        <f>'No Recurrentes 24-26'!F310</f>
        <v>TDB</v>
      </c>
      <c r="G445" s="1025" t="str">
        <f>'No Recurrentes 24-26'!G310</f>
        <v>39800</v>
      </c>
      <c r="H445" s="1061" t="str">
        <f>'No Recurrentes 24-26'!H310</f>
        <v>2-01-00270</v>
      </c>
      <c r="I445" s="1061" t="str">
        <f>'No Recurrentes 24-26'!I310</f>
        <v>10681429</v>
      </c>
      <c r="J445" s="1061" t="str">
        <f>'No Recurrentes 24-26'!J310</f>
        <v>TENSOR DE CORREA, ACCIONAM.POR RUEDA DE FRICCIÓN UNI</v>
      </c>
      <c r="K445" s="451" t="str">
        <f>'No Recurrentes 24-26'!K310</f>
        <v>Pza</v>
      </c>
      <c r="L445" s="451" t="str">
        <f>'No Recurrentes 24-26'!BC310</f>
        <v/>
      </c>
      <c r="M445" s="451" t="str">
        <f>'No Recurrentes 24-26'!BD310</f>
        <v/>
      </c>
      <c r="N445" s="451" t="str">
        <f>'No Recurrentes 24-26'!BE310</f>
        <v/>
      </c>
      <c r="O445" s="451" t="str">
        <f>'No Recurrentes 24-26'!BF310</f>
        <v/>
      </c>
      <c r="P445" s="451" t="str">
        <f>'No Recurrentes 24-26'!BG310</f>
        <v/>
      </c>
      <c r="Q445" s="451" t="str">
        <f>'No Recurrentes 24-26'!BH310</f>
        <v/>
      </c>
      <c r="R445" s="451" t="str">
        <f>'No Recurrentes 24-26'!BI310</f>
        <v/>
      </c>
      <c r="S445" s="451" t="str">
        <f>'No Recurrentes 24-26'!BJ310</f>
        <v/>
      </c>
      <c r="T445" s="451" t="str">
        <f>'No Recurrentes 24-26'!BK310</f>
        <v/>
      </c>
      <c r="U445" s="451" t="str">
        <f>'No Recurrentes 24-26'!BL310</f>
        <v/>
      </c>
      <c r="V445" s="1068"/>
      <c r="W445" s="1062">
        <f>'No Recurrentes 24-26'!BM310</f>
        <v>0</v>
      </c>
      <c r="X445" s="1062" t="str">
        <f>'No Recurrentes 24-26'!BN310</f>
        <v/>
      </c>
      <c r="Y445" s="1062" t="str">
        <f>'No Recurrentes 24-26'!BO310</f>
        <v/>
      </c>
      <c r="Z445" s="1062">
        <f>'No Recurrentes 24-26'!BP310</f>
        <v>4</v>
      </c>
      <c r="AA445" s="1062">
        <f>'No Recurrentes 24-26'!BQ310</f>
        <v>2</v>
      </c>
      <c r="AB445" s="1062" t="str">
        <f>'No Recurrentes 24-26'!BR310</f>
        <v/>
      </c>
      <c r="AC445" s="1062" t="str">
        <f>'No Recurrentes 24-26'!BS310</f>
        <v/>
      </c>
      <c r="AD445" s="1062" t="str">
        <f>'No Recurrentes 24-26'!BT310</f>
        <v/>
      </c>
      <c r="AE445" s="1062" t="str">
        <f>'No Recurrentes 24-26'!BU310</f>
        <v/>
      </c>
      <c r="AF445" s="1062" t="str">
        <f>'No Recurrentes 24-26'!BV310</f>
        <v/>
      </c>
      <c r="AG445" s="1062" t="str">
        <f>'No Recurrentes 24-26'!BW310</f>
        <v/>
      </c>
      <c r="AH445" s="1068"/>
      <c r="AI445" s="1062">
        <f>'No Recurrentes 24-26'!BX310</f>
        <v>6</v>
      </c>
      <c r="AJ445" s="1062">
        <f>'No Recurrentes 24-26'!BY310</f>
        <v>0</v>
      </c>
      <c r="AK445" s="1062">
        <f>'No Recurrentes 24-26'!BZ310</f>
        <v>0</v>
      </c>
      <c r="AL445" s="1062">
        <f>'No Recurrentes 24-26'!CA310</f>
        <v>0</v>
      </c>
      <c r="AM445" s="1062">
        <f>'No Recurrentes 24-26'!CB310</f>
        <v>0</v>
      </c>
      <c r="AN445" s="1062">
        <f>'No Recurrentes 24-26'!CC310</f>
        <v>0</v>
      </c>
      <c r="AO445" s="1062">
        <f>'No Recurrentes 24-26'!CD310</f>
        <v>0</v>
      </c>
      <c r="AP445" s="1062">
        <f>'No Recurrentes 24-26'!CE310</f>
        <v>0</v>
      </c>
      <c r="AQ445" s="1062">
        <f>'No Recurrentes 24-26'!CF310</f>
        <v>0</v>
      </c>
      <c r="AR445" s="1062">
        <f>'No Recurrentes 24-26'!CG310</f>
        <v>0</v>
      </c>
      <c r="AS445" s="1062">
        <f>'No Recurrentes 24-26'!CH310</f>
        <v>1</v>
      </c>
      <c r="AT445" s="1068"/>
      <c r="AU445" s="1062">
        <f>'No Recurrentes 24-26'!CI310</f>
        <v>1</v>
      </c>
      <c r="AV445" s="1063">
        <f>'No Recurrentes 24-26'!CJ310</f>
        <v>7</v>
      </c>
      <c r="AW445" s="1068"/>
      <c r="AX445" s="1065">
        <f>'No Recurrentes 24-26'!CK310</f>
        <v>1677.65</v>
      </c>
      <c r="AY445" s="1062">
        <f>'No Recurrentes 24-26'!CL310</f>
        <v>11676.444</v>
      </c>
      <c r="AZ445" s="1068"/>
      <c r="BA445" s="1062">
        <f>'No Recurrentes 24-26'!CM310</f>
        <v>0</v>
      </c>
      <c r="BB445" s="1062">
        <f>'No Recurrentes 24-26'!CN310</f>
        <v>0</v>
      </c>
      <c r="BC445" s="1062">
        <f>'No Recurrentes 24-26'!CO310</f>
        <v>0</v>
      </c>
      <c r="BD445" s="1062">
        <f>'No Recurrentes 24-26'!CP310</f>
        <v>0</v>
      </c>
      <c r="BE445" s="1062">
        <f>'No Recurrentes 24-26'!CQ310</f>
        <v>0</v>
      </c>
      <c r="BF445" s="1062">
        <f>'No Recurrentes 24-26'!CR310</f>
        <v>0</v>
      </c>
      <c r="BG445" s="1062">
        <f>'No Recurrentes 24-26'!CS310</f>
        <v>0</v>
      </c>
      <c r="BH445" s="1062">
        <f>'No Recurrentes 24-26'!CT310</f>
        <v>0</v>
      </c>
      <c r="BI445" s="1062">
        <f>'No Recurrentes 24-26'!CU310</f>
        <v>0</v>
      </c>
      <c r="BJ445" s="1062">
        <f>'No Recurrentes 24-26'!CV310</f>
        <v>0</v>
      </c>
      <c r="BK445" s="1068"/>
      <c r="BL445" s="1062">
        <f>'No Recurrentes 24-26'!CW310</f>
        <v>0</v>
      </c>
      <c r="BM445" s="1062">
        <f>'No Recurrentes 24-26'!CX310</f>
        <v>0</v>
      </c>
      <c r="BN445" s="1062">
        <f>'No Recurrentes 24-26'!CY310</f>
        <v>0</v>
      </c>
      <c r="BO445" s="1062">
        <f>'No Recurrentes 24-26'!CZ310</f>
        <v>46705.776</v>
      </c>
      <c r="BP445" s="1062">
        <f>'No Recurrentes 24-26'!DA310</f>
        <v>23352.888</v>
      </c>
      <c r="BQ445" s="1062">
        <f>'No Recurrentes 24-26'!DB310</f>
        <v>0</v>
      </c>
      <c r="BR445" s="1062">
        <f>'No Recurrentes 24-26'!DC310</f>
        <v>0</v>
      </c>
      <c r="BS445" s="1062">
        <f>'No Recurrentes 24-26'!DD310</f>
        <v>0</v>
      </c>
      <c r="BT445" s="1062">
        <f>'No Recurrentes 24-26'!DE310</f>
        <v>0</v>
      </c>
      <c r="BU445" s="1062">
        <f>'No Recurrentes 24-26'!DF310</f>
        <v>0</v>
      </c>
      <c r="BV445" s="1062">
        <f>'No Recurrentes 24-26'!DG310</f>
        <v>0</v>
      </c>
      <c r="BW445" s="1068"/>
      <c r="BX445" s="1062">
        <f>'No Recurrentes 24-26'!DH310</f>
        <v>70058.664</v>
      </c>
      <c r="BY445" s="1062">
        <f>'No Recurrentes 24-26'!DI310</f>
        <v>0</v>
      </c>
      <c r="BZ445" s="1062">
        <f>'No Recurrentes 24-26'!DJ310</f>
        <v>0</v>
      </c>
      <c r="CA445" s="1062">
        <f>'No Recurrentes 24-26'!DK310</f>
        <v>0</v>
      </c>
      <c r="CB445" s="1062">
        <f>'No Recurrentes 24-26'!DL310</f>
        <v>0</v>
      </c>
      <c r="CC445" s="1062">
        <f>'No Recurrentes 24-26'!DM310</f>
        <v>0</v>
      </c>
      <c r="CD445" s="1062">
        <f>'No Recurrentes 24-26'!DN310</f>
        <v>0</v>
      </c>
      <c r="CE445" s="1062">
        <f>'No Recurrentes 24-26'!DO310</f>
        <v>0</v>
      </c>
      <c r="CF445" s="1062">
        <f>'No Recurrentes 24-26'!DP310</f>
        <v>0</v>
      </c>
      <c r="CG445" s="1062">
        <f>'No Recurrentes 24-26'!DQ310</f>
        <v>0</v>
      </c>
      <c r="CH445" s="1062">
        <f>'No Recurrentes 24-26'!DR310</f>
        <v>11676.444</v>
      </c>
      <c r="CI445" s="1068"/>
      <c r="CJ445" s="1062">
        <f>'No Recurrentes 24-26'!DS310</f>
        <v>11676.444</v>
      </c>
      <c r="CK445" s="1062">
        <f>'No Recurrentes 24-26'!DT310</f>
        <v>81735.108</v>
      </c>
      <c r="CL445" s="1064" t="str">
        <f>'No Recurrentes 24-26'!DU310</f>
        <v/>
      </c>
      <c r="CM445" s="1064" t="str">
        <f>'No Recurrentes 24-26'!DV310</f>
        <v/>
      </c>
      <c r="CN445" s="1065">
        <f>'No Recurrentes 24-26'!EI306</f>
        <v>0.89</v>
      </c>
      <c r="CO445" s="1065">
        <f>'No Recurrentes 24-26'!EJ306</f>
        <v>0.76</v>
      </c>
      <c r="CP445" s="1060" t="str">
        <f>'No Recurrentes 24-26'!EK306</f>
        <v/>
      </c>
    </row>
    <row r="446">
      <c r="A446" s="451" t="str">
        <f>'No Recurrentes 24-26'!A311</f>
        <v>Repuestos Electromecánicos no recurrentes</v>
      </c>
      <c r="B446" s="451">
        <f>'No Recurrentes 24-26'!B311</f>
        <v>2</v>
      </c>
      <c r="C446" s="451" t="str">
        <f>'No Recurrentes 24-26'!C311</f>
        <v>Estación</v>
      </c>
      <c r="D446" s="451" t="str">
        <f>'No Recurrentes 24-26'!D311</f>
        <v>Poleas de estacion</v>
      </c>
      <c r="E446" s="451" t="str">
        <f>'No Recurrentes 24-26'!E311</f>
        <v>Repuesto Mecánico</v>
      </c>
      <c r="F446" s="451" t="str">
        <f>'No Recurrentes 24-26'!F311</f>
        <v>TDB</v>
      </c>
      <c r="G446" s="1025" t="str">
        <f>'No Recurrentes 24-26'!G311</f>
        <v>39800</v>
      </c>
      <c r="H446" s="1061" t="str">
        <f>'No Recurrentes 24-26'!H311</f>
        <v/>
      </c>
      <c r="I446" s="1061" t="str">
        <f>'No Recurrentes 24-26'!I311</f>
        <v>11107830</v>
      </c>
      <c r="J446" s="1061" t="str">
        <f>'No Recurrentes 24-26'!J311</f>
        <v>POLEA DE CORREA TRAP. DIÁ.328/318 DIÁ.80 PERFIL CORREA XPC AL</v>
      </c>
      <c r="K446" s="451" t="str">
        <f>'No Recurrentes 24-26'!K311</f>
        <v>Pza</v>
      </c>
      <c r="L446" s="451" t="str">
        <f>'No Recurrentes 24-26'!BC311</f>
        <v/>
      </c>
      <c r="M446" s="451" t="str">
        <f>'No Recurrentes 24-26'!BD311</f>
        <v/>
      </c>
      <c r="N446" s="451">
        <f>'No Recurrentes 24-26'!BE311</f>
        <v>1</v>
      </c>
      <c r="O446" s="451" t="str">
        <f>'No Recurrentes 24-26'!BF311</f>
        <v/>
      </c>
      <c r="P446" s="451" t="str">
        <f>'No Recurrentes 24-26'!BG311</f>
        <v/>
      </c>
      <c r="Q446" s="451" t="str">
        <f>'No Recurrentes 24-26'!BH311</f>
        <v/>
      </c>
      <c r="R446" s="451" t="str">
        <f>'No Recurrentes 24-26'!BI311</f>
        <v/>
      </c>
      <c r="S446" s="451" t="str">
        <f>'No Recurrentes 24-26'!BJ311</f>
        <v/>
      </c>
      <c r="T446" s="451" t="str">
        <f>'No Recurrentes 24-26'!BK311</f>
        <v/>
      </c>
      <c r="U446" s="451" t="str">
        <f>'No Recurrentes 24-26'!BL311</f>
        <v/>
      </c>
      <c r="V446" s="1068"/>
      <c r="W446" s="1062">
        <f>'No Recurrentes 24-26'!BM311</f>
        <v>1</v>
      </c>
      <c r="X446" s="1062" t="str">
        <f>'No Recurrentes 24-26'!BN311</f>
        <v/>
      </c>
      <c r="Y446" s="1062" t="str">
        <f>'No Recurrentes 24-26'!BO311</f>
        <v/>
      </c>
      <c r="Z446" s="1062">
        <f>'No Recurrentes 24-26'!BP311</f>
        <v>1</v>
      </c>
      <c r="AA446" s="1062">
        <f>'No Recurrentes 24-26'!BQ311</f>
        <v>2</v>
      </c>
      <c r="AB446" s="1062" t="str">
        <f>'No Recurrentes 24-26'!BR311</f>
        <v/>
      </c>
      <c r="AC446" s="1062" t="str">
        <f>'No Recurrentes 24-26'!BS311</f>
        <v/>
      </c>
      <c r="AD446" s="1062" t="str">
        <f>'No Recurrentes 24-26'!BT311</f>
        <v/>
      </c>
      <c r="AE446" s="1062" t="str">
        <f>'No Recurrentes 24-26'!BU311</f>
        <v/>
      </c>
      <c r="AF446" s="1062" t="str">
        <f>'No Recurrentes 24-26'!BV311</f>
        <v/>
      </c>
      <c r="AG446" s="1062" t="str">
        <f>'No Recurrentes 24-26'!BW311</f>
        <v/>
      </c>
      <c r="AH446" s="1068"/>
      <c r="AI446" s="1062">
        <f>'No Recurrentes 24-26'!BX311</f>
        <v>3</v>
      </c>
      <c r="AJ446" s="1062">
        <f>'No Recurrentes 24-26'!BY311</f>
        <v>0</v>
      </c>
      <c r="AK446" s="1062">
        <f>'No Recurrentes 24-26'!BZ311</f>
        <v>0</v>
      </c>
      <c r="AL446" s="1062">
        <f>'No Recurrentes 24-26'!CA311</f>
        <v>0</v>
      </c>
      <c r="AM446" s="1062">
        <f>'No Recurrentes 24-26'!CB311</f>
        <v>0</v>
      </c>
      <c r="AN446" s="1062">
        <f>'No Recurrentes 24-26'!CC311</f>
        <v>0</v>
      </c>
      <c r="AO446" s="1062">
        <f>'No Recurrentes 24-26'!CD311</f>
        <v>0</v>
      </c>
      <c r="AP446" s="1062">
        <f>'No Recurrentes 24-26'!CE311</f>
        <v>0</v>
      </c>
      <c r="AQ446" s="1062">
        <f>'No Recurrentes 24-26'!CF311</f>
        <v>0</v>
      </c>
      <c r="AR446" s="1062">
        <f>'No Recurrentes 24-26'!CG311</f>
        <v>0</v>
      </c>
      <c r="AS446" s="1062">
        <f>'No Recurrentes 24-26'!CH311</f>
        <v>0</v>
      </c>
      <c r="AT446" s="1068"/>
      <c r="AU446" s="1062">
        <f>'No Recurrentes 24-26'!CI311</f>
        <v>0</v>
      </c>
      <c r="AV446" s="1063">
        <f>'No Recurrentes 24-26'!CJ311</f>
        <v>4</v>
      </c>
      <c r="AW446" s="1068"/>
      <c r="AX446" s="1065">
        <f>'No Recurrentes 24-26'!CK311</f>
        <v>2022.65</v>
      </c>
      <c r="AY446" s="1062">
        <f>'No Recurrentes 24-26'!CL311</f>
        <v>14077.644</v>
      </c>
      <c r="AZ446" s="1068"/>
      <c r="BA446" s="1062">
        <f>'No Recurrentes 24-26'!CM311</f>
        <v>0</v>
      </c>
      <c r="BB446" s="1062">
        <f>'No Recurrentes 24-26'!CN311</f>
        <v>0</v>
      </c>
      <c r="BC446" s="1062">
        <f>'No Recurrentes 24-26'!CO311</f>
        <v>14077.644</v>
      </c>
      <c r="BD446" s="1062">
        <f>'No Recurrentes 24-26'!CP311</f>
        <v>0</v>
      </c>
      <c r="BE446" s="1062">
        <f>'No Recurrentes 24-26'!CQ311</f>
        <v>0</v>
      </c>
      <c r="BF446" s="1062">
        <f>'No Recurrentes 24-26'!CR311</f>
        <v>0</v>
      </c>
      <c r="BG446" s="1062">
        <f>'No Recurrentes 24-26'!CS311</f>
        <v>0</v>
      </c>
      <c r="BH446" s="1062">
        <f>'No Recurrentes 24-26'!CT311</f>
        <v>0</v>
      </c>
      <c r="BI446" s="1062">
        <f>'No Recurrentes 24-26'!CU311</f>
        <v>0</v>
      </c>
      <c r="BJ446" s="1062">
        <f>'No Recurrentes 24-26'!CV311</f>
        <v>0</v>
      </c>
      <c r="BK446" s="1068"/>
      <c r="BL446" s="1062">
        <f>'No Recurrentes 24-26'!CW311</f>
        <v>14077.644</v>
      </c>
      <c r="BM446" s="1062">
        <f>'No Recurrentes 24-26'!CX311</f>
        <v>0</v>
      </c>
      <c r="BN446" s="1062">
        <f>'No Recurrentes 24-26'!CY311</f>
        <v>0</v>
      </c>
      <c r="BO446" s="1062">
        <f>'No Recurrentes 24-26'!CZ311</f>
        <v>14077.644</v>
      </c>
      <c r="BP446" s="1062">
        <f>'No Recurrentes 24-26'!DA311</f>
        <v>28155.288</v>
      </c>
      <c r="BQ446" s="1062">
        <f>'No Recurrentes 24-26'!DB311</f>
        <v>0</v>
      </c>
      <c r="BR446" s="1062">
        <f>'No Recurrentes 24-26'!DC311</f>
        <v>0</v>
      </c>
      <c r="BS446" s="1062">
        <f>'No Recurrentes 24-26'!DD311</f>
        <v>0</v>
      </c>
      <c r="BT446" s="1062">
        <f>'No Recurrentes 24-26'!DE311</f>
        <v>0</v>
      </c>
      <c r="BU446" s="1062">
        <f>'No Recurrentes 24-26'!DF311</f>
        <v>0</v>
      </c>
      <c r="BV446" s="1062">
        <f>'No Recurrentes 24-26'!DG311</f>
        <v>0</v>
      </c>
      <c r="BW446" s="1068"/>
      <c r="BX446" s="1062">
        <f>'No Recurrentes 24-26'!DH311</f>
        <v>42232.932</v>
      </c>
      <c r="BY446" s="1062">
        <f>'No Recurrentes 24-26'!DI311</f>
        <v>0</v>
      </c>
      <c r="BZ446" s="1062">
        <f>'No Recurrentes 24-26'!DJ311</f>
        <v>0</v>
      </c>
      <c r="CA446" s="1062">
        <f>'No Recurrentes 24-26'!DK311</f>
        <v>0</v>
      </c>
      <c r="CB446" s="1062">
        <f>'No Recurrentes 24-26'!DL311</f>
        <v>0</v>
      </c>
      <c r="CC446" s="1062">
        <f>'No Recurrentes 24-26'!DM311</f>
        <v>0</v>
      </c>
      <c r="CD446" s="1062">
        <f>'No Recurrentes 24-26'!DN311</f>
        <v>0</v>
      </c>
      <c r="CE446" s="1062">
        <f>'No Recurrentes 24-26'!DO311</f>
        <v>0</v>
      </c>
      <c r="CF446" s="1062">
        <f>'No Recurrentes 24-26'!DP311</f>
        <v>0</v>
      </c>
      <c r="CG446" s="1062">
        <f>'No Recurrentes 24-26'!DQ311</f>
        <v>0</v>
      </c>
      <c r="CH446" s="1062">
        <f>'No Recurrentes 24-26'!DR311</f>
        <v>0</v>
      </c>
      <c r="CI446" s="1068"/>
      <c r="CJ446" s="1062">
        <f>'No Recurrentes 24-26'!DS311</f>
        <v>0</v>
      </c>
      <c r="CK446" s="1062">
        <f>'No Recurrentes 24-26'!DT311</f>
        <v>56310.576</v>
      </c>
      <c r="CL446" s="1064" t="str">
        <f>'No Recurrentes 24-26'!DU311</f>
        <v/>
      </c>
      <c r="CM446" s="1064" t="str">
        <f>'No Recurrentes 24-26'!DV311</f>
        <v/>
      </c>
      <c r="CN446" s="1065">
        <f>'No Recurrentes 24-26'!EI307</f>
        <v>37.07</v>
      </c>
      <c r="CO446" s="1065">
        <f>'No Recurrentes 24-26'!EJ307</f>
        <v>31.51</v>
      </c>
      <c r="CP446" s="1060" t="str">
        <f>'No Recurrentes 24-26'!EK307</f>
        <v/>
      </c>
    </row>
    <row r="447">
      <c r="A447" s="451" t="str">
        <f>'No Recurrentes 24-26'!A312</f>
        <v>Repuestos Electromecánicos no recurrentes</v>
      </c>
      <c r="B447" s="451">
        <f>'No Recurrentes 24-26'!B312</f>
        <v>2</v>
      </c>
      <c r="C447" s="451" t="str">
        <f>'No Recurrentes 24-26'!C312</f>
        <v>Estación</v>
      </c>
      <c r="D447" s="451" t="str">
        <f>'No Recurrentes 24-26'!D312</f>
        <v>Poleas de estacion</v>
      </c>
      <c r="E447" s="451" t="str">
        <f>'No Recurrentes 24-26'!E312</f>
        <v>Repuesto Mecánico</v>
      </c>
      <c r="F447" s="451" t="str">
        <f>'No Recurrentes 24-26'!F312</f>
        <v>TDB</v>
      </c>
      <c r="G447" s="1025" t="str">
        <f>'No Recurrentes 24-26'!G312</f>
        <v>39800</v>
      </c>
      <c r="H447" s="1061" t="str">
        <f>'No Recurrentes 24-26'!H312</f>
        <v>2-01-01002</v>
      </c>
      <c r="I447" s="1061" t="str">
        <f>'No Recurrentes 24-26'!I312</f>
        <v>10918361</v>
      </c>
      <c r="J447" s="1061" t="str">
        <f>'No Recurrentes 24-26'!J312</f>
        <v>TUBO DIST. DIÁ60/50.2 L=337 UNIG BALANCÍN POL. FRICC. NIT</v>
      </c>
      <c r="K447" s="451" t="str">
        <f>'No Recurrentes 24-26'!K312</f>
        <v>Pza</v>
      </c>
      <c r="L447" s="451">
        <f>'No Recurrentes 24-26'!BC312</f>
        <v>8</v>
      </c>
      <c r="M447" s="451" t="str">
        <f>'No Recurrentes 24-26'!BD312</f>
        <v/>
      </c>
      <c r="N447" s="451">
        <f>'No Recurrentes 24-26'!BE312</f>
        <v>8</v>
      </c>
      <c r="O447" s="451" t="str">
        <f>'No Recurrentes 24-26'!BF312</f>
        <v/>
      </c>
      <c r="P447" s="451" t="str">
        <f>'No Recurrentes 24-26'!BG312</f>
        <v/>
      </c>
      <c r="Q447" s="451" t="str">
        <f>'No Recurrentes 24-26'!BH312</f>
        <v/>
      </c>
      <c r="R447" s="451" t="str">
        <f>'No Recurrentes 24-26'!BI312</f>
        <v/>
      </c>
      <c r="S447" s="451" t="str">
        <f>'No Recurrentes 24-26'!BJ312</f>
        <v/>
      </c>
      <c r="T447" s="451" t="str">
        <f>'No Recurrentes 24-26'!BK312</f>
        <v/>
      </c>
      <c r="U447" s="451" t="str">
        <f>'No Recurrentes 24-26'!BL312</f>
        <v/>
      </c>
      <c r="V447" s="1068"/>
      <c r="W447" s="1062">
        <f>'No Recurrentes 24-26'!BM312</f>
        <v>16</v>
      </c>
      <c r="X447" s="1062" t="str">
        <f>'No Recurrentes 24-26'!BN312</f>
        <v/>
      </c>
      <c r="Y447" s="1062" t="str">
        <f>'No Recurrentes 24-26'!BO312</f>
        <v/>
      </c>
      <c r="Z447" s="1062" t="str">
        <f>'No Recurrentes 24-26'!BP312</f>
        <v/>
      </c>
      <c r="AA447" s="1062">
        <f>'No Recurrentes 24-26'!BQ312</f>
        <v>16</v>
      </c>
      <c r="AB447" s="1062">
        <f>'No Recurrentes 24-26'!BR312</f>
        <v>16</v>
      </c>
      <c r="AC447" s="1062">
        <f>'No Recurrentes 24-26'!BS312</f>
        <v>12</v>
      </c>
      <c r="AD447" s="1062" t="str">
        <f>'No Recurrentes 24-26'!BT312</f>
        <v/>
      </c>
      <c r="AE447" s="1062" t="str">
        <f>'No Recurrentes 24-26'!BU312</f>
        <v/>
      </c>
      <c r="AF447" s="1062" t="str">
        <f>'No Recurrentes 24-26'!BV312</f>
        <v/>
      </c>
      <c r="AG447" s="1062" t="str">
        <f>'No Recurrentes 24-26'!BW312</f>
        <v/>
      </c>
      <c r="AH447" s="1068"/>
      <c r="AI447" s="1062">
        <f>'No Recurrentes 24-26'!BX312</f>
        <v>44</v>
      </c>
      <c r="AJ447" s="1062">
        <f>'No Recurrentes 24-26'!BY312</f>
        <v>0</v>
      </c>
      <c r="AK447" s="1062">
        <f>'No Recurrentes 24-26'!BZ312</f>
        <v>0</v>
      </c>
      <c r="AL447" s="1062">
        <f>'No Recurrentes 24-26'!CA312</f>
        <v>0</v>
      </c>
      <c r="AM447" s="1062">
        <f>'No Recurrentes 24-26'!CB312</f>
        <v>0</v>
      </c>
      <c r="AN447" s="1062">
        <f>'No Recurrentes 24-26'!CC312</f>
        <v>0</v>
      </c>
      <c r="AO447" s="1062">
        <f>'No Recurrentes 24-26'!CD312</f>
        <v>0</v>
      </c>
      <c r="AP447" s="1062">
        <f>'No Recurrentes 24-26'!CE312</f>
        <v>0</v>
      </c>
      <c r="AQ447" s="1062">
        <f>'No Recurrentes 24-26'!CF312</f>
        <v>0</v>
      </c>
      <c r="AR447" s="1062">
        <f>'No Recurrentes 24-26'!CG312</f>
        <v>0</v>
      </c>
      <c r="AS447" s="1062">
        <f>'No Recurrentes 24-26'!CH312</f>
        <v>4</v>
      </c>
      <c r="AT447" s="1068"/>
      <c r="AU447" s="1062">
        <f>'No Recurrentes 24-26'!CI312</f>
        <v>4</v>
      </c>
      <c r="AV447" s="1062">
        <f>'No Recurrentes 24-26'!CJ312</f>
        <v>64</v>
      </c>
      <c r="AW447" s="1068"/>
      <c r="AX447" s="1065">
        <f>'No Recurrentes 24-26'!CK312</f>
        <v>219.47</v>
      </c>
      <c r="AY447" s="1062">
        <f>'No Recurrentes 24-26'!CL312</f>
        <v>1527.5112</v>
      </c>
      <c r="AZ447" s="1068"/>
      <c r="BA447" s="1062">
        <f>'No Recurrentes 24-26'!CM312</f>
        <v>12220.0896</v>
      </c>
      <c r="BB447" s="1062">
        <f>'No Recurrentes 24-26'!CN312</f>
        <v>0</v>
      </c>
      <c r="BC447" s="1062">
        <f>'No Recurrentes 24-26'!CO312</f>
        <v>12220.0896</v>
      </c>
      <c r="BD447" s="1062">
        <f>'No Recurrentes 24-26'!CP312</f>
        <v>0</v>
      </c>
      <c r="BE447" s="1062">
        <f>'No Recurrentes 24-26'!CQ312</f>
        <v>0</v>
      </c>
      <c r="BF447" s="1062">
        <f>'No Recurrentes 24-26'!CR312</f>
        <v>0</v>
      </c>
      <c r="BG447" s="1062">
        <f>'No Recurrentes 24-26'!CS312</f>
        <v>0</v>
      </c>
      <c r="BH447" s="1062">
        <f>'No Recurrentes 24-26'!CT312</f>
        <v>0</v>
      </c>
      <c r="BI447" s="1062">
        <f>'No Recurrentes 24-26'!CU312</f>
        <v>0</v>
      </c>
      <c r="BJ447" s="1062">
        <f>'No Recurrentes 24-26'!CV312</f>
        <v>0</v>
      </c>
      <c r="BK447" s="1068"/>
      <c r="BL447" s="1062">
        <f>'No Recurrentes 24-26'!CW312</f>
        <v>24440.1792</v>
      </c>
      <c r="BM447" s="1062">
        <f>'No Recurrentes 24-26'!CX312</f>
        <v>0</v>
      </c>
      <c r="BN447" s="1062">
        <f>'No Recurrentes 24-26'!CY312</f>
        <v>0</v>
      </c>
      <c r="BO447" s="1062">
        <f>'No Recurrentes 24-26'!CZ312</f>
        <v>0</v>
      </c>
      <c r="BP447" s="1062">
        <f>'No Recurrentes 24-26'!DA312</f>
        <v>24440.1792</v>
      </c>
      <c r="BQ447" s="1062">
        <f>'No Recurrentes 24-26'!DB312</f>
        <v>24440.1792</v>
      </c>
      <c r="BR447" s="1062">
        <f>'No Recurrentes 24-26'!DC312</f>
        <v>18330.1344</v>
      </c>
      <c r="BS447" s="1062">
        <f>'No Recurrentes 24-26'!DD312</f>
        <v>0</v>
      </c>
      <c r="BT447" s="1062">
        <f>'No Recurrentes 24-26'!DE312</f>
        <v>0</v>
      </c>
      <c r="BU447" s="1062">
        <f>'No Recurrentes 24-26'!DF312</f>
        <v>0</v>
      </c>
      <c r="BV447" s="1062">
        <f>'No Recurrentes 24-26'!DG312</f>
        <v>0</v>
      </c>
      <c r="BW447" s="1068"/>
      <c r="BX447" s="1062">
        <f>'No Recurrentes 24-26'!DH312</f>
        <v>67210.4928</v>
      </c>
      <c r="BY447" s="1062">
        <f>'No Recurrentes 24-26'!DI312</f>
        <v>0</v>
      </c>
      <c r="BZ447" s="1062">
        <f>'No Recurrentes 24-26'!DJ312</f>
        <v>0</v>
      </c>
      <c r="CA447" s="1062">
        <f>'No Recurrentes 24-26'!DK312</f>
        <v>0</v>
      </c>
      <c r="CB447" s="1062">
        <f>'No Recurrentes 24-26'!DL312</f>
        <v>0</v>
      </c>
      <c r="CC447" s="1062">
        <f>'No Recurrentes 24-26'!DM312</f>
        <v>0</v>
      </c>
      <c r="CD447" s="1062">
        <f>'No Recurrentes 24-26'!DN312</f>
        <v>0</v>
      </c>
      <c r="CE447" s="1062">
        <f>'No Recurrentes 24-26'!DO312</f>
        <v>0</v>
      </c>
      <c r="CF447" s="1062">
        <f>'No Recurrentes 24-26'!DP312</f>
        <v>0</v>
      </c>
      <c r="CG447" s="1062">
        <f>'No Recurrentes 24-26'!DQ312</f>
        <v>0</v>
      </c>
      <c r="CH447" s="1062">
        <f>'No Recurrentes 24-26'!DR312</f>
        <v>6110.0448</v>
      </c>
      <c r="CI447" s="1068"/>
      <c r="CJ447" s="1062">
        <f>'No Recurrentes 24-26'!DS312</f>
        <v>6110.0448</v>
      </c>
      <c r="CK447" s="1062">
        <f>'No Recurrentes 24-26'!DT312</f>
        <v>97760.7168</v>
      </c>
      <c r="CL447" s="1064" t="str">
        <f>'No Recurrentes 24-26'!DU312</f>
        <v/>
      </c>
      <c r="CM447" s="1064" t="str">
        <f>'No Recurrentes 24-26'!DV312</f>
        <v/>
      </c>
      <c r="CN447" s="1065">
        <f>'No Recurrentes 24-26'!EI308</f>
        <v>26.23</v>
      </c>
      <c r="CO447" s="1065">
        <f>'No Recurrentes 24-26'!EJ308</f>
        <v>22.3</v>
      </c>
      <c r="CP447" s="1060" t="str">
        <f>'No Recurrentes 24-26'!EK308</f>
        <v/>
      </c>
    </row>
    <row r="448">
      <c r="A448" s="451" t="str">
        <f>'No Recurrentes 24-26'!A313</f>
        <v>Repuestos Electromecánicos no recurrentes</v>
      </c>
      <c r="B448" s="451">
        <f>'No Recurrentes 24-26'!B313</f>
        <v>2</v>
      </c>
      <c r="C448" s="451" t="str">
        <f>'No Recurrentes 24-26'!C313</f>
        <v>Estación</v>
      </c>
      <c r="D448" s="451" t="str">
        <f>'No Recurrentes 24-26'!D313</f>
        <v>Poleas de estacion</v>
      </c>
      <c r="E448" s="451" t="str">
        <f>'No Recurrentes 24-26'!E313</f>
        <v>Repuesto Mecánico</v>
      </c>
      <c r="F448" s="451" t="str">
        <f>'No Recurrentes 24-26'!F313</f>
        <v>TDB</v>
      </c>
      <c r="G448" s="1025" t="str">
        <f>'No Recurrentes 24-26'!G313</f>
        <v>39800</v>
      </c>
      <c r="H448" s="1061" t="str">
        <f>'No Recurrentes 24-26'!H313</f>
        <v/>
      </c>
      <c r="I448" s="1061" t="str">
        <f>'No Recurrentes 24-26'!I313</f>
        <v>10168055</v>
      </c>
      <c r="J448" s="1061" t="str">
        <f>'No Recurrentes 24-26'!J313</f>
        <v>CASQUILLO DIST. DIÁ50/30 L=140</v>
      </c>
      <c r="K448" s="451" t="str">
        <f>'No Recurrentes 24-26'!K313</f>
        <v>Pza</v>
      </c>
      <c r="L448" s="451">
        <f>'No Recurrentes 24-26'!BC313</f>
        <v>7</v>
      </c>
      <c r="M448" s="451">
        <f>'No Recurrentes 24-26'!BD313</f>
        <v>5</v>
      </c>
      <c r="N448" s="451">
        <f>'No Recurrentes 24-26'!BE313</f>
        <v>10</v>
      </c>
      <c r="O448" s="451" t="str">
        <f>'No Recurrentes 24-26'!BF313</f>
        <v/>
      </c>
      <c r="P448" s="451">
        <f>'No Recurrentes 24-26'!BG313</f>
        <v>15</v>
      </c>
      <c r="Q448" s="451">
        <f>'No Recurrentes 24-26'!BH313</f>
        <v>15</v>
      </c>
      <c r="R448" s="451">
        <f>'No Recurrentes 24-26'!BI313</f>
        <v>15</v>
      </c>
      <c r="S448" s="451">
        <f>'No Recurrentes 24-26'!BJ313</f>
        <v>10</v>
      </c>
      <c r="T448" s="451" t="str">
        <f>'No Recurrentes 24-26'!BK313</f>
        <v/>
      </c>
      <c r="U448" s="451">
        <f>'No Recurrentes 24-26'!BL313</f>
        <v>15</v>
      </c>
      <c r="V448" s="1068"/>
      <c r="W448" s="1062">
        <f>'No Recurrentes 24-26'!BM313</f>
        <v>92</v>
      </c>
      <c r="X448" s="1062" t="str">
        <f>'No Recurrentes 24-26'!BN313</f>
        <v/>
      </c>
      <c r="Y448" s="1062" t="str">
        <f>'No Recurrentes 24-26'!BO313</f>
        <v/>
      </c>
      <c r="Z448" s="1062" t="str">
        <f>'No Recurrentes 24-26'!BP313</f>
        <v/>
      </c>
      <c r="AA448" s="1062" t="str">
        <f>'No Recurrentes 24-26'!BQ313</f>
        <v/>
      </c>
      <c r="AB448" s="1062" t="str">
        <f>'No Recurrentes 24-26'!BR313</f>
        <v/>
      </c>
      <c r="AC448" s="1062" t="str">
        <f>'No Recurrentes 24-26'!BS313</f>
        <v/>
      </c>
      <c r="AD448" s="1062">
        <f>'No Recurrentes 24-26'!BT313</f>
        <v>30</v>
      </c>
      <c r="AE448" s="1062">
        <f>'No Recurrentes 24-26'!BU313</f>
        <v>20</v>
      </c>
      <c r="AF448" s="1062" t="str">
        <f>'No Recurrentes 24-26'!BV313</f>
        <v/>
      </c>
      <c r="AG448" s="1062">
        <f>'No Recurrentes 24-26'!BW313</f>
        <v>58</v>
      </c>
      <c r="AH448" s="1068"/>
      <c r="AI448" s="1062">
        <f>'No Recurrentes 24-26'!BX313</f>
        <v>108</v>
      </c>
      <c r="AJ448" s="1062">
        <f>'No Recurrentes 24-26'!BY313</f>
        <v>15</v>
      </c>
      <c r="AK448" s="1062">
        <f>'No Recurrentes 24-26'!BZ313</f>
        <v>10</v>
      </c>
      <c r="AL448" s="1062">
        <f>'No Recurrentes 24-26'!CA313</f>
        <v>20</v>
      </c>
      <c r="AM448" s="1062">
        <f>'No Recurrentes 24-26'!CB313</f>
        <v>0</v>
      </c>
      <c r="AN448" s="1062">
        <f>'No Recurrentes 24-26'!CC313</f>
        <v>30</v>
      </c>
      <c r="AO448" s="1062">
        <f>'No Recurrentes 24-26'!CD313</f>
        <v>30</v>
      </c>
      <c r="AP448" s="1062">
        <f>'No Recurrentes 24-26'!CE313</f>
        <v>0</v>
      </c>
      <c r="AQ448" s="1062">
        <f>'No Recurrentes 24-26'!CF313</f>
        <v>0</v>
      </c>
      <c r="AR448" s="1062">
        <f>'No Recurrentes 24-26'!CG313</f>
        <v>0</v>
      </c>
      <c r="AS448" s="1062">
        <f>'No Recurrentes 24-26'!CH313</f>
        <v>0</v>
      </c>
      <c r="AT448" s="1068"/>
      <c r="AU448" s="1062">
        <f>'No Recurrentes 24-26'!CI313</f>
        <v>105</v>
      </c>
      <c r="AV448" s="1062">
        <f>'No Recurrentes 24-26'!CJ313</f>
        <v>305</v>
      </c>
      <c r="AW448" s="1068"/>
      <c r="AX448" s="1065">
        <f>'No Recurrentes 24-26'!CK313</f>
        <v>42.11</v>
      </c>
      <c r="AY448" s="1062">
        <f>'No Recurrentes 24-26'!CL313</f>
        <v>293.0856</v>
      </c>
      <c r="AZ448" s="1068"/>
      <c r="BA448" s="1062">
        <f>'No Recurrentes 24-26'!CM313</f>
        <v>2051.5992</v>
      </c>
      <c r="BB448" s="1062">
        <f>'No Recurrentes 24-26'!CN313</f>
        <v>1465.428</v>
      </c>
      <c r="BC448" s="1062">
        <f>'No Recurrentes 24-26'!CO313</f>
        <v>2930.856</v>
      </c>
      <c r="BD448" s="1062">
        <f>'No Recurrentes 24-26'!CP313</f>
        <v>0</v>
      </c>
      <c r="BE448" s="1062">
        <f>'No Recurrentes 24-26'!CQ313</f>
        <v>4396.284</v>
      </c>
      <c r="BF448" s="1062">
        <f>'No Recurrentes 24-26'!CR313</f>
        <v>4396.284</v>
      </c>
      <c r="BG448" s="1062">
        <f>'No Recurrentes 24-26'!CS313</f>
        <v>4396.284</v>
      </c>
      <c r="BH448" s="1062">
        <f>'No Recurrentes 24-26'!CT313</f>
        <v>2930.856</v>
      </c>
      <c r="BI448" s="1062">
        <f>'No Recurrentes 24-26'!CU313</f>
        <v>0</v>
      </c>
      <c r="BJ448" s="1062">
        <f>'No Recurrentes 24-26'!CV313</f>
        <v>4396.284</v>
      </c>
      <c r="BK448" s="1068"/>
      <c r="BL448" s="1062">
        <f>'No Recurrentes 24-26'!CW313</f>
        <v>26963.8752</v>
      </c>
      <c r="BM448" s="1062">
        <f>'No Recurrentes 24-26'!CX313</f>
        <v>0</v>
      </c>
      <c r="BN448" s="1062">
        <f>'No Recurrentes 24-26'!CY313</f>
        <v>0</v>
      </c>
      <c r="BO448" s="1062">
        <f>'No Recurrentes 24-26'!CZ313</f>
        <v>0</v>
      </c>
      <c r="BP448" s="1062">
        <f>'No Recurrentes 24-26'!DA313</f>
        <v>0</v>
      </c>
      <c r="BQ448" s="1062">
        <f>'No Recurrentes 24-26'!DB313</f>
        <v>0</v>
      </c>
      <c r="BR448" s="1062">
        <f>'No Recurrentes 24-26'!DC313</f>
        <v>0</v>
      </c>
      <c r="BS448" s="1062">
        <f>'No Recurrentes 24-26'!DD313</f>
        <v>8792.568</v>
      </c>
      <c r="BT448" s="1062">
        <f>'No Recurrentes 24-26'!DE313</f>
        <v>5861.712</v>
      </c>
      <c r="BU448" s="1062">
        <f>'No Recurrentes 24-26'!DF313</f>
        <v>0</v>
      </c>
      <c r="BV448" s="1062">
        <f>'No Recurrentes 24-26'!DG313</f>
        <v>16998.9648</v>
      </c>
      <c r="BW448" s="1068"/>
      <c r="BX448" s="1062">
        <f>'No Recurrentes 24-26'!DH313</f>
        <v>31653.2448</v>
      </c>
      <c r="BY448" s="1062">
        <f>'No Recurrentes 24-26'!DI313</f>
        <v>4396.284</v>
      </c>
      <c r="BZ448" s="1062">
        <f>'No Recurrentes 24-26'!DJ313</f>
        <v>2930.856</v>
      </c>
      <c r="CA448" s="1062">
        <f>'No Recurrentes 24-26'!DK313</f>
        <v>5861.712</v>
      </c>
      <c r="CB448" s="1062">
        <f>'No Recurrentes 24-26'!DL313</f>
        <v>0</v>
      </c>
      <c r="CC448" s="1062">
        <f>'No Recurrentes 24-26'!DM313</f>
        <v>8792.568</v>
      </c>
      <c r="CD448" s="1062">
        <f>'No Recurrentes 24-26'!DN313</f>
        <v>8792.568</v>
      </c>
      <c r="CE448" s="1062">
        <f>'No Recurrentes 24-26'!DO313</f>
        <v>0</v>
      </c>
      <c r="CF448" s="1062">
        <f>'No Recurrentes 24-26'!DP313</f>
        <v>0</v>
      </c>
      <c r="CG448" s="1062">
        <f>'No Recurrentes 24-26'!DQ313</f>
        <v>0</v>
      </c>
      <c r="CH448" s="1062">
        <f>'No Recurrentes 24-26'!DR313</f>
        <v>0</v>
      </c>
      <c r="CI448" s="1068"/>
      <c r="CJ448" s="1062">
        <f>'No Recurrentes 24-26'!DS313</f>
        <v>30773.988</v>
      </c>
      <c r="CK448" s="1062">
        <f>'No Recurrentes 24-26'!DT313</f>
        <v>89391.108</v>
      </c>
      <c r="CL448" s="1064" t="str">
        <f>'No Recurrentes 24-26'!DU313</f>
        <v/>
      </c>
      <c r="CM448" s="1064" t="str">
        <f>'No Recurrentes 24-26'!DV313</f>
        <v/>
      </c>
      <c r="CN448" s="1065">
        <f>'No Recurrentes 24-26'!EI309</f>
        <v>1945.19</v>
      </c>
      <c r="CO448" s="1065">
        <f>'No Recurrentes 24-26'!EJ309</f>
        <v>1653.41</v>
      </c>
      <c r="CP448" s="1060" t="str">
        <f>'No Recurrentes 24-26'!EK309</f>
        <v/>
      </c>
    </row>
    <row r="449">
      <c r="A449" s="451" t="str">
        <f>'No Recurrentes 24-26'!A314</f>
        <v>Repuestos Electromecánicos no recurrentes</v>
      </c>
      <c r="B449" s="451">
        <f>'No Recurrentes 24-26'!B314</f>
        <v>2</v>
      </c>
      <c r="C449" s="451" t="str">
        <f>'No Recurrentes 24-26'!C314</f>
        <v>Estación</v>
      </c>
      <c r="D449" s="451" t="str">
        <f>'No Recurrentes 24-26'!D314</f>
        <v>Poleas de estacion</v>
      </c>
      <c r="E449" s="451" t="str">
        <f>'No Recurrentes 24-26'!E314</f>
        <v>Repuesto Mecánico</v>
      </c>
      <c r="F449" s="451" t="str">
        <f>'No Recurrentes 24-26'!F314</f>
        <v>TDB</v>
      </c>
      <c r="G449" s="1025" t="str">
        <f>'No Recurrentes 24-26'!G314</f>
        <v>39800</v>
      </c>
      <c r="H449" s="1061" t="str">
        <f>'No Recurrentes 24-26'!H314</f>
        <v>2-01-00371</v>
      </c>
      <c r="I449" s="1061" t="str">
        <f>'No Recurrentes 24-26'!I314</f>
        <v>10505294</v>
      </c>
      <c r="J449" s="1061" t="str">
        <f>'No Recurrentes 24-26'!J314</f>
        <v>EJE P.ACC.RUE.DE FRICC.L=335,1 UNIG</v>
      </c>
      <c r="K449" s="451" t="str">
        <f>'No Recurrentes 24-26'!K314</f>
        <v>Pza</v>
      </c>
      <c r="L449" s="451">
        <f>'No Recurrentes 24-26'!BC314</f>
        <v>3</v>
      </c>
      <c r="M449" s="451">
        <f>'No Recurrentes 24-26'!BD314</f>
        <v>3</v>
      </c>
      <c r="N449" s="451">
        <f>'No Recurrentes 24-26'!BE314</f>
        <v>8</v>
      </c>
      <c r="O449" s="451">
        <f>'No Recurrentes 24-26'!BF314</f>
        <v>1</v>
      </c>
      <c r="P449" s="451">
        <f>'No Recurrentes 24-26'!BG314</f>
        <v>1</v>
      </c>
      <c r="Q449" s="451">
        <f>'No Recurrentes 24-26'!BH314</f>
        <v>1</v>
      </c>
      <c r="R449" s="451">
        <f>'No Recurrentes 24-26'!BI314</f>
        <v>1</v>
      </c>
      <c r="S449" s="451">
        <f>'No Recurrentes 24-26'!BJ314</f>
        <v>1</v>
      </c>
      <c r="T449" s="451">
        <f>'No Recurrentes 24-26'!BK314</f>
        <v>1</v>
      </c>
      <c r="U449" s="451" t="str">
        <f>'No Recurrentes 24-26'!BL314</f>
        <v/>
      </c>
      <c r="V449" s="1068"/>
      <c r="W449" s="1062">
        <f>'No Recurrentes 24-26'!BM314</f>
        <v>20</v>
      </c>
      <c r="X449" s="1062" t="str">
        <f>'No Recurrentes 24-26'!BN314</f>
        <v/>
      </c>
      <c r="Y449" s="1062" t="str">
        <f>'No Recurrentes 24-26'!BO314</f>
        <v/>
      </c>
      <c r="Z449" s="1062" t="str">
        <f>'No Recurrentes 24-26'!BP314</f>
        <v/>
      </c>
      <c r="AA449" s="1062" t="str">
        <f>'No Recurrentes 24-26'!BQ314</f>
        <v/>
      </c>
      <c r="AB449" s="1062" t="str">
        <f>'No Recurrentes 24-26'!BR314</f>
        <v/>
      </c>
      <c r="AC449" s="1062" t="str">
        <f>'No Recurrentes 24-26'!BS314</f>
        <v/>
      </c>
      <c r="AD449" s="1062" t="str">
        <f>'No Recurrentes 24-26'!BT314</f>
        <v/>
      </c>
      <c r="AE449" s="1062" t="str">
        <f>'No Recurrentes 24-26'!BU314</f>
        <v/>
      </c>
      <c r="AF449" s="1062" t="str">
        <f>'No Recurrentes 24-26'!BV314</f>
        <v/>
      </c>
      <c r="AG449" s="1062" t="str">
        <f>'No Recurrentes 24-26'!BW314</f>
        <v/>
      </c>
      <c r="AH449" s="1068"/>
      <c r="AI449" s="1062">
        <f>'No Recurrentes 24-26'!BX314</f>
        <v>0</v>
      </c>
      <c r="AJ449" s="1062">
        <f>'No Recurrentes 24-26'!BY314</f>
        <v>3</v>
      </c>
      <c r="AK449" s="1062">
        <f>'No Recurrentes 24-26'!BZ314</f>
        <v>3</v>
      </c>
      <c r="AL449" s="1062">
        <f>'No Recurrentes 24-26'!CA314</f>
        <v>5</v>
      </c>
      <c r="AM449" s="1062">
        <f>'No Recurrentes 24-26'!CB314</f>
        <v>1</v>
      </c>
      <c r="AN449" s="1062">
        <f>'No Recurrentes 24-26'!CC314</f>
        <v>1</v>
      </c>
      <c r="AO449" s="1062">
        <f>'No Recurrentes 24-26'!CD314</f>
        <v>1</v>
      </c>
      <c r="AP449" s="1062">
        <f>'No Recurrentes 24-26'!CE314</f>
        <v>0</v>
      </c>
      <c r="AQ449" s="1062">
        <f>'No Recurrentes 24-26'!CF314</f>
        <v>0</v>
      </c>
      <c r="AR449" s="1062">
        <f>'No Recurrentes 24-26'!CG314</f>
        <v>0</v>
      </c>
      <c r="AS449" s="1062">
        <f>'No Recurrentes 24-26'!CH314</f>
        <v>0</v>
      </c>
      <c r="AT449" s="1068"/>
      <c r="AU449" s="1062">
        <f>'No Recurrentes 24-26'!CI314</f>
        <v>14</v>
      </c>
      <c r="AV449" s="1063">
        <f>'No Recurrentes 24-26'!CJ314</f>
        <v>34</v>
      </c>
      <c r="AW449" s="1068"/>
      <c r="AX449" s="1065">
        <f>'No Recurrentes 24-26'!CK314</f>
        <v>279.15</v>
      </c>
      <c r="AY449" s="1062">
        <f>'No Recurrentes 24-26'!CL314</f>
        <v>1942.884</v>
      </c>
      <c r="AZ449" s="1068"/>
      <c r="BA449" s="1062">
        <f>'No Recurrentes 24-26'!CM314</f>
        <v>5828.652</v>
      </c>
      <c r="BB449" s="1062">
        <f>'No Recurrentes 24-26'!CN314</f>
        <v>5828.652</v>
      </c>
      <c r="BC449" s="1062">
        <f>'No Recurrentes 24-26'!CO314</f>
        <v>15543.072</v>
      </c>
      <c r="BD449" s="1062">
        <f>'No Recurrentes 24-26'!CP314</f>
        <v>1942.884</v>
      </c>
      <c r="BE449" s="1062">
        <f>'No Recurrentes 24-26'!CQ314</f>
        <v>1942.884</v>
      </c>
      <c r="BF449" s="1062">
        <f>'No Recurrentes 24-26'!CR314</f>
        <v>1942.884</v>
      </c>
      <c r="BG449" s="1062">
        <f>'No Recurrentes 24-26'!CS314</f>
        <v>1942.884</v>
      </c>
      <c r="BH449" s="1062">
        <f>'No Recurrentes 24-26'!CT314</f>
        <v>1942.884</v>
      </c>
      <c r="BI449" s="1062">
        <f>'No Recurrentes 24-26'!CU314</f>
        <v>1942.884</v>
      </c>
      <c r="BJ449" s="1062">
        <f>'No Recurrentes 24-26'!CV314</f>
        <v>0</v>
      </c>
      <c r="BK449" s="1068"/>
      <c r="BL449" s="1062">
        <f>'No Recurrentes 24-26'!CW314</f>
        <v>38857.68</v>
      </c>
      <c r="BM449" s="1062">
        <f>'No Recurrentes 24-26'!CX314</f>
        <v>0</v>
      </c>
      <c r="BN449" s="1062">
        <f>'No Recurrentes 24-26'!CY314</f>
        <v>0</v>
      </c>
      <c r="BO449" s="1062">
        <f>'No Recurrentes 24-26'!CZ314</f>
        <v>0</v>
      </c>
      <c r="BP449" s="1062">
        <f>'No Recurrentes 24-26'!DA314</f>
        <v>0</v>
      </c>
      <c r="BQ449" s="1062">
        <f>'No Recurrentes 24-26'!DB314</f>
        <v>0</v>
      </c>
      <c r="BR449" s="1062">
        <f>'No Recurrentes 24-26'!DC314</f>
        <v>0</v>
      </c>
      <c r="BS449" s="1062">
        <f>'No Recurrentes 24-26'!DD314</f>
        <v>0</v>
      </c>
      <c r="BT449" s="1062">
        <f>'No Recurrentes 24-26'!DE314</f>
        <v>0</v>
      </c>
      <c r="BU449" s="1062">
        <f>'No Recurrentes 24-26'!DF314</f>
        <v>0</v>
      </c>
      <c r="BV449" s="1062">
        <f>'No Recurrentes 24-26'!DG314</f>
        <v>0</v>
      </c>
      <c r="BW449" s="1068"/>
      <c r="BX449" s="1062">
        <f>'No Recurrentes 24-26'!DH314</f>
        <v>0</v>
      </c>
      <c r="BY449" s="1062">
        <f>'No Recurrentes 24-26'!DI314</f>
        <v>5828.652</v>
      </c>
      <c r="BZ449" s="1062">
        <f>'No Recurrentes 24-26'!DJ314</f>
        <v>5828.652</v>
      </c>
      <c r="CA449" s="1062">
        <f>'No Recurrentes 24-26'!DK314</f>
        <v>9714.42</v>
      </c>
      <c r="CB449" s="1062">
        <f>'No Recurrentes 24-26'!DL314</f>
        <v>1942.884</v>
      </c>
      <c r="CC449" s="1062">
        <f>'No Recurrentes 24-26'!DM314</f>
        <v>1942.884</v>
      </c>
      <c r="CD449" s="1062">
        <f>'No Recurrentes 24-26'!DN314</f>
        <v>1942.884</v>
      </c>
      <c r="CE449" s="1062">
        <f>'No Recurrentes 24-26'!DO314</f>
        <v>0</v>
      </c>
      <c r="CF449" s="1062">
        <f>'No Recurrentes 24-26'!DP314</f>
        <v>0</v>
      </c>
      <c r="CG449" s="1062">
        <f>'No Recurrentes 24-26'!DQ314</f>
        <v>0</v>
      </c>
      <c r="CH449" s="1062">
        <f>'No Recurrentes 24-26'!DR314</f>
        <v>0</v>
      </c>
      <c r="CI449" s="1068"/>
      <c r="CJ449" s="1062">
        <f>'No Recurrentes 24-26'!DS314</f>
        <v>27200.376</v>
      </c>
      <c r="CK449" s="1062">
        <f>'No Recurrentes 24-26'!DT314</f>
        <v>66058.056</v>
      </c>
      <c r="CL449" s="1064" t="str">
        <f>'No Recurrentes 24-26'!DU314</f>
        <v/>
      </c>
      <c r="CM449" s="1064" t="str">
        <f>'No Recurrentes 24-26'!DV314</f>
        <v/>
      </c>
      <c r="CN449" s="1065">
        <f>'No Recurrentes 24-26'!EI310</f>
        <v>1677.65</v>
      </c>
      <c r="CO449" s="1065">
        <f>'No Recurrentes 24-26'!EJ310</f>
        <v>1426</v>
      </c>
      <c r="CP449" s="1060" t="str">
        <f>'No Recurrentes 24-26'!EK310</f>
        <v/>
      </c>
    </row>
    <row r="450">
      <c r="A450" s="451" t="str">
        <f>'No Recurrentes 24-26'!A315</f>
        <v>Repuestos Electromecánicos no recurrentes</v>
      </c>
      <c r="B450" s="451">
        <f>'No Recurrentes 24-26'!B315</f>
        <v>2</v>
      </c>
      <c r="C450" s="451" t="str">
        <f>'No Recurrentes 24-26'!C315</f>
        <v>Estación</v>
      </c>
      <c r="D450" s="451" t="str">
        <f>'No Recurrentes 24-26'!D315</f>
        <v>Poleas de estacion</v>
      </c>
      <c r="E450" s="451" t="str">
        <f>'No Recurrentes 24-26'!E315</f>
        <v>Repuesto Mecánico</v>
      </c>
      <c r="F450" s="451" t="str">
        <f>'No Recurrentes 24-26'!F315</f>
        <v>TDB</v>
      </c>
      <c r="G450" s="1025" t="str">
        <f>'No Recurrentes 24-26'!G315</f>
        <v>39800</v>
      </c>
      <c r="H450" s="1061" t="str">
        <f>'No Recurrentes 24-26'!H315</f>
        <v>2-01-00056</v>
      </c>
      <c r="I450" s="1061" t="str">
        <f>'No Recurrentes 24-26'!I315</f>
        <v>10941743</v>
      </c>
      <c r="J450" s="1061" t="str">
        <f>'No Recurrentes 24-26'!J315</f>
        <v>ANILLO DIA. 80,0/ 60,0 L= 20,5   UNIG</v>
      </c>
      <c r="K450" s="451" t="str">
        <f>'No Recurrentes 24-26'!K315</f>
        <v>Pza</v>
      </c>
      <c r="L450" s="451">
        <f>'No Recurrentes 24-26'!BC315</f>
        <v>2</v>
      </c>
      <c r="M450" s="451">
        <f>'No Recurrentes 24-26'!BD315</f>
        <v>2</v>
      </c>
      <c r="N450" s="451">
        <f>'No Recurrentes 24-26'!BE315</f>
        <v>2</v>
      </c>
      <c r="O450" s="451">
        <f>'No Recurrentes 24-26'!BF315</f>
        <v>4</v>
      </c>
      <c r="P450" s="451">
        <f>'No Recurrentes 24-26'!BG315</f>
        <v>4</v>
      </c>
      <c r="Q450" s="451">
        <f>'No Recurrentes 24-26'!BH315</f>
        <v>4</v>
      </c>
      <c r="R450" s="451">
        <f>'No Recurrentes 24-26'!BI315</f>
        <v>4</v>
      </c>
      <c r="S450" s="451">
        <f>'No Recurrentes 24-26'!BJ315</f>
        <v>4</v>
      </c>
      <c r="T450" s="451" t="str">
        <f>'No Recurrentes 24-26'!BK315</f>
        <v/>
      </c>
      <c r="U450" s="451">
        <f>'No Recurrentes 24-26'!BL315</f>
        <v>4</v>
      </c>
      <c r="V450" s="1068"/>
      <c r="W450" s="1062">
        <f>'No Recurrentes 24-26'!BM315</f>
        <v>30</v>
      </c>
      <c r="X450" s="1062" t="str">
        <f>'No Recurrentes 24-26'!BN315</f>
        <v/>
      </c>
      <c r="Y450" s="1062" t="str">
        <f>'No Recurrentes 24-26'!BO315</f>
        <v/>
      </c>
      <c r="Z450" s="1062" t="str">
        <f>'No Recurrentes 24-26'!BP315</f>
        <v/>
      </c>
      <c r="AA450" s="1062" t="str">
        <f>'No Recurrentes 24-26'!BQ315</f>
        <v/>
      </c>
      <c r="AB450" s="1062" t="str">
        <f>'No Recurrentes 24-26'!BR315</f>
        <v/>
      </c>
      <c r="AC450" s="1062" t="str">
        <f>'No Recurrentes 24-26'!BS315</f>
        <v/>
      </c>
      <c r="AD450" s="1062" t="str">
        <f>'No Recurrentes 24-26'!BT315</f>
        <v/>
      </c>
      <c r="AE450" s="1062" t="str">
        <f>'No Recurrentes 24-26'!BU315</f>
        <v/>
      </c>
      <c r="AF450" s="1062" t="str">
        <f>'No Recurrentes 24-26'!BV315</f>
        <v/>
      </c>
      <c r="AG450" s="1062" t="str">
        <f>'No Recurrentes 24-26'!BW315</f>
        <v/>
      </c>
      <c r="AH450" s="1068"/>
      <c r="AI450" s="1062">
        <f>'No Recurrentes 24-26'!BX315</f>
        <v>0</v>
      </c>
      <c r="AJ450" s="1062">
        <f>'No Recurrentes 24-26'!BY315</f>
        <v>2</v>
      </c>
      <c r="AK450" s="1062">
        <f>'No Recurrentes 24-26'!BZ315</f>
        <v>2</v>
      </c>
      <c r="AL450" s="1062">
        <f>'No Recurrentes 24-26'!CA315</f>
        <v>2</v>
      </c>
      <c r="AM450" s="1062">
        <f>'No Recurrentes 24-26'!CB315</f>
        <v>4</v>
      </c>
      <c r="AN450" s="1062">
        <f>'No Recurrentes 24-26'!CC315</f>
        <v>4</v>
      </c>
      <c r="AO450" s="1062">
        <f>'No Recurrentes 24-26'!CD315</f>
        <v>4</v>
      </c>
      <c r="AP450" s="1062">
        <f>'No Recurrentes 24-26'!CE315</f>
        <v>0</v>
      </c>
      <c r="AQ450" s="1062">
        <f>'No Recurrentes 24-26'!CF315</f>
        <v>0</v>
      </c>
      <c r="AR450" s="1062">
        <f>'No Recurrentes 24-26'!CG315</f>
        <v>0</v>
      </c>
      <c r="AS450" s="1062">
        <f>'No Recurrentes 24-26'!CH315</f>
        <v>0</v>
      </c>
      <c r="AT450" s="1068"/>
      <c r="AU450" s="1062">
        <f>'No Recurrentes 24-26'!CI315</f>
        <v>18</v>
      </c>
      <c r="AV450" s="1062">
        <f>'No Recurrentes 24-26'!CJ315</f>
        <v>48</v>
      </c>
      <c r="AW450" s="1068"/>
      <c r="AX450" s="1065">
        <f>'No Recurrentes 24-26'!CK315</f>
        <v>179.05</v>
      </c>
      <c r="AY450" s="1062">
        <f>'No Recurrentes 24-26'!CL315</f>
        <v>1246.188</v>
      </c>
      <c r="AZ450" s="1068"/>
      <c r="BA450" s="1062">
        <f>'No Recurrentes 24-26'!CM315</f>
        <v>2492.376</v>
      </c>
      <c r="BB450" s="1062">
        <f>'No Recurrentes 24-26'!CN315</f>
        <v>2492.376</v>
      </c>
      <c r="BC450" s="1062">
        <f>'No Recurrentes 24-26'!CO315</f>
        <v>2492.376</v>
      </c>
      <c r="BD450" s="1062">
        <f>'No Recurrentes 24-26'!CP315</f>
        <v>4984.752</v>
      </c>
      <c r="BE450" s="1062">
        <f>'No Recurrentes 24-26'!CQ315</f>
        <v>4984.752</v>
      </c>
      <c r="BF450" s="1062">
        <f>'No Recurrentes 24-26'!CR315</f>
        <v>4984.752</v>
      </c>
      <c r="BG450" s="1062">
        <f>'No Recurrentes 24-26'!CS315</f>
        <v>4984.752</v>
      </c>
      <c r="BH450" s="1062">
        <f>'No Recurrentes 24-26'!CT315</f>
        <v>4984.752</v>
      </c>
      <c r="BI450" s="1062">
        <f>'No Recurrentes 24-26'!CU315</f>
        <v>0</v>
      </c>
      <c r="BJ450" s="1062">
        <f>'No Recurrentes 24-26'!CV315</f>
        <v>4984.752</v>
      </c>
      <c r="BK450" s="1068"/>
      <c r="BL450" s="1062">
        <f>'No Recurrentes 24-26'!CW315</f>
        <v>37385.64</v>
      </c>
      <c r="BM450" s="1062">
        <f>'No Recurrentes 24-26'!CX315</f>
        <v>0</v>
      </c>
      <c r="BN450" s="1062">
        <f>'No Recurrentes 24-26'!CY315</f>
        <v>0</v>
      </c>
      <c r="BO450" s="1062">
        <f>'No Recurrentes 24-26'!CZ315</f>
        <v>0</v>
      </c>
      <c r="BP450" s="1062">
        <f>'No Recurrentes 24-26'!DA315</f>
        <v>0</v>
      </c>
      <c r="BQ450" s="1062">
        <f>'No Recurrentes 24-26'!DB315</f>
        <v>0</v>
      </c>
      <c r="BR450" s="1062">
        <f>'No Recurrentes 24-26'!DC315</f>
        <v>0</v>
      </c>
      <c r="BS450" s="1062">
        <f>'No Recurrentes 24-26'!DD315</f>
        <v>0</v>
      </c>
      <c r="BT450" s="1062">
        <f>'No Recurrentes 24-26'!DE315</f>
        <v>0</v>
      </c>
      <c r="BU450" s="1062">
        <f>'No Recurrentes 24-26'!DF315</f>
        <v>0</v>
      </c>
      <c r="BV450" s="1062">
        <f>'No Recurrentes 24-26'!DG315</f>
        <v>0</v>
      </c>
      <c r="BW450" s="1068"/>
      <c r="BX450" s="1062">
        <f>'No Recurrentes 24-26'!DH315</f>
        <v>0</v>
      </c>
      <c r="BY450" s="1062">
        <f>'No Recurrentes 24-26'!DI315</f>
        <v>2492.376</v>
      </c>
      <c r="BZ450" s="1062">
        <f>'No Recurrentes 24-26'!DJ315</f>
        <v>2492.376</v>
      </c>
      <c r="CA450" s="1062">
        <f>'No Recurrentes 24-26'!DK315</f>
        <v>2492.376</v>
      </c>
      <c r="CB450" s="1062">
        <f>'No Recurrentes 24-26'!DL315</f>
        <v>4984.752</v>
      </c>
      <c r="CC450" s="1062">
        <f>'No Recurrentes 24-26'!DM315</f>
        <v>4984.752</v>
      </c>
      <c r="CD450" s="1062">
        <f>'No Recurrentes 24-26'!DN315</f>
        <v>4984.752</v>
      </c>
      <c r="CE450" s="1062">
        <f>'No Recurrentes 24-26'!DO315</f>
        <v>0</v>
      </c>
      <c r="CF450" s="1062">
        <f>'No Recurrentes 24-26'!DP315</f>
        <v>0</v>
      </c>
      <c r="CG450" s="1062">
        <f>'No Recurrentes 24-26'!DQ315</f>
        <v>0</v>
      </c>
      <c r="CH450" s="1062">
        <f>'No Recurrentes 24-26'!DR315</f>
        <v>0</v>
      </c>
      <c r="CI450" s="1068"/>
      <c r="CJ450" s="1062">
        <f>'No Recurrentes 24-26'!DS315</f>
        <v>22431.384</v>
      </c>
      <c r="CK450" s="1062">
        <f>'No Recurrentes 24-26'!DT315</f>
        <v>59817.024</v>
      </c>
      <c r="CL450" s="1064" t="str">
        <f>'No Recurrentes 24-26'!DU315</f>
        <v/>
      </c>
      <c r="CM450" s="1064" t="str">
        <f>'No Recurrentes 24-26'!DV315</f>
        <v>Se tenian Ids duplicados</v>
      </c>
      <c r="CN450" s="1065">
        <f>'No Recurrentes 24-26'!EI311</f>
        <v>2022.65</v>
      </c>
      <c r="CO450" s="1065">
        <f>'No Recurrentes 24-26'!EJ311</f>
        <v>1719.25</v>
      </c>
      <c r="CP450" s="1060" t="str">
        <f>'No Recurrentes 24-26'!EK311</f>
        <v/>
      </c>
    </row>
    <row r="451">
      <c r="A451" s="451" t="str">
        <f>'No Recurrentes 24-26'!A316</f>
        <v>Repuestos Electromecánicos no recurrentes</v>
      </c>
      <c r="B451" s="451">
        <f>'No Recurrentes 24-26'!B316</f>
        <v>2</v>
      </c>
      <c r="C451" s="451" t="str">
        <f>'No Recurrentes 24-26'!C316</f>
        <v>Estación</v>
      </c>
      <c r="D451" s="451" t="str">
        <f>'No Recurrentes 24-26'!D316</f>
        <v>Poleas de estacion</v>
      </c>
      <c r="E451" s="451" t="str">
        <f>'No Recurrentes 24-26'!E316</f>
        <v>Repuesto Mecánico</v>
      </c>
      <c r="F451" s="451" t="str">
        <f>'No Recurrentes 24-26'!F316</f>
        <v>TDB</v>
      </c>
      <c r="G451" s="1025" t="str">
        <f>'No Recurrentes 24-26'!G316</f>
        <v>39800</v>
      </c>
      <c r="H451" s="1061" t="str">
        <f>'No Recurrentes 24-26'!H316</f>
        <v>2-01-00277</v>
      </c>
      <c r="I451" s="1061" t="str">
        <f>'No Recurrentes 24-26'!I316</f>
        <v>11200291</v>
      </c>
      <c r="J451" s="1061" t="str">
        <f>'No Recurrentes 24-26'!J316</f>
        <v>POLEA H 500 CL.100 DIÁ.505 C.ARO LAT. ACERO SIN NIPLE ENGRASE</v>
      </c>
      <c r="K451" s="451" t="str">
        <f>'No Recurrentes 24-26'!K316</f>
        <v>Pza</v>
      </c>
      <c r="L451" s="451" t="str">
        <f>'No Recurrentes 24-26'!BC316</f>
        <v/>
      </c>
      <c r="M451" s="451">
        <f>'No Recurrentes 24-26'!BD316</f>
        <v>2</v>
      </c>
      <c r="N451" s="451" t="str">
        <f>'No Recurrentes 24-26'!BE316</f>
        <v/>
      </c>
      <c r="O451" s="451" t="str">
        <f>'No Recurrentes 24-26'!BF316</f>
        <v/>
      </c>
      <c r="P451" s="451" t="str">
        <f>'No Recurrentes 24-26'!BG316</f>
        <v/>
      </c>
      <c r="Q451" s="451" t="str">
        <f>'No Recurrentes 24-26'!BH316</f>
        <v/>
      </c>
      <c r="R451" s="451" t="str">
        <f>'No Recurrentes 24-26'!BI316</f>
        <v/>
      </c>
      <c r="S451" s="451" t="str">
        <f>'No Recurrentes 24-26'!BJ316</f>
        <v/>
      </c>
      <c r="T451" s="451" t="str">
        <f>'No Recurrentes 24-26'!BK316</f>
        <v/>
      </c>
      <c r="U451" s="451" t="str">
        <f>'No Recurrentes 24-26'!BL316</f>
        <v/>
      </c>
      <c r="V451" s="1068"/>
      <c r="W451" s="1062">
        <f>'No Recurrentes 24-26'!BM316</f>
        <v>2</v>
      </c>
      <c r="X451" s="1062" t="str">
        <f>'No Recurrentes 24-26'!BN316</f>
        <v/>
      </c>
      <c r="Y451" s="1062" t="str">
        <f>'No Recurrentes 24-26'!BO316</f>
        <v/>
      </c>
      <c r="Z451" s="1062" t="str">
        <f>'No Recurrentes 24-26'!BP316</f>
        <v/>
      </c>
      <c r="AA451" s="1062" t="str">
        <f>'No Recurrentes 24-26'!BQ316</f>
        <v/>
      </c>
      <c r="AB451" s="1062" t="str">
        <f>'No Recurrentes 24-26'!BR316</f>
        <v/>
      </c>
      <c r="AC451" s="1062" t="str">
        <f>'No Recurrentes 24-26'!BS316</f>
        <v/>
      </c>
      <c r="AD451" s="1062" t="str">
        <f>'No Recurrentes 24-26'!BT316</f>
        <v/>
      </c>
      <c r="AE451" s="1062" t="str">
        <f>'No Recurrentes 24-26'!BU316</f>
        <v/>
      </c>
      <c r="AF451" s="1062" t="str">
        <f>'No Recurrentes 24-26'!BV316</f>
        <v/>
      </c>
      <c r="AG451" s="1062" t="str">
        <f>'No Recurrentes 24-26'!BW316</f>
        <v/>
      </c>
      <c r="AH451" s="1068"/>
      <c r="AI451" s="1062">
        <f>'No Recurrentes 24-26'!BX316</f>
        <v>0</v>
      </c>
      <c r="AJ451" s="1062">
        <f>'No Recurrentes 24-26'!BY316</f>
        <v>0</v>
      </c>
      <c r="AK451" s="1062">
        <f>'No Recurrentes 24-26'!BZ316</f>
        <v>0</v>
      </c>
      <c r="AL451" s="1062">
        <f>'No Recurrentes 24-26'!CA316</f>
        <v>0</v>
      </c>
      <c r="AM451" s="1062">
        <f>'No Recurrentes 24-26'!CB316</f>
        <v>0</v>
      </c>
      <c r="AN451" s="1062">
        <f>'No Recurrentes 24-26'!CC316</f>
        <v>0</v>
      </c>
      <c r="AO451" s="1062">
        <f>'No Recurrentes 24-26'!CD316</f>
        <v>0</v>
      </c>
      <c r="AP451" s="1062">
        <f>'No Recurrentes 24-26'!CE316</f>
        <v>0</v>
      </c>
      <c r="AQ451" s="1062">
        <f>'No Recurrentes 24-26'!CF316</f>
        <v>0</v>
      </c>
      <c r="AR451" s="1062">
        <f>'No Recurrentes 24-26'!CG316</f>
        <v>0</v>
      </c>
      <c r="AS451" s="1062">
        <f>'No Recurrentes 24-26'!CH316</f>
        <v>0</v>
      </c>
      <c r="AT451" s="1068"/>
      <c r="AU451" s="1062">
        <f>'No Recurrentes 24-26'!CI316</f>
        <v>0</v>
      </c>
      <c r="AV451" s="1063">
        <f>'No Recurrentes 24-26'!CJ316</f>
        <v>2</v>
      </c>
      <c r="AW451" s="1068"/>
      <c r="AX451" s="1065">
        <f>'No Recurrentes 24-26'!CK316</f>
        <v>2560.69</v>
      </c>
      <c r="AY451" s="1062">
        <f>'No Recurrentes 24-26'!CL316</f>
        <v>17822.4024</v>
      </c>
      <c r="AZ451" s="1068"/>
      <c r="BA451" s="1062">
        <f>'No Recurrentes 24-26'!CM316</f>
        <v>0</v>
      </c>
      <c r="BB451" s="1062">
        <f>'No Recurrentes 24-26'!CN316</f>
        <v>35644.8048</v>
      </c>
      <c r="BC451" s="1062">
        <f>'No Recurrentes 24-26'!CO316</f>
        <v>0</v>
      </c>
      <c r="BD451" s="1062">
        <f>'No Recurrentes 24-26'!CP316</f>
        <v>0</v>
      </c>
      <c r="BE451" s="1062">
        <f>'No Recurrentes 24-26'!CQ316</f>
        <v>0</v>
      </c>
      <c r="BF451" s="1062">
        <f>'No Recurrentes 24-26'!CR316</f>
        <v>0</v>
      </c>
      <c r="BG451" s="1062">
        <f>'No Recurrentes 24-26'!CS316</f>
        <v>0</v>
      </c>
      <c r="BH451" s="1062">
        <f>'No Recurrentes 24-26'!CT316</f>
        <v>0</v>
      </c>
      <c r="BI451" s="1062">
        <f>'No Recurrentes 24-26'!CU316</f>
        <v>0</v>
      </c>
      <c r="BJ451" s="1062">
        <f>'No Recurrentes 24-26'!CV316</f>
        <v>0</v>
      </c>
      <c r="BK451" s="1068"/>
      <c r="BL451" s="1062">
        <f>'No Recurrentes 24-26'!CW316</f>
        <v>35644.8048</v>
      </c>
      <c r="BM451" s="1062">
        <f>'No Recurrentes 24-26'!CX316</f>
        <v>0</v>
      </c>
      <c r="BN451" s="1062">
        <f>'No Recurrentes 24-26'!CY316</f>
        <v>0</v>
      </c>
      <c r="BO451" s="1062">
        <f>'No Recurrentes 24-26'!CZ316</f>
        <v>0</v>
      </c>
      <c r="BP451" s="1062">
        <f>'No Recurrentes 24-26'!DA316</f>
        <v>0</v>
      </c>
      <c r="BQ451" s="1062">
        <f>'No Recurrentes 24-26'!DB316</f>
        <v>0</v>
      </c>
      <c r="BR451" s="1062">
        <f>'No Recurrentes 24-26'!DC316</f>
        <v>0</v>
      </c>
      <c r="BS451" s="1062">
        <f>'No Recurrentes 24-26'!DD316</f>
        <v>0</v>
      </c>
      <c r="BT451" s="1062">
        <f>'No Recurrentes 24-26'!DE316</f>
        <v>0</v>
      </c>
      <c r="BU451" s="1062">
        <f>'No Recurrentes 24-26'!DF316</f>
        <v>0</v>
      </c>
      <c r="BV451" s="1062">
        <f>'No Recurrentes 24-26'!DG316</f>
        <v>0</v>
      </c>
      <c r="BW451" s="1068"/>
      <c r="BX451" s="1062">
        <f>'No Recurrentes 24-26'!DH316</f>
        <v>0</v>
      </c>
      <c r="BY451" s="1062">
        <f>'No Recurrentes 24-26'!DI316</f>
        <v>0</v>
      </c>
      <c r="BZ451" s="1062">
        <f>'No Recurrentes 24-26'!DJ316</f>
        <v>0</v>
      </c>
      <c r="CA451" s="1062">
        <f>'No Recurrentes 24-26'!DK316</f>
        <v>0</v>
      </c>
      <c r="CB451" s="1062">
        <f>'No Recurrentes 24-26'!DL316</f>
        <v>0</v>
      </c>
      <c r="CC451" s="1062">
        <f>'No Recurrentes 24-26'!DM316</f>
        <v>0</v>
      </c>
      <c r="CD451" s="1062">
        <f>'No Recurrentes 24-26'!DN316</f>
        <v>0</v>
      </c>
      <c r="CE451" s="1062">
        <f>'No Recurrentes 24-26'!DO316</f>
        <v>0</v>
      </c>
      <c r="CF451" s="1062">
        <f>'No Recurrentes 24-26'!DP316</f>
        <v>0</v>
      </c>
      <c r="CG451" s="1062">
        <f>'No Recurrentes 24-26'!DQ316</f>
        <v>0</v>
      </c>
      <c r="CH451" s="1062">
        <f>'No Recurrentes 24-26'!DR316</f>
        <v>0</v>
      </c>
      <c r="CI451" s="1068"/>
      <c r="CJ451" s="1062">
        <f>'No Recurrentes 24-26'!DS316</f>
        <v>0</v>
      </c>
      <c r="CK451" s="1062">
        <f>'No Recurrentes 24-26'!DT316</f>
        <v>35644.8048</v>
      </c>
      <c r="CL451" s="1064" t="str">
        <f>'No Recurrentes 24-26'!DU316</f>
        <v/>
      </c>
      <c r="CM451" s="1064" t="str">
        <f>'No Recurrentes 24-26'!DV316</f>
        <v/>
      </c>
      <c r="CN451" s="1065">
        <f>'No Recurrentes 24-26'!EI312</f>
        <v>219.47</v>
      </c>
      <c r="CO451" s="1065">
        <f>'No Recurrentes 24-26'!EJ312</f>
        <v>186.55</v>
      </c>
      <c r="CP451" s="1060" t="str">
        <f>'No Recurrentes 24-26'!EK312</f>
        <v/>
      </c>
    </row>
    <row r="452">
      <c r="A452" s="451" t="str">
        <f>'No Recurrentes 24-26'!A317</f>
        <v>Repuestos Electromecánicos no recurrentes</v>
      </c>
      <c r="B452" s="451">
        <f>'No Recurrentes 24-26'!B317</f>
        <v>2</v>
      </c>
      <c r="C452" s="451" t="str">
        <f>'No Recurrentes 24-26'!C317</f>
        <v>Estación</v>
      </c>
      <c r="D452" s="451" t="str">
        <f>'No Recurrentes 24-26'!D317</f>
        <v>Poleas de estacion</v>
      </c>
      <c r="E452" s="451" t="str">
        <f>'No Recurrentes 24-26'!E317</f>
        <v>Repuesto Mecánico</v>
      </c>
      <c r="F452" s="451" t="str">
        <f>'No Recurrentes 24-26'!F317</f>
        <v>TDB</v>
      </c>
      <c r="G452" s="1025" t="str">
        <f>'No Recurrentes 24-26'!G317</f>
        <v>39800</v>
      </c>
      <c r="H452" s="1061" t="str">
        <f>'No Recurrentes 24-26'!H317</f>
        <v/>
      </c>
      <c r="I452" s="1061" t="str">
        <f>'No Recurrentes 24-26'!I317</f>
        <v>11040059</v>
      </c>
      <c r="J452" s="1061" t="str">
        <f>'No Recurrentes 24-26'!J317</f>
        <v>ANILLO DIST. DIÁ.68/50 E=13,5 P. POLEA 501</v>
      </c>
      <c r="K452" s="451" t="str">
        <f>'No Recurrentes 24-26'!K317</f>
        <v>Pza</v>
      </c>
      <c r="L452" s="451">
        <f>'No Recurrentes 24-26'!BC317</f>
        <v>2</v>
      </c>
      <c r="M452" s="451">
        <f>'No Recurrentes 24-26'!BD317</f>
        <v>2</v>
      </c>
      <c r="N452" s="451">
        <f>'No Recurrentes 24-26'!BE317</f>
        <v>4</v>
      </c>
      <c r="O452" s="451">
        <f>'No Recurrentes 24-26'!BF317</f>
        <v>15</v>
      </c>
      <c r="P452" s="451">
        <f>'No Recurrentes 24-26'!BG317</f>
        <v>20</v>
      </c>
      <c r="Q452" s="451">
        <f>'No Recurrentes 24-26'!BH317</f>
        <v>30</v>
      </c>
      <c r="R452" s="451" t="str">
        <f>'No Recurrentes 24-26'!BI317</f>
        <v/>
      </c>
      <c r="S452" s="451" t="str">
        <f>'No Recurrentes 24-26'!BJ317</f>
        <v/>
      </c>
      <c r="T452" s="451" t="str">
        <f>'No Recurrentes 24-26'!BK317</f>
        <v/>
      </c>
      <c r="U452" s="451" t="str">
        <f>'No Recurrentes 24-26'!BL317</f>
        <v/>
      </c>
      <c r="V452" s="1068"/>
      <c r="W452" s="1062">
        <f>'No Recurrentes 24-26'!BM317</f>
        <v>73</v>
      </c>
      <c r="X452" s="1062" t="str">
        <f>'No Recurrentes 24-26'!BN317</f>
        <v/>
      </c>
      <c r="Y452" s="1062" t="str">
        <f>'No Recurrentes 24-26'!BO317</f>
        <v/>
      </c>
      <c r="Z452" s="1062" t="str">
        <f>'No Recurrentes 24-26'!BP317</f>
        <v/>
      </c>
      <c r="AA452" s="1062" t="str">
        <f>'No Recurrentes 24-26'!BQ317</f>
        <v/>
      </c>
      <c r="AB452" s="1062" t="str">
        <f>'No Recurrentes 24-26'!BR317</f>
        <v/>
      </c>
      <c r="AC452" s="1062" t="str">
        <f>'No Recurrentes 24-26'!BS317</f>
        <v/>
      </c>
      <c r="AD452" s="1062" t="str">
        <f>'No Recurrentes 24-26'!BT317</f>
        <v/>
      </c>
      <c r="AE452" s="1062" t="str">
        <f>'No Recurrentes 24-26'!BU317</f>
        <v/>
      </c>
      <c r="AF452" s="1062" t="str">
        <f>'No Recurrentes 24-26'!BV317</f>
        <v/>
      </c>
      <c r="AG452" s="1062" t="str">
        <f>'No Recurrentes 24-26'!BW317</f>
        <v/>
      </c>
      <c r="AH452" s="1068"/>
      <c r="AI452" s="1062">
        <f>'No Recurrentes 24-26'!BX317</f>
        <v>0</v>
      </c>
      <c r="AJ452" s="1062">
        <f>'No Recurrentes 24-26'!BY317</f>
        <v>8</v>
      </c>
      <c r="AK452" s="1062">
        <f>'No Recurrentes 24-26'!BZ317</f>
        <v>2</v>
      </c>
      <c r="AL452" s="1062">
        <f>'No Recurrentes 24-26'!CA317</f>
        <v>4</v>
      </c>
      <c r="AM452" s="1062">
        <f>'No Recurrentes 24-26'!CB317</f>
        <v>15</v>
      </c>
      <c r="AN452" s="1062">
        <f>'No Recurrentes 24-26'!CC317</f>
        <v>20</v>
      </c>
      <c r="AO452" s="1062">
        <f>'No Recurrentes 24-26'!CD317</f>
        <v>30</v>
      </c>
      <c r="AP452" s="1062">
        <f>'No Recurrentes 24-26'!CE317</f>
        <v>0</v>
      </c>
      <c r="AQ452" s="1062">
        <f>'No Recurrentes 24-26'!CF317</f>
        <v>0</v>
      </c>
      <c r="AR452" s="1062">
        <f>'No Recurrentes 24-26'!CG317</f>
        <v>0</v>
      </c>
      <c r="AS452" s="1062">
        <f>'No Recurrentes 24-26'!CH317</f>
        <v>0</v>
      </c>
      <c r="AT452" s="1068"/>
      <c r="AU452" s="1062">
        <f>'No Recurrentes 24-26'!CI317</f>
        <v>79</v>
      </c>
      <c r="AV452" s="1063">
        <f>'No Recurrentes 24-26'!CJ317</f>
        <v>152</v>
      </c>
      <c r="AW452" s="1068"/>
      <c r="AX452" s="1065">
        <f>'No Recurrentes 24-26'!CK317</f>
        <v>66.8</v>
      </c>
      <c r="AY452" s="1062">
        <f>'No Recurrentes 24-26'!CL317</f>
        <v>464.928</v>
      </c>
      <c r="AZ452" s="1068"/>
      <c r="BA452" s="1062">
        <f>'No Recurrentes 24-26'!CM317</f>
        <v>929.856</v>
      </c>
      <c r="BB452" s="1062">
        <f>'No Recurrentes 24-26'!CN317</f>
        <v>929.856</v>
      </c>
      <c r="BC452" s="1062">
        <f>'No Recurrentes 24-26'!CO317</f>
        <v>1859.712</v>
      </c>
      <c r="BD452" s="1062">
        <f>'No Recurrentes 24-26'!CP317</f>
        <v>6973.92</v>
      </c>
      <c r="BE452" s="1062">
        <f>'No Recurrentes 24-26'!CQ317</f>
        <v>9298.56</v>
      </c>
      <c r="BF452" s="1062">
        <f>'No Recurrentes 24-26'!CR317</f>
        <v>13947.84</v>
      </c>
      <c r="BG452" s="1062">
        <f>'No Recurrentes 24-26'!CS317</f>
        <v>0</v>
      </c>
      <c r="BH452" s="1062">
        <f>'No Recurrentes 24-26'!CT317</f>
        <v>0</v>
      </c>
      <c r="BI452" s="1062">
        <f>'No Recurrentes 24-26'!CU317</f>
        <v>0</v>
      </c>
      <c r="BJ452" s="1062">
        <f>'No Recurrentes 24-26'!CV317</f>
        <v>0</v>
      </c>
      <c r="BK452" s="1068"/>
      <c r="BL452" s="1062">
        <f>'No Recurrentes 24-26'!CW317</f>
        <v>33939.744</v>
      </c>
      <c r="BM452" s="1062">
        <f>'No Recurrentes 24-26'!CX317</f>
        <v>0</v>
      </c>
      <c r="BN452" s="1062">
        <f>'No Recurrentes 24-26'!CY317</f>
        <v>0</v>
      </c>
      <c r="BO452" s="1062">
        <f>'No Recurrentes 24-26'!CZ317</f>
        <v>0</v>
      </c>
      <c r="BP452" s="1062">
        <f>'No Recurrentes 24-26'!DA317</f>
        <v>0</v>
      </c>
      <c r="BQ452" s="1062">
        <f>'No Recurrentes 24-26'!DB317</f>
        <v>0</v>
      </c>
      <c r="BR452" s="1062">
        <f>'No Recurrentes 24-26'!DC317</f>
        <v>0</v>
      </c>
      <c r="BS452" s="1062">
        <f>'No Recurrentes 24-26'!DD317</f>
        <v>0</v>
      </c>
      <c r="BT452" s="1062">
        <f>'No Recurrentes 24-26'!DE317</f>
        <v>0</v>
      </c>
      <c r="BU452" s="1062">
        <f>'No Recurrentes 24-26'!DF317</f>
        <v>0</v>
      </c>
      <c r="BV452" s="1062">
        <f>'No Recurrentes 24-26'!DG317</f>
        <v>0</v>
      </c>
      <c r="BW452" s="1068"/>
      <c r="BX452" s="1062">
        <f>'No Recurrentes 24-26'!DH317</f>
        <v>0</v>
      </c>
      <c r="BY452" s="1062">
        <f>'No Recurrentes 24-26'!DI317</f>
        <v>3719.424</v>
      </c>
      <c r="BZ452" s="1062">
        <f>'No Recurrentes 24-26'!DJ317</f>
        <v>929.856</v>
      </c>
      <c r="CA452" s="1062">
        <f>'No Recurrentes 24-26'!DK317</f>
        <v>1859.712</v>
      </c>
      <c r="CB452" s="1062">
        <f>'No Recurrentes 24-26'!DL317</f>
        <v>6973.92</v>
      </c>
      <c r="CC452" s="1062">
        <f>'No Recurrentes 24-26'!DM317</f>
        <v>9298.56</v>
      </c>
      <c r="CD452" s="1062">
        <f>'No Recurrentes 24-26'!DN317</f>
        <v>13947.84</v>
      </c>
      <c r="CE452" s="1062">
        <f>'No Recurrentes 24-26'!DO317</f>
        <v>0</v>
      </c>
      <c r="CF452" s="1062">
        <f>'No Recurrentes 24-26'!DP317</f>
        <v>0</v>
      </c>
      <c r="CG452" s="1062">
        <f>'No Recurrentes 24-26'!DQ317</f>
        <v>0</v>
      </c>
      <c r="CH452" s="1062">
        <f>'No Recurrentes 24-26'!DR317</f>
        <v>0</v>
      </c>
      <c r="CI452" s="1068"/>
      <c r="CJ452" s="1062">
        <f>'No Recurrentes 24-26'!DS317</f>
        <v>36729.312</v>
      </c>
      <c r="CK452" s="1062">
        <f>'No Recurrentes 24-26'!DT317</f>
        <v>70669.056</v>
      </c>
      <c r="CL452" s="1064" t="str">
        <f>'No Recurrentes 24-26'!DU317</f>
        <v/>
      </c>
      <c r="CM452" s="1064" t="str">
        <f>'No Recurrentes 24-26'!DV317</f>
        <v/>
      </c>
      <c r="CN452" s="1065">
        <f>'No Recurrentes 24-26'!EI313</f>
        <v>42.11</v>
      </c>
      <c r="CO452" s="1065">
        <f>'No Recurrentes 24-26'!EJ313</f>
        <v>35.79</v>
      </c>
      <c r="CP452" s="1060" t="str">
        <f>'No Recurrentes 24-26'!EK313</f>
        <v/>
      </c>
    </row>
    <row r="453">
      <c r="A453" s="451" t="str">
        <f>'No Recurrentes 24-26'!A318</f>
        <v>Repuestos Electromecánicos no recurrentes</v>
      </c>
      <c r="B453" s="451">
        <f>'No Recurrentes 24-26'!B318</f>
        <v>2</v>
      </c>
      <c r="C453" s="451" t="str">
        <f>'No Recurrentes 24-26'!C318</f>
        <v>Estación</v>
      </c>
      <c r="D453" s="451" t="str">
        <f>'No Recurrentes 24-26'!D318</f>
        <v>Poleas de estacion</v>
      </c>
      <c r="E453" s="451" t="str">
        <f>'No Recurrentes 24-26'!E318</f>
        <v>Repuesto Mecánico</v>
      </c>
      <c r="F453" s="451" t="str">
        <f>'No Recurrentes 24-26'!F318</f>
        <v>TDB</v>
      </c>
      <c r="G453" s="1025" t="str">
        <f>'No Recurrentes 24-26'!G318</f>
        <v>39800</v>
      </c>
      <c r="H453" s="1061" t="str">
        <f>'No Recurrentes 24-26'!H318</f>
        <v>1-01-00678</v>
      </c>
      <c r="I453" s="1061" t="str">
        <f>'No Recurrentes 24-26'!I318</f>
        <v>11200310</v>
      </c>
      <c r="J453" s="1061" t="str">
        <f>'No Recurrentes 24-26'!J318</f>
        <v>POLEA V 500 CL.100 DIÁ.505 C.ARO LAT. ACERO SIN NIPLE ENGRASE</v>
      </c>
      <c r="K453" s="451" t="str">
        <f>'No Recurrentes 24-26'!K318</f>
        <v>Pza</v>
      </c>
      <c r="L453" s="451" t="str">
        <f>'No Recurrentes 24-26'!BC318</f>
        <v/>
      </c>
      <c r="M453" s="451">
        <f>'No Recurrentes 24-26'!BD318</f>
        <v>2</v>
      </c>
      <c r="N453" s="451" t="str">
        <f>'No Recurrentes 24-26'!BE318</f>
        <v/>
      </c>
      <c r="O453" s="451" t="str">
        <f>'No Recurrentes 24-26'!BF318</f>
        <v/>
      </c>
      <c r="P453" s="451" t="str">
        <f>'No Recurrentes 24-26'!BG318</f>
        <v/>
      </c>
      <c r="Q453" s="451" t="str">
        <f>'No Recurrentes 24-26'!BH318</f>
        <v/>
      </c>
      <c r="R453" s="451" t="str">
        <f>'No Recurrentes 24-26'!BI318</f>
        <v/>
      </c>
      <c r="S453" s="451" t="str">
        <f>'No Recurrentes 24-26'!BJ318</f>
        <v/>
      </c>
      <c r="T453" s="451" t="str">
        <f>'No Recurrentes 24-26'!BK318</f>
        <v/>
      </c>
      <c r="U453" s="451" t="str">
        <f>'No Recurrentes 24-26'!BL318</f>
        <v/>
      </c>
      <c r="V453" s="1068"/>
      <c r="W453" s="1062">
        <f>'No Recurrentes 24-26'!BM318</f>
        <v>2</v>
      </c>
      <c r="X453" s="1062" t="str">
        <f>'No Recurrentes 24-26'!BN318</f>
        <v/>
      </c>
      <c r="Y453" s="1062" t="str">
        <f>'No Recurrentes 24-26'!BO318</f>
        <v/>
      </c>
      <c r="Z453" s="1062" t="str">
        <f>'No Recurrentes 24-26'!BP318</f>
        <v/>
      </c>
      <c r="AA453" s="1062" t="str">
        <f>'No Recurrentes 24-26'!BQ318</f>
        <v/>
      </c>
      <c r="AB453" s="1062" t="str">
        <f>'No Recurrentes 24-26'!BR318</f>
        <v/>
      </c>
      <c r="AC453" s="1062" t="str">
        <f>'No Recurrentes 24-26'!BS318</f>
        <v/>
      </c>
      <c r="AD453" s="1062" t="str">
        <f>'No Recurrentes 24-26'!BT318</f>
        <v/>
      </c>
      <c r="AE453" s="1062" t="str">
        <f>'No Recurrentes 24-26'!BU318</f>
        <v/>
      </c>
      <c r="AF453" s="1062" t="str">
        <f>'No Recurrentes 24-26'!BV318</f>
        <v/>
      </c>
      <c r="AG453" s="1062" t="str">
        <f>'No Recurrentes 24-26'!BW318</f>
        <v/>
      </c>
      <c r="AH453" s="1068"/>
      <c r="AI453" s="1062">
        <f>'No Recurrentes 24-26'!BX318</f>
        <v>0</v>
      </c>
      <c r="AJ453" s="1062">
        <f>'No Recurrentes 24-26'!BY318</f>
        <v>0</v>
      </c>
      <c r="AK453" s="1062">
        <f>'No Recurrentes 24-26'!BZ318</f>
        <v>0</v>
      </c>
      <c r="AL453" s="1062">
        <f>'No Recurrentes 24-26'!CA318</f>
        <v>0</v>
      </c>
      <c r="AM453" s="1062">
        <f>'No Recurrentes 24-26'!CB318</f>
        <v>0</v>
      </c>
      <c r="AN453" s="1062">
        <f>'No Recurrentes 24-26'!CC318</f>
        <v>0</v>
      </c>
      <c r="AO453" s="1062">
        <f>'No Recurrentes 24-26'!CD318</f>
        <v>0</v>
      </c>
      <c r="AP453" s="1062">
        <f>'No Recurrentes 24-26'!CE318</f>
        <v>0</v>
      </c>
      <c r="AQ453" s="1062">
        <f>'No Recurrentes 24-26'!CF318</f>
        <v>0</v>
      </c>
      <c r="AR453" s="1062">
        <f>'No Recurrentes 24-26'!CG318</f>
        <v>0</v>
      </c>
      <c r="AS453" s="1062">
        <f>'No Recurrentes 24-26'!CH318</f>
        <v>0</v>
      </c>
      <c r="AT453" s="1068"/>
      <c r="AU453" s="1062">
        <f>'No Recurrentes 24-26'!CI318</f>
        <v>0</v>
      </c>
      <c r="AV453" s="1062">
        <f>'No Recurrentes 24-26'!CJ318</f>
        <v>2</v>
      </c>
      <c r="AW453" s="1068"/>
      <c r="AX453" s="1065">
        <f>'No Recurrentes 24-26'!CK318</f>
        <v>2326.18</v>
      </c>
      <c r="AY453" s="1062">
        <f>'No Recurrentes 24-26'!CL318</f>
        <v>16190.2128</v>
      </c>
      <c r="AZ453" s="1068"/>
      <c r="BA453" s="1062">
        <f>'No Recurrentes 24-26'!CM318</f>
        <v>0</v>
      </c>
      <c r="BB453" s="1062">
        <f>'No Recurrentes 24-26'!CN318</f>
        <v>32380.4256</v>
      </c>
      <c r="BC453" s="1062">
        <f>'No Recurrentes 24-26'!CO318</f>
        <v>0</v>
      </c>
      <c r="BD453" s="1062">
        <f>'No Recurrentes 24-26'!CP318</f>
        <v>0</v>
      </c>
      <c r="BE453" s="1062">
        <f>'No Recurrentes 24-26'!CQ318</f>
        <v>0</v>
      </c>
      <c r="BF453" s="1062">
        <f>'No Recurrentes 24-26'!CR318</f>
        <v>0</v>
      </c>
      <c r="BG453" s="1062">
        <f>'No Recurrentes 24-26'!CS318</f>
        <v>0</v>
      </c>
      <c r="BH453" s="1062">
        <f>'No Recurrentes 24-26'!CT318</f>
        <v>0</v>
      </c>
      <c r="BI453" s="1062">
        <f>'No Recurrentes 24-26'!CU318</f>
        <v>0</v>
      </c>
      <c r="BJ453" s="1062">
        <f>'No Recurrentes 24-26'!CV318</f>
        <v>0</v>
      </c>
      <c r="BK453" s="1068"/>
      <c r="BL453" s="1062">
        <f>'No Recurrentes 24-26'!CW318</f>
        <v>32380.4256</v>
      </c>
      <c r="BM453" s="1062">
        <f>'No Recurrentes 24-26'!CX318</f>
        <v>0</v>
      </c>
      <c r="BN453" s="1062">
        <f>'No Recurrentes 24-26'!CY318</f>
        <v>0</v>
      </c>
      <c r="BO453" s="1062">
        <f>'No Recurrentes 24-26'!CZ318</f>
        <v>0</v>
      </c>
      <c r="BP453" s="1062">
        <f>'No Recurrentes 24-26'!DA318</f>
        <v>0</v>
      </c>
      <c r="BQ453" s="1062">
        <f>'No Recurrentes 24-26'!DB318</f>
        <v>0</v>
      </c>
      <c r="BR453" s="1062">
        <f>'No Recurrentes 24-26'!DC318</f>
        <v>0</v>
      </c>
      <c r="BS453" s="1062">
        <f>'No Recurrentes 24-26'!DD318</f>
        <v>0</v>
      </c>
      <c r="BT453" s="1062">
        <f>'No Recurrentes 24-26'!DE318</f>
        <v>0</v>
      </c>
      <c r="BU453" s="1062">
        <f>'No Recurrentes 24-26'!DF318</f>
        <v>0</v>
      </c>
      <c r="BV453" s="1062">
        <f>'No Recurrentes 24-26'!DG318</f>
        <v>0</v>
      </c>
      <c r="BW453" s="1068"/>
      <c r="BX453" s="1062">
        <f>'No Recurrentes 24-26'!DH318</f>
        <v>0</v>
      </c>
      <c r="BY453" s="1062">
        <f>'No Recurrentes 24-26'!DI318</f>
        <v>0</v>
      </c>
      <c r="BZ453" s="1062">
        <f>'No Recurrentes 24-26'!DJ318</f>
        <v>0</v>
      </c>
      <c r="CA453" s="1062">
        <f>'No Recurrentes 24-26'!DK318</f>
        <v>0</v>
      </c>
      <c r="CB453" s="1062">
        <f>'No Recurrentes 24-26'!DL318</f>
        <v>0</v>
      </c>
      <c r="CC453" s="1062">
        <f>'No Recurrentes 24-26'!DM318</f>
        <v>0</v>
      </c>
      <c r="CD453" s="1062">
        <f>'No Recurrentes 24-26'!DN318</f>
        <v>0</v>
      </c>
      <c r="CE453" s="1062">
        <f>'No Recurrentes 24-26'!DO318</f>
        <v>0</v>
      </c>
      <c r="CF453" s="1062">
        <f>'No Recurrentes 24-26'!DP318</f>
        <v>0</v>
      </c>
      <c r="CG453" s="1062">
        <f>'No Recurrentes 24-26'!DQ318</f>
        <v>0</v>
      </c>
      <c r="CH453" s="1062">
        <f>'No Recurrentes 24-26'!DR318</f>
        <v>0</v>
      </c>
      <c r="CI453" s="1068"/>
      <c r="CJ453" s="1062">
        <f>'No Recurrentes 24-26'!DS318</f>
        <v>0</v>
      </c>
      <c r="CK453" s="1062">
        <f>'No Recurrentes 24-26'!DT318</f>
        <v>32380.4256</v>
      </c>
      <c r="CL453" s="1064" t="str">
        <f>'No Recurrentes 24-26'!DU318</f>
        <v/>
      </c>
      <c r="CM453" s="1064" t="str">
        <f>'No Recurrentes 24-26'!DV318</f>
        <v/>
      </c>
      <c r="CN453" s="1065">
        <f>'No Recurrentes 24-26'!EI314</f>
        <v>279.15</v>
      </c>
      <c r="CO453" s="1065">
        <f>'No Recurrentes 24-26'!EJ314</f>
        <v>237.28</v>
      </c>
      <c r="CP453" s="1060" t="str">
        <f>'No Recurrentes 24-26'!EK314</f>
        <v/>
      </c>
    </row>
    <row r="454">
      <c r="A454" s="451" t="str">
        <f>'No Recurrentes 24-26'!A319</f>
        <v>Repuestos Electromecánicos no recurrentes</v>
      </c>
      <c r="B454" s="451">
        <f>'No Recurrentes 24-26'!B319</f>
        <v>2</v>
      </c>
      <c r="C454" s="451" t="str">
        <f>'No Recurrentes 24-26'!C319</f>
        <v>Estación</v>
      </c>
      <c r="D454" s="451" t="str">
        <f>'No Recurrentes 24-26'!D319</f>
        <v>Poleas de estacion</v>
      </c>
      <c r="E454" s="451" t="str">
        <f>'No Recurrentes 24-26'!E319</f>
        <v>Repuesto Mecánico</v>
      </c>
      <c r="F454" s="451" t="str">
        <f>'No Recurrentes 24-26'!F319</f>
        <v>TDB</v>
      </c>
      <c r="G454" s="1025" t="str">
        <f>'No Recurrentes 24-26'!G319</f>
        <v>39800</v>
      </c>
      <c r="H454" s="1061" t="str">
        <f>'No Recurrentes 24-26'!H319</f>
        <v/>
      </c>
      <c r="I454" s="1061" t="str">
        <f>'No Recurrentes 24-26'!I319</f>
        <v>11359147</v>
      </c>
      <c r="J454" s="1061" t="str">
        <f>'No Recurrentes 24-26'!J319</f>
        <v>CHAPA E=20 L=150 B=100, UNIG, GALVAN.</v>
      </c>
      <c r="K454" s="451" t="str">
        <f>'No Recurrentes 24-26'!K319</f>
        <v>Pza</v>
      </c>
      <c r="L454" s="451">
        <f>'No Recurrentes 24-26'!BC319</f>
        <v>2</v>
      </c>
      <c r="M454" s="451">
        <f>'No Recurrentes 24-26'!BD319</f>
        <v>2</v>
      </c>
      <c r="N454" s="451">
        <f>'No Recurrentes 24-26'!BE319</f>
        <v>2</v>
      </c>
      <c r="O454" s="451">
        <f>'No Recurrentes 24-26'!BF319</f>
        <v>4</v>
      </c>
      <c r="P454" s="451">
        <f>'No Recurrentes 24-26'!BG319</f>
        <v>4</v>
      </c>
      <c r="Q454" s="451">
        <f>'No Recurrentes 24-26'!BH319</f>
        <v>4</v>
      </c>
      <c r="R454" s="451" t="str">
        <f>'No Recurrentes 24-26'!BI319</f>
        <v/>
      </c>
      <c r="S454" s="451" t="str">
        <f>'No Recurrentes 24-26'!BJ319</f>
        <v/>
      </c>
      <c r="T454" s="451" t="str">
        <f>'No Recurrentes 24-26'!BK319</f>
        <v/>
      </c>
      <c r="U454" s="451">
        <f>'No Recurrentes 24-26'!BL319</f>
        <v>2</v>
      </c>
      <c r="V454" s="1068"/>
      <c r="W454" s="1062">
        <f>'No Recurrentes 24-26'!BM319</f>
        <v>20</v>
      </c>
      <c r="X454" s="1062" t="str">
        <f>'No Recurrentes 24-26'!BN319</f>
        <v/>
      </c>
      <c r="Y454" s="1062" t="str">
        <f>'No Recurrentes 24-26'!BO319</f>
        <v/>
      </c>
      <c r="Z454" s="1062" t="str">
        <f>'No Recurrentes 24-26'!BP319</f>
        <v/>
      </c>
      <c r="AA454" s="1062" t="str">
        <f>'No Recurrentes 24-26'!BQ319</f>
        <v/>
      </c>
      <c r="AB454" s="1062" t="str">
        <f>'No Recurrentes 24-26'!BR319</f>
        <v/>
      </c>
      <c r="AC454" s="1062" t="str">
        <f>'No Recurrentes 24-26'!BS319</f>
        <v/>
      </c>
      <c r="AD454" s="1062" t="str">
        <f>'No Recurrentes 24-26'!BT319</f>
        <v/>
      </c>
      <c r="AE454" s="1062" t="str">
        <f>'No Recurrentes 24-26'!BU319</f>
        <v/>
      </c>
      <c r="AF454" s="1062" t="str">
        <f>'No Recurrentes 24-26'!BV319</f>
        <v/>
      </c>
      <c r="AG454" s="1062" t="str">
        <f>'No Recurrentes 24-26'!BW319</f>
        <v/>
      </c>
      <c r="AH454" s="1068"/>
      <c r="AI454" s="1062">
        <f>'No Recurrentes 24-26'!BX319</f>
        <v>0</v>
      </c>
      <c r="AJ454" s="1062">
        <f>'No Recurrentes 24-26'!BY319</f>
        <v>2</v>
      </c>
      <c r="AK454" s="1062">
        <f>'No Recurrentes 24-26'!BZ319</f>
        <v>2</v>
      </c>
      <c r="AL454" s="1062">
        <f>'No Recurrentes 24-26'!CA319</f>
        <v>2</v>
      </c>
      <c r="AM454" s="1062">
        <f>'No Recurrentes 24-26'!CB319</f>
        <v>4</v>
      </c>
      <c r="AN454" s="1062">
        <f>'No Recurrentes 24-26'!CC319</f>
        <v>4</v>
      </c>
      <c r="AO454" s="1062">
        <f>'No Recurrentes 24-26'!CD319</f>
        <v>4</v>
      </c>
      <c r="AP454" s="1062">
        <f>'No Recurrentes 24-26'!CE319</f>
        <v>0</v>
      </c>
      <c r="AQ454" s="1062">
        <f>'No Recurrentes 24-26'!CF319</f>
        <v>0</v>
      </c>
      <c r="AR454" s="1062">
        <f>'No Recurrentes 24-26'!CG319</f>
        <v>0</v>
      </c>
      <c r="AS454" s="1062">
        <f>'No Recurrentes 24-26'!CH319</f>
        <v>0</v>
      </c>
      <c r="AT454" s="1068"/>
      <c r="AU454" s="1062">
        <f>'No Recurrentes 24-26'!CI319</f>
        <v>18</v>
      </c>
      <c r="AV454" s="1063">
        <f>'No Recurrentes 24-26'!CJ319</f>
        <v>38</v>
      </c>
      <c r="AW454" s="1068"/>
      <c r="AX454" s="1065">
        <f>'No Recurrentes 24-26'!CK319</f>
        <v>206.05</v>
      </c>
      <c r="AY454" s="1062">
        <f>'No Recurrentes 24-26'!CL319</f>
        <v>1434.108</v>
      </c>
      <c r="AZ454" s="1068"/>
      <c r="BA454" s="1062">
        <f>'No Recurrentes 24-26'!CM319</f>
        <v>2868.216</v>
      </c>
      <c r="BB454" s="1062">
        <f>'No Recurrentes 24-26'!CN319</f>
        <v>2868.216</v>
      </c>
      <c r="BC454" s="1062">
        <f>'No Recurrentes 24-26'!CO319</f>
        <v>2868.216</v>
      </c>
      <c r="BD454" s="1062">
        <f>'No Recurrentes 24-26'!CP319</f>
        <v>5736.432</v>
      </c>
      <c r="BE454" s="1062">
        <f>'No Recurrentes 24-26'!CQ319</f>
        <v>5736.432</v>
      </c>
      <c r="BF454" s="1062">
        <f>'No Recurrentes 24-26'!CR319</f>
        <v>5736.432</v>
      </c>
      <c r="BG454" s="1062">
        <f>'No Recurrentes 24-26'!CS319</f>
        <v>0</v>
      </c>
      <c r="BH454" s="1062">
        <f>'No Recurrentes 24-26'!CT319</f>
        <v>0</v>
      </c>
      <c r="BI454" s="1062">
        <f>'No Recurrentes 24-26'!CU319</f>
        <v>0</v>
      </c>
      <c r="BJ454" s="1062">
        <f>'No Recurrentes 24-26'!CV319</f>
        <v>2868.216</v>
      </c>
      <c r="BK454" s="1068"/>
      <c r="BL454" s="1062">
        <f>'No Recurrentes 24-26'!CW319</f>
        <v>28682.16</v>
      </c>
      <c r="BM454" s="1062">
        <f>'No Recurrentes 24-26'!CX319</f>
        <v>0</v>
      </c>
      <c r="BN454" s="1062">
        <f>'No Recurrentes 24-26'!CY319</f>
        <v>0</v>
      </c>
      <c r="BO454" s="1062">
        <f>'No Recurrentes 24-26'!CZ319</f>
        <v>0</v>
      </c>
      <c r="BP454" s="1062">
        <f>'No Recurrentes 24-26'!DA319</f>
        <v>0</v>
      </c>
      <c r="BQ454" s="1062">
        <f>'No Recurrentes 24-26'!DB319</f>
        <v>0</v>
      </c>
      <c r="BR454" s="1062">
        <f>'No Recurrentes 24-26'!DC319</f>
        <v>0</v>
      </c>
      <c r="BS454" s="1062">
        <f>'No Recurrentes 24-26'!DD319</f>
        <v>0</v>
      </c>
      <c r="BT454" s="1062">
        <f>'No Recurrentes 24-26'!DE319</f>
        <v>0</v>
      </c>
      <c r="BU454" s="1062">
        <f>'No Recurrentes 24-26'!DF319</f>
        <v>0</v>
      </c>
      <c r="BV454" s="1062">
        <f>'No Recurrentes 24-26'!DG319</f>
        <v>0</v>
      </c>
      <c r="BW454" s="1068"/>
      <c r="BX454" s="1062">
        <f>'No Recurrentes 24-26'!DH319</f>
        <v>0</v>
      </c>
      <c r="BY454" s="1062">
        <f>'No Recurrentes 24-26'!DI319</f>
        <v>2868.216</v>
      </c>
      <c r="BZ454" s="1062">
        <f>'No Recurrentes 24-26'!DJ319</f>
        <v>2868.216</v>
      </c>
      <c r="CA454" s="1062">
        <f>'No Recurrentes 24-26'!DK319</f>
        <v>2868.216</v>
      </c>
      <c r="CB454" s="1062">
        <f>'No Recurrentes 24-26'!DL319</f>
        <v>5736.432</v>
      </c>
      <c r="CC454" s="1062">
        <f>'No Recurrentes 24-26'!DM319</f>
        <v>5736.432</v>
      </c>
      <c r="CD454" s="1062">
        <f>'No Recurrentes 24-26'!DN319</f>
        <v>5736.432</v>
      </c>
      <c r="CE454" s="1062">
        <f>'No Recurrentes 24-26'!DO319</f>
        <v>0</v>
      </c>
      <c r="CF454" s="1062">
        <f>'No Recurrentes 24-26'!DP319</f>
        <v>0</v>
      </c>
      <c r="CG454" s="1062">
        <f>'No Recurrentes 24-26'!DQ319</f>
        <v>0</v>
      </c>
      <c r="CH454" s="1062">
        <f>'No Recurrentes 24-26'!DR319</f>
        <v>0</v>
      </c>
      <c r="CI454" s="1068"/>
      <c r="CJ454" s="1062">
        <f>'No Recurrentes 24-26'!DS319</f>
        <v>25813.944</v>
      </c>
      <c r="CK454" s="1062">
        <f>'No Recurrentes 24-26'!DT319</f>
        <v>54496.104</v>
      </c>
      <c r="CL454" s="1064" t="str">
        <f>'No Recurrentes 24-26'!DU319</f>
        <v/>
      </c>
      <c r="CM454" s="1064" t="str">
        <f>'No Recurrentes 24-26'!DV319</f>
        <v>Se tenian duplicados</v>
      </c>
      <c r="CN454" s="1065">
        <f>'No Recurrentes 24-26'!EI315</f>
        <v>179.05</v>
      </c>
      <c r="CO454" s="1065">
        <f>'No Recurrentes 24-26'!EJ315</f>
        <v>152.19</v>
      </c>
      <c r="CP454" s="1060" t="str">
        <f>'No Recurrentes 24-26'!EK315</f>
        <v/>
      </c>
    </row>
    <row r="455">
      <c r="A455" s="451" t="str">
        <f>'No Recurrentes 24-26'!A320</f>
        <v>Repuestos Electromecánicos no recurrentes</v>
      </c>
      <c r="B455" s="451">
        <f>'No Recurrentes 24-26'!B320</f>
        <v>2</v>
      </c>
      <c r="C455" s="451" t="str">
        <f>'No Recurrentes 24-26'!C320</f>
        <v>Estación</v>
      </c>
      <c r="D455" s="451" t="str">
        <f>'No Recurrentes 24-26'!D320</f>
        <v>Poleas de estacion</v>
      </c>
      <c r="E455" s="451" t="str">
        <f>'No Recurrentes 24-26'!E320</f>
        <v>Repuesto Mecánico</v>
      </c>
      <c r="F455" s="451" t="str">
        <f>'No Recurrentes 24-26'!F320</f>
        <v>TDB</v>
      </c>
      <c r="G455" s="1025" t="str">
        <f>'No Recurrentes 24-26'!G320</f>
        <v>39800</v>
      </c>
      <c r="H455" s="1061" t="str">
        <f>'No Recurrentes 24-26'!H320</f>
        <v>2-01-00045</v>
      </c>
      <c r="I455" s="1061" t="str">
        <f>'No Recurrentes 24-26'!I320</f>
        <v>10871377</v>
      </c>
      <c r="J455" s="1061" t="str">
        <f>'No Recurrentes 24-26'!J320</f>
        <v>LAMINILLA EMPAQUE.Z212F 60X110 SUPERFICIE DE EJECUC.ESPECIAL</v>
      </c>
      <c r="K455" s="451" t="str">
        <f>'No Recurrentes 24-26'!K320</f>
        <v>Pza</v>
      </c>
      <c r="L455" s="451">
        <f>'No Recurrentes 24-26'!BC320</f>
        <v>20</v>
      </c>
      <c r="M455" s="451">
        <f>'No Recurrentes 24-26'!BD320</f>
        <v>15</v>
      </c>
      <c r="N455" s="451">
        <f>'No Recurrentes 24-26'!BE320</f>
        <v>20</v>
      </c>
      <c r="O455" s="451">
        <f>'No Recurrentes 24-26'!BF320</f>
        <v>50</v>
      </c>
      <c r="P455" s="451">
        <f>'No Recurrentes 24-26'!BG320</f>
        <v>20</v>
      </c>
      <c r="Q455" s="451">
        <f>'No Recurrentes 24-26'!BH320</f>
        <v>20</v>
      </c>
      <c r="R455" s="451" t="str">
        <f>'No Recurrentes 24-26'!BI320</f>
        <v/>
      </c>
      <c r="S455" s="451" t="str">
        <f>'No Recurrentes 24-26'!BJ320</f>
        <v/>
      </c>
      <c r="T455" s="451" t="str">
        <f>'No Recurrentes 24-26'!BK320</f>
        <v/>
      </c>
      <c r="U455" s="451">
        <f>'No Recurrentes 24-26'!BL320</f>
        <v>4</v>
      </c>
      <c r="V455" s="1068"/>
      <c r="W455" s="1062">
        <f>'No Recurrentes 24-26'!BM320</f>
        <v>149</v>
      </c>
      <c r="X455" s="1062" t="str">
        <f>'No Recurrentes 24-26'!BN320</f>
        <v/>
      </c>
      <c r="Y455" s="1062" t="str">
        <f>'No Recurrentes 24-26'!BO320</f>
        <v/>
      </c>
      <c r="Z455" s="1062" t="str">
        <f>'No Recurrentes 24-26'!BP320</f>
        <v/>
      </c>
      <c r="AA455" s="1062" t="str">
        <f>'No Recurrentes 24-26'!BQ320</f>
        <v/>
      </c>
      <c r="AB455" s="1062" t="str">
        <f>'No Recurrentes 24-26'!BR320</f>
        <v/>
      </c>
      <c r="AC455" s="1062" t="str">
        <f>'No Recurrentes 24-26'!BS320</f>
        <v/>
      </c>
      <c r="AD455" s="1062" t="str">
        <f>'No Recurrentes 24-26'!BT320</f>
        <v/>
      </c>
      <c r="AE455" s="1062" t="str">
        <f>'No Recurrentes 24-26'!BU320</f>
        <v/>
      </c>
      <c r="AF455" s="1062" t="str">
        <f>'No Recurrentes 24-26'!BV320</f>
        <v/>
      </c>
      <c r="AG455" s="1062" t="str">
        <f>'No Recurrentes 24-26'!BW320</f>
        <v/>
      </c>
      <c r="AH455" s="1068"/>
      <c r="AI455" s="1062">
        <f>'No Recurrentes 24-26'!BX320</f>
        <v>0</v>
      </c>
      <c r="AJ455" s="1062">
        <f>'No Recurrentes 24-26'!BY320</f>
        <v>20</v>
      </c>
      <c r="AK455" s="1062">
        <f>'No Recurrentes 24-26'!BZ320</f>
        <v>15</v>
      </c>
      <c r="AL455" s="1062">
        <f>'No Recurrentes 24-26'!CA320</f>
        <v>20</v>
      </c>
      <c r="AM455" s="1062">
        <f>'No Recurrentes 24-26'!CB320</f>
        <v>50</v>
      </c>
      <c r="AN455" s="1062">
        <f>'No Recurrentes 24-26'!CC320</f>
        <v>20</v>
      </c>
      <c r="AO455" s="1062">
        <f>'No Recurrentes 24-26'!CD320</f>
        <v>20</v>
      </c>
      <c r="AP455" s="1062">
        <f>'No Recurrentes 24-26'!CE320</f>
        <v>0</v>
      </c>
      <c r="AQ455" s="1062">
        <f>'No Recurrentes 24-26'!CF320</f>
        <v>0</v>
      </c>
      <c r="AR455" s="1062">
        <f>'No Recurrentes 24-26'!CG320</f>
        <v>0</v>
      </c>
      <c r="AS455" s="1062">
        <f>'No Recurrentes 24-26'!CH320</f>
        <v>0</v>
      </c>
      <c r="AT455" s="1068"/>
      <c r="AU455" s="1062">
        <f>'No Recurrentes 24-26'!CI320</f>
        <v>145</v>
      </c>
      <c r="AV455" s="1062">
        <f>'No Recurrentes 24-26'!CJ320</f>
        <v>294</v>
      </c>
      <c r="AW455" s="1068"/>
      <c r="AX455" s="1065">
        <f>'No Recurrentes 24-26'!CK320</f>
        <v>26.07</v>
      </c>
      <c r="AY455" s="1062">
        <f>'No Recurrentes 24-26'!CL320</f>
        <v>181.4472</v>
      </c>
      <c r="AZ455" s="1068"/>
      <c r="BA455" s="1062">
        <f>'No Recurrentes 24-26'!CM320</f>
        <v>3628.944</v>
      </c>
      <c r="BB455" s="1062">
        <f>'No Recurrentes 24-26'!CN320</f>
        <v>2721.708</v>
      </c>
      <c r="BC455" s="1062">
        <f>'No Recurrentes 24-26'!CO320</f>
        <v>3628.944</v>
      </c>
      <c r="BD455" s="1062">
        <f>'No Recurrentes 24-26'!CP320</f>
        <v>9072.36</v>
      </c>
      <c r="BE455" s="1062">
        <f>'No Recurrentes 24-26'!CQ320</f>
        <v>3628.944</v>
      </c>
      <c r="BF455" s="1062">
        <f>'No Recurrentes 24-26'!CR320</f>
        <v>3628.944</v>
      </c>
      <c r="BG455" s="1062">
        <f>'No Recurrentes 24-26'!CS320</f>
        <v>0</v>
      </c>
      <c r="BH455" s="1062">
        <f>'No Recurrentes 24-26'!CT320</f>
        <v>0</v>
      </c>
      <c r="BI455" s="1062">
        <f>'No Recurrentes 24-26'!CU320</f>
        <v>0</v>
      </c>
      <c r="BJ455" s="1062">
        <f>'No Recurrentes 24-26'!CV320</f>
        <v>725.7888</v>
      </c>
      <c r="BK455" s="1068"/>
      <c r="BL455" s="1062">
        <f>'No Recurrentes 24-26'!CW320</f>
        <v>27035.6328</v>
      </c>
      <c r="BM455" s="1062">
        <f>'No Recurrentes 24-26'!CX320</f>
        <v>0</v>
      </c>
      <c r="BN455" s="1062">
        <f>'No Recurrentes 24-26'!CY320</f>
        <v>0</v>
      </c>
      <c r="BO455" s="1062">
        <f>'No Recurrentes 24-26'!CZ320</f>
        <v>0</v>
      </c>
      <c r="BP455" s="1062">
        <f>'No Recurrentes 24-26'!DA320</f>
        <v>0</v>
      </c>
      <c r="BQ455" s="1062">
        <f>'No Recurrentes 24-26'!DB320</f>
        <v>0</v>
      </c>
      <c r="BR455" s="1062">
        <f>'No Recurrentes 24-26'!DC320</f>
        <v>0</v>
      </c>
      <c r="BS455" s="1062">
        <f>'No Recurrentes 24-26'!DD320</f>
        <v>0</v>
      </c>
      <c r="BT455" s="1062">
        <f>'No Recurrentes 24-26'!DE320</f>
        <v>0</v>
      </c>
      <c r="BU455" s="1062">
        <f>'No Recurrentes 24-26'!DF320</f>
        <v>0</v>
      </c>
      <c r="BV455" s="1062">
        <f>'No Recurrentes 24-26'!DG320</f>
        <v>0</v>
      </c>
      <c r="BW455" s="1068"/>
      <c r="BX455" s="1062">
        <f>'No Recurrentes 24-26'!DH320</f>
        <v>0</v>
      </c>
      <c r="BY455" s="1062">
        <f>'No Recurrentes 24-26'!DI320</f>
        <v>3628.944</v>
      </c>
      <c r="BZ455" s="1062">
        <f>'No Recurrentes 24-26'!DJ320</f>
        <v>2721.708</v>
      </c>
      <c r="CA455" s="1062">
        <f>'No Recurrentes 24-26'!DK320</f>
        <v>3628.944</v>
      </c>
      <c r="CB455" s="1062">
        <f>'No Recurrentes 24-26'!DL320</f>
        <v>9072.36</v>
      </c>
      <c r="CC455" s="1062">
        <f>'No Recurrentes 24-26'!DM320</f>
        <v>3628.944</v>
      </c>
      <c r="CD455" s="1062">
        <f>'No Recurrentes 24-26'!DN320</f>
        <v>3628.944</v>
      </c>
      <c r="CE455" s="1062">
        <f>'No Recurrentes 24-26'!DO320</f>
        <v>0</v>
      </c>
      <c r="CF455" s="1062">
        <f>'No Recurrentes 24-26'!DP320</f>
        <v>0</v>
      </c>
      <c r="CG455" s="1062">
        <f>'No Recurrentes 24-26'!DQ320</f>
        <v>0</v>
      </c>
      <c r="CH455" s="1062">
        <f>'No Recurrentes 24-26'!DR320</f>
        <v>0</v>
      </c>
      <c r="CI455" s="1068"/>
      <c r="CJ455" s="1062">
        <f>'No Recurrentes 24-26'!DS320</f>
        <v>26309.844</v>
      </c>
      <c r="CK455" s="1062">
        <f>'No Recurrentes 24-26'!DT320</f>
        <v>53345.4768</v>
      </c>
      <c r="CL455" s="1064" t="str">
        <f>'No Recurrentes 24-26'!DU320</f>
        <v/>
      </c>
      <c r="CM455" s="1064" t="str">
        <f>'No Recurrentes 24-26'!DV320</f>
        <v/>
      </c>
      <c r="CN455" s="1065">
        <f>'No Recurrentes 24-26'!EI316</f>
        <v>2560.69</v>
      </c>
      <c r="CO455" s="1065">
        <f>'No Recurrentes 24-26'!EJ316</f>
        <v>2176.59</v>
      </c>
      <c r="CP455" s="1060" t="str">
        <f>'No Recurrentes 24-26'!EK316</f>
        <v/>
      </c>
    </row>
    <row r="456">
      <c r="A456" s="451" t="str">
        <f>'No Recurrentes 24-26'!A321</f>
        <v>Repuestos Electromecánicos no recurrentes</v>
      </c>
      <c r="B456" s="451">
        <f>'No Recurrentes 24-26'!B321</f>
        <v>2</v>
      </c>
      <c r="C456" s="451" t="str">
        <f>'No Recurrentes 24-26'!C321</f>
        <v>Estación</v>
      </c>
      <c r="D456" s="451" t="str">
        <f>'No Recurrentes 24-26'!D321</f>
        <v>Poleas de estacion</v>
      </c>
      <c r="E456" s="451" t="str">
        <f>'No Recurrentes 24-26'!E321</f>
        <v>Repuesto Mecánico</v>
      </c>
      <c r="F456" s="451" t="str">
        <f>'No Recurrentes 24-26'!F321</f>
        <v>TDB</v>
      </c>
      <c r="G456" s="1025" t="str">
        <f>'No Recurrentes 24-26'!G321</f>
        <v>39800</v>
      </c>
      <c r="H456" s="1061" t="str">
        <f>'No Recurrentes 24-26'!H321</f>
        <v>2-01-00985</v>
      </c>
      <c r="I456" s="1061" t="str">
        <f>'No Recurrentes 24-26'!I321</f>
        <v>10358198</v>
      </c>
      <c r="J456" s="1061" t="str">
        <f>'No Recurrentes 24-26'!J321</f>
        <v>CUBO DE POLEA DE FRICCIÓN MGD P. CORREA DOBLE</v>
      </c>
      <c r="K456" s="451" t="str">
        <f>'No Recurrentes 24-26'!K321</f>
        <v>Pza</v>
      </c>
      <c r="L456" s="451" t="str">
        <f>'No Recurrentes 24-26'!BC321</f>
        <v/>
      </c>
      <c r="M456" s="451" t="str">
        <f>'No Recurrentes 24-26'!BD321</f>
        <v/>
      </c>
      <c r="N456" s="451" t="str">
        <f>'No Recurrentes 24-26'!BE321</f>
        <v/>
      </c>
      <c r="O456" s="451">
        <f>'No Recurrentes 24-26'!BF321</f>
        <v>0</v>
      </c>
      <c r="P456" s="451">
        <f>'No Recurrentes 24-26'!BG321</f>
        <v>0</v>
      </c>
      <c r="Q456" s="451">
        <f>'No Recurrentes 24-26'!BH321</f>
        <v>0</v>
      </c>
      <c r="R456" s="451">
        <f>'No Recurrentes 24-26'!BI321</f>
        <v>1</v>
      </c>
      <c r="S456" s="451" t="str">
        <f>'No Recurrentes 24-26'!BJ321</f>
        <v/>
      </c>
      <c r="T456" s="451" t="str">
        <f>'No Recurrentes 24-26'!BK321</f>
        <v/>
      </c>
      <c r="U456" s="451" t="str">
        <f>'No Recurrentes 24-26'!BL321</f>
        <v/>
      </c>
      <c r="V456" s="1068"/>
      <c r="W456" s="1062">
        <f>'No Recurrentes 24-26'!BM321</f>
        <v>1</v>
      </c>
      <c r="X456" s="1062" t="str">
        <f>'No Recurrentes 24-26'!BN321</f>
        <v/>
      </c>
      <c r="Y456" s="1062" t="str">
        <f>'No Recurrentes 24-26'!BO321</f>
        <v/>
      </c>
      <c r="Z456" s="1062" t="str">
        <f>'No Recurrentes 24-26'!BP321</f>
        <v/>
      </c>
      <c r="AA456" s="1062">
        <f>'No Recurrentes 24-26'!BQ321</f>
        <v>1</v>
      </c>
      <c r="AB456" s="1062">
        <f>'No Recurrentes 24-26'!BR321</f>
        <v>1</v>
      </c>
      <c r="AC456" s="1062">
        <f>'No Recurrentes 24-26'!BS321</f>
        <v>1</v>
      </c>
      <c r="AD456" s="1062" t="str">
        <f>'No Recurrentes 24-26'!BT321</f>
        <v/>
      </c>
      <c r="AE456" s="1062" t="str">
        <f>'No Recurrentes 24-26'!BU321</f>
        <v/>
      </c>
      <c r="AF456" s="1062" t="str">
        <f>'No Recurrentes 24-26'!BV321</f>
        <v/>
      </c>
      <c r="AG456" s="1062" t="str">
        <f>'No Recurrentes 24-26'!BW321</f>
        <v/>
      </c>
      <c r="AH456" s="1068"/>
      <c r="AI456" s="1062">
        <f>'No Recurrentes 24-26'!BX321</f>
        <v>3</v>
      </c>
      <c r="AJ456" s="1062">
        <f>'No Recurrentes 24-26'!BY321</f>
        <v>0</v>
      </c>
      <c r="AK456" s="1062">
        <f>'No Recurrentes 24-26'!BZ321</f>
        <v>0</v>
      </c>
      <c r="AL456" s="1062">
        <f>'No Recurrentes 24-26'!CA321</f>
        <v>0</v>
      </c>
      <c r="AM456" s="1062">
        <f>'No Recurrentes 24-26'!CB321</f>
        <v>1</v>
      </c>
      <c r="AN456" s="1062">
        <f>'No Recurrentes 24-26'!CC321</f>
        <v>1</v>
      </c>
      <c r="AO456" s="1062">
        <f>'No Recurrentes 24-26'!CD321</f>
        <v>1</v>
      </c>
      <c r="AP456" s="1062">
        <f>'No Recurrentes 24-26'!CE321</f>
        <v>0</v>
      </c>
      <c r="AQ456" s="1062">
        <f>'No Recurrentes 24-26'!CF321</f>
        <v>0</v>
      </c>
      <c r="AR456" s="1062">
        <f>'No Recurrentes 24-26'!CG321</f>
        <v>0</v>
      </c>
      <c r="AS456" s="1062">
        <f>'No Recurrentes 24-26'!CH321</f>
        <v>0</v>
      </c>
      <c r="AT456" s="1068"/>
      <c r="AU456" s="1062">
        <f>'No Recurrentes 24-26'!CI321</f>
        <v>3</v>
      </c>
      <c r="AV456" s="1062">
        <f>'No Recurrentes 24-26'!CJ321</f>
        <v>7</v>
      </c>
      <c r="AW456" s="1068"/>
      <c r="AX456" s="1065">
        <f>'No Recurrentes 24-26'!CK321</f>
        <v>3313.85</v>
      </c>
      <c r="AY456" s="1062">
        <f>'No Recurrentes 24-26'!CL321</f>
        <v>23064.396</v>
      </c>
      <c r="AZ456" s="1068"/>
      <c r="BA456" s="1062">
        <f>'No Recurrentes 24-26'!CM321</f>
        <v>0</v>
      </c>
      <c r="BB456" s="1062">
        <f>'No Recurrentes 24-26'!CN321</f>
        <v>0</v>
      </c>
      <c r="BC456" s="1062">
        <f>'No Recurrentes 24-26'!CO321</f>
        <v>0</v>
      </c>
      <c r="BD456" s="1062">
        <f>'No Recurrentes 24-26'!CP321</f>
        <v>0</v>
      </c>
      <c r="BE456" s="1062">
        <f>'No Recurrentes 24-26'!CQ321</f>
        <v>0</v>
      </c>
      <c r="BF456" s="1062">
        <f>'No Recurrentes 24-26'!CR321</f>
        <v>0</v>
      </c>
      <c r="BG456" s="1062">
        <f>'No Recurrentes 24-26'!CS321</f>
        <v>23064.396</v>
      </c>
      <c r="BH456" s="1062">
        <f>'No Recurrentes 24-26'!CT321</f>
        <v>0</v>
      </c>
      <c r="BI456" s="1062">
        <f>'No Recurrentes 24-26'!CU321</f>
        <v>0</v>
      </c>
      <c r="BJ456" s="1062">
        <f>'No Recurrentes 24-26'!CV321</f>
        <v>0</v>
      </c>
      <c r="BK456" s="1068"/>
      <c r="BL456" s="1062">
        <f>'No Recurrentes 24-26'!CW321</f>
        <v>23064.396</v>
      </c>
      <c r="BM456" s="1062">
        <f>'No Recurrentes 24-26'!CX321</f>
        <v>0</v>
      </c>
      <c r="BN456" s="1062">
        <f>'No Recurrentes 24-26'!CY321</f>
        <v>0</v>
      </c>
      <c r="BO456" s="1062">
        <f>'No Recurrentes 24-26'!CZ321</f>
        <v>0</v>
      </c>
      <c r="BP456" s="1062">
        <f>'No Recurrentes 24-26'!DA321</f>
        <v>23064.396</v>
      </c>
      <c r="BQ456" s="1062">
        <f>'No Recurrentes 24-26'!DB321</f>
        <v>23064.396</v>
      </c>
      <c r="BR456" s="1062">
        <f>'No Recurrentes 24-26'!DC321</f>
        <v>23064.396</v>
      </c>
      <c r="BS456" s="1062">
        <f>'No Recurrentes 24-26'!DD321</f>
        <v>0</v>
      </c>
      <c r="BT456" s="1062">
        <f>'No Recurrentes 24-26'!DE321</f>
        <v>0</v>
      </c>
      <c r="BU456" s="1062">
        <f>'No Recurrentes 24-26'!DF321</f>
        <v>0</v>
      </c>
      <c r="BV456" s="1062">
        <f>'No Recurrentes 24-26'!DG321</f>
        <v>0</v>
      </c>
      <c r="BW456" s="1068"/>
      <c r="BX456" s="1062">
        <f>'No Recurrentes 24-26'!DH321</f>
        <v>69193.188</v>
      </c>
      <c r="BY456" s="1062">
        <f>'No Recurrentes 24-26'!DI321</f>
        <v>0</v>
      </c>
      <c r="BZ456" s="1062">
        <f>'No Recurrentes 24-26'!DJ321</f>
        <v>0</v>
      </c>
      <c r="CA456" s="1062">
        <f>'No Recurrentes 24-26'!DK321</f>
        <v>0</v>
      </c>
      <c r="CB456" s="1062">
        <f>'No Recurrentes 24-26'!DL321</f>
        <v>23064.396</v>
      </c>
      <c r="CC456" s="1062">
        <f>'No Recurrentes 24-26'!DM321</f>
        <v>23064.396</v>
      </c>
      <c r="CD456" s="1062">
        <f>'No Recurrentes 24-26'!DN321</f>
        <v>23064.396</v>
      </c>
      <c r="CE456" s="1062">
        <f>'No Recurrentes 24-26'!DO321</f>
        <v>0</v>
      </c>
      <c r="CF456" s="1062">
        <f>'No Recurrentes 24-26'!DP321</f>
        <v>0</v>
      </c>
      <c r="CG456" s="1062">
        <f>'No Recurrentes 24-26'!DQ321</f>
        <v>0</v>
      </c>
      <c r="CH456" s="1062">
        <f>'No Recurrentes 24-26'!DR321</f>
        <v>0</v>
      </c>
      <c r="CI456" s="1068"/>
      <c r="CJ456" s="1062">
        <f>'No Recurrentes 24-26'!DS321</f>
        <v>69193.188</v>
      </c>
      <c r="CK456" s="1062">
        <f>'No Recurrentes 24-26'!DT321</f>
        <v>161450.772</v>
      </c>
      <c r="CL456" s="1064" t="str">
        <f>'No Recurrentes 24-26'!DU321</f>
        <v/>
      </c>
      <c r="CM456" s="1064" t="str">
        <f>'No Recurrentes 24-26'!DV321</f>
        <v/>
      </c>
      <c r="CN456" s="1065">
        <f>'No Recurrentes 24-26'!EI317</f>
        <v>66.8</v>
      </c>
      <c r="CO456" s="1065">
        <f>'No Recurrentes 24-26'!EJ317</f>
        <v>56.78</v>
      </c>
      <c r="CP456" s="1060" t="str">
        <f>'No Recurrentes 24-26'!EK317</f>
        <v/>
      </c>
    </row>
    <row r="457">
      <c r="A457" s="451" t="str">
        <f>'No Recurrentes 24-26'!A322</f>
        <v>Repuestos Electromecánicos no recurrentes</v>
      </c>
      <c r="B457" s="451">
        <f>'No Recurrentes 24-26'!B322</f>
        <v>2</v>
      </c>
      <c r="C457" s="451" t="str">
        <f>'No Recurrentes 24-26'!C322</f>
        <v>Estación</v>
      </c>
      <c r="D457" s="451" t="str">
        <f>'No Recurrentes 24-26'!D322</f>
        <v>Poleas de estacion</v>
      </c>
      <c r="E457" s="451" t="str">
        <f>'No Recurrentes 24-26'!E322</f>
        <v>Repuesto Mecánico</v>
      </c>
      <c r="F457" s="451" t="str">
        <f>'No Recurrentes 24-26'!F322</f>
        <v>TDB</v>
      </c>
      <c r="G457" s="1025" t="str">
        <f>'No Recurrentes 24-26'!G322</f>
        <v>39800</v>
      </c>
      <c r="H457" s="1061" t="str">
        <f>'No Recurrentes 24-26'!H322</f>
        <v>2-01-00674</v>
      </c>
      <c r="I457" s="1061" t="str">
        <f>'No Recurrentes 24-26'!I322</f>
        <v>11430348</v>
      </c>
      <c r="J457" s="1061" t="str">
        <f>'No Recurrentes 24-26'!J322</f>
        <v>TUBO DIST. DIÁ 35/25 L=140, TUBO DIST. P. POLEA 420C</v>
      </c>
      <c r="K457" s="451" t="str">
        <f>'No Recurrentes 24-26'!K322</f>
        <v>Pza</v>
      </c>
      <c r="L457" s="451" t="str">
        <f>'No Recurrentes 24-26'!BC322</f>
        <v/>
      </c>
      <c r="M457" s="451">
        <f>'No Recurrentes 24-26'!BD322</f>
        <v>51</v>
      </c>
      <c r="N457" s="451">
        <f>'No Recurrentes 24-26'!BE322</f>
        <v>10</v>
      </c>
      <c r="O457" s="451" t="str">
        <f>'No Recurrentes 24-26'!BF322</f>
        <v/>
      </c>
      <c r="P457" s="451" t="str">
        <f>'No Recurrentes 24-26'!BG322</f>
        <v/>
      </c>
      <c r="Q457" s="451" t="str">
        <f>'No Recurrentes 24-26'!BH322</f>
        <v/>
      </c>
      <c r="R457" s="451">
        <f>'No Recurrentes 24-26'!BI322</f>
        <v>2</v>
      </c>
      <c r="S457" s="451" t="str">
        <f>'No Recurrentes 24-26'!BJ322</f>
        <v/>
      </c>
      <c r="T457" s="451" t="str">
        <f>'No Recurrentes 24-26'!BK322</f>
        <v/>
      </c>
      <c r="U457" s="451" t="str">
        <f>'No Recurrentes 24-26'!BL322</f>
        <v/>
      </c>
      <c r="V457" s="1068"/>
      <c r="W457" s="1062">
        <f>'No Recurrentes 24-26'!BM322</f>
        <v>63</v>
      </c>
      <c r="X457" s="1062">
        <f>'No Recurrentes 24-26'!BN322</f>
        <v>5</v>
      </c>
      <c r="Y457" s="1062">
        <f>'No Recurrentes 24-26'!BO322</f>
        <v>5</v>
      </c>
      <c r="Z457" s="1062" t="str">
        <f>'No Recurrentes 24-26'!BP322</f>
        <v/>
      </c>
      <c r="AA457" s="1062" t="str">
        <f>'No Recurrentes 24-26'!BQ322</f>
        <v/>
      </c>
      <c r="AB457" s="1062" t="str">
        <f>'No Recurrentes 24-26'!BR322</f>
        <v/>
      </c>
      <c r="AC457" s="1062" t="str">
        <f>'No Recurrentes 24-26'!BS322</f>
        <v/>
      </c>
      <c r="AD457" s="1062" t="str">
        <f>'No Recurrentes 24-26'!BT322</f>
        <v/>
      </c>
      <c r="AE457" s="1062" t="str">
        <f>'No Recurrentes 24-26'!BU322</f>
        <v/>
      </c>
      <c r="AF457" s="1062" t="str">
        <f>'No Recurrentes 24-26'!BV322</f>
        <v/>
      </c>
      <c r="AG457" s="1062" t="str">
        <f>'No Recurrentes 24-26'!BW322</f>
        <v/>
      </c>
      <c r="AH457" s="1068"/>
      <c r="AI457" s="1062">
        <f>'No Recurrentes 24-26'!BX322</f>
        <v>10</v>
      </c>
      <c r="AJ457" s="1062">
        <f>'No Recurrentes 24-26'!BY322</f>
        <v>0</v>
      </c>
      <c r="AK457" s="1062">
        <f>'No Recurrentes 24-26'!BZ322</f>
        <v>0</v>
      </c>
      <c r="AL457" s="1062">
        <f>'No Recurrentes 24-26'!CA322</f>
        <v>0</v>
      </c>
      <c r="AM457" s="1062">
        <f>'No Recurrentes 24-26'!CB322</f>
        <v>0</v>
      </c>
      <c r="AN457" s="1062">
        <f>'No Recurrentes 24-26'!CC322</f>
        <v>0</v>
      </c>
      <c r="AO457" s="1062">
        <f>'No Recurrentes 24-26'!CD322</f>
        <v>0</v>
      </c>
      <c r="AP457" s="1062">
        <f>'No Recurrentes 24-26'!CE322</f>
        <v>0</v>
      </c>
      <c r="AQ457" s="1062">
        <f>'No Recurrentes 24-26'!CF322</f>
        <v>0</v>
      </c>
      <c r="AR457" s="1062">
        <f>'No Recurrentes 24-26'!CG322</f>
        <v>0</v>
      </c>
      <c r="AS457" s="1062">
        <f>'No Recurrentes 24-26'!CH322</f>
        <v>0</v>
      </c>
      <c r="AT457" s="1068"/>
      <c r="AU457" s="1062">
        <f>'No Recurrentes 24-26'!CI322</f>
        <v>0</v>
      </c>
      <c r="AV457" s="1062">
        <f>'No Recurrentes 24-26'!CJ322</f>
        <v>73</v>
      </c>
      <c r="AW457" s="1068"/>
      <c r="AX457" s="1065">
        <f>'No Recurrentes 24-26'!CK322</f>
        <v>50.92</v>
      </c>
      <c r="AY457" s="1062">
        <f>'No Recurrentes 24-26'!CL322</f>
        <v>354.4032</v>
      </c>
      <c r="AZ457" s="1068"/>
      <c r="BA457" s="1062">
        <f>'No Recurrentes 24-26'!CM322</f>
        <v>0</v>
      </c>
      <c r="BB457" s="1062">
        <f>'No Recurrentes 24-26'!CN322</f>
        <v>18074.5632</v>
      </c>
      <c r="BC457" s="1062">
        <f>'No Recurrentes 24-26'!CO322</f>
        <v>3544.032</v>
      </c>
      <c r="BD457" s="1062">
        <f>'No Recurrentes 24-26'!CP322</f>
        <v>0</v>
      </c>
      <c r="BE457" s="1062">
        <f>'No Recurrentes 24-26'!CQ322</f>
        <v>0</v>
      </c>
      <c r="BF457" s="1062">
        <f>'No Recurrentes 24-26'!CR322</f>
        <v>0</v>
      </c>
      <c r="BG457" s="1062">
        <f>'No Recurrentes 24-26'!CS322</f>
        <v>708.8064</v>
      </c>
      <c r="BH457" s="1062">
        <f>'No Recurrentes 24-26'!CT322</f>
        <v>0</v>
      </c>
      <c r="BI457" s="1062">
        <f>'No Recurrentes 24-26'!CU322</f>
        <v>0</v>
      </c>
      <c r="BJ457" s="1062">
        <f>'No Recurrentes 24-26'!CV322</f>
        <v>0</v>
      </c>
      <c r="BK457" s="1068"/>
      <c r="BL457" s="1062">
        <f>'No Recurrentes 24-26'!CW322</f>
        <v>22327.4016</v>
      </c>
      <c r="BM457" s="1062">
        <f>'No Recurrentes 24-26'!CX322</f>
        <v>1772.016</v>
      </c>
      <c r="BN457" s="1062">
        <f>'No Recurrentes 24-26'!CY322</f>
        <v>1772.016</v>
      </c>
      <c r="BO457" s="1062">
        <f>'No Recurrentes 24-26'!CZ322</f>
        <v>0</v>
      </c>
      <c r="BP457" s="1062">
        <f>'No Recurrentes 24-26'!DA322</f>
        <v>0</v>
      </c>
      <c r="BQ457" s="1062">
        <f>'No Recurrentes 24-26'!DB322</f>
        <v>0</v>
      </c>
      <c r="BR457" s="1062">
        <f>'No Recurrentes 24-26'!DC322</f>
        <v>0</v>
      </c>
      <c r="BS457" s="1062">
        <f>'No Recurrentes 24-26'!DD322</f>
        <v>0</v>
      </c>
      <c r="BT457" s="1062">
        <f>'No Recurrentes 24-26'!DE322</f>
        <v>0</v>
      </c>
      <c r="BU457" s="1062">
        <f>'No Recurrentes 24-26'!DF322</f>
        <v>0</v>
      </c>
      <c r="BV457" s="1062">
        <f>'No Recurrentes 24-26'!DG322</f>
        <v>0</v>
      </c>
      <c r="BW457" s="1068"/>
      <c r="BX457" s="1062">
        <f>'No Recurrentes 24-26'!DH322</f>
        <v>3544.032</v>
      </c>
      <c r="BY457" s="1062">
        <f>'No Recurrentes 24-26'!DI322</f>
        <v>0</v>
      </c>
      <c r="BZ457" s="1062">
        <f>'No Recurrentes 24-26'!DJ322</f>
        <v>0</v>
      </c>
      <c r="CA457" s="1062">
        <f>'No Recurrentes 24-26'!DK322</f>
        <v>0</v>
      </c>
      <c r="CB457" s="1062">
        <f>'No Recurrentes 24-26'!DL322</f>
        <v>0</v>
      </c>
      <c r="CC457" s="1062">
        <f>'No Recurrentes 24-26'!DM322</f>
        <v>0</v>
      </c>
      <c r="CD457" s="1062">
        <f>'No Recurrentes 24-26'!DN322</f>
        <v>0</v>
      </c>
      <c r="CE457" s="1062">
        <f>'No Recurrentes 24-26'!DO322</f>
        <v>0</v>
      </c>
      <c r="CF457" s="1062">
        <f>'No Recurrentes 24-26'!DP322</f>
        <v>0</v>
      </c>
      <c r="CG457" s="1062">
        <f>'No Recurrentes 24-26'!DQ322</f>
        <v>0</v>
      </c>
      <c r="CH457" s="1062">
        <f>'No Recurrentes 24-26'!DR322</f>
        <v>0</v>
      </c>
      <c r="CI457" s="1068"/>
      <c r="CJ457" s="1062">
        <f>'No Recurrentes 24-26'!DS322</f>
        <v>0</v>
      </c>
      <c r="CK457" s="1062">
        <f>'No Recurrentes 24-26'!DT322</f>
        <v>25871.4336</v>
      </c>
      <c r="CL457" s="1064" t="str">
        <f>'No Recurrentes 24-26'!DU322</f>
        <v/>
      </c>
      <c r="CM457" s="1064" t="str">
        <f>'No Recurrentes 24-26'!DV322</f>
        <v/>
      </c>
      <c r="CN457" s="1065">
        <f>'No Recurrentes 24-26'!EI318</f>
        <v>2326.18</v>
      </c>
      <c r="CO457" s="1065">
        <f>'No Recurrentes 24-26'!EJ318</f>
        <v>1977.25</v>
      </c>
      <c r="CP457" s="1060" t="str">
        <f>'No Recurrentes 24-26'!EK318</f>
        <v/>
      </c>
    </row>
    <row r="458">
      <c r="A458" s="451" t="str">
        <f>'No Recurrentes 24-26'!A323</f>
        <v>Repuestos Electromecánicos no recurrentes</v>
      </c>
      <c r="B458" s="451">
        <f>'No Recurrentes 24-26'!B323</f>
        <v>2</v>
      </c>
      <c r="C458" s="451" t="str">
        <f>'No Recurrentes 24-26'!C323</f>
        <v>Estación</v>
      </c>
      <c r="D458" s="451" t="str">
        <f>'No Recurrentes 24-26'!D323</f>
        <v>Poleas de estacion</v>
      </c>
      <c r="E458" s="451" t="str">
        <f>'No Recurrentes 24-26'!E323</f>
        <v>Repuesto Mecánico</v>
      </c>
      <c r="F458" s="451" t="str">
        <f>'No Recurrentes 24-26'!F323</f>
        <v>TDB</v>
      </c>
      <c r="G458" s="1025" t="str">
        <f>'No Recurrentes 24-26'!G323</f>
        <v>39800</v>
      </c>
      <c r="H458" s="1061" t="str">
        <f>'No Recurrentes 24-26'!H323</f>
        <v>2-01-01053</v>
      </c>
      <c r="I458" s="1061" t="str">
        <f>'No Recurrentes 24-26'!I323</f>
        <v>11340463</v>
      </c>
      <c r="J458" s="1061" t="str">
        <f>'No Recurrentes 24-26'!J323</f>
        <v>SOPORTE DE EJE, CORTO</v>
      </c>
      <c r="K458" s="451" t="str">
        <f>'No Recurrentes 24-26'!K323</f>
        <v>Pza</v>
      </c>
      <c r="L458" s="451" t="str">
        <f>'No Recurrentes 24-26'!BC323</f>
        <v/>
      </c>
      <c r="M458" s="451" t="str">
        <f>'No Recurrentes 24-26'!BD323</f>
        <v/>
      </c>
      <c r="N458" s="451">
        <f>'No Recurrentes 24-26'!BE323</f>
        <v>4</v>
      </c>
      <c r="O458" s="451" t="str">
        <f>'No Recurrentes 24-26'!BF323</f>
        <v/>
      </c>
      <c r="P458" s="451" t="str">
        <f>'No Recurrentes 24-26'!BG323</f>
        <v/>
      </c>
      <c r="Q458" s="451" t="str">
        <f>'No Recurrentes 24-26'!BH323</f>
        <v/>
      </c>
      <c r="R458" s="451" t="str">
        <f>'No Recurrentes 24-26'!BI323</f>
        <v/>
      </c>
      <c r="S458" s="451" t="str">
        <f>'No Recurrentes 24-26'!BJ323</f>
        <v/>
      </c>
      <c r="T458" s="451" t="str">
        <f>'No Recurrentes 24-26'!BK323</f>
        <v/>
      </c>
      <c r="U458" s="451">
        <f>'No Recurrentes 24-26'!BL323</f>
        <v>2</v>
      </c>
      <c r="V458" s="1068"/>
      <c r="W458" s="1062">
        <f>'No Recurrentes 24-26'!BM323</f>
        <v>6</v>
      </c>
      <c r="X458" s="1062" t="str">
        <f>'No Recurrentes 24-26'!BN323</f>
        <v/>
      </c>
      <c r="Y458" s="1062" t="str">
        <f>'No Recurrentes 24-26'!BO323</f>
        <v/>
      </c>
      <c r="Z458" s="1062" t="str">
        <f>'No Recurrentes 24-26'!BP323</f>
        <v/>
      </c>
      <c r="AA458" s="1062" t="str">
        <f>'No Recurrentes 24-26'!BQ323</f>
        <v/>
      </c>
      <c r="AB458" s="1062" t="str">
        <f>'No Recurrentes 24-26'!BR323</f>
        <v/>
      </c>
      <c r="AC458" s="1062" t="str">
        <f>'No Recurrentes 24-26'!BS323</f>
        <v/>
      </c>
      <c r="AD458" s="1062" t="str">
        <f>'No Recurrentes 24-26'!BT323</f>
        <v/>
      </c>
      <c r="AE458" s="1062" t="str">
        <f>'No Recurrentes 24-26'!BU323</f>
        <v/>
      </c>
      <c r="AF458" s="1062" t="str">
        <f>'No Recurrentes 24-26'!BV323</f>
        <v/>
      </c>
      <c r="AG458" s="1062" t="str">
        <f>'No Recurrentes 24-26'!BW323</f>
        <v/>
      </c>
      <c r="AH458" s="1068"/>
      <c r="AI458" s="1062">
        <f>'No Recurrentes 24-26'!BX323</f>
        <v>0</v>
      </c>
      <c r="AJ458" s="1062">
        <f>'No Recurrentes 24-26'!BY323</f>
        <v>0</v>
      </c>
      <c r="AK458" s="1062">
        <f>'No Recurrentes 24-26'!BZ323</f>
        <v>0</v>
      </c>
      <c r="AL458" s="1062">
        <f>'No Recurrentes 24-26'!CA323</f>
        <v>0</v>
      </c>
      <c r="AM458" s="1062">
        <f>'No Recurrentes 24-26'!CB323</f>
        <v>0</v>
      </c>
      <c r="AN458" s="1062">
        <f>'No Recurrentes 24-26'!CC323</f>
        <v>0</v>
      </c>
      <c r="AO458" s="1062">
        <f>'No Recurrentes 24-26'!CD323</f>
        <v>0</v>
      </c>
      <c r="AP458" s="1062">
        <f>'No Recurrentes 24-26'!CE323</f>
        <v>0</v>
      </c>
      <c r="AQ458" s="1062">
        <f>'No Recurrentes 24-26'!CF323</f>
        <v>0</v>
      </c>
      <c r="AR458" s="1062">
        <f>'No Recurrentes 24-26'!CG323</f>
        <v>0</v>
      </c>
      <c r="AS458" s="1062">
        <f>'No Recurrentes 24-26'!CH323</f>
        <v>0</v>
      </c>
      <c r="AT458" s="1068"/>
      <c r="AU458" s="1062">
        <f>'No Recurrentes 24-26'!CI323</f>
        <v>0</v>
      </c>
      <c r="AV458" s="1062">
        <f>'No Recurrentes 24-26'!CJ323</f>
        <v>6</v>
      </c>
      <c r="AW458" s="1068"/>
      <c r="AX458" s="1065">
        <f>'No Recurrentes 24-26'!CK323</f>
        <v>335.34</v>
      </c>
      <c r="AY458" s="1062">
        <f>'No Recurrentes 24-26'!CL323</f>
        <v>2333.9664</v>
      </c>
      <c r="AZ458" s="1068"/>
      <c r="BA458" s="1062">
        <f>'No Recurrentes 24-26'!CM323</f>
        <v>0</v>
      </c>
      <c r="BB458" s="1062">
        <f>'No Recurrentes 24-26'!CN323</f>
        <v>0</v>
      </c>
      <c r="BC458" s="1062">
        <f>'No Recurrentes 24-26'!CO323</f>
        <v>9335.8656</v>
      </c>
      <c r="BD458" s="1062">
        <f>'No Recurrentes 24-26'!CP323</f>
        <v>0</v>
      </c>
      <c r="BE458" s="1062">
        <f>'No Recurrentes 24-26'!CQ323</f>
        <v>0</v>
      </c>
      <c r="BF458" s="1062">
        <f>'No Recurrentes 24-26'!CR323</f>
        <v>0</v>
      </c>
      <c r="BG458" s="1062">
        <f>'No Recurrentes 24-26'!CS323</f>
        <v>0</v>
      </c>
      <c r="BH458" s="1062">
        <f>'No Recurrentes 24-26'!CT323</f>
        <v>0</v>
      </c>
      <c r="BI458" s="1062">
        <f>'No Recurrentes 24-26'!CU323</f>
        <v>0</v>
      </c>
      <c r="BJ458" s="1062">
        <f>'No Recurrentes 24-26'!CV323</f>
        <v>4667.9328</v>
      </c>
      <c r="BK458" s="1068"/>
      <c r="BL458" s="1062">
        <f>'No Recurrentes 24-26'!CW323</f>
        <v>14003.7984</v>
      </c>
      <c r="BM458" s="1062">
        <f>'No Recurrentes 24-26'!CX323</f>
        <v>0</v>
      </c>
      <c r="BN458" s="1062">
        <f>'No Recurrentes 24-26'!CY323</f>
        <v>0</v>
      </c>
      <c r="BO458" s="1062">
        <f>'No Recurrentes 24-26'!CZ323</f>
        <v>0</v>
      </c>
      <c r="BP458" s="1062">
        <f>'No Recurrentes 24-26'!DA323</f>
        <v>0</v>
      </c>
      <c r="BQ458" s="1062">
        <f>'No Recurrentes 24-26'!DB323</f>
        <v>0</v>
      </c>
      <c r="BR458" s="1062">
        <f>'No Recurrentes 24-26'!DC323</f>
        <v>0</v>
      </c>
      <c r="BS458" s="1062">
        <f>'No Recurrentes 24-26'!DD323</f>
        <v>0</v>
      </c>
      <c r="BT458" s="1062">
        <f>'No Recurrentes 24-26'!DE323</f>
        <v>0</v>
      </c>
      <c r="BU458" s="1062">
        <f>'No Recurrentes 24-26'!DF323</f>
        <v>0</v>
      </c>
      <c r="BV458" s="1062">
        <f>'No Recurrentes 24-26'!DG323</f>
        <v>0</v>
      </c>
      <c r="BW458" s="1068"/>
      <c r="BX458" s="1062">
        <f>'No Recurrentes 24-26'!DH323</f>
        <v>0</v>
      </c>
      <c r="BY458" s="1062">
        <f>'No Recurrentes 24-26'!DI323</f>
        <v>0</v>
      </c>
      <c r="BZ458" s="1062">
        <f>'No Recurrentes 24-26'!DJ323</f>
        <v>0</v>
      </c>
      <c r="CA458" s="1062">
        <f>'No Recurrentes 24-26'!DK323</f>
        <v>0</v>
      </c>
      <c r="CB458" s="1062">
        <f>'No Recurrentes 24-26'!DL323</f>
        <v>0</v>
      </c>
      <c r="CC458" s="1062">
        <f>'No Recurrentes 24-26'!DM323</f>
        <v>0</v>
      </c>
      <c r="CD458" s="1062">
        <f>'No Recurrentes 24-26'!DN323</f>
        <v>0</v>
      </c>
      <c r="CE458" s="1062">
        <f>'No Recurrentes 24-26'!DO323</f>
        <v>0</v>
      </c>
      <c r="CF458" s="1062">
        <f>'No Recurrentes 24-26'!DP323</f>
        <v>0</v>
      </c>
      <c r="CG458" s="1062">
        <f>'No Recurrentes 24-26'!DQ323</f>
        <v>0</v>
      </c>
      <c r="CH458" s="1062">
        <f>'No Recurrentes 24-26'!DR323</f>
        <v>0</v>
      </c>
      <c r="CI458" s="1068"/>
      <c r="CJ458" s="1062">
        <f>'No Recurrentes 24-26'!DS323</f>
        <v>0</v>
      </c>
      <c r="CK458" s="1062">
        <f>'No Recurrentes 24-26'!DT323</f>
        <v>14003.7984</v>
      </c>
      <c r="CL458" s="1064" t="str">
        <f>'No Recurrentes 24-26'!DU323</f>
        <v/>
      </c>
      <c r="CM458" s="1064" t="str">
        <f>'No Recurrentes 24-26'!DV323</f>
        <v/>
      </c>
      <c r="CN458" s="1065">
        <f>'No Recurrentes 24-26'!EI319</f>
        <v>206.05</v>
      </c>
      <c r="CO458" s="1065">
        <f>'No Recurrentes 24-26'!EJ319</f>
        <v>175.14</v>
      </c>
      <c r="CP458" s="1060" t="str">
        <f>'No Recurrentes 24-26'!EK319</f>
        <v/>
      </c>
    </row>
    <row r="459">
      <c r="A459" s="451" t="str">
        <f>'No Recurrentes 24-26'!A324</f>
        <v>Repuestos Electromecánicos no recurrentes</v>
      </c>
      <c r="B459" s="451">
        <f>'No Recurrentes 24-26'!B324</f>
        <v>2</v>
      </c>
      <c r="C459" s="451" t="str">
        <f>'No Recurrentes 24-26'!C324</f>
        <v>Estación</v>
      </c>
      <c r="D459" s="451" t="str">
        <f>'No Recurrentes 24-26'!D324</f>
        <v>Poleas de estacion</v>
      </c>
      <c r="E459" s="451" t="str">
        <f>'No Recurrentes 24-26'!E324</f>
        <v>Repuesto Mecánico</v>
      </c>
      <c r="F459" s="451" t="str">
        <f>'No Recurrentes 24-26'!F324</f>
        <v>TDB</v>
      </c>
      <c r="G459" s="1025" t="str">
        <f>'No Recurrentes 24-26'!G324</f>
        <v>39800</v>
      </c>
      <c r="H459" s="1061" t="str">
        <f>'No Recurrentes 24-26'!H324</f>
        <v>2-01-00038</v>
      </c>
      <c r="I459" s="1061" t="str">
        <f>'No Recurrentes 24-26'!I324</f>
        <v>10309716</v>
      </c>
      <c r="J459" s="1061" t="str">
        <f>'No Recurrentes 24-26'!J324</f>
        <v>TORN.HALFEN 72/48  8.8 M20X 60 TORNIL.HALFEN C. TUERCA,   GIC</v>
      </c>
      <c r="K459" s="451" t="str">
        <f>'No Recurrentes 24-26'!K324</f>
        <v>Pza</v>
      </c>
      <c r="L459" s="451" t="str">
        <f>'No Recurrentes 24-26'!BC324</f>
        <v/>
      </c>
      <c r="M459" s="451" t="str">
        <f>'No Recurrentes 24-26'!BD324</f>
        <v/>
      </c>
      <c r="N459" s="451">
        <f>'No Recurrentes 24-26'!BE324</f>
        <v>15</v>
      </c>
      <c r="O459" s="451">
        <f>'No Recurrentes 24-26'!BF324</f>
        <v>32</v>
      </c>
      <c r="P459" s="451" t="str">
        <f>'No Recurrentes 24-26'!BG324</f>
        <v/>
      </c>
      <c r="Q459" s="451" t="str">
        <f>'No Recurrentes 24-26'!BH324</f>
        <v/>
      </c>
      <c r="R459" s="451" t="str">
        <f>'No Recurrentes 24-26'!BI324</f>
        <v/>
      </c>
      <c r="S459" s="451" t="str">
        <f>'No Recurrentes 24-26'!BJ324</f>
        <v/>
      </c>
      <c r="T459" s="451" t="str">
        <f>'No Recurrentes 24-26'!BK324</f>
        <v/>
      </c>
      <c r="U459" s="451" t="str">
        <f>'No Recurrentes 24-26'!BL324</f>
        <v/>
      </c>
      <c r="V459" s="1068"/>
      <c r="W459" s="1062">
        <f>'No Recurrentes 24-26'!BM324</f>
        <v>47</v>
      </c>
      <c r="X459" s="1062" t="str">
        <f>'No Recurrentes 24-26'!BN324</f>
        <v/>
      </c>
      <c r="Y459" s="1062" t="str">
        <f>'No Recurrentes 24-26'!BO324</f>
        <v/>
      </c>
      <c r="Z459" s="1062" t="str">
        <f>'No Recurrentes 24-26'!BP324</f>
        <v/>
      </c>
      <c r="AA459" s="1062" t="str">
        <f>'No Recurrentes 24-26'!BQ324</f>
        <v/>
      </c>
      <c r="AB459" s="1062" t="str">
        <f>'No Recurrentes 24-26'!BR324</f>
        <v/>
      </c>
      <c r="AC459" s="1062" t="str">
        <f>'No Recurrentes 24-26'!BS324</f>
        <v/>
      </c>
      <c r="AD459" s="1062" t="str">
        <f>'No Recurrentes 24-26'!BT324</f>
        <v/>
      </c>
      <c r="AE459" s="1062" t="str">
        <f>'No Recurrentes 24-26'!BU324</f>
        <v/>
      </c>
      <c r="AF459" s="1062" t="str">
        <f>'No Recurrentes 24-26'!BV324</f>
        <v/>
      </c>
      <c r="AG459" s="1062" t="str">
        <f>'No Recurrentes 24-26'!BW324</f>
        <v/>
      </c>
      <c r="AH459" s="1068"/>
      <c r="AI459" s="1062">
        <f>'No Recurrentes 24-26'!BX324</f>
        <v>0</v>
      </c>
      <c r="AJ459" s="1062">
        <f>'No Recurrentes 24-26'!BY324</f>
        <v>0</v>
      </c>
      <c r="AK459" s="1062">
        <f>'No Recurrentes 24-26'!BZ324</f>
        <v>0</v>
      </c>
      <c r="AL459" s="1062">
        <f>'No Recurrentes 24-26'!CA324</f>
        <v>0</v>
      </c>
      <c r="AM459" s="1062">
        <f>'No Recurrentes 24-26'!CB324</f>
        <v>0</v>
      </c>
      <c r="AN459" s="1062">
        <f>'No Recurrentes 24-26'!CC324</f>
        <v>0</v>
      </c>
      <c r="AO459" s="1062">
        <f>'No Recurrentes 24-26'!CD324</f>
        <v>0</v>
      </c>
      <c r="AP459" s="1062">
        <f>'No Recurrentes 24-26'!CE324</f>
        <v>0</v>
      </c>
      <c r="AQ459" s="1062">
        <f>'No Recurrentes 24-26'!CF324</f>
        <v>0</v>
      </c>
      <c r="AR459" s="1062">
        <f>'No Recurrentes 24-26'!CG324</f>
        <v>0</v>
      </c>
      <c r="AS459" s="1062">
        <f>'No Recurrentes 24-26'!CH324</f>
        <v>0</v>
      </c>
      <c r="AT459" s="1068"/>
      <c r="AU459" s="1062">
        <f>'No Recurrentes 24-26'!CI324</f>
        <v>0</v>
      </c>
      <c r="AV459" s="1062">
        <f>'No Recurrentes 24-26'!CJ324</f>
        <v>47</v>
      </c>
      <c r="AW459" s="1068"/>
      <c r="AX459" s="1065">
        <f>'No Recurrentes 24-26'!CK324</f>
        <v>41.53</v>
      </c>
      <c r="AY459" s="1062">
        <f>'No Recurrentes 24-26'!CL324</f>
        <v>289.0488</v>
      </c>
      <c r="AZ459" s="1068"/>
      <c r="BA459" s="1062">
        <f>'No Recurrentes 24-26'!CM324</f>
        <v>0</v>
      </c>
      <c r="BB459" s="1062">
        <f>'No Recurrentes 24-26'!CN324</f>
        <v>0</v>
      </c>
      <c r="BC459" s="1062">
        <f>'No Recurrentes 24-26'!CO324</f>
        <v>4335.732</v>
      </c>
      <c r="BD459" s="1062">
        <f>'No Recurrentes 24-26'!CP324</f>
        <v>9249.5616</v>
      </c>
      <c r="BE459" s="1062">
        <f>'No Recurrentes 24-26'!CQ324</f>
        <v>0</v>
      </c>
      <c r="BF459" s="1062">
        <f>'No Recurrentes 24-26'!CR324</f>
        <v>0</v>
      </c>
      <c r="BG459" s="1062">
        <f>'No Recurrentes 24-26'!CS324</f>
        <v>0</v>
      </c>
      <c r="BH459" s="1062">
        <f>'No Recurrentes 24-26'!CT324</f>
        <v>0</v>
      </c>
      <c r="BI459" s="1062">
        <f>'No Recurrentes 24-26'!CU324</f>
        <v>0</v>
      </c>
      <c r="BJ459" s="1062">
        <f>'No Recurrentes 24-26'!CV324</f>
        <v>0</v>
      </c>
      <c r="BK459" s="1068"/>
      <c r="BL459" s="1062">
        <f>'No Recurrentes 24-26'!CW324</f>
        <v>13585.2936</v>
      </c>
      <c r="BM459" s="1062">
        <f>'No Recurrentes 24-26'!CX324</f>
        <v>0</v>
      </c>
      <c r="BN459" s="1062">
        <f>'No Recurrentes 24-26'!CY324</f>
        <v>0</v>
      </c>
      <c r="BO459" s="1062">
        <f>'No Recurrentes 24-26'!CZ324</f>
        <v>0</v>
      </c>
      <c r="BP459" s="1062">
        <f>'No Recurrentes 24-26'!DA324</f>
        <v>0</v>
      </c>
      <c r="BQ459" s="1062">
        <f>'No Recurrentes 24-26'!DB324</f>
        <v>0</v>
      </c>
      <c r="BR459" s="1062">
        <f>'No Recurrentes 24-26'!DC324</f>
        <v>0</v>
      </c>
      <c r="BS459" s="1062">
        <f>'No Recurrentes 24-26'!DD324</f>
        <v>0</v>
      </c>
      <c r="BT459" s="1062">
        <f>'No Recurrentes 24-26'!DE324</f>
        <v>0</v>
      </c>
      <c r="BU459" s="1062">
        <f>'No Recurrentes 24-26'!DF324</f>
        <v>0</v>
      </c>
      <c r="BV459" s="1062">
        <f>'No Recurrentes 24-26'!DG324</f>
        <v>0</v>
      </c>
      <c r="BW459" s="1068"/>
      <c r="BX459" s="1062">
        <f>'No Recurrentes 24-26'!DH324</f>
        <v>0</v>
      </c>
      <c r="BY459" s="1062">
        <f>'No Recurrentes 24-26'!DI324</f>
        <v>0</v>
      </c>
      <c r="BZ459" s="1062">
        <f>'No Recurrentes 24-26'!DJ324</f>
        <v>0</v>
      </c>
      <c r="CA459" s="1062">
        <f>'No Recurrentes 24-26'!DK324</f>
        <v>0</v>
      </c>
      <c r="CB459" s="1062">
        <f>'No Recurrentes 24-26'!DL324</f>
        <v>0</v>
      </c>
      <c r="CC459" s="1062">
        <f>'No Recurrentes 24-26'!DM324</f>
        <v>0</v>
      </c>
      <c r="CD459" s="1062">
        <f>'No Recurrentes 24-26'!DN324</f>
        <v>0</v>
      </c>
      <c r="CE459" s="1062">
        <f>'No Recurrentes 24-26'!DO324</f>
        <v>0</v>
      </c>
      <c r="CF459" s="1062">
        <f>'No Recurrentes 24-26'!DP324</f>
        <v>0</v>
      </c>
      <c r="CG459" s="1062">
        <f>'No Recurrentes 24-26'!DQ324</f>
        <v>0</v>
      </c>
      <c r="CH459" s="1062">
        <f>'No Recurrentes 24-26'!DR324</f>
        <v>0</v>
      </c>
      <c r="CI459" s="1068"/>
      <c r="CJ459" s="1062">
        <f>'No Recurrentes 24-26'!DS324</f>
        <v>0</v>
      </c>
      <c r="CK459" s="1062">
        <f>'No Recurrentes 24-26'!DT324</f>
        <v>13585.2936</v>
      </c>
      <c r="CL459" s="1064" t="str">
        <f>'No Recurrentes 24-26'!DU324</f>
        <v/>
      </c>
      <c r="CM459" s="1064" t="str">
        <f>'No Recurrentes 24-26'!DV324</f>
        <v/>
      </c>
      <c r="CN459" s="1065">
        <f>'No Recurrentes 24-26'!EI320</f>
        <v>26.07</v>
      </c>
      <c r="CO459" s="1065">
        <f>'No Recurrentes 24-26'!EJ320</f>
        <v>22.16</v>
      </c>
      <c r="CP459" s="1060" t="str">
        <f>'No Recurrentes 24-26'!EK320</f>
        <v/>
      </c>
    </row>
    <row r="460">
      <c r="A460" s="451" t="str">
        <f>'No Recurrentes 24-26'!A325</f>
        <v>Repuestos Electromecánicos no recurrentes</v>
      </c>
      <c r="B460" s="451">
        <f>'No Recurrentes 24-26'!B325</f>
        <v>2</v>
      </c>
      <c r="C460" s="451" t="str">
        <f>'No Recurrentes 24-26'!C325</f>
        <v>Estación</v>
      </c>
      <c r="D460" s="451" t="str">
        <f>'No Recurrentes 24-26'!D325</f>
        <v>Poleas de estacion</v>
      </c>
      <c r="E460" s="451" t="str">
        <f>'No Recurrentes 24-26'!E325</f>
        <v>Repuesto Mecánico</v>
      </c>
      <c r="F460" s="451" t="str">
        <f>'No Recurrentes 24-26'!F325</f>
        <v>TDB</v>
      </c>
      <c r="G460" s="1025" t="str">
        <f>'No Recurrentes 24-26'!G325</f>
        <v>39800</v>
      </c>
      <c r="H460" s="1061" t="str">
        <f>'No Recurrentes 24-26'!H325</f>
        <v>2-01-00666</v>
      </c>
      <c r="I460" s="1061" t="str">
        <f>'No Recurrentes 24-26'!I325</f>
        <v>11430463</v>
      </c>
      <c r="J460" s="1061" t="str">
        <f>'No Recurrentes 24-26'!J325</f>
        <v>CASQU.DIST. DIÁ42/25 L=125 CASQUILLO DIST. P. POLEA 403</v>
      </c>
      <c r="K460" s="451" t="str">
        <f>'No Recurrentes 24-26'!K325</f>
        <v>Pza</v>
      </c>
      <c r="L460" s="451">
        <f>'No Recurrentes 24-26'!BC325</f>
        <v>2</v>
      </c>
      <c r="M460" s="451">
        <f>'No Recurrentes 24-26'!BD325</f>
        <v>2</v>
      </c>
      <c r="N460" s="451">
        <f>'No Recurrentes 24-26'!BE325</f>
        <v>6</v>
      </c>
      <c r="O460" s="451">
        <f>'No Recurrentes 24-26'!BF325</f>
        <v>10</v>
      </c>
      <c r="P460" s="451">
        <f>'No Recurrentes 24-26'!BG325</f>
        <v>10</v>
      </c>
      <c r="Q460" s="451">
        <f>'No Recurrentes 24-26'!BH325</f>
        <v>10</v>
      </c>
      <c r="R460" s="451" t="str">
        <f>'No Recurrentes 24-26'!BI325</f>
        <v/>
      </c>
      <c r="S460" s="451" t="str">
        <f>'No Recurrentes 24-26'!BJ325</f>
        <v/>
      </c>
      <c r="T460" s="451" t="str">
        <f>'No Recurrentes 24-26'!BK325</f>
        <v/>
      </c>
      <c r="U460" s="451" t="str">
        <f>'No Recurrentes 24-26'!BL325</f>
        <v/>
      </c>
      <c r="V460" s="1068"/>
      <c r="W460" s="1062">
        <f>'No Recurrentes 24-26'!BM325</f>
        <v>40</v>
      </c>
      <c r="X460" s="1062" t="str">
        <f>'No Recurrentes 24-26'!BN325</f>
        <v/>
      </c>
      <c r="Y460" s="1062" t="str">
        <f>'No Recurrentes 24-26'!BO325</f>
        <v/>
      </c>
      <c r="Z460" s="1062" t="str">
        <f>'No Recurrentes 24-26'!BP325</f>
        <v/>
      </c>
      <c r="AA460" s="1062" t="str">
        <f>'No Recurrentes 24-26'!BQ325</f>
        <v/>
      </c>
      <c r="AB460" s="1062" t="str">
        <f>'No Recurrentes 24-26'!BR325</f>
        <v/>
      </c>
      <c r="AC460" s="1062" t="str">
        <f>'No Recurrentes 24-26'!BS325</f>
        <v/>
      </c>
      <c r="AD460" s="1062" t="str">
        <f>'No Recurrentes 24-26'!BT325</f>
        <v/>
      </c>
      <c r="AE460" s="1062" t="str">
        <f>'No Recurrentes 24-26'!BU325</f>
        <v/>
      </c>
      <c r="AF460" s="1062" t="str">
        <f>'No Recurrentes 24-26'!BV325</f>
        <v/>
      </c>
      <c r="AG460" s="1062" t="str">
        <f>'No Recurrentes 24-26'!BW325</f>
        <v/>
      </c>
      <c r="AH460" s="1068"/>
      <c r="AI460" s="1062">
        <f>'No Recurrentes 24-26'!BX325</f>
        <v>0</v>
      </c>
      <c r="AJ460" s="1062">
        <f>'No Recurrentes 24-26'!BY325</f>
        <v>2</v>
      </c>
      <c r="AK460" s="1062">
        <f>'No Recurrentes 24-26'!BZ325</f>
        <v>0</v>
      </c>
      <c r="AL460" s="1062">
        <f>'No Recurrentes 24-26'!CA325</f>
        <v>6</v>
      </c>
      <c r="AM460" s="1062">
        <f>'No Recurrentes 24-26'!CB325</f>
        <v>10</v>
      </c>
      <c r="AN460" s="1062">
        <f>'No Recurrentes 24-26'!CC325</f>
        <v>10</v>
      </c>
      <c r="AO460" s="1062">
        <f>'No Recurrentes 24-26'!CD325</f>
        <v>10</v>
      </c>
      <c r="AP460" s="1062">
        <f>'No Recurrentes 24-26'!CE325</f>
        <v>0</v>
      </c>
      <c r="AQ460" s="1062">
        <f>'No Recurrentes 24-26'!CF325</f>
        <v>0</v>
      </c>
      <c r="AR460" s="1062">
        <f>'No Recurrentes 24-26'!CG325</f>
        <v>0</v>
      </c>
      <c r="AS460" s="1062">
        <f>'No Recurrentes 24-26'!CH325</f>
        <v>0</v>
      </c>
      <c r="AT460" s="1068"/>
      <c r="AU460" s="1062">
        <f>'No Recurrentes 24-26'!CI325</f>
        <v>38</v>
      </c>
      <c r="AV460" s="1062">
        <f>'No Recurrentes 24-26'!CJ325</f>
        <v>78</v>
      </c>
      <c r="AW460" s="1068"/>
      <c r="AX460" s="1065">
        <f>'No Recurrentes 24-26'!CK325</f>
        <v>45.99</v>
      </c>
      <c r="AY460" s="1062">
        <f>'No Recurrentes 24-26'!CL325</f>
        <v>320.0904</v>
      </c>
      <c r="AZ460" s="1068"/>
      <c r="BA460" s="1062">
        <f>'No Recurrentes 24-26'!CM325</f>
        <v>640.1808</v>
      </c>
      <c r="BB460" s="1062">
        <f>'No Recurrentes 24-26'!CN325</f>
        <v>640.1808</v>
      </c>
      <c r="BC460" s="1062">
        <f>'No Recurrentes 24-26'!CO325</f>
        <v>1920.5424</v>
      </c>
      <c r="BD460" s="1062">
        <f>'No Recurrentes 24-26'!CP325</f>
        <v>3200.904</v>
      </c>
      <c r="BE460" s="1062">
        <f>'No Recurrentes 24-26'!CQ325</f>
        <v>3200.904</v>
      </c>
      <c r="BF460" s="1062">
        <f>'No Recurrentes 24-26'!CR325</f>
        <v>3200.904</v>
      </c>
      <c r="BG460" s="1062">
        <f>'No Recurrentes 24-26'!CS325</f>
        <v>0</v>
      </c>
      <c r="BH460" s="1062">
        <f>'No Recurrentes 24-26'!CT325</f>
        <v>0</v>
      </c>
      <c r="BI460" s="1062">
        <f>'No Recurrentes 24-26'!CU325</f>
        <v>0</v>
      </c>
      <c r="BJ460" s="1062">
        <f>'No Recurrentes 24-26'!CV325</f>
        <v>0</v>
      </c>
      <c r="BK460" s="1068"/>
      <c r="BL460" s="1062">
        <f>'No Recurrentes 24-26'!CW325</f>
        <v>12803.616</v>
      </c>
      <c r="BM460" s="1062">
        <f>'No Recurrentes 24-26'!CX325</f>
        <v>0</v>
      </c>
      <c r="BN460" s="1062">
        <f>'No Recurrentes 24-26'!CY325</f>
        <v>0</v>
      </c>
      <c r="BO460" s="1062">
        <f>'No Recurrentes 24-26'!CZ325</f>
        <v>0</v>
      </c>
      <c r="BP460" s="1062">
        <f>'No Recurrentes 24-26'!DA325</f>
        <v>0</v>
      </c>
      <c r="BQ460" s="1062">
        <f>'No Recurrentes 24-26'!DB325</f>
        <v>0</v>
      </c>
      <c r="BR460" s="1062">
        <f>'No Recurrentes 24-26'!DC325</f>
        <v>0</v>
      </c>
      <c r="BS460" s="1062">
        <f>'No Recurrentes 24-26'!DD325</f>
        <v>0</v>
      </c>
      <c r="BT460" s="1062">
        <f>'No Recurrentes 24-26'!DE325</f>
        <v>0</v>
      </c>
      <c r="BU460" s="1062">
        <f>'No Recurrentes 24-26'!DF325</f>
        <v>0</v>
      </c>
      <c r="BV460" s="1062">
        <f>'No Recurrentes 24-26'!DG325</f>
        <v>0</v>
      </c>
      <c r="BW460" s="1068"/>
      <c r="BX460" s="1062">
        <f>'No Recurrentes 24-26'!DH325</f>
        <v>0</v>
      </c>
      <c r="BY460" s="1062">
        <f>'No Recurrentes 24-26'!DI325</f>
        <v>640.1808</v>
      </c>
      <c r="BZ460" s="1062">
        <f>'No Recurrentes 24-26'!DJ325</f>
        <v>0</v>
      </c>
      <c r="CA460" s="1062">
        <f>'No Recurrentes 24-26'!DK325</f>
        <v>1920.5424</v>
      </c>
      <c r="CB460" s="1062">
        <f>'No Recurrentes 24-26'!DL325</f>
        <v>3200.904</v>
      </c>
      <c r="CC460" s="1062">
        <f>'No Recurrentes 24-26'!DM325</f>
        <v>3200.904</v>
      </c>
      <c r="CD460" s="1062">
        <f>'No Recurrentes 24-26'!DN325</f>
        <v>3200.904</v>
      </c>
      <c r="CE460" s="1062">
        <f>'No Recurrentes 24-26'!DO325</f>
        <v>0</v>
      </c>
      <c r="CF460" s="1062">
        <f>'No Recurrentes 24-26'!DP325</f>
        <v>0</v>
      </c>
      <c r="CG460" s="1062">
        <f>'No Recurrentes 24-26'!DQ325</f>
        <v>0</v>
      </c>
      <c r="CH460" s="1062">
        <f>'No Recurrentes 24-26'!DR325</f>
        <v>0</v>
      </c>
      <c r="CI460" s="1068"/>
      <c r="CJ460" s="1062">
        <f>'No Recurrentes 24-26'!DS325</f>
        <v>12163.4352</v>
      </c>
      <c r="CK460" s="1062">
        <f>'No Recurrentes 24-26'!DT325</f>
        <v>24967.0512</v>
      </c>
      <c r="CL460" s="1064" t="str">
        <f>'No Recurrentes 24-26'!DU325</f>
        <v/>
      </c>
      <c r="CM460" s="1064" t="str">
        <f>'No Recurrentes 24-26'!DV325</f>
        <v/>
      </c>
      <c r="CN460" s="1065">
        <f>'No Recurrentes 24-26'!EI321</f>
        <v>3313.85</v>
      </c>
      <c r="CO460" s="1065">
        <f>'No Recurrentes 24-26'!EJ321</f>
        <v>2816.77</v>
      </c>
      <c r="CP460" s="1060" t="str">
        <f>'No Recurrentes 24-26'!EK321</f>
        <v/>
      </c>
    </row>
    <row r="461">
      <c r="A461" s="451" t="str">
        <f>'No Recurrentes 24-26'!A326</f>
        <v>Repuestos Electromecánicos no recurrentes</v>
      </c>
      <c r="B461" s="451">
        <f>'No Recurrentes 24-26'!B326</f>
        <v>2</v>
      </c>
      <c r="C461" s="451" t="str">
        <f>'No Recurrentes 24-26'!C326</f>
        <v>Estación</v>
      </c>
      <c r="D461" s="451" t="str">
        <f>'No Recurrentes 24-26'!D326</f>
        <v>Poleas de estacion</v>
      </c>
      <c r="E461" s="451" t="str">
        <f>'No Recurrentes 24-26'!E326</f>
        <v>Repuesto Mecánico</v>
      </c>
      <c r="F461" s="451" t="str">
        <f>'No Recurrentes 24-26'!F326</f>
        <v>TDB</v>
      </c>
      <c r="G461" s="1025" t="str">
        <f>'No Recurrentes 24-26'!G326</f>
        <v>39800</v>
      </c>
      <c r="H461" s="1061" t="str">
        <f>'No Recurrentes 24-26'!H326</f>
        <v>2-01-00442</v>
      </c>
      <c r="I461" s="1061" t="str">
        <f>'No Recurrentes 24-26'!I326</f>
        <v>10686566</v>
      </c>
      <c r="J461" s="1061" t="str">
        <f>'No Recurrentes 24-26'!J326</f>
        <v>RODAM.RAN.D.BOLAS DIN625/1-6308-2RS1-C3GLE VT210 (90% +/-5%)</v>
      </c>
      <c r="K461" s="451" t="str">
        <f>'No Recurrentes 24-26'!K326</f>
        <v>Pza</v>
      </c>
      <c r="L461" s="451" t="str">
        <f>'No Recurrentes 24-26'!BC326</f>
        <v/>
      </c>
      <c r="M461" s="451" t="str">
        <f>'No Recurrentes 24-26'!BD326</f>
        <v/>
      </c>
      <c r="N461" s="451">
        <f>'No Recurrentes 24-26'!BE326</f>
        <v>30</v>
      </c>
      <c r="O461" s="451" t="str">
        <f>'No Recurrentes 24-26'!BF326</f>
        <v/>
      </c>
      <c r="P461" s="451">
        <f>'No Recurrentes 24-26'!BG326</f>
        <v>20</v>
      </c>
      <c r="Q461" s="451" t="str">
        <f>'No Recurrentes 24-26'!BH326</f>
        <v/>
      </c>
      <c r="R461" s="451" t="str">
        <f>'No Recurrentes 24-26'!BI326</f>
        <v/>
      </c>
      <c r="S461" s="451" t="str">
        <f>'No Recurrentes 24-26'!BJ326</f>
        <v/>
      </c>
      <c r="T461" s="451" t="str">
        <f>'No Recurrentes 24-26'!BK326</f>
        <v/>
      </c>
      <c r="U461" s="451" t="str">
        <f>'No Recurrentes 24-26'!BL326</f>
        <v/>
      </c>
      <c r="V461" s="1068"/>
      <c r="W461" s="1062">
        <f>'No Recurrentes 24-26'!BM326</f>
        <v>50</v>
      </c>
      <c r="X461" s="1062" t="str">
        <f>'No Recurrentes 24-26'!BN326</f>
        <v/>
      </c>
      <c r="Y461" s="1062" t="str">
        <f>'No Recurrentes 24-26'!BO326</f>
        <v/>
      </c>
      <c r="Z461" s="1062">
        <f>'No Recurrentes 24-26'!BP326</f>
        <v>20</v>
      </c>
      <c r="AA461" s="1062" t="str">
        <f>'No Recurrentes 24-26'!BQ326</f>
        <v/>
      </c>
      <c r="AB461" s="1062" t="str">
        <f>'No Recurrentes 24-26'!BR326</f>
        <v/>
      </c>
      <c r="AC461" s="1062" t="str">
        <f>'No Recurrentes 24-26'!BS326</f>
        <v/>
      </c>
      <c r="AD461" s="1062" t="str">
        <f>'No Recurrentes 24-26'!BT326</f>
        <v/>
      </c>
      <c r="AE461" s="1062" t="str">
        <f>'No Recurrentes 24-26'!BU326</f>
        <v/>
      </c>
      <c r="AF461" s="1062" t="str">
        <f>'No Recurrentes 24-26'!BV326</f>
        <v/>
      </c>
      <c r="AG461" s="1062" t="str">
        <f>'No Recurrentes 24-26'!BW326</f>
        <v/>
      </c>
      <c r="AH461" s="1068"/>
      <c r="AI461" s="1062">
        <f>'No Recurrentes 24-26'!BX326</f>
        <v>20</v>
      </c>
      <c r="AJ461" s="1062">
        <f>'No Recurrentes 24-26'!BY326</f>
        <v>30</v>
      </c>
      <c r="AK461" s="1062">
        <f>'No Recurrentes 24-26'!BZ326</f>
        <v>15</v>
      </c>
      <c r="AL461" s="1062">
        <f>'No Recurrentes 24-26'!CA326</f>
        <v>30</v>
      </c>
      <c r="AM461" s="1062">
        <f>'No Recurrentes 24-26'!CB326</f>
        <v>0</v>
      </c>
      <c r="AN461" s="1062">
        <f>'No Recurrentes 24-26'!CC326</f>
        <v>20</v>
      </c>
      <c r="AO461" s="1062">
        <f>'No Recurrentes 24-26'!CD326</f>
        <v>0</v>
      </c>
      <c r="AP461" s="1062">
        <f>'No Recurrentes 24-26'!CE326</f>
        <v>0</v>
      </c>
      <c r="AQ461" s="1062">
        <f>'No Recurrentes 24-26'!CF326</f>
        <v>0</v>
      </c>
      <c r="AR461" s="1062">
        <f>'No Recurrentes 24-26'!CG326</f>
        <v>0</v>
      </c>
      <c r="AS461" s="1062">
        <f>'No Recurrentes 24-26'!CH326</f>
        <v>0</v>
      </c>
      <c r="AT461" s="1068"/>
      <c r="AU461" s="1062">
        <f>'No Recurrentes 24-26'!CI326</f>
        <v>95</v>
      </c>
      <c r="AV461" s="1063">
        <f>'No Recurrentes 24-26'!CJ326</f>
        <v>165</v>
      </c>
      <c r="AW461" s="1068"/>
      <c r="AX461" s="1065">
        <f>'No Recurrentes 24-26'!CK326</f>
        <v>35.34</v>
      </c>
      <c r="AY461" s="1062">
        <f>'No Recurrentes 24-26'!CL326</f>
        <v>245.9664</v>
      </c>
      <c r="AZ461" s="1068"/>
      <c r="BA461" s="1062">
        <f>'No Recurrentes 24-26'!CM326</f>
        <v>0</v>
      </c>
      <c r="BB461" s="1062">
        <f>'No Recurrentes 24-26'!CN326</f>
        <v>0</v>
      </c>
      <c r="BC461" s="1062">
        <f>'No Recurrentes 24-26'!CO326</f>
        <v>7378.992</v>
      </c>
      <c r="BD461" s="1062">
        <f>'No Recurrentes 24-26'!CP326</f>
        <v>0</v>
      </c>
      <c r="BE461" s="1062">
        <f>'No Recurrentes 24-26'!CQ326</f>
        <v>4919.328</v>
      </c>
      <c r="BF461" s="1062">
        <f>'No Recurrentes 24-26'!CR326</f>
        <v>0</v>
      </c>
      <c r="BG461" s="1062">
        <f>'No Recurrentes 24-26'!CS326</f>
        <v>0</v>
      </c>
      <c r="BH461" s="1062">
        <f>'No Recurrentes 24-26'!CT326</f>
        <v>0</v>
      </c>
      <c r="BI461" s="1062">
        <f>'No Recurrentes 24-26'!CU326</f>
        <v>0</v>
      </c>
      <c r="BJ461" s="1062">
        <f>'No Recurrentes 24-26'!CV326</f>
        <v>0</v>
      </c>
      <c r="BK461" s="1068"/>
      <c r="BL461" s="1062">
        <f>'No Recurrentes 24-26'!CW326</f>
        <v>12298.32</v>
      </c>
      <c r="BM461" s="1062">
        <f>'No Recurrentes 24-26'!CX326</f>
        <v>0</v>
      </c>
      <c r="BN461" s="1062">
        <f>'No Recurrentes 24-26'!CY326</f>
        <v>0</v>
      </c>
      <c r="BO461" s="1062">
        <f>'No Recurrentes 24-26'!CZ326</f>
        <v>4919.328</v>
      </c>
      <c r="BP461" s="1062">
        <f>'No Recurrentes 24-26'!DA326</f>
        <v>0</v>
      </c>
      <c r="BQ461" s="1062">
        <f>'No Recurrentes 24-26'!DB326</f>
        <v>0</v>
      </c>
      <c r="BR461" s="1062">
        <f>'No Recurrentes 24-26'!DC326</f>
        <v>0</v>
      </c>
      <c r="BS461" s="1062">
        <f>'No Recurrentes 24-26'!DD326</f>
        <v>0</v>
      </c>
      <c r="BT461" s="1062">
        <f>'No Recurrentes 24-26'!DE326</f>
        <v>0</v>
      </c>
      <c r="BU461" s="1062">
        <f>'No Recurrentes 24-26'!DF326</f>
        <v>0</v>
      </c>
      <c r="BV461" s="1062">
        <f>'No Recurrentes 24-26'!DG326</f>
        <v>0</v>
      </c>
      <c r="BW461" s="1068"/>
      <c r="BX461" s="1062">
        <f>'No Recurrentes 24-26'!DH326</f>
        <v>4919.328</v>
      </c>
      <c r="BY461" s="1062">
        <f>'No Recurrentes 24-26'!DI326</f>
        <v>7378.992</v>
      </c>
      <c r="BZ461" s="1062">
        <f>'No Recurrentes 24-26'!DJ326</f>
        <v>3689.496</v>
      </c>
      <c r="CA461" s="1062">
        <f>'No Recurrentes 24-26'!DK326</f>
        <v>7378.992</v>
      </c>
      <c r="CB461" s="1062">
        <f>'No Recurrentes 24-26'!DL326</f>
        <v>0</v>
      </c>
      <c r="CC461" s="1062">
        <f>'No Recurrentes 24-26'!DM326</f>
        <v>4919.328</v>
      </c>
      <c r="CD461" s="1062">
        <f>'No Recurrentes 24-26'!DN326</f>
        <v>0</v>
      </c>
      <c r="CE461" s="1062">
        <f>'No Recurrentes 24-26'!DO326</f>
        <v>0</v>
      </c>
      <c r="CF461" s="1062">
        <f>'No Recurrentes 24-26'!DP326</f>
        <v>0</v>
      </c>
      <c r="CG461" s="1062">
        <f>'No Recurrentes 24-26'!DQ326</f>
        <v>0</v>
      </c>
      <c r="CH461" s="1062">
        <f>'No Recurrentes 24-26'!DR326</f>
        <v>0</v>
      </c>
      <c r="CI461" s="1068"/>
      <c r="CJ461" s="1062">
        <f>'No Recurrentes 24-26'!DS326</f>
        <v>23366.808</v>
      </c>
      <c r="CK461" s="1062">
        <f>'No Recurrentes 24-26'!DT326</f>
        <v>40584.456</v>
      </c>
      <c r="CL461" s="1064" t="str">
        <f>'No Recurrentes 24-26'!DU326</f>
        <v/>
      </c>
      <c r="CM461" s="1064" t="str">
        <f>'No Recurrentes 24-26'!DV326</f>
        <v/>
      </c>
      <c r="CN461" s="1065">
        <f>'No Recurrentes 24-26'!EI322</f>
        <v>50.92</v>
      </c>
      <c r="CO461" s="1065">
        <f>'No Recurrentes 24-26'!EJ322</f>
        <v>43.28</v>
      </c>
      <c r="CP461" s="1060" t="str">
        <f>'No Recurrentes 24-26'!EK322</f>
        <v/>
      </c>
    </row>
    <row r="462">
      <c r="A462" s="451" t="str">
        <f>'No Recurrentes 24-26'!A327</f>
        <v>Repuestos Electromecánicos no recurrentes</v>
      </c>
      <c r="B462" s="451">
        <f>'No Recurrentes 24-26'!B327</f>
        <v>2</v>
      </c>
      <c r="C462" s="451" t="str">
        <f>'No Recurrentes 24-26'!C327</f>
        <v>Estación</v>
      </c>
      <c r="D462" s="451" t="str">
        <f>'No Recurrentes 24-26'!D327</f>
        <v>Poleas de estacion</v>
      </c>
      <c r="E462" s="451" t="str">
        <f>'No Recurrentes 24-26'!E327</f>
        <v>Repuesto Mecánico</v>
      </c>
      <c r="F462" s="451" t="str">
        <f>'No Recurrentes 24-26'!F327</f>
        <v>TDB</v>
      </c>
      <c r="G462" s="1025" t="str">
        <f>'No Recurrentes 24-26'!G327</f>
        <v>39800</v>
      </c>
      <c r="H462" s="1061" t="str">
        <f>'No Recurrentes 24-26'!H327</f>
        <v>2-01-00014</v>
      </c>
      <c r="I462" s="1061" t="str">
        <f>'No Recurrentes 24-26'!I327</f>
        <v>10186109</v>
      </c>
      <c r="J462" s="1061" t="str">
        <f>'No Recurrentes 24-26'!J327</f>
        <v>CUERPO DE POLEA 501 400X130    </v>
      </c>
      <c r="K462" s="451" t="str">
        <f>'No Recurrentes 24-26'!K327</f>
        <v>Pza</v>
      </c>
      <c r="L462" s="451" t="str">
        <f>'No Recurrentes 24-26'!BC327</f>
        <v/>
      </c>
      <c r="M462" s="451" t="str">
        <f>'No Recurrentes 24-26'!BD327</f>
        <v/>
      </c>
      <c r="N462" s="451">
        <f>'No Recurrentes 24-26'!BE327</f>
        <v>2</v>
      </c>
      <c r="O462" s="451" t="str">
        <f>'No Recurrentes 24-26'!BF327</f>
        <v/>
      </c>
      <c r="P462" s="451" t="str">
        <f>'No Recurrentes 24-26'!BG327</f>
        <v/>
      </c>
      <c r="Q462" s="451" t="str">
        <f>'No Recurrentes 24-26'!BH327</f>
        <v/>
      </c>
      <c r="R462" s="451" t="str">
        <f>'No Recurrentes 24-26'!BI327</f>
        <v/>
      </c>
      <c r="S462" s="451" t="str">
        <f>'No Recurrentes 24-26'!BJ327</f>
        <v/>
      </c>
      <c r="T462" s="451" t="str">
        <f>'No Recurrentes 24-26'!BK327</f>
        <v/>
      </c>
      <c r="U462" s="451" t="str">
        <f>'No Recurrentes 24-26'!BL327</f>
        <v/>
      </c>
      <c r="V462" s="1068"/>
      <c r="W462" s="1062">
        <f>'No Recurrentes 24-26'!BM327</f>
        <v>2</v>
      </c>
      <c r="X462" s="1062" t="str">
        <f>'No Recurrentes 24-26'!BN327</f>
        <v/>
      </c>
      <c r="Y462" s="1062" t="str">
        <f>'No Recurrentes 24-26'!BO327</f>
        <v/>
      </c>
      <c r="Z462" s="1062" t="str">
        <f>'No Recurrentes 24-26'!BP327</f>
        <v/>
      </c>
      <c r="AA462" s="1062">
        <f>'No Recurrentes 24-26'!BQ327</f>
        <v>3</v>
      </c>
      <c r="AB462" s="1062">
        <f>'No Recurrentes 24-26'!BR327</f>
        <v>3</v>
      </c>
      <c r="AC462" s="1062">
        <f>'No Recurrentes 24-26'!BS327</f>
        <v>3</v>
      </c>
      <c r="AD462" s="1062" t="str">
        <f>'No Recurrentes 24-26'!BT327</f>
        <v/>
      </c>
      <c r="AE462" s="1062" t="str">
        <f>'No Recurrentes 24-26'!BU327</f>
        <v/>
      </c>
      <c r="AF462" s="1062" t="str">
        <f>'No Recurrentes 24-26'!BV327</f>
        <v/>
      </c>
      <c r="AG462" s="1062">
        <f>'No Recurrentes 24-26'!BW327</f>
        <v>1</v>
      </c>
      <c r="AH462" s="1068"/>
      <c r="AI462" s="1062">
        <f>'No Recurrentes 24-26'!BX327</f>
        <v>10</v>
      </c>
      <c r="AJ462" s="1062">
        <f>'No Recurrentes 24-26'!BY327</f>
        <v>0</v>
      </c>
      <c r="AK462" s="1062">
        <f>'No Recurrentes 24-26'!BZ327</f>
        <v>0</v>
      </c>
      <c r="AL462" s="1062">
        <f>'No Recurrentes 24-26'!CA327</f>
        <v>2</v>
      </c>
      <c r="AM462" s="1062">
        <f>'No Recurrentes 24-26'!CB327</f>
        <v>0</v>
      </c>
      <c r="AN462" s="1062">
        <f>'No Recurrentes 24-26'!CC327</f>
        <v>0</v>
      </c>
      <c r="AO462" s="1062">
        <f>'No Recurrentes 24-26'!CD327</f>
        <v>0</v>
      </c>
      <c r="AP462" s="1062">
        <f>'No Recurrentes 24-26'!CE327</f>
        <v>0</v>
      </c>
      <c r="AQ462" s="1062">
        <f>'No Recurrentes 24-26'!CF327</f>
        <v>0</v>
      </c>
      <c r="AR462" s="1062">
        <f>'No Recurrentes 24-26'!CG327</f>
        <v>0</v>
      </c>
      <c r="AS462" s="1062">
        <f>'No Recurrentes 24-26'!CH327</f>
        <v>0</v>
      </c>
      <c r="AT462" s="1068"/>
      <c r="AU462" s="1062">
        <f>'No Recurrentes 24-26'!CI327</f>
        <v>2</v>
      </c>
      <c r="AV462" s="1063">
        <f>'No Recurrentes 24-26'!CJ327</f>
        <v>14</v>
      </c>
      <c r="AW462" s="1068"/>
      <c r="AX462" s="1065">
        <f>'No Recurrentes 24-26'!CK327</f>
        <v>784.35</v>
      </c>
      <c r="AY462" s="1062">
        <f>'No Recurrentes 24-26'!CL327</f>
        <v>5459.076</v>
      </c>
      <c r="AZ462" s="1068"/>
      <c r="BA462" s="1062">
        <f>'No Recurrentes 24-26'!CM327</f>
        <v>0</v>
      </c>
      <c r="BB462" s="1062">
        <f>'No Recurrentes 24-26'!CN327</f>
        <v>0</v>
      </c>
      <c r="BC462" s="1062">
        <f>'No Recurrentes 24-26'!CO327</f>
        <v>10918.152</v>
      </c>
      <c r="BD462" s="1062">
        <f>'No Recurrentes 24-26'!CP327</f>
        <v>0</v>
      </c>
      <c r="BE462" s="1062">
        <f>'No Recurrentes 24-26'!CQ327</f>
        <v>0</v>
      </c>
      <c r="BF462" s="1062">
        <f>'No Recurrentes 24-26'!CR327</f>
        <v>0</v>
      </c>
      <c r="BG462" s="1062">
        <f>'No Recurrentes 24-26'!CS327</f>
        <v>0</v>
      </c>
      <c r="BH462" s="1062">
        <f>'No Recurrentes 24-26'!CT327</f>
        <v>0</v>
      </c>
      <c r="BI462" s="1062">
        <f>'No Recurrentes 24-26'!CU327</f>
        <v>0</v>
      </c>
      <c r="BJ462" s="1062">
        <f>'No Recurrentes 24-26'!CV327</f>
        <v>0</v>
      </c>
      <c r="BK462" s="1068"/>
      <c r="BL462" s="1062">
        <f>'No Recurrentes 24-26'!CW327</f>
        <v>10918.152</v>
      </c>
      <c r="BM462" s="1062">
        <f>'No Recurrentes 24-26'!CX327</f>
        <v>0</v>
      </c>
      <c r="BN462" s="1062">
        <f>'No Recurrentes 24-26'!CY327</f>
        <v>0</v>
      </c>
      <c r="BO462" s="1062">
        <f>'No Recurrentes 24-26'!CZ327</f>
        <v>0</v>
      </c>
      <c r="BP462" s="1062">
        <f>'No Recurrentes 24-26'!DA327</f>
        <v>16377.228</v>
      </c>
      <c r="BQ462" s="1062">
        <f>'No Recurrentes 24-26'!DB327</f>
        <v>16377.228</v>
      </c>
      <c r="BR462" s="1062">
        <f>'No Recurrentes 24-26'!DC327</f>
        <v>16377.228</v>
      </c>
      <c r="BS462" s="1062">
        <f>'No Recurrentes 24-26'!DD327</f>
        <v>0</v>
      </c>
      <c r="BT462" s="1062">
        <f>'No Recurrentes 24-26'!DE327</f>
        <v>0</v>
      </c>
      <c r="BU462" s="1062">
        <f>'No Recurrentes 24-26'!DF327</f>
        <v>0</v>
      </c>
      <c r="BV462" s="1062">
        <f>'No Recurrentes 24-26'!DG327</f>
        <v>5459.076</v>
      </c>
      <c r="BW462" s="1068"/>
      <c r="BX462" s="1062">
        <f>'No Recurrentes 24-26'!DH327</f>
        <v>54590.76</v>
      </c>
      <c r="BY462" s="1062">
        <f>'No Recurrentes 24-26'!DI327</f>
        <v>0</v>
      </c>
      <c r="BZ462" s="1062">
        <f>'No Recurrentes 24-26'!DJ327</f>
        <v>0</v>
      </c>
      <c r="CA462" s="1062">
        <f>'No Recurrentes 24-26'!DK327</f>
        <v>10918.152</v>
      </c>
      <c r="CB462" s="1062">
        <f>'No Recurrentes 24-26'!DL327</f>
        <v>0</v>
      </c>
      <c r="CC462" s="1062">
        <f>'No Recurrentes 24-26'!DM327</f>
        <v>0</v>
      </c>
      <c r="CD462" s="1062">
        <f>'No Recurrentes 24-26'!DN327</f>
        <v>0</v>
      </c>
      <c r="CE462" s="1062">
        <f>'No Recurrentes 24-26'!DO327</f>
        <v>0</v>
      </c>
      <c r="CF462" s="1062">
        <f>'No Recurrentes 24-26'!DP327</f>
        <v>0</v>
      </c>
      <c r="CG462" s="1062">
        <f>'No Recurrentes 24-26'!DQ327</f>
        <v>0</v>
      </c>
      <c r="CH462" s="1062">
        <f>'No Recurrentes 24-26'!DR327</f>
        <v>0</v>
      </c>
      <c r="CI462" s="1068"/>
      <c r="CJ462" s="1062">
        <f>'No Recurrentes 24-26'!DS327</f>
        <v>10918.152</v>
      </c>
      <c r="CK462" s="1062">
        <f>'No Recurrentes 24-26'!DT327</f>
        <v>76427.064</v>
      </c>
      <c r="CL462" s="1064" t="str">
        <f>'No Recurrentes 24-26'!DU327</f>
        <v/>
      </c>
      <c r="CM462" s="1064" t="str">
        <f>'No Recurrentes 24-26'!DV327</f>
        <v/>
      </c>
      <c r="CN462" s="1065">
        <f>'No Recurrentes 24-26'!EI323</f>
        <v>335.34</v>
      </c>
      <c r="CO462" s="1065">
        <f>'No Recurrentes 24-26'!EJ323</f>
        <v>285.04</v>
      </c>
      <c r="CP462" s="1060" t="str">
        <f>'No Recurrentes 24-26'!EK323</f>
        <v/>
      </c>
    </row>
    <row r="463">
      <c r="A463" s="451" t="str">
        <f>'No Recurrentes 24-26'!A328</f>
        <v>Repuestos Electromecánicos no recurrentes</v>
      </c>
      <c r="B463" s="451">
        <f>'No Recurrentes 24-26'!B328</f>
        <v>2</v>
      </c>
      <c r="C463" s="451" t="str">
        <f>'No Recurrentes 24-26'!C328</f>
        <v>Estación</v>
      </c>
      <c r="D463" s="451" t="str">
        <f>'No Recurrentes 24-26'!D328</f>
        <v>Poleas de estacion</v>
      </c>
      <c r="E463" s="451" t="str">
        <f>'No Recurrentes 24-26'!E328</f>
        <v>Repuesto Mecánico</v>
      </c>
      <c r="F463" s="451" t="str">
        <f>'No Recurrentes 24-26'!F328</f>
        <v>TDB</v>
      </c>
      <c r="G463" s="1025" t="str">
        <f>'No Recurrentes 24-26'!G328</f>
        <v>39800</v>
      </c>
      <c r="H463" s="1061" t="str">
        <f>'No Recurrentes 24-26'!H328</f>
        <v>2-01-00254</v>
      </c>
      <c r="I463" s="1061" t="str">
        <f>'No Recurrentes 24-26'!I328</f>
        <v>10518986</v>
      </c>
      <c r="J463" s="1061" t="str">
        <f>'No Recurrentes 24-26'!J328</f>
        <v>ARAND.DIST. DIA.79,5/35 S=12,1 ARANDELA DIST.P.POLEA TIPO 403</v>
      </c>
      <c r="K463" s="451" t="str">
        <f>'No Recurrentes 24-26'!K328</f>
        <v>Pza</v>
      </c>
      <c r="L463" s="451">
        <f>'No Recurrentes 24-26'!BC328</f>
        <v>10</v>
      </c>
      <c r="M463" s="451">
        <f>'No Recurrentes 24-26'!BD328</f>
        <v>2</v>
      </c>
      <c r="N463" s="451">
        <f>'No Recurrentes 24-26'!BE328</f>
        <v>10</v>
      </c>
      <c r="O463" s="451">
        <f>'No Recurrentes 24-26'!BF328</f>
        <v>10</v>
      </c>
      <c r="P463" s="451">
        <f>'No Recurrentes 24-26'!BG328</f>
        <v>10</v>
      </c>
      <c r="Q463" s="451">
        <f>'No Recurrentes 24-26'!BH328</f>
        <v>10</v>
      </c>
      <c r="R463" s="451" t="str">
        <f>'No Recurrentes 24-26'!BI328</f>
        <v/>
      </c>
      <c r="S463" s="451" t="str">
        <f>'No Recurrentes 24-26'!BJ328</f>
        <v/>
      </c>
      <c r="T463" s="451" t="str">
        <f>'No Recurrentes 24-26'!BK328</f>
        <v/>
      </c>
      <c r="U463" s="451" t="str">
        <f>'No Recurrentes 24-26'!BL328</f>
        <v/>
      </c>
      <c r="V463" s="1068"/>
      <c r="W463" s="1062">
        <f>'No Recurrentes 24-26'!BM328</f>
        <v>52</v>
      </c>
      <c r="X463" s="1062" t="str">
        <f>'No Recurrentes 24-26'!BN328</f>
        <v/>
      </c>
      <c r="Y463" s="1062" t="str">
        <f>'No Recurrentes 24-26'!BO328</f>
        <v/>
      </c>
      <c r="Z463" s="1062" t="str">
        <f>'No Recurrentes 24-26'!BP328</f>
        <v/>
      </c>
      <c r="AA463" s="1062" t="str">
        <f>'No Recurrentes 24-26'!BQ328</f>
        <v/>
      </c>
      <c r="AB463" s="1062" t="str">
        <f>'No Recurrentes 24-26'!BR328</f>
        <v/>
      </c>
      <c r="AC463" s="1062" t="str">
        <f>'No Recurrentes 24-26'!BS328</f>
        <v/>
      </c>
      <c r="AD463" s="1062" t="str">
        <f>'No Recurrentes 24-26'!BT328</f>
        <v/>
      </c>
      <c r="AE463" s="1062" t="str">
        <f>'No Recurrentes 24-26'!BU328</f>
        <v/>
      </c>
      <c r="AF463" s="1062" t="str">
        <f>'No Recurrentes 24-26'!BV328</f>
        <v/>
      </c>
      <c r="AG463" s="1062" t="str">
        <f>'No Recurrentes 24-26'!BW328</f>
        <v/>
      </c>
      <c r="AH463" s="1068"/>
      <c r="AI463" s="1062">
        <f>'No Recurrentes 24-26'!BX328</f>
        <v>0</v>
      </c>
      <c r="AJ463" s="1062">
        <f>'No Recurrentes 24-26'!BY328</f>
        <v>10</v>
      </c>
      <c r="AK463" s="1062">
        <f>'No Recurrentes 24-26'!BZ328</f>
        <v>2</v>
      </c>
      <c r="AL463" s="1062">
        <f>'No Recurrentes 24-26'!CA328</f>
        <v>10</v>
      </c>
      <c r="AM463" s="1062">
        <f>'No Recurrentes 24-26'!CB328</f>
        <v>10</v>
      </c>
      <c r="AN463" s="1062">
        <f>'No Recurrentes 24-26'!CC328</f>
        <v>10</v>
      </c>
      <c r="AO463" s="1062">
        <f>'No Recurrentes 24-26'!CD328</f>
        <v>10</v>
      </c>
      <c r="AP463" s="1062">
        <f>'No Recurrentes 24-26'!CE328</f>
        <v>0</v>
      </c>
      <c r="AQ463" s="1062">
        <f>'No Recurrentes 24-26'!CF328</f>
        <v>0</v>
      </c>
      <c r="AR463" s="1062">
        <f>'No Recurrentes 24-26'!CG328</f>
        <v>0</v>
      </c>
      <c r="AS463" s="1062">
        <f>'No Recurrentes 24-26'!CH328</f>
        <v>0</v>
      </c>
      <c r="AT463" s="1068"/>
      <c r="AU463" s="1062">
        <f>'No Recurrentes 24-26'!CI328</f>
        <v>52</v>
      </c>
      <c r="AV463" s="1063">
        <f>'No Recurrentes 24-26'!CJ328</f>
        <v>104</v>
      </c>
      <c r="AW463" s="1068"/>
      <c r="AX463" s="1065">
        <f>'No Recurrentes 24-26'!CK328</f>
        <v>20.23</v>
      </c>
      <c r="AY463" s="1062">
        <f>'No Recurrentes 24-26'!CL328</f>
        <v>140.8008</v>
      </c>
      <c r="AZ463" s="1068"/>
      <c r="BA463" s="1062">
        <f>'No Recurrentes 24-26'!CM328</f>
        <v>1408.008</v>
      </c>
      <c r="BB463" s="1062">
        <f>'No Recurrentes 24-26'!CN328</f>
        <v>281.6016</v>
      </c>
      <c r="BC463" s="1062">
        <f>'No Recurrentes 24-26'!CO328</f>
        <v>1408.008</v>
      </c>
      <c r="BD463" s="1062">
        <f>'No Recurrentes 24-26'!CP328</f>
        <v>1408.008</v>
      </c>
      <c r="BE463" s="1062">
        <f>'No Recurrentes 24-26'!CQ328</f>
        <v>1408.008</v>
      </c>
      <c r="BF463" s="1062">
        <f>'No Recurrentes 24-26'!CR328</f>
        <v>1408.008</v>
      </c>
      <c r="BG463" s="1062">
        <f>'No Recurrentes 24-26'!CS328</f>
        <v>0</v>
      </c>
      <c r="BH463" s="1062">
        <f>'No Recurrentes 24-26'!CT328</f>
        <v>0</v>
      </c>
      <c r="BI463" s="1062">
        <f>'No Recurrentes 24-26'!CU328</f>
        <v>0</v>
      </c>
      <c r="BJ463" s="1062">
        <f>'No Recurrentes 24-26'!CV328</f>
        <v>0</v>
      </c>
      <c r="BK463" s="1068"/>
      <c r="BL463" s="1062">
        <f>'No Recurrentes 24-26'!CW328</f>
        <v>7321.6416</v>
      </c>
      <c r="BM463" s="1062">
        <f>'No Recurrentes 24-26'!CX328</f>
        <v>0</v>
      </c>
      <c r="BN463" s="1062">
        <f>'No Recurrentes 24-26'!CY328</f>
        <v>0</v>
      </c>
      <c r="BO463" s="1062">
        <f>'No Recurrentes 24-26'!CZ328</f>
        <v>0</v>
      </c>
      <c r="BP463" s="1062">
        <f>'No Recurrentes 24-26'!DA328</f>
        <v>0</v>
      </c>
      <c r="BQ463" s="1062">
        <f>'No Recurrentes 24-26'!DB328</f>
        <v>0</v>
      </c>
      <c r="BR463" s="1062">
        <f>'No Recurrentes 24-26'!DC328</f>
        <v>0</v>
      </c>
      <c r="BS463" s="1062">
        <f>'No Recurrentes 24-26'!DD328</f>
        <v>0</v>
      </c>
      <c r="BT463" s="1062">
        <f>'No Recurrentes 24-26'!DE328</f>
        <v>0</v>
      </c>
      <c r="BU463" s="1062">
        <f>'No Recurrentes 24-26'!DF328</f>
        <v>0</v>
      </c>
      <c r="BV463" s="1062">
        <f>'No Recurrentes 24-26'!DG328</f>
        <v>0</v>
      </c>
      <c r="BW463" s="1068"/>
      <c r="BX463" s="1062">
        <f>'No Recurrentes 24-26'!DH328</f>
        <v>0</v>
      </c>
      <c r="BY463" s="1062">
        <f>'No Recurrentes 24-26'!DI328</f>
        <v>1408.008</v>
      </c>
      <c r="BZ463" s="1062">
        <f>'No Recurrentes 24-26'!DJ328</f>
        <v>281.6016</v>
      </c>
      <c r="CA463" s="1062">
        <f>'No Recurrentes 24-26'!DK328</f>
        <v>1408.008</v>
      </c>
      <c r="CB463" s="1062">
        <f>'No Recurrentes 24-26'!DL328</f>
        <v>1408.008</v>
      </c>
      <c r="CC463" s="1062">
        <f>'No Recurrentes 24-26'!DM328</f>
        <v>1408.008</v>
      </c>
      <c r="CD463" s="1062">
        <f>'No Recurrentes 24-26'!DN328</f>
        <v>1408.008</v>
      </c>
      <c r="CE463" s="1062">
        <f>'No Recurrentes 24-26'!DO328</f>
        <v>0</v>
      </c>
      <c r="CF463" s="1062">
        <f>'No Recurrentes 24-26'!DP328</f>
        <v>0</v>
      </c>
      <c r="CG463" s="1062">
        <f>'No Recurrentes 24-26'!DQ328</f>
        <v>0</v>
      </c>
      <c r="CH463" s="1062">
        <f>'No Recurrentes 24-26'!DR328</f>
        <v>0</v>
      </c>
      <c r="CI463" s="1068"/>
      <c r="CJ463" s="1062">
        <f>'No Recurrentes 24-26'!DS328</f>
        <v>7321.6416</v>
      </c>
      <c r="CK463" s="1062">
        <f>'No Recurrentes 24-26'!DT328</f>
        <v>14643.2832</v>
      </c>
      <c r="CL463" s="1064" t="str">
        <f>'No Recurrentes 24-26'!DU328</f>
        <v/>
      </c>
      <c r="CM463" s="1064" t="str">
        <f>'No Recurrentes 24-26'!DV328</f>
        <v/>
      </c>
      <c r="CN463" s="1065">
        <f>'No Recurrentes 24-26'!EI324</f>
        <v>41.53</v>
      </c>
      <c r="CO463" s="1065">
        <f>'No Recurrentes 24-26'!EJ324</f>
        <v>35.3</v>
      </c>
      <c r="CP463" s="1060" t="str">
        <f>'No Recurrentes 24-26'!EK324</f>
        <v/>
      </c>
    </row>
    <row r="464">
      <c r="A464" s="451" t="str">
        <f>'No Recurrentes 24-26'!A329</f>
        <v>Repuestos Electromecánicos no recurrentes</v>
      </c>
      <c r="B464" s="451">
        <f>'No Recurrentes 24-26'!B329</f>
        <v>2</v>
      </c>
      <c r="C464" s="451" t="str">
        <f>'No Recurrentes 24-26'!C329</f>
        <v>Estación</v>
      </c>
      <c r="D464" s="451" t="str">
        <f>'No Recurrentes 24-26'!D329</f>
        <v>Poleas de estacion</v>
      </c>
      <c r="E464" s="451" t="str">
        <f>'No Recurrentes 24-26'!E329</f>
        <v>Repuesto Mecánico</v>
      </c>
      <c r="F464" s="451" t="str">
        <f>'No Recurrentes 24-26'!F329</f>
        <v>TDB</v>
      </c>
      <c r="G464" s="1025" t="str">
        <f>'No Recurrentes 24-26'!G329</f>
        <v>39800</v>
      </c>
      <c r="H464" s="1061" t="str">
        <f>'No Recurrentes 24-26'!H329</f>
        <v>2-01-00875</v>
      </c>
      <c r="I464" s="1061" t="str">
        <f>'No Recurrentes 24-26'!I329</f>
        <v>10748290</v>
      </c>
      <c r="J464" s="1061" t="str">
        <f>'No Recurrentes 24-26'!J329</f>
        <v>SOPORTE DE EJE DIA63 H7 ESPEC. UNIG              ELECTROGALV.</v>
      </c>
      <c r="K464" s="451" t="str">
        <f>'No Recurrentes 24-26'!K329</f>
        <v>Pza</v>
      </c>
      <c r="L464" s="451" t="str">
        <f>'No Recurrentes 24-26'!BC329</f>
        <v/>
      </c>
      <c r="M464" s="451" t="str">
        <f>'No Recurrentes 24-26'!BD329</f>
        <v/>
      </c>
      <c r="N464" s="451" t="str">
        <f>'No Recurrentes 24-26'!BE329</f>
        <v/>
      </c>
      <c r="O464" s="451" t="str">
        <f>'No Recurrentes 24-26'!BF329</f>
        <v/>
      </c>
      <c r="P464" s="451" t="str">
        <f>'No Recurrentes 24-26'!BG329</f>
        <v/>
      </c>
      <c r="Q464" s="451" t="str">
        <f>'No Recurrentes 24-26'!BH329</f>
        <v/>
      </c>
      <c r="R464" s="451" t="str">
        <f>'No Recurrentes 24-26'!BI329</f>
        <v/>
      </c>
      <c r="S464" s="451" t="str">
        <f>'No Recurrentes 24-26'!BJ329</f>
        <v/>
      </c>
      <c r="T464" s="451" t="str">
        <f>'No Recurrentes 24-26'!BK329</f>
        <v/>
      </c>
      <c r="U464" s="451">
        <f>'No Recurrentes 24-26'!BL329</f>
        <v>2</v>
      </c>
      <c r="V464" s="1068"/>
      <c r="W464" s="1062">
        <f>'No Recurrentes 24-26'!BM329</f>
        <v>2</v>
      </c>
      <c r="X464" s="1062" t="str">
        <f>'No Recurrentes 24-26'!BN329</f>
        <v/>
      </c>
      <c r="Y464" s="1062" t="str">
        <f>'No Recurrentes 24-26'!BO329</f>
        <v/>
      </c>
      <c r="Z464" s="1062" t="str">
        <f>'No Recurrentes 24-26'!BP329</f>
        <v/>
      </c>
      <c r="AA464" s="1062" t="str">
        <f>'No Recurrentes 24-26'!BQ329</f>
        <v/>
      </c>
      <c r="AB464" s="1062" t="str">
        <f>'No Recurrentes 24-26'!BR329</f>
        <v/>
      </c>
      <c r="AC464" s="1062" t="str">
        <f>'No Recurrentes 24-26'!BS329</f>
        <v/>
      </c>
      <c r="AD464" s="1062" t="str">
        <f>'No Recurrentes 24-26'!BT329</f>
        <v/>
      </c>
      <c r="AE464" s="1062" t="str">
        <f>'No Recurrentes 24-26'!BU329</f>
        <v/>
      </c>
      <c r="AF464" s="1062" t="str">
        <f>'No Recurrentes 24-26'!BV329</f>
        <v/>
      </c>
      <c r="AG464" s="1062" t="str">
        <f>'No Recurrentes 24-26'!BW329</f>
        <v/>
      </c>
      <c r="AH464" s="1068"/>
      <c r="AI464" s="1062">
        <f>'No Recurrentes 24-26'!BX329</f>
        <v>0</v>
      </c>
      <c r="AJ464" s="1062">
        <f>'No Recurrentes 24-26'!BY329</f>
        <v>0</v>
      </c>
      <c r="AK464" s="1062">
        <f>'No Recurrentes 24-26'!BZ329</f>
        <v>0</v>
      </c>
      <c r="AL464" s="1062">
        <f>'No Recurrentes 24-26'!CA329</f>
        <v>0</v>
      </c>
      <c r="AM464" s="1062">
        <f>'No Recurrentes 24-26'!CB329</f>
        <v>0</v>
      </c>
      <c r="AN464" s="1062">
        <f>'No Recurrentes 24-26'!CC329</f>
        <v>0</v>
      </c>
      <c r="AO464" s="1062">
        <f>'No Recurrentes 24-26'!CD329</f>
        <v>0</v>
      </c>
      <c r="AP464" s="1062">
        <f>'No Recurrentes 24-26'!CE329</f>
        <v>0</v>
      </c>
      <c r="AQ464" s="1062">
        <f>'No Recurrentes 24-26'!CF329</f>
        <v>0</v>
      </c>
      <c r="AR464" s="1062">
        <f>'No Recurrentes 24-26'!CG329</f>
        <v>0</v>
      </c>
      <c r="AS464" s="1062">
        <f>'No Recurrentes 24-26'!CH329</f>
        <v>0</v>
      </c>
      <c r="AT464" s="1068"/>
      <c r="AU464" s="1062">
        <f>'No Recurrentes 24-26'!CI329</f>
        <v>0</v>
      </c>
      <c r="AV464" s="1063">
        <f>'No Recurrentes 24-26'!CJ329</f>
        <v>2</v>
      </c>
      <c r="AW464" s="1068"/>
      <c r="AX464" s="1065">
        <f>'No Recurrentes 24-26'!CK329</f>
        <v>437.86</v>
      </c>
      <c r="AY464" s="1062">
        <f>'No Recurrentes 24-26'!CL329</f>
        <v>3047.5056</v>
      </c>
      <c r="AZ464" s="1068"/>
      <c r="BA464" s="1062">
        <f>'No Recurrentes 24-26'!CM329</f>
        <v>0</v>
      </c>
      <c r="BB464" s="1062">
        <f>'No Recurrentes 24-26'!CN329</f>
        <v>0</v>
      </c>
      <c r="BC464" s="1062">
        <f>'No Recurrentes 24-26'!CO329</f>
        <v>0</v>
      </c>
      <c r="BD464" s="1062">
        <f>'No Recurrentes 24-26'!CP329</f>
        <v>0</v>
      </c>
      <c r="BE464" s="1062">
        <f>'No Recurrentes 24-26'!CQ329</f>
        <v>0</v>
      </c>
      <c r="BF464" s="1062">
        <f>'No Recurrentes 24-26'!CR329</f>
        <v>0</v>
      </c>
      <c r="BG464" s="1062">
        <f>'No Recurrentes 24-26'!CS329</f>
        <v>0</v>
      </c>
      <c r="BH464" s="1062">
        <f>'No Recurrentes 24-26'!CT329</f>
        <v>0</v>
      </c>
      <c r="BI464" s="1062">
        <f>'No Recurrentes 24-26'!CU329</f>
        <v>0</v>
      </c>
      <c r="BJ464" s="1062">
        <f>'No Recurrentes 24-26'!CV329</f>
        <v>6095.0112</v>
      </c>
      <c r="BK464" s="1068"/>
      <c r="BL464" s="1062">
        <f>'No Recurrentes 24-26'!CW329</f>
        <v>6095.0112</v>
      </c>
      <c r="BM464" s="1062">
        <f>'No Recurrentes 24-26'!CX329</f>
        <v>0</v>
      </c>
      <c r="BN464" s="1062">
        <f>'No Recurrentes 24-26'!CY329</f>
        <v>0</v>
      </c>
      <c r="BO464" s="1062">
        <f>'No Recurrentes 24-26'!CZ329</f>
        <v>0</v>
      </c>
      <c r="BP464" s="1062">
        <f>'No Recurrentes 24-26'!DA329</f>
        <v>0</v>
      </c>
      <c r="BQ464" s="1062">
        <f>'No Recurrentes 24-26'!DB329</f>
        <v>0</v>
      </c>
      <c r="BR464" s="1062">
        <f>'No Recurrentes 24-26'!DC329</f>
        <v>0</v>
      </c>
      <c r="BS464" s="1062">
        <f>'No Recurrentes 24-26'!DD329</f>
        <v>0</v>
      </c>
      <c r="BT464" s="1062">
        <f>'No Recurrentes 24-26'!DE329</f>
        <v>0</v>
      </c>
      <c r="BU464" s="1062">
        <f>'No Recurrentes 24-26'!DF329</f>
        <v>0</v>
      </c>
      <c r="BV464" s="1062">
        <f>'No Recurrentes 24-26'!DG329</f>
        <v>0</v>
      </c>
      <c r="BW464" s="1068"/>
      <c r="BX464" s="1062">
        <f>'No Recurrentes 24-26'!DH329</f>
        <v>0</v>
      </c>
      <c r="BY464" s="1062">
        <f>'No Recurrentes 24-26'!DI329</f>
        <v>0</v>
      </c>
      <c r="BZ464" s="1062">
        <f>'No Recurrentes 24-26'!DJ329</f>
        <v>0</v>
      </c>
      <c r="CA464" s="1062">
        <f>'No Recurrentes 24-26'!DK329</f>
        <v>0</v>
      </c>
      <c r="CB464" s="1062">
        <f>'No Recurrentes 24-26'!DL329</f>
        <v>0</v>
      </c>
      <c r="CC464" s="1062">
        <f>'No Recurrentes 24-26'!DM329</f>
        <v>0</v>
      </c>
      <c r="CD464" s="1062">
        <f>'No Recurrentes 24-26'!DN329</f>
        <v>0</v>
      </c>
      <c r="CE464" s="1062">
        <f>'No Recurrentes 24-26'!DO329</f>
        <v>0</v>
      </c>
      <c r="CF464" s="1062">
        <f>'No Recurrentes 24-26'!DP329</f>
        <v>0</v>
      </c>
      <c r="CG464" s="1062">
        <f>'No Recurrentes 24-26'!DQ329</f>
        <v>0</v>
      </c>
      <c r="CH464" s="1062">
        <f>'No Recurrentes 24-26'!DR329</f>
        <v>0</v>
      </c>
      <c r="CI464" s="1068"/>
      <c r="CJ464" s="1062">
        <f>'No Recurrentes 24-26'!DS329</f>
        <v>0</v>
      </c>
      <c r="CK464" s="1062">
        <f>'No Recurrentes 24-26'!DT329</f>
        <v>6095.0112</v>
      </c>
      <c r="CL464" s="1064" t="str">
        <f>'No Recurrentes 24-26'!DU329</f>
        <v/>
      </c>
      <c r="CM464" s="1064" t="str">
        <f>'No Recurrentes 24-26'!DV329</f>
        <v/>
      </c>
      <c r="CN464" s="1065">
        <f>'No Recurrentes 24-26'!EI325</f>
        <v>45.99</v>
      </c>
      <c r="CO464" s="1065">
        <f>'No Recurrentes 24-26'!EJ325</f>
        <v>39.09</v>
      </c>
      <c r="CP464" s="1060" t="str">
        <f>'No Recurrentes 24-26'!EK325</f>
        <v/>
      </c>
    </row>
    <row r="465">
      <c r="A465" s="451" t="str">
        <f>'No Recurrentes 24-26'!A330</f>
        <v>Repuestos Electromecánicos no recurrentes</v>
      </c>
      <c r="B465" s="451">
        <f>'No Recurrentes 24-26'!B330</f>
        <v>2</v>
      </c>
      <c r="C465" s="451" t="str">
        <f>'No Recurrentes 24-26'!C330</f>
        <v>Estación</v>
      </c>
      <c r="D465" s="451" t="str">
        <f>'No Recurrentes 24-26'!D330</f>
        <v>Poleas de estacion</v>
      </c>
      <c r="E465" s="451" t="str">
        <f>'No Recurrentes 24-26'!E330</f>
        <v>Repuesto Mecánico</v>
      </c>
      <c r="F465" s="451" t="str">
        <f>'No Recurrentes 24-26'!F330</f>
        <v>TDB</v>
      </c>
      <c r="G465" s="1025" t="str">
        <f>'No Recurrentes 24-26'!G330</f>
        <v>39800</v>
      </c>
      <c r="H465" s="1061" t="str">
        <f>'No Recurrentes 24-26'!H330</f>
        <v>2-01-01048</v>
      </c>
      <c r="I465" s="1061" t="str">
        <f>'No Recurrentes 24-26'!I330</f>
        <v>10919457</v>
      </c>
      <c r="J465" s="1061" t="str">
        <f>'No Recurrentes 24-26'!J330</f>
        <v>EJE P. ACC. POR FRICC. L=323,0 UNIG P. BALANCÍN POL.FR. BLK</v>
      </c>
      <c r="K465" s="451" t="str">
        <f>'No Recurrentes 24-26'!K330</f>
        <v>Pza</v>
      </c>
      <c r="L465" s="451" t="str">
        <f>'No Recurrentes 24-26'!BC330</f>
        <v/>
      </c>
      <c r="M465" s="451" t="str">
        <f>'No Recurrentes 24-26'!BD330</f>
        <v/>
      </c>
      <c r="N465" s="451" t="str">
        <f>'No Recurrentes 24-26'!BE330</f>
        <v/>
      </c>
      <c r="O465" s="451" t="str">
        <f>'No Recurrentes 24-26'!BF330</f>
        <v/>
      </c>
      <c r="P465" s="451" t="str">
        <f>'No Recurrentes 24-26'!BG330</f>
        <v/>
      </c>
      <c r="Q465" s="451" t="str">
        <f>'No Recurrentes 24-26'!BH330</f>
        <v/>
      </c>
      <c r="R465" s="451">
        <f>'No Recurrentes 24-26'!BI330</f>
        <v>1</v>
      </c>
      <c r="S465" s="451">
        <f>'No Recurrentes 24-26'!BJ330</f>
        <v>1</v>
      </c>
      <c r="T465" s="451" t="str">
        <f>'No Recurrentes 24-26'!BK330</f>
        <v/>
      </c>
      <c r="U465" s="451" t="str">
        <f>'No Recurrentes 24-26'!BL330</f>
        <v/>
      </c>
      <c r="V465" s="1068"/>
      <c r="W465" s="1062">
        <f>'No Recurrentes 24-26'!BM330</f>
        <v>2</v>
      </c>
      <c r="X465" s="1062">
        <f>'No Recurrentes 24-26'!BN330</f>
        <v>1</v>
      </c>
      <c r="Y465" s="1062">
        <f>'No Recurrentes 24-26'!BO330</f>
        <v>1</v>
      </c>
      <c r="Z465" s="1062">
        <f>'No Recurrentes 24-26'!BP330</f>
        <v>1</v>
      </c>
      <c r="AA465" s="1062" t="str">
        <f>'No Recurrentes 24-26'!BQ330</f>
        <v/>
      </c>
      <c r="AB465" s="1062" t="str">
        <f>'No Recurrentes 24-26'!BR330</f>
        <v/>
      </c>
      <c r="AC465" s="1062" t="str">
        <f>'No Recurrentes 24-26'!BS330</f>
        <v/>
      </c>
      <c r="AD465" s="1062" t="str">
        <f>'No Recurrentes 24-26'!BT330</f>
        <v/>
      </c>
      <c r="AE465" s="1062" t="str">
        <f>'No Recurrentes 24-26'!BU330</f>
        <v/>
      </c>
      <c r="AF465" s="1062" t="str">
        <f>'No Recurrentes 24-26'!BV330</f>
        <v/>
      </c>
      <c r="AG465" s="1062">
        <f>'No Recurrentes 24-26'!BW330</f>
        <v>1</v>
      </c>
      <c r="AH465" s="1068"/>
      <c r="AI465" s="1062">
        <f>'No Recurrentes 24-26'!BX330</f>
        <v>4</v>
      </c>
      <c r="AJ465" s="1062">
        <f>'No Recurrentes 24-26'!BY330</f>
        <v>1</v>
      </c>
      <c r="AK465" s="1062">
        <f>'No Recurrentes 24-26'!BZ330</f>
        <v>0</v>
      </c>
      <c r="AL465" s="1062">
        <f>'No Recurrentes 24-26'!CA330</f>
        <v>1</v>
      </c>
      <c r="AM465" s="1062">
        <f>'No Recurrentes 24-26'!CB330</f>
        <v>0</v>
      </c>
      <c r="AN465" s="1062">
        <f>'No Recurrentes 24-26'!CC330</f>
        <v>0</v>
      </c>
      <c r="AO465" s="1062">
        <f>'No Recurrentes 24-26'!CD330</f>
        <v>0</v>
      </c>
      <c r="AP465" s="1062">
        <f>'No Recurrentes 24-26'!CE330</f>
        <v>0</v>
      </c>
      <c r="AQ465" s="1062">
        <f>'No Recurrentes 24-26'!CF330</f>
        <v>0</v>
      </c>
      <c r="AR465" s="1062">
        <f>'No Recurrentes 24-26'!CG330</f>
        <v>0</v>
      </c>
      <c r="AS465" s="1062">
        <f>'No Recurrentes 24-26'!CH330</f>
        <v>0</v>
      </c>
      <c r="AT465" s="1068"/>
      <c r="AU465" s="1062">
        <f>'No Recurrentes 24-26'!CI330</f>
        <v>2</v>
      </c>
      <c r="AV465" s="1063">
        <f>'No Recurrentes 24-26'!CJ330</f>
        <v>8</v>
      </c>
      <c r="AW465" s="1068"/>
      <c r="AX465" s="1065">
        <f>'No Recurrentes 24-26'!CK330</f>
        <v>384.33</v>
      </c>
      <c r="AY465" s="1062">
        <f>'No Recurrentes 24-26'!CL330</f>
        <v>2674.9368</v>
      </c>
      <c r="AZ465" s="1068"/>
      <c r="BA465" s="1062">
        <f>'No Recurrentes 24-26'!CM330</f>
        <v>0</v>
      </c>
      <c r="BB465" s="1062">
        <f>'No Recurrentes 24-26'!CN330</f>
        <v>0</v>
      </c>
      <c r="BC465" s="1062">
        <f>'No Recurrentes 24-26'!CO330</f>
        <v>0</v>
      </c>
      <c r="BD465" s="1062">
        <f>'No Recurrentes 24-26'!CP330</f>
        <v>0</v>
      </c>
      <c r="BE465" s="1062">
        <f>'No Recurrentes 24-26'!CQ330</f>
        <v>0</v>
      </c>
      <c r="BF465" s="1062">
        <f>'No Recurrentes 24-26'!CR330</f>
        <v>0</v>
      </c>
      <c r="BG465" s="1062">
        <f>'No Recurrentes 24-26'!CS330</f>
        <v>2674.9368</v>
      </c>
      <c r="BH465" s="1062">
        <f>'No Recurrentes 24-26'!CT330</f>
        <v>2674.9368</v>
      </c>
      <c r="BI465" s="1062">
        <f>'No Recurrentes 24-26'!CU330</f>
        <v>0</v>
      </c>
      <c r="BJ465" s="1062">
        <f>'No Recurrentes 24-26'!CV330</f>
        <v>0</v>
      </c>
      <c r="BK465" s="1068"/>
      <c r="BL465" s="1062">
        <f>'No Recurrentes 24-26'!CW330</f>
        <v>5349.8736</v>
      </c>
      <c r="BM465" s="1062">
        <f>'No Recurrentes 24-26'!CX330</f>
        <v>2674.9368</v>
      </c>
      <c r="BN465" s="1062">
        <f>'No Recurrentes 24-26'!CY330</f>
        <v>2674.9368</v>
      </c>
      <c r="BO465" s="1062">
        <f>'No Recurrentes 24-26'!CZ330</f>
        <v>2674.9368</v>
      </c>
      <c r="BP465" s="1062">
        <f>'No Recurrentes 24-26'!DA330</f>
        <v>0</v>
      </c>
      <c r="BQ465" s="1062">
        <f>'No Recurrentes 24-26'!DB330</f>
        <v>0</v>
      </c>
      <c r="BR465" s="1062">
        <f>'No Recurrentes 24-26'!DC330</f>
        <v>0</v>
      </c>
      <c r="BS465" s="1062">
        <f>'No Recurrentes 24-26'!DD330</f>
        <v>0</v>
      </c>
      <c r="BT465" s="1062">
        <f>'No Recurrentes 24-26'!DE330</f>
        <v>0</v>
      </c>
      <c r="BU465" s="1062">
        <f>'No Recurrentes 24-26'!DF330</f>
        <v>0</v>
      </c>
      <c r="BV465" s="1062">
        <f>'No Recurrentes 24-26'!DG330</f>
        <v>2674.9368</v>
      </c>
      <c r="BW465" s="1068"/>
      <c r="BX465" s="1062">
        <f>'No Recurrentes 24-26'!DH330</f>
        <v>10699.7472</v>
      </c>
      <c r="BY465" s="1062">
        <f>'No Recurrentes 24-26'!DI330</f>
        <v>2674.9368</v>
      </c>
      <c r="BZ465" s="1062">
        <f>'No Recurrentes 24-26'!DJ330</f>
        <v>0</v>
      </c>
      <c r="CA465" s="1062">
        <f>'No Recurrentes 24-26'!DK330</f>
        <v>2674.9368</v>
      </c>
      <c r="CB465" s="1062">
        <f>'No Recurrentes 24-26'!DL330</f>
        <v>0</v>
      </c>
      <c r="CC465" s="1062">
        <f>'No Recurrentes 24-26'!DM330</f>
        <v>0</v>
      </c>
      <c r="CD465" s="1062">
        <f>'No Recurrentes 24-26'!DN330</f>
        <v>0</v>
      </c>
      <c r="CE465" s="1062">
        <f>'No Recurrentes 24-26'!DO330</f>
        <v>0</v>
      </c>
      <c r="CF465" s="1062">
        <f>'No Recurrentes 24-26'!DP330</f>
        <v>0</v>
      </c>
      <c r="CG465" s="1062">
        <f>'No Recurrentes 24-26'!DQ330</f>
        <v>0</v>
      </c>
      <c r="CH465" s="1062">
        <f>'No Recurrentes 24-26'!DR330</f>
        <v>0</v>
      </c>
      <c r="CI465" s="1068"/>
      <c r="CJ465" s="1062">
        <f>'No Recurrentes 24-26'!DS330</f>
        <v>5349.8736</v>
      </c>
      <c r="CK465" s="1062">
        <f>'No Recurrentes 24-26'!DT330</f>
        <v>21399.4944</v>
      </c>
      <c r="CL465" s="1064" t="str">
        <f>'No Recurrentes 24-26'!DU330</f>
        <v/>
      </c>
      <c r="CM465" s="1064" t="str">
        <f>'No Recurrentes 24-26'!DV330</f>
        <v/>
      </c>
      <c r="CN465" s="1065">
        <f>'No Recurrentes 24-26'!EI326</f>
        <v>35.34</v>
      </c>
      <c r="CO465" s="1065">
        <f>'No Recurrentes 24-26'!EJ326</f>
        <v>30.04</v>
      </c>
      <c r="CP465" s="1060" t="str">
        <f>'No Recurrentes 24-26'!EK326</f>
        <v/>
      </c>
    </row>
    <row r="466">
      <c r="A466" s="451" t="str">
        <f>'No Recurrentes 24-26'!A331</f>
        <v>Repuestos Electromecánicos no recurrentes</v>
      </c>
      <c r="B466" s="451">
        <f>'No Recurrentes 24-26'!B331</f>
        <v>2</v>
      </c>
      <c r="C466" s="451" t="str">
        <f>'No Recurrentes 24-26'!C331</f>
        <v>Estación</v>
      </c>
      <c r="D466" s="451" t="str">
        <f>'No Recurrentes 24-26'!D331</f>
        <v>Poleas de estacion</v>
      </c>
      <c r="E466" s="451" t="str">
        <f>'No Recurrentes 24-26'!E331</f>
        <v>Repuesto Mecánico</v>
      </c>
      <c r="F466" s="451" t="str">
        <f>'No Recurrentes 24-26'!F331</f>
        <v>TDB</v>
      </c>
      <c r="G466" s="1025" t="str">
        <f>'No Recurrentes 24-26'!G331</f>
        <v>39800</v>
      </c>
      <c r="H466" s="1061" t="str">
        <f>'No Recurrentes 24-26'!H331</f>
        <v>2-01-00575</v>
      </c>
      <c r="I466" s="1061" t="str">
        <f>'No Recurrentes 24-26'!I331</f>
        <v>10083926</v>
      </c>
      <c r="J466" s="1061" t="str">
        <f>'No Recurrentes 24-26'!J331</f>
        <v>CASQUILLO PM 6040 DS   TIPO KW SIN AGUJ.DE ENGRASE    GLACIER</v>
      </c>
      <c r="K466" s="451" t="str">
        <f>'No Recurrentes 24-26'!K331</f>
        <v>Pza</v>
      </c>
      <c r="L466" s="451" t="str">
        <f>'No Recurrentes 24-26'!BC331</f>
        <v/>
      </c>
      <c r="M466" s="451" t="str">
        <f>'No Recurrentes 24-26'!BD331</f>
        <v/>
      </c>
      <c r="N466" s="451" t="str">
        <f>'No Recurrentes 24-26'!BE331</f>
        <v/>
      </c>
      <c r="O466" s="451">
        <f>'No Recurrentes 24-26'!BF331</f>
        <v>32</v>
      </c>
      <c r="P466" s="451" t="str">
        <f>'No Recurrentes 24-26'!BG331</f>
        <v/>
      </c>
      <c r="Q466" s="451" t="str">
        <f>'No Recurrentes 24-26'!BH331</f>
        <v/>
      </c>
      <c r="R466" s="451" t="str">
        <f>'No Recurrentes 24-26'!BI331</f>
        <v/>
      </c>
      <c r="S466" s="451" t="str">
        <f>'No Recurrentes 24-26'!BJ331</f>
        <v/>
      </c>
      <c r="T466" s="451" t="str">
        <f>'No Recurrentes 24-26'!BK331</f>
        <v/>
      </c>
      <c r="U466" s="451" t="str">
        <f>'No Recurrentes 24-26'!BL331</f>
        <v/>
      </c>
      <c r="V466" s="1068"/>
      <c r="W466" s="1062">
        <f>'No Recurrentes 24-26'!BM331</f>
        <v>32</v>
      </c>
      <c r="X466" s="1062" t="str">
        <f>'No Recurrentes 24-26'!BN331</f>
        <v/>
      </c>
      <c r="Y466" s="1062" t="str">
        <f>'No Recurrentes 24-26'!BO331</f>
        <v/>
      </c>
      <c r="Z466" s="1062" t="str">
        <f>'No Recurrentes 24-26'!BP331</f>
        <v/>
      </c>
      <c r="AA466" s="1062" t="str">
        <f>'No Recurrentes 24-26'!BQ331</f>
        <v/>
      </c>
      <c r="AB466" s="1062">
        <f>'No Recurrentes 24-26'!BR331</f>
        <v>80</v>
      </c>
      <c r="AC466" s="1062">
        <f>'No Recurrentes 24-26'!BS331</f>
        <v>116</v>
      </c>
      <c r="AD466" s="1062" t="str">
        <f>'No Recurrentes 24-26'!BT331</f>
        <v/>
      </c>
      <c r="AE466" s="1062" t="str">
        <f>'No Recurrentes 24-26'!BU331</f>
        <v/>
      </c>
      <c r="AF466" s="1062" t="str">
        <f>'No Recurrentes 24-26'!BV331</f>
        <v/>
      </c>
      <c r="AG466" s="1062">
        <f>'No Recurrentes 24-26'!BW331</f>
        <v>10</v>
      </c>
      <c r="AH466" s="1068"/>
      <c r="AI466" s="1062">
        <f>'No Recurrentes 24-26'!BX331</f>
        <v>206</v>
      </c>
      <c r="AJ466" s="1062">
        <f>'No Recurrentes 24-26'!BY331</f>
        <v>32</v>
      </c>
      <c r="AK466" s="1062">
        <f>'No Recurrentes 24-26'!BZ331</f>
        <v>32</v>
      </c>
      <c r="AL466" s="1062">
        <f>'No Recurrentes 24-26'!CA331</f>
        <v>0</v>
      </c>
      <c r="AM466" s="1062">
        <f>'No Recurrentes 24-26'!CB331</f>
        <v>0</v>
      </c>
      <c r="AN466" s="1062">
        <f>'No Recurrentes 24-26'!CC331</f>
        <v>0</v>
      </c>
      <c r="AO466" s="1062">
        <f>'No Recurrentes 24-26'!CD331</f>
        <v>0</v>
      </c>
      <c r="AP466" s="1062">
        <f>'No Recurrentes 24-26'!CE331</f>
        <v>0</v>
      </c>
      <c r="AQ466" s="1062">
        <f>'No Recurrentes 24-26'!CF331</f>
        <v>0</v>
      </c>
      <c r="AR466" s="1062">
        <f>'No Recurrentes 24-26'!CG331</f>
        <v>0</v>
      </c>
      <c r="AS466" s="1062">
        <f>'No Recurrentes 24-26'!CH331</f>
        <v>0</v>
      </c>
      <c r="AT466" s="1068"/>
      <c r="AU466" s="1062">
        <f>'No Recurrentes 24-26'!CI331</f>
        <v>64</v>
      </c>
      <c r="AV466" s="1063">
        <f>'No Recurrentes 24-26'!CJ331</f>
        <v>302</v>
      </c>
      <c r="AW466" s="1068"/>
      <c r="AX466" s="1065">
        <f>'No Recurrentes 24-26'!CK331</f>
        <v>17.54</v>
      </c>
      <c r="AY466" s="1062">
        <f>'No Recurrentes 24-26'!CL331</f>
        <v>122.0784</v>
      </c>
      <c r="AZ466" s="1068"/>
      <c r="BA466" s="1062">
        <f>'No Recurrentes 24-26'!CM331</f>
        <v>0</v>
      </c>
      <c r="BB466" s="1062">
        <f>'No Recurrentes 24-26'!CN331</f>
        <v>0</v>
      </c>
      <c r="BC466" s="1062">
        <f>'No Recurrentes 24-26'!CO331</f>
        <v>0</v>
      </c>
      <c r="BD466" s="1062">
        <f>'No Recurrentes 24-26'!CP331</f>
        <v>3906.5088</v>
      </c>
      <c r="BE466" s="1062">
        <f>'No Recurrentes 24-26'!CQ331</f>
        <v>0</v>
      </c>
      <c r="BF466" s="1062">
        <f>'No Recurrentes 24-26'!CR331</f>
        <v>0</v>
      </c>
      <c r="BG466" s="1062">
        <f>'No Recurrentes 24-26'!CS331</f>
        <v>0</v>
      </c>
      <c r="BH466" s="1062">
        <f>'No Recurrentes 24-26'!CT331</f>
        <v>0</v>
      </c>
      <c r="BI466" s="1062">
        <f>'No Recurrentes 24-26'!CU331</f>
        <v>0</v>
      </c>
      <c r="BJ466" s="1062">
        <f>'No Recurrentes 24-26'!CV331</f>
        <v>0</v>
      </c>
      <c r="BK466" s="1068"/>
      <c r="BL466" s="1062">
        <f>'No Recurrentes 24-26'!CW331</f>
        <v>3906.5088</v>
      </c>
      <c r="BM466" s="1062">
        <f>'No Recurrentes 24-26'!CX331</f>
        <v>0</v>
      </c>
      <c r="BN466" s="1062">
        <f>'No Recurrentes 24-26'!CY331</f>
        <v>0</v>
      </c>
      <c r="BO466" s="1062">
        <f>'No Recurrentes 24-26'!CZ331</f>
        <v>0</v>
      </c>
      <c r="BP466" s="1062">
        <f>'No Recurrentes 24-26'!DA331</f>
        <v>0</v>
      </c>
      <c r="BQ466" s="1062">
        <f>'No Recurrentes 24-26'!DB331</f>
        <v>9766.272</v>
      </c>
      <c r="BR466" s="1062">
        <f>'No Recurrentes 24-26'!DC331</f>
        <v>14161.0944</v>
      </c>
      <c r="BS466" s="1062">
        <f>'No Recurrentes 24-26'!DD331</f>
        <v>0</v>
      </c>
      <c r="BT466" s="1062">
        <f>'No Recurrentes 24-26'!DE331</f>
        <v>0</v>
      </c>
      <c r="BU466" s="1062">
        <f>'No Recurrentes 24-26'!DF331</f>
        <v>0</v>
      </c>
      <c r="BV466" s="1062">
        <f>'No Recurrentes 24-26'!DG331</f>
        <v>1220.784</v>
      </c>
      <c r="BW466" s="1068"/>
      <c r="BX466" s="1062">
        <f>'No Recurrentes 24-26'!DH331</f>
        <v>25148.1504</v>
      </c>
      <c r="BY466" s="1062">
        <f>'No Recurrentes 24-26'!DI331</f>
        <v>3906.5088</v>
      </c>
      <c r="BZ466" s="1062">
        <f>'No Recurrentes 24-26'!DJ331</f>
        <v>3906.5088</v>
      </c>
      <c r="CA466" s="1062">
        <f>'No Recurrentes 24-26'!DK331</f>
        <v>0</v>
      </c>
      <c r="CB466" s="1062">
        <f>'No Recurrentes 24-26'!DL331</f>
        <v>0</v>
      </c>
      <c r="CC466" s="1062">
        <f>'No Recurrentes 24-26'!DM331</f>
        <v>0</v>
      </c>
      <c r="CD466" s="1062">
        <f>'No Recurrentes 24-26'!DN331</f>
        <v>0</v>
      </c>
      <c r="CE466" s="1062">
        <f>'No Recurrentes 24-26'!DO331</f>
        <v>0</v>
      </c>
      <c r="CF466" s="1062">
        <f>'No Recurrentes 24-26'!DP331</f>
        <v>0</v>
      </c>
      <c r="CG466" s="1062">
        <f>'No Recurrentes 24-26'!DQ331</f>
        <v>0</v>
      </c>
      <c r="CH466" s="1062">
        <f>'No Recurrentes 24-26'!DR331</f>
        <v>0</v>
      </c>
      <c r="CI466" s="1068"/>
      <c r="CJ466" s="1062">
        <f>'No Recurrentes 24-26'!DS331</f>
        <v>7813.0176</v>
      </c>
      <c r="CK466" s="1062">
        <f>'No Recurrentes 24-26'!DT331</f>
        <v>36867.6768</v>
      </c>
      <c r="CL466" s="1064" t="str">
        <f>'No Recurrentes 24-26'!DU331</f>
        <v/>
      </c>
      <c r="CM466" s="1064" t="str">
        <f>'No Recurrentes 24-26'!DV331</f>
        <v/>
      </c>
      <c r="CN466" s="1065">
        <f>'No Recurrentes 24-26'!EI327</f>
        <v>784.35</v>
      </c>
      <c r="CO466" s="1065">
        <f>'No Recurrentes 24-26'!EJ327</f>
        <v>666.7</v>
      </c>
      <c r="CP466" s="1060" t="str">
        <f>'No Recurrentes 24-26'!EK327</f>
        <v/>
      </c>
    </row>
    <row r="467">
      <c r="A467" s="451" t="str">
        <f>'No Recurrentes 24-26'!A332</f>
        <v>Repuestos Electromecánicos no recurrentes</v>
      </c>
      <c r="B467" s="451">
        <f>'No Recurrentes 24-26'!B332</f>
        <v>2</v>
      </c>
      <c r="C467" s="451" t="str">
        <f>'No Recurrentes 24-26'!C332</f>
        <v>Estación</v>
      </c>
      <c r="D467" s="451" t="str">
        <f>'No Recurrentes 24-26'!D332</f>
        <v>Poleas de estacion</v>
      </c>
      <c r="E467" s="451" t="str">
        <f>'No Recurrentes 24-26'!E332</f>
        <v>Repuesto Mecánico</v>
      </c>
      <c r="F467" s="451" t="str">
        <f>'No Recurrentes 24-26'!F332</f>
        <v>TDB</v>
      </c>
      <c r="G467" s="1025" t="str">
        <f>'No Recurrentes 24-26'!G332</f>
        <v>39800</v>
      </c>
      <c r="H467" s="1061" t="str">
        <f>'No Recurrentes 24-26'!H332</f>
        <v>2-01-00243</v>
      </c>
      <c r="I467" s="1061" t="str">
        <f>'No Recurrentes 24-26'!I332</f>
        <v>10004076</v>
      </c>
      <c r="J467" s="1061" t="str">
        <f>'No Recurrentes 24-26'!J332</f>
        <v>RODAM.RAN. DIN 625/1- 6305-2RS RODAMIENTO RANURADO DE BOLAS</v>
      </c>
      <c r="K467" s="451" t="str">
        <f>'No Recurrentes 24-26'!K332</f>
        <v>Pza</v>
      </c>
      <c r="L467" s="451">
        <f>'No Recurrentes 24-26'!BC332</f>
        <v>10</v>
      </c>
      <c r="M467" s="451">
        <f>'No Recurrentes 24-26'!BD332</f>
        <v>8</v>
      </c>
      <c r="N467" s="451">
        <f>'No Recurrentes 24-26'!BE332</f>
        <v>10</v>
      </c>
      <c r="O467" s="451" t="str">
        <f>'No Recurrentes 24-26'!BF332</f>
        <v/>
      </c>
      <c r="P467" s="451" t="str">
        <f>'No Recurrentes 24-26'!BG332</f>
        <v/>
      </c>
      <c r="Q467" s="451" t="str">
        <f>'No Recurrentes 24-26'!BH332</f>
        <v/>
      </c>
      <c r="R467" s="451" t="str">
        <f>'No Recurrentes 24-26'!BI332</f>
        <v/>
      </c>
      <c r="S467" s="451" t="str">
        <f>'No Recurrentes 24-26'!BJ332</f>
        <v/>
      </c>
      <c r="T467" s="451" t="str">
        <f>'No Recurrentes 24-26'!BK332</f>
        <v/>
      </c>
      <c r="U467" s="451" t="str">
        <f>'No Recurrentes 24-26'!BL332</f>
        <v/>
      </c>
      <c r="V467" s="1068"/>
      <c r="W467" s="1062">
        <f>'No Recurrentes 24-26'!BM332</f>
        <v>28</v>
      </c>
      <c r="X467" s="1062" t="str">
        <f>'No Recurrentes 24-26'!BN332</f>
        <v/>
      </c>
      <c r="Y467" s="1062" t="str">
        <f>'No Recurrentes 24-26'!BO332</f>
        <v/>
      </c>
      <c r="Z467" s="1062" t="str">
        <f>'No Recurrentes 24-26'!BP332</f>
        <v/>
      </c>
      <c r="AA467" s="1062" t="str">
        <f>'No Recurrentes 24-26'!BQ332</f>
        <v/>
      </c>
      <c r="AB467" s="1062" t="str">
        <f>'No Recurrentes 24-26'!BR332</f>
        <v/>
      </c>
      <c r="AC467" s="1062" t="str">
        <f>'No Recurrentes 24-26'!BS332</f>
        <v/>
      </c>
      <c r="AD467" s="1062" t="str">
        <f>'No Recurrentes 24-26'!BT332</f>
        <v/>
      </c>
      <c r="AE467" s="1062" t="str">
        <f>'No Recurrentes 24-26'!BU332</f>
        <v/>
      </c>
      <c r="AF467" s="1062" t="str">
        <f>'No Recurrentes 24-26'!BV332</f>
        <v/>
      </c>
      <c r="AG467" s="1062" t="str">
        <f>'No Recurrentes 24-26'!BW332</f>
        <v/>
      </c>
      <c r="AH467" s="1068"/>
      <c r="AI467" s="1062">
        <f>'No Recurrentes 24-26'!BX332</f>
        <v>0</v>
      </c>
      <c r="AJ467" s="1062">
        <f>'No Recurrentes 24-26'!BY332</f>
        <v>10</v>
      </c>
      <c r="AK467" s="1062">
        <f>'No Recurrentes 24-26'!BZ332</f>
        <v>8</v>
      </c>
      <c r="AL467" s="1062">
        <f>'No Recurrentes 24-26'!CA332</f>
        <v>10</v>
      </c>
      <c r="AM467" s="1062">
        <f>'No Recurrentes 24-26'!CB332</f>
        <v>0</v>
      </c>
      <c r="AN467" s="1062">
        <f>'No Recurrentes 24-26'!CC332</f>
        <v>0</v>
      </c>
      <c r="AO467" s="1062">
        <f>'No Recurrentes 24-26'!CD332</f>
        <v>0</v>
      </c>
      <c r="AP467" s="1062">
        <f>'No Recurrentes 24-26'!CE332</f>
        <v>0</v>
      </c>
      <c r="AQ467" s="1062">
        <f>'No Recurrentes 24-26'!CF332</f>
        <v>0</v>
      </c>
      <c r="AR467" s="1062">
        <f>'No Recurrentes 24-26'!CG332</f>
        <v>0</v>
      </c>
      <c r="AS467" s="1062">
        <f>'No Recurrentes 24-26'!CH332</f>
        <v>0</v>
      </c>
      <c r="AT467" s="1068"/>
      <c r="AU467" s="1062">
        <f>'No Recurrentes 24-26'!CI332</f>
        <v>28</v>
      </c>
      <c r="AV467" s="1063">
        <f>'No Recurrentes 24-26'!CJ332</f>
        <v>56</v>
      </c>
      <c r="AW467" s="1068"/>
      <c r="AX467" s="1065">
        <f>'No Recurrentes 24-26'!CK332</f>
        <v>17.11</v>
      </c>
      <c r="AY467" s="1062">
        <f>'No Recurrentes 24-26'!CL332</f>
        <v>119.0856</v>
      </c>
      <c r="AZ467" s="1068"/>
      <c r="BA467" s="1062">
        <f>'No Recurrentes 24-26'!CM332</f>
        <v>1190.856</v>
      </c>
      <c r="BB467" s="1062">
        <f>'No Recurrentes 24-26'!CN332</f>
        <v>952.6848</v>
      </c>
      <c r="BC467" s="1062">
        <f>'No Recurrentes 24-26'!CO332</f>
        <v>1190.856</v>
      </c>
      <c r="BD467" s="1062">
        <f>'No Recurrentes 24-26'!CP332</f>
        <v>0</v>
      </c>
      <c r="BE467" s="1062">
        <f>'No Recurrentes 24-26'!CQ332</f>
        <v>0</v>
      </c>
      <c r="BF467" s="1062">
        <f>'No Recurrentes 24-26'!CR332</f>
        <v>0</v>
      </c>
      <c r="BG467" s="1062">
        <f>'No Recurrentes 24-26'!CS332</f>
        <v>0</v>
      </c>
      <c r="BH467" s="1062">
        <f>'No Recurrentes 24-26'!CT332</f>
        <v>0</v>
      </c>
      <c r="BI467" s="1062">
        <f>'No Recurrentes 24-26'!CU332</f>
        <v>0</v>
      </c>
      <c r="BJ467" s="1062">
        <f>'No Recurrentes 24-26'!CV332</f>
        <v>0</v>
      </c>
      <c r="BK467" s="1068"/>
      <c r="BL467" s="1062">
        <f>'No Recurrentes 24-26'!CW332</f>
        <v>3334.3968</v>
      </c>
      <c r="BM467" s="1062">
        <f>'No Recurrentes 24-26'!CX332</f>
        <v>0</v>
      </c>
      <c r="BN467" s="1062">
        <f>'No Recurrentes 24-26'!CY332</f>
        <v>0</v>
      </c>
      <c r="BO467" s="1062">
        <f>'No Recurrentes 24-26'!CZ332</f>
        <v>0</v>
      </c>
      <c r="BP467" s="1062">
        <f>'No Recurrentes 24-26'!DA332</f>
        <v>0</v>
      </c>
      <c r="BQ467" s="1062">
        <f>'No Recurrentes 24-26'!DB332</f>
        <v>0</v>
      </c>
      <c r="BR467" s="1062">
        <f>'No Recurrentes 24-26'!DC332</f>
        <v>0</v>
      </c>
      <c r="BS467" s="1062">
        <f>'No Recurrentes 24-26'!DD332</f>
        <v>0</v>
      </c>
      <c r="BT467" s="1062">
        <f>'No Recurrentes 24-26'!DE332</f>
        <v>0</v>
      </c>
      <c r="BU467" s="1062">
        <f>'No Recurrentes 24-26'!DF332</f>
        <v>0</v>
      </c>
      <c r="BV467" s="1062">
        <f>'No Recurrentes 24-26'!DG332</f>
        <v>0</v>
      </c>
      <c r="BW467" s="1068"/>
      <c r="BX467" s="1062">
        <f>'No Recurrentes 24-26'!DH332</f>
        <v>0</v>
      </c>
      <c r="BY467" s="1062">
        <f>'No Recurrentes 24-26'!DI332</f>
        <v>1190.856</v>
      </c>
      <c r="BZ467" s="1062">
        <f>'No Recurrentes 24-26'!DJ332</f>
        <v>952.6848</v>
      </c>
      <c r="CA467" s="1062">
        <f>'No Recurrentes 24-26'!DK332</f>
        <v>1190.856</v>
      </c>
      <c r="CB467" s="1062">
        <f>'No Recurrentes 24-26'!DL332</f>
        <v>0</v>
      </c>
      <c r="CC467" s="1062">
        <f>'No Recurrentes 24-26'!DM332</f>
        <v>0</v>
      </c>
      <c r="CD467" s="1062">
        <f>'No Recurrentes 24-26'!DN332</f>
        <v>0</v>
      </c>
      <c r="CE467" s="1062">
        <f>'No Recurrentes 24-26'!DO332</f>
        <v>0</v>
      </c>
      <c r="CF467" s="1062">
        <f>'No Recurrentes 24-26'!DP332</f>
        <v>0</v>
      </c>
      <c r="CG467" s="1062">
        <f>'No Recurrentes 24-26'!DQ332</f>
        <v>0</v>
      </c>
      <c r="CH467" s="1062">
        <f>'No Recurrentes 24-26'!DR332</f>
        <v>0</v>
      </c>
      <c r="CI467" s="1068"/>
      <c r="CJ467" s="1062">
        <f>'No Recurrentes 24-26'!DS332</f>
        <v>3334.3968</v>
      </c>
      <c r="CK467" s="1062">
        <f>'No Recurrentes 24-26'!DT332</f>
        <v>6668.7936</v>
      </c>
      <c r="CL467" s="1064" t="str">
        <f>'No Recurrentes 24-26'!DU332</f>
        <v/>
      </c>
      <c r="CM467" s="1064" t="str">
        <f>'No Recurrentes 24-26'!DV332</f>
        <v/>
      </c>
      <c r="CN467" s="1065">
        <f>'No Recurrentes 24-26'!EI328</f>
        <v>20.23</v>
      </c>
      <c r="CO467" s="1065">
        <f>'No Recurrentes 24-26'!EJ328</f>
        <v>17.2</v>
      </c>
      <c r="CP467" s="1060" t="str">
        <f>'No Recurrentes 24-26'!EK328</f>
        <v/>
      </c>
    </row>
    <row r="468">
      <c r="A468" s="451" t="str">
        <f>'No Recurrentes 24-26'!A333</f>
        <v>Repuestos Electromecánicos no recurrentes</v>
      </c>
      <c r="B468" s="451">
        <f>'No Recurrentes 24-26'!B333</f>
        <v>2</v>
      </c>
      <c r="C468" s="451" t="str">
        <f>'No Recurrentes 24-26'!C333</f>
        <v>Estación</v>
      </c>
      <c r="D468" s="451" t="str">
        <f>'No Recurrentes 24-26'!D333</f>
        <v>Poleas de estacion</v>
      </c>
      <c r="E468" s="451" t="str">
        <f>'No Recurrentes 24-26'!E333</f>
        <v>Repuesto Mecánico</v>
      </c>
      <c r="F468" s="451" t="str">
        <f>'No Recurrentes 24-26'!F333</f>
        <v>TDB</v>
      </c>
      <c r="G468" s="1025" t="str">
        <f>'No Recurrentes 24-26'!G333</f>
        <v>39800</v>
      </c>
      <c r="H468" s="1061" t="str">
        <f>'No Recurrentes 24-26'!H333</f>
        <v/>
      </c>
      <c r="I468" s="1061" t="str">
        <f>'No Recurrentes 24-26'!I333</f>
        <v>10303440</v>
      </c>
      <c r="J468" s="1061" t="str">
        <f>'No Recurrentes 24-26'!J333</f>
        <v>ARO LATER. DIA435/330,5 S=16 R 6,9+-0,1</v>
      </c>
      <c r="K468" s="451" t="str">
        <f>'No Recurrentes 24-26'!K333</f>
        <v>Pza</v>
      </c>
      <c r="L468" s="451" t="str">
        <f>'No Recurrentes 24-26'!BC333</f>
        <v/>
      </c>
      <c r="M468" s="451" t="str">
        <f>'No Recurrentes 24-26'!BD333</f>
        <v/>
      </c>
      <c r="N468" s="451" t="str">
        <f>'No Recurrentes 24-26'!BE333</f>
        <v/>
      </c>
      <c r="O468" s="451">
        <f>'No Recurrentes 24-26'!BF333</f>
        <v>0</v>
      </c>
      <c r="P468" s="451">
        <f>'No Recurrentes 24-26'!BG333</f>
        <v>0</v>
      </c>
      <c r="Q468" s="451">
        <f>'No Recurrentes 24-26'!BH333</f>
        <v>0</v>
      </c>
      <c r="R468" s="451" t="str">
        <f>'No Recurrentes 24-26'!BI333</f>
        <v/>
      </c>
      <c r="S468" s="451" t="str">
        <f>'No Recurrentes 24-26'!BJ333</f>
        <v/>
      </c>
      <c r="T468" s="451" t="str">
        <f>'No Recurrentes 24-26'!BK333</f>
        <v/>
      </c>
      <c r="U468" s="451">
        <f>'No Recurrentes 24-26'!BL333</f>
        <v>2</v>
      </c>
      <c r="V468" s="1068"/>
      <c r="W468" s="1062">
        <f>'No Recurrentes 24-26'!BM333</f>
        <v>2</v>
      </c>
      <c r="X468" s="1062" t="str">
        <f>'No Recurrentes 24-26'!BN333</f>
        <v/>
      </c>
      <c r="Y468" s="1062" t="str">
        <f>'No Recurrentes 24-26'!BO333</f>
        <v/>
      </c>
      <c r="Z468" s="1062" t="str">
        <f>'No Recurrentes 24-26'!BP333</f>
        <v/>
      </c>
      <c r="AA468" s="1062">
        <f>'No Recurrentes 24-26'!BQ333</f>
        <v>2</v>
      </c>
      <c r="AB468" s="1062">
        <f>'No Recurrentes 24-26'!BR333</f>
        <v>2</v>
      </c>
      <c r="AC468" s="1062">
        <f>'No Recurrentes 24-26'!BS333</f>
        <v>2</v>
      </c>
      <c r="AD468" s="1062" t="str">
        <f>'No Recurrentes 24-26'!BT333</f>
        <v/>
      </c>
      <c r="AE468" s="1062" t="str">
        <f>'No Recurrentes 24-26'!BU333</f>
        <v/>
      </c>
      <c r="AF468" s="1062" t="str">
        <f>'No Recurrentes 24-26'!BV333</f>
        <v/>
      </c>
      <c r="AG468" s="1062" t="str">
        <f>'No Recurrentes 24-26'!BW333</f>
        <v/>
      </c>
      <c r="AH468" s="1068"/>
      <c r="AI468" s="1062">
        <f>'No Recurrentes 24-26'!BX333</f>
        <v>6</v>
      </c>
      <c r="AJ468" s="1062">
        <f>'No Recurrentes 24-26'!BY333</f>
        <v>0</v>
      </c>
      <c r="AK468" s="1062">
        <f>'No Recurrentes 24-26'!BZ333</f>
        <v>0</v>
      </c>
      <c r="AL468" s="1062">
        <f>'No Recurrentes 24-26'!CA333</f>
        <v>0</v>
      </c>
      <c r="AM468" s="1062">
        <f>'No Recurrentes 24-26'!CB333</f>
        <v>2</v>
      </c>
      <c r="AN468" s="1062">
        <f>'No Recurrentes 24-26'!CC333</f>
        <v>2</v>
      </c>
      <c r="AO468" s="1062">
        <f>'No Recurrentes 24-26'!CD333</f>
        <v>2</v>
      </c>
      <c r="AP468" s="1062">
        <f>'No Recurrentes 24-26'!CE333</f>
        <v>0</v>
      </c>
      <c r="AQ468" s="1062">
        <f>'No Recurrentes 24-26'!CF333</f>
        <v>0</v>
      </c>
      <c r="AR468" s="1062">
        <f>'No Recurrentes 24-26'!CG333</f>
        <v>0</v>
      </c>
      <c r="AS468" s="1062">
        <f>'No Recurrentes 24-26'!CH333</f>
        <v>0</v>
      </c>
      <c r="AT468" s="1068"/>
      <c r="AU468" s="1062">
        <f>'No Recurrentes 24-26'!CI333</f>
        <v>6</v>
      </c>
      <c r="AV468" s="1063">
        <f>'No Recurrentes 24-26'!CJ333</f>
        <v>14</v>
      </c>
      <c r="AW468" s="1068"/>
      <c r="AX468" s="1065">
        <f>'No Recurrentes 24-26'!CK333</f>
        <v>223.35</v>
      </c>
      <c r="AY468" s="1062">
        <f>'No Recurrentes 24-26'!CL333</f>
        <v>1554.516</v>
      </c>
      <c r="AZ468" s="1068"/>
      <c r="BA468" s="1062">
        <f>'No Recurrentes 24-26'!CM333</f>
        <v>0</v>
      </c>
      <c r="BB468" s="1062">
        <f>'No Recurrentes 24-26'!CN333</f>
        <v>0</v>
      </c>
      <c r="BC468" s="1062">
        <f>'No Recurrentes 24-26'!CO333</f>
        <v>0</v>
      </c>
      <c r="BD468" s="1062">
        <f>'No Recurrentes 24-26'!CP333</f>
        <v>0</v>
      </c>
      <c r="BE468" s="1062">
        <f>'No Recurrentes 24-26'!CQ333</f>
        <v>0</v>
      </c>
      <c r="BF468" s="1062">
        <f>'No Recurrentes 24-26'!CR333</f>
        <v>0</v>
      </c>
      <c r="BG468" s="1062">
        <f>'No Recurrentes 24-26'!CS333</f>
        <v>0</v>
      </c>
      <c r="BH468" s="1062">
        <f>'No Recurrentes 24-26'!CT333</f>
        <v>0</v>
      </c>
      <c r="BI468" s="1062">
        <f>'No Recurrentes 24-26'!CU333</f>
        <v>0</v>
      </c>
      <c r="BJ468" s="1062">
        <f>'No Recurrentes 24-26'!CV333</f>
        <v>3109.032</v>
      </c>
      <c r="BK468" s="1068"/>
      <c r="BL468" s="1062">
        <f>'No Recurrentes 24-26'!CW333</f>
        <v>3109.032</v>
      </c>
      <c r="BM468" s="1062">
        <f>'No Recurrentes 24-26'!CX333</f>
        <v>0</v>
      </c>
      <c r="BN468" s="1062">
        <f>'No Recurrentes 24-26'!CY333</f>
        <v>0</v>
      </c>
      <c r="BO468" s="1062">
        <f>'No Recurrentes 24-26'!CZ333</f>
        <v>0</v>
      </c>
      <c r="BP468" s="1062">
        <f>'No Recurrentes 24-26'!DA333</f>
        <v>3109.032</v>
      </c>
      <c r="BQ468" s="1062">
        <f>'No Recurrentes 24-26'!DB333</f>
        <v>3109.032</v>
      </c>
      <c r="BR468" s="1062">
        <f>'No Recurrentes 24-26'!DC333</f>
        <v>3109.032</v>
      </c>
      <c r="BS468" s="1062">
        <f>'No Recurrentes 24-26'!DD333</f>
        <v>0</v>
      </c>
      <c r="BT468" s="1062">
        <f>'No Recurrentes 24-26'!DE333</f>
        <v>0</v>
      </c>
      <c r="BU468" s="1062">
        <f>'No Recurrentes 24-26'!DF333</f>
        <v>0</v>
      </c>
      <c r="BV468" s="1062">
        <f>'No Recurrentes 24-26'!DG333</f>
        <v>0</v>
      </c>
      <c r="BW468" s="1068"/>
      <c r="BX468" s="1062">
        <f>'No Recurrentes 24-26'!DH333</f>
        <v>9327.096</v>
      </c>
      <c r="BY468" s="1062">
        <f>'No Recurrentes 24-26'!DI333</f>
        <v>0</v>
      </c>
      <c r="BZ468" s="1062">
        <f>'No Recurrentes 24-26'!DJ333</f>
        <v>0</v>
      </c>
      <c r="CA468" s="1062">
        <f>'No Recurrentes 24-26'!DK333</f>
        <v>0</v>
      </c>
      <c r="CB468" s="1062">
        <f>'No Recurrentes 24-26'!DL333</f>
        <v>3109.032</v>
      </c>
      <c r="CC468" s="1062">
        <f>'No Recurrentes 24-26'!DM333</f>
        <v>3109.032</v>
      </c>
      <c r="CD468" s="1062">
        <f>'No Recurrentes 24-26'!DN333</f>
        <v>3109.032</v>
      </c>
      <c r="CE468" s="1062">
        <f>'No Recurrentes 24-26'!DO333</f>
        <v>0</v>
      </c>
      <c r="CF468" s="1062">
        <f>'No Recurrentes 24-26'!DP333</f>
        <v>0</v>
      </c>
      <c r="CG468" s="1062">
        <f>'No Recurrentes 24-26'!DQ333</f>
        <v>0</v>
      </c>
      <c r="CH468" s="1062">
        <f>'No Recurrentes 24-26'!DR333</f>
        <v>0</v>
      </c>
      <c r="CI468" s="1068"/>
      <c r="CJ468" s="1062">
        <f>'No Recurrentes 24-26'!DS333</f>
        <v>9327.096</v>
      </c>
      <c r="CK468" s="1062">
        <f>'No Recurrentes 24-26'!DT333</f>
        <v>21763.224</v>
      </c>
      <c r="CL468" s="1064" t="str">
        <f>'No Recurrentes 24-26'!DU333</f>
        <v/>
      </c>
      <c r="CM468" s="1064" t="str">
        <f>'No Recurrentes 24-26'!DV333</f>
        <v/>
      </c>
      <c r="CN468" s="1065">
        <f>'No Recurrentes 24-26'!EI329</f>
        <v>437.86</v>
      </c>
      <c r="CO468" s="1065">
        <f>'No Recurrentes 24-26'!EJ329</f>
        <v>372.18</v>
      </c>
      <c r="CP468" s="1060" t="str">
        <f>'No Recurrentes 24-26'!EK329</f>
        <v/>
      </c>
    </row>
    <row r="469">
      <c r="A469" s="451" t="str">
        <f>'No Recurrentes 24-26'!A334</f>
        <v>Repuestos Electromecánicos no recurrentes</v>
      </c>
      <c r="B469" s="451">
        <f>'No Recurrentes 24-26'!B334</f>
        <v>2</v>
      </c>
      <c r="C469" s="451" t="str">
        <f>'No Recurrentes 24-26'!C334</f>
        <v>Estación</v>
      </c>
      <c r="D469" s="451" t="str">
        <f>'No Recurrentes 24-26'!D334</f>
        <v>Poleas de estacion</v>
      </c>
      <c r="E469" s="451" t="str">
        <f>'No Recurrentes 24-26'!E334</f>
        <v>Repuesto Mecánico</v>
      </c>
      <c r="F469" s="451" t="str">
        <f>'No Recurrentes 24-26'!F334</f>
        <v>TDB</v>
      </c>
      <c r="G469" s="1025" t="str">
        <f>'No Recurrentes 24-26'!G334</f>
        <v>39800</v>
      </c>
      <c r="H469" s="1061" t="str">
        <f>'No Recurrentes 24-26'!H334</f>
        <v/>
      </c>
      <c r="I469" s="1061" t="str">
        <f>'No Recurrentes 24-26'!I334</f>
        <v>11040092</v>
      </c>
      <c r="J469" s="1061" t="str">
        <f>'No Recurrentes 24-26'!J334</f>
        <v>CUBO DIÁ.52/DIÁ.110 L=49 POLEAS HORIZONTALES</v>
      </c>
      <c r="K469" s="451" t="str">
        <f>'No Recurrentes 24-26'!K334</f>
        <v>Pza</v>
      </c>
      <c r="L469" s="451" t="str">
        <f>'No Recurrentes 24-26'!BC334</f>
        <v/>
      </c>
      <c r="M469" s="451" t="str">
        <f>'No Recurrentes 24-26'!BD334</f>
        <v/>
      </c>
      <c r="N469" s="451">
        <f>'No Recurrentes 24-26'!BE334</f>
        <v>1</v>
      </c>
      <c r="O469" s="451" t="str">
        <f>'No Recurrentes 24-26'!BF334</f>
        <v/>
      </c>
      <c r="P469" s="451">
        <f>'No Recurrentes 24-26'!BG334</f>
        <v>2</v>
      </c>
      <c r="Q469" s="451">
        <f>'No Recurrentes 24-26'!BH334</f>
        <v>2</v>
      </c>
      <c r="R469" s="451" t="str">
        <f>'No Recurrentes 24-26'!BI334</f>
        <v/>
      </c>
      <c r="S469" s="451" t="str">
        <f>'No Recurrentes 24-26'!BJ334</f>
        <v/>
      </c>
      <c r="T469" s="451" t="str">
        <f>'No Recurrentes 24-26'!BK334</f>
        <v/>
      </c>
      <c r="U469" s="451">
        <f>'No Recurrentes 24-26'!BL334</f>
        <v>1</v>
      </c>
      <c r="V469" s="1068"/>
      <c r="W469" s="1062">
        <f>'No Recurrentes 24-26'!BM334</f>
        <v>6</v>
      </c>
      <c r="X469" s="1062" t="str">
        <f>'No Recurrentes 24-26'!BN334</f>
        <v/>
      </c>
      <c r="Y469" s="1062" t="str">
        <f>'No Recurrentes 24-26'!BO334</f>
        <v/>
      </c>
      <c r="Z469" s="1062" t="str">
        <f>'No Recurrentes 24-26'!BP334</f>
        <v/>
      </c>
      <c r="AA469" s="1062" t="str">
        <f>'No Recurrentes 24-26'!BQ334</f>
        <v/>
      </c>
      <c r="AB469" s="1062" t="str">
        <f>'No Recurrentes 24-26'!BR334</f>
        <v/>
      </c>
      <c r="AC469" s="1062" t="str">
        <f>'No Recurrentes 24-26'!BS334</f>
        <v/>
      </c>
      <c r="AD469" s="1062" t="str">
        <f>'No Recurrentes 24-26'!BT334</f>
        <v/>
      </c>
      <c r="AE469" s="1062" t="str">
        <f>'No Recurrentes 24-26'!BU334</f>
        <v/>
      </c>
      <c r="AF469" s="1062" t="str">
        <f>'No Recurrentes 24-26'!BV334</f>
        <v/>
      </c>
      <c r="AG469" s="1062" t="str">
        <f>'No Recurrentes 24-26'!BW334</f>
        <v/>
      </c>
      <c r="AH469" s="1068"/>
      <c r="AI469" s="1062">
        <f>'No Recurrentes 24-26'!BX334</f>
        <v>0</v>
      </c>
      <c r="AJ469" s="1062">
        <f>'No Recurrentes 24-26'!BY334</f>
        <v>0</v>
      </c>
      <c r="AK469" s="1062">
        <f>'No Recurrentes 24-26'!BZ334</f>
        <v>0</v>
      </c>
      <c r="AL469" s="1062">
        <f>'No Recurrentes 24-26'!CA334</f>
        <v>0</v>
      </c>
      <c r="AM469" s="1062">
        <f>'No Recurrentes 24-26'!CB334</f>
        <v>0</v>
      </c>
      <c r="AN469" s="1062">
        <f>'No Recurrentes 24-26'!CC334</f>
        <v>2</v>
      </c>
      <c r="AO469" s="1062">
        <f>'No Recurrentes 24-26'!CD334</f>
        <v>2</v>
      </c>
      <c r="AP469" s="1062">
        <f>'No Recurrentes 24-26'!CE334</f>
        <v>0</v>
      </c>
      <c r="AQ469" s="1062">
        <f>'No Recurrentes 24-26'!CF334</f>
        <v>0</v>
      </c>
      <c r="AR469" s="1062">
        <f>'No Recurrentes 24-26'!CG334</f>
        <v>0</v>
      </c>
      <c r="AS469" s="1062">
        <f>'No Recurrentes 24-26'!CH334</f>
        <v>0</v>
      </c>
      <c r="AT469" s="1068"/>
      <c r="AU469" s="1062">
        <f>'No Recurrentes 24-26'!CI334</f>
        <v>4</v>
      </c>
      <c r="AV469" s="1063">
        <f>'No Recurrentes 24-26'!CJ334</f>
        <v>10</v>
      </c>
      <c r="AW469" s="1068"/>
      <c r="AX469" s="1065">
        <f>'No Recurrentes 24-26'!CK334</f>
        <v>66.72</v>
      </c>
      <c r="AY469" s="1062">
        <f>'No Recurrentes 24-26'!CL334</f>
        <v>464.3712</v>
      </c>
      <c r="AZ469" s="1068"/>
      <c r="BA469" s="1062">
        <f>'No Recurrentes 24-26'!CM334</f>
        <v>0</v>
      </c>
      <c r="BB469" s="1062">
        <f>'No Recurrentes 24-26'!CN334</f>
        <v>0</v>
      </c>
      <c r="BC469" s="1062">
        <f>'No Recurrentes 24-26'!CO334</f>
        <v>464.3712</v>
      </c>
      <c r="BD469" s="1062">
        <f>'No Recurrentes 24-26'!CP334</f>
        <v>0</v>
      </c>
      <c r="BE469" s="1062">
        <f>'No Recurrentes 24-26'!CQ334</f>
        <v>928.7424</v>
      </c>
      <c r="BF469" s="1062">
        <f>'No Recurrentes 24-26'!CR334</f>
        <v>928.7424</v>
      </c>
      <c r="BG469" s="1062">
        <f>'No Recurrentes 24-26'!CS334</f>
        <v>0</v>
      </c>
      <c r="BH469" s="1062">
        <f>'No Recurrentes 24-26'!CT334</f>
        <v>0</v>
      </c>
      <c r="BI469" s="1062">
        <f>'No Recurrentes 24-26'!CU334</f>
        <v>0</v>
      </c>
      <c r="BJ469" s="1062">
        <f>'No Recurrentes 24-26'!CV334</f>
        <v>464.3712</v>
      </c>
      <c r="BK469" s="1068"/>
      <c r="BL469" s="1062">
        <f>'No Recurrentes 24-26'!CW334</f>
        <v>2786.2272</v>
      </c>
      <c r="BM469" s="1062">
        <f>'No Recurrentes 24-26'!CX334</f>
        <v>0</v>
      </c>
      <c r="BN469" s="1062">
        <f>'No Recurrentes 24-26'!CY334</f>
        <v>0</v>
      </c>
      <c r="BO469" s="1062">
        <f>'No Recurrentes 24-26'!CZ334</f>
        <v>0</v>
      </c>
      <c r="BP469" s="1062">
        <f>'No Recurrentes 24-26'!DA334</f>
        <v>0</v>
      </c>
      <c r="BQ469" s="1062">
        <f>'No Recurrentes 24-26'!DB334</f>
        <v>0</v>
      </c>
      <c r="BR469" s="1062">
        <f>'No Recurrentes 24-26'!DC334</f>
        <v>0</v>
      </c>
      <c r="BS469" s="1062">
        <f>'No Recurrentes 24-26'!DD334</f>
        <v>0</v>
      </c>
      <c r="BT469" s="1062">
        <f>'No Recurrentes 24-26'!DE334</f>
        <v>0</v>
      </c>
      <c r="BU469" s="1062">
        <f>'No Recurrentes 24-26'!DF334</f>
        <v>0</v>
      </c>
      <c r="BV469" s="1062">
        <f>'No Recurrentes 24-26'!DG334</f>
        <v>0</v>
      </c>
      <c r="BW469" s="1068"/>
      <c r="BX469" s="1062">
        <f>'No Recurrentes 24-26'!DH334</f>
        <v>0</v>
      </c>
      <c r="BY469" s="1062">
        <f>'No Recurrentes 24-26'!DI334</f>
        <v>0</v>
      </c>
      <c r="BZ469" s="1062">
        <f>'No Recurrentes 24-26'!DJ334</f>
        <v>0</v>
      </c>
      <c r="CA469" s="1062">
        <f>'No Recurrentes 24-26'!DK334</f>
        <v>0</v>
      </c>
      <c r="CB469" s="1062">
        <f>'No Recurrentes 24-26'!DL334</f>
        <v>0</v>
      </c>
      <c r="CC469" s="1062">
        <f>'No Recurrentes 24-26'!DM334</f>
        <v>928.7424</v>
      </c>
      <c r="CD469" s="1062">
        <f>'No Recurrentes 24-26'!DN334</f>
        <v>928.7424</v>
      </c>
      <c r="CE469" s="1062">
        <f>'No Recurrentes 24-26'!DO334</f>
        <v>0</v>
      </c>
      <c r="CF469" s="1062">
        <f>'No Recurrentes 24-26'!DP334</f>
        <v>0</v>
      </c>
      <c r="CG469" s="1062">
        <f>'No Recurrentes 24-26'!DQ334</f>
        <v>0</v>
      </c>
      <c r="CH469" s="1062">
        <f>'No Recurrentes 24-26'!DR334</f>
        <v>0</v>
      </c>
      <c r="CI469" s="1068"/>
      <c r="CJ469" s="1062">
        <f>'No Recurrentes 24-26'!DS334</f>
        <v>1857.4848</v>
      </c>
      <c r="CK469" s="1062">
        <f>'No Recurrentes 24-26'!DT334</f>
        <v>4643.712</v>
      </c>
      <c r="CL469" s="1064" t="str">
        <f>'No Recurrentes 24-26'!DU334</f>
        <v/>
      </c>
      <c r="CM469" s="1064" t="str">
        <f>'No Recurrentes 24-26'!DV334</f>
        <v/>
      </c>
      <c r="CN469" s="1065">
        <f>'No Recurrentes 24-26'!EI330</f>
        <v>384.33</v>
      </c>
      <c r="CO469" s="1065">
        <f>'No Recurrentes 24-26'!EJ330</f>
        <v>326.68</v>
      </c>
      <c r="CP469" s="1060" t="str">
        <f>'No Recurrentes 24-26'!EK330</f>
        <v/>
      </c>
    </row>
    <row r="470">
      <c r="A470" s="451" t="str">
        <f>'No Recurrentes 24-26'!A335</f>
        <v>Repuestos Electromecánicos no recurrentes</v>
      </c>
      <c r="B470" s="451">
        <f>'No Recurrentes 24-26'!B335</f>
        <v>2</v>
      </c>
      <c r="C470" s="451" t="str">
        <f>'No Recurrentes 24-26'!C335</f>
        <v>Estación</v>
      </c>
      <c r="D470" s="451" t="str">
        <f>'No Recurrentes 24-26'!D335</f>
        <v>Poleas de estacion</v>
      </c>
      <c r="E470" s="451" t="str">
        <f>'No Recurrentes 24-26'!E335</f>
        <v>Repuesto Mecánico</v>
      </c>
      <c r="F470" s="451" t="str">
        <f>'No Recurrentes 24-26'!F335</f>
        <v>TDB</v>
      </c>
      <c r="G470" s="1025" t="str">
        <f>'No Recurrentes 24-26'!G335</f>
        <v>39800</v>
      </c>
      <c r="H470" s="1061" t="str">
        <f>'No Recurrentes 24-26'!H335</f>
        <v>2-01-00233</v>
      </c>
      <c r="I470" s="1061" t="str">
        <f>'No Recurrentes 24-26'!I335</f>
        <v>10745855</v>
      </c>
      <c r="J470" s="1061" t="str">
        <f>'No Recurrentes 24-26'!J335</f>
        <v>RODAM.RAN.D.BOLAS DIN625/1- 6309-2RS1-C3GLE VT210 (90% +/-5%)</v>
      </c>
      <c r="K470" s="451" t="str">
        <f>'No Recurrentes 24-26'!K335</f>
        <v>Pza</v>
      </c>
      <c r="L470" s="451" t="str">
        <f>'No Recurrentes 24-26'!BC335</f>
        <v/>
      </c>
      <c r="M470" s="451" t="str">
        <f>'No Recurrentes 24-26'!BD335</f>
        <v/>
      </c>
      <c r="N470" s="451" t="str">
        <f>'No Recurrentes 24-26'!BE335</f>
        <v/>
      </c>
      <c r="O470" s="451" t="str">
        <f>'No Recurrentes 24-26'!BF335</f>
        <v/>
      </c>
      <c r="P470" s="451" t="str">
        <f>'No Recurrentes 24-26'!BG335</f>
        <v/>
      </c>
      <c r="Q470" s="451">
        <f>'No Recurrentes 24-26'!BH335</f>
        <v>10</v>
      </c>
      <c r="R470" s="451" t="str">
        <f>'No Recurrentes 24-26'!BI335</f>
        <v/>
      </c>
      <c r="S470" s="451" t="str">
        <f>'No Recurrentes 24-26'!BJ335</f>
        <v/>
      </c>
      <c r="T470" s="451" t="str">
        <f>'No Recurrentes 24-26'!BK335</f>
        <v/>
      </c>
      <c r="U470" s="451" t="str">
        <f>'No Recurrentes 24-26'!BL335</f>
        <v/>
      </c>
      <c r="V470" s="1068"/>
      <c r="W470" s="1062">
        <f>'No Recurrentes 24-26'!BM335</f>
        <v>10</v>
      </c>
      <c r="X470" s="1062" t="str">
        <f>'No Recurrentes 24-26'!BN335</f>
        <v/>
      </c>
      <c r="Y470" s="1062" t="str">
        <f>'No Recurrentes 24-26'!BO335</f>
        <v/>
      </c>
      <c r="Z470" s="1062" t="str">
        <f>'No Recurrentes 24-26'!BP335</f>
        <v/>
      </c>
      <c r="AA470" s="1062" t="str">
        <f>'No Recurrentes 24-26'!BQ335</f>
        <v/>
      </c>
      <c r="AB470" s="1062" t="str">
        <f>'No Recurrentes 24-26'!BR335</f>
        <v/>
      </c>
      <c r="AC470" s="1062" t="str">
        <f>'No Recurrentes 24-26'!BS335</f>
        <v/>
      </c>
      <c r="AD470" s="1062" t="str">
        <f>'No Recurrentes 24-26'!BT335</f>
        <v/>
      </c>
      <c r="AE470" s="1062" t="str">
        <f>'No Recurrentes 24-26'!BU335</f>
        <v/>
      </c>
      <c r="AF470" s="1062" t="str">
        <f>'No Recurrentes 24-26'!BV335</f>
        <v/>
      </c>
      <c r="AG470" s="1062" t="str">
        <f>'No Recurrentes 24-26'!BW335</f>
        <v/>
      </c>
      <c r="AH470" s="1068"/>
      <c r="AI470" s="1062">
        <f>'No Recurrentes 24-26'!BX335</f>
        <v>0</v>
      </c>
      <c r="AJ470" s="1062">
        <f>'No Recurrentes 24-26'!BY335</f>
        <v>0</v>
      </c>
      <c r="AK470" s="1062">
        <f>'No Recurrentes 24-26'!BZ335</f>
        <v>0</v>
      </c>
      <c r="AL470" s="1062">
        <f>'No Recurrentes 24-26'!CA335</f>
        <v>0</v>
      </c>
      <c r="AM470" s="1062">
        <f>'No Recurrentes 24-26'!CB335</f>
        <v>0</v>
      </c>
      <c r="AN470" s="1062">
        <f>'No Recurrentes 24-26'!CC335</f>
        <v>0</v>
      </c>
      <c r="AO470" s="1062">
        <f>'No Recurrentes 24-26'!CD335</f>
        <v>0</v>
      </c>
      <c r="AP470" s="1062">
        <f>'No Recurrentes 24-26'!CE335</f>
        <v>0</v>
      </c>
      <c r="AQ470" s="1062">
        <f>'No Recurrentes 24-26'!CF335</f>
        <v>0</v>
      </c>
      <c r="AR470" s="1062">
        <f>'No Recurrentes 24-26'!CG335</f>
        <v>0</v>
      </c>
      <c r="AS470" s="1062">
        <f>'No Recurrentes 24-26'!CH335</f>
        <v>0</v>
      </c>
      <c r="AT470" s="1068"/>
      <c r="AU470" s="1062">
        <f>'No Recurrentes 24-26'!CI335</f>
        <v>0</v>
      </c>
      <c r="AV470" s="1063">
        <f>'No Recurrentes 24-26'!CJ335</f>
        <v>10</v>
      </c>
      <c r="AW470" s="1068"/>
      <c r="AX470" s="1065">
        <f>'No Recurrentes 24-26'!CK335</f>
        <v>36.46</v>
      </c>
      <c r="AY470" s="1062">
        <f>'No Recurrentes 24-26'!CL335</f>
        <v>253.7616</v>
      </c>
      <c r="AZ470" s="1068"/>
      <c r="BA470" s="1062">
        <f>'No Recurrentes 24-26'!CM335</f>
        <v>0</v>
      </c>
      <c r="BB470" s="1062">
        <f>'No Recurrentes 24-26'!CN335</f>
        <v>0</v>
      </c>
      <c r="BC470" s="1062">
        <f>'No Recurrentes 24-26'!CO335</f>
        <v>0</v>
      </c>
      <c r="BD470" s="1062">
        <f>'No Recurrentes 24-26'!CP335</f>
        <v>0</v>
      </c>
      <c r="BE470" s="1062">
        <f>'No Recurrentes 24-26'!CQ335</f>
        <v>0</v>
      </c>
      <c r="BF470" s="1062">
        <f>'No Recurrentes 24-26'!CR335</f>
        <v>2537.616</v>
      </c>
      <c r="BG470" s="1062">
        <f>'No Recurrentes 24-26'!CS335</f>
        <v>0</v>
      </c>
      <c r="BH470" s="1062">
        <f>'No Recurrentes 24-26'!CT335</f>
        <v>0</v>
      </c>
      <c r="BI470" s="1062">
        <f>'No Recurrentes 24-26'!CU335</f>
        <v>0</v>
      </c>
      <c r="BJ470" s="1062">
        <f>'No Recurrentes 24-26'!CV335</f>
        <v>0</v>
      </c>
      <c r="BK470" s="1068"/>
      <c r="BL470" s="1062">
        <f>'No Recurrentes 24-26'!CW335</f>
        <v>2537.616</v>
      </c>
      <c r="BM470" s="1062">
        <f>'No Recurrentes 24-26'!CX335</f>
        <v>0</v>
      </c>
      <c r="BN470" s="1062">
        <f>'No Recurrentes 24-26'!CY335</f>
        <v>0</v>
      </c>
      <c r="BO470" s="1062">
        <f>'No Recurrentes 24-26'!CZ335</f>
        <v>0</v>
      </c>
      <c r="BP470" s="1062">
        <f>'No Recurrentes 24-26'!DA335</f>
        <v>0</v>
      </c>
      <c r="BQ470" s="1062">
        <f>'No Recurrentes 24-26'!DB335</f>
        <v>0</v>
      </c>
      <c r="BR470" s="1062">
        <f>'No Recurrentes 24-26'!DC335</f>
        <v>0</v>
      </c>
      <c r="BS470" s="1062">
        <f>'No Recurrentes 24-26'!DD335</f>
        <v>0</v>
      </c>
      <c r="BT470" s="1062">
        <f>'No Recurrentes 24-26'!DE335</f>
        <v>0</v>
      </c>
      <c r="BU470" s="1062">
        <f>'No Recurrentes 24-26'!DF335</f>
        <v>0</v>
      </c>
      <c r="BV470" s="1062">
        <f>'No Recurrentes 24-26'!DG335</f>
        <v>0</v>
      </c>
      <c r="BW470" s="1068"/>
      <c r="BX470" s="1062">
        <f>'No Recurrentes 24-26'!DH335</f>
        <v>0</v>
      </c>
      <c r="BY470" s="1062">
        <f>'No Recurrentes 24-26'!DI335</f>
        <v>0</v>
      </c>
      <c r="BZ470" s="1062">
        <f>'No Recurrentes 24-26'!DJ335</f>
        <v>0</v>
      </c>
      <c r="CA470" s="1062">
        <f>'No Recurrentes 24-26'!DK335</f>
        <v>0</v>
      </c>
      <c r="CB470" s="1062">
        <f>'No Recurrentes 24-26'!DL335</f>
        <v>0</v>
      </c>
      <c r="CC470" s="1062">
        <f>'No Recurrentes 24-26'!DM335</f>
        <v>0</v>
      </c>
      <c r="CD470" s="1062">
        <f>'No Recurrentes 24-26'!DN335</f>
        <v>0</v>
      </c>
      <c r="CE470" s="1062">
        <f>'No Recurrentes 24-26'!DO335</f>
        <v>0</v>
      </c>
      <c r="CF470" s="1062">
        <f>'No Recurrentes 24-26'!DP335</f>
        <v>0</v>
      </c>
      <c r="CG470" s="1062">
        <f>'No Recurrentes 24-26'!DQ335</f>
        <v>0</v>
      </c>
      <c r="CH470" s="1062">
        <f>'No Recurrentes 24-26'!DR335</f>
        <v>0</v>
      </c>
      <c r="CI470" s="1068"/>
      <c r="CJ470" s="1062">
        <f>'No Recurrentes 24-26'!DS335</f>
        <v>0</v>
      </c>
      <c r="CK470" s="1062">
        <f>'No Recurrentes 24-26'!DT335</f>
        <v>2537.616</v>
      </c>
      <c r="CL470" s="1064" t="str">
        <f>'No Recurrentes 24-26'!DU335</f>
        <v/>
      </c>
      <c r="CM470" s="1064" t="str">
        <f>'No Recurrentes 24-26'!DV335</f>
        <v/>
      </c>
      <c r="CN470" s="1065">
        <f>'No Recurrentes 24-26'!EI331</f>
        <v>17.54</v>
      </c>
      <c r="CO470" s="1065">
        <f>'No Recurrentes 24-26'!EJ331</f>
        <v>14.91</v>
      </c>
      <c r="CP470" s="1060" t="str">
        <f>'No Recurrentes 24-26'!EK331</f>
        <v/>
      </c>
    </row>
    <row r="471">
      <c r="A471" s="451" t="str">
        <f>'No Recurrentes 24-26'!A336</f>
        <v>Repuestos Electromecánicos no recurrentes</v>
      </c>
      <c r="B471" s="451">
        <f>'No Recurrentes 24-26'!B336</f>
        <v>2</v>
      </c>
      <c r="C471" s="451" t="str">
        <f>'No Recurrentes 24-26'!C336</f>
        <v>Estación</v>
      </c>
      <c r="D471" s="451" t="str">
        <f>'No Recurrentes 24-26'!D336</f>
        <v>Poleas de estacion</v>
      </c>
      <c r="E471" s="451" t="str">
        <f>'No Recurrentes 24-26'!E336</f>
        <v>Repuesto Mecánico</v>
      </c>
      <c r="F471" s="451" t="str">
        <f>'No Recurrentes 24-26'!F336</f>
        <v>TDB</v>
      </c>
      <c r="G471" s="1025" t="str">
        <f>'No Recurrentes 24-26'!G336</f>
        <v>39800</v>
      </c>
      <c r="H471" s="1061" t="str">
        <f>'No Recurrentes 24-26'!H336</f>
        <v>2-01-00237</v>
      </c>
      <c r="I471" s="1061" t="str">
        <f>'No Recurrentes 24-26'!I336</f>
        <v>10003997</v>
      </c>
      <c r="J471" s="1061" t="str">
        <f>'No Recurrentes 24-26'!J336</f>
        <v>RARB DIN 711/1-51104           RODAMIENTO AXIAL RÍG. DE BOLAS</v>
      </c>
      <c r="K471" s="451" t="str">
        <f>'No Recurrentes 24-26'!K336</f>
        <v>Pza</v>
      </c>
      <c r="L471" s="451">
        <f>'No Recurrentes 24-26'!BC336</f>
        <v>1</v>
      </c>
      <c r="M471" s="451">
        <f>'No Recurrentes 24-26'!BD336</f>
        <v>1</v>
      </c>
      <c r="N471" s="451">
        <f>'No Recurrentes 24-26'!BE336</f>
        <v>1</v>
      </c>
      <c r="O471" s="451">
        <f>'No Recurrentes 24-26'!BF336</f>
        <v>1</v>
      </c>
      <c r="P471" s="451">
        <f>'No Recurrentes 24-26'!BG336</f>
        <v>1</v>
      </c>
      <c r="Q471" s="451">
        <f>'No Recurrentes 24-26'!BH336</f>
        <v>1</v>
      </c>
      <c r="R471" s="451">
        <f>'No Recurrentes 24-26'!BI336</f>
        <v>2</v>
      </c>
      <c r="S471" s="451">
        <f>'No Recurrentes 24-26'!BJ336</f>
        <v>2</v>
      </c>
      <c r="T471" s="451" t="str">
        <f>'No Recurrentes 24-26'!BK336</f>
        <v/>
      </c>
      <c r="U471" s="451">
        <f>'No Recurrentes 24-26'!BL336</f>
        <v>2</v>
      </c>
      <c r="V471" s="1068"/>
      <c r="W471" s="1062">
        <f>'No Recurrentes 24-26'!BM336</f>
        <v>12</v>
      </c>
      <c r="X471" s="1062" t="str">
        <f>'No Recurrentes 24-26'!BN336</f>
        <v/>
      </c>
      <c r="Y471" s="1062" t="str">
        <f>'No Recurrentes 24-26'!BO336</f>
        <v/>
      </c>
      <c r="Z471" s="1062" t="str">
        <f>'No Recurrentes 24-26'!BP336</f>
        <v/>
      </c>
      <c r="AA471" s="1062" t="str">
        <f>'No Recurrentes 24-26'!BQ336</f>
        <v/>
      </c>
      <c r="AB471" s="1062" t="str">
        <f>'No Recurrentes 24-26'!BR336</f>
        <v/>
      </c>
      <c r="AC471" s="1062" t="str">
        <f>'No Recurrentes 24-26'!BS336</f>
        <v/>
      </c>
      <c r="AD471" s="1062" t="str">
        <f>'No Recurrentes 24-26'!BT336</f>
        <v/>
      </c>
      <c r="AE471" s="1062" t="str">
        <f>'No Recurrentes 24-26'!BU336</f>
        <v/>
      </c>
      <c r="AF471" s="1062" t="str">
        <f>'No Recurrentes 24-26'!BV336</f>
        <v/>
      </c>
      <c r="AG471" s="1062" t="str">
        <f>'No Recurrentes 24-26'!BW336</f>
        <v/>
      </c>
      <c r="AH471" s="1068"/>
      <c r="AI471" s="1062">
        <f>'No Recurrentes 24-26'!BX336</f>
        <v>0</v>
      </c>
      <c r="AJ471" s="1062">
        <f>'No Recurrentes 24-26'!BY336</f>
        <v>0</v>
      </c>
      <c r="AK471" s="1062">
        <f>'No Recurrentes 24-26'!BZ336</f>
        <v>0</v>
      </c>
      <c r="AL471" s="1062">
        <f>'No Recurrentes 24-26'!CA336</f>
        <v>0</v>
      </c>
      <c r="AM471" s="1062">
        <f>'No Recurrentes 24-26'!CB336</f>
        <v>0</v>
      </c>
      <c r="AN471" s="1062">
        <f>'No Recurrentes 24-26'!CC336</f>
        <v>0</v>
      </c>
      <c r="AO471" s="1062">
        <f>'No Recurrentes 24-26'!CD336</f>
        <v>0</v>
      </c>
      <c r="AP471" s="1062">
        <f>'No Recurrentes 24-26'!CE336</f>
        <v>0</v>
      </c>
      <c r="AQ471" s="1062">
        <f>'No Recurrentes 24-26'!CF336</f>
        <v>0</v>
      </c>
      <c r="AR471" s="1062">
        <f>'No Recurrentes 24-26'!CG336</f>
        <v>0</v>
      </c>
      <c r="AS471" s="1062">
        <f>'No Recurrentes 24-26'!CH336</f>
        <v>0</v>
      </c>
      <c r="AT471" s="1068"/>
      <c r="AU471" s="1062">
        <f>'No Recurrentes 24-26'!CI336</f>
        <v>0</v>
      </c>
      <c r="AV471" s="1063">
        <f>'No Recurrentes 24-26'!CJ336</f>
        <v>12</v>
      </c>
      <c r="AW471" s="1068"/>
      <c r="AX471" s="1065">
        <f>'No Recurrentes 24-26'!CK336</f>
        <v>16.23</v>
      </c>
      <c r="AY471" s="1062">
        <f>'No Recurrentes 24-26'!CL336</f>
        <v>112.9608</v>
      </c>
      <c r="AZ471" s="1068"/>
      <c r="BA471" s="1062">
        <f>'No Recurrentes 24-26'!CM336</f>
        <v>112.9608</v>
      </c>
      <c r="BB471" s="1062">
        <f>'No Recurrentes 24-26'!CN336</f>
        <v>112.9608</v>
      </c>
      <c r="BC471" s="1062">
        <f>'No Recurrentes 24-26'!CO336</f>
        <v>112.9608</v>
      </c>
      <c r="BD471" s="1062">
        <f>'No Recurrentes 24-26'!CP336</f>
        <v>112.9608</v>
      </c>
      <c r="BE471" s="1062">
        <f>'No Recurrentes 24-26'!CQ336</f>
        <v>112.9608</v>
      </c>
      <c r="BF471" s="1062">
        <f>'No Recurrentes 24-26'!CR336</f>
        <v>112.9608</v>
      </c>
      <c r="BG471" s="1062">
        <f>'No Recurrentes 24-26'!CS336</f>
        <v>225.9216</v>
      </c>
      <c r="BH471" s="1062">
        <f>'No Recurrentes 24-26'!CT336</f>
        <v>225.9216</v>
      </c>
      <c r="BI471" s="1062">
        <f>'No Recurrentes 24-26'!CU336</f>
        <v>0</v>
      </c>
      <c r="BJ471" s="1062">
        <f>'No Recurrentes 24-26'!CV336</f>
        <v>225.9216</v>
      </c>
      <c r="BK471" s="1068"/>
      <c r="BL471" s="1062">
        <f>'No Recurrentes 24-26'!CW336</f>
        <v>1355.5296</v>
      </c>
      <c r="BM471" s="1062">
        <f>'No Recurrentes 24-26'!CX336</f>
        <v>0</v>
      </c>
      <c r="BN471" s="1062">
        <f>'No Recurrentes 24-26'!CY336</f>
        <v>0</v>
      </c>
      <c r="BO471" s="1062">
        <f>'No Recurrentes 24-26'!CZ336</f>
        <v>0</v>
      </c>
      <c r="BP471" s="1062">
        <f>'No Recurrentes 24-26'!DA336</f>
        <v>0</v>
      </c>
      <c r="BQ471" s="1062">
        <f>'No Recurrentes 24-26'!DB336</f>
        <v>0</v>
      </c>
      <c r="BR471" s="1062">
        <f>'No Recurrentes 24-26'!DC336</f>
        <v>0</v>
      </c>
      <c r="BS471" s="1062">
        <f>'No Recurrentes 24-26'!DD336</f>
        <v>0</v>
      </c>
      <c r="BT471" s="1062">
        <f>'No Recurrentes 24-26'!DE336</f>
        <v>0</v>
      </c>
      <c r="BU471" s="1062">
        <f>'No Recurrentes 24-26'!DF336</f>
        <v>0</v>
      </c>
      <c r="BV471" s="1062">
        <f>'No Recurrentes 24-26'!DG336</f>
        <v>0</v>
      </c>
      <c r="BW471" s="1068"/>
      <c r="BX471" s="1062">
        <f>'No Recurrentes 24-26'!DH336</f>
        <v>0</v>
      </c>
      <c r="BY471" s="1062">
        <f>'No Recurrentes 24-26'!DI336</f>
        <v>0</v>
      </c>
      <c r="BZ471" s="1062">
        <f>'No Recurrentes 24-26'!DJ336</f>
        <v>0</v>
      </c>
      <c r="CA471" s="1062">
        <f>'No Recurrentes 24-26'!DK336</f>
        <v>0</v>
      </c>
      <c r="CB471" s="1062">
        <f>'No Recurrentes 24-26'!DL336</f>
        <v>0</v>
      </c>
      <c r="CC471" s="1062">
        <f>'No Recurrentes 24-26'!DM336</f>
        <v>0</v>
      </c>
      <c r="CD471" s="1062">
        <f>'No Recurrentes 24-26'!DN336</f>
        <v>0</v>
      </c>
      <c r="CE471" s="1062">
        <f>'No Recurrentes 24-26'!DO336</f>
        <v>0</v>
      </c>
      <c r="CF471" s="1062">
        <f>'No Recurrentes 24-26'!DP336</f>
        <v>0</v>
      </c>
      <c r="CG471" s="1062">
        <f>'No Recurrentes 24-26'!DQ336</f>
        <v>0</v>
      </c>
      <c r="CH471" s="1062">
        <f>'No Recurrentes 24-26'!DR336</f>
        <v>0</v>
      </c>
      <c r="CI471" s="1068"/>
      <c r="CJ471" s="1062">
        <f>'No Recurrentes 24-26'!DS336</f>
        <v>0</v>
      </c>
      <c r="CK471" s="1062">
        <f>'No Recurrentes 24-26'!DT336</f>
        <v>1355.5296</v>
      </c>
      <c r="CL471" s="1064" t="str">
        <f>'No Recurrentes 24-26'!DU336</f>
        <v/>
      </c>
      <c r="CM471" s="1064" t="str">
        <f>'No Recurrentes 24-26'!DV336</f>
        <v/>
      </c>
      <c r="CN471" s="1065">
        <f>'No Recurrentes 24-26'!EI332</f>
        <v>17.11</v>
      </c>
      <c r="CO471" s="1065">
        <f>'No Recurrentes 24-26'!EJ332</f>
        <v>14.54</v>
      </c>
      <c r="CP471" s="1060" t="str">
        <f>'No Recurrentes 24-26'!EK332</f>
        <v/>
      </c>
    </row>
    <row r="472">
      <c r="A472" s="451" t="str">
        <f>'No Recurrentes 24-26'!A337</f>
        <v>Repuestos Electromecánicos no recurrentes</v>
      </c>
      <c r="B472" s="451">
        <f>'No Recurrentes 24-26'!B337</f>
        <v>2</v>
      </c>
      <c r="C472" s="451" t="str">
        <f>'No Recurrentes 24-26'!C337</f>
        <v>Estación</v>
      </c>
      <c r="D472" s="451" t="str">
        <f>'No Recurrentes 24-26'!D337</f>
        <v>Poleas de estacion</v>
      </c>
      <c r="E472" s="451" t="str">
        <f>'No Recurrentes 24-26'!E337</f>
        <v>Repuesto Mecánico</v>
      </c>
      <c r="F472" s="451" t="str">
        <f>'No Recurrentes 24-26'!F337</f>
        <v>TDB</v>
      </c>
      <c r="G472" s="1025" t="str">
        <f>'No Recurrentes 24-26'!G337</f>
        <v>39800</v>
      </c>
      <c r="H472" s="1061" t="str">
        <f>'No Recurrentes 24-26'!H337</f>
        <v>2-01-00036</v>
      </c>
      <c r="I472" s="1061" t="str">
        <f>'No Recurrentes 24-26'!I337</f>
        <v>10000409</v>
      </c>
      <c r="J472" s="1061" t="str">
        <f>'No Recurrentes 24-26'!J337</f>
        <v>CIRCLIP INTER.  DIN 472 110X4  FOSFAT.</v>
      </c>
      <c r="K472" s="451" t="str">
        <f>'No Recurrentes 24-26'!K337</f>
        <v>Pza</v>
      </c>
      <c r="L472" s="451">
        <f>'No Recurrentes 24-26'!BC337</f>
        <v>2</v>
      </c>
      <c r="M472" s="451">
        <f>'No Recurrentes 24-26'!BD337</f>
        <v>1</v>
      </c>
      <c r="N472" s="451">
        <f>'No Recurrentes 24-26'!BE337</f>
        <v>2</v>
      </c>
      <c r="O472" s="451">
        <f>'No Recurrentes 24-26'!BF337</f>
        <v>10</v>
      </c>
      <c r="P472" s="451">
        <f>'No Recurrentes 24-26'!BG337</f>
        <v>10</v>
      </c>
      <c r="Q472" s="451">
        <f>'No Recurrentes 24-26'!BH337</f>
        <v>10</v>
      </c>
      <c r="R472" s="451" t="str">
        <f>'No Recurrentes 24-26'!BI337</f>
        <v/>
      </c>
      <c r="S472" s="451" t="str">
        <f>'No Recurrentes 24-26'!BJ337</f>
        <v/>
      </c>
      <c r="T472" s="451" t="str">
        <f>'No Recurrentes 24-26'!BK337</f>
        <v/>
      </c>
      <c r="U472" s="451" t="str">
        <f>'No Recurrentes 24-26'!BL337</f>
        <v/>
      </c>
      <c r="V472" s="1068"/>
      <c r="W472" s="1062">
        <f>'No Recurrentes 24-26'!BM337</f>
        <v>35</v>
      </c>
      <c r="X472" s="1062" t="str">
        <f>'No Recurrentes 24-26'!BN337</f>
        <v/>
      </c>
      <c r="Y472" s="1062" t="str">
        <f>'No Recurrentes 24-26'!BO337</f>
        <v/>
      </c>
      <c r="Z472" s="1062" t="str">
        <f>'No Recurrentes 24-26'!BP337</f>
        <v/>
      </c>
      <c r="AA472" s="1062" t="str">
        <f>'No Recurrentes 24-26'!BQ337</f>
        <v/>
      </c>
      <c r="AB472" s="1062" t="str">
        <f>'No Recurrentes 24-26'!BR337</f>
        <v/>
      </c>
      <c r="AC472" s="1062" t="str">
        <f>'No Recurrentes 24-26'!BS337</f>
        <v/>
      </c>
      <c r="AD472" s="1062" t="str">
        <f>'No Recurrentes 24-26'!BT337</f>
        <v/>
      </c>
      <c r="AE472" s="1062" t="str">
        <f>'No Recurrentes 24-26'!BU337</f>
        <v/>
      </c>
      <c r="AF472" s="1062" t="str">
        <f>'No Recurrentes 24-26'!BV337</f>
        <v/>
      </c>
      <c r="AG472" s="1062" t="str">
        <f>'No Recurrentes 24-26'!BW337</f>
        <v/>
      </c>
      <c r="AH472" s="1068"/>
      <c r="AI472" s="1062">
        <f>'No Recurrentes 24-26'!BX337</f>
        <v>0</v>
      </c>
      <c r="AJ472" s="1062">
        <f>'No Recurrentes 24-26'!BY337</f>
        <v>2</v>
      </c>
      <c r="AK472" s="1062">
        <f>'No Recurrentes 24-26'!BZ337</f>
        <v>1</v>
      </c>
      <c r="AL472" s="1062">
        <f>'No Recurrentes 24-26'!CA337</f>
        <v>2</v>
      </c>
      <c r="AM472" s="1062">
        <f>'No Recurrentes 24-26'!CB337</f>
        <v>10</v>
      </c>
      <c r="AN472" s="1062">
        <f>'No Recurrentes 24-26'!CC337</f>
        <v>10</v>
      </c>
      <c r="AO472" s="1062">
        <f>'No Recurrentes 24-26'!CD337</f>
        <v>10</v>
      </c>
      <c r="AP472" s="1062">
        <f>'No Recurrentes 24-26'!CE337</f>
        <v>0</v>
      </c>
      <c r="AQ472" s="1062">
        <f>'No Recurrentes 24-26'!CF337</f>
        <v>0</v>
      </c>
      <c r="AR472" s="1062">
        <f>'No Recurrentes 24-26'!CG337</f>
        <v>0</v>
      </c>
      <c r="AS472" s="1062">
        <f>'No Recurrentes 24-26'!CH337</f>
        <v>0</v>
      </c>
      <c r="AT472" s="1068"/>
      <c r="AU472" s="1062">
        <f>'No Recurrentes 24-26'!CI337</f>
        <v>35</v>
      </c>
      <c r="AV472" s="1063">
        <f>'No Recurrentes 24-26'!CJ337</f>
        <v>70</v>
      </c>
      <c r="AW472" s="1068"/>
      <c r="AX472" s="1065">
        <f>'No Recurrentes 24-26'!CK337</f>
        <v>4.73</v>
      </c>
      <c r="AY472" s="1062">
        <f>'No Recurrentes 24-26'!CL337</f>
        <v>32.9208</v>
      </c>
      <c r="AZ472" s="1068"/>
      <c r="BA472" s="1062">
        <f>'No Recurrentes 24-26'!CM337</f>
        <v>65.8416</v>
      </c>
      <c r="BB472" s="1062">
        <f>'No Recurrentes 24-26'!CN337</f>
        <v>32.9208</v>
      </c>
      <c r="BC472" s="1062">
        <f>'No Recurrentes 24-26'!CO337</f>
        <v>65.8416</v>
      </c>
      <c r="BD472" s="1062">
        <f>'No Recurrentes 24-26'!CP337</f>
        <v>329.208</v>
      </c>
      <c r="BE472" s="1062">
        <f>'No Recurrentes 24-26'!CQ337</f>
        <v>329.208</v>
      </c>
      <c r="BF472" s="1062">
        <f>'No Recurrentes 24-26'!CR337</f>
        <v>329.208</v>
      </c>
      <c r="BG472" s="1062">
        <f>'No Recurrentes 24-26'!CS337</f>
        <v>0</v>
      </c>
      <c r="BH472" s="1062">
        <f>'No Recurrentes 24-26'!CT337</f>
        <v>0</v>
      </c>
      <c r="BI472" s="1062">
        <f>'No Recurrentes 24-26'!CU337</f>
        <v>0</v>
      </c>
      <c r="BJ472" s="1062">
        <f>'No Recurrentes 24-26'!CV337</f>
        <v>0</v>
      </c>
      <c r="BK472" s="1068"/>
      <c r="BL472" s="1062">
        <f>'No Recurrentes 24-26'!CW337</f>
        <v>1152.228</v>
      </c>
      <c r="BM472" s="1062">
        <f>'No Recurrentes 24-26'!CX337</f>
        <v>0</v>
      </c>
      <c r="BN472" s="1062">
        <f>'No Recurrentes 24-26'!CY337</f>
        <v>0</v>
      </c>
      <c r="BO472" s="1062">
        <f>'No Recurrentes 24-26'!CZ337</f>
        <v>0</v>
      </c>
      <c r="BP472" s="1062">
        <f>'No Recurrentes 24-26'!DA337</f>
        <v>0</v>
      </c>
      <c r="BQ472" s="1062">
        <f>'No Recurrentes 24-26'!DB337</f>
        <v>0</v>
      </c>
      <c r="BR472" s="1062">
        <f>'No Recurrentes 24-26'!DC337</f>
        <v>0</v>
      </c>
      <c r="BS472" s="1062">
        <f>'No Recurrentes 24-26'!DD337</f>
        <v>0</v>
      </c>
      <c r="BT472" s="1062">
        <f>'No Recurrentes 24-26'!DE337</f>
        <v>0</v>
      </c>
      <c r="BU472" s="1062">
        <f>'No Recurrentes 24-26'!DF337</f>
        <v>0</v>
      </c>
      <c r="BV472" s="1062">
        <f>'No Recurrentes 24-26'!DG337</f>
        <v>0</v>
      </c>
      <c r="BW472" s="1068"/>
      <c r="BX472" s="1062">
        <f>'No Recurrentes 24-26'!DH337</f>
        <v>0</v>
      </c>
      <c r="BY472" s="1062">
        <f>'No Recurrentes 24-26'!DI337</f>
        <v>65.8416</v>
      </c>
      <c r="BZ472" s="1062">
        <f>'No Recurrentes 24-26'!DJ337</f>
        <v>32.9208</v>
      </c>
      <c r="CA472" s="1062">
        <f>'No Recurrentes 24-26'!DK337</f>
        <v>65.8416</v>
      </c>
      <c r="CB472" s="1062">
        <f>'No Recurrentes 24-26'!DL337</f>
        <v>329.208</v>
      </c>
      <c r="CC472" s="1062">
        <f>'No Recurrentes 24-26'!DM337</f>
        <v>329.208</v>
      </c>
      <c r="CD472" s="1062">
        <f>'No Recurrentes 24-26'!DN337</f>
        <v>329.208</v>
      </c>
      <c r="CE472" s="1062">
        <f>'No Recurrentes 24-26'!DO337</f>
        <v>0</v>
      </c>
      <c r="CF472" s="1062">
        <f>'No Recurrentes 24-26'!DP337</f>
        <v>0</v>
      </c>
      <c r="CG472" s="1062">
        <f>'No Recurrentes 24-26'!DQ337</f>
        <v>0</v>
      </c>
      <c r="CH472" s="1062">
        <f>'No Recurrentes 24-26'!DR337</f>
        <v>0</v>
      </c>
      <c r="CI472" s="1068"/>
      <c r="CJ472" s="1062">
        <f>'No Recurrentes 24-26'!DS337</f>
        <v>1152.228</v>
      </c>
      <c r="CK472" s="1062">
        <f>'No Recurrentes 24-26'!DT337</f>
        <v>2304.456</v>
      </c>
      <c r="CL472" s="1064" t="str">
        <f>'No Recurrentes 24-26'!DU337</f>
        <v/>
      </c>
      <c r="CM472" s="1064" t="str">
        <f>'No Recurrentes 24-26'!DV337</f>
        <v/>
      </c>
      <c r="CN472" s="1065">
        <f>'No Recurrentes 24-26'!EI333</f>
        <v>223.35</v>
      </c>
      <c r="CO472" s="1065">
        <f>'No Recurrentes 24-26'!EJ333</f>
        <v>189.85</v>
      </c>
      <c r="CP472" s="1060" t="str">
        <f>'No Recurrentes 24-26'!EK333</f>
        <v/>
      </c>
    </row>
    <row r="473">
      <c r="A473" s="451" t="str">
        <f>'No Recurrentes 24-26'!A338</f>
        <v>Repuestos Electromecánicos no recurrentes</v>
      </c>
      <c r="B473" s="451">
        <f>'No Recurrentes 24-26'!B338</f>
        <v>2</v>
      </c>
      <c r="C473" s="451" t="str">
        <f>'No Recurrentes 24-26'!C338</f>
        <v>Estación</v>
      </c>
      <c r="D473" s="451" t="str">
        <f>'No Recurrentes 24-26'!D338</f>
        <v>Poleas de estacion</v>
      </c>
      <c r="E473" s="451" t="str">
        <f>'No Recurrentes 24-26'!E338</f>
        <v>Repuesto Mecánico</v>
      </c>
      <c r="F473" s="451" t="str">
        <f>'No Recurrentes 24-26'!F338</f>
        <v>TDB</v>
      </c>
      <c r="G473" s="1025" t="str">
        <f>'No Recurrentes 24-26'!G338</f>
        <v>39800</v>
      </c>
      <c r="H473" s="1061" t="str">
        <f>'No Recurrentes 24-26'!H338</f>
        <v>2-01-00253</v>
      </c>
      <c r="I473" s="1061" t="str">
        <f>'No Recurrentes 24-26'!I338</f>
        <v>10149393</v>
      </c>
      <c r="J473" s="1061" t="str">
        <f>'No Recurrentes 24-26'!J338</f>
        <v>ANILLO ELÁSTICO  323,8X 6,0    CON RECUBRIMIENTO DELTA-TONE</v>
      </c>
      <c r="K473" s="451" t="str">
        <f>'No Recurrentes 24-26'!K338</f>
        <v>Pza</v>
      </c>
      <c r="L473" s="451">
        <f>'No Recurrentes 24-26'!BC338</f>
        <v>2</v>
      </c>
      <c r="M473" s="451" t="str">
        <f>'No Recurrentes 24-26'!BD338</f>
        <v/>
      </c>
      <c r="N473" s="451">
        <f>'No Recurrentes 24-26'!BE338</f>
        <v>2</v>
      </c>
      <c r="O473" s="451">
        <f>'No Recurrentes 24-26'!BF338</f>
        <v>2</v>
      </c>
      <c r="P473" s="451">
        <f>'No Recurrentes 24-26'!BG338</f>
        <v>2</v>
      </c>
      <c r="Q473" s="451">
        <f>'No Recurrentes 24-26'!BH338</f>
        <v>2</v>
      </c>
      <c r="R473" s="451" t="str">
        <f>'No Recurrentes 24-26'!BI338</f>
        <v/>
      </c>
      <c r="S473" s="451" t="str">
        <f>'No Recurrentes 24-26'!BJ338</f>
        <v/>
      </c>
      <c r="T473" s="451" t="str">
        <f>'No Recurrentes 24-26'!BK338</f>
        <v/>
      </c>
      <c r="U473" s="451" t="str">
        <f>'No Recurrentes 24-26'!BL338</f>
        <v/>
      </c>
      <c r="V473" s="1068"/>
      <c r="W473" s="1062">
        <f>'No Recurrentes 24-26'!BM338</f>
        <v>10</v>
      </c>
      <c r="X473" s="1062" t="str">
        <f>'No Recurrentes 24-26'!BN338</f>
        <v/>
      </c>
      <c r="Y473" s="1062" t="str">
        <f>'No Recurrentes 24-26'!BO338</f>
        <v/>
      </c>
      <c r="Z473" s="1062" t="str">
        <f>'No Recurrentes 24-26'!BP338</f>
        <v/>
      </c>
      <c r="AA473" s="1062" t="str">
        <f>'No Recurrentes 24-26'!BQ338</f>
        <v/>
      </c>
      <c r="AB473" s="1062" t="str">
        <f>'No Recurrentes 24-26'!BR338</f>
        <v/>
      </c>
      <c r="AC473" s="1062" t="str">
        <f>'No Recurrentes 24-26'!BS338</f>
        <v/>
      </c>
      <c r="AD473" s="1062" t="str">
        <f>'No Recurrentes 24-26'!BT338</f>
        <v/>
      </c>
      <c r="AE473" s="1062" t="str">
        <f>'No Recurrentes 24-26'!BU338</f>
        <v/>
      </c>
      <c r="AF473" s="1062" t="str">
        <f>'No Recurrentes 24-26'!BV338</f>
        <v/>
      </c>
      <c r="AG473" s="1062" t="str">
        <f>'No Recurrentes 24-26'!BW338</f>
        <v/>
      </c>
      <c r="AH473" s="1068"/>
      <c r="AI473" s="1062">
        <f>'No Recurrentes 24-26'!BX338</f>
        <v>0</v>
      </c>
      <c r="AJ473" s="1062">
        <f>'No Recurrentes 24-26'!BY338</f>
        <v>2</v>
      </c>
      <c r="AK473" s="1062">
        <f>'No Recurrentes 24-26'!BZ338</f>
        <v>2</v>
      </c>
      <c r="AL473" s="1062">
        <f>'No Recurrentes 24-26'!CA338</f>
        <v>2</v>
      </c>
      <c r="AM473" s="1062">
        <f>'No Recurrentes 24-26'!CB338</f>
        <v>2</v>
      </c>
      <c r="AN473" s="1062">
        <f>'No Recurrentes 24-26'!CC338</f>
        <v>2</v>
      </c>
      <c r="AO473" s="1062">
        <f>'No Recurrentes 24-26'!CD338</f>
        <v>2</v>
      </c>
      <c r="AP473" s="1062">
        <f>'No Recurrentes 24-26'!CE338</f>
        <v>0</v>
      </c>
      <c r="AQ473" s="1062">
        <f>'No Recurrentes 24-26'!CF338</f>
        <v>0</v>
      </c>
      <c r="AR473" s="1062">
        <f>'No Recurrentes 24-26'!CG338</f>
        <v>0</v>
      </c>
      <c r="AS473" s="1062">
        <f>'No Recurrentes 24-26'!CH338</f>
        <v>0</v>
      </c>
      <c r="AT473" s="1068"/>
      <c r="AU473" s="1062">
        <f>'No Recurrentes 24-26'!CI338</f>
        <v>12</v>
      </c>
      <c r="AV473" s="1063">
        <f>'No Recurrentes 24-26'!CJ338</f>
        <v>22</v>
      </c>
      <c r="AW473" s="1068"/>
      <c r="AX473" s="1065">
        <f>'No Recurrentes 24-26'!CK338</f>
        <v>12.34</v>
      </c>
      <c r="AY473" s="1062">
        <f>'No Recurrentes 24-26'!CL338</f>
        <v>85.8864</v>
      </c>
      <c r="AZ473" s="1068"/>
      <c r="BA473" s="1062">
        <f>'No Recurrentes 24-26'!CM338</f>
        <v>171.7728</v>
      </c>
      <c r="BB473" s="1062">
        <f>'No Recurrentes 24-26'!CN338</f>
        <v>0</v>
      </c>
      <c r="BC473" s="1062">
        <f>'No Recurrentes 24-26'!CO338</f>
        <v>171.7728</v>
      </c>
      <c r="BD473" s="1062">
        <f>'No Recurrentes 24-26'!CP338</f>
        <v>171.7728</v>
      </c>
      <c r="BE473" s="1062">
        <f>'No Recurrentes 24-26'!CQ338</f>
        <v>171.7728</v>
      </c>
      <c r="BF473" s="1062">
        <f>'No Recurrentes 24-26'!CR338</f>
        <v>171.7728</v>
      </c>
      <c r="BG473" s="1062">
        <f>'No Recurrentes 24-26'!CS338</f>
        <v>0</v>
      </c>
      <c r="BH473" s="1062">
        <f>'No Recurrentes 24-26'!CT338</f>
        <v>0</v>
      </c>
      <c r="BI473" s="1062">
        <f>'No Recurrentes 24-26'!CU338</f>
        <v>0</v>
      </c>
      <c r="BJ473" s="1062">
        <f>'No Recurrentes 24-26'!CV338</f>
        <v>0</v>
      </c>
      <c r="BK473" s="1068"/>
      <c r="BL473" s="1062">
        <f>'No Recurrentes 24-26'!CW338</f>
        <v>858.864</v>
      </c>
      <c r="BM473" s="1062">
        <f>'No Recurrentes 24-26'!CX338</f>
        <v>0</v>
      </c>
      <c r="BN473" s="1062">
        <f>'No Recurrentes 24-26'!CY338</f>
        <v>0</v>
      </c>
      <c r="BO473" s="1062">
        <f>'No Recurrentes 24-26'!CZ338</f>
        <v>0</v>
      </c>
      <c r="BP473" s="1062">
        <f>'No Recurrentes 24-26'!DA338</f>
        <v>0</v>
      </c>
      <c r="BQ473" s="1062">
        <f>'No Recurrentes 24-26'!DB338</f>
        <v>0</v>
      </c>
      <c r="BR473" s="1062">
        <f>'No Recurrentes 24-26'!DC338</f>
        <v>0</v>
      </c>
      <c r="BS473" s="1062">
        <f>'No Recurrentes 24-26'!DD338</f>
        <v>0</v>
      </c>
      <c r="BT473" s="1062">
        <f>'No Recurrentes 24-26'!DE338</f>
        <v>0</v>
      </c>
      <c r="BU473" s="1062">
        <f>'No Recurrentes 24-26'!DF338</f>
        <v>0</v>
      </c>
      <c r="BV473" s="1062">
        <f>'No Recurrentes 24-26'!DG338</f>
        <v>0</v>
      </c>
      <c r="BW473" s="1068"/>
      <c r="BX473" s="1062">
        <f>'No Recurrentes 24-26'!DH338</f>
        <v>0</v>
      </c>
      <c r="BY473" s="1062">
        <f>'No Recurrentes 24-26'!DI338</f>
        <v>171.7728</v>
      </c>
      <c r="BZ473" s="1062">
        <f>'No Recurrentes 24-26'!DJ338</f>
        <v>171.7728</v>
      </c>
      <c r="CA473" s="1062">
        <f>'No Recurrentes 24-26'!DK338</f>
        <v>171.7728</v>
      </c>
      <c r="CB473" s="1062">
        <f>'No Recurrentes 24-26'!DL338</f>
        <v>171.7728</v>
      </c>
      <c r="CC473" s="1062">
        <f>'No Recurrentes 24-26'!DM338</f>
        <v>171.7728</v>
      </c>
      <c r="CD473" s="1062">
        <f>'No Recurrentes 24-26'!DN338</f>
        <v>171.7728</v>
      </c>
      <c r="CE473" s="1062">
        <f>'No Recurrentes 24-26'!DO338</f>
        <v>0</v>
      </c>
      <c r="CF473" s="1062">
        <f>'No Recurrentes 24-26'!DP338</f>
        <v>0</v>
      </c>
      <c r="CG473" s="1062">
        <f>'No Recurrentes 24-26'!DQ338</f>
        <v>0</v>
      </c>
      <c r="CH473" s="1062">
        <f>'No Recurrentes 24-26'!DR338</f>
        <v>0</v>
      </c>
      <c r="CI473" s="1068"/>
      <c r="CJ473" s="1062">
        <f>'No Recurrentes 24-26'!DS338</f>
        <v>1030.6368</v>
      </c>
      <c r="CK473" s="1062">
        <f>'No Recurrentes 24-26'!DT338</f>
        <v>1889.5008</v>
      </c>
      <c r="CL473" s="1064" t="str">
        <f>'No Recurrentes 24-26'!DU338</f>
        <v/>
      </c>
      <c r="CM473" s="1064" t="str">
        <f>'No Recurrentes 24-26'!DV338</f>
        <v/>
      </c>
      <c r="CN473" s="1065">
        <f>'No Recurrentes 24-26'!EI334</f>
        <v>66.72</v>
      </c>
      <c r="CO473" s="1065">
        <f>'No Recurrentes 24-26'!EJ334</f>
        <v>56.71</v>
      </c>
      <c r="CP473" s="1060" t="str">
        <f>'No Recurrentes 24-26'!EK334</f>
        <v/>
      </c>
    </row>
    <row r="474">
      <c r="A474" s="451" t="str">
        <f>'No Recurrentes 24-26'!A339</f>
        <v>Repuestos Electromecánicos no recurrentes</v>
      </c>
      <c r="B474" s="451">
        <f>'No Recurrentes 24-26'!B339</f>
        <v>2</v>
      </c>
      <c r="C474" s="451" t="str">
        <f>'No Recurrentes 24-26'!C339</f>
        <v>Estación</v>
      </c>
      <c r="D474" s="451" t="str">
        <f>'No Recurrentes 24-26'!D339</f>
        <v>Poleas de estacion</v>
      </c>
      <c r="E474" s="451" t="str">
        <f>'No Recurrentes 24-26'!E339</f>
        <v>Repuesto Mecánico</v>
      </c>
      <c r="F474" s="451" t="str">
        <f>'No Recurrentes 24-26'!F339</f>
        <v>TDB</v>
      </c>
      <c r="G474" s="1025" t="str">
        <f>'No Recurrentes 24-26'!G339</f>
        <v>39800</v>
      </c>
      <c r="H474" s="1061" t="str">
        <f>'No Recurrentes 24-26'!H339</f>
        <v>2-01-00057</v>
      </c>
      <c r="I474" s="1061" t="str">
        <f>'No Recurrentes 24-26'!I339</f>
        <v>10294771</v>
      </c>
      <c r="J474" s="1061" t="str">
        <f>'No Recurrentes 24-26'!J339</f>
        <v>CHAPA  E= 4  L= 150 A=100      UNIG              ELECTROGALV.</v>
      </c>
      <c r="K474" s="451" t="str">
        <f>'No Recurrentes 24-26'!K339</f>
        <v>Pza</v>
      </c>
      <c r="L474" s="451" t="str">
        <f>'No Recurrentes 24-26'!BC339</f>
        <v/>
      </c>
      <c r="M474" s="451" t="str">
        <f>'No Recurrentes 24-26'!BD339</f>
        <v/>
      </c>
      <c r="N474" s="451">
        <f>'No Recurrentes 24-26'!BE339</f>
        <v>4</v>
      </c>
      <c r="O474" s="451" t="str">
        <f>'No Recurrentes 24-26'!BF339</f>
        <v/>
      </c>
      <c r="P474" s="451" t="str">
        <f>'No Recurrentes 24-26'!BG339</f>
        <v/>
      </c>
      <c r="Q474" s="451" t="str">
        <f>'No Recurrentes 24-26'!BH339</f>
        <v/>
      </c>
      <c r="R474" s="451" t="str">
        <f>'No Recurrentes 24-26'!BI339</f>
        <v/>
      </c>
      <c r="S474" s="451" t="str">
        <f>'No Recurrentes 24-26'!BJ339</f>
        <v/>
      </c>
      <c r="T474" s="451" t="str">
        <f>'No Recurrentes 24-26'!BK339</f>
        <v/>
      </c>
      <c r="U474" s="451">
        <f>'No Recurrentes 24-26'!BL339</f>
        <v>1</v>
      </c>
      <c r="V474" s="1068"/>
      <c r="W474" s="1062">
        <f>'No Recurrentes 24-26'!BM339</f>
        <v>5</v>
      </c>
      <c r="X474" s="1062" t="str">
        <f>'No Recurrentes 24-26'!BN339</f>
        <v/>
      </c>
      <c r="Y474" s="1062" t="str">
        <f>'No Recurrentes 24-26'!BO339</f>
        <v/>
      </c>
      <c r="Z474" s="1062" t="str">
        <f>'No Recurrentes 24-26'!BP339</f>
        <v/>
      </c>
      <c r="AA474" s="1062" t="str">
        <f>'No Recurrentes 24-26'!BQ339</f>
        <v/>
      </c>
      <c r="AB474" s="1062" t="str">
        <f>'No Recurrentes 24-26'!BR339</f>
        <v/>
      </c>
      <c r="AC474" s="1062" t="str">
        <f>'No Recurrentes 24-26'!BS339</f>
        <v/>
      </c>
      <c r="AD474" s="1062" t="str">
        <f>'No Recurrentes 24-26'!BT339</f>
        <v/>
      </c>
      <c r="AE474" s="1062" t="str">
        <f>'No Recurrentes 24-26'!BU339</f>
        <v/>
      </c>
      <c r="AF474" s="1062" t="str">
        <f>'No Recurrentes 24-26'!BV339</f>
        <v/>
      </c>
      <c r="AG474" s="1062">
        <f>'No Recurrentes 24-26'!BW339</f>
        <v>1</v>
      </c>
      <c r="AH474" s="1068"/>
      <c r="AI474" s="1062">
        <f>'No Recurrentes 24-26'!BX339</f>
        <v>1</v>
      </c>
      <c r="AJ474" s="1062">
        <f>'No Recurrentes 24-26'!BY339</f>
        <v>0</v>
      </c>
      <c r="AK474" s="1062">
        <f>'No Recurrentes 24-26'!BZ339</f>
        <v>0</v>
      </c>
      <c r="AL474" s="1062">
        <f>'No Recurrentes 24-26'!CA339</f>
        <v>0</v>
      </c>
      <c r="AM474" s="1062">
        <f>'No Recurrentes 24-26'!CB339</f>
        <v>0</v>
      </c>
      <c r="AN474" s="1062">
        <f>'No Recurrentes 24-26'!CC339</f>
        <v>0</v>
      </c>
      <c r="AO474" s="1062">
        <f>'No Recurrentes 24-26'!CD339</f>
        <v>0</v>
      </c>
      <c r="AP474" s="1062">
        <f>'No Recurrentes 24-26'!CE339</f>
        <v>0</v>
      </c>
      <c r="AQ474" s="1062">
        <f>'No Recurrentes 24-26'!CF339</f>
        <v>0</v>
      </c>
      <c r="AR474" s="1062">
        <f>'No Recurrentes 24-26'!CG339</f>
        <v>0</v>
      </c>
      <c r="AS474" s="1062">
        <f>'No Recurrentes 24-26'!CH339</f>
        <v>0</v>
      </c>
      <c r="AT474" s="1068"/>
      <c r="AU474" s="1062">
        <f>'No Recurrentes 24-26'!CI339</f>
        <v>0</v>
      </c>
      <c r="AV474" s="1063">
        <f>'No Recurrentes 24-26'!CJ339</f>
        <v>6</v>
      </c>
      <c r="AW474" s="1068"/>
      <c r="AX474" s="1065">
        <f>'No Recurrentes 24-26'!CK339</f>
        <v>23</v>
      </c>
      <c r="AY474" s="1062">
        <f>'No Recurrentes 24-26'!CL339</f>
        <v>160.08</v>
      </c>
      <c r="AZ474" s="1068"/>
      <c r="BA474" s="1062">
        <f>'No Recurrentes 24-26'!CM339</f>
        <v>0</v>
      </c>
      <c r="BB474" s="1062">
        <f>'No Recurrentes 24-26'!CN339</f>
        <v>0</v>
      </c>
      <c r="BC474" s="1062">
        <f>'No Recurrentes 24-26'!CO339</f>
        <v>640.32</v>
      </c>
      <c r="BD474" s="1062">
        <f>'No Recurrentes 24-26'!CP339</f>
        <v>0</v>
      </c>
      <c r="BE474" s="1062">
        <f>'No Recurrentes 24-26'!CQ339</f>
        <v>0</v>
      </c>
      <c r="BF474" s="1062">
        <f>'No Recurrentes 24-26'!CR339</f>
        <v>0</v>
      </c>
      <c r="BG474" s="1062">
        <f>'No Recurrentes 24-26'!CS339</f>
        <v>0</v>
      </c>
      <c r="BH474" s="1062">
        <f>'No Recurrentes 24-26'!CT339</f>
        <v>0</v>
      </c>
      <c r="BI474" s="1062">
        <f>'No Recurrentes 24-26'!CU339</f>
        <v>0</v>
      </c>
      <c r="BJ474" s="1062">
        <f>'No Recurrentes 24-26'!CV339</f>
        <v>160.08</v>
      </c>
      <c r="BK474" s="1068"/>
      <c r="BL474" s="1062">
        <f>'No Recurrentes 24-26'!CW339</f>
        <v>800.4</v>
      </c>
      <c r="BM474" s="1062">
        <f>'No Recurrentes 24-26'!CX339</f>
        <v>0</v>
      </c>
      <c r="BN474" s="1062">
        <f>'No Recurrentes 24-26'!CY339</f>
        <v>0</v>
      </c>
      <c r="BO474" s="1062">
        <f>'No Recurrentes 24-26'!CZ339</f>
        <v>0</v>
      </c>
      <c r="BP474" s="1062">
        <f>'No Recurrentes 24-26'!DA339</f>
        <v>0</v>
      </c>
      <c r="BQ474" s="1062">
        <f>'No Recurrentes 24-26'!DB339</f>
        <v>0</v>
      </c>
      <c r="BR474" s="1062">
        <f>'No Recurrentes 24-26'!DC339</f>
        <v>0</v>
      </c>
      <c r="BS474" s="1062">
        <f>'No Recurrentes 24-26'!DD339</f>
        <v>0</v>
      </c>
      <c r="BT474" s="1062">
        <f>'No Recurrentes 24-26'!DE339</f>
        <v>0</v>
      </c>
      <c r="BU474" s="1062">
        <f>'No Recurrentes 24-26'!DF339</f>
        <v>0</v>
      </c>
      <c r="BV474" s="1062">
        <f>'No Recurrentes 24-26'!DG339</f>
        <v>160.08</v>
      </c>
      <c r="BW474" s="1068"/>
      <c r="BX474" s="1062">
        <f>'No Recurrentes 24-26'!DH339</f>
        <v>160.08</v>
      </c>
      <c r="BY474" s="1062">
        <f>'No Recurrentes 24-26'!DI339</f>
        <v>0</v>
      </c>
      <c r="BZ474" s="1062">
        <f>'No Recurrentes 24-26'!DJ339</f>
        <v>0</v>
      </c>
      <c r="CA474" s="1062">
        <f>'No Recurrentes 24-26'!DK339</f>
        <v>0</v>
      </c>
      <c r="CB474" s="1062">
        <f>'No Recurrentes 24-26'!DL339</f>
        <v>0</v>
      </c>
      <c r="CC474" s="1062">
        <f>'No Recurrentes 24-26'!DM339</f>
        <v>0</v>
      </c>
      <c r="CD474" s="1062">
        <f>'No Recurrentes 24-26'!DN339</f>
        <v>0</v>
      </c>
      <c r="CE474" s="1062">
        <f>'No Recurrentes 24-26'!DO339</f>
        <v>0</v>
      </c>
      <c r="CF474" s="1062">
        <f>'No Recurrentes 24-26'!DP339</f>
        <v>0</v>
      </c>
      <c r="CG474" s="1062">
        <f>'No Recurrentes 24-26'!DQ339</f>
        <v>0</v>
      </c>
      <c r="CH474" s="1062">
        <f>'No Recurrentes 24-26'!DR339</f>
        <v>0</v>
      </c>
      <c r="CI474" s="1068"/>
      <c r="CJ474" s="1062">
        <f>'No Recurrentes 24-26'!DS339</f>
        <v>0</v>
      </c>
      <c r="CK474" s="1062">
        <f>'No Recurrentes 24-26'!DT339</f>
        <v>960.48</v>
      </c>
      <c r="CL474" s="1064" t="str">
        <f>'No Recurrentes 24-26'!DU339</f>
        <v/>
      </c>
      <c r="CM474" s="1064" t="str">
        <f>'No Recurrentes 24-26'!DV339</f>
        <v/>
      </c>
      <c r="CN474" s="1065">
        <f>'No Recurrentes 24-26'!EI335</f>
        <v>36.46</v>
      </c>
      <c r="CO474" s="1065">
        <f>'No Recurrentes 24-26'!EJ335</f>
        <v>30.99</v>
      </c>
      <c r="CP474" s="1060" t="str">
        <f>'No Recurrentes 24-26'!EK335</f>
        <v/>
      </c>
    </row>
    <row r="475">
      <c r="A475" s="451" t="str">
        <f>'No Recurrentes 24-26'!A340</f>
        <v>Repuestos Electromecánicos no recurrentes</v>
      </c>
      <c r="B475" s="451">
        <f>'No Recurrentes 24-26'!B340</f>
        <v>2</v>
      </c>
      <c r="C475" s="451" t="str">
        <f>'No Recurrentes 24-26'!C340</f>
        <v>Estación</v>
      </c>
      <c r="D475" s="451" t="str">
        <f>'No Recurrentes 24-26'!D340</f>
        <v>Poleas de estacion</v>
      </c>
      <c r="E475" s="451" t="str">
        <f>'No Recurrentes 24-26'!E340</f>
        <v>Repuesto Mecánico</v>
      </c>
      <c r="F475" s="451" t="str">
        <f>'No Recurrentes 24-26'!F340</f>
        <v>TDB</v>
      </c>
      <c r="G475" s="1025" t="str">
        <f>'No Recurrentes 24-26'!G340</f>
        <v>39800</v>
      </c>
      <c r="H475" s="1061" t="str">
        <f>'No Recurrentes 24-26'!H340</f>
        <v>2-01-00035</v>
      </c>
      <c r="I475" s="1061" t="str">
        <f>'No Recurrentes 24-26'!I340</f>
        <v>10000400</v>
      </c>
      <c r="J475" s="1061" t="str">
        <f>'No Recurrentes 24-26'!J340</f>
        <v>CIRCLIP INTER. DIN 472  80X2,5 FOSFAT.</v>
      </c>
      <c r="K475" s="451" t="str">
        <f>'No Recurrentes 24-26'!K340</f>
        <v>Pza</v>
      </c>
      <c r="L475" s="451">
        <f>'No Recurrentes 24-26'!BC340</f>
        <v>10</v>
      </c>
      <c r="M475" s="451">
        <f>'No Recurrentes 24-26'!BD340</f>
        <v>5</v>
      </c>
      <c r="N475" s="451">
        <f>'No Recurrentes 24-26'!BE340</f>
        <v>15</v>
      </c>
      <c r="O475" s="451">
        <f>'No Recurrentes 24-26'!BF340</f>
        <v>10</v>
      </c>
      <c r="P475" s="451">
        <f>'No Recurrentes 24-26'!BG340</f>
        <v>10</v>
      </c>
      <c r="Q475" s="451">
        <f>'No Recurrentes 24-26'!BH340</f>
        <v>10</v>
      </c>
      <c r="R475" s="451" t="str">
        <f>'No Recurrentes 24-26'!BI340</f>
        <v/>
      </c>
      <c r="S475" s="451" t="str">
        <f>'No Recurrentes 24-26'!BJ340</f>
        <v/>
      </c>
      <c r="T475" s="451" t="str">
        <f>'No Recurrentes 24-26'!BK340</f>
        <v/>
      </c>
      <c r="U475" s="451" t="str">
        <f>'No Recurrentes 24-26'!BL340</f>
        <v/>
      </c>
      <c r="V475" s="1068"/>
      <c r="W475" s="1062">
        <f>'No Recurrentes 24-26'!BM340</f>
        <v>60</v>
      </c>
      <c r="X475" s="1062" t="str">
        <f>'No Recurrentes 24-26'!BN340</f>
        <v/>
      </c>
      <c r="Y475" s="1062" t="str">
        <f>'No Recurrentes 24-26'!BO340</f>
        <v/>
      </c>
      <c r="Z475" s="1062" t="str">
        <f>'No Recurrentes 24-26'!BP340</f>
        <v/>
      </c>
      <c r="AA475" s="1062" t="str">
        <f>'No Recurrentes 24-26'!BQ340</f>
        <v/>
      </c>
      <c r="AB475" s="1062" t="str">
        <f>'No Recurrentes 24-26'!BR340</f>
        <v/>
      </c>
      <c r="AC475" s="1062" t="str">
        <f>'No Recurrentes 24-26'!BS340</f>
        <v/>
      </c>
      <c r="AD475" s="1062" t="str">
        <f>'No Recurrentes 24-26'!BT340</f>
        <v/>
      </c>
      <c r="AE475" s="1062" t="str">
        <f>'No Recurrentes 24-26'!BU340</f>
        <v/>
      </c>
      <c r="AF475" s="1062" t="str">
        <f>'No Recurrentes 24-26'!BV340</f>
        <v/>
      </c>
      <c r="AG475" s="1062" t="str">
        <f>'No Recurrentes 24-26'!BW340</f>
        <v/>
      </c>
      <c r="AH475" s="1068"/>
      <c r="AI475" s="1062">
        <f>'No Recurrentes 24-26'!BX340</f>
        <v>0</v>
      </c>
      <c r="AJ475" s="1062">
        <f>'No Recurrentes 24-26'!BY340</f>
        <v>10</v>
      </c>
      <c r="AK475" s="1062">
        <f>'No Recurrentes 24-26'!BZ340</f>
        <v>5</v>
      </c>
      <c r="AL475" s="1062">
        <f>'No Recurrentes 24-26'!CA340</f>
        <v>15</v>
      </c>
      <c r="AM475" s="1062">
        <f>'No Recurrentes 24-26'!CB340</f>
        <v>10</v>
      </c>
      <c r="AN475" s="1062">
        <f>'No Recurrentes 24-26'!CC340</f>
        <v>10</v>
      </c>
      <c r="AO475" s="1062">
        <f>'No Recurrentes 24-26'!CD340</f>
        <v>10</v>
      </c>
      <c r="AP475" s="1062">
        <f>'No Recurrentes 24-26'!CE340</f>
        <v>0</v>
      </c>
      <c r="AQ475" s="1062">
        <f>'No Recurrentes 24-26'!CF340</f>
        <v>0</v>
      </c>
      <c r="AR475" s="1062">
        <f>'No Recurrentes 24-26'!CG340</f>
        <v>0</v>
      </c>
      <c r="AS475" s="1062">
        <f>'No Recurrentes 24-26'!CH340</f>
        <v>0</v>
      </c>
      <c r="AT475" s="1068"/>
      <c r="AU475" s="1062">
        <f>'No Recurrentes 24-26'!CI340</f>
        <v>60</v>
      </c>
      <c r="AV475" s="1063">
        <f>'No Recurrentes 24-26'!CJ340</f>
        <v>120</v>
      </c>
      <c r="AW475" s="1068"/>
      <c r="AX475" s="1065">
        <f>'No Recurrentes 24-26'!CK340</f>
        <v>1.61</v>
      </c>
      <c r="AY475" s="1062">
        <f>'No Recurrentes 24-26'!CL340</f>
        <v>11.2056</v>
      </c>
      <c r="AZ475" s="1068"/>
      <c r="BA475" s="1062">
        <f>'No Recurrentes 24-26'!CM340</f>
        <v>112.056</v>
      </c>
      <c r="BB475" s="1062">
        <f>'No Recurrentes 24-26'!CN340</f>
        <v>56.028</v>
      </c>
      <c r="BC475" s="1062">
        <f>'No Recurrentes 24-26'!CO340</f>
        <v>168.084</v>
      </c>
      <c r="BD475" s="1062">
        <f>'No Recurrentes 24-26'!CP340</f>
        <v>112.056</v>
      </c>
      <c r="BE475" s="1062">
        <f>'No Recurrentes 24-26'!CQ340</f>
        <v>112.056</v>
      </c>
      <c r="BF475" s="1062">
        <f>'No Recurrentes 24-26'!CR340</f>
        <v>112.056</v>
      </c>
      <c r="BG475" s="1062">
        <f>'No Recurrentes 24-26'!CS340</f>
        <v>0</v>
      </c>
      <c r="BH475" s="1062">
        <f>'No Recurrentes 24-26'!CT340</f>
        <v>0</v>
      </c>
      <c r="BI475" s="1062">
        <f>'No Recurrentes 24-26'!CU340</f>
        <v>0</v>
      </c>
      <c r="BJ475" s="1062">
        <f>'No Recurrentes 24-26'!CV340</f>
        <v>0</v>
      </c>
      <c r="BK475" s="1068"/>
      <c r="BL475" s="1062">
        <f>'No Recurrentes 24-26'!CW340</f>
        <v>672.336</v>
      </c>
      <c r="BM475" s="1062">
        <f>'No Recurrentes 24-26'!CX340</f>
        <v>0</v>
      </c>
      <c r="BN475" s="1062">
        <f>'No Recurrentes 24-26'!CY340</f>
        <v>0</v>
      </c>
      <c r="BO475" s="1062">
        <f>'No Recurrentes 24-26'!CZ340</f>
        <v>0</v>
      </c>
      <c r="BP475" s="1062">
        <f>'No Recurrentes 24-26'!DA340</f>
        <v>0</v>
      </c>
      <c r="BQ475" s="1062">
        <f>'No Recurrentes 24-26'!DB340</f>
        <v>0</v>
      </c>
      <c r="BR475" s="1062">
        <f>'No Recurrentes 24-26'!DC340</f>
        <v>0</v>
      </c>
      <c r="BS475" s="1062">
        <f>'No Recurrentes 24-26'!DD340</f>
        <v>0</v>
      </c>
      <c r="BT475" s="1062">
        <f>'No Recurrentes 24-26'!DE340</f>
        <v>0</v>
      </c>
      <c r="BU475" s="1062">
        <f>'No Recurrentes 24-26'!DF340</f>
        <v>0</v>
      </c>
      <c r="BV475" s="1062">
        <f>'No Recurrentes 24-26'!DG340</f>
        <v>0</v>
      </c>
      <c r="BW475" s="1068"/>
      <c r="BX475" s="1062">
        <f>'No Recurrentes 24-26'!DH340</f>
        <v>0</v>
      </c>
      <c r="BY475" s="1062">
        <f>'No Recurrentes 24-26'!DI340</f>
        <v>112.056</v>
      </c>
      <c r="BZ475" s="1062">
        <f>'No Recurrentes 24-26'!DJ340</f>
        <v>56.028</v>
      </c>
      <c r="CA475" s="1062">
        <f>'No Recurrentes 24-26'!DK340</f>
        <v>168.084</v>
      </c>
      <c r="CB475" s="1062">
        <f>'No Recurrentes 24-26'!DL340</f>
        <v>112.056</v>
      </c>
      <c r="CC475" s="1062">
        <f>'No Recurrentes 24-26'!DM340</f>
        <v>112.056</v>
      </c>
      <c r="CD475" s="1062">
        <f>'No Recurrentes 24-26'!DN340</f>
        <v>112.056</v>
      </c>
      <c r="CE475" s="1062">
        <f>'No Recurrentes 24-26'!DO340</f>
        <v>0</v>
      </c>
      <c r="CF475" s="1062">
        <f>'No Recurrentes 24-26'!DP340</f>
        <v>0</v>
      </c>
      <c r="CG475" s="1062">
        <f>'No Recurrentes 24-26'!DQ340</f>
        <v>0</v>
      </c>
      <c r="CH475" s="1062">
        <f>'No Recurrentes 24-26'!DR340</f>
        <v>0</v>
      </c>
      <c r="CI475" s="1068"/>
      <c r="CJ475" s="1062">
        <f>'No Recurrentes 24-26'!DS340</f>
        <v>672.336</v>
      </c>
      <c r="CK475" s="1062">
        <f>'No Recurrentes 24-26'!DT340</f>
        <v>1344.672</v>
      </c>
      <c r="CL475" s="1064" t="str">
        <f>'No Recurrentes 24-26'!DU340</f>
        <v/>
      </c>
      <c r="CM475" s="1064" t="str">
        <f>'No Recurrentes 24-26'!DV340</f>
        <v/>
      </c>
      <c r="CN475" s="1065">
        <f>'No Recurrentes 24-26'!EI336</f>
        <v>16.23</v>
      </c>
      <c r="CO475" s="1065">
        <f>'No Recurrentes 24-26'!EJ336</f>
        <v>13.8</v>
      </c>
      <c r="CP475" s="1060" t="str">
        <f>'No Recurrentes 24-26'!EK336</f>
        <v/>
      </c>
    </row>
    <row r="476">
      <c r="A476" s="451" t="str">
        <f>'No Recurrentes 24-26'!A341</f>
        <v>Repuestos Electromecánicos no recurrentes</v>
      </c>
      <c r="B476" s="451">
        <f>'No Recurrentes 24-26'!B341</f>
        <v>2</v>
      </c>
      <c r="C476" s="451" t="str">
        <f>'No Recurrentes 24-26'!C341</f>
        <v>Estación</v>
      </c>
      <c r="D476" s="451" t="str">
        <f>'No Recurrentes 24-26'!D341</f>
        <v>Poleas de estacion</v>
      </c>
      <c r="E476" s="451" t="str">
        <f>'No Recurrentes 24-26'!E341</f>
        <v>Repuesto Mecánico</v>
      </c>
      <c r="F476" s="451" t="str">
        <f>'No Recurrentes 24-26'!F341</f>
        <v>TDB</v>
      </c>
      <c r="G476" s="1025" t="str">
        <f>'No Recurrentes 24-26'!G341</f>
        <v>39800</v>
      </c>
      <c r="H476" s="1061" t="str">
        <f>'No Recurrentes 24-26'!H341</f>
        <v>2-01-00058</v>
      </c>
      <c r="I476" s="1061" t="str">
        <f>'No Recurrentes 24-26'!I341</f>
        <v>10294788</v>
      </c>
      <c r="J476" s="1061" t="str">
        <f>'No Recurrentes 24-26'!J341</f>
        <v>CHAPA CURVA   E=3 L=145 A=64   UNIG                     GALV.</v>
      </c>
      <c r="K476" s="451" t="str">
        <f>'No Recurrentes 24-26'!K341</f>
        <v>Pza</v>
      </c>
      <c r="L476" s="451" t="str">
        <f>'No Recurrentes 24-26'!BC341</f>
        <v/>
      </c>
      <c r="M476" s="451" t="str">
        <f>'No Recurrentes 24-26'!BD341</f>
        <v/>
      </c>
      <c r="N476" s="451">
        <f>'No Recurrentes 24-26'!BE341</f>
        <v>4</v>
      </c>
      <c r="O476" s="451" t="str">
        <f>'No Recurrentes 24-26'!BF341</f>
        <v/>
      </c>
      <c r="P476" s="451" t="str">
        <f>'No Recurrentes 24-26'!BG341</f>
        <v/>
      </c>
      <c r="Q476" s="451" t="str">
        <f>'No Recurrentes 24-26'!BH341</f>
        <v/>
      </c>
      <c r="R476" s="451" t="str">
        <f>'No Recurrentes 24-26'!BI341</f>
        <v/>
      </c>
      <c r="S476" s="451" t="str">
        <f>'No Recurrentes 24-26'!BJ341</f>
        <v/>
      </c>
      <c r="T476" s="451" t="str">
        <f>'No Recurrentes 24-26'!BK341</f>
        <v/>
      </c>
      <c r="U476" s="451">
        <f>'No Recurrentes 24-26'!BL341</f>
        <v>1</v>
      </c>
      <c r="V476" s="1068"/>
      <c r="W476" s="1062">
        <f>'No Recurrentes 24-26'!BM341</f>
        <v>5</v>
      </c>
      <c r="X476" s="1062" t="str">
        <f>'No Recurrentes 24-26'!BN341</f>
        <v/>
      </c>
      <c r="Y476" s="1062" t="str">
        <f>'No Recurrentes 24-26'!BO341</f>
        <v/>
      </c>
      <c r="Z476" s="1062" t="str">
        <f>'No Recurrentes 24-26'!BP341</f>
        <v/>
      </c>
      <c r="AA476" s="1062" t="str">
        <f>'No Recurrentes 24-26'!BQ341</f>
        <v/>
      </c>
      <c r="AB476" s="1062" t="str">
        <f>'No Recurrentes 24-26'!BR341</f>
        <v/>
      </c>
      <c r="AC476" s="1062" t="str">
        <f>'No Recurrentes 24-26'!BS341</f>
        <v/>
      </c>
      <c r="AD476" s="1062" t="str">
        <f>'No Recurrentes 24-26'!BT341</f>
        <v/>
      </c>
      <c r="AE476" s="1062" t="str">
        <f>'No Recurrentes 24-26'!BU341</f>
        <v/>
      </c>
      <c r="AF476" s="1062" t="str">
        <f>'No Recurrentes 24-26'!BV341</f>
        <v/>
      </c>
      <c r="AG476" s="1062">
        <f>'No Recurrentes 24-26'!BW341</f>
        <v>1</v>
      </c>
      <c r="AH476" s="1068"/>
      <c r="AI476" s="1062">
        <f>'No Recurrentes 24-26'!BX341</f>
        <v>1</v>
      </c>
      <c r="AJ476" s="1062">
        <f>'No Recurrentes 24-26'!BY341</f>
        <v>0</v>
      </c>
      <c r="AK476" s="1062">
        <f>'No Recurrentes 24-26'!BZ341</f>
        <v>0</v>
      </c>
      <c r="AL476" s="1062">
        <f>'No Recurrentes 24-26'!CA341</f>
        <v>0</v>
      </c>
      <c r="AM476" s="1062">
        <f>'No Recurrentes 24-26'!CB341</f>
        <v>0</v>
      </c>
      <c r="AN476" s="1062">
        <f>'No Recurrentes 24-26'!CC341</f>
        <v>0</v>
      </c>
      <c r="AO476" s="1062">
        <f>'No Recurrentes 24-26'!CD341</f>
        <v>0</v>
      </c>
      <c r="AP476" s="1062">
        <f>'No Recurrentes 24-26'!CE341</f>
        <v>0</v>
      </c>
      <c r="AQ476" s="1062">
        <f>'No Recurrentes 24-26'!CF341</f>
        <v>0</v>
      </c>
      <c r="AR476" s="1062">
        <f>'No Recurrentes 24-26'!CG341</f>
        <v>0</v>
      </c>
      <c r="AS476" s="1062">
        <f>'No Recurrentes 24-26'!CH341</f>
        <v>0</v>
      </c>
      <c r="AT476" s="1068"/>
      <c r="AU476" s="1062">
        <f>'No Recurrentes 24-26'!CI341</f>
        <v>0</v>
      </c>
      <c r="AV476" s="1063">
        <f>'No Recurrentes 24-26'!CJ341</f>
        <v>6</v>
      </c>
      <c r="AW476" s="1068"/>
      <c r="AX476" s="1065">
        <f>'No Recurrentes 24-26'!CK341</f>
        <v>14.57</v>
      </c>
      <c r="AY476" s="1062">
        <f>'No Recurrentes 24-26'!CL341</f>
        <v>101.4072</v>
      </c>
      <c r="AZ476" s="1068"/>
      <c r="BA476" s="1062">
        <f>'No Recurrentes 24-26'!CM341</f>
        <v>0</v>
      </c>
      <c r="BB476" s="1062">
        <f>'No Recurrentes 24-26'!CN341</f>
        <v>0</v>
      </c>
      <c r="BC476" s="1062">
        <f>'No Recurrentes 24-26'!CO341</f>
        <v>405.6288</v>
      </c>
      <c r="BD476" s="1062">
        <f>'No Recurrentes 24-26'!CP341</f>
        <v>0</v>
      </c>
      <c r="BE476" s="1062">
        <f>'No Recurrentes 24-26'!CQ341</f>
        <v>0</v>
      </c>
      <c r="BF476" s="1062">
        <f>'No Recurrentes 24-26'!CR341</f>
        <v>0</v>
      </c>
      <c r="BG476" s="1062">
        <f>'No Recurrentes 24-26'!CS341</f>
        <v>0</v>
      </c>
      <c r="BH476" s="1062">
        <f>'No Recurrentes 24-26'!CT341</f>
        <v>0</v>
      </c>
      <c r="BI476" s="1062">
        <f>'No Recurrentes 24-26'!CU341</f>
        <v>0</v>
      </c>
      <c r="BJ476" s="1062">
        <f>'No Recurrentes 24-26'!CV341</f>
        <v>101.4072</v>
      </c>
      <c r="BK476" s="1068"/>
      <c r="BL476" s="1062">
        <f>'No Recurrentes 24-26'!CW341</f>
        <v>507.036</v>
      </c>
      <c r="BM476" s="1062">
        <f>'No Recurrentes 24-26'!CX341</f>
        <v>0</v>
      </c>
      <c r="BN476" s="1062">
        <f>'No Recurrentes 24-26'!CY341</f>
        <v>0</v>
      </c>
      <c r="BO476" s="1062">
        <f>'No Recurrentes 24-26'!CZ341</f>
        <v>0</v>
      </c>
      <c r="BP476" s="1062">
        <f>'No Recurrentes 24-26'!DA341</f>
        <v>0</v>
      </c>
      <c r="BQ476" s="1062">
        <f>'No Recurrentes 24-26'!DB341</f>
        <v>0</v>
      </c>
      <c r="BR476" s="1062">
        <f>'No Recurrentes 24-26'!DC341</f>
        <v>0</v>
      </c>
      <c r="BS476" s="1062">
        <f>'No Recurrentes 24-26'!DD341</f>
        <v>0</v>
      </c>
      <c r="BT476" s="1062">
        <f>'No Recurrentes 24-26'!DE341</f>
        <v>0</v>
      </c>
      <c r="BU476" s="1062">
        <f>'No Recurrentes 24-26'!DF341</f>
        <v>0</v>
      </c>
      <c r="BV476" s="1062">
        <f>'No Recurrentes 24-26'!DG341</f>
        <v>101.4072</v>
      </c>
      <c r="BW476" s="1068"/>
      <c r="BX476" s="1062">
        <f>'No Recurrentes 24-26'!DH341</f>
        <v>101.4072</v>
      </c>
      <c r="BY476" s="1062">
        <f>'No Recurrentes 24-26'!DI341</f>
        <v>0</v>
      </c>
      <c r="BZ476" s="1062">
        <f>'No Recurrentes 24-26'!DJ341</f>
        <v>0</v>
      </c>
      <c r="CA476" s="1062">
        <f>'No Recurrentes 24-26'!DK341</f>
        <v>0</v>
      </c>
      <c r="CB476" s="1062">
        <f>'No Recurrentes 24-26'!DL341</f>
        <v>0</v>
      </c>
      <c r="CC476" s="1062">
        <f>'No Recurrentes 24-26'!DM341</f>
        <v>0</v>
      </c>
      <c r="CD476" s="1062">
        <f>'No Recurrentes 24-26'!DN341</f>
        <v>0</v>
      </c>
      <c r="CE476" s="1062">
        <f>'No Recurrentes 24-26'!DO341</f>
        <v>0</v>
      </c>
      <c r="CF476" s="1062">
        <f>'No Recurrentes 24-26'!DP341</f>
        <v>0</v>
      </c>
      <c r="CG476" s="1062">
        <f>'No Recurrentes 24-26'!DQ341</f>
        <v>0</v>
      </c>
      <c r="CH476" s="1062">
        <f>'No Recurrentes 24-26'!DR341</f>
        <v>0</v>
      </c>
      <c r="CI476" s="1068"/>
      <c r="CJ476" s="1062">
        <f>'No Recurrentes 24-26'!DS341</f>
        <v>0</v>
      </c>
      <c r="CK476" s="1062">
        <f>'No Recurrentes 24-26'!DT341</f>
        <v>608.4432</v>
      </c>
      <c r="CL476" s="1064" t="str">
        <f>'No Recurrentes 24-26'!DU341</f>
        <v/>
      </c>
      <c r="CM476" s="1064" t="str">
        <f>'No Recurrentes 24-26'!DV341</f>
        <v/>
      </c>
      <c r="CN476" s="1065">
        <f>'No Recurrentes 24-26'!EI337</f>
        <v>4.73</v>
      </c>
      <c r="CO476" s="1065">
        <f>'No Recurrentes 24-26'!EJ337</f>
        <v>4.02</v>
      </c>
      <c r="CP476" s="1060" t="str">
        <f>'No Recurrentes 24-26'!EK337</f>
        <v/>
      </c>
    </row>
    <row r="477">
      <c r="A477" s="451" t="str">
        <f>'No Recurrentes 24-26'!A342</f>
        <v>Repuestos Electromecánicos no recurrentes</v>
      </c>
      <c r="B477" s="451">
        <f>'No Recurrentes 24-26'!B342</f>
        <v>2</v>
      </c>
      <c r="C477" s="451" t="str">
        <f>'No Recurrentes 24-26'!C342</f>
        <v>Estación</v>
      </c>
      <c r="D477" s="451" t="str">
        <f>'No Recurrentes 24-26'!D342</f>
        <v>Poleas de estacion</v>
      </c>
      <c r="E477" s="451" t="str">
        <f>'No Recurrentes 24-26'!E342</f>
        <v>Repuesto Mecánico</v>
      </c>
      <c r="F477" s="451" t="str">
        <f>'No Recurrentes 24-26'!F342</f>
        <v>TDB</v>
      </c>
      <c r="G477" s="1025" t="str">
        <f>'No Recurrentes 24-26'!G342</f>
        <v>39800</v>
      </c>
      <c r="H477" s="1061" t="str">
        <f>'No Recurrentes 24-26'!H342</f>
        <v>2-01-00238</v>
      </c>
      <c r="I477" s="1061" t="str">
        <f>'No Recurrentes 24-26'!I342</f>
        <v>10220577</v>
      </c>
      <c r="J477" s="1061" t="str">
        <f>'No Recurrentes 24-26'!J342</f>
        <v>ARANDELA AJ. DIN 988 50X62X0,5 DESNUDO, ACEITADO</v>
      </c>
      <c r="K477" s="451" t="str">
        <f>'No Recurrentes 24-26'!K342</f>
        <v>Pza</v>
      </c>
      <c r="L477" s="451">
        <f>'No Recurrentes 24-26'!BC342</f>
        <v>10</v>
      </c>
      <c r="M477" s="451">
        <f>'No Recurrentes 24-26'!BD342</f>
        <v>10</v>
      </c>
      <c r="N477" s="451">
        <f>'No Recurrentes 24-26'!BE342</f>
        <v>10</v>
      </c>
      <c r="O477" s="451">
        <f>'No Recurrentes 24-26'!BF342</f>
        <v>10</v>
      </c>
      <c r="P477" s="451">
        <f>'No Recurrentes 24-26'!BG342</f>
        <v>10</v>
      </c>
      <c r="Q477" s="451">
        <f>'No Recurrentes 24-26'!BH342</f>
        <v>10</v>
      </c>
      <c r="R477" s="451" t="str">
        <f>'No Recurrentes 24-26'!BI342</f>
        <v/>
      </c>
      <c r="S477" s="451" t="str">
        <f>'No Recurrentes 24-26'!BJ342</f>
        <v/>
      </c>
      <c r="T477" s="451" t="str">
        <f>'No Recurrentes 24-26'!BK342</f>
        <v/>
      </c>
      <c r="U477" s="451" t="str">
        <f>'No Recurrentes 24-26'!BL342</f>
        <v/>
      </c>
      <c r="V477" s="1068"/>
      <c r="W477" s="1062">
        <f>'No Recurrentes 24-26'!BM342</f>
        <v>60</v>
      </c>
      <c r="X477" s="1062" t="str">
        <f>'No Recurrentes 24-26'!BN342</f>
        <v/>
      </c>
      <c r="Y477" s="1062" t="str">
        <f>'No Recurrentes 24-26'!BO342</f>
        <v/>
      </c>
      <c r="Z477" s="1062" t="str">
        <f>'No Recurrentes 24-26'!BP342</f>
        <v/>
      </c>
      <c r="AA477" s="1062" t="str">
        <f>'No Recurrentes 24-26'!BQ342</f>
        <v/>
      </c>
      <c r="AB477" s="1062" t="str">
        <f>'No Recurrentes 24-26'!BR342</f>
        <v/>
      </c>
      <c r="AC477" s="1062" t="str">
        <f>'No Recurrentes 24-26'!BS342</f>
        <v/>
      </c>
      <c r="AD477" s="1062" t="str">
        <f>'No Recurrentes 24-26'!BT342</f>
        <v/>
      </c>
      <c r="AE477" s="1062" t="str">
        <f>'No Recurrentes 24-26'!BU342</f>
        <v/>
      </c>
      <c r="AF477" s="1062" t="str">
        <f>'No Recurrentes 24-26'!BV342</f>
        <v/>
      </c>
      <c r="AG477" s="1062" t="str">
        <f>'No Recurrentes 24-26'!BW342</f>
        <v/>
      </c>
      <c r="AH477" s="1068"/>
      <c r="AI477" s="1062">
        <f>'No Recurrentes 24-26'!BX342</f>
        <v>0</v>
      </c>
      <c r="AJ477" s="1062">
        <f>'No Recurrentes 24-26'!BY342</f>
        <v>0</v>
      </c>
      <c r="AK477" s="1062">
        <f>'No Recurrentes 24-26'!BZ342</f>
        <v>0</v>
      </c>
      <c r="AL477" s="1062">
        <f>'No Recurrentes 24-26'!CA342</f>
        <v>0</v>
      </c>
      <c r="AM477" s="1062">
        <f>'No Recurrentes 24-26'!CB342</f>
        <v>10</v>
      </c>
      <c r="AN477" s="1062">
        <f>'No Recurrentes 24-26'!CC342</f>
        <v>10</v>
      </c>
      <c r="AO477" s="1062">
        <f>'No Recurrentes 24-26'!CD342</f>
        <v>10</v>
      </c>
      <c r="AP477" s="1062">
        <f>'No Recurrentes 24-26'!CE342</f>
        <v>0</v>
      </c>
      <c r="AQ477" s="1062">
        <f>'No Recurrentes 24-26'!CF342</f>
        <v>0</v>
      </c>
      <c r="AR477" s="1062">
        <f>'No Recurrentes 24-26'!CG342</f>
        <v>0</v>
      </c>
      <c r="AS477" s="1062">
        <f>'No Recurrentes 24-26'!CH342</f>
        <v>0</v>
      </c>
      <c r="AT477" s="1068"/>
      <c r="AU477" s="1062">
        <f>'No Recurrentes 24-26'!CI342</f>
        <v>30</v>
      </c>
      <c r="AV477" s="1063">
        <f>'No Recurrentes 24-26'!CJ342</f>
        <v>90</v>
      </c>
      <c r="AW477" s="1068"/>
      <c r="AX477" s="1065">
        <f>'No Recurrentes 24-26'!CK342</f>
        <v>0.46</v>
      </c>
      <c r="AY477" s="1062">
        <f>'No Recurrentes 24-26'!CL342</f>
        <v>3.2016</v>
      </c>
      <c r="AZ477" s="1068"/>
      <c r="BA477" s="1062">
        <f>'No Recurrentes 24-26'!CM342</f>
        <v>32.016</v>
      </c>
      <c r="BB477" s="1062">
        <f>'No Recurrentes 24-26'!CN342</f>
        <v>32.016</v>
      </c>
      <c r="BC477" s="1062">
        <f>'No Recurrentes 24-26'!CO342</f>
        <v>32.016</v>
      </c>
      <c r="BD477" s="1062">
        <f>'No Recurrentes 24-26'!CP342</f>
        <v>32.016</v>
      </c>
      <c r="BE477" s="1062">
        <f>'No Recurrentes 24-26'!CQ342</f>
        <v>32.016</v>
      </c>
      <c r="BF477" s="1062">
        <f>'No Recurrentes 24-26'!CR342</f>
        <v>32.016</v>
      </c>
      <c r="BG477" s="1062">
        <f>'No Recurrentes 24-26'!CS342</f>
        <v>0</v>
      </c>
      <c r="BH477" s="1062">
        <f>'No Recurrentes 24-26'!CT342</f>
        <v>0</v>
      </c>
      <c r="BI477" s="1062">
        <f>'No Recurrentes 24-26'!CU342</f>
        <v>0</v>
      </c>
      <c r="BJ477" s="1062">
        <f>'No Recurrentes 24-26'!CV342</f>
        <v>0</v>
      </c>
      <c r="BK477" s="1068"/>
      <c r="BL477" s="1062">
        <f>'No Recurrentes 24-26'!CW342</f>
        <v>192.096</v>
      </c>
      <c r="BM477" s="1062">
        <f>'No Recurrentes 24-26'!CX342</f>
        <v>0</v>
      </c>
      <c r="BN477" s="1062">
        <f>'No Recurrentes 24-26'!CY342</f>
        <v>0</v>
      </c>
      <c r="BO477" s="1062">
        <f>'No Recurrentes 24-26'!CZ342</f>
        <v>0</v>
      </c>
      <c r="BP477" s="1062">
        <f>'No Recurrentes 24-26'!DA342</f>
        <v>0</v>
      </c>
      <c r="BQ477" s="1062">
        <f>'No Recurrentes 24-26'!DB342</f>
        <v>0</v>
      </c>
      <c r="BR477" s="1062">
        <f>'No Recurrentes 24-26'!DC342</f>
        <v>0</v>
      </c>
      <c r="BS477" s="1062">
        <f>'No Recurrentes 24-26'!DD342</f>
        <v>0</v>
      </c>
      <c r="BT477" s="1062">
        <f>'No Recurrentes 24-26'!DE342</f>
        <v>0</v>
      </c>
      <c r="BU477" s="1062">
        <f>'No Recurrentes 24-26'!DF342</f>
        <v>0</v>
      </c>
      <c r="BV477" s="1062">
        <f>'No Recurrentes 24-26'!DG342</f>
        <v>0</v>
      </c>
      <c r="BW477" s="1068"/>
      <c r="BX477" s="1062">
        <f>'No Recurrentes 24-26'!DH342</f>
        <v>0</v>
      </c>
      <c r="BY477" s="1062">
        <f>'No Recurrentes 24-26'!DI342</f>
        <v>0</v>
      </c>
      <c r="BZ477" s="1062">
        <f>'No Recurrentes 24-26'!DJ342</f>
        <v>0</v>
      </c>
      <c r="CA477" s="1062">
        <f>'No Recurrentes 24-26'!DK342</f>
        <v>0</v>
      </c>
      <c r="CB477" s="1062">
        <f>'No Recurrentes 24-26'!DL342</f>
        <v>32.016</v>
      </c>
      <c r="CC477" s="1062">
        <f>'No Recurrentes 24-26'!DM342</f>
        <v>32.016</v>
      </c>
      <c r="CD477" s="1062">
        <f>'No Recurrentes 24-26'!DN342</f>
        <v>32.016</v>
      </c>
      <c r="CE477" s="1062">
        <f>'No Recurrentes 24-26'!DO342</f>
        <v>0</v>
      </c>
      <c r="CF477" s="1062">
        <f>'No Recurrentes 24-26'!DP342</f>
        <v>0</v>
      </c>
      <c r="CG477" s="1062">
        <f>'No Recurrentes 24-26'!DQ342</f>
        <v>0</v>
      </c>
      <c r="CH477" s="1062">
        <f>'No Recurrentes 24-26'!DR342</f>
        <v>0</v>
      </c>
      <c r="CI477" s="1068"/>
      <c r="CJ477" s="1062">
        <f>'No Recurrentes 24-26'!DS342</f>
        <v>96.048</v>
      </c>
      <c r="CK477" s="1062">
        <f>'No Recurrentes 24-26'!DT342</f>
        <v>288.144</v>
      </c>
      <c r="CL477" s="1064" t="str">
        <f>'No Recurrentes 24-26'!DU342</f>
        <v/>
      </c>
      <c r="CM477" s="1064" t="str">
        <f>'No Recurrentes 24-26'!DV342</f>
        <v/>
      </c>
      <c r="CN477" s="1065">
        <f>'No Recurrentes 24-26'!EI338</f>
        <v>12.34</v>
      </c>
      <c r="CO477" s="1065">
        <f>'No Recurrentes 24-26'!EJ338</f>
        <v>10.49</v>
      </c>
      <c r="CP477" s="1060" t="str">
        <f>'No Recurrentes 24-26'!EK338</f>
        <v/>
      </c>
    </row>
    <row r="478">
      <c r="A478" s="451" t="str">
        <f>'No Recurrentes 24-26'!A343</f>
        <v>Repuestos Electromecánicos no recurrentes</v>
      </c>
      <c r="B478" s="451">
        <f>'No Recurrentes 24-26'!B343</f>
        <v>2</v>
      </c>
      <c r="C478" s="451" t="str">
        <f>'No Recurrentes 24-26'!C343</f>
        <v>Estación</v>
      </c>
      <c r="D478" s="451" t="str">
        <f>'No Recurrentes 24-26'!D343</f>
        <v>Poleas de estacion</v>
      </c>
      <c r="E478" s="451" t="str">
        <f>'No Recurrentes 24-26'!E343</f>
        <v>Repuesto Mecánico</v>
      </c>
      <c r="F478" s="451" t="str">
        <f>'No Recurrentes 24-26'!F343</f>
        <v>TDB</v>
      </c>
      <c r="G478" s="1061" t="str">
        <f>'No Recurrentes 24-26'!G343</f>
        <v>34300</v>
      </c>
      <c r="H478" s="1061" t="str">
        <f>'No Recurrentes 24-26'!H343</f>
        <v>2-01-00326</v>
      </c>
      <c r="I478" s="1061" t="str">
        <f>'No Recurrentes 24-26'!I343</f>
        <v>10186108</v>
      </c>
      <c r="J478" s="1061" t="str">
        <f>'No Recurrentes 24-26'!J343</f>
        <v>LLANTA DE POLEA 403 330X120    </v>
      </c>
      <c r="K478" s="451" t="str">
        <f>'No Recurrentes 24-26'!K343</f>
        <v>Pza</v>
      </c>
      <c r="L478" s="451" t="str">
        <f>'No Recurrentes 24-26'!BC343</f>
        <v/>
      </c>
      <c r="M478" s="451" t="str">
        <f>'No Recurrentes 24-26'!BD343</f>
        <v/>
      </c>
      <c r="N478" s="451" t="str">
        <f>'No Recurrentes 24-26'!BE343</f>
        <v/>
      </c>
      <c r="O478" s="451" t="str">
        <f>'No Recurrentes 24-26'!BF343</f>
        <v/>
      </c>
      <c r="P478" s="451" t="str">
        <f>'No Recurrentes 24-26'!BG343</f>
        <v/>
      </c>
      <c r="Q478" s="451" t="str">
        <f>'No Recurrentes 24-26'!BH343</f>
        <v/>
      </c>
      <c r="R478" s="451" t="str">
        <f>'No Recurrentes 24-26'!BI343</f>
        <v/>
      </c>
      <c r="S478" s="451" t="str">
        <f>'No Recurrentes 24-26'!BJ343</f>
        <v/>
      </c>
      <c r="T478" s="451" t="str">
        <f>'No Recurrentes 24-26'!BK343</f>
        <v/>
      </c>
      <c r="U478" s="451">
        <f>'No Recurrentes 24-26'!BL343</f>
        <v>0</v>
      </c>
      <c r="V478" s="1068"/>
      <c r="W478" s="1062">
        <f>'No Recurrentes 24-26'!BM343</f>
        <v>0</v>
      </c>
      <c r="X478" s="1062" t="str">
        <f>'No Recurrentes 24-26'!BN343</f>
        <v/>
      </c>
      <c r="Y478" s="1062" t="str">
        <f>'No Recurrentes 24-26'!BO343</f>
        <v/>
      </c>
      <c r="Z478" s="1062">
        <f>'No Recurrentes 24-26'!BP343</f>
        <v>1</v>
      </c>
      <c r="AA478" s="1062">
        <f>'No Recurrentes 24-26'!BQ343</f>
        <v>1</v>
      </c>
      <c r="AB478" s="1062">
        <f>'No Recurrentes 24-26'!BR343</f>
        <v>1</v>
      </c>
      <c r="AC478" s="1062" t="str">
        <f>'No Recurrentes 24-26'!BS343</f>
        <v/>
      </c>
      <c r="AD478" s="1062" t="str">
        <f>'No Recurrentes 24-26'!BT343</f>
        <v/>
      </c>
      <c r="AE478" s="1062" t="str">
        <f>'No Recurrentes 24-26'!BU343</f>
        <v/>
      </c>
      <c r="AF478" s="1062" t="str">
        <f>'No Recurrentes 24-26'!BV343</f>
        <v/>
      </c>
      <c r="AG478" s="1062">
        <f>'No Recurrentes 24-26'!BW343</f>
        <v>1</v>
      </c>
      <c r="AH478" s="1068"/>
      <c r="AI478" s="1062">
        <f>'No Recurrentes 24-26'!BX343</f>
        <v>4</v>
      </c>
      <c r="AJ478" s="1062">
        <f>'No Recurrentes 24-26'!BY343</f>
        <v>0</v>
      </c>
      <c r="AK478" s="1062">
        <f>'No Recurrentes 24-26'!BZ343</f>
        <v>0</v>
      </c>
      <c r="AL478" s="1062">
        <f>'No Recurrentes 24-26'!CA343</f>
        <v>0</v>
      </c>
      <c r="AM478" s="1062">
        <f>'No Recurrentes 24-26'!CB343</f>
        <v>0</v>
      </c>
      <c r="AN478" s="1062">
        <f>'No Recurrentes 24-26'!CC343</f>
        <v>0</v>
      </c>
      <c r="AO478" s="1062">
        <f>'No Recurrentes 24-26'!CD343</f>
        <v>0</v>
      </c>
      <c r="AP478" s="1062">
        <f>'No Recurrentes 24-26'!CE343</f>
        <v>0</v>
      </c>
      <c r="AQ478" s="1062" t="str">
        <f>'No Recurrentes 24-26'!CF343</f>
        <v/>
      </c>
      <c r="AR478" s="1062">
        <f>'No Recurrentes 24-26'!CG343</f>
        <v>0</v>
      </c>
      <c r="AS478" s="1062">
        <f>'No Recurrentes 24-26'!CH343</f>
        <v>0</v>
      </c>
      <c r="AT478" s="1068"/>
      <c r="AU478" s="1062">
        <f>'No Recurrentes 24-26'!CI343</f>
        <v>0</v>
      </c>
      <c r="AV478" s="1063">
        <f>'No Recurrentes 24-26'!CJ343</f>
        <v>4</v>
      </c>
      <c r="AW478" s="1068"/>
      <c r="AX478" s="1065">
        <f>'No Recurrentes 24-26'!CK343</f>
        <v>566.84</v>
      </c>
      <c r="AY478" s="1062">
        <f>'No Recurrentes 24-26'!CL343</f>
        <v>3945.2064</v>
      </c>
      <c r="AZ478" s="1068"/>
      <c r="BA478" s="1062">
        <f>'No Recurrentes 24-26'!CM343</f>
        <v>0</v>
      </c>
      <c r="BB478" s="1062">
        <f>'No Recurrentes 24-26'!CN343</f>
        <v>0</v>
      </c>
      <c r="BC478" s="1062">
        <f>'No Recurrentes 24-26'!CO343</f>
        <v>0</v>
      </c>
      <c r="BD478" s="1062">
        <f>'No Recurrentes 24-26'!CP343</f>
        <v>0</v>
      </c>
      <c r="BE478" s="1062">
        <f>'No Recurrentes 24-26'!CQ343</f>
        <v>0</v>
      </c>
      <c r="BF478" s="1062">
        <f>'No Recurrentes 24-26'!CR343</f>
        <v>0</v>
      </c>
      <c r="BG478" s="1062">
        <f>'No Recurrentes 24-26'!CS343</f>
        <v>0</v>
      </c>
      <c r="BH478" s="1062">
        <f>'No Recurrentes 24-26'!CT343</f>
        <v>0</v>
      </c>
      <c r="BI478" s="1062">
        <f>'No Recurrentes 24-26'!CU343</f>
        <v>0</v>
      </c>
      <c r="BJ478" s="1062">
        <f>'No Recurrentes 24-26'!CV343</f>
        <v>0</v>
      </c>
      <c r="BK478" s="1068"/>
      <c r="BL478" s="1062">
        <f>'No Recurrentes 24-26'!CW343</f>
        <v>0</v>
      </c>
      <c r="BM478" s="1062">
        <f>'No Recurrentes 24-26'!CX343</f>
        <v>0</v>
      </c>
      <c r="BN478" s="1062">
        <f>'No Recurrentes 24-26'!CY343</f>
        <v>0</v>
      </c>
      <c r="BO478" s="1062">
        <f>'No Recurrentes 24-26'!CZ343</f>
        <v>3945.2064</v>
      </c>
      <c r="BP478" s="1062">
        <f>'No Recurrentes 24-26'!DA343</f>
        <v>3945.2064</v>
      </c>
      <c r="BQ478" s="1062">
        <f>'No Recurrentes 24-26'!DB343</f>
        <v>3945.2064</v>
      </c>
      <c r="BR478" s="1062">
        <f>'No Recurrentes 24-26'!DC343</f>
        <v>0</v>
      </c>
      <c r="BS478" s="1062">
        <f>'No Recurrentes 24-26'!DD343</f>
        <v>0</v>
      </c>
      <c r="BT478" s="1062">
        <f>'No Recurrentes 24-26'!DE343</f>
        <v>0</v>
      </c>
      <c r="BU478" s="1062">
        <f>'No Recurrentes 24-26'!DF343</f>
        <v>0</v>
      </c>
      <c r="BV478" s="1062">
        <f>'No Recurrentes 24-26'!DG343</f>
        <v>3945.2064</v>
      </c>
      <c r="BW478" s="1068"/>
      <c r="BX478" s="1062">
        <f>'No Recurrentes 24-26'!DH343</f>
        <v>15780.8256</v>
      </c>
      <c r="BY478" s="1062">
        <f>'No Recurrentes 24-26'!DI343</f>
        <v>0</v>
      </c>
      <c r="BZ478" s="1062">
        <f>'No Recurrentes 24-26'!DJ343</f>
        <v>0</v>
      </c>
      <c r="CA478" s="1062">
        <f>'No Recurrentes 24-26'!DK343</f>
        <v>0</v>
      </c>
      <c r="CB478" s="1062">
        <f>'No Recurrentes 24-26'!DL343</f>
        <v>0</v>
      </c>
      <c r="CC478" s="1062">
        <f>'No Recurrentes 24-26'!DM343</f>
        <v>0</v>
      </c>
      <c r="CD478" s="1062">
        <f>'No Recurrentes 24-26'!DN343</f>
        <v>0</v>
      </c>
      <c r="CE478" s="1062">
        <f>'No Recurrentes 24-26'!DO343</f>
        <v>0</v>
      </c>
      <c r="CF478" s="1062">
        <f>'No Recurrentes 24-26'!DP343</f>
        <v>0</v>
      </c>
      <c r="CG478" s="1062">
        <f>'No Recurrentes 24-26'!DQ343</f>
        <v>0</v>
      </c>
      <c r="CH478" s="1062">
        <f>'No Recurrentes 24-26'!DR343</f>
        <v>0</v>
      </c>
      <c r="CI478" s="1068"/>
      <c r="CJ478" s="1062">
        <f>'No Recurrentes 24-26'!DS343</f>
        <v>0</v>
      </c>
      <c r="CK478" s="1062">
        <f>'No Recurrentes 24-26'!DT343</f>
        <v>15780.8256</v>
      </c>
      <c r="CL478" s="1064" t="str">
        <f>'No Recurrentes 24-26'!DU343</f>
        <v/>
      </c>
      <c r="CM478" s="1064" t="str">
        <f>'No Recurrentes 24-26'!DV343</f>
        <v/>
      </c>
      <c r="CN478" s="1065">
        <f>'No Recurrentes 24-26'!EI339</f>
        <v>23</v>
      </c>
      <c r="CO478" s="1065">
        <f>'No Recurrentes 24-26'!EJ339</f>
        <v>19.55</v>
      </c>
      <c r="CP478" s="1060" t="str">
        <f>'No Recurrentes 24-26'!EK339</f>
        <v/>
      </c>
    </row>
    <row r="479">
      <c r="A479" s="451" t="str">
        <f>'No Recurrentes 24-26'!A344</f>
        <v>Repuestos Electromecánicos no recurrentes</v>
      </c>
      <c r="B479" s="451" t="str">
        <f>'No Recurrentes 24-26'!B344</f>
        <v/>
      </c>
      <c r="C479" s="451" t="str">
        <f>'No Recurrentes 24-26'!C344</f>
        <v>Estación</v>
      </c>
      <c r="D479" s="451" t="str">
        <f>'No Recurrentes 24-26'!D344</f>
        <v>Poleas de estacion</v>
      </c>
      <c r="E479" s="451" t="str">
        <f>'No Recurrentes 24-26'!E344</f>
        <v>Repuesto Mecánico</v>
      </c>
      <c r="F479" s="451" t="str">
        <f>'No Recurrentes 24-26'!F344</f>
        <v>TDB</v>
      </c>
      <c r="G479" s="1061" t="str">
        <f>'No Recurrentes 24-26'!G344</f>
        <v>39800</v>
      </c>
      <c r="H479" s="1061" t="str">
        <f>'No Recurrentes 24-26'!H344</f>
        <v>2-01-00142</v>
      </c>
      <c r="I479" s="1061">
        <f>'No Recurrentes 24-26'!I344</f>
        <v>10616666</v>
      </c>
      <c r="J479" s="1061" t="str">
        <f>'No Recurrentes 24-26'!J344</f>
        <v>RRB DIN 625/1- 6208-2RS-C3GLE VT210 (90%+5%)RODAM.RANU.BOLAS</v>
      </c>
      <c r="K479" s="451" t="str">
        <f>'No Recurrentes 24-26'!K344</f>
        <v>Pza</v>
      </c>
      <c r="L479" s="451" t="str">
        <f>'No Recurrentes 24-26'!BC344</f>
        <v/>
      </c>
      <c r="M479" s="451" t="str">
        <f>'No Recurrentes 24-26'!BD344</f>
        <v/>
      </c>
      <c r="N479" s="451" t="str">
        <f>'No Recurrentes 24-26'!BE344</f>
        <v/>
      </c>
      <c r="O479" s="451">
        <f>'No Recurrentes 24-26'!BF344</f>
        <v>0</v>
      </c>
      <c r="P479" s="451">
        <f>'No Recurrentes 24-26'!BG344</f>
        <v>0</v>
      </c>
      <c r="Q479" s="451" t="str">
        <f>'No Recurrentes 24-26'!BH344</f>
        <v/>
      </c>
      <c r="R479" s="451" t="str">
        <f>'No Recurrentes 24-26'!BI344</f>
        <v/>
      </c>
      <c r="S479" s="451" t="str">
        <f>'No Recurrentes 24-26'!BJ344</f>
        <v/>
      </c>
      <c r="T479" s="451" t="str">
        <f>'No Recurrentes 24-26'!BK344</f>
        <v/>
      </c>
      <c r="U479" s="451" t="str">
        <f>'No Recurrentes 24-26'!BL344</f>
        <v/>
      </c>
      <c r="V479" s="1068"/>
      <c r="W479" s="1062">
        <f>'No Recurrentes 24-26'!BM344</f>
        <v>0</v>
      </c>
      <c r="X479" s="1062" t="str">
        <f>'No Recurrentes 24-26'!BN344</f>
        <v/>
      </c>
      <c r="Y479" s="1062" t="str">
        <f>'No Recurrentes 24-26'!BO344</f>
        <v/>
      </c>
      <c r="Z479" s="1062" t="str">
        <f>'No Recurrentes 24-26'!BP344</f>
        <v/>
      </c>
      <c r="AA479" s="1062" t="str">
        <f>'No Recurrentes 24-26'!BQ344</f>
        <v/>
      </c>
      <c r="AB479" s="1062" t="str">
        <f>'No Recurrentes 24-26'!BR344</f>
        <v/>
      </c>
      <c r="AC479" s="1062" t="str">
        <f>'No Recurrentes 24-26'!BS344</f>
        <v/>
      </c>
      <c r="AD479" s="1062" t="str">
        <f>'No Recurrentes 24-26'!BT344</f>
        <v/>
      </c>
      <c r="AE479" s="1062" t="str">
        <f>'No Recurrentes 24-26'!BU344</f>
        <v/>
      </c>
      <c r="AF479" s="1062" t="str">
        <f>'No Recurrentes 24-26'!BV344</f>
        <v/>
      </c>
      <c r="AG479" s="1062" t="str">
        <f>'No Recurrentes 24-26'!BW344</f>
        <v/>
      </c>
      <c r="AH479" s="1068"/>
      <c r="AI479" s="1062">
        <f>'No Recurrentes 24-26'!BX344</f>
        <v>0</v>
      </c>
      <c r="AJ479" s="1062">
        <f>'No Recurrentes 24-26'!BY344</f>
        <v>0</v>
      </c>
      <c r="AK479" s="1062">
        <f>'No Recurrentes 24-26'!BZ344</f>
        <v>0</v>
      </c>
      <c r="AL479" s="1062">
        <f>'No Recurrentes 24-26'!CA344</f>
        <v>0</v>
      </c>
      <c r="AM479" s="1062">
        <f>'No Recurrentes 24-26'!CB344</f>
        <v>0</v>
      </c>
      <c r="AN479" s="1062">
        <f>'No Recurrentes 24-26'!CC344</f>
        <v>0</v>
      </c>
      <c r="AO479" s="1062">
        <f>'No Recurrentes 24-26'!CD344</f>
        <v>0</v>
      </c>
      <c r="AP479" s="1062">
        <f>'No Recurrentes 24-26'!CE344</f>
        <v>0</v>
      </c>
      <c r="AQ479" s="1062">
        <f>'No Recurrentes 24-26'!CF344</f>
        <v>0</v>
      </c>
      <c r="AR479" s="1062">
        <f>'No Recurrentes 24-26'!CG344</f>
        <v>0</v>
      </c>
      <c r="AS479" s="1062">
        <f>'No Recurrentes 24-26'!CH344</f>
        <v>0</v>
      </c>
      <c r="AT479" s="1068"/>
      <c r="AU479" s="1062">
        <f>'No Recurrentes 24-26'!CI344</f>
        <v>0</v>
      </c>
      <c r="AV479" s="1062">
        <f>'No Recurrentes 24-26'!CJ344</f>
        <v>0</v>
      </c>
      <c r="AW479" s="1068"/>
      <c r="AX479" s="1062" t="str">
        <f>'No Recurrentes 24-26'!CK344</f>
        <v/>
      </c>
      <c r="AY479" s="1062">
        <f>'No Recurrentes 24-26'!CL344</f>
        <v>219.555</v>
      </c>
      <c r="AZ479" s="1068"/>
      <c r="BA479" s="1062">
        <f>'No Recurrentes 24-26'!CM344</f>
        <v>0</v>
      </c>
      <c r="BB479" s="1062">
        <f>'No Recurrentes 24-26'!CN344</f>
        <v>0</v>
      </c>
      <c r="BC479" s="1062">
        <f>'No Recurrentes 24-26'!CO344</f>
        <v>0</v>
      </c>
      <c r="BD479" s="1062">
        <f>'No Recurrentes 24-26'!CP344</f>
        <v>0</v>
      </c>
      <c r="BE479" s="1062">
        <f>'No Recurrentes 24-26'!CQ344</f>
        <v>0</v>
      </c>
      <c r="BF479" s="1062">
        <f>'No Recurrentes 24-26'!CR344</f>
        <v>0</v>
      </c>
      <c r="BG479" s="1062">
        <f>'No Recurrentes 24-26'!CS344</f>
        <v>0</v>
      </c>
      <c r="BH479" s="1062">
        <f>'No Recurrentes 24-26'!CT344</f>
        <v>0</v>
      </c>
      <c r="BI479" s="1062">
        <f>'No Recurrentes 24-26'!CU344</f>
        <v>0</v>
      </c>
      <c r="BJ479" s="1062">
        <f>'No Recurrentes 24-26'!CV344</f>
        <v>0</v>
      </c>
      <c r="BK479" s="1068"/>
      <c r="BL479" s="1062">
        <f>'No Recurrentes 24-26'!CW344</f>
        <v>0</v>
      </c>
      <c r="BM479" s="1062">
        <f>'No Recurrentes 24-26'!CX344</f>
        <v>0</v>
      </c>
      <c r="BN479" s="1062">
        <f>'No Recurrentes 24-26'!CY344</f>
        <v>0</v>
      </c>
      <c r="BO479" s="1062">
        <f>'No Recurrentes 24-26'!CZ344</f>
        <v>0</v>
      </c>
      <c r="BP479" s="1062">
        <f>'No Recurrentes 24-26'!DA344</f>
        <v>0</v>
      </c>
      <c r="BQ479" s="1062">
        <f>'No Recurrentes 24-26'!DB344</f>
        <v>0</v>
      </c>
      <c r="BR479" s="1062">
        <f>'No Recurrentes 24-26'!DC344</f>
        <v>0</v>
      </c>
      <c r="BS479" s="1062">
        <f>'No Recurrentes 24-26'!DD344</f>
        <v>0</v>
      </c>
      <c r="BT479" s="1062">
        <f>'No Recurrentes 24-26'!DE344</f>
        <v>0</v>
      </c>
      <c r="BU479" s="1062">
        <f>'No Recurrentes 24-26'!DF344</f>
        <v>0</v>
      </c>
      <c r="BV479" s="1062">
        <f>'No Recurrentes 24-26'!DG344</f>
        <v>0</v>
      </c>
      <c r="BW479" s="1068"/>
      <c r="BX479" s="1062">
        <f>'No Recurrentes 24-26'!DH344</f>
        <v>0</v>
      </c>
      <c r="BY479" s="1062">
        <f>'No Recurrentes 24-26'!DI344</f>
        <v>0</v>
      </c>
      <c r="BZ479" s="1062">
        <f>'No Recurrentes 24-26'!DJ344</f>
        <v>0</v>
      </c>
      <c r="CA479" s="1062">
        <f>'No Recurrentes 24-26'!DK344</f>
        <v>0</v>
      </c>
      <c r="CB479" s="1062">
        <f>'No Recurrentes 24-26'!DL344</f>
        <v>0</v>
      </c>
      <c r="CC479" s="1062">
        <f>'No Recurrentes 24-26'!DM344</f>
        <v>0</v>
      </c>
      <c r="CD479" s="1062">
        <f>'No Recurrentes 24-26'!DN344</f>
        <v>0</v>
      </c>
      <c r="CE479" s="1062">
        <f>'No Recurrentes 24-26'!DO344</f>
        <v>0</v>
      </c>
      <c r="CF479" s="1062">
        <f>'No Recurrentes 24-26'!DP344</f>
        <v>0</v>
      </c>
      <c r="CG479" s="1062">
        <f>'No Recurrentes 24-26'!DQ344</f>
        <v>0</v>
      </c>
      <c r="CH479" s="1062">
        <f>'No Recurrentes 24-26'!DR344</f>
        <v>0</v>
      </c>
      <c r="CI479" s="1068"/>
      <c r="CJ479" s="1062">
        <f>'No Recurrentes 24-26'!DS344</f>
        <v>0</v>
      </c>
      <c r="CK479" s="1062">
        <f>'No Recurrentes 24-26'!DT344</f>
        <v>0</v>
      </c>
      <c r="CL479" s="1064" t="str">
        <f>'No Recurrentes 24-26'!DU344</f>
        <v/>
      </c>
      <c r="CM479" s="1064" t="str">
        <f>'No Recurrentes 24-26'!DV344</f>
        <v/>
      </c>
      <c r="CN479" s="1065">
        <f>'No Recurrentes 24-26'!EI340</f>
        <v>1.61</v>
      </c>
      <c r="CO479" s="1065">
        <f>'No Recurrentes 24-26'!EJ340</f>
        <v>1.37</v>
      </c>
      <c r="CP479" s="1060" t="str">
        <f>'No Recurrentes 24-26'!EK340</f>
        <v/>
      </c>
    </row>
    <row r="480">
      <c r="A480" s="451" t="str">
        <f>'No Recurrentes 24-26'!A345</f>
        <v>Repuestos Electromecánicos no recurrentes</v>
      </c>
      <c r="B480" s="451">
        <f>'No Recurrentes 24-26'!B345</f>
        <v>2</v>
      </c>
      <c r="C480" s="451" t="str">
        <f>'No Recurrentes 24-26'!C345</f>
        <v>Estación</v>
      </c>
      <c r="D480" s="451" t="str">
        <f>'No Recurrentes 24-26'!D345</f>
        <v>Poleas de estacion</v>
      </c>
      <c r="E480" s="451" t="str">
        <f>'No Recurrentes 24-26'!E345</f>
        <v>Repuesto Mecánico</v>
      </c>
      <c r="F480" s="451" t="str">
        <f>'No Recurrentes 24-26'!F345</f>
        <v>TDB</v>
      </c>
      <c r="G480" s="1025" t="str">
        <f>'No Recurrentes 24-26'!G345</f>
        <v>39800</v>
      </c>
      <c r="H480" s="1061" t="str">
        <f>'No Recurrentes 24-26'!H345</f>
        <v>2-01-00232</v>
      </c>
      <c r="I480" s="1061" t="str">
        <f>'No Recurrentes 24-26'!I345</f>
        <v>10745857</v>
      </c>
      <c r="J480" s="1061" t="str">
        <f>'No Recurrentes 24-26'!J345</f>
        <v>RODAM.RAN.D.BOLAS DIN625/1-6312-2RS1-C3GLE VT210 (90% +/-5%)</v>
      </c>
      <c r="K480" s="451" t="str">
        <f>'No Recurrentes 24-26'!K345</f>
        <v>Pza</v>
      </c>
      <c r="L480" s="451" t="str">
        <f>'No Recurrentes 24-26'!BC345</f>
        <v/>
      </c>
      <c r="M480" s="451" t="str">
        <f>'No Recurrentes 24-26'!BD345</f>
        <v/>
      </c>
      <c r="N480" s="451" t="str">
        <f>'No Recurrentes 24-26'!BE345</f>
        <v/>
      </c>
      <c r="O480" s="451" t="str">
        <f>'No Recurrentes 24-26'!BF345</f>
        <v/>
      </c>
      <c r="P480" s="451" t="str">
        <f>'No Recurrentes 24-26'!BG345</f>
        <v/>
      </c>
      <c r="Q480" s="451">
        <f>'No Recurrentes 24-26'!BH345</f>
        <v>0</v>
      </c>
      <c r="R480" s="451" t="str">
        <f>'No Recurrentes 24-26'!BI345</f>
        <v/>
      </c>
      <c r="S480" s="451" t="str">
        <f>'No Recurrentes 24-26'!BJ345</f>
        <v/>
      </c>
      <c r="T480" s="451" t="str">
        <f>'No Recurrentes 24-26'!BK345</f>
        <v/>
      </c>
      <c r="U480" s="451" t="str">
        <f>'No Recurrentes 24-26'!BL345</f>
        <v/>
      </c>
      <c r="V480" s="1068"/>
      <c r="W480" s="1062">
        <f>'No Recurrentes 24-26'!BM345</f>
        <v>0</v>
      </c>
      <c r="X480" s="1062" t="str">
        <f>'No Recurrentes 24-26'!BN345</f>
        <v/>
      </c>
      <c r="Y480" s="1062" t="str">
        <f>'No Recurrentes 24-26'!BO345</f>
        <v/>
      </c>
      <c r="Z480" s="1062" t="str">
        <f>'No Recurrentes 24-26'!BP345</f>
        <v/>
      </c>
      <c r="AA480" s="1062" t="str">
        <f>'No Recurrentes 24-26'!BQ345</f>
        <v/>
      </c>
      <c r="AB480" s="1062" t="str">
        <f>'No Recurrentes 24-26'!BR345</f>
        <v/>
      </c>
      <c r="AC480" s="1062" t="str">
        <f>'No Recurrentes 24-26'!BS345</f>
        <v/>
      </c>
      <c r="AD480" s="1062" t="str">
        <f>'No Recurrentes 24-26'!BT345</f>
        <v/>
      </c>
      <c r="AE480" s="1062" t="str">
        <f>'No Recurrentes 24-26'!BU345</f>
        <v/>
      </c>
      <c r="AF480" s="1062" t="str">
        <f>'No Recurrentes 24-26'!BV345</f>
        <v/>
      </c>
      <c r="AG480" s="1062" t="str">
        <f>'No Recurrentes 24-26'!BW345</f>
        <v/>
      </c>
      <c r="AH480" s="1068"/>
      <c r="AI480" s="1062">
        <f>'No Recurrentes 24-26'!BX345</f>
        <v>0</v>
      </c>
      <c r="AJ480" s="1062">
        <f>'No Recurrentes 24-26'!BY345</f>
        <v>0</v>
      </c>
      <c r="AK480" s="1062">
        <f>'No Recurrentes 24-26'!BZ345</f>
        <v>0</v>
      </c>
      <c r="AL480" s="1062">
        <f>'No Recurrentes 24-26'!CA345</f>
        <v>0</v>
      </c>
      <c r="AM480" s="1062">
        <f>'No Recurrentes 24-26'!CB345</f>
        <v>8</v>
      </c>
      <c r="AN480" s="1062">
        <f>'No Recurrentes 24-26'!CC345</f>
        <v>8</v>
      </c>
      <c r="AO480" s="1062">
        <f>'No Recurrentes 24-26'!CD345</f>
        <v>0</v>
      </c>
      <c r="AP480" s="1062">
        <f>'No Recurrentes 24-26'!CE345</f>
        <v>0</v>
      </c>
      <c r="AQ480" s="1062">
        <f>'No Recurrentes 24-26'!CF345</f>
        <v>0</v>
      </c>
      <c r="AR480" s="1062">
        <f>'No Recurrentes 24-26'!CG345</f>
        <v>0</v>
      </c>
      <c r="AS480" s="1062">
        <f>'No Recurrentes 24-26'!CH345</f>
        <v>0</v>
      </c>
      <c r="AT480" s="1068"/>
      <c r="AU480" s="1062">
        <f>'No Recurrentes 24-26'!CI345</f>
        <v>16</v>
      </c>
      <c r="AV480" s="1063">
        <f>'No Recurrentes 24-26'!CJ345</f>
        <v>16</v>
      </c>
      <c r="AW480" s="1068"/>
      <c r="AX480" s="1065">
        <f>'No Recurrentes 24-26'!CK345</f>
        <v>102.95</v>
      </c>
      <c r="AY480" s="1062">
        <f>'No Recurrentes 24-26'!CL345</f>
        <v>716.532</v>
      </c>
      <c r="AZ480" s="1068"/>
      <c r="BA480" s="1062">
        <f>'No Recurrentes 24-26'!CM345</f>
        <v>0</v>
      </c>
      <c r="BB480" s="1062">
        <f>'No Recurrentes 24-26'!CN345</f>
        <v>0</v>
      </c>
      <c r="BC480" s="1062">
        <f>'No Recurrentes 24-26'!CO345</f>
        <v>0</v>
      </c>
      <c r="BD480" s="1062">
        <f>'No Recurrentes 24-26'!CP345</f>
        <v>0</v>
      </c>
      <c r="BE480" s="1062">
        <f>'No Recurrentes 24-26'!CQ345</f>
        <v>0</v>
      </c>
      <c r="BF480" s="1062">
        <f>'No Recurrentes 24-26'!CR345</f>
        <v>0</v>
      </c>
      <c r="BG480" s="1062">
        <f>'No Recurrentes 24-26'!CS345</f>
        <v>0</v>
      </c>
      <c r="BH480" s="1062">
        <f>'No Recurrentes 24-26'!CT345</f>
        <v>0</v>
      </c>
      <c r="BI480" s="1062">
        <f>'No Recurrentes 24-26'!CU345</f>
        <v>0</v>
      </c>
      <c r="BJ480" s="1062">
        <f>'No Recurrentes 24-26'!CV345</f>
        <v>0</v>
      </c>
      <c r="BK480" s="1068"/>
      <c r="BL480" s="1062">
        <f>'No Recurrentes 24-26'!CW345</f>
        <v>0</v>
      </c>
      <c r="BM480" s="1062">
        <f>'No Recurrentes 24-26'!CX345</f>
        <v>0</v>
      </c>
      <c r="BN480" s="1062">
        <f>'No Recurrentes 24-26'!CY345</f>
        <v>0</v>
      </c>
      <c r="BO480" s="1062">
        <f>'No Recurrentes 24-26'!CZ345</f>
        <v>0</v>
      </c>
      <c r="BP480" s="1062">
        <f>'No Recurrentes 24-26'!DA345</f>
        <v>0</v>
      </c>
      <c r="BQ480" s="1062">
        <f>'No Recurrentes 24-26'!DB345</f>
        <v>0</v>
      </c>
      <c r="BR480" s="1062">
        <f>'No Recurrentes 24-26'!DC345</f>
        <v>0</v>
      </c>
      <c r="BS480" s="1062">
        <f>'No Recurrentes 24-26'!DD345</f>
        <v>0</v>
      </c>
      <c r="BT480" s="1062">
        <f>'No Recurrentes 24-26'!DE345</f>
        <v>0</v>
      </c>
      <c r="BU480" s="1062">
        <f>'No Recurrentes 24-26'!DF345</f>
        <v>0</v>
      </c>
      <c r="BV480" s="1062">
        <f>'No Recurrentes 24-26'!DG345</f>
        <v>0</v>
      </c>
      <c r="BW480" s="1068"/>
      <c r="BX480" s="1062">
        <f>'No Recurrentes 24-26'!DH345</f>
        <v>0</v>
      </c>
      <c r="BY480" s="1062">
        <f>'No Recurrentes 24-26'!DI345</f>
        <v>0</v>
      </c>
      <c r="BZ480" s="1062">
        <f>'No Recurrentes 24-26'!DJ345</f>
        <v>0</v>
      </c>
      <c r="CA480" s="1062">
        <f>'No Recurrentes 24-26'!DK345</f>
        <v>0</v>
      </c>
      <c r="CB480" s="1062">
        <f>'No Recurrentes 24-26'!DL345</f>
        <v>5732.256</v>
      </c>
      <c r="CC480" s="1062">
        <f>'No Recurrentes 24-26'!DM345</f>
        <v>5732.256</v>
      </c>
      <c r="CD480" s="1062">
        <f>'No Recurrentes 24-26'!DN345</f>
        <v>0</v>
      </c>
      <c r="CE480" s="1062">
        <f>'No Recurrentes 24-26'!DO345</f>
        <v>0</v>
      </c>
      <c r="CF480" s="1062">
        <f>'No Recurrentes 24-26'!DP345</f>
        <v>0</v>
      </c>
      <c r="CG480" s="1062">
        <f>'No Recurrentes 24-26'!DQ345</f>
        <v>0</v>
      </c>
      <c r="CH480" s="1062">
        <f>'No Recurrentes 24-26'!DR345</f>
        <v>0</v>
      </c>
      <c r="CI480" s="1068"/>
      <c r="CJ480" s="1062">
        <f>'No Recurrentes 24-26'!DS345</f>
        <v>11464.512</v>
      </c>
      <c r="CK480" s="1062">
        <f>'No Recurrentes 24-26'!DT345</f>
        <v>11464.512</v>
      </c>
      <c r="CL480" s="1064" t="str">
        <f>'No Recurrentes 24-26'!DU345</f>
        <v/>
      </c>
      <c r="CM480" s="1064" t="str">
        <f>'No Recurrentes 24-26'!DV345</f>
        <v/>
      </c>
      <c r="CN480" s="1065">
        <f>'No Recurrentes 24-26'!EI341</f>
        <v>14.57</v>
      </c>
      <c r="CO480" s="1065">
        <f>'No Recurrentes 24-26'!EJ341</f>
        <v>12.38</v>
      </c>
      <c r="CP480" s="1060" t="str">
        <f>'No Recurrentes 24-26'!EK341</f>
        <v/>
      </c>
    </row>
    <row r="481">
      <c r="A481" s="451" t="str">
        <f>'No Recurrentes 24-26'!A346</f>
        <v>Repuestos Electromecánicos no recurrentes</v>
      </c>
      <c r="B481" s="451" t="str">
        <f>'No Recurrentes 24-26'!B346</f>
        <v/>
      </c>
      <c r="C481" s="451" t="str">
        <f>'No Recurrentes 24-26'!C346</f>
        <v>Estación</v>
      </c>
      <c r="D481" s="451" t="str">
        <f>'No Recurrentes 24-26'!D346</f>
        <v>Poleas de estacion</v>
      </c>
      <c r="E481" s="451" t="str">
        <f>'No Recurrentes 24-26'!E346</f>
        <v>Repuesto Mecánico</v>
      </c>
      <c r="F481" s="451" t="str">
        <f>'No Recurrentes 24-26'!F346</f>
        <v>TDB</v>
      </c>
      <c r="G481" s="1061" t="str">
        <f>'No Recurrentes 24-26'!G346</f>
        <v>39800</v>
      </c>
      <c r="H481" s="1061" t="str">
        <f>'No Recurrentes 24-26'!H346</f>
        <v/>
      </c>
      <c r="I481" s="1061">
        <f>'No Recurrentes 24-26'!I346</f>
        <v>10435852</v>
      </c>
      <c r="J481" s="1061" t="str">
        <f>'No Recurrentes 24-26'!J346</f>
        <v>ARO LATER. DIA 505/400,5 S=18</v>
      </c>
      <c r="K481" s="451" t="str">
        <f>'No Recurrentes 24-26'!K346</f>
        <v>Pza</v>
      </c>
      <c r="L481" s="451" t="str">
        <f>'No Recurrentes 24-26'!BC346</f>
        <v/>
      </c>
      <c r="M481" s="451" t="str">
        <f>'No Recurrentes 24-26'!BD346</f>
        <v/>
      </c>
      <c r="N481" s="451" t="str">
        <f>'No Recurrentes 24-26'!BE346</f>
        <v/>
      </c>
      <c r="O481" s="451" t="str">
        <f>'No Recurrentes 24-26'!BF346</f>
        <v/>
      </c>
      <c r="P481" s="451" t="str">
        <f>'No Recurrentes 24-26'!BG346</f>
        <v/>
      </c>
      <c r="Q481" s="451" t="str">
        <f>'No Recurrentes 24-26'!BH346</f>
        <v/>
      </c>
      <c r="R481" s="451" t="str">
        <f>'No Recurrentes 24-26'!BI346</f>
        <v/>
      </c>
      <c r="S481" s="451" t="str">
        <f>'No Recurrentes 24-26'!BJ346</f>
        <v/>
      </c>
      <c r="T481" s="451" t="str">
        <f>'No Recurrentes 24-26'!BK346</f>
        <v/>
      </c>
      <c r="U481" s="451" t="str">
        <f>'No Recurrentes 24-26'!BL346</f>
        <v/>
      </c>
      <c r="V481" s="1068"/>
      <c r="W481" s="1062">
        <f>'No Recurrentes 24-26'!BM346</f>
        <v>0</v>
      </c>
      <c r="X481" s="1062" t="str">
        <f>'No Recurrentes 24-26'!BN346</f>
        <v/>
      </c>
      <c r="Y481" s="1062" t="str">
        <f>'No Recurrentes 24-26'!BO346</f>
        <v/>
      </c>
      <c r="Z481" s="1062" t="str">
        <f>'No Recurrentes 24-26'!BP346</f>
        <v/>
      </c>
      <c r="AA481" s="1062" t="str">
        <f>'No Recurrentes 24-26'!BQ346</f>
        <v/>
      </c>
      <c r="AB481" s="1062" t="str">
        <f>'No Recurrentes 24-26'!BR346</f>
        <v/>
      </c>
      <c r="AC481" s="1062" t="str">
        <f>'No Recurrentes 24-26'!BS346</f>
        <v/>
      </c>
      <c r="AD481" s="1062" t="str">
        <f>'No Recurrentes 24-26'!BT346</f>
        <v/>
      </c>
      <c r="AE481" s="1062" t="str">
        <f>'No Recurrentes 24-26'!BU346</f>
        <v/>
      </c>
      <c r="AF481" s="1062" t="str">
        <f>'No Recurrentes 24-26'!BV346</f>
        <v/>
      </c>
      <c r="AG481" s="1062" t="str">
        <f>'No Recurrentes 24-26'!BW346</f>
        <v/>
      </c>
      <c r="AH481" s="1068"/>
      <c r="AI481" s="1062">
        <f>'No Recurrentes 24-26'!BX346</f>
        <v>0</v>
      </c>
      <c r="AJ481" s="1062">
        <f>'No Recurrentes 24-26'!BY346</f>
        <v>0</v>
      </c>
      <c r="AK481" s="1062">
        <f>'No Recurrentes 24-26'!BZ346</f>
        <v>0</v>
      </c>
      <c r="AL481" s="1062">
        <f>'No Recurrentes 24-26'!CA346</f>
        <v>0</v>
      </c>
      <c r="AM481" s="1062">
        <f>'No Recurrentes 24-26'!CB346</f>
        <v>0</v>
      </c>
      <c r="AN481" s="1062">
        <f>'No Recurrentes 24-26'!CC346</f>
        <v>0</v>
      </c>
      <c r="AO481" s="1062">
        <f>'No Recurrentes 24-26'!CD346</f>
        <v>0</v>
      </c>
      <c r="AP481" s="1062">
        <f>'No Recurrentes 24-26'!CE346</f>
        <v>0</v>
      </c>
      <c r="AQ481" s="1062">
        <f>'No Recurrentes 24-26'!CF346</f>
        <v>0</v>
      </c>
      <c r="AR481" s="1062">
        <f>'No Recurrentes 24-26'!CG346</f>
        <v>0</v>
      </c>
      <c r="AS481" s="1062">
        <f>'No Recurrentes 24-26'!CH346</f>
        <v>0</v>
      </c>
      <c r="AT481" s="1068"/>
      <c r="AU481" s="1062">
        <f>'No Recurrentes 24-26'!CI346</f>
        <v>0</v>
      </c>
      <c r="AV481" s="1063">
        <f>'No Recurrentes 24-26'!CJ346</f>
        <v>0</v>
      </c>
      <c r="AW481" s="1068"/>
      <c r="AX481" s="1062" t="str">
        <f>'No Recurrentes 24-26'!CK346</f>
        <v/>
      </c>
      <c r="AY481" s="1062">
        <f>'No Recurrentes 24-26'!CL346</f>
        <v>2010.0086</v>
      </c>
      <c r="AZ481" s="1068"/>
      <c r="BA481" s="1062">
        <f>'No Recurrentes 24-26'!CM346</f>
        <v>0</v>
      </c>
      <c r="BB481" s="1062">
        <f>'No Recurrentes 24-26'!CN346</f>
        <v>0</v>
      </c>
      <c r="BC481" s="1062">
        <f>'No Recurrentes 24-26'!CO346</f>
        <v>0</v>
      </c>
      <c r="BD481" s="1062">
        <f>'No Recurrentes 24-26'!CP346</f>
        <v>0</v>
      </c>
      <c r="BE481" s="1062">
        <f>'No Recurrentes 24-26'!CQ346</f>
        <v>0</v>
      </c>
      <c r="BF481" s="1062">
        <f>'No Recurrentes 24-26'!CR346</f>
        <v>0</v>
      </c>
      <c r="BG481" s="1062">
        <f>'No Recurrentes 24-26'!CS346</f>
        <v>0</v>
      </c>
      <c r="BH481" s="1062">
        <f>'No Recurrentes 24-26'!CT346</f>
        <v>0</v>
      </c>
      <c r="BI481" s="1062">
        <f>'No Recurrentes 24-26'!CU346</f>
        <v>0</v>
      </c>
      <c r="BJ481" s="1062">
        <f>'No Recurrentes 24-26'!CV346</f>
        <v>0</v>
      </c>
      <c r="BK481" s="1068"/>
      <c r="BL481" s="1062">
        <f>'No Recurrentes 24-26'!CW346</f>
        <v>0</v>
      </c>
      <c r="BM481" s="1062">
        <f>'No Recurrentes 24-26'!CX346</f>
        <v>0</v>
      </c>
      <c r="BN481" s="1062">
        <f>'No Recurrentes 24-26'!CY346</f>
        <v>0</v>
      </c>
      <c r="BO481" s="1062">
        <f>'No Recurrentes 24-26'!CZ346</f>
        <v>0</v>
      </c>
      <c r="BP481" s="1062">
        <f>'No Recurrentes 24-26'!DA346</f>
        <v>0</v>
      </c>
      <c r="BQ481" s="1062">
        <f>'No Recurrentes 24-26'!DB346</f>
        <v>0</v>
      </c>
      <c r="BR481" s="1062">
        <f>'No Recurrentes 24-26'!DC346</f>
        <v>0</v>
      </c>
      <c r="BS481" s="1062">
        <f>'No Recurrentes 24-26'!DD346</f>
        <v>0</v>
      </c>
      <c r="BT481" s="1062">
        <f>'No Recurrentes 24-26'!DE346</f>
        <v>0</v>
      </c>
      <c r="BU481" s="1062">
        <f>'No Recurrentes 24-26'!DF346</f>
        <v>0</v>
      </c>
      <c r="BV481" s="1062">
        <f>'No Recurrentes 24-26'!DG346</f>
        <v>0</v>
      </c>
      <c r="BW481" s="1068"/>
      <c r="BX481" s="1062">
        <f>'No Recurrentes 24-26'!DH346</f>
        <v>0</v>
      </c>
      <c r="BY481" s="1062">
        <f>'No Recurrentes 24-26'!DI346</f>
        <v>0</v>
      </c>
      <c r="BZ481" s="1062">
        <f>'No Recurrentes 24-26'!DJ346</f>
        <v>0</v>
      </c>
      <c r="CA481" s="1062">
        <f>'No Recurrentes 24-26'!DK346</f>
        <v>0</v>
      </c>
      <c r="CB481" s="1062">
        <f>'No Recurrentes 24-26'!DL346</f>
        <v>0</v>
      </c>
      <c r="CC481" s="1062">
        <f>'No Recurrentes 24-26'!DM346</f>
        <v>0</v>
      </c>
      <c r="CD481" s="1062">
        <f>'No Recurrentes 24-26'!DN346</f>
        <v>0</v>
      </c>
      <c r="CE481" s="1062">
        <f>'No Recurrentes 24-26'!DO346</f>
        <v>0</v>
      </c>
      <c r="CF481" s="1062">
        <f>'No Recurrentes 24-26'!DP346</f>
        <v>0</v>
      </c>
      <c r="CG481" s="1062">
        <f>'No Recurrentes 24-26'!DQ346</f>
        <v>0</v>
      </c>
      <c r="CH481" s="1062">
        <f>'No Recurrentes 24-26'!DR346</f>
        <v>0</v>
      </c>
      <c r="CI481" s="1068"/>
      <c r="CJ481" s="1062">
        <f>'No Recurrentes 24-26'!DS346</f>
        <v>0</v>
      </c>
      <c r="CK481" s="1062">
        <f>'No Recurrentes 24-26'!DT346</f>
        <v>0</v>
      </c>
      <c r="CL481" s="1064" t="str">
        <f>'No Recurrentes 24-26'!DU346</f>
        <v/>
      </c>
      <c r="CM481" s="1064" t="str">
        <f>'No Recurrentes 24-26'!DV346</f>
        <v/>
      </c>
      <c r="CN481" s="1065">
        <f>'No Recurrentes 24-26'!EI342</f>
        <v>0.46</v>
      </c>
      <c r="CO481" s="1065">
        <f>'No Recurrentes 24-26'!EJ342</f>
        <v>0.39</v>
      </c>
      <c r="CP481" s="1060" t="str">
        <f>'No Recurrentes 24-26'!EK342</f>
        <v/>
      </c>
    </row>
    <row r="482">
      <c r="A482" s="451" t="str">
        <f>'No Recurrentes 24-26'!A347</f>
        <v>Repuestos Electromecánicos no recurrentes</v>
      </c>
      <c r="B482" s="451" t="str">
        <f>'No Recurrentes 24-26'!B347</f>
        <v/>
      </c>
      <c r="C482" s="451" t="str">
        <f>'No Recurrentes 24-26'!C347</f>
        <v>Estación</v>
      </c>
      <c r="D482" s="451" t="str">
        <f>'No Recurrentes 24-26'!D347</f>
        <v>Poleas de estacion</v>
      </c>
      <c r="E482" s="451" t="str">
        <f>'No Recurrentes 24-26'!E347</f>
        <v>Repuesto Mecánico</v>
      </c>
      <c r="F482" s="451" t="str">
        <f>'No Recurrentes 24-26'!F347</f>
        <v>TDB</v>
      </c>
      <c r="G482" s="1061" t="str">
        <f>'No Recurrentes 24-26'!G347</f>
        <v>39800</v>
      </c>
      <c r="H482" s="1061" t="str">
        <f>'No Recurrentes 24-26'!H347</f>
        <v/>
      </c>
      <c r="I482" s="1061">
        <f>'No Recurrentes 24-26'!I347</f>
        <v>10000571</v>
      </c>
      <c r="J482" s="1061" t="str">
        <f>'No Recurrentes 24-26'!J347</f>
        <v>MANGUITO SUJ. ISO 8752 8X40 GEOMET 321A (DIN 1481)</v>
      </c>
      <c r="K482" s="451" t="str">
        <f>'No Recurrentes 24-26'!K347</f>
        <v>Pza</v>
      </c>
      <c r="L482" s="451" t="str">
        <f>'No Recurrentes 24-26'!BC347</f>
        <v/>
      </c>
      <c r="M482" s="451" t="str">
        <f>'No Recurrentes 24-26'!BD347</f>
        <v/>
      </c>
      <c r="N482" s="451" t="str">
        <f>'No Recurrentes 24-26'!BE347</f>
        <v/>
      </c>
      <c r="O482" s="451" t="str">
        <f>'No Recurrentes 24-26'!BF347</f>
        <v/>
      </c>
      <c r="P482" s="451" t="str">
        <f>'No Recurrentes 24-26'!BG347</f>
        <v/>
      </c>
      <c r="Q482" s="451" t="str">
        <f>'No Recurrentes 24-26'!BH347</f>
        <v/>
      </c>
      <c r="R482" s="451" t="str">
        <f>'No Recurrentes 24-26'!BI347</f>
        <v/>
      </c>
      <c r="S482" s="451" t="str">
        <f>'No Recurrentes 24-26'!BJ347</f>
        <v/>
      </c>
      <c r="T482" s="451" t="str">
        <f>'No Recurrentes 24-26'!BK347</f>
        <v/>
      </c>
      <c r="U482" s="451">
        <f>'No Recurrentes 24-26'!BL347</f>
        <v>0</v>
      </c>
      <c r="V482" s="1068"/>
      <c r="W482" s="1062">
        <f>'No Recurrentes 24-26'!BM347</f>
        <v>0</v>
      </c>
      <c r="X482" s="1062" t="str">
        <f>'No Recurrentes 24-26'!BN347</f>
        <v/>
      </c>
      <c r="Y482" s="1062" t="str">
        <f>'No Recurrentes 24-26'!BO347</f>
        <v/>
      </c>
      <c r="Z482" s="1062" t="str">
        <f>'No Recurrentes 24-26'!BP347</f>
        <v/>
      </c>
      <c r="AA482" s="1062" t="str">
        <f>'No Recurrentes 24-26'!BQ347</f>
        <v/>
      </c>
      <c r="AB482" s="1062" t="str">
        <f>'No Recurrentes 24-26'!BR347</f>
        <v/>
      </c>
      <c r="AC482" s="1062" t="str">
        <f>'No Recurrentes 24-26'!BS347</f>
        <v/>
      </c>
      <c r="AD482" s="1062" t="str">
        <f>'No Recurrentes 24-26'!BT347</f>
        <v/>
      </c>
      <c r="AE482" s="1062" t="str">
        <f>'No Recurrentes 24-26'!BU347</f>
        <v/>
      </c>
      <c r="AF482" s="1062" t="str">
        <f>'No Recurrentes 24-26'!BV347</f>
        <v/>
      </c>
      <c r="AG482" s="1062" t="str">
        <f>'No Recurrentes 24-26'!BW347</f>
        <v/>
      </c>
      <c r="AH482" s="1068"/>
      <c r="AI482" s="1062">
        <f>'No Recurrentes 24-26'!BX347</f>
        <v>0</v>
      </c>
      <c r="AJ482" s="1062">
        <f>'No Recurrentes 24-26'!BY347</f>
        <v>0</v>
      </c>
      <c r="AK482" s="1062">
        <f>'No Recurrentes 24-26'!BZ347</f>
        <v>0</v>
      </c>
      <c r="AL482" s="1062">
        <f>'No Recurrentes 24-26'!CA347</f>
        <v>0</v>
      </c>
      <c r="AM482" s="1062">
        <f>'No Recurrentes 24-26'!CB347</f>
        <v>0</v>
      </c>
      <c r="AN482" s="1062">
        <f>'No Recurrentes 24-26'!CC347</f>
        <v>0</v>
      </c>
      <c r="AO482" s="1062">
        <f>'No Recurrentes 24-26'!CD347</f>
        <v>0</v>
      </c>
      <c r="AP482" s="1062">
        <f>'No Recurrentes 24-26'!CE347</f>
        <v>0</v>
      </c>
      <c r="AQ482" s="1062">
        <f>'No Recurrentes 24-26'!CF347</f>
        <v>0</v>
      </c>
      <c r="AR482" s="1062">
        <f>'No Recurrentes 24-26'!CG347</f>
        <v>0</v>
      </c>
      <c r="AS482" s="1062">
        <f>'No Recurrentes 24-26'!CH347</f>
        <v>0</v>
      </c>
      <c r="AT482" s="1068"/>
      <c r="AU482" s="1062">
        <f>'No Recurrentes 24-26'!CI347</f>
        <v>0</v>
      </c>
      <c r="AV482" s="1063">
        <f>'No Recurrentes 24-26'!CJ347</f>
        <v>0</v>
      </c>
      <c r="AW482" s="1068"/>
      <c r="AX482" s="1062" t="str">
        <f>'No Recurrentes 24-26'!CK347</f>
        <v/>
      </c>
      <c r="AY482" s="1062">
        <f>'No Recurrentes 24-26'!CL347</f>
        <v>2.1607</v>
      </c>
      <c r="AZ482" s="1068"/>
      <c r="BA482" s="1062">
        <f>'No Recurrentes 24-26'!CM347</f>
        <v>0</v>
      </c>
      <c r="BB482" s="1062">
        <f>'No Recurrentes 24-26'!CN347</f>
        <v>0</v>
      </c>
      <c r="BC482" s="1062">
        <f>'No Recurrentes 24-26'!CO347</f>
        <v>0</v>
      </c>
      <c r="BD482" s="1062">
        <f>'No Recurrentes 24-26'!CP347</f>
        <v>0</v>
      </c>
      <c r="BE482" s="1062">
        <f>'No Recurrentes 24-26'!CQ347</f>
        <v>0</v>
      </c>
      <c r="BF482" s="1062">
        <f>'No Recurrentes 24-26'!CR347</f>
        <v>0</v>
      </c>
      <c r="BG482" s="1062">
        <f>'No Recurrentes 24-26'!CS347</f>
        <v>0</v>
      </c>
      <c r="BH482" s="1062">
        <f>'No Recurrentes 24-26'!CT347</f>
        <v>0</v>
      </c>
      <c r="BI482" s="1062">
        <f>'No Recurrentes 24-26'!CU347</f>
        <v>0</v>
      </c>
      <c r="BJ482" s="1062">
        <f>'No Recurrentes 24-26'!CV347</f>
        <v>0</v>
      </c>
      <c r="BK482" s="1068"/>
      <c r="BL482" s="1062">
        <f>'No Recurrentes 24-26'!CW347</f>
        <v>0</v>
      </c>
      <c r="BM482" s="1062">
        <f>'No Recurrentes 24-26'!CX347</f>
        <v>0</v>
      </c>
      <c r="BN482" s="1062">
        <f>'No Recurrentes 24-26'!CY347</f>
        <v>0</v>
      </c>
      <c r="BO482" s="1062">
        <f>'No Recurrentes 24-26'!CZ347</f>
        <v>0</v>
      </c>
      <c r="BP482" s="1062">
        <f>'No Recurrentes 24-26'!DA347</f>
        <v>0</v>
      </c>
      <c r="BQ482" s="1062">
        <f>'No Recurrentes 24-26'!DB347</f>
        <v>0</v>
      </c>
      <c r="BR482" s="1062">
        <f>'No Recurrentes 24-26'!DC347</f>
        <v>0</v>
      </c>
      <c r="BS482" s="1062">
        <f>'No Recurrentes 24-26'!DD347</f>
        <v>0</v>
      </c>
      <c r="BT482" s="1062">
        <f>'No Recurrentes 24-26'!DE347</f>
        <v>0</v>
      </c>
      <c r="BU482" s="1062">
        <f>'No Recurrentes 24-26'!DF347</f>
        <v>0</v>
      </c>
      <c r="BV482" s="1062">
        <f>'No Recurrentes 24-26'!DG347</f>
        <v>0</v>
      </c>
      <c r="BW482" s="1068"/>
      <c r="BX482" s="1062">
        <f>'No Recurrentes 24-26'!DH347</f>
        <v>0</v>
      </c>
      <c r="BY482" s="1062">
        <f>'No Recurrentes 24-26'!DI347</f>
        <v>0</v>
      </c>
      <c r="BZ482" s="1062">
        <f>'No Recurrentes 24-26'!DJ347</f>
        <v>0</v>
      </c>
      <c r="CA482" s="1062">
        <f>'No Recurrentes 24-26'!DK347</f>
        <v>0</v>
      </c>
      <c r="CB482" s="1062">
        <f>'No Recurrentes 24-26'!DL347</f>
        <v>0</v>
      </c>
      <c r="CC482" s="1062">
        <f>'No Recurrentes 24-26'!DM347</f>
        <v>0</v>
      </c>
      <c r="CD482" s="1062">
        <f>'No Recurrentes 24-26'!DN347</f>
        <v>0</v>
      </c>
      <c r="CE482" s="1062">
        <f>'No Recurrentes 24-26'!DO347</f>
        <v>0</v>
      </c>
      <c r="CF482" s="1062">
        <f>'No Recurrentes 24-26'!DP347</f>
        <v>0</v>
      </c>
      <c r="CG482" s="1062">
        <f>'No Recurrentes 24-26'!DQ347</f>
        <v>0</v>
      </c>
      <c r="CH482" s="1062">
        <f>'No Recurrentes 24-26'!DR347</f>
        <v>0</v>
      </c>
      <c r="CI482" s="1068"/>
      <c r="CJ482" s="1062">
        <f>'No Recurrentes 24-26'!DS347</f>
        <v>0</v>
      </c>
      <c r="CK482" s="1062">
        <f>'No Recurrentes 24-26'!DT347</f>
        <v>0</v>
      </c>
      <c r="CL482" s="1064" t="str">
        <f>'No Recurrentes 24-26'!DU347</f>
        <v/>
      </c>
      <c r="CM482" s="1064" t="str">
        <f>'No Recurrentes 24-26'!DV347</f>
        <v/>
      </c>
      <c r="CN482" s="1065">
        <f>'No Recurrentes 24-26'!EI343</f>
        <v>566.84</v>
      </c>
      <c r="CO482" s="1065">
        <f>'No Recurrentes 24-26'!EJ343</f>
        <v>481.81</v>
      </c>
      <c r="CP482" s="1060" t="str">
        <f>'No Recurrentes 24-26'!EK343</f>
        <v/>
      </c>
    </row>
    <row r="483">
      <c r="A483" s="451" t="str">
        <f>'No Recurrentes 24-26'!A348</f>
        <v>Repuestos Electromecánicos no recurrentes</v>
      </c>
      <c r="B483" s="451">
        <f>'No Recurrentes 24-26'!B348</f>
        <v>2</v>
      </c>
      <c r="C483" s="451" t="str">
        <f>'No Recurrentes 24-26'!C348</f>
        <v>Torre</v>
      </c>
      <c r="D483" s="451" t="str">
        <f>'No Recurrentes 24-26'!D348</f>
        <v>Reacondicionamiento de Poleas Palpadoras</v>
      </c>
      <c r="E483" s="451" t="str">
        <f>'No Recurrentes 24-26'!E348</f>
        <v>Repuesto Mecánico</v>
      </c>
      <c r="F483" s="451" t="str">
        <f>'No Recurrentes 24-26'!F348</f>
        <v>TDB</v>
      </c>
      <c r="G483" s="1025" t="str">
        <f>'No Recurrentes 24-26'!G348</f>
        <v>39800</v>
      </c>
      <c r="H483" s="1061" t="str">
        <f>'No Recurrentes 24-26'!H348</f>
        <v>2-01-00041</v>
      </c>
      <c r="I483" s="1061" t="str">
        <f>'No Recurrentes 24-26'!I348</f>
        <v>10539609</v>
      </c>
      <c r="J483" s="1061" t="str">
        <f>'No Recurrentes 24-26'!J348</f>
        <v>POLEA SENSOR  C   CL 64 DIA265 CON CONCAVID.DIA.250 /ALUMINIO</v>
      </c>
      <c r="K483" s="451" t="str">
        <f>'No Recurrentes 24-26'!K348</f>
        <v>Pza</v>
      </c>
      <c r="L483" s="451">
        <f>'No Recurrentes 24-26'!BC348</f>
        <v>4</v>
      </c>
      <c r="M483" s="451" t="str">
        <f>'No Recurrentes 24-26'!BD348</f>
        <v/>
      </c>
      <c r="N483" s="451" t="str">
        <f>'No Recurrentes 24-26'!BE348</f>
        <v/>
      </c>
      <c r="O483" s="451" t="str">
        <f>'No Recurrentes 24-26'!BF348</f>
        <v/>
      </c>
      <c r="P483" s="451" t="str">
        <f>'No Recurrentes 24-26'!BG348</f>
        <v/>
      </c>
      <c r="Q483" s="451">
        <f>'No Recurrentes 24-26'!BH348</f>
        <v>4</v>
      </c>
      <c r="R483" s="451" t="str">
        <f>'No Recurrentes 24-26'!BI348</f>
        <v/>
      </c>
      <c r="S483" s="451" t="str">
        <f>'No Recurrentes 24-26'!BJ348</f>
        <v/>
      </c>
      <c r="T483" s="451" t="str">
        <f>'No Recurrentes 24-26'!BK348</f>
        <v/>
      </c>
      <c r="U483" s="451" t="str">
        <f>'No Recurrentes 24-26'!BL348</f>
        <v/>
      </c>
      <c r="V483" s="1068"/>
      <c r="W483" s="1062">
        <f>'No Recurrentes 24-26'!BM348</f>
        <v>8</v>
      </c>
      <c r="X483" s="1062" t="str">
        <f>'No Recurrentes 24-26'!BN348</f>
        <v/>
      </c>
      <c r="Y483" s="1062" t="str">
        <f>'No Recurrentes 24-26'!BO348</f>
        <v/>
      </c>
      <c r="Z483" s="1062" t="str">
        <f>'No Recurrentes 24-26'!BP348</f>
        <v/>
      </c>
      <c r="AA483" s="1062" t="str">
        <f>'No Recurrentes 24-26'!BQ348</f>
        <v/>
      </c>
      <c r="AB483" s="1062" t="str">
        <f>'No Recurrentes 24-26'!BR348</f>
        <v/>
      </c>
      <c r="AC483" s="1062" t="str">
        <f>'No Recurrentes 24-26'!BS348</f>
        <v/>
      </c>
      <c r="AD483" s="1062" t="str">
        <f>'No Recurrentes 24-26'!BT348</f>
        <v/>
      </c>
      <c r="AE483" s="1062" t="str">
        <f>'No Recurrentes 24-26'!BU348</f>
        <v/>
      </c>
      <c r="AF483" s="1062" t="str">
        <f>'No Recurrentes 24-26'!BV348</f>
        <v/>
      </c>
      <c r="AG483" s="1062" t="str">
        <f>'No Recurrentes 24-26'!BW348</f>
        <v/>
      </c>
      <c r="AH483" s="1068"/>
      <c r="AI483" s="1062">
        <f>'No Recurrentes 24-26'!BX348</f>
        <v>0</v>
      </c>
      <c r="AJ483" s="1062">
        <f>'No Recurrentes 24-26'!BY348</f>
        <v>0</v>
      </c>
      <c r="AK483" s="1062">
        <f>'No Recurrentes 24-26'!BZ348</f>
        <v>0</v>
      </c>
      <c r="AL483" s="1062">
        <f>'No Recurrentes 24-26'!CA348</f>
        <v>0</v>
      </c>
      <c r="AM483" s="1062">
        <f>'No Recurrentes 24-26'!CB348</f>
        <v>0</v>
      </c>
      <c r="AN483" s="1062">
        <f>'No Recurrentes 24-26'!CC348</f>
        <v>0</v>
      </c>
      <c r="AO483" s="1062">
        <f>'No Recurrentes 24-26'!CD348</f>
        <v>0</v>
      </c>
      <c r="AP483" s="1062">
        <f>'No Recurrentes 24-26'!CE348</f>
        <v>0</v>
      </c>
      <c r="AQ483" s="1062">
        <f>'No Recurrentes 24-26'!CF348</f>
        <v>0</v>
      </c>
      <c r="AR483" s="1062">
        <f>'No Recurrentes 24-26'!CG348</f>
        <v>0</v>
      </c>
      <c r="AS483" s="1062">
        <f>'No Recurrentes 24-26'!CH348</f>
        <v>0</v>
      </c>
      <c r="AT483" s="1068"/>
      <c r="AU483" s="1062">
        <f>'No Recurrentes 24-26'!CI348</f>
        <v>0</v>
      </c>
      <c r="AV483" s="1063">
        <f>'No Recurrentes 24-26'!CJ348</f>
        <v>8</v>
      </c>
      <c r="AW483" s="1068"/>
      <c r="AX483" s="1065">
        <f>'No Recurrentes 24-26'!CK348</f>
        <v>603.26</v>
      </c>
      <c r="AY483" s="1062">
        <f>'No Recurrentes 24-26'!CL348</f>
        <v>4198.6896</v>
      </c>
      <c r="AZ483" s="1068"/>
      <c r="BA483" s="1062">
        <f>'No Recurrentes 24-26'!CM348</f>
        <v>16794.7584</v>
      </c>
      <c r="BB483" s="1062">
        <f>'No Recurrentes 24-26'!CN348</f>
        <v>0</v>
      </c>
      <c r="BC483" s="1062">
        <f>'No Recurrentes 24-26'!CO348</f>
        <v>0</v>
      </c>
      <c r="BD483" s="1062">
        <f>'No Recurrentes 24-26'!CP348</f>
        <v>0</v>
      </c>
      <c r="BE483" s="1062">
        <f>'No Recurrentes 24-26'!CQ348</f>
        <v>0</v>
      </c>
      <c r="BF483" s="1062">
        <f>'No Recurrentes 24-26'!CR348</f>
        <v>16794.7584</v>
      </c>
      <c r="BG483" s="1062">
        <f>'No Recurrentes 24-26'!CS348</f>
        <v>0</v>
      </c>
      <c r="BH483" s="1062">
        <f>'No Recurrentes 24-26'!CT348</f>
        <v>0</v>
      </c>
      <c r="BI483" s="1062">
        <f>'No Recurrentes 24-26'!CU348</f>
        <v>0</v>
      </c>
      <c r="BJ483" s="1062">
        <f>'No Recurrentes 24-26'!CV348</f>
        <v>0</v>
      </c>
      <c r="BK483" s="1068"/>
      <c r="BL483" s="1062">
        <f>'No Recurrentes 24-26'!CW348</f>
        <v>33589.5168</v>
      </c>
      <c r="BM483" s="1062">
        <f>'No Recurrentes 24-26'!CX348</f>
        <v>0</v>
      </c>
      <c r="BN483" s="1062">
        <f>'No Recurrentes 24-26'!CY348</f>
        <v>0</v>
      </c>
      <c r="BO483" s="1062">
        <f>'No Recurrentes 24-26'!CZ348</f>
        <v>0</v>
      </c>
      <c r="BP483" s="1062">
        <f>'No Recurrentes 24-26'!DA348</f>
        <v>0</v>
      </c>
      <c r="BQ483" s="1062">
        <f>'No Recurrentes 24-26'!DB348</f>
        <v>0</v>
      </c>
      <c r="BR483" s="1062">
        <f>'No Recurrentes 24-26'!DC348</f>
        <v>0</v>
      </c>
      <c r="BS483" s="1062">
        <f>'No Recurrentes 24-26'!DD348</f>
        <v>0</v>
      </c>
      <c r="BT483" s="1062">
        <f>'No Recurrentes 24-26'!DE348</f>
        <v>0</v>
      </c>
      <c r="BU483" s="1062">
        <f>'No Recurrentes 24-26'!DF348</f>
        <v>0</v>
      </c>
      <c r="BV483" s="1062">
        <f>'No Recurrentes 24-26'!DG348</f>
        <v>0</v>
      </c>
      <c r="BW483" s="1068"/>
      <c r="BX483" s="1062">
        <f>'No Recurrentes 24-26'!DH348</f>
        <v>0</v>
      </c>
      <c r="BY483" s="1062">
        <f>'No Recurrentes 24-26'!DI348</f>
        <v>0</v>
      </c>
      <c r="BZ483" s="1062">
        <f>'No Recurrentes 24-26'!DJ348</f>
        <v>0</v>
      </c>
      <c r="CA483" s="1062">
        <f>'No Recurrentes 24-26'!DK348</f>
        <v>0</v>
      </c>
      <c r="CB483" s="1062">
        <f>'No Recurrentes 24-26'!DL348</f>
        <v>0</v>
      </c>
      <c r="CC483" s="1062">
        <f>'No Recurrentes 24-26'!DM348</f>
        <v>0</v>
      </c>
      <c r="CD483" s="1062">
        <f>'No Recurrentes 24-26'!DN348</f>
        <v>0</v>
      </c>
      <c r="CE483" s="1062">
        <f>'No Recurrentes 24-26'!DO348</f>
        <v>0</v>
      </c>
      <c r="CF483" s="1062">
        <f>'No Recurrentes 24-26'!DP348</f>
        <v>0</v>
      </c>
      <c r="CG483" s="1062">
        <f>'No Recurrentes 24-26'!DQ348</f>
        <v>0</v>
      </c>
      <c r="CH483" s="1062">
        <f>'No Recurrentes 24-26'!DR348</f>
        <v>0</v>
      </c>
      <c r="CI483" s="1068"/>
      <c r="CJ483" s="1062">
        <f>'No Recurrentes 24-26'!DS348</f>
        <v>0</v>
      </c>
      <c r="CK483" s="1062">
        <f>'No Recurrentes 24-26'!DT348</f>
        <v>33589.5168</v>
      </c>
      <c r="CL483" s="1064" t="str">
        <f>'No Recurrentes 24-26'!DU348</f>
        <v/>
      </c>
      <c r="CM483" s="1064" t="str">
        <f>'No Recurrentes 24-26'!DV348</f>
        <v>Se eilmina, se trabajara con basculas de Edwin y Erick</v>
      </c>
      <c r="CN483" s="1060">
        <f>'No Recurrentes 24-26'!EI344</f>
        <v>1</v>
      </c>
      <c r="CO483" s="1060" t="str">
        <f>'No Recurrentes 24-26'!EJ344</f>
        <v/>
      </c>
      <c r="CP483" s="1060" t="str">
        <f>'No Recurrentes 24-26'!EK344</f>
        <v/>
      </c>
    </row>
    <row r="484">
      <c r="A484" s="451" t="str">
        <f>'No Recurrentes 24-26'!A349</f>
        <v>Repuestos Electromecánicos no recurrentes</v>
      </c>
      <c r="B484" s="451">
        <f>'No Recurrentes 24-26'!B349</f>
        <v>2</v>
      </c>
      <c r="C484" s="451" t="str">
        <f>'No Recurrentes 24-26'!C349</f>
        <v>torre</v>
      </c>
      <c r="D484" s="451" t="str">
        <f>'No Recurrentes 24-26'!D349</f>
        <v>Reacondicionamiento de Poleas Palpadoras</v>
      </c>
      <c r="E484" s="451" t="str">
        <f>'No Recurrentes 24-26'!E349</f>
        <v>Repuesto Mecánico</v>
      </c>
      <c r="F484" s="451" t="str">
        <f>'No Recurrentes 24-26'!F349</f>
        <v>TDB</v>
      </c>
      <c r="G484" s="1025" t="str">
        <f>'No Recurrentes 24-26'!G349</f>
        <v>39800</v>
      </c>
      <c r="H484" s="1061" t="str">
        <f>'No Recurrentes 24-26'!H349</f>
        <v>2-01-01050</v>
      </c>
      <c r="I484" s="1061" t="str">
        <f>'No Recurrentes 24-26'!I349</f>
        <v>11094109</v>
      </c>
      <c r="J484" s="1061" t="str">
        <f>'No Recurrentes 24-26'!J349</f>
        <v>BÁSCULA DE 2 P. TIPO C-L AC.60 DP572 P. P.SENSOR TIPO 420C-L</v>
      </c>
      <c r="K484" s="451" t="str">
        <f>'No Recurrentes 24-26'!K349</f>
        <v>Pza</v>
      </c>
      <c r="L484" s="451" t="str">
        <f>'No Recurrentes 24-26'!BC349</f>
        <v/>
      </c>
      <c r="M484" s="451" t="str">
        <f>'No Recurrentes 24-26'!BD349</f>
        <v/>
      </c>
      <c r="N484" s="451" t="str">
        <f>'No Recurrentes 24-26'!BE349</f>
        <v/>
      </c>
      <c r="O484" s="451" t="str">
        <f>'No Recurrentes 24-26'!BF349</f>
        <v/>
      </c>
      <c r="P484" s="451" t="str">
        <f>'No Recurrentes 24-26'!BG349</f>
        <v/>
      </c>
      <c r="Q484" s="451" t="str">
        <f>'No Recurrentes 24-26'!BH349</f>
        <v/>
      </c>
      <c r="R484" s="451" t="str">
        <f>'No Recurrentes 24-26'!BI349</f>
        <v/>
      </c>
      <c r="S484" s="451" t="str">
        <f>'No Recurrentes 24-26'!BJ349</f>
        <v/>
      </c>
      <c r="T484" s="451" t="str">
        <f>'No Recurrentes 24-26'!BK349</f>
        <v/>
      </c>
      <c r="U484" s="451" t="str">
        <f>'No Recurrentes 24-26'!BL349</f>
        <v/>
      </c>
      <c r="V484" s="1068"/>
      <c r="W484" s="1062">
        <f>'No Recurrentes 24-26'!BM349</f>
        <v>0</v>
      </c>
      <c r="X484" s="1062" t="str">
        <f>'No Recurrentes 24-26'!BN349</f>
        <v/>
      </c>
      <c r="Y484" s="1062" t="str">
        <f>'No Recurrentes 24-26'!BO349</f>
        <v/>
      </c>
      <c r="Z484" s="1062" t="str">
        <f>'No Recurrentes 24-26'!BP349</f>
        <v/>
      </c>
      <c r="AA484" s="1062" t="str">
        <f>'No Recurrentes 24-26'!BQ349</f>
        <v/>
      </c>
      <c r="AB484" s="1062" t="str">
        <f>'No Recurrentes 24-26'!BR349</f>
        <v/>
      </c>
      <c r="AC484" s="1062" t="str">
        <f>'No Recurrentes 24-26'!BS349</f>
        <v/>
      </c>
      <c r="AD484" s="1062" t="str">
        <f>'No Recurrentes 24-26'!BT349</f>
        <v/>
      </c>
      <c r="AE484" s="1062">
        <f>'No Recurrentes 24-26'!BU349</f>
        <v>1</v>
      </c>
      <c r="AF484" s="1062" t="str">
        <f>'No Recurrentes 24-26'!BV349</f>
        <v/>
      </c>
      <c r="AG484" s="1062">
        <f>'No Recurrentes 24-26'!BW349</f>
        <v>1</v>
      </c>
      <c r="AH484" s="1068"/>
      <c r="AI484" s="1062">
        <f>'No Recurrentes 24-26'!BX349</f>
        <v>2</v>
      </c>
      <c r="AJ484" s="1062">
        <f>'No Recurrentes 24-26'!BY349</f>
        <v>0</v>
      </c>
      <c r="AK484" s="1062">
        <f>'No Recurrentes 24-26'!BZ349</f>
        <v>0</v>
      </c>
      <c r="AL484" s="1062">
        <f>'No Recurrentes 24-26'!CA349</f>
        <v>0</v>
      </c>
      <c r="AM484" s="1062">
        <f>'No Recurrentes 24-26'!CB349</f>
        <v>0</v>
      </c>
      <c r="AN484" s="1062">
        <f>'No Recurrentes 24-26'!CC349</f>
        <v>0</v>
      </c>
      <c r="AO484" s="1062">
        <f>'No Recurrentes 24-26'!CD349</f>
        <v>0</v>
      </c>
      <c r="AP484" s="1062">
        <f>'No Recurrentes 24-26'!CE349</f>
        <v>0</v>
      </c>
      <c r="AQ484" s="1062">
        <f>'No Recurrentes 24-26'!CF349</f>
        <v>0</v>
      </c>
      <c r="AR484" s="1062">
        <f>'No Recurrentes 24-26'!CG349</f>
        <v>0</v>
      </c>
      <c r="AS484" s="1062">
        <f>'No Recurrentes 24-26'!CH349</f>
        <v>0</v>
      </c>
      <c r="AT484" s="1068"/>
      <c r="AU484" s="1062">
        <f>'No Recurrentes 24-26'!CI349</f>
        <v>0</v>
      </c>
      <c r="AV484" s="1063">
        <f>'No Recurrentes 24-26'!CJ349</f>
        <v>2</v>
      </c>
      <c r="AW484" s="1068"/>
      <c r="AX484" s="1065">
        <f>'No Recurrentes 24-26'!CK349</f>
        <v>1068.24</v>
      </c>
      <c r="AY484" s="1062">
        <f>'No Recurrentes 24-26'!CL349</f>
        <v>7434.9504</v>
      </c>
      <c r="AZ484" s="1068"/>
      <c r="BA484" s="1062">
        <f>'No Recurrentes 24-26'!CM349</f>
        <v>0</v>
      </c>
      <c r="BB484" s="1062">
        <f>'No Recurrentes 24-26'!CN349</f>
        <v>0</v>
      </c>
      <c r="BC484" s="1062">
        <f>'No Recurrentes 24-26'!CO349</f>
        <v>0</v>
      </c>
      <c r="BD484" s="1062">
        <f>'No Recurrentes 24-26'!CP349</f>
        <v>0</v>
      </c>
      <c r="BE484" s="1062">
        <f>'No Recurrentes 24-26'!CQ349</f>
        <v>0</v>
      </c>
      <c r="BF484" s="1062">
        <f>'No Recurrentes 24-26'!CR349</f>
        <v>0</v>
      </c>
      <c r="BG484" s="1062">
        <f>'No Recurrentes 24-26'!CS349</f>
        <v>0</v>
      </c>
      <c r="BH484" s="1062">
        <f>'No Recurrentes 24-26'!CT349</f>
        <v>0</v>
      </c>
      <c r="BI484" s="1062">
        <f>'No Recurrentes 24-26'!CU349</f>
        <v>0</v>
      </c>
      <c r="BJ484" s="1062">
        <f>'No Recurrentes 24-26'!CV349</f>
        <v>0</v>
      </c>
      <c r="BK484" s="1068"/>
      <c r="BL484" s="1062">
        <f>'No Recurrentes 24-26'!CW349</f>
        <v>0</v>
      </c>
      <c r="BM484" s="1062">
        <f>'No Recurrentes 24-26'!CX349</f>
        <v>0</v>
      </c>
      <c r="BN484" s="1062">
        <f>'No Recurrentes 24-26'!CY349</f>
        <v>0</v>
      </c>
      <c r="BO484" s="1062">
        <f>'No Recurrentes 24-26'!CZ349</f>
        <v>0</v>
      </c>
      <c r="BP484" s="1062">
        <f>'No Recurrentes 24-26'!DA349</f>
        <v>0</v>
      </c>
      <c r="BQ484" s="1062">
        <f>'No Recurrentes 24-26'!DB349</f>
        <v>0</v>
      </c>
      <c r="BR484" s="1062">
        <f>'No Recurrentes 24-26'!DC349</f>
        <v>0</v>
      </c>
      <c r="BS484" s="1062">
        <f>'No Recurrentes 24-26'!DD349</f>
        <v>0</v>
      </c>
      <c r="BT484" s="1062">
        <f>'No Recurrentes 24-26'!DE349</f>
        <v>7434.9504</v>
      </c>
      <c r="BU484" s="1062">
        <f>'No Recurrentes 24-26'!DF349</f>
        <v>0</v>
      </c>
      <c r="BV484" s="1062">
        <f>'No Recurrentes 24-26'!DG349</f>
        <v>7434.9504</v>
      </c>
      <c r="BW484" s="1068"/>
      <c r="BX484" s="1062">
        <f>'No Recurrentes 24-26'!DH349</f>
        <v>14869.9008</v>
      </c>
      <c r="BY484" s="1062">
        <f>'No Recurrentes 24-26'!DI349</f>
        <v>0</v>
      </c>
      <c r="BZ484" s="1062">
        <f>'No Recurrentes 24-26'!DJ349</f>
        <v>0</v>
      </c>
      <c r="CA484" s="1062">
        <f>'No Recurrentes 24-26'!DK349</f>
        <v>0</v>
      </c>
      <c r="CB484" s="1062">
        <f>'No Recurrentes 24-26'!DL349</f>
        <v>0</v>
      </c>
      <c r="CC484" s="1062">
        <f>'No Recurrentes 24-26'!DM349</f>
        <v>0</v>
      </c>
      <c r="CD484" s="1062">
        <f>'No Recurrentes 24-26'!DN349</f>
        <v>0</v>
      </c>
      <c r="CE484" s="1062">
        <f>'No Recurrentes 24-26'!DO349</f>
        <v>0</v>
      </c>
      <c r="CF484" s="1062">
        <f>'No Recurrentes 24-26'!DP349</f>
        <v>0</v>
      </c>
      <c r="CG484" s="1062">
        <f>'No Recurrentes 24-26'!DQ349</f>
        <v>0</v>
      </c>
      <c r="CH484" s="1062">
        <f>'No Recurrentes 24-26'!DR349</f>
        <v>0</v>
      </c>
      <c r="CI484" s="1068"/>
      <c r="CJ484" s="1062">
        <f>'No Recurrentes 24-26'!DS349</f>
        <v>0</v>
      </c>
      <c r="CK484" s="1062">
        <f>'No Recurrentes 24-26'!DT349</f>
        <v>14869.9008</v>
      </c>
      <c r="CL484" s="1064" t="str">
        <f>'No Recurrentes 24-26'!DU349</f>
        <v/>
      </c>
      <c r="CM484" s="1064" t="str">
        <f>'No Recurrentes 24-26'!DV349</f>
        <v>Se eilmina, se trabajara con basculas de Edwin y Erick</v>
      </c>
      <c r="CN484" s="1065">
        <f>'No Recurrentes 24-26'!EI345</f>
        <v>102.95</v>
      </c>
      <c r="CO484" s="1065">
        <f>'No Recurrentes 24-26'!EJ345</f>
        <v>87.51</v>
      </c>
      <c r="CP484" s="1060" t="str">
        <f>'No Recurrentes 24-26'!EK345</f>
        <v/>
      </c>
    </row>
    <row r="485">
      <c r="A485" s="451" t="str">
        <f>'No Recurrentes 24-26'!A350</f>
        <v>Repuestos Electromecánicos no recurrentes</v>
      </c>
      <c r="B485" s="451" t="str">
        <f>'No Recurrentes 24-26'!B350</f>
        <v/>
      </c>
      <c r="C485" s="451" t="str">
        <f>'No Recurrentes 24-26'!C350</f>
        <v>Torre</v>
      </c>
      <c r="D485" s="451" t="str">
        <f>'No Recurrentes 24-26'!D350</f>
        <v>Reacondicionamiento de Poleas Palpadoras</v>
      </c>
      <c r="E485" s="451" t="str">
        <f>'No Recurrentes 24-26'!E350</f>
        <v>Repuesto Mecánico</v>
      </c>
      <c r="F485" s="451" t="str">
        <f>'No Recurrentes 24-26'!F350</f>
        <v>TDB</v>
      </c>
      <c r="G485" s="1061" t="str">
        <f>'No Recurrentes 24-26'!G350</f>
        <v>39800</v>
      </c>
      <c r="H485" s="1061" t="str">
        <f>'No Recurrentes 24-26'!H350</f>
        <v/>
      </c>
      <c r="I485" s="1061">
        <f>'No Recurrentes 24-26'!I350</f>
        <v>10946774</v>
      </c>
      <c r="J485" s="1061" t="str">
        <f>'No Recurrentes 24-26'!J350</f>
        <v>BALANCIN DE 2 POL. TIPO C AC.6</v>
      </c>
      <c r="K485" s="451" t="str">
        <f>'No Recurrentes 24-26'!K350</f>
        <v>Pza</v>
      </c>
      <c r="L485" s="451" t="str">
        <f>'No Recurrentes 24-26'!BC350</f>
        <v/>
      </c>
      <c r="M485" s="451" t="str">
        <f>'No Recurrentes 24-26'!BD350</f>
        <v/>
      </c>
      <c r="N485" s="451" t="str">
        <f>'No Recurrentes 24-26'!BE350</f>
        <v/>
      </c>
      <c r="O485" s="451" t="str">
        <f>'No Recurrentes 24-26'!BF350</f>
        <v/>
      </c>
      <c r="P485" s="451" t="str">
        <f>'No Recurrentes 24-26'!BG350</f>
        <v/>
      </c>
      <c r="Q485" s="451" t="str">
        <f>'No Recurrentes 24-26'!BH350</f>
        <v/>
      </c>
      <c r="R485" s="451" t="str">
        <f>'No Recurrentes 24-26'!BI350</f>
        <v/>
      </c>
      <c r="S485" s="451" t="str">
        <f>'No Recurrentes 24-26'!BJ350</f>
        <v/>
      </c>
      <c r="T485" s="451" t="str">
        <f>'No Recurrentes 24-26'!BK350</f>
        <v/>
      </c>
      <c r="U485" s="451" t="str">
        <f>'No Recurrentes 24-26'!BL350</f>
        <v/>
      </c>
      <c r="V485" s="1068"/>
      <c r="W485" s="1062">
        <f>'No Recurrentes 24-26'!BM350</f>
        <v>0</v>
      </c>
      <c r="X485" s="1062" t="str">
        <f>'No Recurrentes 24-26'!BN350</f>
        <v/>
      </c>
      <c r="Y485" s="1062" t="str">
        <f>'No Recurrentes 24-26'!BO350</f>
        <v/>
      </c>
      <c r="Z485" s="1062" t="str">
        <f>'No Recurrentes 24-26'!BP350</f>
        <v/>
      </c>
      <c r="AA485" s="1062" t="str">
        <f>'No Recurrentes 24-26'!BQ350</f>
        <v/>
      </c>
      <c r="AB485" s="1062" t="str">
        <f>'No Recurrentes 24-26'!BR350</f>
        <v/>
      </c>
      <c r="AC485" s="1062" t="str">
        <f>'No Recurrentes 24-26'!BS350</f>
        <v/>
      </c>
      <c r="AD485" s="1062" t="str">
        <f>'No Recurrentes 24-26'!BT350</f>
        <v/>
      </c>
      <c r="AE485" s="1062" t="str">
        <f>'No Recurrentes 24-26'!BU350</f>
        <v/>
      </c>
      <c r="AF485" s="1062" t="str">
        <f>'No Recurrentes 24-26'!BV350</f>
        <v/>
      </c>
      <c r="AG485" s="1062" t="str">
        <f>'No Recurrentes 24-26'!BW350</f>
        <v/>
      </c>
      <c r="AH485" s="1068"/>
      <c r="AI485" s="1062">
        <f>'No Recurrentes 24-26'!BX350</f>
        <v>0</v>
      </c>
      <c r="AJ485" s="1062">
        <f>'No Recurrentes 24-26'!BY350</f>
        <v>0</v>
      </c>
      <c r="AK485" s="1062">
        <f>'No Recurrentes 24-26'!BZ350</f>
        <v>0</v>
      </c>
      <c r="AL485" s="1062">
        <f>'No Recurrentes 24-26'!CA350</f>
        <v>0</v>
      </c>
      <c r="AM485" s="1062">
        <f>'No Recurrentes 24-26'!CB350</f>
        <v>0</v>
      </c>
      <c r="AN485" s="1062">
        <f>'No Recurrentes 24-26'!CC350</f>
        <v>0</v>
      </c>
      <c r="AO485" s="1062">
        <f>'No Recurrentes 24-26'!CD350</f>
        <v>0</v>
      </c>
      <c r="AP485" s="1062">
        <f>'No Recurrentes 24-26'!CE350</f>
        <v>0</v>
      </c>
      <c r="AQ485" s="1062">
        <f>'No Recurrentes 24-26'!CF350</f>
        <v>0</v>
      </c>
      <c r="AR485" s="1062">
        <f>'No Recurrentes 24-26'!CG350</f>
        <v>0</v>
      </c>
      <c r="AS485" s="1062">
        <f>'No Recurrentes 24-26'!CH350</f>
        <v>0</v>
      </c>
      <c r="AT485" s="1068"/>
      <c r="AU485" s="1062">
        <f>'No Recurrentes 24-26'!CI350</f>
        <v>0</v>
      </c>
      <c r="AV485" s="1063">
        <f>'No Recurrentes 24-26'!CJ350</f>
        <v>0</v>
      </c>
      <c r="AW485" s="1068"/>
      <c r="AX485" s="1062">
        <f>'No Recurrentes 24-26'!CK350</f>
        <v>547.19</v>
      </c>
      <c r="AY485" s="1062">
        <f>'No Recurrentes 24-26'!CL350</f>
        <v>3813.9143</v>
      </c>
      <c r="AZ485" s="1068"/>
      <c r="BA485" s="1062">
        <f>'No Recurrentes 24-26'!CM350</f>
        <v>0</v>
      </c>
      <c r="BB485" s="1062">
        <f>'No Recurrentes 24-26'!CN350</f>
        <v>0</v>
      </c>
      <c r="BC485" s="1062">
        <f>'No Recurrentes 24-26'!CO350</f>
        <v>0</v>
      </c>
      <c r="BD485" s="1062">
        <f>'No Recurrentes 24-26'!CP350</f>
        <v>0</v>
      </c>
      <c r="BE485" s="1062">
        <f>'No Recurrentes 24-26'!CQ350</f>
        <v>0</v>
      </c>
      <c r="BF485" s="1062">
        <f>'No Recurrentes 24-26'!CR350</f>
        <v>0</v>
      </c>
      <c r="BG485" s="1062">
        <f>'No Recurrentes 24-26'!CS350</f>
        <v>0</v>
      </c>
      <c r="BH485" s="1062">
        <f>'No Recurrentes 24-26'!CT350</f>
        <v>0</v>
      </c>
      <c r="BI485" s="1062">
        <f>'No Recurrentes 24-26'!CU350</f>
        <v>0</v>
      </c>
      <c r="BJ485" s="1062">
        <f>'No Recurrentes 24-26'!CV350</f>
        <v>0</v>
      </c>
      <c r="BK485" s="1068"/>
      <c r="BL485" s="1062">
        <f>'No Recurrentes 24-26'!CW350</f>
        <v>0</v>
      </c>
      <c r="BM485" s="1062">
        <f>'No Recurrentes 24-26'!CX350</f>
        <v>0</v>
      </c>
      <c r="BN485" s="1062">
        <f>'No Recurrentes 24-26'!CY350</f>
        <v>0</v>
      </c>
      <c r="BO485" s="1062">
        <f>'No Recurrentes 24-26'!CZ350</f>
        <v>0</v>
      </c>
      <c r="BP485" s="1062">
        <f>'No Recurrentes 24-26'!DA350</f>
        <v>0</v>
      </c>
      <c r="BQ485" s="1062">
        <f>'No Recurrentes 24-26'!DB350</f>
        <v>0</v>
      </c>
      <c r="BR485" s="1062">
        <f>'No Recurrentes 24-26'!DC350</f>
        <v>0</v>
      </c>
      <c r="BS485" s="1062">
        <f>'No Recurrentes 24-26'!DD350</f>
        <v>0</v>
      </c>
      <c r="BT485" s="1062">
        <f>'No Recurrentes 24-26'!DE350</f>
        <v>0</v>
      </c>
      <c r="BU485" s="1062">
        <f>'No Recurrentes 24-26'!DF350</f>
        <v>0</v>
      </c>
      <c r="BV485" s="1062">
        <f>'No Recurrentes 24-26'!DG350</f>
        <v>0</v>
      </c>
      <c r="BW485" s="1068"/>
      <c r="BX485" s="1062">
        <f>'No Recurrentes 24-26'!DH350</f>
        <v>0</v>
      </c>
      <c r="BY485" s="1062">
        <f>'No Recurrentes 24-26'!DI350</f>
        <v>0</v>
      </c>
      <c r="BZ485" s="1062">
        <f>'No Recurrentes 24-26'!DJ350</f>
        <v>0</v>
      </c>
      <c r="CA485" s="1062">
        <f>'No Recurrentes 24-26'!DK350</f>
        <v>0</v>
      </c>
      <c r="CB485" s="1062">
        <f>'No Recurrentes 24-26'!DL350</f>
        <v>0</v>
      </c>
      <c r="CC485" s="1062">
        <f>'No Recurrentes 24-26'!DM350</f>
        <v>0</v>
      </c>
      <c r="CD485" s="1062">
        <f>'No Recurrentes 24-26'!DN350</f>
        <v>0</v>
      </c>
      <c r="CE485" s="1062">
        <f>'No Recurrentes 24-26'!DO350</f>
        <v>0</v>
      </c>
      <c r="CF485" s="1062">
        <f>'No Recurrentes 24-26'!DP350</f>
        <v>0</v>
      </c>
      <c r="CG485" s="1062">
        <f>'No Recurrentes 24-26'!DQ350</f>
        <v>0</v>
      </c>
      <c r="CH485" s="1062">
        <f>'No Recurrentes 24-26'!DR350</f>
        <v>0</v>
      </c>
      <c r="CI485" s="1068"/>
      <c r="CJ485" s="1062">
        <f>'No Recurrentes 24-26'!DS350</f>
        <v>0</v>
      </c>
      <c r="CK485" s="1062">
        <f>'No Recurrentes 24-26'!DT350</f>
        <v>0</v>
      </c>
      <c r="CL485" s="451" t="str">
        <f>'No Recurrentes 24-26'!DU350</f>
        <v/>
      </c>
      <c r="CM485" s="1064" t="str">
        <f>'No Recurrentes 24-26'!DV350</f>
        <v>Se eilmina, se trabajara con basculas de Edwin y Erick</v>
      </c>
      <c r="CN485" s="1060">
        <f>'No Recurrentes 24-26'!EI346</f>
        <v>1</v>
      </c>
      <c r="CO485" s="1060" t="str">
        <f>'No Recurrentes 24-26'!EJ346</f>
        <v/>
      </c>
      <c r="CP485" s="1060" t="str">
        <f>'No Recurrentes 24-26'!EK346</f>
        <v/>
      </c>
    </row>
    <row r="486">
      <c r="A486" s="451" t="str">
        <f>'No Recurrentes 24-26'!A351</f>
        <v>Repuestos Electromecánicos no recurrentes</v>
      </c>
      <c r="B486" s="451">
        <f>'No Recurrentes 24-26'!B351</f>
        <v>2</v>
      </c>
      <c r="C486" s="451" t="str">
        <f>'No Recurrentes 24-26'!C351</f>
        <v>Estación</v>
      </c>
      <c r="D486" s="451" t="str">
        <f>'No Recurrentes 24-26'!D351</f>
        <v>Reacondicionamiento de Poleas Palpadoras</v>
      </c>
      <c r="E486" s="451" t="str">
        <f>'No Recurrentes 24-26'!E351</f>
        <v>Repuesto Mecánico</v>
      </c>
      <c r="F486" s="451" t="str">
        <f>'No Recurrentes 24-26'!F351</f>
        <v>TDB</v>
      </c>
      <c r="G486" s="1025" t="str">
        <f>'No Recurrentes 24-26'!G351</f>
        <v>39800</v>
      </c>
      <c r="H486" s="1061" t="str">
        <f>'No Recurrentes 24-26'!H351</f>
        <v>2-01-00871</v>
      </c>
      <c r="I486" s="1061" t="str">
        <f>'No Recurrentes 24-26'!I351</f>
        <v>10420185</v>
      </c>
      <c r="J486" s="1061" t="str">
        <f>'No Recurrentes 24-26'!J351</f>
        <v>ROD.RA.BOLAS  DIN 625/1- 6205-2RS-C3 LT VT210 (TTF 90% +/-5%)</v>
      </c>
      <c r="K486" s="451" t="str">
        <f>'No Recurrentes 24-26'!K351</f>
        <v>Pza</v>
      </c>
      <c r="L486" s="451">
        <f>'No Recurrentes 24-26'!BC351</f>
        <v>20</v>
      </c>
      <c r="M486" s="451">
        <f>'No Recurrentes 24-26'!BD351</f>
        <v>8</v>
      </c>
      <c r="N486" s="451">
        <f>'No Recurrentes 24-26'!BE351</f>
        <v>20</v>
      </c>
      <c r="O486" s="451" t="str">
        <f>'No Recurrentes 24-26'!BF351</f>
        <v/>
      </c>
      <c r="P486" s="451" t="str">
        <f>'No Recurrentes 24-26'!BG351</f>
        <v/>
      </c>
      <c r="Q486" s="451" t="str">
        <f>'No Recurrentes 24-26'!BH351</f>
        <v/>
      </c>
      <c r="R486" s="451" t="str">
        <f>'No Recurrentes 24-26'!BI351</f>
        <v/>
      </c>
      <c r="S486" s="451">
        <f>'No Recurrentes 24-26'!BJ351</f>
        <v>50</v>
      </c>
      <c r="T486" s="451" t="str">
        <f>'No Recurrentes 24-26'!BK351</f>
        <v/>
      </c>
      <c r="U486" s="451" t="str">
        <f>'No Recurrentes 24-26'!BL351</f>
        <v/>
      </c>
      <c r="V486" s="1068"/>
      <c r="W486" s="1062">
        <f>'No Recurrentes 24-26'!BM351</f>
        <v>98</v>
      </c>
      <c r="X486" s="1062" t="str">
        <f>'No Recurrentes 24-26'!BN351</f>
        <v/>
      </c>
      <c r="Y486" s="1062" t="str">
        <f>'No Recurrentes 24-26'!BO351</f>
        <v/>
      </c>
      <c r="Z486" s="1062" t="str">
        <f>'No Recurrentes 24-26'!BP351</f>
        <v/>
      </c>
      <c r="AA486" s="1062" t="str">
        <f>'No Recurrentes 24-26'!BQ351</f>
        <v/>
      </c>
      <c r="AB486" s="1062" t="str">
        <f>'No Recurrentes 24-26'!BR351</f>
        <v/>
      </c>
      <c r="AC486" s="1062" t="str">
        <f>'No Recurrentes 24-26'!BS351</f>
        <v/>
      </c>
      <c r="AD486" s="1062" t="str">
        <f>'No Recurrentes 24-26'!BT351</f>
        <v/>
      </c>
      <c r="AE486" s="1062" t="str">
        <f>'No Recurrentes 24-26'!BU351</f>
        <v/>
      </c>
      <c r="AF486" s="1062" t="str">
        <f>'No Recurrentes 24-26'!BV351</f>
        <v/>
      </c>
      <c r="AG486" s="1062" t="str">
        <f>'No Recurrentes 24-26'!BW351</f>
        <v/>
      </c>
      <c r="AH486" s="1068"/>
      <c r="AI486" s="1062">
        <f>'No Recurrentes 24-26'!BX351</f>
        <v>0</v>
      </c>
      <c r="AJ486" s="1062">
        <f>'No Recurrentes 24-26'!BY351</f>
        <v>10</v>
      </c>
      <c r="AK486" s="1062">
        <f>'No Recurrentes 24-26'!BZ351</f>
        <v>6</v>
      </c>
      <c r="AL486" s="1062">
        <f>'No Recurrentes 24-26'!CA351</f>
        <v>10</v>
      </c>
      <c r="AM486" s="1062">
        <f>'No Recurrentes 24-26'!CB351</f>
        <v>0</v>
      </c>
      <c r="AN486" s="1062">
        <f>'No Recurrentes 24-26'!CC351</f>
        <v>0</v>
      </c>
      <c r="AO486" s="1062">
        <f>'No Recurrentes 24-26'!CD351</f>
        <v>0</v>
      </c>
      <c r="AP486" s="1062">
        <f>'No Recurrentes 24-26'!CE351</f>
        <v>0</v>
      </c>
      <c r="AQ486" s="1062">
        <f>'No Recurrentes 24-26'!CF351</f>
        <v>0</v>
      </c>
      <c r="AR486" s="1062">
        <f>'No Recurrentes 24-26'!CG351</f>
        <v>0</v>
      </c>
      <c r="AS486" s="1062">
        <f>'No Recurrentes 24-26'!CH351</f>
        <v>0</v>
      </c>
      <c r="AT486" s="1068"/>
      <c r="AU486" s="1062">
        <f>'No Recurrentes 24-26'!CI351</f>
        <v>26</v>
      </c>
      <c r="AV486" s="1062">
        <f>'No Recurrentes 24-26'!CJ351</f>
        <v>124</v>
      </c>
      <c r="AW486" s="1068"/>
      <c r="AX486" s="1065">
        <f>'No Recurrentes 24-26'!CK351</f>
        <v>9.31</v>
      </c>
      <c r="AY486" s="1062">
        <f>'No Recurrentes 24-26'!CL351</f>
        <v>64.7976</v>
      </c>
      <c r="AZ486" s="1068"/>
      <c r="BA486" s="1062">
        <f>'No Recurrentes 24-26'!CM351</f>
        <v>1295.952</v>
      </c>
      <c r="BB486" s="1062">
        <f>'No Recurrentes 24-26'!CN351</f>
        <v>518.3808</v>
      </c>
      <c r="BC486" s="1062">
        <f>'No Recurrentes 24-26'!CO351</f>
        <v>1295.952</v>
      </c>
      <c r="BD486" s="1062">
        <f>'No Recurrentes 24-26'!CP351</f>
        <v>0</v>
      </c>
      <c r="BE486" s="1062">
        <f>'No Recurrentes 24-26'!CQ351</f>
        <v>0</v>
      </c>
      <c r="BF486" s="1062">
        <f>'No Recurrentes 24-26'!CR351</f>
        <v>0</v>
      </c>
      <c r="BG486" s="1062">
        <f>'No Recurrentes 24-26'!CS351</f>
        <v>0</v>
      </c>
      <c r="BH486" s="1062">
        <f>'No Recurrentes 24-26'!CT351</f>
        <v>3239.88</v>
      </c>
      <c r="BI486" s="1062">
        <f>'No Recurrentes 24-26'!CU351</f>
        <v>0</v>
      </c>
      <c r="BJ486" s="1062">
        <f>'No Recurrentes 24-26'!CV351</f>
        <v>0</v>
      </c>
      <c r="BK486" s="1068"/>
      <c r="BL486" s="1062">
        <f>'No Recurrentes 24-26'!CW351</f>
        <v>6350.1648</v>
      </c>
      <c r="BM486" s="1062">
        <f>'No Recurrentes 24-26'!CX351</f>
        <v>0</v>
      </c>
      <c r="BN486" s="1062">
        <f>'No Recurrentes 24-26'!CY351</f>
        <v>0</v>
      </c>
      <c r="BO486" s="1062">
        <f>'No Recurrentes 24-26'!CZ351</f>
        <v>0</v>
      </c>
      <c r="BP486" s="1062">
        <f>'No Recurrentes 24-26'!DA351</f>
        <v>0</v>
      </c>
      <c r="BQ486" s="1062">
        <f>'No Recurrentes 24-26'!DB351</f>
        <v>0</v>
      </c>
      <c r="BR486" s="1062">
        <f>'No Recurrentes 24-26'!DC351</f>
        <v>0</v>
      </c>
      <c r="BS486" s="1062">
        <f>'No Recurrentes 24-26'!DD351</f>
        <v>0</v>
      </c>
      <c r="BT486" s="1062">
        <f>'No Recurrentes 24-26'!DE351</f>
        <v>0</v>
      </c>
      <c r="BU486" s="1062">
        <f>'No Recurrentes 24-26'!DF351</f>
        <v>0</v>
      </c>
      <c r="BV486" s="1062">
        <f>'No Recurrentes 24-26'!DG351</f>
        <v>0</v>
      </c>
      <c r="BW486" s="1068"/>
      <c r="BX486" s="1062">
        <f>'No Recurrentes 24-26'!DH351</f>
        <v>0</v>
      </c>
      <c r="BY486" s="1062">
        <f>'No Recurrentes 24-26'!DI351</f>
        <v>647.976</v>
      </c>
      <c r="BZ486" s="1062">
        <f>'No Recurrentes 24-26'!DJ351</f>
        <v>388.7856</v>
      </c>
      <c r="CA486" s="1062">
        <f>'No Recurrentes 24-26'!DK351</f>
        <v>647.976</v>
      </c>
      <c r="CB486" s="1062">
        <f>'No Recurrentes 24-26'!DL351</f>
        <v>0</v>
      </c>
      <c r="CC486" s="1062">
        <f>'No Recurrentes 24-26'!DM351</f>
        <v>0</v>
      </c>
      <c r="CD486" s="1062">
        <f>'No Recurrentes 24-26'!DN351</f>
        <v>0</v>
      </c>
      <c r="CE486" s="1062">
        <f>'No Recurrentes 24-26'!DO351</f>
        <v>0</v>
      </c>
      <c r="CF486" s="1062">
        <f>'No Recurrentes 24-26'!DP351</f>
        <v>0</v>
      </c>
      <c r="CG486" s="1062">
        <f>'No Recurrentes 24-26'!DQ351</f>
        <v>0</v>
      </c>
      <c r="CH486" s="1062">
        <f>'No Recurrentes 24-26'!DR351</f>
        <v>0</v>
      </c>
      <c r="CI486" s="1068"/>
      <c r="CJ486" s="1062">
        <f>'No Recurrentes 24-26'!DS351</f>
        <v>1684.7376</v>
      </c>
      <c r="CK486" s="1062">
        <f>'No Recurrentes 24-26'!DT351</f>
        <v>8034.9024</v>
      </c>
      <c r="CL486" s="1064" t="str">
        <f>'No Recurrentes 24-26'!DU351</f>
        <v/>
      </c>
      <c r="CM486" s="1064" t="str">
        <f>'No Recurrentes 24-26'!DV351</f>
        <v/>
      </c>
      <c r="CN486" s="1060">
        <f>'No Recurrentes 24-26'!EI347</f>
        <v>1</v>
      </c>
      <c r="CO486" s="1060" t="str">
        <f>'No Recurrentes 24-26'!EJ347</f>
        <v/>
      </c>
      <c r="CP486" s="1060" t="str">
        <f>'No Recurrentes 24-26'!EK347</f>
        <v/>
      </c>
    </row>
    <row r="487">
      <c r="A487" s="451" t="str">
        <f>'No Recurrentes 24-26'!A352</f>
        <v>Repuestos Electromecánicos no recurrentes</v>
      </c>
      <c r="B487" s="451">
        <f>'No Recurrentes 24-26'!B352</f>
        <v>2</v>
      </c>
      <c r="C487" s="451" t="str">
        <f>'No Recurrentes 24-26'!C352</f>
        <v>Torre</v>
      </c>
      <c r="D487" s="451" t="str">
        <f>'No Recurrentes 24-26'!D352</f>
        <v>Reacondicionamiento de Poleas Palpadoras</v>
      </c>
      <c r="E487" s="451" t="str">
        <f>'No Recurrentes 24-26'!E352</f>
        <v>Repuesto Mecánico</v>
      </c>
      <c r="F487" s="451" t="str">
        <f>'No Recurrentes 24-26'!F352</f>
        <v>TDB</v>
      </c>
      <c r="G487" s="1025" t="str">
        <f>'No Recurrentes 24-26'!G352</f>
        <v>39800</v>
      </c>
      <c r="H487" s="1061" t="str">
        <f>'No Recurrentes 24-26'!H352</f>
        <v>2-01-00521</v>
      </c>
      <c r="I487" s="1061" t="str">
        <f>'No Recurrentes 24-26'!I352</f>
        <v>11424677</v>
      </c>
      <c r="J487" s="1061" t="str">
        <f>'No Recurrentes 24-26'!J352</f>
        <v>ARANDELA ISO 7092 M24 300HV, FLZNNC-720H-L, REV.LAM.ZN S. BI.</v>
      </c>
      <c r="K487" s="451" t="str">
        <f>'No Recurrentes 24-26'!K352</f>
        <v>Pza</v>
      </c>
      <c r="L487" s="451">
        <f>'No Recurrentes 24-26'!BC352</f>
        <v>2</v>
      </c>
      <c r="M487" s="451">
        <f>'No Recurrentes 24-26'!BD352</f>
        <v>2</v>
      </c>
      <c r="N487" s="451">
        <f>'No Recurrentes 24-26'!BE352</f>
        <v>2</v>
      </c>
      <c r="O487" s="451" t="str">
        <f>'No Recurrentes 24-26'!BF352</f>
        <v/>
      </c>
      <c r="P487" s="451" t="str">
        <f>'No Recurrentes 24-26'!BG352</f>
        <v/>
      </c>
      <c r="Q487" s="451">
        <f>'No Recurrentes 24-26'!BH352</f>
        <v>8</v>
      </c>
      <c r="R487" s="451" t="str">
        <f>'No Recurrentes 24-26'!BI352</f>
        <v/>
      </c>
      <c r="S487" s="451" t="str">
        <f>'No Recurrentes 24-26'!BJ352</f>
        <v/>
      </c>
      <c r="T487" s="451" t="str">
        <f>'No Recurrentes 24-26'!BK352</f>
        <v/>
      </c>
      <c r="U487" s="451" t="str">
        <f>'No Recurrentes 24-26'!BL352</f>
        <v/>
      </c>
      <c r="V487" s="1068"/>
      <c r="W487" s="1062">
        <f>'No Recurrentes 24-26'!BM352</f>
        <v>14</v>
      </c>
      <c r="X487" s="1062" t="str">
        <f>'No Recurrentes 24-26'!BN352</f>
        <v/>
      </c>
      <c r="Y487" s="1062" t="str">
        <f>'No Recurrentes 24-26'!BO352</f>
        <v/>
      </c>
      <c r="Z487" s="1062" t="str">
        <f>'No Recurrentes 24-26'!BP352</f>
        <v/>
      </c>
      <c r="AA487" s="1062" t="str">
        <f>'No Recurrentes 24-26'!BQ352</f>
        <v/>
      </c>
      <c r="AB487" s="1062" t="str">
        <f>'No Recurrentes 24-26'!BR352</f>
        <v/>
      </c>
      <c r="AC487" s="1062" t="str">
        <f>'No Recurrentes 24-26'!BS352</f>
        <v/>
      </c>
      <c r="AD487" s="1062" t="str">
        <f>'No Recurrentes 24-26'!BT352</f>
        <v/>
      </c>
      <c r="AE487" s="1062" t="str">
        <f>'No Recurrentes 24-26'!BU352</f>
        <v/>
      </c>
      <c r="AF487" s="1062" t="str">
        <f>'No Recurrentes 24-26'!BV352</f>
        <v/>
      </c>
      <c r="AG487" s="1062" t="str">
        <f>'No Recurrentes 24-26'!BW352</f>
        <v/>
      </c>
      <c r="AH487" s="1068"/>
      <c r="AI487" s="1062">
        <f>'No Recurrentes 24-26'!BX352</f>
        <v>0</v>
      </c>
      <c r="AJ487" s="1062">
        <f>'No Recurrentes 24-26'!BY352</f>
        <v>0</v>
      </c>
      <c r="AK487" s="1062">
        <f>'No Recurrentes 24-26'!BZ352</f>
        <v>0</v>
      </c>
      <c r="AL487" s="1062">
        <f>'No Recurrentes 24-26'!CA352</f>
        <v>0</v>
      </c>
      <c r="AM487" s="1062">
        <f>'No Recurrentes 24-26'!CB352</f>
        <v>0</v>
      </c>
      <c r="AN487" s="1062">
        <f>'No Recurrentes 24-26'!CC352</f>
        <v>0</v>
      </c>
      <c r="AO487" s="1062">
        <f>'No Recurrentes 24-26'!CD352</f>
        <v>0</v>
      </c>
      <c r="AP487" s="1062">
        <f>'No Recurrentes 24-26'!CE352</f>
        <v>0</v>
      </c>
      <c r="AQ487" s="1062">
        <f>'No Recurrentes 24-26'!CF352</f>
        <v>0</v>
      </c>
      <c r="AR487" s="1062">
        <f>'No Recurrentes 24-26'!CG352</f>
        <v>0</v>
      </c>
      <c r="AS487" s="1062">
        <f>'No Recurrentes 24-26'!CH352</f>
        <v>0</v>
      </c>
      <c r="AT487" s="1068"/>
      <c r="AU487" s="1062">
        <f>'No Recurrentes 24-26'!CI352</f>
        <v>0</v>
      </c>
      <c r="AV487" s="1063">
        <f>'No Recurrentes 24-26'!CJ352</f>
        <v>14</v>
      </c>
      <c r="AW487" s="1068"/>
      <c r="AX487" s="1065">
        <f>'No Recurrentes 24-26'!CK352</f>
        <v>3.19</v>
      </c>
      <c r="AY487" s="1062">
        <f>'No Recurrentes 24-26'!CL352</f>
        <v>22.2024</v>
      </c>
      <c r="AZ487" s="1068"/>
      <c r="BA487" s="1062">
        <f>'No Recurrentes 24-26'!CM352</f>
        <v>44.4048</v>
      </c>
      <c r="BB487" s="1062">
        <f>'No Recurrentes 24-26'!CN352</f>
        <v>44.4048</v>
      </c>
      <c r="BC487" s="1062">
        <f>'No Recurrentes 24-26'!CO352</f>
        <v>44.4048</v>
      </c>
      <c r="BD487" s="1062">
        <f>'No Recurrentes 24-26'!CP352</f>
        <v>0</v>
      </c>
      <c r="BE487" s="1062">
        <f>'No Recurrentes 24-26'!CQ352</f>
        <v>0</v>
      </c>
      <c r="BF487" s="1062">
        <f>'No Recurrentes 24-26'!CR352</f>
        <v>177.6192</v>
      </c>
      <c r="BG487" s="1062">
        <f>'No Recurrentes 24-26'!CS352</f>
        <v>0</v>
      </c>
      <c r="BH487" s="1062">
        <f>'No Recurrentes 24-26'!CT352</f>
        <v>0</v>
      </c>
      <c r="BI487" s="1062">
        <f>'No Recurrentes 24-26'!CU352</f>
        <v>0</v>
      </c>
      <c r="BJ487" s="1062">
        <f>'No Recurrentes 24-26'!CV352</f>
        <v>0</v>
      </c>
      <c r="BK487" s="1068"/>
      <c r="BL487" s="1062">
        <f>'No Recurrentes 24-26'!CW352</f>
        <v>310.8336</v>
      </c>
      <c r="BM487" s="1062">
        <f>'No Recurrentes 24-26'!CX352</f>
        <v>0</v>
      </c>
      <c r="BN487" s="1062">
        <f>'No Recurrentes 24-26'!CY352</f>
        <v>0</v>
      </c>
      <c r="BO487" s="1062">
        <f>'No Recurrentes 24-26'!CZ352</f>
        <v>0</v>
      </c>
      <c r="BP487" s="1062">
        <f>'No Recurrentes 24-26'!DA352</f>
        <v>0</v>
      </c>
      <c r="BQ487" s="1062">
        <f>'No Recurrentes 24-26'!DB352</f>
        <v>0</v>
      </c>
      <c r="BR487" s="1062">
        <f>'No Recurrentes 24-26'!DC352</f>
        <v>0</v>
      </c>
      <c r="BS487" s="1062">
        <f>'No Recurrentes 24-26'!DD352</f>
        <v>0</v>
      </c>
      <c r="BT487" s="1062">
        <f>'No Recurrentes 24-26'!DE352</f>
        <v>0</v>
      </c>
      <c r="BU487" s="1062">
        <f>'No Recurrentes 24-26'!DF352</f>
        <v>0</v>
      </c>
      <c r="BV487" s="1062">
        <f>'No Recurrentes 24-26'!DG352</f>
        <v>0</v>
      </c>
      <c r="BW487" s="1068"/>
      <c r="BX487" s="1062">
        <f>'No Recurrentes 24-26'!DH352</f>
        <v>0</v>
      </c>
      <c r="BY487" s="1062">
        <f>'No Recurrentes 24-26'!DI352</f>
        <v>0</v>
      </c>
      <c r="BZ487" s="1062">
        <f>'No Recurrentes 24-26'!DJ352</f>
        <v>0</v>
      </c>
      <c r="CA487" s="1062">
        <f>'No Recurrentes 24-26'!DK352</f>
        <v>0</v>
      </c>
      <c r="CB487" s="1062">
        <f>'No Recurrentes 24-26'!DL352</f>
        <v>0</v>
      </c>
      <c r="CC487" s="1062">
        <f>'No Recurrentes 24-26'!DM352</f>
        <v>0</v>
      </c>
      <c r="CD487" s="1062">
        <f>'No Recurrentes 24-26'!DN352</f>
        <v>0</v>
      </c>
      <c r="CE487" s="1062">
        <f>'No Recurrentes 24-26'!DO352</f>
        <v>0</v>
      </c>
      <c r="CF487" s="1062">
        <f>'No Recurrentes 24-26'!DP352</f>
        <v>0</v>
      </c>
      <c r="CG487" s="1062">
        <f>'No Recurrentes 24-26'!DQ352</f>
        <v>0</v>
      </c>
      <c r="CH487" s="1062">
        <f>'No Recurrentes 24-26'!DR352</f>
        <v>0</v>
      </c>
      <c r="CI487" s="1068"/>
      <c r="CJ487" s="1062">
        <f>'No Recurrentes 24-26'!DS352</f>
        <v>0</v>
      </c>
      <c r="CK487" s="1062">
        <f>'No Recurrentes 24-26'!DT352</f>
        <v>310.8336</v>
      </c>
      <c r="CL487" s="1064" t="str">
        <f>'No Recurrentes 24-26'!DU352</f>
        <v/>
      </c>
      <c r="CM487" s="1064" t="str">
        <f>'No Recurrentes 24-26'!DV352</f>
        <v/>
      </c>
      <c r="CN487" s="1065">
        <f>'No Recurrentes 24-26'!EI348</f>
        <v>603.26</v>
      </c>
      <c r="CO487" s="1065">
        <f>'No Recurrentes 24-26'!EJ348</f>
        <v>512.77</v>
      </c>
      <c r="CP487" s="1060" t="str">
        <f>'No Recurrentes 24-26'!EK348</f>
        <v/>
      </c>
    </row>
    <row r="488">
      <c r="A488" s="451" t="str">
        <f>'No Recurrentes 24-26'!A353</f>
        <v>Repuestos Electromecánicos no recurrentes</v>
      </c>
      <c r="B488" s="451">
        <f>'No Recurrentes 24-26'!B353</f>
        <v>2</v>
      </c>
      <c r="C488" s="451" t="str">
        <f>'No Recurrentes 24-26'!C353</f>
        <v>Torre</v>
      </c>
      <c r="D488" s="451" t="str">
        <f>'No Recurrentes 24-26'!D353</f>
        <v>Reacondicionamiento de Poleas Palpadoras</v>
      </c>
      <c r="E488" s="451" t="str">
        <f>'No Recurrentes 24-26'!E353</f>
        <v>Repuesto Mecánico</v>
      </c>
      <c r="F488" s="451" t="str">
        <f>'No Recurrentes 24-26'!F353</f>
        <v>TDB</v>
      </c>
      <c r="G488" s="1025" t="str">
        <f>'No Recurrentes 24-26'!G353</f>
        <v>39800</v>
      </c>
      <c r="H488" s="1061" t="str">
        <f>'No Recurrentes 24-26'!H353</f>
        <v/>
      </c>
      <c r="I488" s="1061" t="str">
        <f>'No Recurrentes 24-26'!I353</f>
        <v>10946773</v>
      </c>
      <c r="J488" s="1061" t="str">
        <f>'No Recurrentes 24-26'!J353</f>
        <v>BALANCÍN 2 POL. TIPO C AC.60 DEP=560 P. POLEA SENSOR 420C</v>
      </c>
      <c r="K488" s="451" t="str">
        <f>'No Recurrentes 24-26'!K353</f>
        <v>Pza</v>
      </c>
      <c r="L488" s="451" t="str">
        <f>'No Recurrentes 24-26'!BC353</f>
        <v/>
      </c>
      <c r="M488" s="451" t="str">
        <f>'No Recurrentes 24-26'!BD353</f>
        <v/>
      </c>
      <c r="N488" s="451" t="str">
        <f>'No Recurrentes 24-26'!BE353</f>
        <v/>
      </c>
      <c r="O488" s="451" t="str">
        <f>'No Recurrentes 24-26'!BF353</f>
        <v/>
      </c>
      <c r="P488" s="451" t="str">
        <f>'No Recurrentes 24-26'!BG353</f>
        <v/>
      </c>
      <c r="Q488" s="451" t="str">
        <f>'No Recurrentes 24-26'!BH353</f>
        <v/>
      </c>
      <c r="R488" s="451" t="str">
        <f>'No Recurrentes 24-26'!BI353</f>
        <v/>
      </c>
      <c r="S488" s="451" t="str">
        <f>'No Recurrentes 24-26'!BJ353</f>
        <v/>
      </c>
      <c r="T488" s="451" t="str">
        <f>'No Recurrentes 24-26'!BK353</f>
        <v/>
      </c>
      <c r="U488" s="451" t="str">
        <f>'No Recurrentes 24-26'!BL353</f>
        <v/>
      </c>
      <c r="V488" s="1068"/>
      <c r="W488" s="1062">
        <f>'No Recurrentes 24-26'!BM353</f>
        <v>0</v>
      </c>
      <c r="X488" s="1062">
        <f>'No Recurrentes 24-26'!BN353</f>
        <v>2</v>
      </c>
      <c r="Y488" s="1062" t="str">
        <f>'No Recurrentes 24-26'!BO353</f>
        <v/>
      </c>
      <c r="Z488" s="1062" t="str">
        <f>'No Recurrentes 24-26'!BP353</f>
        <v/>
      </c>
      <c r="AA488" s="1062" t="str">
        <f>'No Recurrentes 24-26'!BQ353</f>
        <v/>
      </c>
      <c r="AB488" s="1062" t="str">
        <f>'No Recurrentes 24-26'!BR353</f>
        <v/>
      </c>
      <c r="AC488" s="1062" t="str">
        <f>'No Recurrentes 24-26'!BS353</f>
        <v/>
      </c>
      <c r="AD488" s="1062" t="str">
        <f>'No Recurrentes 24-26'!BT353</f>
        <v/>
      </c>
      <c r="AE488" s="1062" t="str">
        <f>'No Recurrentes 24-26'!BU353</f>
        <v/>
      </c>
      <c r="AF488" s="1062" t="str">
        <f>'No Recurrentes 24-26'!BV353</f>
        <v/>
      </c>
      <c r="AG488" s="1062" t="str">
        <f>'No Recurrentes 24-26'!BW353</f>
        <v/>
      </c>
      <c r="AH488" s="1068"/>
      <c r="AI488" s="1062">
        <f>'No Recurrentes 24-26'!BX353</f>
        <v>2</v>
      </c>
      <c r="AJ488" s="1062">
        <f>'No Recurrentes 24-26'!BY353</f>
        <v>0</v>
      </c>
      <c r="AK488" s="1062">
        <f>'No Recurrentes 24-26'!BZ353</f>
        <v>0</v>
      </c>
      <c r="AL488" s="1062">
        <f>'No Recurrentes 24-26'!CA353</f>
        <v>0</v>
      </c>
      <c r="AM488" s="1062">
        <f>'No Recurrentes 24-26'!CB353</f>
        <v>0</v>
      </c>
      <c r="AN488" s="1062">
        <f>'No Recurrentes 24-26'!CC353</f>
        <v>0</v>
      </c>
      <c r="AO488" s="1062">
        <f>'No Recurrentes 24-26'!CD353</f>
        <v>0</v>
      </c>
      <c r="AP488" s="1062">
        <f>'No Recurrentes 24-26'!CE353</f>
        <v>0</v>
      </c>
      <c r="AQ488" s="1062">
        <f>'No Recurrentes 24-26'!CF353</f>
        <v>0</v>
      </c>
      <c r="AR488" s="1062">
        <f>'No Recurrentes 24-26'!CG353</f>
        <v>0</v>
      </c>
      <c r="AS488" s="1062">
        <f>'No Recurrentes 24-26'!CH353</f>
        <v>0</v>
      </c>
      <c r="AT488" s="1068"/>
      <c r="AU488" s="1062">
        <f>'No Recurrentes 24-26'!CI353</f>
        <v>0</v>
      </c>
      <c r="AV488" s="1063">
        <f>'No Recurrentes 24-26'!CJ353</f>
        <v>2</v>
      </c>
      <c r="AW488" s="1068"/>
      <c r="AX488" s="1065">
        <f>'No Recurrentes 24-26'!CK353</f>
        <v>547.46</v>
      </c>
      <c r="AY488" s="1062">
        <f>'No Recurrentes 24-26'!CL353</f>
        <v>3810.3216</v>
      </c>
      <c r="AZ488" s="1068"/>
      <c r="BA488" s="1062">
        <f>'No Recurrentes 24-26'!CM353</f>
        <v>0</v>
      </c>
      <c r="BB488" s="1062">
        <f>'No Recurrentes 24-26'!CN353</f>
        <v>0</v>
      </c>
      <c r="BC488" s="1062">
        <f>'No Recurrentes 24-26'!CO353</f>
        <v>0</v>
      </c>
      <c r="BD488" s="1062">
        <f>'No Recurrentes 24-26'!CP353</f>
        <v>0</v>
      </c>
      <c r="BE488" s="1062">
        <f>'No Recurrentes 24-26'!CQ353</f>
        <v>0</v>
      </c>
      <c r="BF488" s="1062">
        <f>'No Recurrentes 24-26'!CR353</f>
        <v>0</v>
      </c>
      <c r="BG488" s="1062">
        <f>'No Recurrentes 24-26'!CS353</f>
        <v>0</v>
      </c>
      <c r="BH488" s="1062">
        <f>'No Recurrentes 24-26'!CT353</f>
        <v>0</v>
      </c>
      <c r="BI488" s="1062">
        <f>'No Recurrentes 24-26'!CU353</f>
        <v>0</v>
      </c>
      <c r="BJ488" s="1062">
        <f>'No Recurrentes 24-26'!CV353</f>
        <v>0</v>
      </c>
      <c r="BK488" s="1068"/>
      <c r="BL488" s="1062">
        <f>'No Recurrentes 24-26'!CW353</f>
        <v>0</v>
      </c>
      <c r="BM488" s="1062">
        <f>'No Recurrentes 24-26'!CX353</f>
        <v>7620.6432</v>
      </c>
      <c r="BN488" s="1062">
        <f>'No Recurrentes 24-26'!CY353</f>
        <v>0</v>
      </c>
      <c r="BO488" s="1062">
        <f>'No Recurrentes 24-26'!CZ353</f>
        <v>0</v>
      </c>
      <c r="BP488" s="1062">
        <f>'No Recurrentes 24-26'!DA353</f>
        <v>0</v>
      </c>
      <c r="BQ488" s="1062">
        <f>'No Recurrentes 24-26'!DB353</f>
        <v>0</v>
      </c>
      <c r="BR488" s="1062">
        <f>'No Recurrentes 24-26'!DC353</f>
        <v>0</v>
      </c>
      <c r="BS488" s="1062">
        <f>'No Recurrentes 24-26'!DD353</f>
        <v>0</v>
      </c>
      <c r="BT488" s="1062">
        <f>'No Recurrentes 24-26'!DE353</f>
        <v>0</v>
      </c>
      <c r="BU488" s="1062">
        <f>'No Recurrentes 24-26'!DF353</f>
        <v>0</v>
      </c>
      <c r="BV488" s="1062">
        <f>'No Recurrentes 24-26'!DG353</f>
        <v>0</v>
      </c>
      <c r="BW488" s="1068"/>
      <c r="BX488" s="1062">
        <f>'No Recurrentes 24-26'!DH353</f>
        <v>7620.6432</v>
      </c>
      <c r="BY488" s="1062">
        <f>'No Recurrentes 24-26'!DI353</f>
        <v>0</v>
      </c>
      <c r="BZ488" s="1062">
        <f>'No Recurrentes 24-26'!DJ353</f>
        <v>0</v>
      </c>
      <c r="CA488" s="1062">
        <f>'No Recurrentes 24-26'!DK353</f>
        <v>0</v>
      </c>
      <c r="CB488" s="1062">
        <f>'No Recurrentes 24-26'!DL353</f>
        <v>0</v>
      </c>
      <c r="CC488" s="1062">
        <f>'No Recurrentes 24-26'!DM353</f>
        <v>0</v>
      </c>
      <c r="CD488" s="1062">
        <f>'No Recurrentes 24-26'!DN353</f>
        <v>0</v>
      </c>
      <c r="CE488" s="1062">
        <f>'No Recurrentes 24-26'!DO353</f>
        <v>0</v>
      </c>
      <c r="CF488" s="1062">
        <f>'No Recurrentes 24-26'!DP353</f>
        <v>0</v>
      </c>
      <c r="CG488" s="1062">
        <f>'No Recurrentes 24-26'!DQ353</f>
        <v>0</v>
      </c>
      <c r="CH488" s="1062">
        <f>'No Recurrentes 24-26'!DR353</f>
        <v>0</v>
      </c>
      <c r="CI488" s="1068"/>
      <c r="CJ488" s="1062">
        <f>'No Recurrentes 24-26'!DS353</f>
        <v>0</v>
      </c>
      <c r="CK488" s="1062">
        <f>'No Recurrentes 24-26'!DT353</f>
        <v>7620.6432</v>
      </c>
      <c r="CL488" s="1064" t="str">
        <f>'No Recurrentes 24-26'!DU353</f>
        <v/>
      </c>
      <c r="CM488" s="1064" t="str">
        <f>'No Recurrentes 24-26'!DV353</f>
        <v>Añadido para linea Morada. No se cotizo en anterior cotización.</v>
      </c>
      <c r="CN488" s="1065">
        <f>'No Recurrentes 24-26'!EI349</f>
        <v>1068.24</v>
      </c>
      <c r="CO488" s="1065">
        <f>'No Recurrentes 24-26'!EJ349</f>
        <v>908</v>
      </c>
      <c r="CP488" s="1060" t="str">
        <f>'No Recurrentes 24-26'!EK349</f>
        <v/>
      </c>
    </row>
    <row r="489">
      <c r="A489" s="451" t="str">
        <f>'No Recurrentes 24-26'!A354</f>
        <v>Repuestos Electromecánicos no recurrentes</v>
      </c>
      <c r="B489" s="451">
        <f>'No Recurrentes 24-26'!B354</f>
        <v>2</v>
      </c>
      <c r="C489" s="451" t="str">
        <f>'No Recurrentes 24-26'!C354</f>
        <v>Torre</v>
      </c>
      <c r="D489" s="451" t="str">
        <f>'No Recurrentes 24-26'!D354</f>
        <v>Reacondionamiento y cambio de Poleas de torre</v>
      </c>
      <c r="E489" s="451" t="str">
        <f>'No Recurrentes 24-26'!E354</f>
        <v>Repuesto Mecánico</v>
      </c>
      <c r="F489" s="451" t="str">
        <f>'No Recurrentes 24-26'!F354</f>
        <v>TDB</v>
      </c>
      <c r="G489" s="1025" t="str">
        <f>'No Recurrentes 24-26'!G354</f>
        <v>39800</v>
      </c>
      <c r="H489" s="1061" t="str">
        <f>'No Recurrentes 24-26'!H354</f>
        <v>2-01-00325</v>
      </c>
      <c r="I489" s="1061" t="str">
        <f>'No Recurrentes 24-26'!I354</f>
        <v>10465474</v>
      </c>
      <c r="J489" s="1061" t="str">
        <f>'No Recurrentes 24-26'!J354</f>
        <v>CUERPO DE POLEA  420C 330X120  </v>
      </c>
      <c r="K489" s="451" t="str">
        <f>'No Recurrentes 24-26'!K354</f>
        <v>Pza</v>
      </c>
      <c r="L489" s="451">
        <f>'No Recurrentes 24-26'!BC354</f>
        <v>1</v>
      </c>
      <c r="M489" s="451" t="str">
        <f>'No Recurrentes 24-26'!BD354</f>
        <v/>
      </c>
      <c r="N489" s="451">
        <f>'No Recurrentes 24-26'!BE354</f>
        <v>1</v>
      </c>
      <c r="O489" s="451" t="str">
        <f>'No Recurrentes 24-26'!BF354</f>
        <v/>
      </c>
      <c r="P489" s="451" t="str">
        <f>'No Recurrentes 24-26'!BG354</f>
        <v/>
      </c>
      <c r="Q489" s="451" t="str">
        <f>'No Recurrentes 24-26'!BH354</f>
        <v/>
      </c>
      <c r="R489" s="451">
        <f>'No Recurrentes 24-26'!BI354</f>
        <v>2</v>
      </c>
      <c r="S489" s="451">
        <f>'No Recurrentes 24-26'!BJ354</f>
        <v>1</v>
      </c>
      <c r="T489" s="451" t="str">
        <f>'No Recurrentes 24-26'!BK354</f>
        <v/>
      </c>
      <c r="U489" s="451">
        <f>'No Recurrentes 24-26'!BL354</f>
        <v>1</v>
      </c>
      <c r="V489" s="1068"/>
      <c r="W489" s="1062">
        <f>'No Recurrentes 24-26'!BM354</f>
        <v>6</v>
      </c>
      <c r="X489" s="1062">
        <f>'No Recurrentes 24-26'!BN354</f>
        <v>1</v>
      </c>
      <c r="Y489" s="1062" t="str">
        <f>'No Recurrentes 24-26'!BO354</f>
        <v/>
      </c>
      <c r="Z489" s="1062">
        <f>'No Recurrentes 24-26'!BP354</f>
        <v>1</v>
      </c>
      <c r="AA489" s="1062">
        <f>'No Recurrentes 24-26'!BQ354</f>
        <v>2</v>
      </c>
      <c r="AB489" s="1062">
        <f>'No Recurrentes 24-26'!BR354</f>
        <v>2</v>
      </c>
      <c r="AC489" s="1062">
        <f>'No Recurrentes 24-26'!BS354</f>
        <v>2</v>
      </c>
      <c r="AD489" s="1062">
        <f>'No Recurrentes 24-26'!BT354</f>
        <v>2</v>
      </c>
      <c r="AE489" s="1062">
        <f>'No Recurrentes 24-26'!BU354</f>
        <v>1</v>
      </c>
      <c r="AF489" s="1062" t="str">
        <f>'No Recurrentes 24-26'!BV354</f>
        <v/>
      </c>
      <c r="AG489" s="1062">
        <f>'No Recurrentes 24-26'!BW354</f>
        <v>1</v>
      </c>
      <c r="AH489" s="1068"/>
      <c r="AI489" s="1062">
        <f>'No Recurrentes 24-26'!BX354</f>
        <v>12</v>
      </c>
      <c r="AJ489" s="1062">
        <f>'No Recurrentes 24-26'!BY354</f>
        <v>0</v>
      </c>
      <c r="AK489" s="1062">
        <f>'No Recurrentes 24-26'!BZ354</f>
        <v>0</v>
      </c>
      <c r="AL489" s="1062">
        <f>'No Recurrentes 24-26'!CA354</f>
        <v>0</v>
      </c>
      <c r="AM489" s="1062">
        <f>'No Recurrentes 24-26'!CB354</f>
        <v>0</v>
      </c>
      <c r="AN489" s="1062">
        <f>'No Recurrentes 24-26'!CC354</f>
        <v>0</v>
      </c>
      <c r="AO489" s="1062">
        <f>'No Recurrentes 24-26'!CD354</f>
        <v>0</v>
      </c>
      <c r="AP489" s="1062">
        <f>'No Recurrentes 24-26'!CE354</f>
        <v>0</v>
      </c>
      <c r="AQ489" s="1062">
        <f>'No Recurrentes 24-26'!CF354</f>
        <v>0</v>
      </c>
      <c r="AR489" s="1062">
        <f>'No Recurrentes 24-26'!CG354</f>
        <v>0</v>
      </c>
      <c r="AS489" s="1062">
        <f>'No Recurrentes 24-26'!CH354</f>
        <v>0</v>
      </c>
      <c r="AT489" s="1068"/>
      <c r="AU489" s="1062">
        <f>'No Recurrentes 24-26'!CI354</f>
        <v>0</v>
      </c>
      <c r="AV489" s="1063">
        <f>'No Recurrentes 24-26'!CJ354</f>
        <v>18</v>
      </c>
      <c r="AW489" s="1068"/>
      <c r="AX489" s="1065">
        <f>'No Recurrentes 24-26'!CK354</f>
        <v>571.27</v>
      </c>
      <c r="AY489" s="1062">
        <f>'No Recurrentes 24-26'!CL354</f>
        <v>3976.0392</v>
      </c>
      <c r="AZ489" s="1068"/>
      <c r="BA489" s="1062">
        <f>'No Recurrentes 24-26'!CM354</f>
        <v>3976.0392</v>
      </c>
      <c r="BB489" s="1062">
        <f>'No Recurrentes 24-26'!CN354</f>
        <v>0</v>
      </c>
      <c r="BC489" s="1062">
        <f>'No Recurrentes 24-26'!CO354</f>
        <v>3976.0392</v>
      </c>
      <c r="BD489" s="1062">
        <f>'No Recurrentes 24-26'!CP354</f>
        <v>0</v>
      </c>
      <c r="BE489" s="1062">
        <f>'No Recurrentes 24-26'!CQ354</f>
        <v>0</v>
      </c>
      <c r="BF489" s="1062">
        <f>'No Recurrentes 24-26'!CR354</f>
        <v>0</v>
      </c>
      <c r="BG489" s="1062">
        <f>'No Recurrentes 24-26'!CS354</f>
        <v>7952.0784</v>
      </c>
      <c r="BH489" s="1062">
        <f>'No Recurrentes 24-26'!CT354</f>
        <v>3976.0392</v>
      </c>
      <c r="BI489" s="1062">
        <f>'No Recurrentes 24-26'!CU354</f>
        <v>0</v>
      </c>
      <c r="BJ489" s="1062">
        <f>'No Recurrentes 24-26'!CV354</f>
        <v>3976.0392</v>
      </c>
      <c r="BK489" s="1068"/>
      <c r="BL489" s="1062">
        <f>'No Recurrentes 24-26'!CW354</f>
        <v>23856.2352</v>
      </c>
      <c r="BM489" s="1062">
        <f>'No Recurrentes 24-26'!CX354</f>
        <v>3976.0392</v>
      </c>
      <c r="BN489" s="1062">
        <f>'No Recurrentes 24-26'!CY354</f>
        <v>0</v>
      </c>
      <c r="BO489" s="1062">
        <f>'No Recurrentes 24-26'!CZ354</f>
        <v>3976.0392</v>
      </c>
      <c r="BP489" s="1062">
        <f>'No Recurrentes 24-26'!DA354</f>
        <v>7952.0784</v>
      </c>
      <c r="BQ489" s="1062">
        <f>'No Recurrentes 24-26'!DB354</f>
        <v>7952.0784</v>
      </c>
      <c r="BR489" s="1062">
        <f>'No Recurrentes 24-26'!DC354</f>
        <v>7952.0784</v>
      </c>
      <c r="BS489" s="1062">
        <f>'No Recurrentes 24-26'!DD354</f>
        <v>7952.0784</v>
      </c>
      <c r="BT489" s="1062">
        <f>'No Recurrentes 24-26'!DE354</f>
        <v>3976.0392</v>
      </c>
      <c r="BU489" s="1062">
        <f>'No Recurrentes 24-26'!DF354</f>
        <v>0</v>
      </c>
      <c r="BV489" s="1062">
        <f>'No Recurrentes 24-26'!DG354</f>
        <v>3976.0392</v>
      </c>
      <c r="BW489" s="1068"/>
      <c r="BX489" s="1062">
        <f>'No Recurrentes 24-26'!DH354</f>
        <v>47712.4704</v>
      </c>
      <c r="BY489" s="1062">
        <f>'No Recurrentes 24-26'!DI354</f>
        <v>0</v>
      </c>
      <c r="BZ489" s="1062">
        <f>'No Recurrentes 24-26'!DJ354</f>
        <v>0</v>
      </c>
      <c r="CA489" s="1062">
        <f>'No Recurrentes 24-26'!DK354</f>
        <v>0</v>
      </c>
      <c r="CB489" s="1062">
        <f>'No Recurrentes 24-26'!DL354</f>
        <v>0</v>
      </c>
      <c r="CC489" s="1062">
        <f>'No Recurrentes 24-26'!DM354</f>
        <v>0</v>
      </c>
      <c r="CD489" s="1062">
        <f>'No Recurrentes 24-26'!DN354</f>
        <v>0</v>
      </c>
      <c r="CE489" s="1062">
        <f>'No Recurrentes 24-26'!DO354</f>
        <v>0</v>
      </c>
      <c r="CF489" s="1062">
        <f>'No Recurrentes 24-26'!DP354</f>
        <v>0</v>
      </c>
      <c r="CG489" s="1062">
        <f>'No Recurrentes 24-26'!DQ354</f>
        <v>0</v>
      </c>
      <c r="CH489" s="1062">
        <f>'No Recurrentes 24-26'!DR354</f>
        <v>0</v>
      </c>
      <c r="CI489" s="1068"/>
      <c r="CJ489" s="1062">
        <f>'No Recurrentes 24-26'!DS354</f>
        <v>0</v>
      </c>
      <c r="CK489" s="1062">
        <f>'No Recurrentes 24-26'!DT354</f>
        <v>71568.7056</v>
      </c>
      <c r="CL489" s="1064" t="str">
        <f>'No Recurrentes 24-26'!DU354</f>
        <v/>
      </c>
      <c r="CM489" s="1064" t="str">
        <f>'No Recurrentes 24-26'!DV354</f>
        <v/>
      </c>
      <c r="CN489" s="1060">
        <f>'No Recurrentes 24-26'!EI350</f>
        <v>1</v>
      </c>
      <c r="CO489" s="1060" t="str">
        <f>'No Recurrentes 24-26'!EJ350</f>
        <v/>
      </c>
      <c r="CP489" s="1060" t="str">
        <f>'No Recurrentes 24-26'!EK350</f>
        <v/>
      </c>
    </row>
    <row r="490">
      <c r="A490" s="451" t="str">
        <f>'No Recurrentes 24-26'!A355</f>
        <v>Repuestos Electromecánicos no recurrentes</v>
      </c>
      <c r="B490" s="451">
        <f>'No Recurrentes 24-26'!B355</f>
        <v>2</v>
      </c>
      <c r="C490" s="451" t="str">
        <f>'No Recurrentes 24-26'!C355</f>
        <v>Torre</v>
      </c>
      <c r="D490" s="451" t="str">
        <f>'No Recurrentes 24-26'!D355</f>
        <v>Reacondionamiento y cambio de Poleas de torre</v>
      </c>
      <c r="E490" s="451" t="str">
        <f>'No Recurrentes 24-26'!E355</f>
        <v>Repuesto Mecánico</v>
      </c>
      <c r="F490" s="451" t="str">
        <f>'No Recurrentes 24-26'!F355</f>
        <v>TDB</v>
      </c>
      <c r="G490" s="1025" t="str">
        <f>'No Recurrentes 24-26'!G355</f>
        <v>39800</v>
      </c>
      <c r="H490" s="1061" t="str">
        <f>'No Recurrentes 24-26'!H355</f>
        <v>2-01-00571</v>
      </c>
      <c r="I490" s="1061" t="str">
        <f>'No Recurrentes 24-26'!I355</f>
        <v>11430351</v>
      </c>
      <c r="J490" s="1061" t="str">
        <f>'No Recurrentes 24-26'!J355</f>
        <v>CASQUILLO DIST. DIÁ50/30 L=160</v>
      </c>
      <c r="K490" s="451" t="str">
        <f>'No Recurrentes 24-26'!K355</f>
        <v>Pza</v>
      </c>
      <c r="L490" s="451">
        <f>'No Recurrentes 24-26'!BC355</f>
        <v>10</v>
      </c>
      <c r="M490" s="451">
        <f>'No Recurrentes 24-26'!BD355</f>
        <v>10</v>
      </c>
      <c r="N490" s="451">
        <f>'No Recurrentes 24-26'!BE355</f>
        <v>10</v>
      </c>
      <c r="O490" s="451" t="str">
        <f>'No Recurrentes 24-26'!BF355</f>
        <v/>
      </c>
      <c r="P490" s="451" t="str">
        <f>'No Recurrentes 24-26'!BG355</f>
        <v/>
      </c>
      <c r="Q490" s="451" t="str">
        <f>'No Recurrentes 24-26'!BH355</f>
        <v/>
      </c>
      <c r="R490" s="451" t="str">
        <f>'No Recurrentes 24-26'!BI355</f>
        <v/>
      </c>
      <c r="S490" s="451" t="str">
        <f>'No Recurrentes 24-26'!BJ355</f>
        <v/>
      </c>
      <c r="T490" s="451" t="str">
        <f>'No Recurrentes 24-26'!BK355</f>
        <v/>
      </c>
      <c r="U490" s="451" t="str">
        <f>'No Recurrentes 24-26'!BL355</f>
        <v/>
      </c>
      <c r="V490" s="1068"/>
      <c r="W490" s="1062">
        <f>'No Recurrentes 24-26'!BM355</f>
        <v>30</v>
      </c>
      <c r="X490" s="1062" t="str">
        <f>'No Recurrentes 24-26'!BN355</f>
        <v/>
      </c>
      <c r="Y490" s="1062" t="str">
        <f>'No Recurrentes 24-26'!BO355</f>
        <v/>
      </c>
      <c r="Z490" s="1062" t="str">
        <f>'No Recurrentes 24-26'!BP355</f>
        <v/>
      </c>
      <c r="AA490" s="1062" t="str">
        <f>'No Recurrentes 24-26'!BQ355</f>
        <v/>
      </c>
      <c r="AB490" s="1062" t="str">
        <f>'No Recurrentes 24-26'!BR355</f>
        <v/>
      </c>
      <c r="AC490" s="1062" t="str">
        <f>'No Recurrentes 24-26'!BS355</f>
        <v/>
      </c>
      <c r="AD490" s="1062" t="str">
        <f>'No Recurrentes 24-26'!BT355</f>
        <v/>
      </c>
      <c r="AE490" s="1062" t="str">
        <f>'No Recurrentes 24-26'!BU355</f>
        <v/>
      </c>
      <c r="AF490" s="1062" t="str">
        <f>'No Recurrentes 24-26'!BV355</f>
        <v/>
      </c>
      <c r="AG490" s="1062" t="str">
        <f>'No Recurrentes 24-26'!BW355</f>
        <v/>
      </c>
      <c r="AH490" s="1068"/>
      <c r="AI490" s="1062">
        <f>'No Recurrentes 24-26'!BX355</f>
        <v>0</v>
      </c>
      <c r="AJ490" s="1062">
        <f>'No Recurrentes 24-26'!BY355</f>
        <v>10</v>
      </c>
      <c r="AK490" s="1062">
        <f>'No Recurrentes 24-26'!BZ355</f>
        <v>10</v>
      </c>
      <c r="AL490" s="1062">
        <f>'No Recurrentes 24-26'!CA355</f>
        <v>10</v>
      </c>
      <c r="AM490" s="1062">
        <f>'No Recurrentes 24-26'!CB355</f>
        <v>0</v>
      </c>
      <c r="AN490" s="1062">
        <f>'No Recurrentes 24-26'!CC355</f>
        <v>0</v>
      </c>
      <c r="AO490" s="1062">
        <f>'No Recurrentes 24-26'!CD355</f>
        <v>0</v>
      </c>
      <c r="AP490" s="1062">
        <f>'No Recurrentes 24-26'!CE355</f>
        <v>0</v>
      </c>
      <c r="AQ490" s="1062">
        <f>'No Recurrentes 24-26'!CF355</f>
        <v>0</v>
      </c>
      <c r="AR490" s="1062">
        <f>'No Recurrentes 24-26'!CG355</f>
        <v>0</v>
      </c>
      <c r="AS490" s="1062">
        <f>'No Recurrentes 24-26'!CH355</f>
        <v>0</v>
      </c>
      <c r="AT490" s="1068"/>
      <c r="AU490" s="1062">
        <f>'No Recurrentes 24-26'!CI355</f>
        <v>30</v>
      </c>
      <c r="AV490" s="1063">
        <f>'No Recurrentes 24-26'!CJ355</f>
        <v>60</v>
      </c>
      <c r="AW490" s="1068"/>
      <c r="AX490" s="1065">
        <f>'No Recurrentes 24-26'!CK355</f>
        <v>79.33</v>
      </c>
      <c r="AY490" s="1062">
        <f>'No Recurrentes 24-26'!CL355</f>
        <v>552.1368</v>
      </c>
      <c r="AZ490" s="1068"/>
      <c r="BA490" s="1062">
        <f>'No Recurrentes 24-26'!CM355</f>
        <v>5521.368</v>
      </c>
      <c r="BB490" s="1062">
        <f>'No Recurrentes 24-26'!CN355</f>
        <v>5521.368</v>
      </c>
      <c r="BC490" s="1062">
        <f>'No Recurrentes 24-26'!CO355</f>
        <v>5521.368</v>
      </c>
      <c r="BD490" s="1062">
        <f>'No Recurrentes 24-26'!CP355</f>
        <v>0</v>
      </c>
      <c r="BE490" s="1062">
        <f>'No Recurrentes 24-26'!CQ355</f>
        <v>0</v>
      </c>
      <c r="BF490" s="1062">
        <f>'No Recurrentes 24-26'!CR355</f>
        <v>0</v>
      </c>
      <c r="BG490" s="1062">
        <f>'No Recurrentes 24-26'!CS355</f>
        <v>0</v>
      </c>
      <c r="BH490" s="1062">
        <f>'No Recurrentes 24-26'!CT355</f>
        <v>0</v>
      </c>
      <c r="BI490" s="1062">
        <f>'No Recurrentes 24-26'!CU355</f>
        <v>0</v>
      </c>
      <c r="BJ490" s="1062">
        <f>'No Recurrentes 24-26'!CV355</f>
        <v>0</v>
      </c>
      <c r="BK490" s="1068"/>
      <c r="BL490" s="1062">
        <f>'No Recurrentes 24-26'!CW355</f>
        <v>16564.104</v>
      </c>
      <c r="BM490" s="1062">
        <f>'No Recurrentes 24-26'!CX355</f>
        <v>0</v>
      </c>
      <c r="BN490" s="1062">
        <f>'No Recurrentes 24-26'!CY355</f>
        <v>0</v>
      </c>
      <c r="BO490" s="1062">
        <f>'No Recurrentes 24-26'!CZ355</f>
        <v>0</v>
      </c>
      <c r="BP490" s="1062">
        <f>'No Recurrentes 24-26'!DA355</f>
        <v>0</v>
      </c>
      <c r="BQ490" s="1062">
        <f>'No Recurrentes 24-26'!DB355</f>
        <v>0</v>
      </c>
      <c r="BR490" s="1062">
        <f>'No Recurrentes 24-26'!DC355</f>
        <v>0</v>
      </c>
      <c r="BS490" s="1062">
        <f>'No Recurrentes 24-26'!DD355</f>
        <v>0</v>
      </c>
      <c r="BT490" s="1062">
        <f>'No Recurrentes 24-26'!DE355</f>
        <v>0</v>
      </c>
      <c r="BU490" s="1062">
        <f>'No Recurrentes 24-26'!DF355</f>
        <v>0</v>
      </c>
      <c r="BV490" s="1062">
        <f>'No Recurrentes 24-26'!DG355</f>
        <v>0</v>
      </c>
      <c r="BW490" s="1068"/>
      <c r="BX490" s="1062">
        <f>'No Recurrentes 24-26'!DH355</f>
        <v>0</v>
      </c>
      <c r="BY490" s="1062">
        <f>'No Recurrentes 24-26'!DI355</f>
        <v>5521.368</v>
      </c>
      <c r="BZ490" s="1062">
        <f>'No Recurrentes 24-26'!DJ355</f>
        <v>5521.368</v>
      </c>
      <c r="CA490" s="1062">
        <f>'No Recurrentes 24-26'!DK355</f>
        <v>5521.368</v>
      </c>
      <c r="CB490" s="1062">
        <f>'No Recurrentes 24-26'!DL355</f>
        <v>0</v>
      </c>
      <c r="CC490" s="1062">
        <f>'No Recurrentes 24-26'!DM355</f>
        <v>0</v>
      </c>
      <c r="CD490" s="1062">
        <f>'No Recurrentes 24-26'!DN355</f>
        <v>0</v>
      </c>
      <c r="CE490" s="1062">
        <f>'No Recurrentes 24-26'!DO355</f>
        <v>0</v>
      </c>
      <c r="CF490" s="1062">
        <f>'No Recurrentes 24-26'!DP355</f>
        <v>0</v>
      </c>
      <c r="CG490" s="1062">
        <f>'No Recurrentes 24-26'!DQ355</f>
        <v>0</v>
      </c>
      <c r="CH490" s="1062">
        <f>'No Recurrentes 24-26'!DR355</f>
        <v>0</v>
      </c>
      <c r="CI490" s="1068"/>
      <c r="CJ490" s="1062">
        <f>'No Recurrentes 24-26'!DS355</f>
        <v>16564.104</v>
      </c>
      <c r="CK490" s="1062">
        <f>'No Recurrentes 24-26'!DT355</f>
        <v>33128.208</v>
      </c>
      <c r="CL490" s="1064" t="str">
        <f>'No Recurrentes 24-26'!DU355</f>
        <v/>
      </c>
      <c r="CM490" s="1064" t="str">
        <f>'No Recurrentes 24-26'!DV355</f>
        <v/>
      </c>
      <c r="CN490" s="1065">
        <f>'No Recurrentes 24-26'!EI351</f>
        <v>9.31</v>
      </c>
      <c r="CO490" s="1065">
        <f>'No Recurrentes 24-26'!EJ351</f>
        <v>7.91</v>
      </c>
      <c r="CP490" s="1060" t="str">
        <f>'No Recurrentes 24-26'!EK351</f>
        <v/>
      </c>
    </row>
    <row r="491">
      <c r="A491" s="451" t="str">
        <f>'No Recurrentes 24-26'!A356</f>
        <v>Repuestos Electromecánicos no recurrentes</v>
      </c>
      <c r="B491" s="451">
        <f>'No Recurrentes 24-26'!B356</f>
        <v>2</v>
      </c>
      <c r="C491" s="451" t="str">
        <f>'No Recurrentes 24-26'!C356</f>
        <v>Torre</v>
      </c>
      <c r="D491" s="451" t="str">
        <f>'No Recurrentes 24-26'!D356</f>
        <v>Reacondionamiento y cambio de Poleas de torre</v>
      </c>
      <c r="E491" s="451" t="str">
        <f>'No Recurrentes 24-26'!E356</f>
        <v>Repuesto Mecánico</v>
      </c>
      <c r="F491" s="451" t="str">
        <f>'No Recurrentes 24-26'!F356</f>
        <v>TDB</v>
      </c>
      <c r="G491" s="1025" t="str">
        <f>'No Recurrentes 24-26'!G356</f>
        <v>39800</v>
      </c>
      <c r="H491" s="1061" t="str">
        <f>'No Recurrentes 24-26'!H356</f>
        <v>2-01-00043</v>
      </c>
      <c r="I491" s="1061" t="str">
        <f>'No Recurrentes 24-26'!I356</f>
        <v>10293344</v>
      </c>
      <c r="J491" s="1061" t="str">
        <f>'No Recurrentes 24-26'!J356</f>
        <v>PERNO DIA.29,9  L 225 M24      PARA POLEA TIPO 501</v>
      </c>
      <c r="K491" s="451" t="str">
        <f>'No Recurrentes 24-26'!K356</f>
        <v>Pza</v>
      </c>
      <c r="L491" s="451">
        <f>'No Recurrentes 24-26'!BC356</f>
        <v>15</v>
      </c>
      <c r="M491" s="451">
        <f>'No Recurrentes 24-26'!BD356</f>
        <v>5</v>
      </c>
      <c r="N491" s="451">
        <f>'No Recurrentes 24-26'!BE356</f>
        <v>15</v>
      </c>
      <c r="O491" s="451" t="str">
        <f>'No Recurrentes 24-26'!BF356</f>
        <v/>
      </c>
      <c r="P491" s="451" t="str">
        <f>'No Recurrentes 24-26'!BG356</f>
        <v/>
      </c>
      <c r="Q491" s="451" t="str">
        <f>'No Recurrentes 24-26'!BH356</f>
        <v/>
      </c>
      <c r="R491" s="451" t="str">
        <f>'No Recurrentes 24-26'!BI356</f>
        <v/>
      </c>
      <c r="S491" s="451" t="str">
        <f>'No Recurrentes 24-26'!BJ356</f>
        <v/>
      </c>
      <c r="T491" s="451" t="str">
        <f>'No Recurrentes 24-26'!BK356</f>
        <v/>
      </c>
      <c r="U491" s="451" t="str">
        <f>'No Recurrentes 24-26'!BL356</f>
        <v/>
      </c>
      <c r="V491" s="1068"/>
      <c r="W491" s="1062">
        <f>'No Recurrentes 24-26'!BM356</f>
        <v>35</v>
      </c>
      <c r="X491" s="1062" t="str">
        <f>'No Recurrentes 24-26'!BN356</f>
        <v/>
      </c>
      <c r="Y491" s="1062" t="str">
        <f>'No Recurrentes 24-26'!BO356</f>
        <v/>
      </c>
      <c r="Z491" s="1062" t="str">
        <f>'No Recurrentes 24-26'!BP356</f>
        <v/>
      </c>
      <c r="AA491" s="1062" t="str">
        <f>'No Recurrentes 24-26'!BQ356</f>
        <v/>
      </c>
      <c r="AB491" s="1062" t="str">
        <f>'No Recurrentes 24-26'!BR356</f>
        <v/>
      </c>
      <c r="AC491" s="1062" t="str">
        <f>'No Recurrentes 24-26'!BS356</f>
        <v/>
      </c>
      <c r="AD491" s="1062" t="str">
        <f>'No Recurrentes 24-26'!BT356</f>
        <v/>
      </c>
      <c r="AE491" s="1062" t="str">
        <f>'No Recurrentes 24-26'!BU356</f>
        <v/>
      </c>
      <c r="AF491" s="1062" t="str">
        <f>'No Recurrentes 24-26'!BV356</f>
        <v/>
      </c>
      <c r="AG491" s="1062" t="str">
        <f>'No Recurrentes 24-26'!BW356</f>
        <v/>
      </c>
      <c r="AH491" s="1068"/>
      <c r="AI491" s="1062">
        <f>'No Recurrentes 24-26'!BX356</f>
        <v>0</v>
      </c>
      <c r="AJ491" s="1062">
        <f>'No Recurrentes 24-26'!BY356</f>
        <v>0</v>
      </c>
      <c r="AK491" s="1062">
        <f>'No Recurrentes 24-26'!BZ356</f>
        <v>0</v>
      </c>
      <c r="AL491" s="1062">
        <f>'No Recurrentes 24-26'!CA356</f>
        <v>0</v>
      </c>
      <c r="AM491" s="1062">
        <f>'No Recurrentes 24-26'!CB356</f>
        <v>0</v>
      </c>
      <c r="AN491" s="1062">
        <f>'No Recurrentes 24-26'!CC356</f>
        <v>0</v>
      </c>
      <c r="AO491" s="1062">
        <f>'No Recurrentes 24-26'!CD356</f>
        <v>0</v>
      </c>
      <c r="AP491" s="1062">
        <f>'No Recurrentes 24-26'!CE356</f>
        <v>0</v>
      </c>
      <c r="AQ491" s="1062">
        <f>'No Recurrentes 24-26'!CF356</f>
        <v>0</v>
      </c>
      <c r="AR491" s="1062">
        <f>'No Recurrentes 24-26'!CG356</f>
        <v>0</v>
      </c>
      <c r="AS491" s="1062">
        <f>'No Recurrentes 24-26'!CH356</f>
        <v>0</v>
      </c>
      <c r="AT491" s="1068"/>
      <c r="AU491" s="1062">
        <f>'No Recurrentes 24-26'!CI356</f>
        <v>0</v>
      </c>
      <c r="AV491" s="1063">
        <f>'No Recurrentes 24-26'!CJ356</f>
        <v>35</v>
      </c>
      <c r="AW491" s="1068"/>
      <c r="AX491" s="1065">
        <f>'No Recurrentes 24-26'!CK356</f>
        <v>47.38</v>
      </c>
      <c r="AY491" s="1062">
        <f>'No Recurrentes 24-26'!CL356</f>
        <v>329.7648</v>
      </c>
      <c r="AZ491" s="1068"/>
      <c r="BA491" s="1062">
        <f>'No Recurrentes 24-26'!CM356</f>
        <v>4946.472</v>
      </c>
      <c r="BB491" s="1062">
        <f>'No Recurrentes 24-26'!CN356</f>
        <v>1648.824</v>
      </c>
      <c r="BC491" s="1062">
        <f>'No Recurrentes 24-26'!CO356</f>
        <v>4946.472</v>
      </c>
      <c r="BD491" s="1062">
        <f>'No Recurrentes 24-26'!CP356</f>
        <v>0</v>
      </c>
      <c r="BE491" s="1062">
        <f>'No Recurrentes 24-26'!CQ356</f>
        <v>0</v>
      </c>
      <c r="BF491" s="1062">
        <f>'No Recurrentes 24-26'!CR356</f>
        <v>0</v>
      </c>
      <c r="BG491" s="1062">
        <f>'No Recurrentes 24-26'!CS356</f>
        <v>0</v>
      </c>
      <c r="BH491" s="1062">
        <f>'No Recurrentes 24-26'!CT356</f>
        <v>0</v>
      </c>
      <c r="BI491" s="1062">
        <f>'No Recurrentes 24-26'!CU356</f>
        <v>0</v>
      </c>
      <c r="BJ491" s="1062">
        <f>'No Recurrentes 24-26'!CV356</f>
        <v>0</v>
      </c>
      <c r="BK491" s="1068"/>
      <c r="BL491" s="1062">
        <f>'No Recurrentes 24-26'!CW356</f>
        <v>11541.768</v>
      </c>
      <c r="BM491" s="1062">
        <f>'No Recurrentes 24-26'!CX356</f>
        <v>0</v>
      </c>
      <c r="BN491" s="1062">
        <f>'No Recurrentes 24-26'!CY356</f>
        <v>0</v>
      </c>
      <c r="BO491" s="1062">
        <f>'No Recurrentes 24-26'!CZ356</f>
        <v>0</v>
      </c>
      <c r="BP491" s="1062">
        <f>'No Recurrentes 24-26'!DA356</f>
        <v>0</v>
      </c>
      <c r="BQ491" s="1062">
        <f>'No Recurrentes 24-26'!DB356</f>
        <v>0</v>
      </c>
      <c r="BR491" s="1062">
        <f>'No Recurrentes 24-26'!DC356</f>
        <v>0</v>
      </c>
      <c r="BS491" s="1062">
        <f>'No Recurrentes 24-26'!DD356</f>
        <v>0</v>
      </c>
      <c r="BT491" s="1062">
        <f>'No Recurrentes 24-26'!DE356</f>
        <v>0</v>
      </c>
      <c r="BU491" s="1062">
        <f>'No Recurrentes 24-26'!DF356</f>
        <v>0</v>
      </c>
      <c r="BV491" s="1062">
        <f>'No Recurrentes 24-26'!DG356</f>
        <v>0</v>
      </c>
      <c r="BW491" s="1068"/>
      <c r="BX491" s="1062">
        <f>'No Recurrentes 24-26'!DH356</f>
        <v>0</v>
      </c>
      <c r="BY491" s="1062">
        <f>'No Recurrentes 24-26'!DI356</f>
        <v>0</v>
      </c>
      <c r="BZ491" s="1062">
        <f>'No Recurrentes 24-26'!DJ356</f>
        <v>0</v>
      </c>
      <c r="CA491" s="1062">
        <f>'No Recurrentes 24-26'!DK356</f>
        <v>0</v>
      </c>
      <c r="CB491" s="1062">
        <f>'No Recurrentes 24-26'!DL356</f>
        <v>0</v>
      </c>
      <c r="CC491" s="1062">
        <f>'No Recurrentes 24-26'!DM356</f>
        <v>0</v>
      </c>
      <c r="CD491" s="1062">
        <f>'No Recurrentes 24-26'!DN356</f>
        <v>0</v>
      </c>
      <c r="CE491" s="1062">
        <f>'No Recurrentes 24-26'!DO356</f>
        <v>0</v>
      </c>
      <c r="CF491" s="1062">
        <f>'No Recurrentes 24-26'!DP356</f>
        <v>0</v>
      </c>
      <c r="CG491" s="1062">
        <f>'No Recurrentes 24-26'!DQ356</f>
        <v>0</v>
      </c>
      <c r="CH491" s="1062">
        <f>'No Recurrentes 24-26'!DR356</f>
        <v>0</v>
      </c>
      <c r="CI491" s="1068"/>
      <c r="CJ491" s="1062">
        <f>'No Recurrentes 24-26'!DS356</f>
        <v>0</v>
      </c>
      <c r="CK491" s="1062">
        <f>'No Recurrentes 24-26'!DT356</f>
        <v>11541.768</v>
      </c>
      <c r="CL491" s="1064" t="str">
        <f>'No Recurrentes 24-26'!DU356</f>
        <v/>
      </c>
      <c r="CM491" s="1064" t="str">
        <f>'No Recurrentes 24-26'!DV356</f>
        <v/>
      </c>
      <c r="CN491" s="1065">
        <f>'No Recurrentes 24-26'!EI352</f>
        <v>3.19</v>
      </c>
      <c r="CO491" s="1065">
        <f>'No Recurrentes 24-26'!EJ352</f>
        <v>2.71</v>
      </c>
      <c r="CP491" s="1060" t="str">
        <f>'No Recurrentes 24-26'!EK352</f>
        <v/>
      </c>
    </row>
    <row r="492">
      <c r="A492" s="451" t="str">
        <f>'No Recurrentes 24-26'!A357</f>
        <v>Repuestos Electromecánicos no recurrentes</v>
      </c>
      <c r="B492" s="451">
        <f>'No Recurrentes 24-26'!B357</f>
        <v>2</v>
      </c>
      <c r="C492" s="451" t="str">
        <f>'No Recurrentes 24-26'!C357</f>
        <v>Torre</v>
      </c>
      <c r="D492" s="451" t="str">
        <f>'No Recurrentes 24-26'!D357</f>
        <v>Reacondionamiento y cambio de Poleas de torre</v>
      </c>
      <c r="E492" s="451" t="str">
        <f>'No Recurrentes 24-26'!E357</f>
        <v>Repuesto Mecánico</v>
      </c>
      <c r="F492" s="451" t="str">
        <f>'No Recurrentes 24-26'!F357</f>
        <v>TDB</v>
      </c>
      <c r="G492" s="1025" t="str">
        <f>'No Recurrentes 24-26'!G357</f>
        <v>39800</v>
      </c>
      <c r="H492" s="1061" t="str">
        <f>'No Recurrentes 24-26'!H357</f>
        <v>2-01-00042</v>
      </c>
      <c r="I492" s="1061" t="str">
        <f>'No Recurrentes 24-26'!I357</f>
        <v>10456209</v>
      </c>
      <c r="J492" s="1061" t="str">
        <f>'No Recurrentes 24-26'!J357</f>
        <v>PERNO DIA.24,9 LN 192 M20      PARA POLEA TIPO 420C</v>
      </c>
      <c r="K492" s="451" t="str">
        <f>'No Recurrentes 24-26'!K357</f>
        <v>Pza</v>
      </c>
      <c r="L492" s="451">
        <f>'No Recurrentes 24-26'!BC357</f>
        <v>8</v>
      </c>
      <c r="M492" s="451">
        <f>'No Recurrentes 24-26'!BD357</f>
        <v>4</v>
      </c>
      <c r="N492" s="451">
        <f>'No Recurrentes 24-26'!BE357</f>
        <v>15</v>
      </c>
      <c r="O492" s="451" t="str">
        <f>'No Recurrentes 24-26'!BF357</f>
        <v/>
      </c>
      <c r="P492" s="451" t="str">
        <f>'No Recurrentes 24-26'!BG357</f>
        <v/>
      </c>
      <c r="Q492" s="451" t="str">
        <f>'No Recurrentes 24-26'!BH357</f>
        <v/>
      </c>
      <c r="R492" s="451" t="str">
        <f>'No Recurrentes 24-26'!BI357</f>
        <v/>
      </c>
      <c r="S492" s="451" t="str">
        <f>'No Recurrentes 24-26'!BJ357</f>
        <v/>
      </c>
      <c r="T492" s="451" t="str">
        <f>'No Recurrentes 24-26'!BK357</f>
        <v/>
      </c>
      <c r="U492" s="451" t="str">
        <f>'No Recurrentes 24-26'!BL357</f>
        <v/>
      </c>
      <c r="V492" s="1068"/>
      <c r="W492" s="1062">
        <f>'No Recurrentes 24-26'!BM357</f>
        <v>27</v>
      </c>
      <c r="X492" s="1062" t="str">
        <f>'No Recurrentes 24-26'!BN357</f>
        <v/>
      </c>
      <c r="Y492" s="1062" t="str">
        <f>'No Recurrentes 24-26'!BO357</f>
        <v/>
      </c>
      <c r="Z492" s="1062" t="str">
        <f>'No Recurrentes 24-26'!BP357</f>
        <v/>
      </c>
      <c r="AA492" s="1062" t="str">
        <f>'No Recurrentes 24-26'!BQ357</f>
        <v/>
      </c>
      <c r="AB492" s="1062" t="str">
        <f>'No Recurrentes 24-26'!BR357</f>
        <v/>
      </c>
      <c r="AC492" s="1062" t="str">
        <f>'No Recurrentes 24-26'!BS357</f>
        <v/>
      </c>
      <c r="AD492" s="1062" t="str">
        <f>'No Recurrentes 24-26'!BT357</f>
        <v/>
      </c>
      <c r="AE492" s="1062" t="str">
        <f>'No Recurrentes 24-26'!BU357</f>
        <v/>
      </c>
      <c r="AF492" s="1062" t="str">
        <f>'No Recurrentes 24-26'!BV357</f>
        <v/>
      </c>
      <c r="AG492" s="1062" t="str">
        <f>'No Recurrentes 24-26'!BW357</f>
        <v/>
      </c>
      <c r="AH492" s="1068"/>
      <c r="AI492" s="1062">
        <f>'No Recurrentes 24-26'!BX357</f>
        <v>0</v>
      </c>
      <c r="AJ492" s="1062">
        <f>'No Recurrentes 24-26'!BY357</f>
        <v>0</v>
      </c>
      <c r="AK492" s="1062">
        <f>'No Recurrentes 24-26'!BZ357</f>
        <v>0</v>
      </c>
      <c r="AL492" s="1062">
        <f>'No Recurrentes 24-26'!CA357</f>
        <v>0</v>
      </c>
      <c r="AM492" s="1062">
        <f>'No Recurrentes 24-26'!CB357</f>
        <v>0</v>
      </c>
      <c r="AN492" s="1062">
        <f>'No Recurrentes 24-26'!CC357</f>
        <v>0</v>
      </c>
      <c r="AO492" s="1062">
        <f>'No Recurrentes 24-26'!CD357</f>
        <v>0</v>
      </c>
      <c r="AP492" s="1062">
        <f>'No Recurrentes 24-26'!CE357</f>
        <v>0</v>
      </c>
      <c r="AQ492" s="1062">
        <f>'No Recurrentes 24-26'!CF357</f>
        <v>0</v>
      </c>
      <c r="AR492" s="1062">
        <f>'No Recurrentes 24-26'!CG357</f>
        <v>0</v>
      </c>
      <c r="AS492" s="1062">
        <f>'No Recurrentes 24-26'!CH357</f>
        <v>0</v>
      </c>
      <c r="AT492" s="1068"/>
      <c r="AU492" s="1062">
        <f>'No Recurrentes 24-26'!CI357</f>
        <v>0</v>
      </c>
      <c r="AV492" s="1063">
        <f>'No Recurrentes 24-26'!CJ357</f>
        <v>27</v>
      </c>
      <c r="AW492" s="1068"/>
      <c r="AX492" s="1065">
        <f>'No Recurrentes 24-26'!CK357</f>
        <v>38.57</v>
      </c>
      <c r="AY492" s="1062">
        <f>'No Recurrentes 24-26'!CL357</f>
        <v>268.4472</v>
      </c>
      <c r="AZ492" s="1068"/>
      <c r="BA492" s="1062">
        <f>'No Recurrentes 24-26'!CM357</f>
        <v>2147.5776</v>
      </c>
      <c r="BB492" s="1062">
        <f>'No Recurrentes 24-26'!CN357</f>
        <v>1073.7888</v>
      </c>
      <c r="BC492" s="1062">
        <f>'No Recurrentes 24-26'!CO357</f>
        <v>4026.708</v>
      </c>
      <c r="BD492" s="1062">
        <f>'No Recurrentes 24-26'!CP357</f>
        <v>0</v>
      </c>
      <c r="BE492" s="1062">
        <f>'No Recurrentes 24-26'!CQ357</f>
        <v>0</v>
      </c>
      <c r="BF492" s="1062">
        <f>'No Recurrentes 24-26'!CR357</f>
        <v>0</v>
      </c>
      <c r="BG492" s="1062">
        <f>'No Recurrentes 24-26'!CS357</f>
        <v>0</v>
      </c>
      <c r="BH492" s="1062">
        <f>'No Recurrentes 24-26'!CT357</f>
        <v>0</v>
      </c>
      <c r="BI492" s="1062">
        <f>'No Recurrentes 24-26'!CU357</f>
        <v>0</v>
      </c>
      <c r="BJ492" s="1062">
        <f>'No Recurrentes 24-26'!CV357</f>
        <v>0</v>
      </c>
      <c r="BK492" s="1068"/>
      <c r="BL492" s="1062">
        <f>'No Recurrentes 24-26'!CW357</f>
        <v>7248.0744</v>
      </c>
      <c r="BM492" s="1062">
        <f>'No Recurrentes 24-26'!CX357</f>
        <v>0</v>
      </c>
      <c r="BN492" s="1062">
        <f>'No Recurrentes 24-26'!CY357</f>
        <v>0</v>
      </c>
      <c r="BO492" s="1062">
        <f>'No Recurrentes 24-26'!CZ357</f>
        <v>0</v>
      </c>
      <c r="BP492" s="1062">
        <f>'No Recurrentes 24-26'!DA357</f>
        <v>0</v>
      </c>
      <c r="BQ492" s="1062">
        <f>'No Recurrentes 24-26'!DB357</f>
        <v>0</v>
      </c>
      <c r="BR492" s="1062">
        <f>'No Recurrentes 24-26'!DC357</f>
        <v>0</v>
      </c>
      <c r="BS492" s="1062">
        <f>'No Recurrentes 24-26'!DD357</f>
        <v>0</v>
      </c>
      <c r="BT492" s="1062">
        <f>'No Recurrentes 24-26'!DE357</f>
        <v>0</v>
      </c>
      <c r="BU492" s="1062">
        <f>'No Recurrentes 24-26'!DF357</f>
        <v>0</v>
      </c>
      <c r="BV492" s="1062">
        <f>'No Recurrentes 24-26'!DG357</f>
        <v>0</v>
      </c>
      <c r="BW492" s="1068"/>
      <c r="BX492" s="1062">
        <f>'No Recurrentes 24-26'!DH357</f>
        <v>0</v>
      </c>
      <c r="BY492" s="1062">
        <f>'No Recurrentes 24-26'!DI357</f>
        <v>0</v>
      </c>
      <c r="BZ492" s="1062">
        <f>'No Recurrentes 24-26'!DJ357</f>
        <v>0</v>
      </c>
      <c r="CA492" s="1062">
        <f>'No Recurrentes 24-26'!DK357</f>
        <v>0</v>
      </c>
      <c r="CB492" s="1062">
        <f>'No Recurrentes 24-26'!DL357</f>
        <v>0</v>
      </c>
      <c r="CC492" s="1062">
        <f>'No Recurrentes 24-26'!DM357</f>
        <v>0</v>
      </c>
      <c r="CD492" s="1062">
        <f>'No Recurrentes 24-26'!DN357</f>
        <v>0</v>
      </c>
      <c r="CE492" s="1062">
        <f>'No Recurrentes 24-26'!DO357</f>
        <v>0</v>
      </c>
      <c r="CF492" s="1062">
        <f>'No Recurrentes 24-26'!DP357</f>
        <v>0</v>
      </c>
      <c r="CG492" s="1062">
        <f>'No Recurrentes 24-26'!DQ357</f>
        <v>0</v>
      </c>
      <c r="CH492" s="1062">
        <f>'No Recurrentes 24-26'!DR357</f>
        <v>0</v>
      </c>
      <c r="CI492" s="1068"/>
      <c r="CJ492" s="1062">
        <f>'No Recurrentes 24-26'!DS357</f>
        <v>0</v>
      </c>
      <c r="CK492" s="1062">
        <f>'No Recurrentes 24-26'!DT357</f>
        <v>7248.0744</v>
      </c>
      <c r="CL492" s="1064" t="str">
        <f>'No Recurrentes 24-26'!DU357</f>
        <v/>
      </c>
      <c r="CM492" s="1064" t="str">
        <f>'No Recurrentes 24-26'!DV357</f>
        <v/>
      </c>
      <c r="CN492" s="1065">
        <f>'No Recurrentes 24-26'!EI353</f>
        <v>547.46</v>
      </c>
      <c r="CO492" s="1065">
        <f>'No Recurrentes 24-26'!EJ353</f>
        <v>465.34</v>
      </c>
      <c r="CP492" s="1060" t="str">
        <f>'No Recurrentes 24-26'!EK353</f>
        <v/>
      </c>
    </row>
    <row r="493">
      <c r="A493" s="451" t="str">
        <f>'No Recurrentes 24-26'!A358</f>
        <v>Repuestos Electromecánicos no recurrentes</v>
      </c>
      <c r="B493" s="451">
        <f>'No Recurrentes 24-26'!B358</f>
        <v>2</v>
      </c>
      <c r="C493" s="451" t="str">
        <f>'No Recurrentes 24-26'!C358</f>
        <v>Torre</v>
      </c>
      <c r="D493" s="451" t="str">
        <f>'No Recurrentes 24-26'!D358</f>
        <v>Reacondionamiento y cambio de Poleas de torre</v>
      </c>
      <c r="E493" s="451" t="str">
        <f>'No Recurrentes 24-26'!E358</f>
        <v>Repuesto Mecánico</v>
      </c>
      <c r="F493" s="451" t="str">
        <f>'No Recurrentes 24-26'!F358</f>
        <v>TDB</v>
      </c>
      <c r="G493" s="1025" t="str">
        <f>'No Recurrentes 24-26'!G358</f>
        <v>39800</v>
      </c>
      <c r="H493" s="1061" t="str">
        <f>'No Recurrentes 24-26'!H358</f>
        <v>
2-01-00570</v>
      </c>
      <c r="I493" s="1061" t="str">
        <f>'No Recurrentes 24-26'!I358</f>
        <v>10834216</v>
      </c>
      <c r="J493" s="1061" t="str">
        <f>'No Recurrentes 24-26'!J358</f>
        <v>ANILLO DIST. DIÁ.68/50 E=23,5 P. POLEA 501 GALV.+AMARILLO</v>
      </c>
      <c r="K493" s="451" t="str">
        <f>'No Recurrentes 24-26'!K358</f>
        <v>Pza</v>
      </c>
      <c r="L493" s="451">
        <f>'No Recurrentes 24-26'!BC358</f>
        <v>5</v>
      </c>
      <c r="M493" s="451">
        <f>'No Recurrentes 24-26'!BD358</f>
        <v>2</v>
      </c>
      <c r="N493" s="451">
        <f>'No Recurrentes 24-26'!BE358</f>
        <v>5</v>
      </c>
      <c r="O493" s="451" t="str">
        <f>'No Recurrentes 24-26'!BF358</f>
        <v/>
      </c>
      <c r="P493" s="451" t="str">
        <f>'No Recurrentes 24-26'!BG358</f>
        <v/>
      </c>
      <c r="Q493" s="451" t="str">
        <f>'No Recurrentes 24-26'!BH358</f>
        <v/>
      </c>
      <c r="R493" s="451" t="str">
        <f>'No Recurrentes 24-26'!BI358</f>
        <v/>
      </c>
      <c r="S493" s="451" t="str">
        <f>'No Recurrentes 24-26'!BJ358</f>
        <v/>
      </c>
      <c r="T493" s="451" t="str">
        <f>'No Recurrentes 24-26'!BK358</f>
        <v/>
      </c>
      <c r="U493" s="451" t="str">
        <f>'No Recurrentes 24-26'!BL358</f>
        <v/>
      </c>
      <c r="V493" s="1068"/>
      <c r="W493" s="1062">
        <f>'No Recurrentes 24-26'!BM358</f>
        <v>12</v>
      </c>
      <c r="X493" s="1062" t="str">
        <f>'No Recurrentes 24-26'!BN358</f>
        <v/>
      </c>
      <c r="Y493" s="1062" t="str">
        <f>'No Recurrentes 24-26'!BO358</f>
        <v/>
      </c>
      <c r="Z493" s="1062" t="str">
        <f>'No Recurrentes 24-26'!BP358</f>
        <v/>
      </c>
      <c r="AA493" s="1062" t="str">
        <f>'No Recurrentes 24-26'!BQ358</f>
        <v/>
      </c>
      <c r="AB493" s="1062" t="str">
        <f>'No Recurrentes 24-26'!BR358</f>
        <v/>
      </c>
      <c r="AC493" s="1062" t="str">
        <f>'No Recurrentes 24-26'!BS358</f>
        <v/>
      </c>
      <c r="AD493" s="1062" t="str">
        <f>'No Recurrentes 24-26'!BT358</f>
        <v/>
      </c>
      <c r="AE493" s="1062" t="str">
        <f>'No Recurrentes 24-26'!BU358</f>
        <v/>
      </c>
      <c r="AF493" s="1062" t="str">
        <f>'No Recurrentes 24-26'!BV358</f>
        <v/>
      </c>
      <c r="AG493" s="1062" t="str">
        <f>'No Recurrentes 24-26'!BW358</f>
        <v/>
      </c>
      <c r="AH493" s="1068"/>
      <c r="AI493" s="1062">
        <f>'No Recurrentes 24-26'!BX358</f>
        <v>0</v>
      </c>
      <c r="AJ493" s="1062">
        <f>'No Recurrentes 24-26'!BY358</f>
        <v>5</v>
      </c>
      <c r="AK493" s="1062">
        <f>'No Recurrentes 24-26'!BZ358</f>
        <v>2</v>
      </c>
      <c r="AL493" s="1062">
        <f>'No Recurrentes 24-26'!CA358</f>
        <v>5</v>
      </c>
      <c r="AM493" s="1062">
        <f>'No Recurrentes 24-26'!CB358</f>
        <v>0</v>
      </c>
      <c r="AN493" s="1062">
        <f>'No Recurrentes 24-26'!CC358</f>
        <v>0</v>
      </c>
      <c r="AO493" s="1062">
        <f>'No Recurrentes 24-26'!CD358</f>
        <v>0</v>
      </c>
      <c r="AP493" s="1062">
        <f>'No Recurrentes 24-26'!CE358</f>
        <v>0</v>
      </c>
      <c r="AQ493" s="1062">
        <f>'No Recurrentes 24-26'!CF358</f>
        <v>0</v>
      </c>
      <c r="AR493" s="1062">
        <f>'No Recurrentes 24-26'!CG358</f>
        <v>0</v>
      </c>
      <c r="AS493" s="1062">
        <f>'No Recurrentes 24-26'!CH358</f>
        <v>0</v>
      </c>
      <c r="AT493" s="1068"/>
      <c r="AU493" s="1062">
        <f>'No Recurrentes 24-26'!CI358</f>
        <v>12</v>
      </c>
      <c r="AV493" s="1063">
        <f>'No Recurrentes 24-26'!CJ358</f>
        <v>24</v>
      </c>
      <c r="AW493" s="1068"/>
      <c r="AX493" s="1065">
        <f>'No Recurrentes 24-26'!CK358</f>
        <v>17.88</v>
      </c>
      <c r="AY493" s="1062">
        <f>'No Recurrentes 24-26'!CL358</f>
        <v>124.4448</v>
      </c>
      <c r="AZ493" s="1068"/>
      <c r="BA493" s="1062">
        <f>'No Recurrentes 24-26'!CM358</f>
        <v>622.224</v>
      </c>
      <c r="BB493" s="1062">
        <f>'No Recurrentes 24-26'!CN358</f>
        <v>248.8896</v>
      </c>
      <c r="BC493" s="1062">
        <f>'No Recurrentes 24-26'!CO358</f>
        <v>622.224</v>
      </c>
      <c r="BD493" s="1062">
        <f>'No Recurrentes 24-26'!CP358</f>
        <v>0</v>
      </c>
      <c r="BE493" s="1062">
        <f>'No Recurrentes 24-26'!CQ358</f>
        <v>0</v>
      </c>
      <c r="BF493" s="1062">
        <f>'No Recurrentes 24-26'!CR358</f>
        <v>0</v>
      </c>
      <c r="BG493" s="1062">
        <f>'No Recurrentes 24-26'!CS358</f>
        <v>0</v>
      </c>
      <c r="BH493" s="1062">
        <f>'No Recurrentes 24-26'!CT358</f>
        <v>0</v>
      </c>
      <c r="BI493" s="1062">
        <f>'No Recurrentes 24-26'!CU358</f>
        <v>0</v>
      </c>
      <c r="BJ493" s="1062">
        <f>'No Recurrentes 24-26'!CV358</f>
        <v>0</v>
      </c>
      <c r="BK493" s="1068"/>
      <c r="BL493" s="1062">
        <f>'No Recurrentes 24-26'!CW358</f>
        <v>1493.3376</v>
      </c>
      <c r="BM493" s="1062">
        <f>'No Recurrentes 24-26'!CX358</f>
        <v>0</v>
      </c>
      <c r="BN493" s="1062">
        <f>'No Recurrentes 24-26'!CY358</f>
        <v>0</v>
      </c>
      <c r="BO493" s="1062">
        <f>'No Recurrentes 24-26'!CZ358</f>
        <v>0</v>
      </c>
      <c r="BP493" s="1062">
        <f>'No Recurrentes 24-26'!DA358</f>
        <v>0</v>
      </c>
      <c r="BQ493" s="1062">
        <f>'No Recurrentes 24-26'!DB358</f>
        <v>0</v>
      </c>
      <c r="BR493" s="1062">
        <f>'No Recurrentes 24-26'!DC358</f>
        <v>0</v>
      </c>
      <c r="BS493" s="1062">
        <f>'No Recurrentes 24-26'!DD358</f>
        <v>0</v>
      </c>
      <c r="BT493" s="1062">
        <f>'No Recurrentes 24-26'!DE358</f>
        <v>0</v>
      </c>
      <c r="BU493" s="1062">
        <f>'No Recurrentes 24-26'!DF358</f>
        <v>0</v>
      </c>
      <c r="BV493" s="1062">
        <f>'No Recurrentes 24-26'!DG358</f>
        <v>0</v>
      </c>
      <c r="BW493" s="1068"/>
      <c r="BX493" s="1062">
        <f>'No Recurrentes 24-26'!DH358</f>
        <v>0</v>
      </c>
      <c r="BY493" s="1062">
        <f>'No Recurrentes 24-26'!DI358</f>
        <v>622.224</v>
      </c>
      <c r="BZ493" s="1062">
        <f>'No Recurrentes 24-26'!DJ358</f>
        <v>248.8896</v>
      </c>
      <c r="CA493" s="1062">
        <f>'No Recurrentes 24-26'!DK358</f>
        <v>622.224</v>
      </c>
      <c r="CB493" s="1062">
        <f>'No Recurrentes 24-26'!DL358</f>
        <v>0</v>
      </c>
      <c r="CC493" s="1062">
        <f>'No Recurrentes 24-26'!DM358</f>
        <v>0</v>
      </c>
      <c r="CD493" s="1062">
        <f>'No Recurrentes 24-26'!DN358</f>
        <v>0</v>
      </c>
      <c r="CE493" s="1062">
        <f>'No Recurrentes 24-26'!DO358</f>
        <v>0</v>
      </c>
      <c r="CF493" s="1062">
        <f>'No Recurrentes 24-26'!DP358</f>
        <v>0</v>
      </c>
      <c r="CG493" s="1062">
        <f>'No Recurrentes 24-26'!DQ358</f>
        <v>0</v>
      </c>
      <c r="CH493" s="1062">
        <f>'No Recurrentes 24-26'!DR358</f>
        <v>0</v>
      </c>
      <c r="CI493" s="1068"/>
      <c r="CJ493" s="1062">
        <f>'No Recurrentes 24-26'!DS358</f>
        <v>1493.3376</v>
      </c>
      <c r="CK493" s="1062">
        <f>'No Recurrentes 24-26'!DT358</f>
        <v>2986.6752</v>
      </c>
      <c r="CL493" s="1064" t="str">
        <f>'No Recurrentes 24-26'!DU358</f>
        <v/>
      </c>
      <c r="CM493" s="1064" t="str">
        <f>'No Recurrentes 24-26'!DV358</f>
        <v/>
      </c>
      <c r="CN493" s="1065">
        <f>'No Recurrentes 24-26'!EI354</f>
        <v>571.27</v>
      </c>
      <c r="CO493" s="1065">
        <f>'No Recurrentes 24-26'!EJ354</f>
        <v>485.58</v>
      </c>
      <c r="CP493" s="1060" t="str">
        <f>'No Recurrentes 24-26'!EK354</f>
        <v/>
      </c>
    </row>
    <row r="494">
      <c r="A494" s="451" t="str">
        <f>'No Recurrentes 24-26'!A359</f>
        <v>Repuestos Electromecánicos no recurrentes</v>
      </c>
      <c r="B494" s="451">
        <f>'No Recurrentes 24-26'!B359</f>
        <v>2</v>
      </c>
      <c r="C494" s="451" t="str">
        <f>'No Recurrentes 24-26'!C359</f>
        <v>Torre</v>
      </c>
      <c r="D494" s="451" t="str">
        <f>'No Recurrentes 24-26'!D359</f>
        <v>Reacondionamiento y cambio de Poleas de torre</v>
      </c>
      <c r="E494" s="451" t="str">
        <f>'No Recurrentes 24-26'!E359</f>
        <v>Repuesto Mecánico</v>
      </c>
      <c r="F494" s="451" t="str">
        <f>'No Recurrentes 24-26'!F359</f>
        <v>TDB</v>
      </c>
      <c r="G494" s="1025" t="str">
        <f>'No Recurrentes 24-26'!G359</f>
        <v>39800</v>
      </c>
      <c r="H494" s="1061" t="str">
        <f>'No Recurrentes 24-26'!H359</f>
        <v>2-01-00035</v>
      </c>
      <c r="I494" s="1061" t="str">
        <f>'No Recurrentes 24-26'!I359</f>
        <v>10000400</v>
      </c>
      <c r="J494" s="1061" t="str">
        <f>'No Recurrentes 24-26'!J359</f>
        <v>CIRCLIP INTER. DIN 472  80X2,5 FOSFAT.</v>
      </c>
      <c r="K494" s="451" t="str">
        <f>'No Recurrentes 24-26'!K359</f>
        <v>Pza</v>
      </c>
      <c r="L494" s="451">
        <f>'No Recurrentes 24-26'!BC359</f>
        <v>4</v>
      </c>
      <c r="M494" s="451">
        <f>'No Recurrentes 24-26'!BD359</f>
        <v>2</v>
      </c>
      <c r="N494" s="451">
        <f>'No Recurrentes 24-26'!BE359</f>
        <v>4</v>
      </c>
      <c r="O494" s="451">
        <f>'No Recurrentes 24-26'!BF359</f>
        <v>50</v>
      </c>
      <c r="P494" s="451">
        <f>'No Recurrentes 24-26'!BG359</f>
        <v>50</v>
      </c>
      <c r="Q494" s="451" t="str">
        <f>'No Recurrentes 24-26'!BH359</f>
        <v/>
      </c>
      <c r="R494" s="451" t="str">
        <f>'No Recurrentes 24-26'!BI359</f>
        <v/>
      </c>
      <c r="S494" s="451" t="str">
        <f>'No Recurrentes 24-26'!BJ359</f>
        <v/>
      </c>
      <c r="T494" s="451" t="str">
        <f>'No Recurrentes 24-26'!BK359</f>
        <v/>
      </c>
      <c r="U494" s="451" t="str">
        <f>'No Recurrentes 24-26'!BL359</f>
        <v/>
      </c>
      <c r="V494" s="1068"/>
      <c r="W494" s="1062">
        <f>'No Recurrentes 24-26'!BM359</f>
        <v>110</v>
      </c>
      <c r="X494" s="1062" t="str">
        <f>'No Recurrentes 24-26'!BN359</f>
        <v/>
      </c>
      <c r="Y494" s="1062" t="str">
        <f>'No Recurrentes 24-26'!BO359</f>
        <v/>
      </c>
      <c r="Z494" s="1062" t="str">
        <f>'No Recurrentes 24-26'!BP359</f>
        <v/>
      </c>
      <c r="AA494" s="1062" t="str">
        <f>'No Recurrentes 24-26'!BQ359</f>
        <v/>
      </c>
      <c r="AB494" s="1062" t="str">
        <f>'No Recurrentes 24-26'!BR359</f>
        <v/>
      </c>
      <c r="AC494" s="1062" t="str">
        <f>'No Recurrentes 24-26'!BS359</f>
        <v/>
      </c>
      <c r="AD494" s="1062" t="str">
        <f>'No Recurrentes 24-26'!BT359</f>
        <v/>
      </c>
      <c r="AE494" s="1062" t="str">
        <f>'No Recurrentes 24-26'!BU359</f>
        <v/>
      </c>
      <c r="AF494" s="1062" t="str">
        <f>'No Recurrentes 24-26'!BV359</f>
        <v/>
      </c>
      <c r="AG494" s="1062" t="str">
        <f>'No Recurrentes 24-26'!BW359</f>
        <v/>
      </c>
      <c r="AH494" s="1068"/>
      <c r="AI494" s="1062">
        <f>'No Recurrentes 24-26'!BX359</f>
        <v>0</v>
      </c>
      <c r="AJ494" s="1062">
        <f>'No Recurrentes 24-26'!BY359</f>
        <v>4</v>
      </c>
      <c r="AK494" s="1062">
        <f>'No Recurrentes 24-26'!BZ359</f>
        <v>2</v>
      </c>
      <c r="AL494" s="1062">
        <f>'No Recurrentes 24-26'!CA359</f>
        <v>4</v>
      </c>
      <c r="AM494" s="1062">
        <f>'No Recurrentes 24-26'!CB359</f>
        <v>0</v>
      </c>
      <c r="AN494" s="1062">
        <f>'No Recurrentes 24-26'!CC359</f>
        <v>0</v>
      </c>
      <c r="AO494" s="1062">
        <f>'No Recurrentes 24-26'!CD359</f>
        <v>0</v>
      </c>
      <c r="AP494" s="1062">
        <f>'No Recurrentes 24-26'!CE359</f>
        <v>0</v>
      </c>
      <c r="AQ494" s="1062">
        <f>'No Recurrentes 24-26'!CF359</f>
        <v>0</v>
      </c>
      <c r="AR494" s="1062">
        <f>'No Recurrentes 24-26'!CG359</f>
        <v>0</v>
      </c>
      <c r="AS494" s="1062">
        <f>'No Recurrentes 24-26'!CH359</f>
        <v>0</v>
      </c>
      <c r="AT494" s="1068"/>
      <c r="AU494" s="1062">
        <f>'No Recurrentes 24-26'!CI359</f>
        <v>10</v>
      </c>
      <c r="AV494" s="1063">
        <f>'No Recurrentes 24-26'!CJ359</f>
        <v>120</v>
      </c>
      <c r="AW494" s="1068"/>
      <c r="AX494" s="1065">
        <f>'No Recurrentes 24-26'!CK359</f>
        <v>1.61</v>
      </c>
      <c r="AY494" s="1062">
        <f>'No Recurrentes 24-26'!CL359</f>
        <v>11.2056</v>
      </c>
      <c r="AZ494" s="1068"/>
      <c r="BA494" s="1062">
        <f>'No Recurrentes 24-26'!CM359</f>
        <v>44.8224</v>
      </c>
      <c r="BB494" s="1062">
        <f>'No Recurrentes 24-26'!CN359</f>
        <v>22.4112</v>
      </c>
      <c r="BC494" s="1062">
        <f>'No Recurrentes 24-26'!CO359</f>
        <v>44.8224</v>
      </c>
      <c r="BD494" s="1062">
        <f>'No Recurrentes 24-26'!CP359</f>
        <v>560.28</v>
      </c>
      <c r="BE494" s="1062">
        <f>'No Recurrentes 24-26'!CQ359</f>
        <v>560.28</v>
      </c>
      <c r="BF494" s="1062">
        <f>'No Recurrentes 24-26'!CR359</f>
        <v>0</v>
      </c>
      <c r="BG494" s="1062">
        <f>'No Recurrentes 24-26'!CS359</f>
        <v>0</v>
      </c>
      <c r="BH494" s="1062">
        <f>'No Recurrentes 24-26'!CT359</f>
        <v>0</v>
      </c>
      <c r="BI494" s="1062">
        <f>'No Recurrentes 24-26'!CU359</f>
        <v>0</v>
      </c>
      <c r="BJ494" s="1062">
        <f>'No Recurrentes 24-26'!CV359</f>
        <v>0</v>
      </c>
      <c r="BK494" s="1068"/>
      <c r="BL494" s="1062">
        <f>'No Recurrentes 24-26'!CW359</f>
        <v>1232.616</v>
      </c>
      <c r="BM494" s="1062">
        <f>'No Recurrentes 24-26'!CX359</f>
        <v>0</v>
      </c>
      <c r="BN494" s="1062">
        <f>'No Recurrentes 24-26'!CY359</f>
        <v>0</v>
      </c>
      <c r="BO494" s="1062">
        <f>'No Recurrentes 24-26'!CZ359</f>
        <v>0</v>
      </c>
      <c r="BP494" s="1062">
        <f>'No Recurrentes 24-26'!DA359</f>
        <v>0</v>
      </c>
      <c r="BQ494" s="1062">
        <f>'No Recurrentes 24-26'!DB359</f>
        <v>0</v>
      </c>
      <c r="BR494" s="1062">
        <f>'No Recurrentes 24-26'!DC359</f>
        <v>0</v>
      </c>
      <c r="BS494" s="1062">
        <f>'No Recurrentes 24-26'!DD359</f>
        <v>0</v>
      </c>
      <c r="BT494" s="1062">
        <f>'No Recurrentes 24-26'!DE359</f>
        <v>0</v>
      </c>
      <c r="BU494" s="1062">
        <f>'No Recurrentes 24-26'!DF359</f>
        <v>0</v>
      </c>
      <c r="BV494" s="1062">
        <f>'No Recurrentes 24-26'!DG359</f>
        <v>0</v>
      </c>
      <c r="BW494" s="1068"/>
      <c r="BX494" s="1062">
        <f>'No Recurrentes 24-26'!DH359</f>
        <v>0</v>
      </c>
      <c r="BY494" s="1062">
        <f>'No Recurrentes 24-26'!DI359</f>
        <v>44.8224</v>
      </c>
      <c r="BZ494" s="1062">
        <f>'No Recurrentes 24-26'!DJ359</f>
        <v>22.4112</v>
      </c>
      <c r="CA494" s="1062">
        <f>'No Recurrentes 24-26'!DK359</f>
        <v>44.8224</v>
      </c>
      <c r="CB494" s="1062">
        <f>'No Recurrentes 24-26'!DL359</f>
        <v>0</v>
      </c>
      <c r="CC494" s="1062">
        <f>'No Recurrentes 24-26'!DM359</f>
        <v>0</v>
      </c>
      <c r="CD494" s="1062">
        <f>'No Recurrentes 24-26'!DN359</f>
        <v>0</v>
      </c>
      <c r="CE494" s="1062">
        <f>'No Recurrentes 24-26'!DO359</f>
        <v>0</v>
      </c>
      <c r="CF494" s="1062">
        <f>'No Recurrentes 24-26'!DP359</f>
        <v>0</v>
      </c>
      <c r="CG494" s="1062">
        <f>'No Recurrentes 24-26'!DQ359</f>
        <v>0</v>
      </c>
      <c r="CH494" s="1062">
        <f>'No Recurrentes 24-26'!DR359</f>
        <v>0</v>
      </c>
      <c r="CI494" s="1068"/>
      <c r="CJ494" s="1062">
        <f>'No Recurrentes 24-26'!DS359</f>
        <v>112.056</v>
      </c>
      <c r="CK494" s="1062">
        <f>'No Recurrentes 24-26'!DT359</f>
        <v>1344.672</v>
      </c>
      <c r="CL494" s="1064" t="str">
        <f>'No Recurrentes 24-26'!DU359</f>
        <v/>
      </c>
      <c r="CM494" s="1064" t="str">
        <f>'No Recurrentes 24-26'!DV359</f>
        <v/>
      </c>
      <c r="CN494" s="1065">
        <f>'No Recurrentes 24-26'!EI355</f>
        <v>79.33</v>
      </c>
      <c r="CO494" s="1065">
        <f>'No Recurrentes 24-26'!EJ355</f>
        <v>67.43</v>
      </c>
      <c r="CP494" s="1060" t="str">
        <f>'No Recurrentes 24-26'!EK355</f>
        <v/>
      </c>
    </row>
    <row r="495">
      <c r="A495" s="451" t="str">
        <f>'No Recurrentes 24-26'!A360</f>
        <v>Repuestos Electromecánicos no recurrentes</v>
      </c>
      <c r="B495" s="451">
        <f>'No Recurrentes 24-26'!B360</f>
        <v>2</v>
      </c>
      <c r="C495" s="451" t="str">
        <f>'No Recurrentes 24-26'!C360</f>
        <v>Torre</v>
      </c>
      <c r="D495" s="451" t="str">
        <f>'No Recurrentes 24-26'!D360</f>
        <v>Reacondionamiento y cambio de Poleas de torre</v>
      </c>
      <c r="E495" s="451" t="str">
        <f>'No Recurrentes 24-26'!E360</f>
        <v>Repuesto Mecánico</v>
      </c>
      <c r="F495" s="451" t="str">
        <f>'No Recurrentes 24-26'!F360</f>
        <v>TDB</v>
      </c>
      <c r="G495" s="1025" t="str">
        <f>'No Recurrentes 24-26'!G360</f>
        <v>39800</v>
      </c>
      <c r="H495" s="1061" t="str">
        <f>'No Recurrentes 24-26'!H360</f>
        <v>2-01-00657</v>
      </c>
      <c r="I495" s="1061" t="str">
        <f>'No Recurrentes 24-26'!I360</f>
        <v>10834428</v>
      </c>
      <c r="J495" s="1061" t="str">
        <f>'No Recurrentes 24-26'!J360</f>
        <v>ANILLO DIST. DIÁ.57/35 E=18,5 P. POLEA 420C GALV.+AMARILLO</v>
      </c>
      <c r="K495" s="451" t="str">
        <f>'No Recurrentes 24-26'!K360</f>
        <v>Pza</v>
      </c>
      <c r="L495" s="451">
        <f>'No Recurrentes 24-26'!BC360</f>
        <v>5</v>
      </c>
      <c r="M495" s="451">
        <f>'No Recurrentes 24-26'!BD360</f>
        <v>2</v>
      </c>
      <c r="N495" s="451">
        <f>'No Recurrentes 24-26'!BE360</f>
        <v>5</v>
      </c>
      <c r="O495" s="451" t="str">
        <f>'No Recurrentes 24-26'!BF360</f>
        <v/>
      </c>
      <c r="P495" s="451" t="str">
        <f>'No Recurrentes 24-26'!BG360</f>
        <v/>
      </c>
      <c r="Q495" s="451" t="str">
        <f>'No Recurrentes 24-26'!BH360</f>
        <v/>
      </c>
      <c r="R495" s="451" t="str">
        <f>'No Recurrentes 24-26'!BI360</f>
        <v/>
      </c>
      <c r="S495" s="451" t="str">
        <f>'No Recurrentes 24-26'!BJ360</f>
        <v/>
      </c>
      <c r="T495" s="451" t="str">
        <f>'No Recurrentes 24-26'!BK360</f>
        <v/>
      </c>
      <c r="U495" s="451" t="str">
        <f>'No Recurrentes 24-26'!BL360</f>
        <v/>
      </c>
      <c r="V495" s="1068"/>
      <c r="W495" s="1062">
        <f>'No Recurrentes 24-26'!BM360</f>
        <v>12</v>
      </c>
      <c r="X495" s="1062" t="str">
        <f>'No Recurrentes 24-26'!BN360</f>
        <v/>
      </c>
      <c r="Y495" s="1062" t="str">
        <f>'No Recurrentes 24-26'!BO360</f>
        <v/>
      </c>
      <c r="Z495" s="1062" t="str">
        <f>'No Recurrentes 24-26'!BP360</f>
        <v/>
      </c>
      <c r="AA495" s="1062" t="str">
        <f>'No Recurrentes 24-26'!BQ360</f>
        <v/>
      </c>
      <c r="AB495" s="1062" t="str">
        <f>'No Recurrentes 24-26'!BR360</f>
        <v/>
      </c>
      <c r="AC495" s="1062" t="str">
        <f>'No Recurrentes 24-26'!BS360</f>
        <v/>
      </c>
      <c r="AD495" s="1062" t="str">
        <f>'No Recurrentes 24-26'!BT360</f>
        <v/>
      </c>
      <c r="AE495" s="1062" t="str">
        <f>'No Recurrentes 24-26'!BU360</f>
        <v/>
      </c>
      <c r="AF495" s="1062" t="str">
        <f>'No Recurrentes 24-26'!BV360</f>
        <v/>
      </c>
      <c r="AG495" s="1062" t="str">
        <f>'No Recurrentes 24-26'!BW360</f>
        <v/>
      </c>
      <c r="AH495" s="1068"/>
      <c r="AI495" s="1062">
        <f>'No Recurrentes 24-26'!BX360</f>
        <v>0</v>
      </c>
      <c r="AJ495" s="1062">
        <f>'No Recurrentes 24-26'!BY360</f>
        <v>5</v>
      </c>
      <c r="AK495" s="1062">
        <f>'No Recurrentes 24-26'!BZ360</f>
        <v>2</v>
      </c>
      <c r="AL495" s="1062">
        <f>'No Recurrentes 24-26'!CA360</f>
        <v>5</v>
      </c>
      <c r="AM495" s="1062">
        <f>'No Recurrentes 24-26'!CB360</f>
        <v>0</v>
      </c>
      <c r="AN495" s="1062">
        <f>'No Recurrentes 24-26'!CC360</f>
        <v>0</v>
      </c>
      <c r="AO495" s="1062">
        <f>'No Recurrentes 24-26'!CD360</f>
        <v>0</v>
      </c>
      <c r="AP495" s="1062">
        <f>'No Recurrentes 24-26'!CE360</f>
        <v>0</v>
      </c>
      <c r="AQ495" s="1062">
        <f>'No Recurrentes 24-26'!CF360</f>
        <v>0</v>
      </c>
      <c r="AR495" s="1062">
        <f>'No Recurrentes 24-26'!CG360</f>
        <v>0</v>
      </c>
      <c r="AS495" s="1062">
        <f>'No Recurrentes 24-26'!CH360</f>
        <v>0</v>
      </c>
      <c r="AT495" s="1068"/>
      <c r="AU495" s="1062">
        <f>'No Recurrentes 24-26'!CI360</f>
        <v>12</v>
      </c>
      <c r="AV495" s="1062">
        <f>'No Recurrentes 24-26'!CJ360</f>
        <v>24</v>
      </c>
      <c r="AW495" s="1068"/>
      <c r="AX495" s="1065">
        <f>'No Recurrentes 24-26'!CK360</f>
        <v>14.31</v>
      </c>
      <c r="AY495" s="1062">
        <f>'No Recurrentes 24-26'!CL360</f>
        <v>99.5976</v>
      </c>
      <c r="AZ495" s="1068"/>
      <c r="BA495" s="1062">
        <f>'No Recurrentes 24-26'!CM360</f>
        <v>497.988</v>
      </c>
      <c r="BB495" s="1062">
        <f>'No Recurrentes 24-26'!CN360</f>
        <v>199.1952</v>
      </c>
      <c r="BC495" s="1062">
        <f>'No Recurrentes 24-26'!CO360</f>
        <v>497.988</v>
      </c>
      <c r="BD495" s="1062">
        <f>'No Recurrentes 24-26'!CP360</f>
        <v>0</v>
      </c>
      <c r="BE495" s="1062">
        <f>'No Recurrentes 24-26'!CQ360</f>
        <v>0</v>
      </c>
      <c r="BF495" s="1062">
        <f>'No Recurrentes 24-26'!CR360</f>
        <v>0</v>
      </c>
      <c r="BG495" s="1062">
        <f>'No Recurrentes 24-26'!CS360</f>
        <v>0</v>
      </c>
      <c r="BH495" s="1062">
        <f>'No Recurrentes 24-26'!CT360</f>
        <v>0</v>
      </c>
      <c r="BI495" s="1062">
        <f>'No Recurrentes 24-26'!CU360</f>
        <v>0</v>
      </c>
      <c r="BJ495" s="1062">
        <f>'No Recurrentes 24-26'!CV360</f>
        <v>0</v>
      </c>
      <c r="BK495" s="1068"/>
      <c r="BL495" s="1062">
        <f>'No Recurrentes 24-26'!CW360</f>
        <v>1195.1712</v>
      </c>
      <c r="BM495" s="1062">
        <f>'No Recurrentes 24-26'!CX360</f>
        <v>0</v>
      </c>
      <c r="BN495" s="1062">
        <f>'No Recurrentes 24-26'!CY360</f>
        <v>0</v>
      </c>
      <c r="BO495" s="1062">
        <f>'No Recurrentes 24-26'!CZ360</f>
        <v>0</v>
      </c>
      <c r="BP495" s="1062">
        <f>'No Recurrentes 24-26'!DA360</f>
        <v>0</v>
      </c>
      <c r="BQ495" s="1062">
        <f>'No Recurrentes 24-26'!DB360</f>
        <v>0</v>
      </c>
      <c r="BR495" s="1062">
        <f>'No Recurrentes 24-26'!DC360</f>
        <v>0</v>
      </c>
      <c r="BS495" s="1062">
        <f>'No Recurrentes 24-26'!DD360</f>
        <v>0</v>
      </c>
      <c r="BT495" s="1062">
        <f>'No Recurrentes 24-26'!DE360</f>
        <v>0</v>
      </c>
      <c r="BU495" s="1062">
        <f>'No Recurrentes 24-26'!DF360</f>
        <v>0</v>
      </c>
      <c r="BV495" s="1062">
        <f>'No Recurrentes 24-26'!DG360</f>
        <v>0</v>
      </c>
      <c r="BW495" s="1068"/>
      <c r="BX495" s="1062">
        <f>'No Recurrentes 24-26'!DH360</f>
        <v>0</v>
      </c>
      <c r="BY495" s="1062">
        <f>'No Recurrentes 24-26'!DI360</f>
        <v>497.988</v>
      </c>
      <c r="BZ495" s="1062">
        <f>'No Recurrentes 24-26'!DJ360</f>
        <v>199.1952</v>
      </c>
      <c r="CA495" s="1062">
        <f>'No Recurrentes 24-26'!DK360</f>
        <v>497.988</v>
      </c>
      <c r="CB495" s="1062">
        <f>'No Recurrentes 24-26'!DL360</f>
        <v>0</v>
      </c>
      <c r="CC495" s="1062">
        <f>'No Recurrentes 24-26'!DM360</f>
        <v>0</v>
      </c>
      <c r="CD495" s="1062">
        <f>'No Recurrentes 24-26'!DN360</f>
        <v>0</v>
      </c>
      <c r="CE495" s="1062">
        <f>'No Recurrentes 24-26'!DO360</f>
        <v>0</v>
      </c>
      <c r="CF495" s="1062">
        <f>'No Recurrentes 24-26'!DP360</f>
        <v>0</v>
      </c>
      <c r="CG495" s="1062">
        <f>'No Recurrentes 24-26'!DQ360</f>
        <v>0</v>
      </c>
      <c r="CH495" s="1062">
        <f>'No Recurrentes 24-26'!DR360</f>
        <v>0</v>
      </c>
      <c r="CI495" s="1068"/>
      <c r="CJ495" s="1062">
        <f>'No Recurrentes 24-26'!DS360</f>
        <v>1195.1712</v>
      </c>
      <c r="CK495" s="1062">
        <f>'No Recurrentes 24-26'!DT360</f>
        <v>2390.3424</v>
      </c>
      <c r="CL495" s="1064" t="str">
        <f>'No Recurrentes 24-26'!DU360</f>
        <v/>
      </c>
      <c r="CM495" s="1064" t="str">
        <f>'No Recurrentes 24-26'!DV360</f>
        <v/>
      </c>
      <c r="CN495" s="1065">
        <f>'No Recurrentes 24-26'!EI356</f>
        <v>47.38</v>
      </c>
      <c r="CO495" s="1065">
        <f>'No Recurrentes 24-26'!EJ356</f>
        <v>40.27</v>
      </c>
      <c r="CP495" s="1060" t="str">
        <f>'No Recurrentes 24-26'!EK356</f>
        <v/>
      </c>
    </row>
    <row r="496">
      <c r="A496" s="451" t="str">
        <f>'No Recurrentes 24-26'!A361</f>
        <v>Repuestos Electromecánicos no recurrentes</v>
      </c>
      <c r="B496" s="451">
        <f>'No Recurrentes 24-26'!B361</f>
        <v>2</v>
      </c>
      <c r="C496" s="451" t="str">
        <f>'No Recurrentes 24-26'!C361</f>
        <v>Torre</v>
      </c>
      <c r="D496" s="451" t="str">
        <f>'No Recurrentes 24-26'!D361</f>
        <v>Reacondionamiento y cambio de Poleas de torre</v>
      </c>
      <c r="E496" s="451" t="str">
        <f>'No Recurrentes 24-26'!E361</f>
        <v>Repuesto Mecánico</v>
      </c>
      <c r="F496" s="451" t="str">
        <f>'No Recurrentes 24-26'!F361</f>
        <v>TDB</v>
      </c>
      <c r="G496" s="1025" t="str">
        <f>'No Recurrentes 24-26'!G361</f>
        <v>39800</v>
      </c>
      <c r="H496" s="1061" t="str">
        <f>'No Recurrentes 24-26'!H361</f>
        <v>2-01-00674</v>
      </c>
      <c r="I496" s="1061" t="str">
        <f>'No Recurrentes 24-26'!I361</f>
        <v>11430348</v>
      </c>
      <c r="J496" s="1061" t="str">
        <f>'No Recurrentes 24-26'!J361</f>
        <v>TUBO DIST. DIÁ 35/25 L=140, TUBO DIST. P. POLEA 420C</v>
      </c>
      <c r="K496" s="451" t="str">
        <f>'No Recurrentes 24-26'!K361</f>
        <v>Pza</v>
      </c>
      <c r="L496" s="451" t="str">
        <f>'No Recurrentes 24-26'!BC361</f>
        <v/>
      </c>
      <c r="M496" s="451" t="str">
        <f>'No Recurrentes 24-26'!BD361</f>
        <v/>
      </c>
      <c r="N496" s="451" t="str">
        <f>'No Recurrentes 24-26'!BE361</f>
        <v/>
      </c>
      <c r="O496" s="451" t="str">
        <f>'No Recurrentes 24-26'!BF361</f>
        <v/>
      </c>
      <c r="P496" s="451" t="str">
        <f>'No Recurrentes 24-26'!BG361</f>
        <v/>
      </c>
      <c r="Q496" s="451" t="str">
        <f>'No Recurrentes 24-26'!BH361</f>
        <v/>
      </c>
      <c r="R496" s="451" t="str">
        <f>'No Recurrentes 24-26'!BI361</f>
        <v/>
      </c>
      <c r="S496" s="451" t="str">
        <f>'No Recurrentes 24-26'!BJ361</f>
        <v/>
      </c>
      <c r="T496" s="451" t="str">
        <f>'No Recurrentes 24-26'!BK361</f>
        <v/>
      </c>
      <c r="U496" s="451" t="str">
        <f>'No Recurrentes 24-26'!BL361</f>
        <v/>
      </c>
      <c r="V496" s="1068"/>
      <c r="W496" s="1062">
        <f>'No Recurrentes 24-26'!BM361</f>
        <v>0</v>
      </c>
      <c r="X496" s="1062">
        <f>'No Recurrentes 24-26'!BN361</f>
        <v>5</v>
      </c>
      <c r="Y496" s="1062">
        <f>'No Recurrentes 24-26'!BO361</f>
        <v>10</v>
      </c>
      <c r="Z496" s="1062">
        <f>'No Recurrentes 24-26'!BP361</f>
        <v>5</v>
      </c>
      <c r="AA496" s="1062" t="str">
        <f>'No Recurrentes 24-26'!BQ361</f>
        <v/>
      </c>
      <c r="AB496" s="1062" t="str">
        <f>'No Recurrentes 24-26'!BR361</f>
        <v/>
      </c>
      <c r="AC496" s="1062" t="str">
        <f>'No Recurrentes 24-26'!BS361</f>
        <v/>
      </c>
      <c r="AD496" s="1062" t="str">
        <f>'No Recurrentes 24-26'!BT361</f>
        <v/>
      </c>
      <c r="AE496" s="1062" t="str">
        <f>'No Recurrentes 24-26'!BU361</f>
        <v/>
      </c>
      <c r="AF496" s="1062" t="str">
        <f>'No Recurrentes 24-26'!BV361</f>
        <v/>
      </c>
      <c r="AG496" s="1062" t="str">
        <f>'No Recurrentes 24-26'!BW361</f>
        <v/>
      </c>
      <c r="AH496" s="1068"/>
      <c r="AI496" s="1062">
        <f>'No Recurrentes 24-26'!BX361</f>
        <v>20</v>
      </c>
      <c r="AJ496" s="1062" t="str">
        <f>'No Recurrentes 24-26'!BY361</f>
        <v/>
      </c>
      <c r="AK496" s="1062" t="str">
        <f>'No Recurrentes 24-26'!BZ361</f>
        <v/>
      </c>
      <c r="AL496" s="1062" t="str">
        <f>'No Recurrentes 24-26'!CA361</f>
        <v/>
      </c>
      <c r="AM496" s="1062">
        <f>'No Recurrentes 24-26'!CB361</f>
        <v>0</v>
      </c>
      <c r="AN496" s="1062">
        <f>'No Recurrentes 24-26'!CC361</f>
        <v>0</v>
      </c>
      <c r="AO496" s="1062">
        <f>'No Recurrentes 24-26'!CD361</f>
        <v>0</v>
      </c>
      <c r="AP496" s="1062">
        <f>'No Recurrentes 24-26'!CE361</f>
        <v>0</v>
      </c>
      <c r="AQ496" s="1062">
        <f>'No Recurrentes 24-26'!CF361</f>
        <v>0</v>
      </c>
      <c r="AR496" s="1062">
        <f>'No Recurrentes 24-26'!CG361</f>
        <v>0</v>
      </c>
      <c r="AS496" s="1062">
        <f>'No Recurrentes 24-26'!CH361</f>
        <v>0</v>
      </c>
      <c r="AT496" s="1068"/>
      <c r="AU496" s="1062">
        <f>'No Recurrentes 24-26'!CI361</f>
        <v>0</v>
      </c>
      <c r="AV496" s="1063">
        <f>'No Recurrentes 24-26'!CJ361</f>
        <v>20</v>
      </c>
      <c r="AW496" s="1068"/>
      <c r="AX496" s="1065">
        <f>'No Recurrentes 24-26'!CK361</f>
        <v>50.92</v>
      </c>
      <c r="AY496" s="1062">
        <f>'No Recurrentes 24-26'!CL361</f>
        <v>354.4032</v>
      </c>
      <c r="AZ496" s="1068"/>
      <c r="BA496" s="1062">
        <f>'No Recurrentes 24-26'!CM361</f>
        <v>0</v>
      </c>
      <c r="BB496" s="1062">
        <f>'No Recurrentes 24-26'!CN361</f>
        <v>0</v>
      </c>
      <c r="BC496" s="1062">
        <f>'No Recurrentes 24-26'!CO361</f>
        <v>0</v>
      </c>
      <c r="BD496" s="1062">
        <f>'No Recurrentes 24-26'!CP361</f>
        <v>0</v>
      </c>
      <c r="BE496" s="1062">
        <f>'No Recurrentes 24-26'!CQ361</f>
        <v>0</v>
      </c>
      <c r="BF496" s="1062">
        <f>'No Recurrentes 24-26'!CR361</f>
        <v>0</v>
      </c>
      <c r="BG496" s="1062">
        <f>'No Recurrentes 24-26'!CS361</f>
        <v>0</v>
      </c>
      <c r="BH496" s="1062">
        <f>'No Recurrentes 24-26'!CT361</f>
        <v>0</v>
      </c>
      <c r="BI496" s="1062">
        <f>'No Recurrentes 24-26'!CU361</f>
        <v>0</v>
      </c>
      <c r="BJ496" s="1062">
        <f>'No Recurrentes 24-26'!CV361</f>
        <v>0</v>
      </c>
      <c r="BK496" s="1068"/>
      <c r="BL496" s="1062">
        <f>'No Recurrentes 24-26'!CW361</f>
        <v>0</v>
      </c>
      <c r="BM496" s="1062">
        <f>'No Recurrentes 24-26'!CX361</f>
        <v>1772.016</v>
      </c>
      <c r="BN496" s="1062">
        <f>'No Recurrentes 24-26'!CY361</f>
        <v>3544.032</v>
      </c>
      <c r="BO496" s="1062">
        <f>'No Recurrentes 24-26'!CZ361</f>
        <v>1772.016</v>
      </c>
      <c r="BP496" s="1062">
        <f>'No Recurrentes 24-26'!DA361</f>
        <v>0</v>
      </c>
      <c r="BQ496" s="1062">
        <f>'No Recurrentes 24-26'!DB361</f>
        <v>0</v>
      </c>
      <c r="BR496" s="1062">
        <f>'No Recurrentes 24-26'!DC361</f>
        <v>0</v>
      </c>
      <c r="BS496" s="1062">
        <f>'No Recurrentes 24-26'!DD361</f>
        <v>0</v>
      </c>
      <c r="BT496" s="1062">
        <f>'No Recurrentes 24-26'!DE361</f>
        <v>0</v>
      </c>
      <c r="BU496" s="1062">
        <f>'No Recurrentes 24-26'!DF361</f>
        <v>0</v>
      </c>
      <c r="BV496" s="1062">
        <f>'No Recurrentes 24-26'!DG361</f>
        <v>0</v>
      </c>
      <c r="BW496" s="1068"/>
      <c r="BX496" s="1062">
        <f>'No Recurrentes 24-26'!DH361</f>
        <v>7088.064</v>
      </c>
      <c r="BY496" s="1062">
        <f>'No Recurrentes 24-26'!DI361</f>
        <v>0</v>
      </c>
      <c r="BZ496" s="1062">
        <f>'No Recurrentes 24-26'!DJ361</f>
        <v>0</v>
      </c>
      <c r="CA496" s="1062">
        <f>'No Recurrentes 24-26'!DK361</f>
        <v>0</v>
      </c>
      <c r="CB496" s="1062">
        <f>'No Recurrentes 24-26'!DL361</f>
        <v>0</v>
      </c>
      <c r="CC496" s="1062">
        <f>'No Recurrentes 24-26'!DM361</f>
        <v>0</v>
      </c>
      <c r="CD496" s="1062">
        <f>'No Recurrentes 24-26'!DN361</f>
        <v>0</v>
      </c>
      <c r="CE496" s="1062">
        <f>'No Recurrentes 24-26'!DO361</f>
        <v>0</v>
      </c>
      <c r="CF496" s="1062">
        <f>'No Recurrentes 24-26'!DP361</f>
        <v>0</v>
      </c>
      <c r="CG496" s="1062">
        <f>'No Recurrentes 24-26'!DQ361</f>
        <v>0</v>
      </c>
      <c r="CH496" s="1062">
        <f>'No Recurrentes 24-26'!DR361</f>
        <v>0</v>
      </c>
      <c r="CI496" s="1068"/>
      <c r="CJ496" s="1062">
        <f>'No Recurrentes 24-26'!DS361</f>
        <v>0</v>
      </c>
      <c r="CK496" s="1062">
        <f>'No Recurrentes 24-26'!DT361</f>
        <v>7088.064</v>
      </c>
      <c r="CL496" s="1064" t="str">
        <f>'No Recurrentes 24-26'!DU361</f>
        <v/>
      </c>
      <c r="CM496" s="1064" t="str">
        <f>'No Recurrentes 24-26'!DV361</f>
        <v/>
      </c>
      <c r="CN496" s="1065">
        <f>'No Recurrentes 24-26'!EI357</f>
        <v>38.57</v>
      </c>
      <c r="CO496" s="1065">
        <f>'No Recurrentes 24-26'!EJ357</f>
        <v>32.78</v>
      </c>
      <c r="CP496" s="1060" t="str">
        <f>'No Recurrentes 24-26'!EK357</f>
        <v/>
      </c>
    </row>
    <row r="497">
      <c r="A497" s="451" t="str">
        <f>'No Recurrentes 24-26'!A362</f>
        <v>Repuestos Electromecánicos no recurrentes</v>
      </c>
      <c r="B497" s="451">
        <f>'No Recurrentes 24-26'!B362</f>
        <v>2</v>
      </c>
      <c r="C497" s="451" t="str">
        <f>'No Recurrentes 24-26'!C362</f>
        <v>Torre</v>
      </c>
      <c r="D497" s="451" t="str">
        <f>'No Recurrentes 24-26'!D362</f>
        <v>Reacondionamiento y cambio de Poleas de torre</v>
      </c>
      <c r="E497" s="451" t="str">
        <f>'No Recurrentes 24-26'!E362</f>
        <v>Repuesto Mecánico</v>
      </c>
      <c r="F497" s="451" t="str">
        <f>'No Recurrentes 24-26'!F362</f>
        <v>TDB</v>
      </c>
      <c r="G497" s="1025" t="str">
        <f>'No Recurrentes 24-26'!G362</f>
        <v>39800</v>
      </c>
      <c r="H497" s="1061" t="str">
        <f>'No Recurrentes 24-26'!H362</f>
        <v>2-01-00036</v>
      </c>
      <c r="I497" s="1061" t="str">
        <f>'No Recurrentes 24-26'!I362</f>
        <v>10000409</v>
      </c>
      <c r="J497" s="1061" t="str">
        <f>'No Recurrentes 24-26'!J362</f>
        <v>CIRCLIP INTER.  DIN 472 110X4  FOSFAT.</v>
      </c>
      <c r="K497" s="451" t="str">
        <f>'No Recurrentes 24-26'!K362</f>
        <v>Pza</v>
      </c>
      <c r="L497" s="451">
        <f>'No Recurrentes 24-26'!BC362</f>
        <v>5</v>
      </c>
      <c r="M497" s="451">
        <f>'No Recurrentes 24-26'!BD362</f>
        <v>2</v>
      </c>
      <c r="N497" s="451">
        <f>'No Recurrentes 24-26'!BE362</f>
        <v>5</v>
      </c>
      <c r="O497" s="451" t="str">
        <f>'No Recurrentes 24-26'!BF362</f>
        <v/>
      </c>
      <c r="P497" s="451" t="str">
        <f>'No Recurrentes 24-26'!BG362</f>
        <v/>
      </c>
      <c r="Q497" s="451" t="str">
        <f>'No Recurrentes 24-26'!BH362</f>
        <v/>
      </c>
      <c r="R497" s="451" t="str">
        <f>'No Recurrentes 24-26'!BI362</f>
        <v/>
      </c>
      <c r="S497" s="451" t="str">
        <f>'No Recurrentes 24-26'!BJ362</f>
        <v/>
      </c>
      <c r="T497" s="451" t="str">
        <f>'No Recurrentes 24-26'!BK362</f>
        <v/>
      </c>
      <c r="U497" s="451" t="str">
        <f>'No Recurrentes 24-26'!BL362</f>
        <v/>
      </c>
      <c r="V497" s="1068"/>
      <c r="W497" s="1062">
        <f>'No Recurrentes 24-26'!BM362</f>
        <v>12</v>
      </c>
      <c r="X497" s="1062" t="str">
        <f>'No Recurrentes 24-26'!BN362</f>
        <v/>
      </c>
      <c r="Y497" s="1062" t="str">
        <f>'No Recurrentes 24-26'!BO362</f>
        <v/>
      </c>
      <c r="Z497" s="1062" t="str">
        <f>'No Recurrentes 24-26'!BP362</f>
        <v/>
      </c>
      <c r="AA497" s="1062" t="str">
        <f>'No Recurrentes 24-26'!BQ362</f>
        <v/>
      </c>
      <c r="AB497" s="1062" t="str">
        <f>'No Recurrentes 24-26'!BR362</f>
        <v/>
      </c>
      <c r="AC497" s="1062" t="str">
        <f>'No Recurrentes 24-26'!BS362</f>
        <v/>
      </c>
      <c r="AD497" s="1062" t="str">
        <f>'No Recurrentes 24-26'!BT362</f>
        <v/>
      </c>
      <c r="AE497" s="1062" t="str">
        <f>'No Recurrentes 24-26'!BU362</f>
        <v/>
      </c>
      <c r="AF497" s="1062" t="str">
        <f>'No Recurrentes 24-26'!BV362</f>
        <v/>
      </c>
      <c r="AG497" s="1062" t="str">
        <f>'No Recurrentes 24-26'!BW362</f>
        <v/>
      </c>
      <c r="AH497" s="1068"/>
      <c r="AI497" s="1062">
        <f>'No Recurrentes 24-26'!BX362</f>
        <v>0</v>
      </c>
      <c r="AJ497" s="1062">
        <f>'No Recurrentes 24-26'!BY362</f>
        <v>5</v>
      </c>
      <c r="AK497" s="1062">
        <f>'No Recurrentes 24-26'!BZ362</f>
        <v>2</v>
      </c>
      <c r="AL497" s="1062">
        <f>'No Recurrentes 24-26'!CA362</f>
        <v>5</v>
      </c>
      <c r="AM497" s="1062">
        <f>'No Recurrentes 24-26'!CB362</f>
        <v>0</v>
      </c>
      <c r="AN497" s="1062">
        <f>'No Recurrentes 24-26'!CC362</f>
        <v>0</v>
      </c>
      <c r="AO497" s="1062">
        <f>'No Recurrentes 24-26'!CD362</f>
        <v>0</v>
      </c>
      <c r="AP497" s="1062">
        <f>'No Recurrentes 24-26'!CE362</f>
        <v>0</v>
      </c>
      <c r="AQ497" s="1062">
        <f>'No Recurrentes 24-26'!CF362</f>
        <v>0</v>
      </c>
      <c r="AR497" s="1062">
        <f>'No Recurrentes 24-26'!CG362</f>
        <v>0</v>
      </c>
      <c r="AS497" s="1062">
        <f>'No Recurrentes 24-26'!CH362</f>
        <v>0</v>
      </c>
      <c r="AT497" s="1068"/>
      <c r="AU497" s="1062">
        <f>'No Recurrentes 24-26'!CI362</f>
        <v>12</v>
      </c>
      <c r="AV497" s="1063">
        <f>'No Recurrentes 24-26'!CJ362</f>
        <v>24</v>
      </c>
      <c r="AW497" s="1068"/>
      <c r="AX497" s="1065">
        <f>'No Recurrentes 24-26'!CK362</f>
        <v>4.73</v>
      </c>
      <c r="AY497" s="1062">
        <f>'No Recurrentes 24-26'!CL362</f>
        <v>32.9208</v>
      </c>
      <c r="AZ497" s="1068"/>
      <c r="BA497" s="1062">
        <f>'No Recurrentes 24-26'!CM362</f>
        <v>164.604</v>
      </c>
      <c r="BB497" s="1062">
        <f>'No Recurrentes 24-26'!CN362</f>
        <v>65.8416</v>
      </c>
      <c r="BC497" s="1062">
        <f>'No Recurrentes 24-26'!CO362</f>
        <v>164.604</v>
      </c>
      <c r="BD497" s="1062">
        <f>'No Recurrentes 24-26'!CP362</f>
        <v>0</v>
      </c>
      <c r="BE497" s="1062">
        <f>'No Recurrentes 24-26'!CQ362</f>
        <v>0</v>
      </c>
      <c r="BF497" s="1062">
        <f>'No Recurrentes 24-26'!CR362</f>
        <v>0</v>
      </c>
      <c r="BG497" s="1062">
        <f>'No Recurrentes 24-26'!CS362</f>
        <v>0</v>
      </c>
      <c r="BH497" s="1062">
        <f>'No Recurrentes 24-26'!CT362</f>
        <v>0</v>
      </c>
      <c r="BI497" s="1062">
        <f>'No Recurrentes 24-26'!CU362</f>
        <v>0</v>
      </c>
      <c r="BJ497" s="1062">
        <f>'No Recurrentes 24-26'!CV362</f>
        <v>0</v>
      </c>
      <c r="BK497" s="1068"/>
      <c r="BL497" s="1062">
        <f>'No Recurrentes 24-26'!CW362</f>
        <v>395.0496</v>
      </c>
      <c r="BM497" s="1062">
        <f>'No Recurrentes 24-26'!CX362</f>
        <v>0</v>
      </c>
      <c r="BN497" s="1062">
        <f>'No Recurrentes 24-26'!CY362</f>
        <v>0</v>
      </c>
      <c r="BO497" s="1062">
        <f>'No Recurrentes 24-26'!CZ362</f>
        <v>0</v>
      </c>
      <c r="BP497" s="1062">
        <f>'No Recurrentes 24-26'!DA362</f>
        <v>0</v>
      </c>
      <c r="BQ497" s="1062">
        <f>'No Recurrentes 24-26'!DB362</f>
        <v>0</v>
      </c>
      <c r="BR497" s="1062">
        <f>'No Recurrentes 24-26'!DC362</f>
        <v>0</v>
      </c>
      <c r="BS497" s="1062">
        <f>'No Recurrentes 24-26'!DD362</f>
        <v>0</v>
      </c>
      <c r="BT497" s="1062">
        <f>'No Recurrentes 24-26'!DE362</f>
        <v>0</v>
      </c>
      <c r="BU497" s="1062">
        <f>'No Recurrentes 24-26'!DF362</f>
        <v>0</v>
      </c>
      <c r="BV497" s="1062">
        <f>'No Recurrentes 24-26'!DG362</f>
        <v>0</v>
      </c>
      <c r="BW497" s="1068"/>
      <c r="BX497" s="1062">
        <f>'No Recurrentes 24-26'!DH362</f>
        <v>0</v>
      </c>
      <c r="BY497" s="1062">
        <f>'No Recurrentes 24-26'!DI362</f>
        <v>164.604</v>
      </c>
      <c r="BZ497" s="1062">
        <f>'No Recurrentes 24-26'!DJ362</f>
        <v>65.8416</v>
      </c>
      <c r="CA497" s="1062">
        <f>'No Recurrentes 24-26'!DK362</f>
        <v>164.604</v>
      </c>
      <c r="CB497" s="1062">
        <f>'No Recurrentes 24-26'!DL362</f>
        <v>0</v>
      </c>
      <c r="CC497" s="1062">
        <f>'No Recurrentes 24-26'!DM362</f>
        <v>0</v>
      </c>
      <c r="CD497" s="1062">
        <f>'No Recurrentes 24-26'!DN362</f>
        <v>0</v>
      </c>
      <c r="CE497" s="1062">
        <f>'No Recurrentes 24-26'!DO362</f>
        <v>0</v>
      </c>
      <c r="CF497" s="1062">
        <f>'No Recurrentes 24-26'!DP362</f>
        <v>0</v>
      </c>
      <c r="CG497" s="1062">
        <f>'No Recurrentes 24-26'!DQ362</f>
        <v>0</v>
      </c>
      <c r="CH497" s="1062">
        <f>'No Recurrentes 24-26'!DR362</f>
        <v>0</v>
      </c>
      <c r="CI497" s="1068"/>
      <c r="CJ497" s="1062">
        <f>'No Recurrentes 24-26'!DS362</f>
        <v>395.0496</v>
      </c>
      <c r="CK497" s="1062">
        <f>'No Recurrentes 24-26'!DT362</f>
        <v>790.0992</v>
      </c>
      <c r="CL497" s="1064" t="str">
        <f>'No Recurrentes 24-26'!DU362</f>
        <v/>
      </c>
      <c r="CM497" s="1064" t="str">
        <f>'No Recurrentes 24-26'!DV362</f>
        <v/>
      </c>
      <c r="CN497" s="1065">
        <f>'No Recurrentes 24-26'!EI358</f>
        <v>17.88</v>
      </c>
      <c r="CO497" s="1065">
        <f>'No Recurrentes 24-26'!EJ358</f>
        <v>15.2</v>
      </c>
      <c r="CP497" s="1060" t="str">
        <f>'No Recurrentes 24-26'!EK358</f>
        <v/>
      </c>
    </row>
    <row r="498">
      <c r="A498" s="451" t="str">
        <f>'No Recurrentes 24-26'!A363</f>
        <v>Repuestos Electromecánicos no recurrentes</v>
      </c>
      <c r="B498" s="451">
        <f>'No Recurrentes 24-26'!B363</f>
        <v>2</v>
      </c>
      <c r="C498" s="451" t="str">
        <f>'No Recurrentes 24-26'!C363</f>
        <v>Torre</v>
      </c>
      <c r="D498" s="451" t="str">
        <f>'No Recurrentes 24-26'!D363</f>
        <v>Reacondionamiento y cambio de Poleas de torre</v>
      </c>
      <c r="E498" s="451" t="str">
        <f>'No Recurrentes 24-26'!E363</f>
        <v>Repuesto Mecánico</v>
      </c>
      <c r="F498" s="451" t="str">
        <f>'No Recurrentes 24-26'!F363</f>
        <v>TDB</v>
      </c>
      <c r="G498" s="1025" t="str">
        <f>'No Recurrentes 24-26'!G363</f>
        <v>39800</v>
      </c>
      <c r="H498" s="1061" t="str">
        <f>'No Recurrentes 24-26'!H363</f>
        <v>2-01-00430</v>
      </c>
      <c r="I498" s="1061" t="str">
        <f>'No Recurrentes 24-26'!I363</f>
        <v>10149393</v>
      </c>
      <c r="J498" s="1061" t="str">
        <f>'No Recurrentes 24-26'!J363</f>
        <v>ANILLO ELÁSTICO  323,8X 6,0    CON RECUBRIMIENTO DELTA-TONE</v>
      </c>
      <c r="K498" s="451" t="str">
        <f>'No Recurrentes 24-26'!K363</f>
        <v>Pza</v>
      </c>
      <c r="L498" s="451" t="str">
        <f>'No Recurrentes 24-26'!BC363</f>
        <v/>
      </c>
      <c r="M498" s="451" t="str">
        <f>'No Recurrentes 24-26'!BD363</f>
        <v/>
      </c>
      <c r="N498" s="451" t="str">
        <f>'No Recurrentes 24-26'!BE363</f>
        <v/>
      </c>
      <c r="O498" s="451" t="str">
        <f>'No Recurrentes 24-26'!BF363</f>
        <v/>
      </c>
      <c r="P498" s="451" t="str">
        <f>'No Recurrentes 24-26'!BG363</f>
        <v/>
      </c>
      <c r="Q498" s="451" t="str">
        <f>'No Recurrentes 24-26'!BH363</f>
        <v/>
      </c>
      <c r="R498" s="451">
        <f>'No Recurrentes 24-26'!BI363</f>
        <v>2</v>
      </c>
      <c r="S498" s="451" t="str">
        <f>'No Recurrentes 24-26'!BJ363</f>
        <v/>
      </c>
      <c r="T498" s="451" t="str">
        <f>'No Recurrentes 24-26'!BK363</f>
        <v/>
      </c>
      <c r="U498" s="451" t="str">
        <f>'No Recurrentes 24-26'!BL363</f>
        <v/>
      </c>
      <c r="V498" s="1068"/>
      <c r="W498" s="1062">
        <f>'No Recurrentes 24-26'!BM363</f>
        <v>2</v>
      </c>
      <c r="X498" s="1062" t="str">
        <f>'No Recurrentes 24-26'!BN363</f>
        <v/>
      </c>
      <c r="Y498" s="1062" t="str">
        <f>'No Recurrentes 24-26'!BO363</f>
        <v/>
      </c>
      <c r="Z498" s="1062" t="str">
        <f>'No Recurrentes 24-26'!BP363</f>
        <v/>
      </c>
      <c r="AA498" s="1062" t="str">
        <f>'No Recurrentes 24-26'!BQ363</f>
        <v/>
      </c>
      <c r="AB498" s="1062" t="str">
        <f>'No Recurrentes 24-26'!BR363</f>
        <v/>
      </c>
      <c r="AC498" s="1062" t="str">
        <f>'No Recurrentes 24-26'!BS363</f>
        <v/>
      </c>
      <c r="AD498" s="1062" t="str">
        <f>'No Recurrentes 24-26'!BT363</f>
        <v/>
      </c>
      <c r="AE498" s="1062" t="str">
        <f>'No Recurrentes 24-26'!BU363</f>
        <v/>
      </c>
      <c r="AF498" s="1062" t="str">
        <f>'No Recurrentes 24-26'!BV363</f>
        <v/>
      </c>
      <c r="AG498" s="1062" t="str">
        <f>'No Recurrentes 24-26'!BW363</f>
        <v/>
      </c>
      <c r="AH498" s="1068"/>
      <c r="AI498" s="1062">
        <f>'No Recurrentes 24-26'!BX363</f>
        <v>0</v>
      </c>
      <c r="AJ498" s="1062">
        <f>'No Recurrentes 24-26'!BY363</f>
        <v>0</v>
      </c>
      <c r="AK498" s="1062">
        <f>'No Recurrentes 24-26'!BZ363</f>
        <v>0</v>
      </c>
      <c r="AL498" s="1062">
        <f>'No Recurrentes 24-26'!CA363</f>
        <v>0</v>
      </c>
      <c r="AM498" s="1062">
        <f>'No Recurrentes 24-26'!CB363</f>
        <v>0</v>
      </c>
      <c r="AN498" s="1062">
        <f>'No Recurrentes 24-26'!CC363</f>
        <v>0</v>
      </c>
      <c r="AO498" s="1062">
        <f>'No Recurrentes 24-26'!CD363</f>
        <v>0</v>
      </c>
      <c r="AP498" s="1062">
        <f>'No Recurrentes 24-26'!CE363</f>
        <v>0</v>
      </c>
      <c r="AQ498" s="1062">
        <f>'No Recurrentes 24-26'!CF363</f>
        <v>0</v>
      </c>
      <c r="AR498" s="1062">
        <f>'No Recurrentes 24-26'!CG363</f>
        <v>0</v>
      </c>
      <c r="AS498" s="1062">
        <f>'No Recurrentes 24-26'!CH363</f>
        <v>0</v>
      </c>
      <c r="AT498" s="1068"/>
      <c r="AU498" s="1062">
        <f>'No Recurrentes 24-26'!CI363</f>
        <v>0</v>
      </c>
      <c r="AV498" s="1062">
        <f>'No Recurrentes 24-26'!CJ363</f>
        <v>2</v>
      </c>
      <c r="AW498" s="1068"/>
      <c r="AX498" s="1065">
        <f>'No Recurrentes 24-26'!CK363</f>
        <v>12.34</v>
      </c>
      <c r="AY498" s="1062">
        <f>'No Recurrentes 24-26'!CL363</f>
        <v>85.8864</v>
      </c>
      <c r="AZ498" s="1068"/>
      <c r="BA498" s="1062">
        <f>'No Recurrentes 24-26'!CM363</f>
        <v>0</v>
      </c>
      <c r="BB498" s="1062">
        <f>'No Recurrentes 24-26'!CN363</f>
        <v>0</v>
      </c>
      <c r="BC498" s="1062">
        <f>'No Recurrentes 24-26'!CO363</f>
        <v>0</v>
      </c>
      <c r="BD498" s="1062">
        <f>'No Recurrentes 24-26'!CP363</f>
        <v>0</v>
      </c>
      <c r="BE498" s="1062">
        <f>'No Recurrentes 24-26'!CQ363</f>
        <v>0</v>
      </c>
      <c r="BF498" s="1062">
        <f>'No Recurrentes 24-26'!CR363</f>
        <v>0</v>
      </c>
      <c r="BG498" s="1062">
        <f>'No Recurrentes 24-26'!CS363</f>
        <v>171.7728</v>
      </c>
      <c r="BH498" s="1062">
        <f>'No Recurrentes 24-26'!CT363</f>
        <v>0</v>
      </c>
      <c r="BI498" s="1062">
        <f>'No Recurrentes 24-26'!CU363</f>
        <v>0</v>
      </c>
      <c r="BJ498" s="1062">
        <f>'No Recurrentes 24-26'!CV363</f>
        <v>0</v>
      </c>
      <c r="BK498" s="1068"/>
      <c r="BL498" s="1062">
        <f>'No Recurrentes 24-26'!CW363</f>
        <v>171.7728</v>
      </c>
      <c r="BM498" s="1062">
        <f>'No Recurrentes 24-26'!CX363</f>
        <v>0</v>
      </c>
      <c r="BN498" s="1062">
        <f>'No Recurrentes 24-26'!CY363</f>
        <v>0</v>
      </c>
      <c r="BO498" s="1062">
        <f>'No Recurrentes 24-26'!CZ363</f>
        <v>0</v>
      </c>
      <c r="BP498" s="1062">
        <f>'No Recurrentes 24-26'!DA363</f>
        <v>0</v>
      </c>
      <c r="BQ498" s="1062">
        <f>'No Recurrentes 24-26'!DB363</f>
        <v>0</v>
      </c>
      <c r="BR498" s="1062">
        <f>'No Recurrentes 24-26'!DC363</f>
        <v>0</v>
      </c>
      <c r="BS498" s="1062">
        <f>'No Recurrentes 24-26'!DD363</f>
        <v>0</v>
      </c>
      <c r="BT498" s="1062">
        <f>'No Recurrentes 24-26'!DE363</f>
        <v>0</v>
      </c>
      <c r="BU498" s="1062">
        <f>'No Recurrentes 24-26'!DF363</f>
        <v>0</v>
      </c>
      <c r="BV498" s="1062">
        <f>'No Recurrentes 24-26'!DG363</f>
        <v>0</v>
      </c>
      <c r="BW498" s="1068"/>
      <c r="BX498" s="1062">
        <f>'No Recurrentes 24-26'!DH363</f>
        <v>0</v>
      </c>
      <c r="BY498" s="1062">
        <f>'No Recurrentes 24-26'!DI363</f>
        <v>0</v>
      </c>
      <c r="BZ498" s="1062">
        <f>'No Recurrentes 24-26'!DJ363</f>
        <v>0</v>
      </c>
      <c r="CA498" s="1062">
        <f>'No Recurrentes 24-26'!DK363</f>
        <v>0</v>
      </c>
      <c r="CB498" s="1062">
        <f>'No Recurrentes 24-26'!DL363</f>
        <v>0</v>
      </c>
      <c r="CC498" s="1062">
        <f>'No Recurrentes 24-26'!DM363</f>
        <v>0</v>
      </c>
      <c r="CD498" s="1062">
        <f>'No Recurrentes 24-26'!DN363</f>
        <v>0</v>
      </c>
      <c r="CE498" s="1062">
        <f>'No Recurrentes 24-26'!DO363</f>
        <v>0</v>
      </c>
      <c r="CF498" s="1062">
        <f>'No Recurrentes 24-26'!DP363</f>
        <v>0</v>
      </c>
      <c r="CG498" s="1062">
        <f>'No Recurrentes 24-26'!DQ363</f>
        <v>0</v>
      </c>
      <c r="CH498" s="1062">
        <f>'No Recurrentes 24-26'!DR363</f>
        <v>0</v>
      </c>
      <c r="CI498" s="1068"/>
      <c r="CJ498" s="1062">
        <f>'No Recurrentes 24-26'!DS363</f>
        <v>0</v>
      </c>
      <c r="CK498" s="1062">
        <f>'No Recurrentes 24-26'!DT363</f>
        <v>171.7728</v>
      </c>
      <c r="CL498" s="1064" t="str">
        <f>'No Recurrentes 24-26'!DU363</f>
        <v/>
      </c>
      <c r="CM498" s="1064" t="str">
        <f>'No Recurrentes 24-26'!DV363</f>
        <v/>
      </c>
      <c r="CN498" s="1065">
        <f>'No Recurrentes 24-26'!EI359</f>
        <v>1.61</v>
      </c>
      <c r="CO498" s="1065">
        <f>'No Recurrentes 24-26'!EJ359</f>
        <v>1.37</v>
      </c>
      <c r="CP498" s="1060" t="str">
        <f>'No Recurrentes 24-26'!EK359</f>
        <v/>
      </c>
    </row>
    <row r="499">
      <c r="A499" s="451" t="str">
        <f>'No Recurrentes 24-26'!A364</f>
        <v>Repuestos Electromecánicos no recurrentes</v>
      </c>
      <c r="B499" s="451">
        <f>'No Recurrentes 24-26'!B364</f>
        <v>2</v>
      </c>
      <c r="C499" s="451" t="str">
        <f>'No Recurrentes 24-26'!C364</f>
        <v>Torre</v>
      </c>
      <c r="D499" s="451" t="str">
        <f>'No Recurrentes 24-26'!D364</f>
        <v>Reacondionamiento y cambio de Poleas de torre</v>
      </c>
      <c r="E499" s="451" t="str">
        <f>'No Recurrentes 24-26'!E364</f>
        <v>Repuesto Mecánico</v>
      </c>
      <c r="F499" s="451" t="str">
        <f>'No Recurrentes 24-26'!F364</f>
        <v>TDB</v>
      </c>
      <c r="G499" s="1025" t="str">
        <f>'No Recurrentes 24-26'!G364</f>
        <v>39800</v>
      </c>
      <c r="H499" s="1061" t="str">
        <f>'No Recurrentes 24-26'!H364</f>
        <v>2-01-00428</v>
      </c>
      <c r="I499" s="1061" t="str">
        <f>'No Recurrentes 24-26'!I364</f>
        <v>10096799</v>
      </c>
      <c r="J499" s="1061" t="str">
        <f>'No Recurrentes 24-26'!J364</f>
        <v>ANILLO ELÁSTICO  393,5X 6,3    CON RECUBRIMIENTO DELTA-TONE</v>
      </c>
      <c r="K499" s="451" t="str">
        <f>'No Recurrentes 24-26'!K364</f>
        <v>Pza</v>
      </c>
      <c r="L499" s="451" t="str">
        <f>'No Recurrentes 24-26'!BC364</f>
        <v/>
      </c>
      <c r="M499" s="451" t="str">
        <f>'No Recurrentes 24-26'!BD364</f>
        <v/>
      </c>
      <c r="N499" s="451" t="str">
        <f>'No Recurrentes 24-26'!BE364</f>
        <v/>
      </c>
      <c r="O499" s="451" t="str">
        <f>'No Recurrentes 24-26'!BF364</f>
        <v/>
      </c>
      <c r="P499" s="451" t="str">
        <f>'No Recurrentes 24-26'!BG364</f>
        <v/>
      </c>
      <c r="Q499" s="451" t="str">
        <f>'No Recurrentes 24-26'!BH364</f>
        <v/>
      </c>
      <c r="R499" s="451">
        <f>'No Recurrentes 24-26'!BI364</f>
        <v>1</v>
      </c>
      <c r="S499" s="451" t="str">
        <f>'No Recurrentes 24-26'!BJ364</f>
        <v/>
      </c>
      <c r="T499" s="451" t="str">
        <f>'No Recurrentes 24-26'!BK364</f>
        <v/>
      </c>
      <c r="U499" s="451" t="str">
        <f>'No Recurrentes 24-26'!BL364</f>
        <v/>
      </c>
      <c r="V499" s="1068"/>
      <c r="W499" s="1062">
        <f>'No Recurrentes 24-26'!BM364</f>
        <v>1</v>
      </c>
      <c r="X499" s="1062" t="str">
        <f>'No Recurrentes 24-26'!BN364</f>
        <v/>
      </c>
      <c r="Y499" s="1062" t="str">
        <f>'No Recurrentes 24-26'!BO364</f>
        <v/>
      </c>
      <c r="Z499" s="1062" t="str">
        <f>'No Recurrentes 24-26'!BP364</f>
        <v/>
      </c>
      <c r="AA499" s="1062" t="str">
        <f>'No Recurrentes 24-26'!BQ364</f>
        <v/>
      </c>
      <c r="AB499" s="1062" t="str">
        <f>'No Recurrentes 24-26'!BR364</f>
        <v/>
      </c>
      <c r="AC499" s="1062" t="str">
        <f>'No Recurrentes 24-26'!BS364</f>
        <v/>
      </c>
      <c r="AD499" s="1062" t="str">
        <f>'No Recurrentes 24-26'!BT364</f>
        <v/>
      </c>
      <c r="AE499" s="1062" t="str">
        <f>'No Recurrentes 24-26'!BU364</f>
        <v/>
      </c>
      <c r="AF499" s="1062" t="str">
        <f>'No Recurrentes 24-26'!BV364</f>
        <v/>
      </c>
      <c r="AG499" s="1062" t="str">
        <f>'No Recurrentes 24-26'!BW364</f>
        <v/>
      </c>
      <c r="AH499" s="1068"/>
      <c r="AI499" s="1062">
        <f>'No Recurrentes 24-26'!BX364</f>
        <v>0</v>
      </c>
      <c r="AJ499" s="1062">
        <f>'No Recurrentes 24-26'!BY364</f>
        <v>0</v>
      </c>
      <c r="AK499" s="1062">
        <f>'No Recurrentes 24-26'!BZ364</f>
        <v>0</v>
      </c>
      <c r="AL499" s="1062">
        <f>'No Recurrentes 24-26'!CA364</f>
        <v>0</v>
      </c>
      <c r="AM499" s="1062">
        <f>'No Recurrentes 24-26'!CB364</f>
        <v>0</v>
      </c>
      <c r="AN499" s="1062">
        <f>'No Recurrentes 24-26'!CC364</f>
        <v>0</v>
      </c>
      <c r="AO499" s="1062">
        <f>'No Recurrentes 24-26'!CD364</f>
        <v>0</v>
      </c>
      <c r="AP499" s="1062">
        <f>'No Recurrentes 24-26'!CE364</f>
        <v>0</v>
      </c>
      <c r="AQ499" s="1062">
        <f>'No Recurrentes 24-26'!CF364</f>
        <v>0</v>
      </c>
      <c r="AR499" s="1062">
        <f>'No Recurrentes 24-26'!CG364</f>
        <v>0</v>
      </c>
      <c r="AS499" s="1062">
        <f>'No Recurrentes 24-26'!CH364</f>
        <v>0</v>
      </c>
      <c r="AT499" s="1068"/>
      <c r="AU499" s="1062">
        <f>'No Recurrentes 24-26'!CI364</f>
        <v>0</v>
      </c>
      <c r="AV499" s="1062">
        <f>'No Recurrentes 24-26'!CJ364</f>
        <v>1</v>
      </c>
      <c r="AW499" s="1068"/>
      <c r="AX499" s="1065">
        <f>'No Recurrentes 24-26'!CK364</f>
        <v>11.04</v>
      </c>
      <c r="AY499" s="1062">
        <f>'No Recurrentes 24-26'!CL364</f>
        <v>76.8384</v>
      </c>
      <c r="AZ499" s="1068"/>
      <c r="BA499" s="1062">
        <f>'No Recurrentes 24-26'!CM364</f>
        <v>0</v>
      </c>
      <c r="BB499" s="1062">
        <f>'No Recurrentes 24-26'!CN364</f>
        <v>0</v>
      </c>
      <c r="BC499" s="1062">
        <f>'No Recurrentes 24-26'!CO364</f>
        <v>0</v>
      </c>
      <c r="BD499" s="1062">
        <f>'No Recurrentes 24-26'!CP364</f>
        <v>0</v>
      </c>
      <c r="BE499" s="1062">
        <f>'No Recurrentes 24-26'!CQ364</f>
        <v>0</v>
      </c>
      <c r="BF499" s="1062">
        <f>'No Recurrentes 24-26'!CR364</f>
        <v>0</v>
      </c>
      <c r="BG499" s="1062">
        <f>'No Recurrentes 24-26'!CS364</f>
        <v>76.8384</v>
      </c>
      <c r="BH499" s="1062">
        <f>'No Recurrentes 24-26'!CT364</f>
        <v>0</v>
      </c>
      <c r="BI499" s="1062">
        <f>'No Recurrentes 24-26'!CU364</f>
        <v>0</v>
      </c>
      <c r="BJ499" s="1062">
        <f>'No Recurrentes 24-26'!CV364</f>
        <v>0</v>
      </c>
      <c r="BK499" s="1068"/>
      <c r="BL499" s="1062">
        <f>'No Recurrentes 24-26'!CW364</f>
        <v>76.8384</v>
      </c>
      <c r="BM499" s="1062">
        <f>'No Recurrentes 24-26'!CX364</f>
        <v>0</v>
      </c>
      <c r="BN499" s="1062">
        <f>'No Recurrentes 24-26'!CY364</f>
        <v>0</v>
      </c>
      <c r="BO499" s="1062">
        <f>'No Recurrentes 24-26'!CZ364</f>
        <v>0</v>
      </c>
      <c r="BP499" s="1062">
        <f>'No Recurrentes 24-26'!DA364</f>
        <v>0</v>
      </c>
      <c r="BQ499" s="1062">
        <f>'No Recurrentes 24-26'!DB364</f>
        <v>0</v>
      </c>
      <c r="BR499" s="1062">
        <f>'No Recurrentes 24-26'!DC364</f>
        <v>0</v>
      </c>
      <c r="BS499" s="1062">
        <f>'No Recurrentes 24-26'!DD364</f>
        <v>0</v>
      </c>
      <c r="BT499" s="1062">
        <f>'No Recurrentes 24-26'!DE364</f>
        <v>0</v>
      </c>
      <c r="BU499" s="1062">
        <f>'No Recurrentes 24-26'!DF364</f>
        <v>0</v>
      </c>
      <c r="BV499" s="1062">
        <f>'No Recurrentes 24-26'!DG364</f>
        <v>0</v>
      </c>
      <c r="BW499" s="1068"/>
      <c r="BX499" s="1062">
        <f>'No Recurrentes 24-26'!DH364</f>
        <v>0</v>
      </c>
      <c r="BY499" s="1062">
        <f>'No Recurrentes 24-26'!DI364</f>
        <v>0</v>
      </c>
      <c r="BZ499" s="1062">
        <f>'No Recurrentes 24-26'!DJ364</f>
        <v>0</v>
      </c>
      <c r="CA499" s="1062">
        <f>'No Recurrentes 24-26'!DK364</f>
        <v>0</v>
      </c>
      <c r="CB499" s="1062">
        <f>'No Recurrentes 24-26'!DL364</f>
        <v>0</v>
      </c>
      <c r="CC499" s="1062">
        <f>'No Recurrentes 24-26'!DM364</f>
        <v>0</v>
      </c>
      <c r="CD499" s="1062">
        <f>'No Recurrentes 24-26'!DN364</f>
        <v>0</v>
      </c>
      <c r="CE499" s="1062">
        <f>'No Recurrentes 24-26'!DO364</f>
        <v>0</v>
      </c>
      <c r="CF499" s="1062">
        <f>'No Recurrentes 24-26'!DP364</f>
        <v>0</v>
      </c>
      <c r="CG499" s="1062">
        <f>'No Recurrentes 24-26'!DQ364</f>
        <v>0</v>
      </c>
      <c r="CH499" s="1062">
        <f>'No Recurrentes 24-26'!DR364</f>
        <v>0</v>
      </c>
      <c r="CI499" s="1068"/>
      <c r="CJ499" s="1062">
        <f>'No Recurrentes 24-26'!DS364</f>
        <v>0</v>
      </c>
      <c r="CK499" s="1062">
        <f>'No Recurrentes 24-26'!DT364</f>
        <v>76.8384</v>
      </c>
      <c r="CL499" s="1064" t="str">
        <f>'No Recurrentes 24-26'!DU364</f>
        <v/>
      </c>
      <c r="CM499" s="1064" t="str">
        <f>'No Recurrentes 24-26'!DV364</f>
        <v/>
      </c>
      <c r="CN499" s="1065">
        <f>'No Recurrentes 24-26'!EI360</f>
        <v>14.31</v>
      </c>
      <c r="CO499" s="1065">
        <f>'No Recurrentes 24-26'!EJ360</f>
        <v>12.16</v>
      </c>
      <c r="CP499" s="1060" t="str">
        <f>'No Recurrentes 24-26'!EK360</f>
        <v/>
      </c>
    </row>
    <row r="500">
      <c r="A500" s="451" t="str">
        <f>'No Recurrentes 24-26'!A365</f>
        <v>Repuestos Electromecánicos no recurrentes</v>
      </c>
      <c r="B500" s="451">
        <f>'No Recurrentes 24-26'!B365</f>
        <v>2</v>
      </c>
      <c r="C500" s="451" t="str">
        <f>'No Recurrentes 24-26'!C365</f>
        <v>Torre</v>
      </c>
      <c r="D500" s="451" t="str">
        <f>'No Recurrentes 24-26'!D365</f>
        <v>Sistema de Horquilla</v>
      </c>
      <c r="E500" s="451" t="str">
        <f>'No Recurrentes 24-26'!E365</f>
        <v>Repuesto Eléctrico</v>
      </c>
      <c r="F500" s="451" t="str">
        <f>'No Recurrentes 24-26'!F365</f>
        <v>TDB</v>
      </c>
      <c r="G500" s="1061" t="str">
        <f>'No Recurrentes 24-26'!G365</f>
        <v>39700</v>
      </c>
      <c r="H500" s="1061" t="str">
        <f>'No Recurrentes 24-26'!H365</f>
        <v>2-01-00265</v>
      </c>
      <c r="I500" s="1061" t="str">
        <f>'No Recurrentes 24-26'!I365</f>
        <v>10530985</v>
      </c>
      <c r="J500" s="1061" t="str">
        <f>'No Recurrentes 24-26'!J365</f>
        <v>INTERRUPT.DE HORQUILLA DE SEG. RACOR ATORN.P.2 CABLES DIA.5-6</v>
      </c>
      <c r="K500" s="451" t="str">
        <f>'No Recurrentes 24-26'!K365</f>
        <v>Pza</v>
      </c>
      <c r="L500" s="451">
        <f>'No Recurrentes 24-26'!BC365</f>
        <v>15</v>
      </c>
      <c r="M500" s="451" t="str">
        <f>'No Recurrentes 24-26'!BD365</f>
        <v/>
      </c>
      <c r="N500" s="451">
        <f>'No Recurrentes 24-26'!BE365</f>
        <v>15</v>
      </c>
      <c r="O500" s="451" t="str">
        <f>'No Recurrentes 24-26'!BF365</f>
        <v/>
      </c>
      <c r="P500" s="451" t="str">
        <f>'No Recurrentes 24-26'!BG365</f>
        <v/>
      </c>
      <c r="Q500" s="451" t="str">
        <f>'No Recurrentes 24-26'!BH365</f>
        <v/>
      </c>
      <c r="R500" s="451" t="str">
        <f>'No Recurrentes 24-26'!BI365</f>
        <v/>
      </c>
      <c r="S500" s="451">
        <f>'No Recurrentes 24-26'!BJ365</f>
        <v>0</v>
      </c>
      <c r="T500" s="451" t="str">
        <f>'No Recurrentes 24-26'!BK365</f>
        <v/>
      </c>
      <c r="U500" s="451">
        <f>'No Recurrentes 24-26'!BL365</f>
        <v>0</v>
      </c>
      <c r="V500" s="1068"/>
      <c r="W500" s="1062">
        <f>'No Recurrentes 24-26'!BM365</f>
        <v>30</v>
      </c>
      <c r="X500" s="1062">
        <f>'No Recurrentes 24-26'!BN365</f>
        <v>15</v>
      </c>
      <c r="Y500" s="1062" t="str">
        <f>'No Recurrentes 24-26'!BO365</f>
        <v/>
      </c>
      <c r="Z500" s="1062">
        <f>'No Recurrentes 24-26'!BP365</f>
        <v>15</v>
      </c>
      <c r="AA500" s="1062" t="str">
        <f>'No Recurrentes 24-26'!BQ365</f>
        <v/>
      </c>
      <c r="AB500" s="1062" t="str">
        <f>'No Recurrentes 24-26'!BR365</f>
        <v/>
      </c>
      <c r="AC500" s="1062" t="str">
        <f>'No Recurrentes 24-26'!BS365</f>
        <v/>
      </c>
      <c r="AD500" s="1062" t="str">
        <f>'No Recurrentes 24-26'!BT365</f>
        <v/>
      </c>
      <c r="AE500" s="1062" t="str">
        <f>'No Recurrentes 24-26'!BU365</f>
        <v/>
      </c>
      <c r="AF500" s="1062" t="str">
        <f>'No Recurrentes 24-26'!BV365</f>
        <v/>
      </c>
      <c r="AG500" s="1062">
        <f>'No Recurrentes 24-26'!BW365</f>
        <v>2</v>
      </c>
      <c r="AH500" s="1068"/>
      <c r="AI500" s="1062">
        <f>'No Recurrentes 24-26'!BX365</f>
        <v>32</v>
      </c>
      <c r="AJ500" s="1062">
        <f>'No Recurrentes 24-26'!BY365</f>
        <v>0</v>
      </c>
      <c r="AK500" s="1062">
        <f>'No Recurrentes 24-26'!BZ365</f>
        <v>0</v>
      </c>
      <c r="AL500" s="1062">
        <f>'No Recurrentes 24-26'!CA365</f>
        <v>0</v>
      </c>
      <c r="AM500" s="1062">
        <f>'No Recurrentes 24-26'!CB365</f>
        <v>0</v>
      </c>
      <c r="AN500" s="1062">
        <f>'No Recurrentes 24-26'!CC365</f>
        <v>0</v>
      </c>
      <c r="AO500" s="1062">
        <f>'No Recurrentes 24-26'!CD365</f>
        <v>0</v>
      </c>
      <c r="AP500" s="1062">
        <f>'No Recurrentes 24-26'!CE365</f>
        <v>0</v>
      </c>
      <c r="AQ500" s="1062">
        <f>'No Recurrentes 24-26'!CF365</f>
        <v>0</v>
      </c>
      <c r="AR500" s="1062">
        <f>'No Recurrentes 24-26'!CG365</f>
        <v>0</v>
      </c>
      <c r="AS500" s="1062">
        <f>'No Recurrentes 24-26'!CH365</f>
        <v>0</v>
      </c>
      <c r="AT500" s="1068"/>
      <c r="AU500" s="1062">
        <f>'No Recurrentes 24-26'!CI365</f>
        <v>0</v>
      </c>
      <c r="AV500" s="1062">
        <f>'No Recurrentes 24-26'!CJ365</f>
        <v>62</v>
      </c>
      <c r="AW500" s="1068"/>
      <c r="AX500" s="1065">
        <f>'No Recurrentes 24-26'!CK365</f>
        <v>23.34</v>
      </c>
      <c r="AY500" s="1062">
        <f>'No Recurrentes 24-26'!CL365</f>
        <v>162.4464</v>
      </c>
      <c r="AZ500" s="1068"/>
      <c r="BA500" s="1062">
        <f>'No Recurrentes 24-26'!CM365</f>
        <v>2436.696</v>
      </c>
      <c r="BB500" s="1062">
        <f>'No Recurrentes 24-26'!CN365</f>
        <v>0</v>
      </c>
      <c r="BC500" s="1062">
        <f>'No Recurrentes 24-26'!CO365</f>
        <v>2436.696</v>
      </c>
      <c r="BD500" s="1062">
        <f>'No Recurrentes 24-26'!CP365</f>
        <v>0</v>
      </c>
      <c r="BE500" s="1062">
        <f>'No Recurrentes 24-26'!CQ365</f>
        <v>0</v>
      </c>
      <c r="BF500" s="1062">
        <f>'No Recurrentes 24-26'!CR365</f>
        <v>0</v>
      </c>
      <c r="BG500" s="1062">
        <f>'No Recurrentes 24-26'!CS365</f>
        <v>0</v>
      </c>
      <c r="BH500" s="1062">
        <f>'No Recurrentes 24-26'!CT365</f>
        <v>0</v>
      </c>
      <c r="BI500" s="1062">
        <f>'No Recurrentes 24-26'!CU365</f>
        <v>0</v>
      </c>
      <c r="BJ500" s="1062">
        <f>'No Recurrentes 24-26'!CV365</f>
        <v>0</v>
      </c>
      <c r="BK500" s="1068"/>
      <c r="BL500" s="1062">
        <f>'No Recurrentes 24-26'!CW365</f>
        <v>4873.392</v>
      </c>
      <c r="BM500" s="1062">
        <f>'No Recurrentes 24-26'!CX365</f>
        <v>2436.696</v>
      </c>
      <c r="BN500" s="1062">
        <f>'No Recurrentes 24-26'!CY365</f>
        <v>0</v>
      </c>
      <c r="BO500" s="1062">
        <f>'No Recurrentes 24-26'!CZ365</f>
        <v>2436.696</v>
      </c>
      <c r="BP500" s="1062">
        <f>'No Recurrentes 24-26'!DA365</f>
        <v>0</v>
      </c>
      <c r="BQ500" s="1062">
        <f>'No Recurrentes 24-26'!DB365</f>
        <v>0</v>
      </c>
      <c r="BR500" s="1062">
        <f>'No Recurrentes 24-26'!DC365</f>
        <v>0</v>
      </c>
      <c r="BS500" s="1062">
        <f>'No Recurrentes 24-26'!DD365</f>
        <v>0</v>
      </c>
      <c r="BT500" s="1062">
        <f>'No Recurrentes 24-26'!DE365</f>
        <v>0</v>
      </c>
      <c r="BU500" s="1062">
        <f>'No Recurrentes 24-26'!DF365</f>
        <v>0</v>
      </c>
      <c r="BV500" s="1062">
        <f>'No Recurrentes 24-26'!DG365</f>
        <v>324.8928</v>
      </c>
      <c r="BW500" s="1068"/>
      <c r="BX500" s="1062">
        <f>'No Recurrentes 24-26'!DH365</f>
        <v>5198.2848</v>
      </c>
      <c r="BY500" s="1062">
        <f>'No Recurrentes 24-26'!DI365</f>
        <v>0</v>
      </c>
      <c r="BZ500" s="1062">
        <f>'No Recurrentes 24-26'!DJ365</f>
        <v>0</v>
      </c>
      <c r="CA500" s="1062">
        <f>'No Recurrentes 24-26'!DK365</f>
        <v>0</v>
      </c>
      <c r="CB500" s="1062">
        <f>'No Recurrentes 24-26'!DL365</f>
        <v>0</v>
      </c>
      <c r="CC500" s="1062">
        <f>'No Recurrentes 24-26'!DM365</f>
        <v>0</v>
      </c>
      <c r="CD500" s="1062">
        <f>'No Recurrentes 24-26'!DN365</f>
        <v>0</v>
      </c>
      <c r="CE500" s="1062">
        <f>'No Recurrentes 24-26'!DO365</f>
        <v>0</v>
      </c>
      <c r="CF500" s="1062">
        <f>'No Recurrentes 24-26'!DP365</f>
        <v>0</v>
      </c>
      <c r="CG500" s="1062">
        <f>'No Recurrentes 24-26'!DQ365</f>
        <v>0</v>
      </c>
      <c r="CH500" s="1062">
        <f>'No Recurrentes 24-26'!DR365</f>
        <v>0</v>
      </c>
      <c r="CI500" s="1068"/>
      <c r="CJ500" s="1062">
        <f>'No Recurrentes 24-26'!DS365</f>
        <v>0</v>
      </c>
      <c r="CK500" s="1062">
        <f>'No Recurrentes 24-26'!DT365</f>
        <v>10071.6768</v>
      </c>
      <c r="CL500" s="1064" t="str">
        <f>'No Recurrentes 24-26'!DU365</f>
        <v/>
      </c>
      <c r="CM500" s="1064" t="str">
        <f>'No Recurrentes 24-26'!DV365</f>
        <v/>
      </c>
      <c r="CN500" s="1065">
        <f>'No Recurrentes 24-26'!EI361</f>
        <v>50.92</v>
      </c>
      <c r="CO500" s="1065">
        <f>'No Recurrentes 24-26'!EJ361</f>
        <v>43.28</v>
      </c>
      <c r="CP500" s="1060" t="str">
        <f>'No Recurrentes 24-26'!EK361</f>
        <v/>
      </c>
    </row>
    <row r="501">
      <c r="A501" s="451" t="str">
        <f>'No Recurrentes 24-26'!A366</f>
        <v>Repuestos Electromecánicos no recurrentes</v>
      </c>
      <c r="B501" s="451">
        <f>'No Recurrentes 24-26'!B366</f>
        <v>2</v>
      </c>
      <c r="C501" s="451" t="str">
        <f>'No Recurrentes 24-26'!C366</f>
        <v>Torre</v>
      </c>
      <c r="D501" s="451" t="str">
        <f>'No Recurrentes 24-26'!D366</f>
        <v>Sistema de Horquilla</v>
      </c>
      <c r="E501" s="451" t="str">
        <f>'No Recurrentes 24-26'!E366</f>
        <v>Repuesto Eléctrico</v>
      </c>
      <c r="F501" s="451" t="str">
        <f>'No Recurrentes 24-26'!F366</f>
        <v>TDB</v>
      </c>
      <c r="G501" s="1061" t="str">
        <f>'No Recurrentes 24-26'!G366</f>
        <v>39700</v>
      </c>
      <c r="H501" s="1061" t="str">
        <f>'No Recurrentes 24-26'!H366</f>
        <v/>
      </c>
      <c r="I501" s="1061" t="str">
        <f>'No Recurrentes 24-26'!I366</f>
        <v>11163458</v>
      </c>
      <c r="J501" s="1061" t="str">
        <f>'No Recurrentes 24-26'!J366</f>
        <v>STECKVERBINDER EINBAU  2,5MM2  PV-FT-CF-C-2,5-130-BU</v>
      </c>
      <c r="K501" s="451" t="str">
        <f>'No Recurrentes 24-26'!K366</f>
        <v>Pza</v>
      </c>
      <c r="L501" s="451" t="str">
        <f>'No Recurrentes 24-26'!BC366</f>
        <v/>
      </c>
      <c r="M501" s="451" t="str">
        <f>'No Recurrentes 24-26'!BD366</f>
        <v/>
      </c>
      <c r="N501" s="451">
        <f>'No Recurrentes 24-26'!BE366</f>
        <v>30</v>
      </c>
      <c r="O501" s="451" t="str">
        <f>'No Recurrentes 24-26'!BF366</f>
        <v/>
      </c>
      <c r="P501" s="451">
        <f>'No Recurrentes 24-26'!BG366</f>
        <v>20</v>
      </c>
      <c r="Q501" s="451">
        <f>'No Recurrentes 24-26'!BH366</f>
        <v>20</v>
      </c>
      <c r="R501" s="451" t="str">
        <f>'No Recurrentes 24-26'!BI366</f>
        <v/>
      </c>
      <c r="S501" s="451" t="str">
        <f>'No Recurrentes 24-26'!BJ366</f>
        <v/>
      </c>
      <c r="T501" s="451" t="str">
        <f>'No Recurrentes 24-26'!BK366</f>
        <v/>
      </c>
      <c r="U501" s="451" t="str">
        <f>'No Recurrentes 24-26'!BL366</f>
        <v/>
      </c>
      <c r="V501" s="1068"/>
      <c r="W501" s="1062">
        <f>'No Recurrentes 24-26'!BM366</f>
        <v>70</v>
      </c>
      <c r="X501" s="1062">
        <f>'No Recurrentes 24-26'!BN366</f>
        <v>30</v>
      </c>
      <c r="Y501" s="1062" t="str">
        <f>'No Recurrentes 24-26'!BO366</f>
        <v/>
      </c>
      <c r="Z501" s="1062" t="str">
        <f>'No Recurrentes 24-26'!BP366</f>
        <v/>
      </c>
      <c r="AA501" s="1062" t="str">
        <f>'No Recurrentes 24-26'!BQ366</f>
        <v/>
      </c>
      <c r="AB501" s="1062" t="str">
        <f>'No Recurrentes 24-26'!BR366</f>
        <v/>
      </c>
      <c r="AC501" s="1062" t="str">
        <f>'No Recurrentes 24-26'!BS366</f>
        <v/>
      </c>
      <c r="AD501" s="1062" t="str">
        <f>'No Recurrentes 24-26'!BT366</f>
        <v/>
      </c>
      <c r="AE501" s="1062" t="str">
        <f>'No Recurrentes 24-26'!BU366</f>
        <v/>
      </c>
      <c r="AF501" s="1062" t="str">
        <f>'No Recurrentes 24-26'!BV366</f>
        <v/>
      </c>
      <c r="AG501" s="1062" t="str">
        <f>'No Recurrentes 24-26'!BW366</f>
        <v/>
      </c>
      <c r="AH501" s="1068"/>
      <c r="AI501" s="1062">
        <f>'No Recurrentes 24-26'!BX366</f>
        <v>30</v>
      </c>
      <c r="AJ501" s="1062">
        <f>'No Recurrentes 24-26'!BY366</f>
        <v>0</v>
      </c>
      <c r="AK501" s="1062">
        <f>'No Recurrentes 24-26'!BZ366</f>
        <v>0</v>
      </c>
      <c r="AL501" s="1062">
        <f>'No Recurrentes 24-26'!CA366</f>
        <v>0</v>
      </c>
      <c r="AM501" s="1062">
        <f>'No Recurrentes 24-26'!CB366</f>
        <v>0</v>
      </c>
      <c r="AN501" s="1062">
        <f>'No Recurrentes 24-26'!CC366</f>
        <v>20</v>
      </c>
      <c r="AO501" s="1062">
        <f>'No Recurrentes 24-26'!CD366</f>
        <v>20</v>
      </c>
      <c r="AP501" s="1062">
        <f>'No Recurrentes 24-26'!CE366</f>
        <v>0</v>
      </c>
      <c r="AQ501" s="1062">
        <f>'No Recurrentes 24-26'!CF366</f>
        <v>0</v>
      </c>
      <c r="AR501" s="1062">
        <f>'No Recurrentes 24-26'!CG366</f>
        <v>0</v>
      </c>
      <c r="AS501" s="1062">
        <f>'No Recurrentes 24-26'!CH366</f>
        <v>0</v>
      </c>
      <c r="AT501" s="1068"/>
      <c r="AU501" s="1062">
        <f>'No Recurrentes 24-26'!CI366</f>
        <v>40</v>
      </c>
      <c r="AV501" s="1062">
        <f>'No Recurrentes 24-26'!CJ366</f>
        <v>140</v>
      </c>
      <c r="AW501" s="1068"/>
      <c r="AX501" s="1065">
        <f>'No Recurrentes 24-26'!CK366</f>
        <v>10.31</v>
      </c>
      <c r="AY501" s="1062">
        <f>'No Recurrentes 24-26'!CL366</f>
        <v>71.7576</v>
      </c>
      <c r="AZ501" s="1068"/>
      <c r="BA501" s="1062">
        <f>'No Recurrentes 24-26'!CM366</f>
        <v>0</v>
      </c>
      <c r="BB501" s="1062">
        <f>'No Recurrentes 24-26'!CN366</f>
        <v>0</v>
      </c>
      <c r="BC501" s="1062">
        <f>'No Recurrentes 24-26'!CO366</f>
        <v>2152.728</v>
      </c>
      <c r="BD501" s="1062">
        <f>'No Recurrentes 24-26'!CP366</f>
        <v>0</v>
      </c>
      <c r="BE501" s="1062">
        <f>'No Recurrentes 24-26'!CQ366</f>
        <v>1435.152</v>
      </c>
      <c r="BF501" s="1062">
        <f>'No Recurrentes 24-26'!CR366</f>
        <v>1435.152</v>
      </c>
      <c r="BG501" s="1062">
        <f>'No Recurrentes 24-26'!CS366</f>
        <v>0</v>
      </c>
      <c r="BH501" s="1062">
        <f>'No Recurrentes 24-26'!CT366</f>
        <v>0</v>
      </c>
      <c r="BI501" s="1062">
        <f>'No Recurrentes 24-26'!CU366</f>
        <v>0</v>
      </c>
      <c r="BJ501" s="1062">
        <f>'No Recurrentes 24-26'!CV366</f>
        <v>0</v>
      </c>
      <c r="BK501" s="1068"/>
      <c r="BL501" s="1062">
        <f>'No Recurrentes 24-26'!CW366</f>
        <v>5023.032</v>
      </c>
      <c r="BM501" s="1062">
        <f>'No Recurrentes 24-26'!CX366</f>
        <v>2152.728</v>
      </c>
      <c r="BN501" s="1062">
        <f>'No Recurrentes 24-26'!CY366</f>
        <v>0</v>
      </c>
      <c r="BO501" s="1062">
        <f>'No Recurrentes 24-26'!CZ366</f>
        <v>0</v>
      </c>
      <c r="BP501" s="1062">
        <f>'No Recurrentes 24-26'!DA366</f>
        <v>0</v>
      </c>
      <c r="BQ501" s="1062">
        <f>'No Recurrentes 24-26'!DB366</f>
        <v>0</v>
      </c>
      <c r="BR501" s="1062">
        <f>'No Recurrentes 24-26'!DC366</f>
        <v>0</v>
      </c>
      <c r="BS501" s="1062">
        <f>'No Recurrentes 24-26'!DD366</f>
        <v>0</v>
      </c>
      <c r="BT501" s="1062">
        <f>'No Recurrentes 24-26'!DE366</f>
        <v>0</v>
      </c>
      <c r="BU501" s="1062">
        <f>'No Recurrentes 24-26'!DF366</f>
        <v>0</v>
      </c>
      <c r="BV501" s="1062">
        <f>'No Recurrentes 24-26'!DG366</f>
        <v>0</v>
      </c>
      <c r="BW501" s="1068"/>
      <c r="BX501" s="1062">
        <f>'No Recurrentes 24-26'!DH366</f>
        <v>2152.728</v>
      </c>
      <c r="BY501" s="1062">
        <f>'No Recurrentes 24-26'!DI366</f>
        <v>0</v>
      </c>
      <c r="BZ501" s="1062">
        <f>'No Recurrentes 24-26'!DJ366</f>
        <v>0</v>
      </c>
      <c r="CA501" s="1062">
        <f>'No Recurrentes 24-26'!DK366</f>
        <v>0</v>
      </c>
      <c r="CB501" s="1062">
        <f>'No Recurrentes 24-26'!DL366</f>
        <v>0</v>
      </c>
      <c r="CC501" s="1062">
        <f>'No Recurrentes 24-26'!DM366</f>
        <v>1435.152</v>
      </c>
      <c r="CD501" s="1062">
        <f>'No Recurrentes 24-26'!DN366</f>
        <v>1435.152</v>
      </c>
      <c r="CE501" s="1062">
        <f>'No Recurrentes 24-26'!DO366</f>
        <v>0</v>
      </c>
      <c r="CF501" s="1062">
        <f>'No Recurrentes 24-26'!DP366</f>
        <v>0</v>
      </c>
      <c r="CG501" s="1062">
        <f>'No Recurrentes 24-26'!DQ366</f>
        <v>0</v>
      </c>
      <c r="CH501" s="1062">
        <f>'No Recurrentes 24-26'!DR366</f>
        <v>0</v>
      </c>
      <c r="CI501" s="1068"/>
      <c r="CJ501" s="1062">
        <f>'No Recurrentes 24-26'!DS366</f>
        <v>2870.304</v>
      </c>
      <c r="CK501" s="1062">
        <f>'No Recurrentes 24-26'!DT366</f>
        <v>10046.064</v>
      </c>
      <c r="CL501" s="1064" t="str">
        <f>'No Recurrentes 24-26'!DU366</f>
        <v/>
      </c>
      <c r="CM501" s="1064" t="str">
        <f>'No Recurrentes 24-26'!DV366</f>
        <v/>
      </c>
      <c r="CN501" s="1065">
        <f>'No Recurrentes 24-26'!EI362</f>
        <v>4.73</v>
      </c>
      <c r="CO501" s="1065">
        <f>'No Recurrentes 24-26'!EJ362</f>
        <v>4.02</v>
      </c>
      <c r="CP501" s="1060" t="str">
        <f>'No Recurrentes 24-26'!EK362</f>
        <v/>
      </c>
    </row>
    <row r="502">
      <c r="A502" s="451" t="str">
        <f>'No Recurrentes 24-26'!A367</f>
        <v>Repuestos Electromecánicos no recurrentes</v>
      </c>
      <c r="B502" s="451">
        <f>'No Recurrentes 24-26'!B367</f>
        <v>2</v>
      </c>
      <c r="C502" s="451" t="str">
        <f>'No Recurrentes 24-26'!C367</f>
        <v>Torre</v>
      </c>
      <c r="D502" s="451" t="str">
        <f>'No Recurrentes 24-26'!D367</f>
        <v>Sistema de Horquilla</v>
      </c>
      <c r="E502" s="451" t="str">
        <f>'No Recurrentes 24-26'!E367</f>
        <v>Repuesto Eléctrico</v>
      </c>
      <c r="F502" s="451" t="str">
        <f>'No Recurrentes 24-26'!F367</f>
        <v>TDB</v>
      </c>
      <c r="G502" s="1061" t="str">
        <f>'No Recurrentes 24-26'!G367</f>
        <v>39700</v>
      </c>
      <c r="H502" s="1061" t="str">
        <f>'No Recurrentes 24-26'!H367</f>
        <v/>
      </c>
      <c r="I502" s="1061" t="str">
        <f>'No Recurrentes 24-26'!I367</f>
        <v>11163457</v>
      </c>
      <c r="J502" s="1061" t="str">
        <f>'No Recurrentes 24-26'!J367</f>
        <v>STECKVERBINDER EINBAU  2,5MM2  PV-FT-CM-C-2,5-130-RD</v>
      </c>
      <c r="K502" s="451" t="str">
        <f>'No Recurrentes 24-26'!K367</f>
        <v>Pza</v>
      </c>
      <c r="L502" s="451" t="str">
        <f>'No Recurrentes 24-26'!BC367</f>
        <v/>
      </c>
      <c r="M502" s="451" t="str">
        <f>'No Recurrentes 24-26'!BD367</f>
        <v/>
      </c>
      <c r="N502" s="451">
        <f>'No Recurrentes 24-26'!BE367</f>
        <v>30</v>
      </c>
      <c r="O502" s="451" t="str">
        <f>'No Recurrentes 24-26'!BF367</f>
        <v/>
      </c>
      <c r="P502" s="451">
        <f>'No Recurrentes 24-26'!BG367</f>
        <v>20</v>
      </c>
      <c r="Q502" s="451">
        <f>'No Recurrentes 24-26'!BH367</f>
        <v>20</v>
      </c>
      <c r="R502" s="451" t="str">
        <f>'No Recurrentes 24-26'!BI367</f>
        <v/>
      </c>
      <c r="S502" s="451" t="str">
        <f>'No Recurrentes 24-26'!BJ367</f>
        <v/>
      </c>
      <c r="T502" s="451" t="str">
        <f>'No Recurrentes 24-26'!BK367</f>
        <v/>
      </c>
      <c r="U502" s="451" t="str">
        <f>'No Recurrentes 24-26'!BL367</f>
        <v/>
      </c>
      <c r="V502" s="1068"/>
      <c r="W502" s="1062">
        <f>'No Recurrentes 24-26'!BM367</f>
        <v>70</v>
      </c>
      <c r="X502" s="1062">
        <f>'No Recurrentes 24-26'!BN367</f>
        <v>30</v>
      </c>
      <c r="Y502" s="1062" t="str">
        <f>'No Recurrentes 24-26'!BO367</f>
        <v/>
      </c>
      <c r="Z502" s="1062" t="str">
        <f>'No Recurrentes 24-26'!BP367</f>
        <v/>
      </c>
      <c r="AA502" s="1062" t="str">
        <f>'No Recurrentes 24-26'!BQ367</f>
        <v/>
      </c>
      <c r="AB502" s="1062" t="str">
        <f>'No Recurrentes 24-26'!BR367</f>
        <v/>
      </c>
      <c r="AC502" s="1062" t="str">
        <f>'No Recurrentes 24-26'!BS367</f>
        <v/>
      </c>
      <c r="AD502" s="1062" t="str">
        <f>'No Recurrentes 24-26'!BT367</f>
        <v/>
      </c>
      <c r="AE502" s="1062" t="str">
        <f>'No Recurrentes 24-26'!BU367</f>
        <v/>
      </c>
      <c r="AF502" s="1062" t="str">
        <f>'No Recurrentes 24-26'!BV367</f>
        <v/>
      </c>
      <c r="AG502" s="1062" t="str">
        <f>'No Recurrentes 24-26'!BW367</f>
        <v/>
      </c>
      <c r="AH502" s="1068"/>
      <c r="AI502" s="1062">
        <f>'No Recurrentes 24-26'!BX367</f>
        <v>30</v>
      </c>
      <c r="AJ502" s="1062">
        <f>'No Recurrentes 24-26'!BY367</f>
        <v>0</v>
      </c>
      <c r="AK502" s="1062">
        <f>'No Recurrentes 24-26'!BZ367</f>
        <v>0</v>
      </c>
      <c r="AL502" s="1062">
        <f>'No Recurrentes 24-26'!CA367</f>
        <v>0</v>
      </c>
      <c r="AM502" s="1062">
        <f>'No Recurrentes 24-26'!CB367</f>
        <v>0</v>
      </c>
      <c r="AN502" s="1062">
        <f>'No Recurrentes 24-26'!CC367</f>
        <v>20</v>
      </c>
      <c r="AO502" s="1062">
        <f>'No Recurrentes 24-26'!CD367</f>
        <v>20</v>
      </c>
      <c r="AP502" s="1062">
        <f>'No Recurrentes 24-26'!CE367</f>
        <v>0</v>
      </c>
      <c r="AQ502" s="1062">
        <f>'No Recurrentes 24-26'!CF367</f>
        <v>0</v>
      </c>
      <c r="AR502" s="1062">
        <f>'No Recurrentes 24-26'!CG367</f>
        <v>0</v>
      </c>
      <c r="AS502" s="1062">
        <f>'No Recurrentes 24-26'!CH367</f>
        <v>0</v>
      </c>
      <c r="AT502" s="1068"/>
      <c r="AU502" s="1062">
        <f>'No Recurrentes 24-26'!CI367</f>
        <v>40</v>
      </c>
      <c r="AV502" s="1063">
        <f>'No Recurrentes 24-26'!CJ367</f>
        <v>140</v>
      </c>
      <c r="AW502" s="1068"/>
      <c r="AX502" s="1065">
        <f>'No Recurrentes 24-26'!CK367</f>
        <v>10.31</v>
      </c>
      <c r="AY502" s="1062">
        <f>'No Recurrentes 24-26'!CL367</f>
        <v>71.7576</v>
      </c>
      <c r="AZ502" s="1068"/>
      <c r="BA502" s="1062">
        <f>'No Recurrentes 24-26'!CM367</f>
        <v>0</v>
      </c>
      <c r="BB502" s="1062">
        <f>'No Recurrentes 24-26'!CN367</f>
        <v>0</v>
      </c>
      <c r="BC502" s="1062">
        <f>'No Recurrentes 24-26'!CO367</f>
        <v>2152.728</v>
      </c>
      <c r="BD502" s="1062">
        <f>'No Recurrentes 24-26'!CP367</f>
        <v>0</v>
      </c>
      <c r="BE502" s="1062">
        <f>'No Recurrentes 24-26'!CQ367</f>
        <v>1435.152</v>
      </c>
      <c r="BF502" s="1062">
        <f>'No Recurrentes 24-26'!CR367</f>
        <v>1435.152</v>
      </c>
      <c r="BG502" s="1062">
        <f>'No Recurrentes 24-26'!CS367</f>
        <v>0</v>
      </c>
      <c r="BH502" s="1062">
        <f>'No Recurrentes 24-26'!CT367</f>
        <v>0</v>
      </c>
      <c r="BI502" s="1062">
        <f>'No Recurrentes 24-26'!CU367</f>
        <v>0</v>
      </c>
      <c r="BJ502" s="1062">
        <f>'No Recurrentes 24-26'!CV367</f>
        <v>0</v>
      </c>
      <c r="BK502" s="1068"/>
      <c r="BL502" s="1062">
        <f>'No Recurrentes 24-26'!CW367</f>
        <v>5023.032</v>
      </c>
      <c r="BM502" s="1062">
        <f>'No Recurrentes 24-26'!CX367</f>
        <v>2152.728</v>
      </c>
      <c r="BN502" s="1062">
        <f>'No Recurrentes 24-26'!CY367</f>
        <v>0</v>
      </c>
      <c r="BO502" s="1062">
        <f>'No Recurrentes 24-26'!CZ367</f>
        <v>0</v>
      </c>
      <c r="BP502" s="1062">
        <f>'No Recurrentes 24-26'!DA367</f>
        <v>0</v>
      </c>
      <c r="BQ502" s="1062">
        <f>'No Recurrentes 24-26'!DB367</f>
        <v>0</v>
      </c>
      <c r="BR502" s="1062">
        <f>'No Recurrentes 24-26'!DC367</f>
        <v>0</v>
      </c>
      <c r="BS502" s="1062">
        <f>'No Recurrentes 24-26'!DD367</f>
        <v>0</v>
      </c>
      <c r="BT502" s="1062">
        <f>'No Recurrentes 24-26'!DE367</f>
        <v>0</v>
      </c>
      <c r="BU502" s="1062">
        <f>'No Recurrentes 24-26'!DF367</f>
        <v>0</v>
      </c>
      <c r="BV502" s="1062">
        <f>'No Recurrentes 24-26'!DG367</f>
        <v>0</v>
      </c>
      <c r="BW502" s="1068"/>
      <c r="BX502" s="1062">
        <f>'No Recurrentes 24-26'!DH367</f>
        <v>2152.728</v>
      </c>
      <c r="BY502" s="1062">
        <f>'No Recurrentes 24-26'!DI367</f>
        <v>0</v>
      </c>
      <c r="BZ502" s="1062">
        <f>'No Recurrentes 24-26'!DJ367</f>
        <v>0</v>
      </c>
      <c r="CA502" s="1062">
        <f>'No Recurrentes 24-26'!DK367</f>
        <v>0</v>
      </c>
      <c r="CB502" s="1062">
        <f>'No Recurrentes 24-26'!DL367</f>
        <v>0</v>
      </c>
      <c r="CC502" s="1062">
        <f>'No Recurrentes 24-26'!DM367</f>
        <v>1435.152</v>
      </c>
      <c r="CD502" s="1062">
        <f>'No Recurrentes 24-26'!DN367</f>
        <v>1435.152</v>
      </c>
      <c r="CE502" s="1062">
        <f>'No Recurrentes 24-26'!DO367</f>
        <v>0</v>
      </c>
      <c r="CF502" s="1062">
        <f>'No Recurrentes 24-26'!DP367</f>
        <v>0</v>
      </c>
      <c r="CG502" s="1062">
        <f>'No Recurrentes 24-26'!DQ367</f>
        <v>0</v>
      </c>
      <c r="CH502" s="1062">
        <f>'No Recurrentes 24-26'!DR367</f>
        <v>0</v>
      </c>
      <c r="CI502" s="1068"/>
      <c r="CJ502" s="1062">
        <f>'No Recurrentes 24-26'!DS367</f>
        <v>2870.304</v>
      </c>
      <c r="CK502" s="1062">
        <f>'No Recurrentes 24-26'!DT367</f>
        <v>10046.064</v>
      </c>
      <c r="CL502" s="1064" t="str">
        <f>'No Recurrentes 24-26'!DU367</f>
        <v/>
      </c>
      <c r="CM502" s="1064" t="str">
        <f>'No Recurrentes 24-26'!DV367</f>
        <v/>
      </c>
      <c r="CN502" s="1065">
        <f>'No Recurrentes 24-26'!EI363</f>
        <v>12.34</v>
      </c>
      <c r="CO502" s="1065">
        <f>'No Recurrentes 24-26'!EJ363</f>
        <v>10.49</v>
      </c>
      <c r="CP502" s="1060" t="str">
        <f>'No Recurrentes 24-26'!EK363</f>
        <v/>
      </c>
    </row>
    <row r="503">
      <c r="A503" s="451" t="str">
        <f>'No Recurrentes 24-26'!A368</f>
        <v>Repuestos Electromecánicos no recurrentes</v>
      </c>
      <c r="B503" s="451">
        <f>'No Recurrentes 24-26'!B368</f>
        <v>2</v>
      </c>
      <c r="C503" s="451" t="str">
        <f>'No Recurrentes 24-26'!C368</f>
        <v>Torre</v>
      </c>
      <c r="D503" s="451" t="str">
        <f>'No Recurrentes 24-26'!D368</f>
        <v>Sistema de Horquilla</v>
      </c>
      <c r="E503" s="451" t="str">
        <f>'No Recurrentes 24-26'!E368</f>
        <v>Repuesto Eléctrico</v>
      </c>
      <c r="F503" s="451" t="str">
        <f>'No Recurrentes 24-26'!F368</f>
        <v>TDB</v>
      </c>
      <c r="G503" s="1061" t="str">
        <f>'No Recurrentes 24-26'!G368</f>
        <v>39700</v>
      </c>
      <c r="H503" s="1061" t="str">
        <f>'No Recurrentes 24-26'!H368</f>
        <v>2-02-00606</v>
      </c>
      <c r="I503" s="1061" t="str">
        <f>'No Recurrentes 24-26'!I368</f>
        <v>11456353</v>
      </c>
      <c r="J503" s="1061" t="str">
        <f>'No Recurrentes 24-26'!J368</f>
        <v>HORQUILLA DE SEGUR. DIÁ4,5 L=122 CARGA ESTÁT. DE ROT. 60-100N</v>
      </c>
      <c r="K503" s="451" t="str">
        <f>'No Recurrentes 24-26'!K368</f>
        <v>Pza</v>
      </c>
      <c r="L503" s="451">
        <f>'No Recurrentes 24-26'!BC368</f>
        <v>10</v>
      </c>
      <c r="M503" s="451">
        <f>'No Recurrentes 24-26'!BD368</f>
        <v>10</v>
      </c>
      <c r="N503" s="451">
        <f>'No Recurrentes 24-26'!BE368</f>
        <v>10</v>
      </c>
      <c r="O503" s="451" t="str">
        <f>'No Recurrentes 24-26'!BF368</f>
        <v/>
      </c>
      <c r="P503" s="451" t="str">
        <f>'No Recurrentes 24-26'!BG368</f>
        <v/>
      </c>
      <c r="Q503" s="451" t="str">
        <f>'No Recurrentes 24-26'!BH368</f>
        <v/>
      </c>
      <c r="R503" s="451">
        <f>'No Recurrentes 24-26'!BI368</f>
        <v>10</v>
      </c>
      <c r="S503" s="451">
        <f>'No Recurrentes 24-26'!BJ368</f>
        <v>0</v>
      </c>
      <c r="T503" s="451">
        <f>'No Recurrentes 24-26'!BK368</f>
        <v>5</v>
      </c>
      <c r="U503" s="451">
        <f>'No Recurrentes 24-26'!BL368</f>
        <v>10</v>
      </c>
      <c r="V503" s="1068"/>
      <c r="W503" s="1062">
        <f>'No Recurrentes 24-26'!BM368</f>
        <v>55</v>
      </c>
      <c r="X503" s="1062" t="str">
        <f>'No Recurrentes 24-26'!BN368</f>
        <v/>
      </c>
      <c r="Y503" s="1062" t="str">
        <f>'No Recurrentes 24-26'!BO368</f>
        <v/>
      </c>
      <c r="Z503" s="1062" t="str">
        <f>'No Recurrentes 24-26'!BP368</f>
        <v/>
      </c>
      <c r="AA503" s="1062" t="str">
        <f>'No Recurrentes 24-26'!BQ368</f>
        <v/>
      </c>
      <c r="AB503" s="1062" t="str">
        <f>'No Recurrentes 24-26'!BR368</f>
        <v/>
      </c>
      <c r="AC503" s="1062" t="str">
        <f>'No Recurrentes 24-26'!BS368</f>
        <v/>
      </c>
      <c r="AD503" s="1062" t="str">
        <f>'No Recurrentes 24-26'!BT368</f>
        <v/>
      </c>
      <c r="AE503" s="1062" t="str">
        <f>'No Recurrentes 24-26'!BU368</f>
        <v/>
      </c>
      <c r="AF503" s="1062" t="str">
        <f>'No Recurrentes 24-26'!BV368</f>
        <v/>
      </c>
      <c r="AG503" s="1062" t="str">
        <f>'No Recurrentes 24-26'!BW368</f>
        <v/>
      </c>
      <c r="AH503" s="1068"/>
      <c r="AI503" s="1062">
        <f>'No Recurrentes 24-26'!BX368</f>
        <v>0</v>
      </c>
      <c r="AJ503" s="1062">
        <f>'No Recurrentes 24-26'!BY368</f>
        <v>0</v>
      </c>
      <c r="AK503" s="1062">
        <f>'No Recurrentes 24-26'!BZ368</f>
        <v>0</v>
      </c>
      <c r="AL503" s="1062">
        <f>'No Recurrentes 24-26'!CA368</f>
        <v>0</v>
      </c>
      <c r="AM503" s="1062">
        <f>'No Recurrentes 24-26'!CB368</f>
        <v>0</v>
      </c>
      <c r="AN503" s="1062">
        <f>'No Recurrentes 24-26'!CC368</f>
        <v>0</v>
      </c>
      <c r="AO503" s="1062">
        <f>'No Recurrentes 24-26'!CD368</f>
        <v>0</v>
      </c>
      <c r="AP503" s="1062">
        <f>'No Recurrentes 24-26'!CE368</f>
        <v>10</v>
      </c>
      <c r="AQ503" s="1062">
        <f>'No Recurrentes 24-26'!CF368</f>
        <v>0</v>
      </c>
      <c r="AR503" s="1062">
        <f>'No Recurrentes 24-26'!CG368</f>
        <v>5</v>
      </c>
      <c r="AS503" s="1062">
        <f>'No Recurrentes 24-26'!CH368</f>
        <v>10</v>
      </c>
      <c r="AT503" s="1068"/>
      <c r="AU503" s="1062">
        <f>'No Recurrentes 24-26'!CI368</f>
        <v>25</v>
      </c>
      <c r="AV503" s="1062">
        <f>'No Recurrentes 24-26'!CJ368</f>
        <v>80</v>
      </c>
      <c r="AW503" s="1068"/>
      <c r="AX503" s="1065">
        <f>'No Recurrentes 24-26'!CK368</f>
        <v>6</v>
      </c>
      <c r="AY503" s="1062">
        <f>'No Recurrentes 24-26'!CL368</f>
        <v>41.76</v>
      </c>
      <c r="AZ503" s="1068"/>
      <c r="BA503" s="1062">
        <f>'No Recurrentes 24-26'!CM368</f>
        <v>417.6</v>
      </c>
      <c r="BB503" s="1062">
        <f>'No Recurrentes 24-26'!CN368</f>
        <v>417.6</v>
      </c>
      <c r="BC503" s="1062">
        <f>'No Recurrentes 24-26'!CO368</f>
        <v>417.6</v>
      </c>
      <c r="BD503" s="1062">
        <f>'No Recurrentes 24-26'!CP368</f>
        <v>0</v>
      </c>
      <c r="BE503" s="1062">
        <f>'No Recurrentes 24-26'!CQ368</f>
        <v>0</v>
      </c>
      <c r="BF503" s="1062">
        <f>'No Recurrentes 24-26'!CR368</f>
        <v>0</v>
      </c>
      <c r="BG503" s="1062">
        <f>'No Recurrentes 24-26'!CS368</f>
        <v>417.6</v>
      </c>
      <c r="BH503" s="1062">
        <f>'No Recurrentes 24-26'!CT368</f>
        <v>0</v>
      </c>
      <c r="BI503" s="1062">
        <f>'No Recurrentes 24-26'!CU368</f>
        <v>208.8</v>
      </c>
      <c r="BJ503" s="1062">
        <f>'No Recurrentes 24-26'!CV368</f>
        <v>417.6</v>
      </c>
      <c r="BK503" s="1068"/>
      <c r="BL503" s="1062">
        <f>'No Recurrentes 24-26'!CW368</f>
        <v>2296.8</v>
      </c>
      <c r="BM503" s="1062">
        <f>'No Recurrentes 24-26'!CX368</f>
        <v>0</v>
      </c>
      <c r="BN503" s="1062">
        <f>'No Recurrentes 24-26'!CY368</f>
        <v>0</v>
      </c>
      <c r="BO503" s="1062">
        <f>'No Recurrentes 24-26'!CZ368</f>
        <v>0</v>
      </c>
      <c r="BP503" s="1062">
        <f>'No Recurrentes 24-26'!DA368</f>
        <v>0</v>
      </c>
      <c r="BQ503" s="1062">
        <f>'No Recurrentes 24-26'!DB368</f>
        <v>0</v>
      </c>
      <c r="BR503" s="1062">
        <f>'No Recurrentes 24-26'!DC368</f>
        <v>0</v>
      </c>
      <c r="BS503" s="1062">
        <f>'No Recurrentes 24-26'!DD368</f>
        <v>0</v>
      </c>
      <c r="BT503" s="1062">
        <f>'No Recurrentes 24-26'!DE368</f>
        <v>0</v>
      </c>
      <c r="BU503" s="1062">
        <f>'No Recurrentes 24-26'!DF368</f>
        <v>0</v>
      </c>
      <c r="BV503" s="1062">
        <f>'No Recurrentes 24-26'!DG368</f>
        <v>0</v>
      </c>
      <c r="BW503" s="1068"/>
      <c r="BX503" s="1062">
        <f>'No Recurrentes 24-26'!DH368</f>
        <v>0</v>
      </c>
      <c r="BY503" s="1062">
        <f>'No Recurrentes 24-26'!DI368</f>
        <v>0</v>
      </c>
      <c r="BZ503" s="1062">
        <f>'No Recurrentes 24-26'!DJ368</f>
        <v>0</v>
      </c>
      <c r="CA503" s="1062">
        <f>'No Recurrentes 24-26'!DK368</f>
        <v>0</v>
      </c>
      <c r="CB503" s="1062">
        <f>'No Recurrentes 24-26'!DL368</f>
        <v>0</v>
      </c>
      <c r="CC503" s="1062">
        <f>'No Recurrentes 24-26'!DM368</f>
        <v>0</v>
      </c>
      <c r="CD503" s="1062">
        <f>'No Recurrentes 24-26'!DN368</f>
        <v>0</v>
      </c>
      <c r="CE503" s="1062">
        <f>'No Recurrentes 24-26'!DO368</f>
        <v>417.6</v>
      </c>
      <c r="CF503" s="1062">
        <f>'No Recurrentes 24-26'!DP368</f>
        <v>0</v>
      </c>
      <c r="CG503" s="1062">
        <f>'No Recurrentes 24-26'!DQ368</f>
        <v>208.8</v>
      </c>
      <c r="CH503" s="1062">
        <f>'No Recurrentes 24-26'!DR368</f>
        <v>417.6</v>
      </c>
      <c r="CI503" s="1068"/>
      <c r="CJ503" s="1062">
        <f>'No Recurrentes 24-26'!DS368</f>
        <v>1044</v>
      </c>
      <c r="CK503" s="1062">
        <f>'No Recurrentes 24-26'!DT368</f>
        <v>3340.8</v>
      </c>
      <c r="CL503" s="1064" t="str">
        <f>'No Recurrentes 24-26'!DU368</f>
        <v/>
      </c>
      <c r="CM503" s="1064" t="str">
        <f>'No Recurrentes 24-26'!DV368</f>
        <v>Precio Estimado</v>
      </c>
      <c r="CN503" s="1065">
        <f>'No Recurrentes 24-26'!EI364</f>
        <v>11.04</v>
      </c>
      <c r="CO503" s="1065">
        <f>'No Recurrentes 24-26'!EJ364</f>
        <v>9.38</v>
      </c>
      <c r="CP503" s="1060" t="str">
        <f>'No Recurrentes 24-26'!EK364</f>
        <v/>
      </c>
    </row>
    <row r="504">
      <c r="A504" s="451" t="str">
        <f>'No Recurrentes 24-26'!A369</f>
        <v>Repuestos Electromecánicos no recurrentes</v>
      </c>
      <c r="B504" s="451">
        <f>'No Recurrentes 24-26'!B369</f>
        <v>2</v>
      </c>
      <c r="C504" s="451" t="str">
        <f>'No Recurrentes 24-26'!C369</f>
        <v>Torre</v>
      </c>
      <c r="D504" s="451" t="str">
        <f>'No Recurrentes 24-26'!D369</f>
        <v>Sistema de Horquilla</v>
      </c>
      <c r="E504" s="451" t="str">
        <f>'No Recurrentes 24-26'!E369</f>
        <v>Repuesto Eléctrico</v>
      </c>
      <c r="F504" s="451" t="str">
        <f>'No Recurrentes 24-26'!F369</f>
        <v>TDB</v>
      </c>
      <c r="G504" s="1061" t="str">
        <f>'No Recurrentes 24-26'!G369</f>
        <v>39700</v>
      </c>
      <c r="H504" s="1061" t="str">
        <f>'No Recurrentes 24-26'!H369</f>
        <v>2-02-00105</v>
      </c>
      <c r="I504" s="1061" t="str">
        <f>'No Recurrentes 24-26'!I369</f>
        <v>10006291</v>
      </c>
      <c r="J504" s="1061" t="str">
        <f>'No Recurrentes 24-26'!J369</f>
        <v>CONECTOR HEMBRA DIA.7  L=38    P.INTERRUPTOR HORQUILLA</v>
      </c>
      <c r="K504" s="451" t="str">
        <f>'No Recurrentes 24-26'!K369</f>
        <v>Pza</v>
      </c>
      <c r="L504" s="451">
        <f>'No Recurrentes 24-26'!BC369</f>
        <v>10</v>
      </c>
      <c r="M504" s="451">
        <f>'No Recurrentes 24-26'!BD369</f>
        <v>10</v>
      </c>
      <c r="N504" s="451">
        <f>'No Recurrentes 24-26'!BE369</f>
        <v>30</v>
      </c>
      <c r="O504" s="451">
        <f>'No Recurrentes 24-26'!BF369</f>
        <v>20</v>
      </c>
      <c r="P504" s="451">
        <f>'No Recurrentes 24-26'!BG369</f>
        <v>30</v>
      </c>
      <c r="Q504" s="451">
        <f>'No Recurrentes 24-26'!BH369</f>
        <v>50</v>
      </c>
      <c r="R504" s="451">
        <f>'No Recurrentes 24-26'!BI369</f>
        <v>10</v>
      </c>
      <c r="S504" s="451" t="str">
        <f>'No Recurrentes 24-26'!BJ369</f>
        <v/>
      </c>
      <c r="T504" s="451">
        <f>'No Recurrentes 24-26'!BK369</f>
        <v>6</v>
      </c>
      <c r="U504" s="451" t="str">
        <f>'No Recurrentes 24-26'!BL369</f>
        <v/>
      </c>
      <c r="V504" s="1068"/>
      <c r="W504" s="1062">
        <f>'No Recurrentes 24-26'!BM369</f>
        <v>166</v>
      </c>
      <c r="X504" s="1062">
        <f>'No Recurrentes 24-26'!BN369</f>
        <v>10</v>
      </c>
      <c r="Y504" s="1062">
        <f>'No Recurrentes 24-26'!BO369</f>
        <v>10</v>
      </c>
      <c r="Z504" s="1062">
        <f>'No Recurrentes 24-26'!BP369</f>
        <v>30</v>
      </c>
      <c r="AA504" s="1062" t="str">
        <f>'No Recurrentes 24-26'!BQ369</f>
        <v/>
      </c>
      <c r="AB504" s="1062" t="str">
        <f>'No Recurrentes 24-26'!BR369</f>
        <v/>
      </c>
      <c r="AC504" s="1062" t="str">
        <f>'No Recurrentes 24-26'!BS369</f>
        <v/>
      </c>
      <c r="AD504" s="1062" t="str">
        <f>'No Recurrentes 24-26'!BT369</f>
        <v/>
      </c>
      <c r="AE504" s="1062" t="str">
        <f>'No Recurrentes 24-26'!BU369</f>
        <v/>
      </c>
      <c r="AF504" s="1062" t="str">
        <f>'No Recurrentes 24-26'!BV369</f>
        <v/>
      </c>
      <c r="AG504" s="1062" t="str">
        <f>'No Recurrentes 24-26'!BW369</f>
        <v/>
      </c>
      <c r="AH504" s="1068"/>
      <c r="AI504" s="1062">
        <f>'No Recurrentes 24-26'!BX369</f>
        <v>50</v>
      </c>
      <c r="AJ504" s="1062">
        <f>'No Recurrentes 24-26'!BY369</f>
        <v>0</v>
      </c>
      <c r="AK504" s="1062">
        <f>'No Recurrentes 24-26'!BZ369</f>
        <v>0</v>
      </c>
      <c r="AL504" s="1062">
        <f>'No Recurrentes 24-26'!CA369</f>
        <v>0</v>
      </c>
      <c r="AM504" s="1062">
        <f>'No Recurrentes 24-26'!CB369</f>
        <v>0</v>
      </c>
      <c r="AN504" s="1062">
        <f>'No Recurrentes 24-26'!CC369</f>
        <v>0</v>
      </c>
      <c r="AO504" s="1062">
        <f>'No Recurrentes 24-26'!CD369</f>
        <v>0</v>
      </c>
      <c r="AP504" s="1062">
        <f>'No Recurrentes 24-26'!CE369</f>
        <v>0</v>
      </c>
      <c r="AQ504" s="1062">
        <f>'No Recurrentes 24-26'!CF369</f>
        <v>0</v>
      </c>
      <c r="AR504" s="1062">
        <f>'No Recurrentes 24-26'!CG369</f>
        <v>0</v>
      </c>
      <c r="AS504" s="1062">
        <f>'No Recurrentes 24-26'!CH369</f>
        <v>0</v>
      </c>
      <c r="AT504" s="1068"/>
      <c r="AU504" s="1062">
        <f>'No Recurrentes 24-26'!CI369</f>
        <v>0</v>
      </c>
      <c r="AV504" s="1062">
        <f>'No Recurrentes 24-26'!CJ369</f>
        <v>216</v>
      </c>
      <c r="AW504" s="1068"/>
      <c r="AX504" s="1065">
        <f>'No Recurrentes 24-26'!CK369</f>
        <v>1.61</v>
      </c>
      <c r="AY504" s="1062">
        <f>'No Recurrentes 24-26'!CL369</f>
        <v>11.2056</v>
      </c>
      <c r="AZ504" s="1068"/>
      <c r="BA504" s="1062">
        <f>'No Recurrentes 24-26'!CM369</f>
        <v>112.056</v>
      </c>
      <c r="BB504" s="1062">
        <f>'No Recurrentes 24-26'!CN369</f>
        <v>112.056</v>
      </c>
      <c r="BC504" s="1062">
        <f>'No Recurrentes 24-26'!CO369</f>
        <v>336.168</v>
      </c>
      <c r="BD504" s="1062">
        <f>'No Recurrentes 24-26'!CP369</f>
        <v>224.112</v>
      </c>
      <c r="BE504" s="1062">
        <f>'No Recurrentes 24-26'!CQ369</f>
        <v>336.168</v>
      </c>
      <c r="BF504" s="1062">
        <f>'No Recurrentes 24-26'!CR369</f>
        <v>560.28</v>
      </c>
      <c r="BG504" s="1062">
        <f>'No Recurrentes 24-26'!CS369</f>
        <v>112.056</v>
      </c>
      <c r="BH504" s="1062">
        <f>'No Recurrentes 24-26'!CT369</f>
        <v>0</v>
      </c>
      <c r="BI504" s="1062">
        <f>'No Recurrentes 24-26'!CU369</f>
        <v>67.2336</v>
      </c>
      <c r="BJ504" s="1062">
        <f>'No Recurrentes 24-26'!CV369</f>
        <v>0</v>
      </c>
      <c r="BK504" s="1068"/>
      <c r="BL504" s="1062">
        <f>'No Recurrentes 24-26'!CW369</f>
        <v>1860.1296</v>
      </c>
      <c r="BM504" s="1062">
        <f>'No Recurrentes 24-26'!CX369</f>
        <v>112.056</v>
      </c>
      <c r="BN504" s="1062">
        <f>'No Recurrentes 24-26'!CY369</f>
        <v>112.056</v>
      </c>
      <c r="BO504" s="1062">
        <f>'No Recurrentes 24-26'!CZ369</f>
        <v>336.168</v>
      </c>
      <c r="BP504" s="1062">
        <f>'No Recurrentes 24-26'!DA369</f>
        <v>0</v>
      </c>
      <c r="BQ504" s="1062">
        <f>'No Recurrentes 24-26'!DB369</f>
        <v>0</v>
      </c>
      <c r="BR504" s="1062">
        <f>'No Recurrentes 24-26'!DC369</f>
        <v>0</v>
      </c>
      <c r="BS504" s="1062">
        <f>'No Recurrentes 24-26'!DD369</f>
        <v>0</v>
      </c>
      <c r="BT504" s="1062">
        <f>'No Recurrentes 24-26'!DE369</f>
        <v>0</v>
      </c>
      <c r="BU504" s="1062">
        <f>'No Recurrentes 24-26'!DF369</f>
        <v>0</v>
      </c>
      <c r="BV504" s="1062">
        <f>'No Recurrentes 24-26'!DG369</f>
        <v>0</v>
      </c>
      <c r="BW504" s="1068"/>
      <c r="BX504" s="1062">
        <f>'No Recurrentes 24-26'!DH369</f>
        <v>560.28</v>
      </c>
      <c r="BY504" s="1062">
        <f>'No Recurrentes 24-26'!DI369</f>
        <v>0</v>
      </c>
      <c r="BZ504" s="1062">
        <f>'No Recurrentes 24-26'!DJ369</f>
        <v>0</v>
      </c>
      <c r="CA504" s="1062">
        <f>'No Recurrentes 24-26'!DK369</f>
        <v>0</v>
      </c>
      <c r="CB504" s="1062">
        <f>'No Recurrentes 24-26'!DL369</f>
        <v>0</v>
      </c>
      <c r="CC504" s="1062">
        <f>'No Recurrentes 24-26'!DM369</f>
        <v>0</v>
      </c>
      <c r="CD504" s="1062">
        <f>'No Recurrentes 24-26'!DN369</f>
        <v>0</v>
      </c>
      <c r="CE504" s="1062">
        <f>'No Recurrentes 24-26'!DO369</f>
        <v>0</v>
      </c>
      <c r="CF504" s="1062">
        <f>'No Recurrentes 24-26'!DP369</f>
        <v>0</v>
      </c>
      <c r="CG504" s="1062">
        <f>'No Recurrentes 24-26'!DQ369</f>
        <v>0</v>
      </c>
      <c r="CH504" s="1062">
        <f>'No Recurrentes 24-26'!DR369</f>
        <v>0</v>
      </c>
      <c r="CI504" s="1068"/>
      <c r="CJ504" s="1062">
        <f>'No Recurrentes 24-26'!DS369</f>
        <v>0</v>
      </c>
      <c r="CK504" s="1062">
        <f>'No Recurrentes 24-26'!DT369</f>
        <v>2420.4096</v>
      </c>
      <c r="CL504" s="1064" t="str">
        <f>'No Recurrentes 24-26'!DU369</f>
        <v/>
      </c>
      <c r="CM504" s="1064" t="str">
        <f>'No Recurrentes 24-26'!DV369</f>
        <v>Se tenian duplicados</v>
      </c>
      <c r="CN504" s="1065">
        <f>'No Recurrentes 24-26'!EI365</f>
        <v>23.34</v>
      </c>
      <c r="CO504" s="1065">
        <f>'No Recurrentes 24-26'!EJ365</f>
        <v>19.84</v>
      </c>
      <c r="CP504" s="1060" t="str">
        <f>'No Recurrentes 24-26'!EK365</f>
        <v/>
      </c>
    </row>
    <row r="505">
      <c r="A505" s="451" t="str">
        <f>'No Recurrentes 24-26'!A370</f>
        <v>Repuestos Electromecánicos no recurrentes</v>
      </c>
      <c r="B505" s="451">
        <f>'No Recurrentes 24-26'!B370</f>
        <v>2</v>
      </c>
      <c r="C505" s="451" t="str">
        <f>'No Recurrentes 24-26'!C370</f>
        <v>Torre</v>
      </c>
      <c r="D505" s="451" t="str">
        <f>'No Recurrentes 24-26'!D370</f>
        <v>Sistema de Horquilla</v>
      </c>
      <c r="E505" s="451" t="str">
        <f>'No Recurrentes 24-26'!E370</f>
        <v>Repuesto Eléctrico</v>
      </c>
      <c r="F505" s="451" t="str">
        <f>'No Recurrentes 24-26'!F370</f>
        <v>TDB</v>
      </c>
      <c r="G505" s="1025" t="str">
        <f>'No Recurrentes 24-26'!G370</f>
        <v>39800</v>
      </c>
      <c r="H505" s="1061" t="str">
        <f>'No Recurrentes 24-26'!H370</f>
        <v>2-01-00181</v>
      </c>
      <c r="I505" s="1061" t="str">
        <f>'No Recurrentes 24-26'!I370</f>
        <v>10006292</v>
      </c>
      <c r="J505" s="1061" t="str">
        <f>'No Recurrentes 24-26'!J370</f>
        <v>TORNILLO DE FIJACION M10X25    P. INTERRUPTOR DE HORQUILLA</v>
      </c>
      <c r="K505" s="451" t="str">
        <f>'No Recurrentes 24-26'!K370</f>
        <v>Pza</v>
      </c>
      <c r="L505" s="451" t="str">
        <f>'No Recurrentes 24-26'!BC370</f>
        <v/>
      </c>
      <c r="M505" s="451" t="str">
        <f>'No Recurrentes 24-26'!BD370</f>
        <v/>
      </c>
      <c r="N505" s="451">
        <f>'No Recurrentes 24-26'!BE370</f>
        <v>10</v>
      </c>
      <c r="O505" s="451">
        <f>'No Recurrentes 24-26'!BF370</f>
        <v>10</v>
      </c>
      <c r="P505" s="451">
        <f>'No Recurrentes 24-26'!BG370</f>
        <v>10</v>
      </c>
      <c r="Q505" s="451">
        <f>'No Recurrentes 24-26'!BH370</f>
        <v>10</v>
      </c>
      <c r="R505" s="451" t="str">
        <f>'No Recurrentes 24-26'!BI370</f>
        <v/>
      </c>
      <c r="S505" s="451" t="str">
        <f>'No Recurrentes 24-26'!BJ370</f>
        <v/>
      </c>
      <c r="T505" s="451" t="str">
        <f>'No Recurrentes 24-26'!BK370</f>
        <v/>
      </c>
      <c r="U505" s="451">
        <f>'No Recurrentes 24-26'!BL370</f>
        <v>0</v>
      </c>
      <c r="V505" s="1068"/>
      <c r="W505" s="1062">
        <f>'No Recurrentes 24-26'!BM370</f>
        <v>40</v>
      </c>
      <c r="X505" s="1062" t="str">
        <f>'No Recurrentes 24-26'!BN370</f>
        <v/>
      </c>
      <c r="Y505" s="1062" t="str">
        <f>'No Recurrentes 24-26'!BO370</f>
        <v/>
      </c>
      <c r="Z505" s="1062" t="str">
        <f>'No Recurrentes 24-26'!BP370</f>
        <v/>
      </c>
      <c r="AA505" s="1062" t="str">
        <f>'No Recurrentes 24-26'!BQ370</f>
        <v/>
      </c>
      <c r="AB505" s="1062" t="str">
        <f>'No Recurrentes 24-26'!BR370</f>
        <v/>
      </c>
      <c r="AC505" s="1062" t="str">
        <f>'No Recurrentes 24-26'!BS370</f>
        <v/>
      </c>
      <c r="AD505" s="1062" t="str">
        <f>'No Recurrentes 24-26'!BT370</f>
        <v/>
      </c>
      <c r="AE505" s="1062" t="str">
        <f>'No Recurrentes 24-26'!BU370</f>
        <v/>
      </c>
      <c r="AF505" s="1062" t="str">
        <f>'No Recurrentes 24-26'!BV370</f>
        <v/>
      </c>
      <c r="AG505" s="1062">
        <f>'No Recurrentes 24-26'!BW370</f>
        <v>10</v>
      </c>
      <c r="AH505" s="1068"/>
      <c r="AI505" s="1062">
        <f>'No Recurrentes 24-26'!BX370</f>
        <v>10</v>
      </c>
      <c r="AJ505" s="1062" t="str">
        <f>'No Recurrentes 24-26'!BY370</f>
        <v/>
      </c>
      <c r="AK505" s="1062">
        <f>'No Recurrentes 24-26'!BZ370</f>
        <v>10</v>
      </c>
      <c r="AL505" s="1062">
        <f>'No Recurrentes 24-26'!CA370</f>
        <v>10</v>
      </c>
      <c r="AM505" s="1062">
        <f>'No Recurrentes 24-26'!CB370</f>
        <v>10</v>
      </c>
      <c r="AN505" s="1062">
        <f>'No Recurrentes 24-26'!CC370</f>
        <v>10</v>
      </c>
      <c r="AO505" s="1062">
        <f>'No Recurrentes 24-26'!CD370</f>
        <v>10</v>
      </c>
      <c r="AP505" s="1062">
        <f>'No Recurrentes 24-26'!CE370</f>
        <v>0</v>
      </c>
      <c r="AQ505" s="1062">
        <f>'No Recurrentes 24-26'!CF370</f>
        <v>0</v>
      </c>
      <c r="AR505" s="1062">
        <f>'No Recurrentes 24-26'!CG370</f>
        <v>0</v>
      </c>
      <c r="AS505" s="1062">
        <f>'No Recurrentes 24-26'!CH370</f>
        <v>0</v>
      </c>
      <c r="AT505" s="1068"/>
      <c r="AU505" s="1062">
        <f>'No Recurrentes 24-26'!CI370</f>
        <v>50</v>
      </c>
      <c r="AV505" s="1063">
        <f>'No Recurrentes 24-26'!CJ370</f>
        <v>100</v>
      </c>
      <c r="AW505" s="1068"/>
      <c r="AX505" s="1065">
        <f>'No Recurrentes 24-26'!CK370</f>
        <v>0.81</v>
      </c>
      <c r="AY505" s="1062">
        <f>'No Recurrentes 24-26'!CL370</f>
        <v>5.6376</v>
      </c>
      <c r="AZ505" s="1068"/>
      <c r="BA505" s="1062">
        <f>'No Recurrentes 24-26'!CM370</f>
        <v>0</v>
      </c>
      <c r="BB505" s="1062">
        <f>'No Recurrentes 24-26'!CN370</f>
        <v>0</v>
      </c>
      <c r="BC505" s="1062">
        <f>'No Recurrentes 24-26'!CO370</f>
        <v>56.376</v>
      </c>
      <c r="BD505" s="1062">
        <f>'No Recurrentes 24-26'!CP370</f>
        <v>56.376</v>
      </c>
      <c r="BE505" s="1062">
        <f>'No Recurrentes 24-26'!CQ370</f>
        <v>56.376</v>
      </c>
      <c r="BF505" s="1062">
        <f>'No Recurrentes 24-26'!CR370</f>
        <v>56.376</v>
      </c>
      <c r="BG505" s="1062">
        <f>'No Recurrentes 24-26'!CS370</f>
        <v>0</v>
      </c>
      <c r="BH505" s="1062">
        <f>'No Recurrentes 24-26'!CT370</f>
        <v>0</v>
      </c>
      <c r="BI505" s="1062">
        <f>'No Recurrentes 24-26'!CU370</f>
        <v>0</v>
      </c>
      <c r="BJ505" s="1062">
        <f>'No Recurrentes 24-26'!CV370</f>
        <v>0</v>
      </c>
      <c r="BK505" s="1068"/>
      <c r="BL505" s="1062">
        <f>'No Recurrentes 24-26'!CW370</f>
        <v>225.504</v>
      </c>
      <c r="BM505" s="1062">
        <f>'No Recurrentes 24-26'!CX370</f>
        <v>0</v>
      </c>
      <c r="BN505" s="1062">
        <f>'No Recurrentes 24-26'!CY370</f>
        <v>0</v>
      </c>
      <c r="BO505" s="1062">
        <f>'No Recurrentes 24-26'!CZ370</f>
        <v>0</v>
      </c>
      <c r="BP505" s="1062">
        <f>'No Recurrentes 24-26'!DA370</f>
        <v>0</v>
      </c>
      <c r="BQ505" s="1062">
        <f>'No Recurrentes 24-26'!DB370</f>
        <v>0</v>
      </c>
      <c r="BR505" s="1062">
        <f>'No Recurrentes 24-26'!DC370</f>
        <v>0</v>
      </c>
      <c r="BS505" s="1062">
        <f>'No Recurrentes 24-26'!DD370</f>
        <v>0</v>
      </c>
      <c r="BT505" s="1062">
        <f>'No Recurrentes 24-26'!DE370</f>
        <v>0</v>
      </c>
      <c r="BU505" s="1062">
        <f>'No Recurrentes 24-26'!DF370</f>
        <v>0</v>
      </c>
      <c r="BV505" s="1062">
        <f>'No Recurrentes 24-26'!DG370</f>
        <v>56.376</v>
      </c>
      <c r="BW505" s="1068"/>
      <c r="BX505" s="1062">
        <f>'No Recurrentes 24-26'!DH370</f>
        <v>56.376</v>
      </c>
      <c r="BY505" s="1062">
        <f>'No Recurrentes 24-26'!DI370</f>
        <v>0</v>
      </c>
      <c r="BZ505" s="1062">
        <f>'No Recurrentes 24-26'!DJ370</f>
        <v>56.376</v>
      </c>
      <c r="CA505" s="1062">
        <f>'No Recurrentes 24-26'!DK370</f>
        <v>56.376</v>
      </c>
      <c r="CB505" s="1062">
        <f>'No Recurrentes 24-26'!DL370</f>
        <v>56.376</v>
      </c>
      <c r="CC505" s="1062">
        <f>'No Recurrentes 24-26'!DM370</f>
        <v>56.376</v>
      </c>
      <c r="CD505" s="1062">
        <f>'No Recurrentes 24-26'!DN370</f>
        <v>56.376</v>
      </c>
      <c r="CE505" s="1062">
        <f>'No Recurrentes 24-26'!DO370</f>
        <v>0</v>
      </c>
      <c r="CF505" s="1062">
        <f>'No Recurrentes 24-26'!DP370</f>
        <v>0</v>
      </c>
      <c r="CG505" s="1062">
        <f>'No Recurrentes 24-26'!DQ370</f>
        <v>0</v>
      </c>
      <c r="CH505" s="1062">
        <f>'No Recurrentes 24-26'!DR370</f>
        <v>0</v>
      </c>
      <c r="CI505" s="1068"/>
      <c r="CJ505" s="1062">
        <f>'No Recurrentes 24-26'!DS370</f>
        <v>281.88</v>
      </c>
      <c r="CK505" s="1062">
        <f>'No Recurrentes 24-26'!DT370</f>
        <v>563.76</v>
      </c>
      <c r="CL505" s="1064" t="str">
        <f>'No Recurrentes 24-26'!DU370</f>
        <v/>
      </c>
      <c r="CM505" s="1064" t="str">
        <f>'No Recurrentes 24-26'!DV370</f>
        <v/>
      </c>
      <c r="CN505" s="1065">
        <f>'No Recurrentes 24-26'!EI366</f>
        <v>10.31</v>
      </c>
      <c r="CO505" s="1065">
        <f>'No Recurrentes 24-26'!EJ366</f>
        <v>8.76</v>
      </c>
      <c r="CP505" s="1060" t="str">
        <f>'No Recurrentes 24-26'!EK366</f>
        <v/>
      </c>
    </row>
    <row r="506">
      <c r="A506" s="451" t="str">
        <f>'No Recurrentes 24-26'!A371</f>
        <v>Repuestos Electromecánicos no recurrentes</v>
      </c>
      <c r="B506" s="451">
        <f>'No Recurrentes 24-26'!B371</f>
        <v>2</v>
      </c>
      <c r="C506" s="451" t="str">
        <f>'No Recurrentes 24-26'!C371</f>
        <v>Torre</v>
      </c>
      <c r="D506" s="451" t="str">
        <f>'No Recurrentes 24-26'!D371</f>
        <v>Sistema de Horquilla</v>
      </c>
      <c r="E506" s="451" t="str">
        <f>'No Recurrentes 24-26'!E371</f>
        <v>Repuesto Eléctrico</v>
      </c>
      <c r="F506" s="451" t="str">
        <f>'No Recurrentes 24-26'!F371</f>
        <v>TDB</v>
      </c>
      <c r="G506" s="1061" t="str">
        <f>'No Recurrentes 24-26'!G371</f>
        <v>39700</v>
      </c>
      <c r="H506" s="1061" t="str">
        <f>'No Recurrentes 24-26'!H371</f>
        <v>2-01-00182</v>
      </c>
      <c r="I506" s="1061" t="str">
        <f>'No Recurrentes 24-26'!I371</f>
        <v>10166095</v>
      </c>
      <c r="J506" s="1061" t="str">
        <f>'No Recurrentes 24-26'!J371</f>
        <v>RACOR ATORN.P.CAB.HSK-K  PG 16 NEGRO, N° DE PED.1.597.1605.01</v>
      </c>
      <c r="K506" s="451" t="str">
        <f>'No Recurrentes 24-26'!K371</f>
        <v>Pza</v>
      </c>
      <c r="L506" s="451" t="str">
        <f>'No Recurrentes 24-26'!BC371</f>
        <v/>
      </c>
      <c r="M506" s="451" t="str">
        <f>'No Recurrentes 24-26'!BD371</f>
        <v/>
      </c>
      <c r="N506" s="451" t="str">
        <f>'No Recurrentes 24-26'!BE371</f>
        <v/>
      </c>
      <c r="O506" s="451">
        <f>'No Recurrentes 24-26'!BF371</f>
        <v>10</v>
      </c>
      <c r="P506" s="451">
        <f>'No Recurrentes 24-26'!BG371</f>
        <v>10</v>
      </c>
      <c r="Q506" s="451">
        <f>'No Recurrentes 24-26'!BH371</f>
        <v>10</v>
      </c>
      <c r="R506" s="451" t="str">
        <f>'No Recurrentes 24-26'!BI371</f>
        <v/>
      </c>
      <c r="S506" s="451" t="str">
        <f>'No Recurrentes 24-26'!BJ371</f>
        <v/>
      </c>
      <c r="T506" s="451" t="str">
        <f>'No Recurrentes 24-26'!BK371</f>
        <v/>
      </c>
      <c r="U506" s="451" t="str">
        <f>'No Recurrentes 24-26'!BL371</f>
        <v/>
      </c>
      <c r="V506" s="1068"/>
      <c r="W506" s="1062">
        <f>'No Recurrentes 24-26'!BM371</f>
        <v>30</v>
      </c>
      <c r="X506" s="1062" t="str">
        <f>'No Recurrentes 24-26'!BN371</f>
        <v/>
      </c>
      <c r="Y506" s="1062" t="str">
        <f>'No Recurrentes 24-26'!BO371</f>
        <v/>
      </c>
      <c r="Z506" s="1062" t="str">
        <f>'No Recurrentes 24-26'!BP371</f>
        <v/>
      </c>
      <c r="AA506" s="1062" t="str">
        <f>'No Recurrentes 24-26'!BQ371</f>
        <v/>
      </c>
      <c r="AB506" s="1062" t="str">
        <f>'No Recurrentes 24-26'!BR371</f>
        <v/>
      </c>
      <c r="AC506" s="1062" t="str">
        <f>'No Recurrentes 24-26'!BS371</f>
        <v/>
      </c>
      <c r="AD506" s="1062" t="str">
        <f>'No Recurrentes 24-26'!BT371</f>
        <v/>
      </c>
      <c r="AE506" s="1062" t="str">
        <f>'No Recurrentes 24-26'!BU371</f>
        <v/>
      </c>
      <c r="AF506" s="1062" t="str">
        <f>'No Recurrentes 24-26'!BV371</f>
        <v/>
      </c>
      <c r="AG506" s="1062" t="str">
        <f>'No Recurrentes 24-26'!BW371</f>
        <v/>
      </c>
      <c r="AH506" s="1068"/>
      <c r="AI506" s="1062">
        <f>'No Recurrentes 24-26'!BX371</f>
        <v>0</v>
      </c>
      <c r="AJ506" s="1062">
        <f>'No Recurrentes 24-26'!BY371</f>
        <v>0</v>
      </c>
      <c r="AK506" s="1062">
        <f>'No Recurrentes 24-26'!BZ371</f>
        <v>0</v>
      </c>
      <c r="AL506" s="1062">
        <f>'No Recurrentes 24-26'!CA371</f>
        <v>0</v>
      </c>
      <c r="AM506" s="1062">
        <f>'No Recurrentes 24-26'!CB371</f>
        <v>10</v>
      </c>
      <c r="AN506" s="1062">
        <f>'No Recurrentes 24-26'!CC371</f>
        <v>10</v>
      </c>
      <c r="AO506" s="1062">
        <f>'No Recurrentes 24-26'!CD371</f>
        <v>10</v>
      </c>
      <c r="AP506" s="1062">
        <f>'No Recurrentes 24-26'!CE371</f>
        <v>0</v>
      </c>
      <c r="AQ506" s="1062">
        <f>'No Recurrentes 24-26'!CF371</f>
        <v>0</v>
      </c>
      <c r="AR506" s="1062">
        <f>'No Recurrentes 24-26'!CG371</f>
        <v>0</v>
      </c>
      <c r="AS506" s="1062">
        <f>'No Recurrentes 24-26'!CH371</f>
        <v>0</v>
      </c>
      <c r="AT506" s="1068"/>
      <c r="AU506" s="1062">
        <f>'No Recurrentes 24-26'!CI371</f>
        <v>30</v>
      </c>
      <c r="AV506" s="1063">
        <f>'No Recurrentes 24-26'!CJ371</f>
        <v>60</v>
      </c>
      <c r="AW506" s="1068"/>
      <c r="AX506" s="1065">
        <f>'No Recurrentes 24-26'!CK371</f>
        <v>4</v>
      </c>
      <c r="AY506" s="1062">
        <f>'No Recurrentes 24-26'!CL371</f>
        <v>27.84</v>
      </c>
      <c r="AZ506" s="1068"/>
      <c r="BA506" s="1062">
        <f>'No Recurrentes 24-26'!CM371</f>
        <v>0</v>
      </c>
      <c r="BB506" s="1062">
        <f>'No Recurrentes 24-26'!CN371</f>
        <v>0</v>
      </c>
      <c r="BC506" s="1062">
        <f>'No Recurrentes 24-26'!CO371</f>
        <v>0</v>
      </c>
      <c r="BD506" s="1062">
        <f>'No Recurrentes 24-26'!CP371</f>
        <v>278.4</v>
      </c>
      <c r="BE506" s="1062">
        <f>'No Recurrentes 24-26'!CQ371</f>
        <v>278.4</v>
      </c>
      <c r="BF506" s="1062">
        <f>'No Recurrentes 24-26'!CR371</f>
        <v>278.4</v>
      </c>
      <c r="BG506" s="1062">
        <f>'No Recurrentes 24-26'!CS371</f>
        <v>0</v>
      </c>
      <c r="BH506" s="1062">
        <f>'No Recurrentes 24-26'!CT371</f>
        <v>0</v>
      </c>
      <c r="BI506" s="1062">
        <f>'No Recurrentes 24-26'!CU371</f>
        <v>0</v>
      </c>
      <c r="BJ506" s="1062">
        <f>'No Recurrentes 24-26'!CV371</f>
        <v>0</v>
      </c>
      <c r="BK506" s="1068"/>
      <c r="BL506" s="1062">
        <f>'No Recurrentes 24-26'!CW371</f>
        <v>835.2</v>
      </c>
      <c r="BM506" s="1062">
        <f>'No Recurrentes 24-26'!CX371</f>
        <v>0</v>
      </c>
      <c r="BN506" s="1062">
        <f>'No Recurrentes 24-26'!CY371</f>
        <v>0</v>
      </c>
      <c r="BO506" s="1062">
        <f>'No Recurrentes 24-26'!CZ371</f>
        <v>0</v>
      </c>
      <c r="BP506" s="1062">
        <f>'No Recurrentes 24-26'!DA371</f>
        <v>0</v>
      </c>
      <c r="BQ506" s="1062">
        <f>'No Recurrentes 24-26'!DB371</f>
        <v>0</v>
      </c>
      <c r="BR506" s="1062">
        <f>'No Recurrentes 24-26'!DC371</f>
        <v>0</v>
      </c>
      <c r="BS506" s="1062">
        <f>'No Recurrentes 24-26'!DD371</f>
        <v>0</v>
      </c>
      <c r="BT506" s="1062">
        <f>'No Recurrentes 24-26'!DE371</f>
        <v>0</v>
      </c>
      <c r="BU506" s="1062">
        <f>'No Recurrentes 24-26'!DF371</f>
        <v>0</v>
      </c>
      <c r="BV506" s="1062">
        <f>'No Recurrentes 24-26'!DG371</f>
        <v>0</v>
      </c>
      <c r="BW506" s="1068"/>
      <c r="BX506" s="1062">
        <f>'No Recurrentes 24-26'!DH371</f>
        <v>0</v>
      </c>
      <c r="BY506" s="1062">
        <f>'No Recurrentes 24-26'!DI371</f>
        <v>0</v>
      </c>
      <c r="BZ506" s="1062">
        <f>'No Recurrentes 24-26'!DJ371</f>
        <v>0</v>
      </c>
      <c r="CA506" s="1062">
        <f>'No Recurrentes 24-26'!DK371</f>
        <v>0</v>
      </c>
      <c r="CB506" s="1062">
        <f>'No Recurrentes 24-26'!DL371</f>
        <v>278.4</v>
      </c>
      <c r="CC506" s="1062">
        <f>'No Recurrentes 24-26'!DM371</f>
        <v>278.4</v>
      </c>
      <c r="CD506" s="1062">
        <f>'No Recurrentes 24-26'!DN371</f>
        <v>278.4</v>
      </c>
      <c r="CE506" s="1062">
        <f>'No Recurrentes 24-26'!DO371</f>
        <v>0</v>
      </c>
      <c r="CF506" s="1062">
        <f>'No Recurrentes 24-26'!DP371</f>
        <v>0</v>
      </c>
      <c r="CG506" s="1062">
        <f>'No Recurrentes 24-26'!DQ371</f>
        <v>0</v>
      </c>
      <c r="CH506" s="1062">
        <f>'No Recurrentes 24-26'!DR371</f>
        <v>0</v>
      </c>
      <c r="CI506" s="1068"/>
      <c r="CJ506" s="1062">
        <f>'No Recurrentes 24-26'!DS371</f>
        <v>835.2</v>
      </c>
      <c r="CK506" s="1062">
        <f>'No Recurrentes 24-26'!DT371</f>
        <v>1670.4</v>
      </c>
      <c r="CL506" s="1064" t="str">
        <f>'No Recurrentes 24-26'!DU371</f>
        <v/>
      </c>
      <c r="CM506" s="1064" t="str">
        <f>'No Recurrentes 24-26'!DV371</f>
        <v>El ID correspondia a otro item, se corrigio ID</v>
      </c>
      <c r="CN506" s="1065">
        <f>'No Recurrentes 24-26'!EI367</f>
        <v>10.31</v>
      </c>
      <c r="CO506" s="1065">
        <f>'No Recurrentes 24-26'!EJ367</f>
        <v>8.76</v>
      </c>
      <c r="CP506" s="1060" t="str">
        <f>'No Recurrentes 24-26'!EK367</f>
        <v/>
      </c>
    </row>
    <row r="507">
      <c r="A507" s="451" t="str">
        <f>'No Recurrentes 24-26'!A372</f>
        <v>Repuestos Electromecánicos no recurrentes</v>
      </c>
      <c r="B507" s="451">
        <f>'No Recurrentes 24-26'!B372</f>
        <v>2</v>
      </c>
      <c r="C507" s="451" t="str">
        <f>'No Recurrentes 24-26'!C372</f>
        <v>Torre</v>
      </c>
      <c r="D507" s="451" t="str">
        <f>'No Recurrentes 24-26'!D372</f>
        <v>Sistema de Horquilla</v>
      </c>
      <c r="E507" s="451" t="str">
        <f>'No Recurrentes 24-26'!E372</f>
        <v>Repuesto Eléctrico</v>
      </c>
      <c r="F507" s="451" t="str">
        <f>'No Recurrentes 24-26'!F372</f>
        <v>TDB</v>
      </c>
      <c r="G507" s="1061" t="str">
        <f>'No Recurrentes 24-26'!G372</f>
        <v>39700</v>
      </c>
      <c r="H507" s="1061" t="str">
        <f>'No Recurrentes 24-26'!H372</f>
        <v>2-01-00099</v>
      </c>
      <c r="I507" s="1061" t="str">
        <f>'No Recurrentes 24-26'!I372</f>
        <v>10001088</v>
      </c>
      <c r="J507" s="1061" t="str">
        <f>'No Recurrentes 24-26'!J372</f>
        <v>TORNILLO ISO1207  MS  M 3,5X12 CABEZA CIL.CON RANURA (DIN84)</v>
      </c>
      <c r="K507" s="451" t="str">
        <f>'No Recurrentes 24-26'!K372</f>
        <v>Pza</v>
      </c>
      <c r="L507" s="451" t="str">
        <f>'No Recurrentes 24-26'!BC372</f>
        <v/>
      </c>
      <c r="M507" s="451" t="str">
        <f>'No Recurrentes 24-26'!BD372</f>
        <v/>
      </c>
      <c r="N507" s="451" t="str">
        <f>'No Recurrentes 24-26'!BE372</f>
        <v/>
      </c>
      <c r="O507" s="451">
        <f>'No Recurrentes 24-26'!BF372</f>
        <v>20</v>
      </c>
      <c r="P507" s="451">
        <f>'No Recurrentes 24-26'!BG372</f>
        <v>30</v>
      </c>
      <c r="Q507" s="451">
        <f>'No Recurrentes 24-26'!BH372</f>
        <v>50</v>
      </c>
      <c r="R507" s="451" t="str">
        <f>'No Recurrentes 24-26'!BI372</f>
        <v/>
      </c>
      <c r="S507" s="451" t="str">
        <f>'No Recurrentes 24-26'!BJ372</f>
        <v/>
      </c>
      <c r="T507" s="451" t="str">
        <f>'No Recurrentes 24-26'!BK372</f>
        <v/>
      </c>
      <c r="U507" s="451" t="str">
        <f>'No Recurrentes 24-26'!BL372</f>
        <v/>
      </c>
      <c r="V507" s="1068"/>
      <c r="W507" s="1062">
        <f>'No Recurrentes 24-26'!BM372</f>
        <v>100</v>
      </c>
      <c r="X507" s="1062" t="str">
        <f>'No Recurrentes 24-26'!BN372</f>
        <v/>
      </c>
      <c r="Y507" s="1062" t="str">
        <f>'No Recurrentes 24-26'!BO372</f>
        <v/>
      </c>
      <c r="Z507" s="1062" t="str">
        <f>'No Recurrentes 24-26'!BP372</f>
        <v/>
      </c>
      <c r="AA507" s="1062" t="str">
        <f>'No Recurrentes 24-26'!BQ372</f>
        <v/>
      </c>
      <c r="AB507" s="1062" t="str">
        <f>'No Recurrentes 24-26'!BR372</f>
        <v/>
      </c>
      <c r="AC507" s="1062" t="str">
        <f>'No Recurrentes 24-26'!BS372</f>
        <v/>
      </c>
      <c r="AD507" s="1062" t="str">
        <f>'No Recurrentes 24-26'!BT372</f>
        <v/>
      </c>
      <c r="AE507" s="1062" t="str">
        <f>'No Recurrentes 24-26'!BU372</f>
        <v/>
      </c>
      <c r="AF507" s="1062" t="str">
        <f>'No Recurrentes 24-26'!BV372</f>
        <v/>
      </c>
      <c r="AG507" s="1062" t="str">
        <f>'No Recurrentes 24-26'!BW372</f>
        <v/>
      </c>
      <c r="AH507" s="1068"/>
      <c r="AI507" s="1062">
        <f>'No Recurrentes 24-26'!BX372</f>
        <v>0</v>
      </c>
      <c r="AJ507" s="1062">
        <f>'No Recurrentes 24-26'!BY372</f>
        <v>0</v>
      </c>
      <c r="AK507" s="1062">
        <f>'No Recurrentes 24-26'!BZ372</f>
        <v>0</v>
      </c>
      <c r="AL507" s="1062">
        <f>'No Recurrentes 24-26'!CA372</f>
        <v>0</v>
      </c>
      <c r="AM507" s="1062">
        <f>'No Recurrentes 24-26'!CB372</f>
        <v>20</v>
      </c>
      <c r="AN507" s="1062">
        <f>'No Recurrentes 24-26'!CC372</f>
        <v>30</v>
      </c>
      <c r="AO507" s="1062">
        <f>'No Recurrentes 24-26'!CD372</f>
        <v>50</v>
      </c>
      <c r="AP507" s="1062">
        <f>'No Recurrentes 24-26'!CE372</f>
        <v>0</v>
      </c>
      <c r="AQ507" s="1062">
        <f>'No Recurrentes 24-26'!CF372</f>
        <v>0</v>
      </c>
      <c r="AR507" s="1062">
        <f>'No Recurrentes 24-26'!CG372</f>
        <v>0</v>
      </c>
      <c r="AS507" s="1062">
        <f>'No Recurrentes 24-26'!CH372</f>
        <v>0</v>
      </c>
      <c r="AT507" s="1068"/>
      <c r="AU507" s="1062">
        <f>'No Recurrentes 24-26'!CI372</f>
        <v>100</v>
      </c>
      <c r="AV507" s="1063">
        <f>'No Recurrentes 24-26'!CJ372</f>
        <v>200</v>
      </c>
      <c r="AW507" s="1068"/>
      <c r="AX507" s="1065">
        <f>'No Recurrentes 24-26'!CK372</f>
        <v>0.46</v>
      </c>
      <c r="AY507" s="1062">
        <f>'No Recurrentes 24-26'!CL372</f>
        <v>3.2016</v>
      </c>
      <c r="AZ507" s="1068"/>
      <c r="BA507" s="1062">
        <f>'No Recurrentes 24-26'!CM372</f>
        <v>0</v>
      </c>
      <c r="BB507" s="1062">
        <f>'No Recurrentes 24-26'!CN372</f>
        <v>0</v>
      </c>
      <c r="BC507" s="1062">
        <f>'No Recurrentes 24-26'!CO372</f>
        <v>0</v>
      </c>
      <c r="BD507" s="1062">
        <f>'No Recurrentes 24-26'!CP372</f>
        <v>64.032</v>
      </c>
      <c r="BE507" s="1062">
        <f>'No Recurrentes 24-26'!CQ372</f>
        <v>96.048</v>
      </c>
      <c r="BF507" s="1062">
        <f>'No Recurrentes 24-26'!CR372</f>
        <v>160.08</v>
      </c>
      <c r="BG507" s="1062">
        <f>'No Recurrentes 24-26'!CS372</f>
        <v>0</v>
      </c>
      <c r="BH507" s="1062">
        <f>'No Recurrentes 24-26'!CT372</f>
        <v>0</v>
      </c>
      <c r="BI507" s="1062">
        <f>'No Recurrentes 24-26'!CU372</f>
        <v>0</v>
      </c>
      <c r="BJ507" s="1062">
        <f>'No Recurrentes 24-26'!CV372</f>
        <v>0</v>
      </c>
      <c r="BK507" s="1068"/>
      <c r="BL507" s="1062">
        <f>'No Recurrentes 24-26'!CW372</f>
        <v>320.16</v>
      </c>
      <c r="BM507" s="1062">
        <f>'No Recurrentes 24-26'!CX372</f>
        <v>0</v>
      </c>
      <c r="BN507" s="1062">
        <f>'No Recurrentes 24-26'!CY372</f>
        <v>0</v>
      </c>
      <c r="BO507" s="1062">
        <f>'No Recurrentes 24-26'!CZ372</f>
        <v>0</v>
      </c>
      <c r="BP507" s="1062">
        <f>'No Recurrentes 24-26'!DA372</f>
        <v>0</v>
      </c>
      <c r="BQ507" s="1062">
        <f>'No Recurrentes 24-26'!DB372</f>
        <v>0</v>
      </c>
      <c r="BR507" s="1062">
        <f>'No Recurrentes 24-26'!DC372</f>
        <v>0</v>
      </c>
      <c r="BS507" s="1062">
        <f>'No Recurrentes 24-26'!DD372</f>
        <v>0</v>
      </c>
      <c r="BT507" s="1062">
        <f>'No Recurrentes 24-26'!DE372</f>
        <v>0</v>
      </c>
      <c r="BU507" s="1062">
        <f>'No Recurrentes 24-26'!DF372</f>
        <v>0</v>
      </c>
      <c r="BV507" s="1062">
        <f>'No Recurrentes 24-26'!DG372</f>
        <v>0</v>
      </c>
      <c r="BW507" s="1068"/>
      <c r="BX507" s="1062">
        <f>'No Recurrentes 24-26'!DH372</f>
        <v>0</v>
      </c>
      <c r="BY507" s="1062">
        <f>'No Recurrentes 24-26'!DI372</f>
        <v>0</v>
      </c>
      <c r="BZ507" s="1062">
        <f>'No Recurrentes 24-26'!DJ372</f>
        <v>0</v>
      </c>
      <c r="CA507" s="1062">
        <f>'No Recurrentes 24-26'!DK372</f>
        <v>0</v>
      </c>
      <c r="CB507" s="1062">
        <f>'No Recurrentes 24-26'!DL372</f>
        <v>64.032</v>
      </c>
      <c r="CC507" s="1062">
        <f>'No Recurrentes 24-26'!DM372</f>
        <v>96.048</v>
      </c>
      <c r="CD507" s="1062">
        <f>'No Recurrentes 24-26'!DN372</f>
        <v>160.08</v>
      </c>
      <c r="CE507" s="1062">
        <f>'No Recurrentes 24-26'!DO372</f>
        <v>0</v>
      </c>
      <c r="CF507" s="1062">
        <f>'No Recurrentes 24-26'!DP372</f>
        <v>0</v>
      </c>
      <c r="CG507" s="1062">
        <f>'No Recurrentes 24-26'!DQ372</f>
        <v>0</v>
      </c>
      <c r="CH507" s="1062">
        <f>'No Recurrentes 24-26'!DR372</f>
        <v>0</v>
      </c>
      <c r="CI507" s="1068"/>
      <c r="CJ507" s="1062">
        <f>'No Recurrentes 24-26'!DS372</f>
        <v>320.16</v>
      </c>
      <c r="CK507" s="1062">
        <f>'No Recurrentes 24-26'!DT372</f>
        <v>640.32</v>
      </c>
      <c r="CL507" s="1064" t="str">
        <f>'No Recurrentes 24-26'!DU372</f>
        <v/>
      </c>
      <c r="CM507" s="1064" t="str">
        <f>'No Recurrentes 24-26'!DV372</f>
        <v>El ID correspondia a otro item, se corrigio ID</v>
      </c>
      <c r="CN507" s="1065">
        <f>'No Recurrentes 24-26'!EI368</f>
        <v>6</v>
      </c>
      <c r="CO507" s="1065">
        <f>'No Recurrentes 24-26'!EJ368</f>
        <v>5.1</v>
      </c>
      <c r="CP507" s="1060" t="str">
        <f>'No Recurrentes 24-26'!EK368</f>
        <v/>
      </c>
    </row>
    <row r="508">
      <c r="A508" s="451" t="str">
        <f>'No Recurrentes 24-26'!A373</f>
        <v>Repuestos Electromecánicos no recurrentes</v>
      </c>
      <c r="B508" s="451">
        <f>'No Recurrentes 24-26'!B373</f>
        <v>2</v>
      </c>
      <c r="C508" s="451" t="str">
        <f>'No Recurrentes 24-26'!C373</f>
        <v>Torre</v>
      </c>
      <c r="D508" s="451" t="str">
        <f>'No Recurrentes 24-26'!D373</f>
        <v>Sistema RPD</v>
      </c>
      <c r="E508" s="451" t="str">
        <f>'No Recurrentes 24-26'!E373</f>
        <v>Repuesto Eléctrico</v>
      </c>
      <c r="F508" s="451" t="str">
        <f>'No Recurrentes 24-26'!F373</f>
        <v>TDB</v>
      </c>
      <c r="G508" s="1061" t="str">
        <f>'No Recurrentes 24-26'!G373</f>
        <v>39700</v>
      </c>
      <c r="H508" s="1061" t="str">
        <f>'No Recurrentes 24-26'!H373</f>
        <v>2-02-00044</v>
      </c>
      <c r="I508" s="1061" t="str">
        <f>'No Recurrentes 24-26'!I373</f>
        <v>10873363</v>
      </c>
      <c r="J508" s="1061" t="str">
        <f>'No Recurrentes 24-26'!J373</f>
        <v>ENCHUFE PROTECT. SOBREVOLTAJE PHOENIX CONTACT N.°2838322</v>
      </c>
      <c r="K508" s="451" t="str">
        <f>'No Recurrentes 24-26'!K373</f>
        <v>Pza</v>
      </c>
      <c r="L508" s="451">
        <f>'No Recurrentes 24-26'!BC373</f>
        <v>5</v>
      </c>
      <c r="M508" s="451">
        <f>'No Recurrentes 24-26'!BD373</f>
        <v>10</v>
      </c>
      <c r="N508" s="451" t="str">
        <f>'No Recurrentes 24-26'!BE373</f>
        <v/>
      </c>
      <c r="O508" s="451" t="str">
        <f>'No Recurrentes 24-26'!BF373</f>
        <v/>
      </c>
      <c r="P508" s="451" t="str">
        <f>'No Recurrentes 24-26'!BG373</f>
        <v/>
      </c>
      <c r="Q508" s="451" t="str">
        <f>'No Recurrentes 24-26'!BH373</f>
        <v/>
      </c>
      <c r="R508" s="451" t="str">
        <f>'No Recurrentes 24-26'!BI373</f>
        <v/>
      </c>
      <c r="S508" s="451" t="str">
        <f>'No Recurrentes 24-26'!BJ373</f>
        <v/>
      </c>
      <c r="T508" s="451" t="str">
        <f>'No Recurrentes 24-26'!BK373</f>
        <v/>
      </c>
      <c r="U508" s="451" t="str">
        <f>'No Recurrentes 24-26'!BL373</f>
        <v/>
      </c>
      <c r="V508" s="1068"/>
      <c r="W508" s="1062">
        <f>'No Recurrentes 24-26'!BM373</f>
        <v>15</v>
      </c>
      <c r="X508" s="1062" t="str">
        <f>'No Recurrentes 24-26'!BN373</f>
        <v/>
      </c>
      <c r="Y508" s="1062" t="str">
        <f>'No Recurrentes 24-26'!BO373</f>
        <v/>
      </c>
      <c r="Z508" s="1062" t="str">
        <f>'No Recurrentes 24-26'!BP373</f>
        <v/>
      </c>
      <c r="AA508" s="1062" t="str">
        <f>'No Recurrentes 24-26'!BQ373</f>
        <v/>
      </c>
      <c r="AB508" s="1062" t="str">
        <f>'No Recurrentes 24-26'!BR373</f>
        <v/>
      </c>
      <c r="AC508" s="1062" t="str">
        <f>'No Recurrentes 24-26'!BS373</f>
        <v/>
      </c>
      <c r="AD508" s="1062" t="str">
        <f>'No Recurrentes 24-26'!BT373</f>
        <v/>
      </c>
      <c r="AE508" s="1062" t="str">
        <f>'No Recurrentes 24-26'!BU373</f>
        <v/>
      </c>
      <c r="AF508" s="1062" t="str">
        <f>'No Recurrentes 24-26'!BV373</f>
        <v/>
      </c>
      <c r="AG508" s="1062" t="str">
        <f>'No Recurrentes 24-26'!BW373</f>
        <v/>
      </c>
      <c r="AH508" s="1068"/>
      <c r="AI508" s="1062">
        <f>'No Recurrentes 24-26'!BX373</f>
        <v>0</v>
      </c>
      <c r="AJ508" s="1062">
        <f>'No Recurrentes 24-26'!BY373</f>
        <v>5</v>
      </c>
      <c r="AK508" s="1062">
        <f>'No Recurrentes 24-26'!BZ373</f>
        <v>0</v>
      </c>
      <c r="AL508" s="1062">
        <f>'No Recurrentes 24-26'!CA373</f>
        <v>0</v>
      </c>
      <c r="AM508" s="1062">
        <f>'No Recurrentes 24-26'!CB373</f>
        <v>0</v>
      </c>
      <c r="AN508" s="1062">
        <f>'No Recurrentes 24-26'!CC373</f>
        <v>0</v>
      </c>
      <c r="AO508" s="1062">
        <f>'No Recurrentes 24-26'!CD373</f>
        <v>0</v>
      </c>
      <c r="AP508" s="1062">
        <f>'No Recurrentes 24-26'!CE373</f>
        <v>0</v>
      </c>
      <c r="AQ508" s="1062">
        <f>'No Recurrentes 24-26'!CF373</f>
        <v>0</v>
      </c>
      <c r="AR508" s="1062">
        <f>'No Recurrentes 24-26'!CG373</f>
        <v>0</v>
      </c>
      <c r="AS508" s="1062">
        <f>'No Recurrentes 24-26'!CH373</f>
        <v>0</v>
      </c>
      <c r="AT508" s="1068"/>
      <c r="AU508" s="1062">
        <f>'No Recurrentes 24-26'!CI373</f>
        <v>5</v>
      </c>
      <c r="AV508" s="1063">
        <f>'No Recurrentes 24-26'!CJ373</f>
        <v>20</v>
      </c>
      <c r="AW508" s="1068"/>
      <c r="AX508" s="1065">
        <f>'No Recurrentes 24-26'!CK373</f>
        <v>485.51</v>
      </c>
      <c r="AY508" s="1062">
        <f>'No Recurrentes 24-26'!CL373</f>
        <v>3379.1496</v>
      </c>
      <c r="AZ508" s="1068"/>
      <c r="BA508" s="1062">
        <f>'No Recurrentes 24-26'!CM373</f>
        <v>16895.748</v>
      </c>
      <c r="BB508" s="1062">
        <f>'No Recurrentes 24-26'!CN373</f>
        <v>33791.496</v>
      </c>
      <c r="BC508" s="1062">
        <f>'No Recurrentes 24-26'!CO373</f>
        <v>0</v>
      </c>
      <c r="BD508" s="1062">
        <f>'No Recurrentes 24-26'!CP373</f>
        <v>0</v>
      </c>
      <c r="BE508" s="1062">
        <f>'No Recurrentes 24-26'!CQ373</f>
        <v>0</v>
      </c>
      <c r="BF508" s="1062">
        <f>'No Recurrentes 24-26'!CR373</f>
        <v>0</v>
      </c>
      <c r="BG508" s="1062">
        <f>'No Recurrentes 24-26'!CS373</f>
        <v>0</v>
      </c>
      <c r="BH508" s="1062">
        <f>'No Recurrentes 24-26'!CT373</f>
        <v>0</v>
      </c>
      <c r="BI508" s="1062">
        <f>'No Recurrentes 24-26'!CU373</f>
        <v>0</v>
      </c>
      <c r="BJ508" s="1062">
        <f>'No Recurrentes 24-26'!CV373</f>
        <v>0</v>
      </c>
      <c r="BK508" s="1068"/>
      <c r="BL508" s="1062">
        <f>'No Recurrentes 24-26'!CW373</f>
        <v>50687.244</v>
      </c>
      <c r="BM508" s="1062">
        <f>'No Recurrentes 24-26'!CX373</f>
        <v>0</v>
      </c>
      <c r="BN508" s="1062">
        <f>'No Recurrentes 24-26'!CY373</f>
        <v>0</v>
      </c>
      <c r="BO508" s="1062">
        <f>'No Recurrentes 24-26'!CZ373</f>
        <v>0</v>
      </c>
      <c r="BP508" s="1062">
        <f>'No Recurrentes 24-26'!DA373</f>
        <v>0</v>
      </c>
      <c r="BQ508" s="1062">
        <f>'No Recurrentes 24-26'!DB373</f>
        <v>0</v>
      </c>
      <c r="BR508" s="1062">
        <f>'No Recurrentes 24-26'!DC373</f>
        <v>0</v>
      </c>
      <c r="BS508" s="1062">
        <f>'No Recurrentes 24-26'!DD373</f>
        <v>0</v>
      </c>
      <c r="BT508" s="1062">
        <f>'No Recurrentes 24-26'!DE373</f>
        <v>0</v>
      </c>
      <c r="BU508" s="1062">
        <f>'No Recurrentes 24-26'!DF373</f>
        <v>0</v>
      </c>
      <c r="BV508" s="1062">
        <f>'No Recurrentes 24-26'!DG373</f>
        <v>0</v>
      </c>
      <c r="BW508" s="1068"/>
      <c r="BX508" s="1062">
        <f>'No Recurrentes 24-26'!DH373</f>
        <v>0</v>
      </c>
      <c r="BY508" s="1062">
        <f>'No Recurrentes 24-26'!DI373</f>
        <v>16895.748</v>
      </c>
      <c r="BZ508" s="1062">
        <f>'No Recurrentes 24-26'!DJ373</f>
        <v>0</v>
      </c>
      <c r="CA508" s="1062">
        <f>'No Recurrentes 24-26'!DK373</f>
        <v>0</v>
      </c>
      <c r="CB508" s="1062">
        <f>'No Recurrentes 24-26'!DL373</f>
        <v>0</v>
      </c>
      <c r="CC508" s="1062">
        <f>'No Recurrentes 24-26'!DM373</f>
        <v>0</v>
      </c>
      <c r="CD508" s="1062">
        <f>'No Recurrentes 24-26'!DN373</f>
        <v>0</v>
      </c>
      <c r="CE508" s="1062">
        <f>'No Recurrentes 24-26'!DO373</f>
        <v>0</v>
      </c>
      <c r="CF508" s="1062">
        <f>'No Recurrentes 24-26'!DP373</f>
        <v>0</v>
      </c>
      <c r="CG508" s="1062">
        <f>'No Recurrentes 24-26'!DQ373</f>
        <v>0</v>
      </c>
      <c r="CH508" s="1062">
        <f>'No Recurrentes 24-26'!DR373</f>
        <v>0</v>
      </c>
      <c r="CI508" s="1068"/>
      <c r="CJ508" s="1062">
        <f>'No Recurrentes 24-26'!DS373</f>
        <v>16895.748</v>
      </c>
      <c r="CK508" s="1062">
        <f>'No Recurrentes 24-26'!DT373</f>
        <v>67582.992</v>
      </c>
      <c r="CL508" s="1064" t="str">
        <f>'No Recurrentes 24-26'!DU373</f>
        <v/>
      </c>
      <c r="CM508" s="1064" t="str">
        <f>'No Recurrentes 24-26'!DV373</f>
        <v/>
      </c>
      <c r="CN508" s="1065">
        <f>'No Recurrentes 24-26'!EI369</f>
        <v>1.61</v>
      </c>
      <c r="CO508" s="1065">
        <f>'No Recurrentes 24-26'!EJ369</f>
        <v>1.37</v>
      </c>
      <c r="CP508" s="1060" t="str">
        <f>'No Recurrentes 24-26'!EK369</f>
        <v/>
      </c>
    </row>
    <row r="509">
      <c r="A509" s="451" t="str">
        <f>'No Recurrentes 24-26'!A374</f>
        <v>Repuestos Electromecánicos no recurrentes</v>
      </c>
      <c r="B509" s="451">
        <f>'No Recurrentes 24-26'!B374</f>
        <v>2</v>
      </c>
      <c r="C509" s="451" t="str">
        <f>'No Recurrentes 24-26'!C374</f>
        <v>Torre</v>
      </c>
      <c r="D509" s="451" t="str">
        <f>'No Recurrentes 24-26'!D374</f>
        <v>Sistema RPD</v>
      </c>
      <c r="E509" s="451" t="str">
        <f>'No Recurrentes 24-26'!E374</f>
        <v>Repuesto Eléctrico</v>
      </c>
      <c r="F509" s="451" t="str">
        <f>'No Recurrentes 24-26'!F374</f>
        <v>TDB</v>
      </c>
      <c r="G509" s="1061" t="str">
        <f>'No Recurrentes 24-26'!G374</f>
        <v>39700</v>
      </c>
      <c r="H509" s="1061" t="str">
        <f>'No Recurrentes 24-26'!H374</f>
        <v>2-02-00616</v>
      </c>
      <c r="I509" s="1061" t="str">
        <f>'No Recurrentes 24-26'!I374</f>
        <v>11131578</v>
      </c>
      <c r="J509" s="1061" t="str">
        <f>'No Recurrentes 24-26'!J374</f>
        <v>ELEMENTO BASE P. ENCHUFE PROTECT. PHOENIX CONTACT N.°:2839376</v>
      </c>
      <c r="K509" s="451" t="str">
        <f>'No Recurrentes 24-26'!K374</f>
        <v>Pza</v>
      </c>
      <c r="L509" s="451">
        <f>'No Recurrentes 24-26'!BC374</f>
        <v>5</v>
      </c>
      <c r="M509" s="451">
        <f>'No Recurrentes 24-26'!BD374</f>
        <v>10</v>
      </c>
      <c r="N509" s="451" t="str">
        <f>'No Recurrentes 24-26'!BE374</f>
        <v/>
      </c>
      <c r="O509" s="451" t="str">
        <f>'No Recurrentes 24-26'!BF374</f>
        <v/>
      </c>
      <c r="P509" s="451" t="str">
        <f>'No Recurrentes 24-26'!BG374</f>
        <v/>
      </c>
      <c r="Q509" s="451" t="str">
        <f>'No Recurrentes 24-26'!BH374</f>
        <v/>
      </c>
      <c r="R509" s="451" t="str">
        <f>'No Recurrentes 24-26'!BI374</f>
        <v/>
      </c>
      <c r="S509" s="451" t="str">
        <f>'No Recurrentes 24-26'!BJ374</f>
        <v/>
      </c>
      <c r="T509" s="451" t="str">
        <f>'No Recurrentes 24-26'!BK374</f>
        <v/>
      </c>
      <c r="U509" s="451" t="str">
        <f>'No Recurrentes 24-26'!BL374</f>
        <v/>
      </c>
      <c r="V509" s="1068"/>
      <c r="W509" s="1062">
        <f>'No Recurrentes 24-26'!BM374</f>
        <v>15</v>
      </c>
      <c r="X509" s="1062" t="str">
        <f>'No Recurrentes 24-26'!BN374</f>
        <v/>
      </c>
      <c r="Y509" s="1062" t="str">
        <f>'No Recurrentes 24-26'!BO374</f>
        <v/>
      </c>
      <c r="Z509" s="1062" t="str">
        <f>'No Recurrentes 24-26'!BP374</f>
        <v/>
      </c>
      <c r="AA509" s="1062" t="str">
        <f>'No Recurrentes 24-26'!BQ374</f>
        <v/>
      </c>
      <c r="AB509" s="1062" t="str">
        <f>'No Recurrentes 24-26'!BR374</f>
        <v/>
      </c>
      <c r="AC509" s="1062" t="str">
        <f>'No Recurrentes 24-26'!BS374</f>
        <v/>
      </c>
      <c r="AD509" s="1062" t="str">
        <f>'No Recurrentes 24-26'!BT374</f>
        <v/>
      </c>
      <c r="AE509" s="1062" t="str">
        <f>'No Recurrentes 24-26'!BU374</f>
        <v/>
      </c>
      <c r="AF509" s="1062" t="str">
        <f>'No Recurrentes 24-26'!BV374</f>
        <v/>
      </c>
      <c r="AG509" s="1062" t="str">
        <f>'No Recurrentes 24-26'!BW374</f>
        <v/>
      </c>
      <c r="AH509" s="1068"/>
      <c r="AI509" s="1062">
        <f>'No Recurrentes 24-26'!BX374</f>
        <v>0</v>
      </c>
      <c r="AJ509" s="1062">
        <f>'No Recurrentes 24-26'!BY374</f>
        <v>5</v>
      </c>
      <c r="AK509" s="1062">
        <f>'No Recurrentes 24-26'!BZ374</f>
        <v>0</v>
      </c>
      <c r="AL509" s="1062">
        <f>'No Recurrentes 24-26'!CA374</f>
        <v>0</v>
      </c>
      <c r="AM509" s="1062">
        <f>'No Recurrentes 24-26'!CB374</f>
        <v>0</v>
      </c>
      <c r="AN509" s="1062">
        <f>'No Recurrentes 24-26'!CC374</f>
        <v>0</v>
      </c>
      <c r="AO509" s="1062">
        <f>'No Recurrentes 24-26'!CD374</f>
        <v>0</v>
      </c>
      <c r="AP509" s="1062">
        <f>'No Recurrentes 24-26'!CE374</f>
        <v>0</v>
      </c>
      <c r="AQ509" s="1062">
        <f>'No Recurrentes 24-26'!CF374</f>
        <v>0</v>
      </c>
      <c r="AR509" s="1062">
        <f>'No Recurrentes 24-26'!CG374</f>
        <v>0</v>
      </c>
      <c r="AS509" s="1062">
        <f>'No Recurrentes 24-26'!CH374</f>
        <v>0</v>
      </c>
      <c r="AT509" s="1068"/>
      <c r="AU509" s="1062">
        <f>'No Recurrentes 24-26'!CI374</f>
        <v>5</v>
      </c>
      <c r="AV509" s="1063">
        <f>'No Recurrentes 24-26'!CJ374</f>
        <v>20</v>
      </c>
      <c r="AW509" s="1068"/>
      <c r="AX509" s="1065">
        <f>'No Recurrentes 24-26'!CK374</f>
        <v>172.21</v>
      </c>
      <c r="AY509" s="1062">
        <f>'No Recurrentes 24-26'!CL374</f>
        <v>1198.5816</v>
      </c>
      <c r="AZ509" s="1068"/>
      <c r="BA509" s="1062">
        <f>'No Recurrentes 24-26'!CM374</f>
        <v>5992.908</v>
      </c>
      <c r="BB509" s="1062">
        <f>'No Recurrentes 24-26'!CN374</f>
        <v>11985.816</v>
      </c>
      <c r="BC509" s="1062">
        <f>'No Recurrentes 24-26'!CO374</f>
        <v>0</v>
      </c>
      <c r="BD509" s="1062">
        <f>'No Recurrentes 24-26'!CP374</f>
        <v>0</v>
      </c>
      <c r="BE509" s="1062">
        <f>'No Recurrentes 24-26'!CQ374</f>
        <v>0</v>
      </c>
      <c r="BF509" s="1062">
        <f>'No Recurrentes 24-26'!CR374</f>
        <v>0</v>
      </c>
      <c r="BG509" s="1062">
        <f>'No Recurrentes 24-26'!CS374</f>
        <v>0</v>
      </c>
      <c r="BH509" s="1062">
        <f>'No Recurrentes 24-26'!CT374</f>
        <v>0</v>
      </c>
      <c r="BI509" s="1062">
        <f>'No Recurrentes 24-26'!CU374</f>
        <v>0</v>
      </c>
      <c r="BJ509" s="1062">
        <f>'No Recurrentes 24-26'!CV374</f>
        <v>0</v>
      </c>
      <c r="BK509" s="1068"/>
      <c r="BL509" s="1062">
        <f>'No Recurrentes 24-26'!CW374</f>
        <v>17978.724</v>
      </c>
      <c r="BM509" s="1062">
        <f>'No Recurrentes 24-26'!CX374</f>
        <v>0</v>
      </c>
      <c r="BN509" s="1062">
        <f>'No Recurrentes 24-26'!CY374</f>
        <v>0</v>
      </c>
      <c r="BO509" s="1062">
        <f>'No Recurrentes 24-26'!CZ374</f>
        <v>0</v>
      </c>
      <c r="BP509" s="1062">
        <f>'No Recurrentes 24-26'!DA374</f>
        <v>0</v>
      </c>
      <c r="BQ509" s="1062">
        <f>'No Recurrentes 24-26'!DB374</f>
        <v>0</v>
      </c>
      <c r="BR509" s="1062">
        <f>'No Recurrentes 24-26'!DC374</f>
        <v>0</v>
      </c>
      <c r="BS509" s="1062">
        <f>'No Recurrentes 24-26'!DD374</f>
        <v>0</v>
      </c>
      <c r="BT509" s="1062">
        <f>'No Recurrentes 24-26'!DE374</f>
        <v>0</v>
      </c>
      <c r="BU509" s="1062">
        <f>'No Recurrentes 24-26'!DF374</f>
        <v>0</v>
      </c>
      <c r="BV509" s="1062">
        <f>'No Recurrentes 24-26'!DG374</f>
        <v>0</v>
      </c>
      <c r="BW509" s="1068"/>
      <c r="BX509" s="1062">
        <f>'No Recurrentes 24-26'!DH374</f>
        <v>0</v>
      </c>
      <c r="BY509" s="1062">
        <f>'No Recurrentes 24-26'!DI374</f>
        <v>5992.908</v>
      </c>
      <c r="BZ509" s="1062">
        <f>'No Recurrentes 24-26'!DJ374</f>
        <v>0</v>
      </c>
      <c r="CA509" s="1062">
        <f>'No Recurrentes 24-26'!DK374</f>
        <v>0</v>
      </c>
      <c r="CB509" s="1062">
        <f>'No Recurrentes 24-26'!DL374</f>
        <v>0</v>
      </c>
      <c r="CC509" s="1062">
        <f>'No Recurrentes 24-26'!DM374</f>
        <v>0</v>
      </c>
      <c r="CD509" s="1062">
        <f>'No Recurrentes 24-26'!DN374</f>
        <v>0</v>
      </c>
      <c r="CE509" s="1062">
        <f>'No Recurrentes 24-26'!DO374</f>
        <v>0</v>
      </c>
      <c r="CF509" s="1062">
        <f>'No Recurrentes 24-26'!DP374</f>
        <v>0</v>
      </c>
      <c r="CG509" s="1062">
        <f>'No Recurrentes 24-26'!DQ374</f>
        <v>0</v>
      </c>
      <c r="CH509" s="1062">
        <f>'No Recurrentes 24-26'!DR374</f>
        <v>0</v>
      </c>
      <c r="CI509" s="1068"/>
      <c r="CJ509" s="1062">
        <f>'No Recurrentes 24-26'!DS374</f>
        <v>5992.908</v>
      </c>
      <c r="CK509" s="1062">
        <f>'No Recurrentes 24-26'!DT374</f>
        <v>23971.632</v>
      </c>
      <c r="CL509" s="1064" t="str">
        <f>'No Recurrentes 24-26'!DU374</f>
        <v/>
      </c>
      <c r="CM509" s="1064" t="str">
        <f>'No Recurrentes 24-26'!DV374</f>
        <v/>
      </c>
      <c r="CN509" s="1065">
        <f>'No Recurrentes 24-26'!EI370</f>
        <v>0.81</v>
      </c>
      <c r="CO509" s="1065">
        <f>'No Recurrentes 24-26'!EJ370</f>
        <v>0.69</v>
      </c>
      <c r="CP509" s="1060" t="str">
        <f>'No Recurrentes 24-26'!EK370</f>
        <v/>
      </c>
    </row>
    <row r="510">
      <c r="A510" s="451" t="str">
        <f>'No Recurrentes 24-26'!A375</f>
        <v>Repuestos Electromecánicos no recurrentes</v>
      </c>
      <c r="B510" s="451">
        <f>'No Recurrentes 24-26'!B375</f>
        <v>2</v>
      </c>
      <c r="C510" s="451" t="str">
        <f>'No Recurrentes 24-26'!C375</f>
        <v>Torre</v>
      </c>
      <c r="D510" s="451" t="str">
        <f>'No Recurrentes 24-26'!D375</f>
        <v>Sistema RPD</v>
      </c>
      <c r="E510" s="451" t="str">
        <f>'No Recurrentes 24-26'!E375</f>
        <v>Repuesto Eléctrico</v>
      </c>
      <c r="F510" s="451" t="str">
        <f>'No Recurrentes 24-26'!F375</f>
        <v>TDB</v>
      </c>
      <c r="G510" s="1061" t="str">
        <f>'No Recurrentes 24-26'!G375</f>
        <v>39700</v>
      </c>
      <c r="H510" s="1061" t="str">
        <f>'No Recurrentes 24-26'!H375</f>
        <v>2-02-00337</v>
      </c>
      <c r="I510" s="1061" t="str">
        <f>'No Recurrentes 24-26'!I375</f>
        <v>10302030</v>
      </c>
      <c r="J510" s="1061" t="str">
        <f>'No Recurrentes 24-26'!J375</f>
        <v>CABLE DE CONEX.RPD 10M KDKS AMARILLO CON ENCHUFE INYECTADO Y</v>
      </c>
      <c r="K510" s="451" t="str">
        <f>'No Recurrentes 24-26'!K375</f>
        <v>Pza</v>
      </c>
      <c r="L510" s="451">
        <f>'No Recurrentes 24-26'!BC375</f>
        <v>4</v>
      </c>
      <c r="M510" s="451">
        <f>'No Recurrentes 24-26'!BD375</f>
        <v>3</v>
      </c>
      <c r="N510" s="451">
        <f>'No Recurrentes 24-26'!BE375</f>
        <v>5</v>
      </c>
      <c r="O510" s="451" t="str">
        <f>'No Recurrentes 24-26'!BF375</f>
        <v/>
      </c>
      <c r="P510" s="451" t="str">
        <f>'No Recurrentes 24-26'!BG375</f>
        <v/>
      </c>
      <c r="Q510" s="451" t="str">
        <f>'No Recurrentes 24-26'!BH375</f>
        <v/>
      </c>
      <c r="R510" s="451" t="str">
        <f>'No Recurrentes 24-26'!BI375</f>
        <v/>
      </c>
      <c r="S510" s="451" t="str">
        <f>'No Recurrentes 24-26'!BJ375</f>
        <v/>
      </c>
      <c r="T510" s="451" t="str">
        <f>'No Recurrentes 24-26'!BK375</f>
        <v/>
      </c>
      <c r="U510" s="451" t="str">
        <f>'No Recurrentes 24-26'!BL375</f>
        <v/>
      </c>
      <c r="V510" s="1068"/>
      <c r="W510" s="1062">
        <f>'No Recurrentes 24-26'!BM375</f>
        <v>12</v>
      </c>
      <c r="X510" s="1062" t="str">
        <f>'No Recurrentes 24-26'!BN375</f>
        <v/>
      </c>
      <c r="Y510" s="1062" t="str">
        <f>'No Recurrentes 24-26'!BO375</f>
        <v/>
      </c>
      <c r="Z510" s="1062" t="str">
        <f>'No Recurrentes 24-26'!BP375</f>
        <v/>
      </c>
      <c r="AA510" s="1062" t="str">
        <f>'No Recurrentes 24-26'!BQ375</f>
        <v/>
      </c>
      <c r="AB510" s="1062" t="str">
        <f>'No Recurrentes 24-26'!BR375</f>
        <v/>
      </c>
      <c r="AC510" s="1062" t="str">
        <f>'No Recurrentes 24-26'!BS375</f>
        <v/>
      </c>
      <c r="AD510" s="1062" t="str">
        <f>'No Recurrentes 24-26'!BT375</f>
        <v/>
      </c>
      <c r="AE510" s="1062" t="str">
        <f>'No Recurrentes 24-26'!BU375</f>
        <v/>
      </c>
      <c r="AF510" s="1062" t="str">
        <f>'No Recurrentes 24-26'!BV375</f>
        <v/>
      </c>
      <c r="AG510" s="1062" t="str">
        <f>'No Recurrentes 24-26'!BW375</f>
        <v/>
      </c>
      <c r="AH510" s="1068"/>
      <c r="AI510" s="1062">
        <f>'No Recurrentes 24-26'!BX375</f>
        <v>0</v>
      </c>
      <c r="AJ510" s="1062">
        <f>'No Recurrentes 24-26'!BY375</f>
        <v>0</v>
      </c>
      <c r="AK510" s="1062">
        <f>'No Recurrentes 24-26'!BZ375</f>
        <v>0</v>
      </c>
      <c r="AL510" s="1062">
        <f>'No Recurrentes 24-26'!CA375</f>
        <v>0</v>
      </c>
      <c r="AM510" s="1062">
        <f>'No Recurrentes 24-26'!CB375</f>
        <v>0</v>
      </c>
      <c r="AN510" s="1062">
        <f>'No Recurrentes 24-26'!CC375</f>
        <v>0</v>
      </c>
      <c r="AO510" s="1062">
        <f>'No Recurrentes 24-26'!CD375</f>
        <v>0</v>
      </c>
      <c r="AP510" s="1062">
        <f>'No Recurrentes 24-26'!CE375</f>
        <v>0</v>
      </c>
      <c r="AQ510" s="1062">
        <f>'No Recurrentes 24-26'!CF375</f>
        <v>0</v>
      </c>
      <c r="AR510" s="1062">
        <f>'No Recurrentes 24-26'!CG375</f>
        <v>0</v>
      </c>
      <c r="AS510" s="1062">
        <f>'No Recurrentes 24-26'!CH375</f>
        <v>0</v>
      </c>
      <c r="AT510" s="1068"/>
      <c r="AU510" s="1062">
        <f>'No Recurrentes 24-26'!CI375</f>
        <v>0</v>
      </c>
      <c r="AV510" s="1063">
        <f>'No Recurrentes 24-26'!CJ375</f>
        <v>12</v>
      </c>
      <c r="AW510" s="1068"/>
      <c r="AX510" s="1065">
        <f>'No Recurrentes 24-26'!CK375</f>
        <v>131.21</v>
      </c>
      <c r="AY510" s="1062">
        <f>'No Recurrentes 24-26'!CL375</f>
        <v>913.2216</v>
      </c>
      <c r="AZ510" s="1068"/>
      <c r="BA510" s="1062">
        <f>'No Recurrentes 24-26'!CM375</f>
        <v>3652.8864</v>
      </c>
      <c r="BB510" s="1062">
        <f>'No Recurrentes 24-26'!CN375</f>
        <v>2739.6648</v>
      </c>
      <c r="BC510" s="1062">
        <f>'No Recurrentes 24-26'!CO375</f>
        <v>4566.108</v>
      </c>
      <c r="BD510" s="1062">
        <f>'No Recurrentes 24-26'!CP375</f>
        <v>0</v>
      </c>
      <c r="BE510" s="1062">
        <f>'No Recurrentes 24-26'!CQ375</f>
        <v>0</v>
      </c>
      <c r="BF510" s="1062">
        <f>'No Recurrentes 24-26'!CR375</f>
        <v>0</v>
      </c>
      <c r="BG510" s="1062">
        <f>'No Recurrentes 24-26'!CS375</f>
        <v>0</v>
      </c>
      <c r="BH510" s="1062">
        <f>'No Recurrentes 24-26'!CT375</f>
        <v>0</v>
      </c>
      <c r="BI510" s="1062">
        <f>'No Recurrentes 24-26'!CU375</f>
        <v>0</v>
      </c>
      <c r="BJ510" s="1062">
        <f>'No Recurrentes 24-26'!CV375</f>
        <v>0</v>
      </c>
      <c r="BK510" s="1068"/>
      <c r="BL510" s="1062">
        <f>'No Recurrentes 24-26'!CW375</f>
        <v>10958.6592</v>
      </c>
      <c r="BM510" s="1062">
        <f>'No Recurrentes 24-26'!CX375</f>
        <v>0</v>
      </c>
      <c r="BN510" s="1062">
        <f>'No Recurrentes 24-26'!CY375</f>
        <v>0</v>
      </c>
      <c r="BO510" s="1062">
        <f>'No Recurrentes 24-26'!CZ375</f>
        <v>0</v>
      </c>
      <c r="BP510" s="1062">
        <f>'No Recurrentes 24-26'!DA375</f>
        <v>0</v>
      </c>
      <c r="BQ510" s="1062">
        <f>'No Recurrentes 24-26'!DB375</f>
        <v>0</v>
      </c>
      <c r="BR510" s="1062">
        <f>'No Recurrentes 24-26'!DC375</f>
        <v>0</v>
      </c>
      <c r="BS510" s="1062">
        <f>'No Recurrentes 24-26'!DD375</f>
        <v>0</v>
      </c>
      <c r="BT510" s="1062">
        <f>'No Recurrentes 24-26'!DE375</f>
        <v>0</v>
      </c>
      <c r="BU510" s="1062">
        <f>'No Recurrentes 24-26'!DF375</f>
        <v>0</v>
      </c>
      <c r="BV510" s="1062">
        <f>'No Recurrentes 24-26'!DG375</f>
        <v>0</v>
      </c>
      <c r="BW510" s="1068"/>
      <c r="BX510" s="1062">
        <f>'No Recurrentes 24-26'!DH375</f>
        <v>0</v>
      </c>
      <c r="BY510" s="1062">
        <f>'No Recurrentes 24-26'!DI375</f>
        <v>0</v>
      </c>
      <c r="BZ510" s="1062">
        <f>'No Recurrentes 24-26'!DJ375</f>
        <v>0</v>
      </c>
      <c r="CA510" s="1062">
        <f>'No Recurrentes 24-26'!DK375</f>
        <v>0</v>
      </c>
      <c r="CB510" s="1062">
        <f>'No Recurrentes 24-26'!DL375</f>
        <v>0</v>
      </c>
      <c r="CC510" s="1062">
        <f>'No Recurrentes 24-26'!DM375</f>
        <v>0</v>
      </c>
      <c r="CD510" s="1062">
        <f>'No Recurrentes 24-26'!DN375</f>
        <v>0</v>
      </c>
      <c r="CE510" s="1062">
        <f>'No Recurrentes 24-26'!DO375</f>
        <v>0</v>
      </c>
      <c r="CF510" s="1062">
        <f>'No Recurrentes 24-26'!DP375</f>
        <v>0</v>
      </c>
      <c r="CG510" s="1062">
        <f>'No Recurrentes 24-26'!DQ375</f>
        <v>0</v>
      </c>
      <c r="CH510" s="1062">
        <f>'No Recurrentes 24-26'!DR375</f>
        <v>0</v>
      </c>
      <c r="CI510" s="1068"/>
      <c r="CJ510" s="1062">
        <f>'No Recurrentes 24-26'!DS375</f>
        <v>0</v>
      </c>
      <c r="CK510" s="1062">
        <f>'No Recurrentes 24-26'!DT375</f>
        <v>10958.6592</v>
      </c>
      <c r="CL510" s="1064" t="str">
        <f>'No Recurrentes 24-26'!DU375</f>
        <v/>
      </c>
      <c r="CM510" s="1064" t="str">
        <f>'No Recurrentes 24-26'!DV375</f>
        <v/>
      </c>
      <c r="CN510" s="1065">
        <f>'No Recurrentes 24-26'!EI371</f>
        <v>4</v>
      </c>
      <c r="CO510" s="1065">
        <f>'No Recurrentes 24-26'!EJ371</f>
        <v>3.4</v>
      </c>
      <c r="CP510" s="1060" t="str">
        <f>'No Recurrentes 24-26'!EK371</f>
        <v/>
      </c>
    </row>
    <row r="511">
      <c r="A511" s="451" t="str">
        <f>'No Recurrentes 24-26'!A376</f>
        <v>Repuestos Electromecánicos no recurrentes</v>
      </c>
      <c r="B511" s="451">
        <f>'No Recurrentes 24-26'!B376</f>
        <v>2</v>
      </c>
      <c r="C511" s="451" t="str">
        <f>'No Recurrentes 24-26'!C376</f>
        <v>Torre</v>
      </c>
      <c r="D511" s="451" t="str">
        <f>'No Recurrentes 24-26'!D376</f>
        <v>Sistema RPD</v>
      </c>
      <c r="E511" s="451" t="str">
        <f>'No Recurrentes 24-26'!E376</f>
        <v>Repuesto Eléctrico</v>
      </c>
      <c r="F511" s="451" t="str">
        <f>'No Recurrentes 24-26'!F376</f>
        <v>TDB</v>
      </c>
      <c r="G511" s="1061" t="str">
        <f>'No Recurrentes 24-26'!G376</f>
        <v>39700</v>
      </c>
      <c r="H511" s="1061" t="str">
        <f>'No Recurrentes 24-26'!H376</f>
        <v>2-02-00333</v>
      </c>
      <c r="I511" s="1061" t="str">
        <f>'No Recurrentes 24-26'!I376</f>
        <v>10302028</v>
      </c>
      <c r="J511" s="1061" t="str">
        <f>'No Recurrentes 24-26'!J376</f>
        <v>CABLE CONECTOR RPD 8M KDKS AMARILLO CON CONECTOR INTEGRADO +</v>
      </c>
      <c r="K511" s="451" t="str">
        <f>'No Recurrentes 24-26'!K376</f>
        <v>Pza</v>
      </c>
      <c r="L511" s="451">
        <f>'No Recurrentes 24-26'!BC376</f>
        <v>3</v>
      </c>
      <c r="M511" s="451">
        <f>'No Recurrentes 24-26'!BD376</f>
        <v>2</v>
      </c>
      <c r="N511" s="451">
        <f>'No Recurrentes 24-26'!BE376</f>
        <v>3</v>
      </c>
      <c r="O511" s="451" t="str">
        <f>'No Recurrentes 24-26'!BF376</f>
        <v/>
      </c>
      <c r="P511" s="451" t="str">
        <f>'No Recurrentes 24-26'!BG376</f>
        <v/>
      </c>
      <c r="Q511" s="451" t="str">
        <f>'No Recurrentes 24-26'!BH376</f>
        <v/>
      </c>
      <c r="R511" s="451" t="str">
        <f>'No Recurrentes 24-26'!BI376</f>
        <v/>
      </c>
      <c r="S511" s="451" t="str">
        <f>'No Recurrentes 24-26'!BJ376</f>
        <v/>
      </c>
      <c r="T511" s="451" t="str">
        <f>'No Recurrentes 24-26'!BK376</f>
        <v/>
      </c>
      <c r="U511" s="451" t="str">
        <f>'No Recurrentes 24-26'!BL376</f>
        <v/>
      </c>
      <c r="V511" s="1068"/>
      <c r="W511" s="1062">
        <f>'No Recurrentes 24-26'!BM376</f>
        <v>8</v>
      </c>
      <c r="X511" s="1062" t="str">
        <f>'No Recurrentes 24-26'!BN376</f>
        <v/>
      </c>
      <c r="Y511" s="1062" t="str">
        <f>'No Recurrentes 24-26'!BO376</f>
        <v/>
      </c>
      <c r="Z511" s="1062" t="str">
        <f>'No Recurrentes 24-26'!BP376</f>
        <v/>
      </c>
      <c r="AA511" s="1062">
        <f>'No Recurrentes 24-26'!BQ376</f>
        <v>1</v>
      </c>
      <c r="AB511" s="1062">
        <f>'No Recurrentes 24-26'!BR376</f>
        <v>2</v>
      </c>
      <c r="AC511" s="1062">
        <f>'No Recurrentes 24-26'!BS376</f>
        <v>2</v>
      </c>
      <c r="AD511" s="1062" t="str">
        <f>'No Recurrentes 24-26'!BT376</f>
        <v/>
      </c>
      <c r="AE511" s="1062" t="str">
        <f>'No Recurrentes 24-26'!BU376</f>
        <v/>
      </c>
      <c r="AF511" s="1062" t="str">
        <f>'No Recurrentes 24-26'!BV376</f>
        <v/>
      </c>
      <c r="AG511" s="1062" t="str">
        <f>'No Recurrentes 24-26'!BW376</f>
        <v/>
      </c>
      <c r="AH511" s="1068"/>
      <c r="AI511" s="1062">
        <f>'No Recurrentes 24-26'!BX376</f>
        <v>5</v>
      </c>
      <c r="AJ511" s="1062">
        <f>'No Recurrentes 24-26'!BY376</f>
        <v>0</v>
      </c>
      <c r="AK511" s="1062">
        <f>'No Recurrentes 24-26'!BZ376</f>
        <v>0</v>
      </c>
      <c r="AL511" s="1062">
        <f>'No Recurrentes 24-26'!CA376</f>
        <v>0</v>
      </c>
      <c r="AM511" s="1062">
        <f>'No Recurrentes 24-26'!CB376</f>
        <v>0</v>
      </c>
      <c r="AN511" s="1062">
        <f>'No Recurrentes 24-26'!CC376</f>
        <v>0</v>
      </c>
      <c r="AO511" s="1062">
        <f>'No Recurrentes 24-26'!CD376</f>
        <v>0</v>
      </c>
      <c r="AP511" s="1062">
        <f>'No Recurrentes 24-26'!CE376</f>
        <v>0</v>
      </c>
      <c r="AQ511" s="1062">
        <f>'No Recurrentes 24-26'!CF376</f>
        <v>0</v>
      </c>
      <c r="AR511" s="1062">
        <f>'No Recurrentes 24-26'!CG376</f>
        <v>0</v>
      </c>
      <c r="AS511" s="1062">
        <f>'No Recurrentes 24-26'!CH376</f>
        <v>0</v>
      </c>
      <c r="AT511" s="1068"/>
      <c r="AU511" s="1062">
        <f>'No Recurrentes 24-26'!CI376</f>
        <v>0</v>
      </c>
      <c r="AV511" s="1063">
        <f>'No Recurrentes 24-26'!CJ376</f>
        <v>13</v>
      </c>
      <c r="AW511" s="1068"/>
      <c r="AX511" s="1065">
        <f>'No Recurrentes 24-26'!CK376</f>
        <v>120.56</v>
      </c>
      <c r="AY511" s="1062">
        <f>'No Recurrentes 24-26'!CL376</f>
        <v>839.0976</v>
      </c>
      <c r="AZ511" s="1068"/>
      <c r="BA511" s="1062">
        <f>'No Recurrentes 24-26'!CM376</f>
        <v>2517.2928</v>
      </c>
      <c r="BB511" s="1062">
        <f>'No Recurrentes 24-26'!CN376</f>
        <v>1678.1952</v>
      </c>
      <c r="BC511" s="1062">
        <f>'No Recurrentes 24-26'!CO376</f>
        <v>2517.2928</v>
      </c>
      <c r="BD511" s="1062">
        <f>'No Recurrentes 24-26'!CP376</f>
        <v>0</v>
      </c>
      <c r="BE511" s="1062">
        <f>'No Recurrentes 24-26'!CQ376</f>
        <v>0</v>
      </c>
      <c r="BF511" s="1062">
        <f>'No Recurrentes 24-26'!CR376</f>
        <v>0</v>
      </c>
      <c r="BG511" s="1062">
        <f>'No Recurrentes 24-26'!CS376</f>
        <v>0</v>
      </c>
      <c r="BH511" s="1062">
        <f>'No Recurrentes 24-26'!CT376</f>
        <v>0</v>
      </c>
      <c r="BI511" s="1062">
        <f>'No Recurrentes 24-26'!CU376</f>
        <v>0</v>
      </c>
      <c r="BJ511" s="1062">
        <f>'No Recurrentes 24-26'!CV376</f>
        <v>0</v>
      </c>
      <c r="BK511" s="1068"/>
      <c r="BL511" s="1062">
        <f>'No Recurrentes 24-26'!CW376</f>
        <v>6712.7808</v>
      </c>
      <c r="BM511" s="1062">
        <f>'No Recurrentes 24-26'!CX376</f>
        <v>0</v>
      </c>
      <c r="BN511" s="1062">
        <f>'No Recurrentes 24-26'!CY376</f>
        <v>0</v>
      </c>
      <c r="BO511" s="1062">
        <f>'No Recurrentes 24-26'!CZ376</f>
        <v>0</v>
      </c>
      <c r="BP511" s="1062">
        <f>'No Recurrentes 24-26'!DA376</f>
        <v>839.0976</v>
      </c>
      <c r="BQ511" s="1062">
        <f>'No Recurrentes 24-26'!DB376</f>
        <v>1678.1952</v>
      </c>
      <c r="BR511" s="1062">
        <f>'No Recurrentes 24-26'!DC376</f>
        <v>1678.1952</v>
      </c>
      <c r="BS511" s="1062">
        <f>'No Recurrentes 24-26'!DD376</f>
        <v>0</v>
      </c>
      <c r="BT511" s="1062">
        <f>'No Recurrentes 24-26'!DE376</f>
        <v>0</v>
      </c>
      <c r="BU511" s="1062">
        <f>'No Recurrentes 24-26'!DF376</f>
        <v>0</v>
      </c>
      <c r="BV511" s="1062">
        <f>'No Recurrentes 24-26'!DG376</f>
        <v>0</v>
      </c>
      <c r="BW511" s="1068"/>
      <c r="BX511" s="1062">
        <f>'No Recurrentes 24-26'!DH376</f>
        <v>4195.488</v>
      </c>
      <c r="BY511" s="1062">
        <f>'No Recurrentes 24-26'!DI376</f>
        <v>0</v>
      </c>
      <c r="BZ511" s="1062">
        <f>'No Recurrentes 24-26'!DJ376</f>
        <v>0</v>
      </c>
      <c r="CA511" s="1062">
        <f>'No Recurrentes 24-26'!DK376</f>
        <v>0</v>
      </c>
      <c r="CB511" s="1062">
        <f>'No Recurrentes 24-26'!DL376</f>
        <v>0</v>
      </c>
      <c r="CC511" s="1062">
        <f>'No Recurrentes 24-26'!DM376</f>
        <v>0</v>
      </c>
      <c r="CD511" s="1062">
        <f>'No Recurrentes 24-26'!DN376</f>
        <v>0</v>
      </c>
      <c r="CE511" s="1062">
        <f>'No Recurrentes 24-26'!DO376</f>
        <v>0</v>
      </c>
      <c r="CF511" s="1062">
        <f>'No Recurrentes 24-26'!DP376</f>
        <v>0</v>
      </c>
      <c r="CG511" s="1062">
        <f>'No Recurrentes 24-26'!DQ376</f>
        <v>0</v>
      </c>
      <c r="CH511" s="1062">
        <f>'No Recurrentes 24-26'!DR376</f>
        <v>0</v>
      </c>
      <c r="CI511" s="1068"/>
      <c r="CJ511" s="1062">
        <f>'No Recurrentes 24-26'!DS376</f>
        <v>0</v>
      </c>
      <c r="CK511" s="1062">
        <f>'No Recurrentes 24-26'!DT376</f>
        <v>10908.2688</v>
      </c>
      <c r="CL511" s="1064" t="str">
        <f>'No Recurrentes 24-26'!DU376</f>
        <v/>
      </c>
      <c r="CM511" s="1064" t="str">
        <f>'No Recurrentes 24-26'!DV376</f>
        <v/>
      </c>
      <c r="CN511" s="1065">
        <f>'No Recurrentes 24-26'!EI372</f>
        <v>0.46</v>
      </c>
      <c r="CO511" s="1065">
        <f>'No Recurrentes 24-26'!EJ372</f>
        <v>0.39</v>
      </c>
      <c r="CP511" s="1060" t="str">
        <f>'No Recurrentes 24-26'!EK372</f>
        <v/>
      </c>
    </row>
    <row r="512">
      <c r="A512" s="451" t="str">
        <f>'No Recurrentes 24-26'!A377</f>
        <v>Repuestos Electromecánicos no recurrentes</v>
      </c>
      <c r="B512" s="451" t="str">
        <f>'No Recurrentes 24-26'!B377</f>
        <v/>
      </c>
      <c r="C512" s="451" t="str">
        <f>'No Recurrentes 24-26'!C377</f>
        <v>Torre</v>
      </c>
      <c r="D512" s="451" t="str">
        <f>'No Recurrentes 24-26'!D377</f>
        <v>Sistema RPD</v>
      </c>
      <c r="E512" s="451" t="str">
        <f>'No Recurrentes 24-26'!E377</f>
        <v>Repuesto Eléctrico</v>
      </c>
      <c r="F512" s="451" t="str">
        <f>'No Recurrentes 24-26'!F377</f>
        <v>TDB</v>
      </c>
      <c r="G512" s="1061" t="str">
        <f>'No Recurrentes 24-26'!G377</f>
        <v>39700</v>
      </c>
      <c r="H512" s="1061" t="str">
        <f>'No Recurrentes 24-26'!H377</f>
        <v>2-02-00151</v>
      </c>
      <c r="I512" s="1061">
        <f>'No Recurrentes 24-26'!I377</f>
        <v>11317920</v>
      </c>
      <c r="J512" s="1061" t="str">
        <f>'No Recurrentes 24-26'!J377</f>
        <v>INTERRUPTOR RPD PARA CONTROL POSICION DEL CABLE GS 5001</v>
      </c>
      <c r="K512" s="451" t="str">
        <f>'No Recurrentes 24-26'!K377</f>
        <v>Pza</v>
      </c>
      <c r="L512" s="451" t="str">
        <f>'No Recurrentes 24-26'!BC377</f>
        <v/>
      </c>
      <c r="M512" s="451" t="str">
        <f>'No Recurrentes 24-26'!BD377</f>
        <v/>
      </c>
      <c r="N512" s="451" t="str">
        <f>'No Recurrentes 24-26'!BE377</f>
        <v/>
      </c>
      <c r="O512" s="451" t="str">
        <f>'No Recurrentes 24-26'!BF377</f>
        <v/>
      </c>
      <c r="P512" s="451" t="str">
        <f>'No Recurrentes 24-26'!BG377</f>
        <v/>
      </c>
      <c r="Q512" s="451" t="str">
        <f>'No Recurrentes 24-26'!BH377</f>
        <v/>
      </c>
      <c r="R512" s="451" t="str">
        <f>'No Recurrentes 24-26'!BI377</f>
        <v/>
      </c>
      <c r="S512" s="451" t="str">
        <f>'No Recurrentes 24-26'!BJ377</f>
        <v/>
      </c>
      <c r="T512" s="451" t="str">
        <f>'No Recurrentes 24-26'!BK377</f>
        <v/>
      </c>
      <c r="U512" s="451" t="str">
        <f>'No Recurrentes 24-26'!BL377</f>
        <v/>
      </c>
      <c r="V512" s="1068"/>
      <c r="W512" s="1062">
        <f>'No Recurrentes 24-26'!BM377</f>
        <v>0</v>
      </c>
      <c r="X512" s="1062" t="str">
        <f>'No Recurrentes 24-26'!BN377</f>
        <v/>
      </c>
      <c r="Y512" s="1062" t="str">
        <f>'No Recurrentes 24-26'!BO377</f>
        <v/>
      </c>
      <c r="Z512" s="1062" t="str">
        <f>'No Recurrentes 24-26'!BP377</f>
        <v/>
      </c>
      <c r="AA512" s="1062" t="str">
        <f>'No Recurrentes 24-26'!BQ377</f>
        <v/>
      </c>
      <c r="AB512" s="1062" t="str">
        <f>'No Recurrentes 24-26'!BR377</f>
        <v/>
      </c>
      <c r="AC512" s="1062" t="str">
        <f>'No Recurrentes 24-26'!BS377</f>
        <v/>
      </c>
      <c r="AD512" s="1062" t="str">
        <f>'No Recurrentes 24-26'!BT377</f>
        <v/>
      </c>
      <c r="AE512" s="1062" t="str">
        <f>'No Recurrentes 24-26'!BU377</f>
        <v/>
      </c>
      <c r="AF512" s="1062" t="str">
        <f>'No Recurrentes 24-26'!BV377</f>
        <v/>
      </c>
      <c r="AG512" s="1062" t="str">
        <f>'No Recurrentes 24-26'!BW377</f>
        <v/>
      </c>
      <c r="AH512" s="1068"/>
      <c r="AI512" s="1062">
        <f>'No Recurrentes 24-26'!BX377</f>
        <v>0</v>
      </c>
      <c r="AJ512" s="1062">
        <f>'No Recurrentes 24-26'!BY377</f>
        <v>0</v>
      </c>
      <c r="AK512" s="1062">
        <f>'No Recurrentes 24-26'!BZ377</f>
        <v>0</v>
      </c>
      <c r="AL512" s="1062">
        <f>'No Recurrentes 24-26'!CA377</f>
        <v>0</v>
      </c>
      <c r="AM512" s="1062">
        <f>'No Recurrentes 24-26'!CB377</f>
        <v>0</v>
      </c>
      <c r="AN512" s="1062">
        <f>'No Recurrentes 24-26'!CC377</f>
        <v>0</v>
      </c>
      <c r="AO512" s="1062">
        <f>'No Recurrentes 24-26'!CD377</f>
        <v>0</v>
      </c>
      <c r="AP512" s="1062">
        <f>'No Recurrentes 24-26'!CE377</f>
        <v>0</v>
      </c>
      <c r="AQ512" s="1062">
        <f>'No Recurrentes 24-26'!CF377</f>
        <v>0</v>
      </c>
      <c r="AR512" s="1062">
        <f>'No Recurrentes 24-26'!CG377</f>
        <v>0</v>
      </c>
      <c r="AS512" s="1062">
        <f>'No Recurrentes 24-26'!CH377</f>
        <v>0</v>
      </c>
      <c r="AT512" s="1068"/>
      <c r="AU512" s="1062">
        <f>'No Recurrentes 24-26'!CI377</f>
        <v>0</v>
      </c>
      <c r="AV512" s="1062">
        <f>'No Recurrentes 24-26'!CJ377</f>
        <v>0</v>
      </c>
      <c r="AW512" s="1068"/>
      <c r="AX512" s="1062">
        <f>'No Recurrentes 24-26'!CK377</f>
        <v>1233.52</v>
      </c>
      <c r="AY512" s="1062">
        <f>'No Recurrentes 24-26'!CL377</f>
        <v>8597.6344</v>
      </c>
      <c r="AZ512" s="1068"/>
      <c r="BA512" s="1062">
        <f>'No Recurrentes 24-26'!CM377</f>
        <v>0</v>
      </c>
      <c r="BB512" s="1062">
        <f>'No Recurrentes 24-26'!CN377</f>
        <v>0</v>
      </c>
      <c r="BC512" s="1062">
        <f>'No Recurrentes 24-26'!CO377</f>
        <v>0</v>
      </c>
      <c r="BD512" s="1062">
        <f>'No Recurrentes 24-26'!CP377</f>
        <v>0</v>
      </c>
      <c r="BE512" s="1062">
        <f>'No Recurrentes 24-26'!CQ377</f>
        <v>0</v>
      </c>
      <c r="BF512" s="1062">
        <f>'No Recurrentes 24-26'!CR377</f>
        <v>0</v>
      </c>
      <c r="BG512" s="1062">
        <f>'No Recurrentes 24-26'!CS377</f>
        <v>0</v>
      </c>
      <c r="BH512" s="1062">
        <f>'No Recurrentes 24-26'!CT377</f>
        <v>0</v>
      </c>
      <c r="BI512" s="1062">
        <f>'No Recurrentes 24-26'!CU377</f>
        <v>0</v>
      </c>
      <c r="BJ512" s="1062">
        <f>'No Recurrentes 24-26'!CV377</f>
        <v>0</v>
      </c>
      <c r="BK512" s="1068"/>
      <c r="BL512" s="1062">
        <f>'No Recurrentes 24-26'!CW377</f>
        <v>0</v>
      </c>
      <c r="BM512" s="1062">
        <f>'No Recurrentes 24-26'!CX377</f>
        <v>0</v>
      </c>
      <c r="BN512" s="1062">
        <f>'No Recurrentes 24-26'!CY377</f>
        <v>0</v>
      </c>
      <c r="BO512" s="1062">
        <f>'No Recurrentes 24-26'!CZ377</f>
        <v>0</v>
      </c>
      <c r="BP512" s="1062">
        <f>'No Recurrentes 24-26'!DA377</f>
        <v>0</v>
      </c>
      <c r="BQ512" s="1062">
        <f>'No Recurrentes 24-26'!DB377</f>
        <v>0</v>
      </c>
      <c r="BR512" s="1062">
        <f>'No Recurrentes 24-26'!DC377</f>
        <v>0</v>
      </c>
      <c r="BS512" s="1062">
        <f>'No Recurrentes 24-26'!DD377</f>
        <v>0</v>
      </c>
      <c r="BT512" s="1062">
        <f>'No Recurrentes 24-26'!DE377</f>
        <v>0</v>
      </c>
      <c r="BU512" s="1062">
        <f>'No Recurrentes 24-26'!DF377</f>
        <v>0</v>
      </c>
      <c r="BV512" s="1062">
        <f>'No Recurrentes 24-26'!DG377</f>
        <v>0</v>
      </c>
      <c r="BW512" s="1068"/>
      <c r="BX512" s="1062">
        <f>'No Recurrentes 24-26'!DH377</f>
        <v>0</v>
      </c>
      <c r="BY512" s="1062">
        <f>'No Recurrentes 24-26'!DI377</f>
        <v>0</v>
      </c>
      <c r="BZ512" s="1062">
        <f>'No Recurrentes 24-26'!DJ377</f>
        <v>0</v>
      </c>
      <c r="CA512" s="1062">
        <f>'No Recurrentes 24-26'!DK377</f>
        <v>0</v>
      </c>
      <c r="CB512" s="1062">
        <f>'No Recurrentes 24-26'!DL377</f>
        <v>0</v>
      </c>
      <c r="CC512" s="1062">
        <f>'No Recurrentes 24-26'!DM377</f>
        <v>0</v>
      </c>
      <c r="CD512" s="1062">
        <f>'No Recurrentes 24-26'!DN377</f>
        <v>0</v>
      </c>
      <c r="CE512" s="1062">
        <f>'No Recurrentes 24-26'!DO377</f>
        <v>0</v>
      </c>
      <c r="CF512" s="1062">
        <f>'No Recurrentes 24-26'!DP377</f>
        <v>0</v>
      </c>
      <c r="CG512" s="1062">
        <f>'No Recurrentes 24-26'!DQ377</f>
        <v>0</v>
      </c>
      <c r="CH512" s="1062">
        <f>'No Recurrentes 24-26'!DR377</f>
        <v>0</v>
      </c>
      <c r="CI512" s="1068"/>
      <c r="CJ512" s="1062">
        <f>'No Recurrentes 24-26'!DS377</f>
        <v>0</v>
      </c>
      <c r="CK512" s="1062">
        <f>'No Recurrentes 24-26'!DT377</f>
        <v>0</v>
      </c>
      <c r="CL512" s="1064" t="str">
        <f>'No Recurrentes 24-26'!DU377</f>
        <v/>
      </c>
      <c r="CM512" s="1064" t="str">
        <f>'No Recurrentes 24-26'!DV377</f>
        <v/>
      </c>
      <c r="CN512" s="1065">
        <f>'No Recurrentes 24-26'!EI373</f>
        <v>485.51</v>
      </c>
      <c r="CO512" s="1065">
        <f>'No Recurrentes 24-26'!EJ373</f>
        <v>412.68</v>
      </c>
      <c r="CP512" s="1060" t="str">
        <f>'No Recurrentes 24-26'!EK373</f>
        <v/>
      </c>
    </row>
    <row r="513">
      <c r="A513" s="451" t="str">
        <f>'No Recurrentes 24-26'!A378</f>
        <v>Repuestos Electromecánicos no recurrentes</v>
      </c>
      <c r="B513" s="451">
        <f>'No Recurrentes 24-26'!B378</f>
        <v>2</v>
      </c>
      <c r="C513" s="451" t="str">
        <f>'No Recurrentes 24-26'!C378</f>
        <v>Torre</v>
      </c>
      <c r="D513" s="451" t="str">
        <f>'No Recurrentes 24-26'!D378</f>
        <v>Sistema RPD</v>
      </c>
      <c r="E513" s="451" t="str">
        <f>'No Recurrentes 24-26'!E378</f>
        <v>Repuesto Eléctrico</v>
      </c>
      <c r="F513" s="451" t="str">
        <f>'No Recurrentes 24-26'!F378</f>
        <v>TDB</v>
      </c>
      <c r="G513" s="1061" t="str">
        <f>'No Recurrentes 24-26'!G378</f>
        <v>39700</v>
      </c>
      <c r="H513" s="1061" t="str">
        <f>'No Recurrentes 24-26'!H378</f>
        <v>2-02-00334</v>
      </c>
      <c r="I513" s="1061" t="str">
        <f>'No Recurrentes 24-26'!I378</f>
        <v>10302026</v>
      </c>
      <c r="J513" s="1061" t="str">
        <f>'No Recurrentes 24-26'!J378</f>
        <v>CABLE DE CONEX.RPD 6M KDKS AMARILLO CON ENCHUFE INYECTADO Y</v>
      </c>
      <c r="K513" s="451" t="str">
        <f>'No Recurrentes 24-26'!K378</f>
        <v>Pza</v>
      </c>
      <c r="L513" s="451" t="str">
        <f>'No Recurrentes 24-26'!BC378</f>
        <v/>
      </c>
      <c r="M513" s="451" t="str">
        <f>'No Recurrentes 24-26'!BD378</f>
        <v/>
      </c>
      <c r="N513" s="451" t="str">
        <f>'No Recurrentes 24-26'!BE378</f>
        <v/>
      </c>
      <c r="O513" s="451" t="str">
        <f>'No Recurrentes 24-26'!BF378</f>
        <v/>
      </c>
      <c r="P513" s="451" t="str">
        <f>'No Recurrentes 24-26'!BG378</f>
        <v/>
      </c>
      <c r="Q513" s="451" t="str">
        <f>'No Recurrentes 24-26'!BH378</f>
        <v/>
      </c>
      <c r="R513" s="451" t="str">
        <f>'No Recurrentes 24-26'!BI378</f>
        <v/>
      </c>
      <c r="S513" s="451" t="str">
        <f>'No Recurrentes 24-26'!BJ378</f>
        <v/>
      </c>
      <c r="T513" s="451" t="str">
        <f>'No Recurrentes 24-26'!BK378</f>
        <v/>
      </c>
      <c r="U513" s="451" t="str">
        <f>'No Recurrentes 24-26'!BL378</f>
        <v/>
      </c>
      <c r="V513" s="1068"/>
      <c r="W513" s="1062">
        <f>'No Recurrentes 24-26'!BM378</f>
        <v>0</v>
      </c>
      <c r="X513" s="1062" t="str">
        <f>'No Recurrentes 24-26'!BN378</f>
        <v/>
      </c>
      <c r="Y513" s="1062" t="str">
        <f>'No Recurrentes 24-26'!BO378</f>
        <v/>
      </c>
      <c r="Z513" s="1062" t="str">
        <f>'No Recurrentes 24-26'!BP378</f>
        <v/>
      </c>
      <c r="AA513" s="1062">
        <f>'No Recurrentes 24-26'!BQ378</f>
        <v>1</v>
      </c>
      <c r="AB513" s="1062">
        <f>'No Recurrentes 24-26'!BR378</f>
        <v>2</v>
      </c>
      <c r="AC513" s="1062">
        <f>'No Recurrentes 24-26'!BS378</f>
        <v>2</v>
      </c>
      <c r="AD513" s="1062" t="str">
        <f>'No Recurrentes 24-26'!BT378</f>
        <v/>
      </c>
      <c r="AE513" s="1062" t="str">
        <f>'No Recurrentes 24-26'!BU378</f>
        <v/>
      </c>
      <c r="AF513" s="1062" t="str">
        <f>'No Recurrentes 24-26'!BV378</f>
        <v/>
      </c>
      <c r="AG513" s="1062" t="str">
        <f>'No Recurrentes 24-26'!BW378</f>
        <v/>
      </c>
      <c r="AH513" s="1068"/>
      <c r="AI513" s="1062">
        <f>'No Recurrentes 24-26'!BX378</f>
        <v>5</v>
      </c>
      <c r="AJ513" s="1062">
        <f>'No Recurrentes 24-26'!BY378</f>
        <v>0</v>
      </c>
      <c r="AK513" s="1062">
        <f>'No Recurrentes 24-26'!BZ378</f>
        <v>0</v>
      </c>
      <c r="AL513" s="1062">
        <f>'No Recurrentes 24-26'!CA378</f>
        <v>0</v>
      </c>
      <c r="AM513" s="1062">
        <f>'No Recurrentes 24-26'!CB378</f>
        <v>0</v>
      </c>
      <c r="AN513" s="1062">
        <f>'No Recurrentes 24-26'!CC378</f>
        <v>0</v>
      </c>
      <c r="AO513" s="1062">
        <f>'No Recurrentes 24-26'!CD378</f>
        <v>0</v>
      </c>
      <c r="AP513" s="1062">
        <f>'No Recurrentes 24-26'!CE378</f>
        <v>0</v>
      </c>
      <c r="AQ513" s="1062">
        <f>'No Recurrentes 24-26'!CF378</f>
        <v>0</v>
      </c>
      <c r="AR513" s="1062">
        <f>'No Recurrentes 24-26'!CG378</f>
        <v>0</v>
      </c>
      <c r="AS513" s="1062">
        <f>'No Recurrentes 24-26'!CH378</f>
        <v>0</v>
      </c>
      <c r="AT513" s="1068"/>
      <c r="AU513" s="1062">
        <f>'No Recurrentes 24-26'!CI378</f>
        <v>0</v>
      </c>
      <c r="AV513" s="1062">
        <f>'No Recurrentes 24-26'!CJ378</f>
        <v>5</v>
      </c>
      <c r="AW513" s="1068"/>
      <c r="AX513" s="1065">
        <f>'No Recurrentes 24-26'!CK378</f>
        <v>111.25</v>
      </c>
      <c r="AY513" s="1062">
        <f>'No Recurrentes 24-26'!CL378</f>
        <v>774.3</v>
      </c>
      <c r="AZ513" s="1068"/>
      <c r="BA513" s="1062">
        <f>'No Recurrentes 24-26'!CM378</f>
        <v>0</v>
      </c>
      <c r="BB513" s="1062">
        <f>'No Recurrentes 24-26'!CN378</f>
        <v>0</v>
      </c>
      <c r="BC513" s="1062">
        <f>'No Recurrentes 24-26'!CO378</f>
        <v>0</v>
      </c>
      <c r="BD513" s="1062">
        <f>'No Recurrentes 24-26'!CP378</f>
        <v>0</v>
      </c>
      <c r="BE513" s="1062">
        <f>'No Recurrentes 24-26'!CQ378</f>
        <v>0</v>
      </c>
      <c r="BF513" s="1062">
        <f>'No Recurrentes 24-26'!CR378</f>
        <v>0</v>
      </c>
      <c r="BG513" s="1062">
        <f>'No Recurrentes 24-26'!CS378</f>
        <v>0</v>
      </c>
      <c r="BH513" s="1062">
        <f>'No Recurrentes 24-26'!CT378</f>
        <v>0</v>
      </c>
      <c r="BI513" s="1062">
        <f>'No Recurrentes 24-26'!CU378</f>
        <v>0</v>
      </c>
      <c r="BJ513" s="1062">
        <f>'No Recurrentes 24-26'!CV378</f>
        <v>0</v>
      </c>
      <c r="BK513" s="1068"/>
      <c r="BL513" s="1062">
        <f>'No Recurrentes 24-26'!CW378</f>
        <v>0</v>
      </c>
      <c r="BM513" s="1062">
        <f>'No Recurrentes 24-26'!CX378</f>
        <v>0</v>
      </c>
      <c r="BN513" s="1062">
        <f>'No Recurrentes 24-26'!CY378</f>
        <v>0</v>
      </c>
      <c r="BO513" s="1062">
        <f>'No Recurrentes 24-26'!CZ378</f>
        <v>0</v>
      </c>
      <c r="BP513" s="1062">
        <f>'No Recurrentes 24-26'!DA378</f>
        <v>774.3</v>
      </c>
      <c r="BQ513" s="1062">
        <f>'No Recurrentes 24-26'!DB378</f>
        <v>1548.6</v>
      </c>
      <c r="BR513" s="1062">
        <f>'No Recurrentes 24-26'!DC378</f>
        <v>1548.6</v>
      </c>
      <c r="BS513" s="1062">
        <f>'No Recurrentes 24-26'!DD378</f>
        <v>0</v>
      </c>
      <c r="BT513" s="1062">
        <f>'No Recurrentes 24-26'!DE378</f>
        <v>0</v>
      </c>
      <c r="BU513" s="1062">
        <f>'No Recurrentes 24-26'!DF378</f>
        <v>0</v>
      </c>
      <c r="BV513" s="1062">
        <f>'No Recurrentes 24-26'!DG378</f>
        <v>0</v>
      </c>
      <c r="BW513" s="1068"/>
      <c r="BX513" s="1062">
        <f>'No Recurrentes 24-26'!DH378</f>
        <v>3871.5</v>
      </c>
      <c r="BY513" s="1062">
        <f>'No Recurrentes 24-26'!DI378</f>
        <v>0</v>
      </c>
      <c r="BZ513" s="1062">
        <f>'No Recurrentes 24-26'!DJ378</f>
        <v>0</v>
      </c>
      <c r="CA513" s="1062">
        <f>'No Recurrentes 24-26'!DK378</f>
        <v>0</v>
      </c>
      <c r="CB513" s="1062">
        <f>'No Recurrentes 24-26'!DL378</f>
        <v>0</v>
      </c>
      <c r="CC513" s="1062">
        <f>'No Recurrentes 24-26'!DM378</f>
        <v>0</v>
      </c>
      <c r="CD513" s="1062">
        <f>'No Recurrentes 24-26'!DN378</f>
        <v>0</v>
      </c>
      <c r="CE513" s="1062">
        <f>'No Recurrentes 24-26'!DO378</f>
        <v>0</v>
      </c>
      <c r="CF513" s="1062">
        <f>'No Recurrentes 24-26'!DP378</f>
        <v>0</v>
      </c>
      <c r="CG513" s="1062">
        <f>'No Recurrentes 24-26'!DQ378</f>
        <v>0</v>
      </c>
      <c r="CH513" s="1062">
        <f>'No Recurrentes 24-26'!DR378</f>
        <v>0</v>
      </c>
      <c r="CI513" s="1068"/>
      <c r="CJ513" s="1062">
        <f>'No Recurrentes 24-26'!DS378</f>
        <v>0</v>
      </c>
      <c r="CK513" s="1062">
        <f>'No Recurrentes 24-26'!DT378</f>
        <v>3871.5</v>
      </c>
      <c r="CL513" s="1064" t="str">
        <f>'No Recurrentes 24-26'!DU378</f>
        <v/>
      </c>
      <c r="CM513" s="1064" t="str">
        <f>'No Recurrentes 24-26'!DV378</f>
        <v/>
      </c>
      <c r="CN513" s="1065">
        <f>'No Recurrentes 24-26'!EI374</f>
        <v>172.21</v>
      </c>
      <c r="CO513" s="1065">
        <f>'No Recurrentes 24-26'!EJ374</f>
        <v>146.38</v>
      </c>
      <c r="CP513" s="1060" t="str">
        <f>'No Recurrentes 24-26'!EK374</f>
        <v/>
      </c>
    </row>
    <row r="514">
      <c r="A514" s="451" t="str">
        <f>'No Recurrentes 24-26'!A379</f>
        <v>Repuestos Electromecánicos no recurrentes</v>
      </c>
      <c r="B514" s="451">
        <f>'No Recurrentes 24-26'!B379</f>
        <v>2</v>
      </c>
      <c r="C514" s="451" t="str">
        <f>'No Recurrentes 24-26'!C379</f>
        <v>Estación</v>
      </c>
      <c r="D514" s="451" t="str">
        <f>'No Recurrentes 24-26'!D379</f>
        <v>Trompeta</v>
      </c>
      <c r="E514" s="451" t="str">
        <f>'No Recurrentes 24-26'!E379</f>
        <v>Repuesto Mecánico</v>
      </c>
      <c r="F514" s="451" t="str">
        <f>'No Recurrentes 24-26'!F379</f>
        <v>TDB</v>
      </c>
      <c r="G514" s="1025" t="str">
        <f>'No Recurrentes 24-26'!G379</f>
        <v>39800</v>
      </c>
      <c r="H514" s="1061" t="str">
        <f>'No Recurrentes 24-26'!H379</f>
        <v>2-01-00226</v>
      </c>
      <c r="I514" s="1061" t="str">
        <f>'No Recurrentes 24-26'!I379</f>
        <v>11135996</v>
      </c>
      <c r="J514" s="1061" t="str">
        <f>'No Recurrentes 24-26'!J379</f>
        <v>AMORTIGUADOR WM-Z7-200-K4G4-C FUERZA COMPR./TRACT.2-50KN WEF.</v>
      </c>
      <c r="K514" s="451" t="str">
        <f>'No Recurrentes 24-26'!K379</f>
        <v>Pza</v>
      </c>
      <c r="L514" s="451" t="str">
        <f>'No Recurrentes 24-26'!BC379</f>
        <v/>
      </c>
      <c r="M514" s="451" t="str">
        <f>'No Recurrentes 24-26'!BD379</f>
        <v/>
      </c>
      <c r="N514" s="451">
        <f>'No Recurrentes 24-26'!BE379</f>
        <v>1</v>
      </c>
      <c r="O514" s="451" t="str">
        <f>'No Recurrentes 24-26'!BF379</f>
        <v/>
      </c>
      <c r="P514" s="451" t="str">
        <f>'No Recurrentes 24-26'!BG379</f>
        <v/>
      </c>
      <c r="Q514" s="451" t="str">
        <f>'No Recurrentes 24-26'!BH379</f>
        <v/>
      </c>
      <c r="R514" s="451" t="str">
        <f>'No Recurrentes 24-26'!BI379</f>
        <v/>
      </c>
      <c r="S514" s="451" t="str">
        <f>'No Recurrentes 24-26'!BJ379</f>
        <v/>
      </c>
      <c r="T514" s="451" t="str">
        <f>'No Recurrentes 24-26'!BK379</f>
        <v/>
      </c>
      <c r="U514" s="451" t="str">
        <f>'No Recurrentes 24-26'!BL379</f>
        <v/>
      </c>
      <c r="V514" s="1068"/>
      <c r="W514" s="1062">
        <f>'No Recurrentes 24-26'!BM379</f>
        <v>1</v>
      </c>
      <c r="X514" s="1062">
        <f>'No Recurrentes 24-26'!BN379</f>
        <v>2</v>
      </c>
      <c r="Y514" s="1062" t="str">
        <f>'No Recurrentes 24-26'!BO379</f>
        <v/>
      </c>
      <c r="Z514" s="1062" t="str">
        <f>'No Recurrentes 24-26'!BP379</f>
        <v/>
      </c>
      <c r="AA514" s="1062" t="str">
        <f>'No Recurrentes 24-26'!BQ379</f>
        <v/>
      </c>
      <c r="AB514" s="1062" t="str">
        <f>'No Recurrentes 24-26'!BR379</f>
        <v/>
      </c>
      <c r="AC514" s="1062" t="str">
        <f>'No Recurrentes 24-26'!BS379</f>
        <v/>
      </c>
      <c r="AD514" s="1062" t="str">
        <f>'No Recurrentes 24-26'!BT379</f>
        <v/>
      </c>
      <c r="AE514" s="1062" t="str">
        <f>'No Recurrentes 24-26'!BU379</f>
        <v/>
      </c>
      <c r="AF514" s="1062" t="str">
        <f>'No Recurrentes 24-26'!BV379</f>
        <v/>
      </c>
      <c r="AG514" s="1062" t="str">
        <f>'No Recurrentes 24-26'!BW379</f>
        <v/>
      </c>
      <c r="AH514" s="1068"/>
      <c r="AI514" s="1062">
        <f>'No Recurrentes 24-26'!BX379</f>
        <v>2</v>
      </c>
      <c r="AJ514" s="1062">
        <f>'No Recurrentes 24-26'!BY379</f>
        <v>0</v>
      </c>
      <c r="AK514" s="1062">
        <f>'No Recurrentes 24-26'!BZ379</f>
        <v>0</v>
      </c>
      <c r="AL514" s="1062">
        <f>'No Recurrentes 24-26'!CA379</f>
        <v>0</v>
      </c>
      <c r="AM514" s="1062">
        <f>'No Recurrentes 24-26'!CB379</f>
        <v>0</v>
      </c>
      <c r="AN514" s="1062">
        <f>'No Recurrentes 24-26'!CC379</f>
        <v>0</v>
      </c>
      <c r="AO514" s="1062">
        <f>'No Recurrentes 24-26'!CD379</f>
        <v>0</v>
      </c>
      <c r="AP514" s="1062">
        <f>'No Recurrentes 24-26'!CE379</f>
        <v>0</v>
      </c>
      <c r="AQ514" s="1062">
        <f>'No Recurrentes 24-26'!CF379</f>
        <v>0</v>
      </c>
      <c r="AR514" s="1062">
        <f>'No Recurrentes 24-26'!CG379</f>
        <v>0</v>
      </c>
      <c r="AS514" s="1062">
        <f>'No Recurrentes 24-26'!CH379</f>
        <v>0</v>
      </c>
      <c r="AT514" s="1068"/>
      <c r="AU514" s="1062">
        <f>'No Recurrentes 24-26'!CI379</f>
        <v>0</v>
      </c>
      <c r="AV514" s="1063">
        <f>'No Recurrentes 24-26'!CJ379</f>
        <v>3</v>
      </c>
      <c r="AW514" s="1068"/>
      <c r="AX514" s="1065">
        <f>'No Recurrentes 24-26'!CK379</f>
        <v>2730.59</v>
      </c>
      <c r="AY514" s="1062">
        <f>'No Recurrentes 24-26'!CL379</f>
        <v>19004.9064</v>
      </c>
      <c r="AZ514" s="1068"/>
      <c r="BA514" s="1062">
        <f>'No Recurrentes 24-26'!CM379</f>
        <v>0</v>
      </c>
      <c r="BB514" s="1062">
        <f>'No Recurrentes 24-26'!CN379</f>
        <v>0</v>
      </c>
      <c r="BC514" s="1062">
        <f>'No Recurrentes 24-26'!CO379</f>
        <v>19004.9064</v>
      </c>
      <c r="BD514" s="1062">
        <f>'No Recurrentes 24-26'!CP379</f>
        <v>0</v>
      </c>
      <c r="BE514" s="1062">
        <f>'No Recurrentes 24-26'!CQ379</f>
        <v>0</v>
      </c>
      <c r="BF514" s="1062">
        <f>'No Recurrentes 24-26'!CR379</f>
        <v>0</v>
      </c>
      <c r="BG514" s="1062">
        <f>'No Recurrentes 24-26'!CS379</f>
        <v>0</v>
      </c>
      <c r="BH514" s="1062">
        <f>'No Recurrentes 24-26'!CT379</f>
        <v>0</v>
      </c>
      <c r="BI514" s="1062">
        <f>'No Recurrentes 24-26'!CU379</f>
        <v>0</v>
      </c>
      <c r="BJ514" s="1062">
        <f>'No Recurrentes 24-26'!CV379</f>
        <v>0</v>
      </c>
      <c r="BK514" s="1068"/>
      <c r="BL514" s="1062">
        <f>'No Recurrentes 24-26'!CW379</f>
        <v>19004.9064</v>
      </c>
      <c r="BM514" s="1062">
        <f>'No Recurrentes 24-26'!CX379</f>
        <v>38009.8128</v>
      </c>
      <c r="BN514" s="1062">
        <f>'No Recurrentes 24-26'!CY379</f>
        <v>0</v>
      </c>
      <c r="BO514" s="1062">
        <f>'No Recurrentes 24-26'!CZ379</f>
        <v>0</v>
      </c>
      <c r="BP514" s="1062">
        <f>'No Recurrentes 24-26'!DA379</f>
        <v>0</v>
      </c>
      <c r="BQ514" s="1062">
        <f>'No Recurrentes 24-26'!DB379</f>
        <v>0</v>
      </c>
      <c r="BR514" s="1062">
        <f>'No Recurrentes 24-26'!DC379</f>
        <v>0</v>
      </c>
      <c r="BS514" s="1062">
        <f>'No Recurrentes 24-26'!DD379</f>
        <v>0</v>
      </c>
      <c r="BT514" s="1062">
        <f>'No Recurrentes 24-26'!DE379</f>
        <v>0</v>
      </c>
      <c r="BU514" s="1062">
        <f>'No Recurrentes 24-26'!DF379</f>
        <v>0</v>
      </c>
      <c r="BV514" s="1062">
        <f>'No Recurrentes 24-26'!DG379</f>
        <v>0</v>
      </c>
      <c r="BW514" s="1068"/>
      <c r="BX514" s="1062">
        <f>'No Recurrentes 24-26'!DH379</f>
        <v>38009.8128</v>
      </c>
      <c r="BY514" s="1062">
        <f>'No Recurrentes 24-26'!DI379</f>
        <v>0</v>
      </c>
      <c r="BZ514" s="1062">
        <f>'No Recurrentes 24-26'!DJ379</f>
        <v>0</v>
      </c>
      <c r="CA514" s="1062">
        <f>'No Recurrentes 24-26'!DK379</f>
        <v>0</v>
      </c>
      <c r="CB514" s="1062">
        <f>'No Recurrentes 24-26'!DL379</f>
        <v>0</v>
      </c>
      <c r="CC514" s="1062">
        <f>'No Recurrentes 24-26'!DM379</f>
        <v>0</v>
      </c>
      <c r="CD514" s="1062">
        <f>'No Recurrentes 24-26'!DN379</f>
        <v>0</v>
      </c>
      <c r="CE514" s="1062">
        <f>'No Recurrentes 24-26'!DO379</f>
        <v>0</v>
      </c>
      <c r="CF514" s="1062">
        <f>'No Recurrentes 24-26'!DP379</f>
        <v>0</v>
      </c>
      <c r="CG514" s="1062">
        <f>'No Recurrentes 24-26'!DQ379</f>
        <v>0</v>
      </c>
      <c r="CH514" s="1062">
        <f>'No Recurrentes 24-26'!DR379</f>
        <v>0</v>
      </c>
      <c r="CI514" s="1068"/>
      <c r="CJ514" s="1062">
        <f>'No Recurrentes 24-26'!DS379</f>
        <v>0</v>
      </c>
      <c r="CK514" s="1062">
        <f>'No Recurrentes 24-26'!DT379</f>
        <v>57014.7192</v>
      </c>
      <c r="CL514" s="1064" t="str">
        <f>'No Recurrentes 24-26'!DU379</f>
        <v/>
      </c>
      <c r="CM514" s="1064" t="str">
        <f>'No Recurrentes 24-26'!DV379</f>
        <v/>
      </c>
      <c r="CN514" s="1065">
        <f>'No Recurrentes 24-26'!EI375</f>
        <v>131.21</v>
      </c>
      <c r="CO514" s="1065">
        <f>'No Recurrentes 24-26'!EJ375</f>
        <v>111.53</v>
      </c>
      <c r="CP514" s="1060" t="str">
        <f>'No Recurrentes 24-26'!EK375</f>
        <v/>
      </c>
    </row>
    <row r="515">
      <c r="A515" s="451"/>
      <c r="B515" s="451"/>
      <c r="C515" s="451"/>
      <c r="D515" s="451"/>
      <c r="E515" s="451"/>
      <c r="F515" s="451"/>
      <c r="G515" s="1061"/>
      <c r="H515" s="451"/>
      <c r="I515" s="1061"/>
      <c r="J515" s="1061"/>
      <c r="K515" s="451"/>
      <c r="L515" s="451"/>
      <c r="M515" s="451"/>
      <c r="N515" s="451"/>
      <c r="O515" s="451"/>
      <c r="P515" s="451"/>
      <c r="Q515" s="451"/>
      <c r="R515" s="451"/>
      <c r="S515" s="451"/>
      <c r="T515" s="451"/>
      <c r="U515" s="451"/>
      <c r="V515" s="451"/>
      <c r="W515" s="451"/>
      <c r="X515" s="451"/>
      <c r="Y515" s="451"/>
      <c r="Z515" s="451"/>
      <c r="AA515" s="451"/>
      <c r="AB515" s="451"/>
      <c r="AC515" s="451"/>
      <c r="AD515" s="451"/>
      <c r="AE515" s="451"/>
      <c r="AF515" s="451"/>
      <c r="AG515" s="451"/>
      <c r="AH515" s="451"/>
      <c r="AI515" s="451"/>
      <c r="AJ515" s="451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1063"/>
      <c r="AW515" s="1068"/>
      <c r="AX515" s="451"/>
      <c r="AY515" s="451"/>
      <c r="AZ515" s="1068"/>
      <c r="BA515" s="1068"/>
      <c r="BB515" s="1068"/>
      <c r="BC515" s="1068"/>
      <c r="BD515" s="1068"/>
      <c r="BE515" s="1068"/>
      <c r="BF515" s="451"/>
      <c r="BG515" s="451"/>
      <c r="BH515" s="451"/>
      <c r="BI515" s="451"/>
      <c r="BJ515" s="451"/>
      <c r="BK515" s="451"/>
      <c r="BL515" s="1068"/>
      <c r="BM515" s="1068"/>
      <c r="BN515" s="1068"/>
      <c r="BO515" s="1068"/>
      <c r="BP515" s="451"/>
      <c r="BQ515" s="451"/>
      <c r="BR515" s="451"/>
      <c r="BS515" s="451"/>
      <c r="BT515" s="451"/>
      <c r="BU515" s="451"/>
      <c r="BV515" s="451"/>
      <c r="BW515" s="451"/>
      <c r="BX515" s="1068"/>
      <c r="BY515" s="1068"/>
      <c r="BZ515" s="1068"/>
      <c r="CA515" s="451"/>
      <c r="CB515" s="451"/>
      <c r="CC515" s="451"/>
      <c r="CD515" s="451"/>
      <c r="CE515" s="451"/>
      <c r="CF515" s="451"/>
      <c r="CG515" s="451"/>
      <c r="CH515" s="451"/>
      <c r="CI515" s="451"/>
      <c r="CJ515" s="451"/>
      <c r="CK515" s="451"/>
      <c r="CL515" s="451"/>
      <c r="CM515" s="451"/>
      <c r="CN515" s="1065">
        <f>'No Recurrentes 24-26'!EI376</f>
        <v>120.56</v>
      </c>
      <c r="CO515" s="1065">
        <f>'No Recurrentes 24-26'!EJ376</f>
        <v>102.48</v>
      </c>
      <c r="CP515" s="1060" t="str">
        <f>'No Recurrentes 24-26'!EK376</f>
        <v/>
      </c>
    </row>
    <row r="516">
      <c r="A516" s="451" t="str">
        <f>'Rep Ovh Bal'!A4</f>
        <v>Repuestos mantenimientos mayores para estaciones y torres</v>
      </c>
      <c r="B516" s="451">
        <f>'Rep Ovh Bal'!B4</f>
        <v>2</v>
      </c>
      <c r="C516" s="451" t="str">
        <f>'Rep Ovh Bal'!C4</f>
        <v>Torres</v>
      </c>
      <c r="D516" s="451" t="str">
        <f>'Rep Ovh Bal'!D4</f>
        <v>OVH balancines TRM</v>
      </c>
      <c r="E516" s="451" t="str">
        <f>'Rep Ovh Bal'!E4</f>
        <v>Repuesto Mecánico</v>
      </c>
      <c r="F516" s="451" t="str">
        <f>'Rep Ovh Bal'!F4</f>
        <v>TDB</v>
      </c>
      <c r="G516" s="1025" t="str">
        <f>'Rep Ovh Bal'!G4</f>
        <v>39800</v>
      </c>
      <c r="H516" s="1061" t="str">
        <f>'Rep Ovh Bal'!H4</f>
        <v>2-01-00844</v>
      </c>
      <c r="I516" s="1061" t="str">
        <f>'Rep Ovh Bal'!I4</f>
        <v>10000080</v>
      </c>
      <c r="J516" s="1061" t="str">
        <f>'Rep Ovh Bal'!J4</f>
        <v>TUERCA HEXAGONAL DIN 985-8 M12, GALVANIZADA (C.ELEM.DE FIJ.)</v>
      </c>
      <c r="K516" s="451" t="str">
        <f>'Rep Ovh Bal'!K4</f>
        <v>Pza</v>
      </c>
      <c r="L516" s="451">
        <f>'Rep Ovh Bal'!L4</f>
        <v>0</v>
      </c>
      <c r="M516" s="451">
        <f>'Rep Ovh Bal'!M4</f>
        <v>0</v>
      </c>
      <c r="N516" s="451">
        <f>'Rep Ovh Bal'!N4</f>
        <v>0</v>
      </c>
      <c r="O516" s="451">
        <f>'Rep Ovh Bal'!O4</f>
        <v>0</v>
      </c>
      <c r="P516" s="451">
        <f>'Rep Ovh Bal'!P4</f>
        <v>0</v>
      </c>
      <c r="Q516" s="451">
        <f>'Rep Ovh Bal'!Q4</f>
        <v>0</v>
      </c>
      <c r="R516" s="451">
        <f>'Rep Ovh Bal'!R4</f>
        <v>0</v>
      </c>
      <c r="S516" s="451">
        <f>'Rep Ovh Bal'!S4</f>
        <v>0</v>
      </c>
      <c r="T516" s="451">
        <f>'Rep Ovh Bal'!T4</f>
        <v>0</v>
      </c>
      <c r="U516" s="451">
        <f>'Rep Ovh Bal'!U4</f>
        <v>0</v>
      </c>
      <c r="V516" s="451">
        <f>'Rep Ovh Bal'!V4</f>
        <v>48</v>
      </c>
      <c r="W516" s="1062">
        <f>'Rep Ovh Bal'!W4</f>
        <v>48</v>
      </c>
      <c r="X516" s="451">
        <f>'Rep Ovh Bal'!X4</f>
        <v>0</v>
      </c>
      <c r="Y516" s="451">
        <f>'Rep Ovh Bal'!Y4</f>
        <v>0</v>
      </c>
      <c r="Z516" s="451">
        <f>'Rep Ovh Bal'!Z4</f>
        <v>0</v>
      </c>
      <c r="AA516" s="451">
        <f>'Rep Ovh Bal'!AA4</f>
        <v>0</v>
      </c>
      <c r="AB516" s="451">
        <f>'Rep Ovh Bal'!AB4</f>
        <v>0</v>
      </c>
      <c r="AC516" s="451">
        <f>'Rep Ovh Bal'!AC4</f>
        <v>0</v>
      </c>
      <c r="AD516" s="451">
        <f>'Rep Ovh Bal'!AD4</f>
        <v>0</v>
      </c>
      <c r="AE516" s="451">
        <f>'Rep Ovh Bal'!AE4</f>
        <v>0</v>
      </c>
      <c r="AF516" s="451">
        <f>'Rep Ovh Bal'!AF4</f>
        <v>0</v>
      </c>
      <c r="AG516" s="451">
        <f>'Rep Ovh Bal'!AG4</f>
        <v>0</v>
      </c>
      <c r="AH516" s="451">
        <f>'Rep Ovh Bal'!AH4</f>
        <v>68</v>
      </c>
      <c r="AI516" s="1062">
        <f>'Rep Ovh Bal'!AI4</f>
        <v>68</v>
      </c>
      <c r="AJ516" s="451">
        <f>'Rep Ovh Bal'!AJ4</f>
        <v>0</v>
      </c>
      <c r="AK516" s="451">
        <f>'Rep Ovh Bal'!AK4</f>
        <v>0</v>
      </c>
      <c r="AL516" s="451">
        <f>'Rep Ovh Bal'!AL4</f>
        <v>0</v>
      </c>
      <c r="AM516" s="451">
        <f>'Rep Ovh Bal'!AM4</f>
        <v>0</v>
      </c>
      <c r="AN516" s="451">
        <f>'Rep Ovh Bal'!AN4</f>
        <v>0</v>
      </c>
      <c r="AO516" s="451">
        <f>'Rep Ovh Bal'!AO4</f>
        <v>0</v>
      </c>
      <c r="AP516" s="451">
        <f>'Rep Ovh Bal'!AP4</f>
        <v>0</v>
      </c>
      <c r="AQ516" s="451">
        <f>'Rep Ovh Bal'!AQ4</f>
        <v>0</v>
      </c>
      <c r="AR516" s="451">
        <f>'Rep Ovh Bal'!AR4</f>
        <v>0</v>
      </c>
      <c r="AS516" s="451">
        <f>'Rep Ovh Bal'!AS4</f>
        <v>0</v>
      </c>
      <c r="AT516" s="451">
        <f>'Rep Ovh Bal'!AT4</f>
        <v>136</v>
      </c>
      <c r="AU516" s="1062">
        <f>'Rep Ovh Bal'!AU4</f>
        <v>136</v>
      </c>
      <c r="AV516" s="1063">
        <f>'Rep Ovh Bal'!AV4</f>
        <v>252</v>
      </c>
      <c r="AW516" s="1068"/>
      <c r="AX516" s="1065">
        <f>'Rep Ovh Bal'!AW4</f>
        <v>0.39</v>
      </c>
      <c r="AY516" s="1062">
        <f>'Rep Ovh Bal'!AX4</f>
        <v>2.7144</v>
      </c>
      <c r="AZ516" s="1068"/>
      <c r="BA516" s="1068"/>
      <c r="BB516" s="1068"/>
      <c r="BC516" s="1068"/>
      <c r="BD516" s="1068"/>
      <c r="BE516" s="1068"/>
      <c r="BF516" s="1065" t="str">
        <f>'Rep Ovh Bal'!BE4</f>
        <v/>
      </c>
      <c r="BG516" s="451" t="str">
        <f>'Rep Ovh Bal'!BH4</f>
        <v/>
      </c>
      <c r="BH516" s="451" t="str">
        <f>'Rep Ovh Bal'!BI4</f>
        <v/>
      </c>
      <c r="BI516" s="451" t="str">
        <f>'Rep Ovh Bal'!BJ4</f>
        <v/>
      </c>
      <c r="BJ516" s="451" t="str">
        <f>'Rep Ovh Bal'!BK4</f>
        <v/>
      </c>
      <c r="BK516" s="1062">
        <f>'Rep Ovh Bal'!AY4</f>
        <v>130.2912</v>
      </c>
      <c r="BL516" s="1069">
        <f>'Rep Ovh Bal'!AY4</f>
        <v>130.2912</v>
      </c>
      <c r="BM516" s="1068"/>
      <c r="BN516" s="1068"/>
      <c r="BO516" s="1068"/>
      <c r="BP516" s="451" t="str">
        <f>'Rep Ovh Bal'!BQ4</f>
        <v/>
      </c>
      <c r="BQ516" s="451" t="str">
        <f>'Rep Ovh Bal'!BR4</f>
        <v/>
      </c>
      <c r="BR516" s="451" t="str">
        <f>'Rep Ovh Bal'!BS4</f>
        <v/>
      </c>
      <c r="BS516" s="451" t="str">
        <f>'Rep Ovh Bal'!BT4</f>
        <v/>
      </c>
      <c r="BT516" s="451" t="str">
        <f>'Rep Ovh Bal'!BU4</f>
        <v/>
      </c>
      <c r="BU516" s="451" t="str">
        <f>'Rep Ovh Bal'!BV4</f>
        <v/>
      </c>
      <c r="BV516" s="451" t="str">
        <f>'Rep Ovh Bal'!BW4</f>
        <v/>
      </c>
      <c r="BW516" s="1062">
        <f>'Rep Ovh Bal'!AZ4</f>
        <v>184.5792</v>
      </c>
      <c r="BX516" s="1069">
        <f>'Rep Ovh Bal'!AZ4</f>
        <v>184.5792</v>
      </c>
      <c r="BY516" s="1068"/>
      <c r="BZ516" s="1068"/>
      <c r="CA516" s="451" t="str">
        <f>'Rep Ovh Bal'!CB4</f>
        <v/>
      </c>
      <c r="CB516" s="451" t="str">
        <f>'Rep Ovh Bal'!CC4</f>
        <v/>
      </c>
      <c r="CC516" s="451" t="str">
        <f>'Rep Ovh Bal'!CD4</f>
        <v/>
      </c>
      <c r="CD516" s="451" t="str">
        <f>'Rep Ovh Bal'!CE4</f>
        <v/>
      </c>
      <c r="CE516" s="451" t="str">
        <f>'Rep Ovh Bal'!CF4</f>
        <v/>
      </c>
      <c r="CF516" s="451" t="str">
        <f>'Rep Ovh Bal'!CG4</f>
        <v/>
      </c>
      <c r="CG516" s="451" t="str">
        <f>'Rep Ovh Bal'!CH4</f>
        <v/>
      </c>
      <c r="CH516" s="451" t="str">
        <f>'Rep Ovh Bal'!CI4</f>
        <v/>
      </c>
      <c r="CI516" s="1062">
        <f>'Rep Ovh Bal'!BA4</f>
        <v>369.1584</v>
      </c>
      <c r="CJ516" s="1062">
        <f>'Rep Ovh Bal'!BA4</f>
        <v>369.1584</v>
      </c>
      <c r="CK516" s="1062">
        <f>'Rep Ovh Bal'!BB4</f>
        <v>684.0288</v>
      </c>
      <c r="CL516" s="1064" t="str">
        <f>'Rep Ovh Bal'!BC4</f>
        <v/>
      </c>
      <c r="CM516" s="451" t="str">
        <f>'Rep Ovh Bal'!CN4</f>
        <v/>
      </c>
      <c r="CN516" s="1060">
        <f>'No Recurrentes 24-26'!EI377</f>
        <v>1</v>
      </c>
      <c r="CO516" s="1060" t="str">
        <f>'No Recurrentes 24-26'!EJ377</f>
        <v/>
      </c>
      <c r="CP516" s="1060" t="str">
        <f>'No Recurrentes 24-26'!EK377</f>
        <v/>
      </c>
    </row>
    <row r="517">
      <c r="A517" s="451" t="str">
        <f>'Rep Ovh Bal'!A5</f>
        <v>Repuestos mantenimientos mayores para estaciones y torres</v>
      </c>
      <c r="B517" s="451">
        <f>'Rep Ovh Bal'!B5</f>
        <v>2</v>
      </c>
      <c r="C517" s="451" t="str">
        <f>'Rep Ovh Bal'!C5</f>
        <v>Torres</v>
      </c>
      <c r="D517" s="451" t="str">
        <f>'Rep Ovh Bal'!D5</f>
        <v>OVH balancines TRM</v>
      </c>
      <c r="E517" s="451" t="str">
        <f>'Rep Ovh Bal'!E5</f>
        <v>Repuesto Mecánico</v>
      </c>
      <c r="F517" s="451" t="str">
        <f>'Rep Ovh Bal'!F5</f>
        <v>TDB</v>
      </c>
      <c r="G517" s="1025" t="str">
        <f>'Rep Ovh Bal'!G5</f>
        <v>39800</v>
      </c>
      <c r="H517" s="1061" t="str">
        <f>'Rep Ovh Bal'!H5</f>
        <v>2-01-00340</v>
      </c>
      <c r="I517" s="1061" t="str">
        <f>'Rep Ovh Bal'!I5</f>
        <v>10000082</v>
      </c>
      <c r="J517" s="1061" t="str">
        <f>'Rep Ovh Bal'!J5</f>
        <v>TUERCA HEX. DIN 985-8 M16 ELECTROGALVAN. (C.ELEM.DE FIJAC.)</v>
      </c>
      <c r="K517" s="451" t="str">
        <f>'Rep Ovh Bal'!K5</f>
        <v>Pza</v>
      </c>
      <c r="L517" s="451">
        <f>'Rep Ovh Bal'!L5</f>
        <v>0</v>
      </c>
      <c r="M517" s="451">
        <f>'Rep Ovh Bal'!M5</f>
        <v>0</v>
      </c>
      <c r="N517" s="451">
        <f>'Rep Ovh Bal'!N5</f>
        <v>0</v>
      </c>
      <c r="O517" s="451">
        <f>'Rep Ovh Bal'!O5</f>
        <v>0</v>
      </c>
      <c r="P517" s="451">
        <f>'Rep Ovh Bal'!P5</f>
        <v>0</v>
      </c>
      <c r="Q517" s="451">
        <f>'Rep Ovh Bal'!Q5</f>
        <v>0</v>
      </c>
      <c r="R517" s="451">
        <f>'Rep Ovh Bal'!R5</f>
        <v>0</v>
      </c>
      <c r="S517" s="451">
        <f>'Rep Ovh Bal'!S5</f>
        <v>0</v>
      </c>
      <c r="T517" s="451">
        <f>'Rep Ovh Bal'!T5</f>
        <v>0</v>
      </c>
      <c r="U517" s="451">
        <f>'Rep Ovh Bal'!U5</f>
        <v>0</v>
      </c>
      <c r="V517" s="451">
        <f>'Rep Ovh Bal'!V5</f>
        <v>118</v>
      </c>
      <c r="W517" s="1062">
        <f>'Rep Ovh Bal'!W5</f>
        <v>118</v>
      </c>
      <c r="X517" s="451">
        <f>'Rep Ovh Bal'!X5</f>
        <v>0</v>
      </c>
      <c r="Y517" s="451">
        <f>'Rep Ovh Bal'!Y5</f>
        <v>0</v>
      </c>
      <c r="Z517" s="451">
        <f>'Rep Ovh Bal'!Z5</f>
        <v>0</v>
      </c>
      <c r="AA517" s="451">
        <f>'Rep Ovh Bal'!AA5</f>
        <v>0</v>
      </c>
      <c r="AB517" s="451">
        <f>'Rep Ovh Bal'!AB5</f>
        <v>0</v>
      </c>
      <c r="AC517" s="451">
        <f>'Rep Ovh Bal'!AC5</f>
        <v>0</v>
      </c>
      <c r="AD517" s="451">
        <f>'Rep Ovh Bal'!AD5</f>
        <v>0</v>
      </c>
      <c r="AE517" s="451">
        <f>'Rep Ovh Bal'!AE5</f>
        <v>0</v>
      </c>
      <c r="AF517" s="451">
        <f>'Rep Ovh Bal'!AF5</f>
        <v>0</v>
      </c>
      <c r="AG517" s="451">
        <f>'Rep Ovh Bal'!AG5</f>
        <v>0</v>
      </c>
      <c r="AH517" s="451">
        <f>'Rep Ovh Bal'!AH5</f>
        <v>12</v>
      </c>
      <c r="AI517" s="1062">
        <f>'Rep Ovh Bal'!AI5</f>
        <v>12</v>
      </c>
      <c r="AJ517" s="451">
        <f>'Rep Ovh Bal'!AJ5</f>
        <v>0</v>
      </c>
      <c r="AK517" s="451">
        <f>'Rep Ovh Bal'!AK5</f>
        <v>0</v>
      </c>
      <c r="AL517" s="451">
        <f>'Rep Ovh Bal'!AL5</f>
        <v>0</v>
      </c>
      <c r="AM517" s="451">
        <f>'Rep Ovh Bal'!AM5</f>
        <v>0</v>
      </c>
      <c r="AN517" s="451">
        <f>'Rep Ovh Bal'!AN5</f>
        <v>0</v>
      </c>
      <c r="AO517" s="451">
        <f>'Rep Ovh Bal'!AO5</f>
        <v>0</v>
      </c>
      <c r="AP517" s="451">
        <f>'Rep Ovh Bal'!AP5</f>
        <v>0</v>
      </c>
      <c r="AQ517" s="451">
        <f>'Rep Ovh Bal'!AQ5</f>
        <v>0</v>
      </c>
      <c r="AR517" s="451">
        <f>'Rep Ovh Bal'!AR5</f>
        <v>0</v>
      </c>
      <c r="AS517" s="451">
        <f>'Rep Ovh Bal'!AS5</f>
        <v>0</v>
      </c>
      <c r="AT517" s="451">
        <f>'Rep Ovh Bal'!AT5</f>
        <v>40</v>
      </c>
      <c r="AU517" s="1062">
        <f>'Rep Ovh Bal'!AU5</f>
        <v>40</v>
      </c>
      <c r="AV517" s="1063">
        <f>'Rep Ovh Bal'!AV5</f>
        <v>170</v>
      </c>
      <c r="AW517" s="1068"/>
      <c r="AX517" s="1065">
        <f>'Rep Ovh Bal'!AW5</f>
        <v>0.89</v>
      </c>
      <c r="AY517" s="1062">
        <f>'Rep Ovh Bal'!AX5</f>
        <v>6.1944</v>
      </c>
      <c r="AZ517" s="1068"/>
      <c r="BA517" s="1068"/>
      <c r="BB517" s="1068"/>
      <c r="BC517" s="1068"/>
      <c r="BD517" s="1068"/>
      <c r="BE517" s="1068"/>
      <c r="BF517" s="1065" t="str">
        <f>'Rep Ovh Bal'!BE5</f>
        <v/>
      </c>
      <c r="BG517" s="451" t="str">
        <f>'Rep Ovh Bal'!BH5</f>
        <v/>
      </c>
      <c r="BH517" s="451" t="str">
        <f>'Rep Ovh Bal'!BI5</f>
        <v/>
      </c>
      <c r="BI517" s="451" t="str">
        <f>'Rep Ovh Bal'!BJ5</f>
        <v/>
      </c>
      <c r="BJ517" s="451" t="str">
        <f>'Rep Ovh Bal'!BK5</f>
        <v/>
      </c>
      <c r="BK517" s="1062">
        <f>'Rep Ovh Bal'!AY5</f>
        <v>730.9392</v>
      </c>
      <c r="BL517" s="1069">
        <f>'Rep Ovh Bal'!AY5</f>
        <v>730.9392</v>
      </c>
      <c r="BM517" s="1068"/>
      <c r="BN517" s="1068"/>
      <c r="BO517" s="1068"/>
      <c r="BP517" s="451" t="str">
        <f>'Rep Ovh Bal'!BQ5</f>
        <v/>
      </c>
      <c r="BQ517" s="451" t="str">
        <f>'Rep Ovh Bal'!BR5</f>
        <v/>
      </c>
      <c r="BR517" s="451" t="str">
        <f>'Rep Ovh Bal'!BS5</f>
        <v/>
      </c>
      <c r="BS517" s="451" t="str">
        <f>'Rep Ovh Bal'!BT5</f>
        <v/>
      </c>
      <c r="BT517" s="451" t="str">
        <f>'Rep Ovh Bal'!BU5</f>
        <v/>
      </c>
      <c r="BU517" s="451" t="str">
        <f>'Rep Ovh Bal'!BV5</f>
        <v/>
      </c>
      <c r="BV517" s="451" t="str">
        <f>'Rep Ovh Bal'!BW5</f>
        <v/>
      </c>
      <c r="BW517" s="1062">
        <f>'Rep Ovh Bal'!AZ5</f>
        <v>74.3328</v>
      </c>
      <c r="BX517" s="1069">
        <f>'Rep Ovh Bal'!AZ5</f>
        <v>74.3328</v>
      </c>
      <c r="BY517" s="1068"/>
      <c r="BZ517" s="1068"/>
      <c r="CA517" s="451" t="str">
        <f>'Rep Ovh Bal'!CB5</f>
        <v/>
      </c>
      <c r="CB517" s="451" t="str">
        <f>'Rep Ovh Bal'!CC5</f>
        <v/>
      </c>
      <c r="CC517" s="451" t="str">
        <f>'Rep Ovh Bal'!CD5</f>
        <v/>
      </c>
      <c r="CD517" s="451" t="str">
        <f>'Rep Ovh Bal'!CE5</f>
        <v/>
      </c>
      <c r="CE517" s="451" t="str">
        <f>'Rep Ovh Bal'!CF5</f>
        <v/>
      </c>
      <c r="CF517" s="451" t="str">
        <f>'Rep Ovh Bal'!CG5</f>
        <v/>
      </c>
      <c r="CG517" s="451" t="str">
        <f>'Rep Ovh Bal'!CH5</f>
        <v/>
      </c>
      <c r="CH517" s="451" t="str">
        <f>'Rep Ovh Bal'!CI5</f>
        <v/>
      </c>
      <c r="CI517" s="1062">
        <f>'Rep Ovh Bal'!BA5</f>
        <v>247.776</v>
      </c>
      <c r="CJ517" s="1062">
        <f>'Rep Ovh Bal'!BA5</f>
        <v>247.776</v>
      </c>
      <c r="CK517" s="1062">
        <f>'Rep Ovh Bal'!BB5</f>
        <v>1053.048</v>
      </c>
      <c r="CL517" s="1064" t="str">
        <f>'Rep Ovh Bal'!BC5</f>
        <v/>
      </c>
      <c r="CM517" s="451" t="str">
        <f>'Rep Ovh Bal'!CN5</f>
        <v/>
      </c>
      <c r="CN517" s="1065">
        <f>'No Recurrentes 24-26'!EI378</f>
        <v>111.25</v>
      </c>
      <c r="CO517" s="1065">
        <f>'No Recurrentes 24-26'!EJ378</f>
        <v>94.56</v>
      </c>
      <c r="CP517" s="1060" t="str">
        <f>'No Recurrentes 24-26'!EK378</f>
        <v/>
      </c>
    </row>
    <row r="518">
      <c r="A518" s="451" t="str">
        <f>'Rep Ovh Bal'!A6</f>
        <v>Repuestos mantenimientos mayores para estaciones y torres</v>
      </c>
      <c r="B518" s="451">
        <f>'Rep Ovh Bal'!B6</f>
        <v>2</v>
      </c>
      <c r="C518" s="451" t="str">
        <f>'Rep Ovh Bal'!C6</f>
        <v>Torres</v>
      </c>
      <c r="D518" s="451" t="str">
        <f>'Rep Ovh Bal'!D6</f>
        <v>OVH balancines TRM</v>
      </c>
      <c r="E518" s="451" t="str">
        <f>'Rep Ovh Bal'!E6</f>
        <v>Repuesto Mecánico</v>
      </c>
      <c r="F518" s="451" t="str">
        <f>'Rep Ovh Bal'!F6</f>
        <v>TDB</v>
      </c>
      <c r="G518" s="1025" t="str">
        <f>'Rep Ovh Bal'!G6</f>
        <v>39800</v>
      </c>
      <c r="H518" s="1061" t="str">
        <f>'Rep Ovh Bal'!H6</f>
        <v>2-01-00124</v>
      </c>
      <c r="I518" s="1061" t="str">
        <f>'Rep Ovh Bal'!I6</f>
        <v>10000084</v>
      </c>
      <c r="J518" s="1061" t="str">
        <f>'Rep Ovh Bal'!J6</f>
        <v>TUERCA HEXAG. DIN 985-8 M24 GALVANIZADA (CON ELEM. DE FIJ.)</v>
      </c>
      <c r="K518" s="451" t="str">
        <f>'Rep Ovh Bal'!K6</f>
        <v>Pza</v>
      </c>
      <c r="L518" s="451">
        <f>'Rep Ovh Bal'!L6</f>
        <v>0</v>
      </c>
      <c r="M518" s="451">
        <f>'Rep Ovh Bal'!M6</f>
        <v>0</v>
      </c>
      <c r="N518" s="451">
        <f>'Rep Ovh Bal'!N6</f>
        <v>0</v>
      </c>
      <c r="O518" s="451">
        <f>'Rep Ovh Bal'!O6</f>
        <v>0</v>
      </c>
      <c r="P518" s="451">
        <f>'Rep Ovh Bal'!P6</f>
        <v>0</v>
      </c>
      <c r="Q518" s="451">
        <f>'Rep Ovh Bal'!Q6</f>
        <v>0</v>
      </c>
      <c r="R518" s="451">
        <f>'Rep Ovh Bal'!R6</f>
        <v>0</v>
      </c>
      <c r="S518" s="451">
        <f>'Rep Ovh Bal'!S6</f>
        <v>0</v>
      </c>
      <c r="T518" s="451">
        <f>'Rep Ovh Bal'!T6</f>
        <v>0</v>
      </c>
      <c r="U518" s="451">
        <f>'Rep Ovh Bal'!U6</f>
        <v>0</v>
      </c>
      <c r="V518" s="451">
        <f>'Rep Ovh Bal'!V6</f>
        <v>254</v>
      </c>
      <c r="W518" s="1062">
        <f>'Rep Ovh Bal'!W6</f>
        <v>254</v>
      </c>
      <c r="X518" s="451">
        <f>'Rep Ovh Bal'!X6</f>
        <v>0</v>
      </c>
      <c r="Y518" s="451">
        <f>'Rep Ovh Bal'!Y6</f>
        <v>0</v>
      </c>
      <c r="Z518" s="451">
        <f>'Rep Ovh Bal'!Z6</f>
        <v>0</v>
      </c>
      <c r="AA518" s="451">
        <f>'Rep Ovh Bal'!AA6</f>
        <v>0</v>
      </c>
      <c r="AB518" s="451">
        <f>'Rep Ovh Bal'!AB6</f>
        <v>0</v>
      </c>
      <c r="AC518" s="451">
        <f>'Rep Ovh Bal'!AC6</f>
        <v>0</v>
      </c>
      <c r="AD518" s="451">
        <f>'Rep Ovh Bal'!AD6</f>
        <v>0</v>
      </c>
      <c r="AE518" s="451">
        <f>'Rep Ovh Bal'!AE6</f>
        <v>0</v>
      </c>
      <c r="AF518" s="451">
        <f>'Rep Ovh Bal'!AF6</f>
        <v>0</v>
      </c>
      <c r="AG518" s="451">
        <f>'Rep Ovh Bal'!AG6</f>
        <v>0</v>
      </c>
      <c r="AH518" s="451">
        <f>'Rep Ovh Bal'!AH6</f>
        <v>60</v>
      </c>
      <c r="AI518" s="1062">
        <f>'Rep Ovh Bal'!AI6</f>
        <v>60</v>
      </c>
      <c r="AJ518" s="451">
        <f>'Rep Ovh Bal'!AJ6</f>
        <v>0</v>
      </c>
      <c r="AK518" s="451">
        <f>'Rep Ovh Bal'!AK6</f>
        <v>0</v>
      </c>
      <c r="AL518" s="451">
        <f>'Rep Ovh Bal'!AL6</f>
        <v>0</v>
      </c>
      <c r="AM518" s="451">
        <f>'Rep Ovh Bal'!AM6</f>
        <v>0</v>
      </c>
      <c r="AN518" s="451">
        <f>'Rep Ovh Bal'!AN6</f>
        <v>0</v>
      </c>
      <c r="AO518" s="451">
        <f>'Rep Ovh Bal'!AO6</f>
        <v>0</v>
      </c>
      <c r="AP518" s="451">
        <f>'Rep Ovh Bal'!AP6</f>
        <v>0</v>
      </c>
      <c r="AQ518" s="451">
        <f>'Rep Ovh Bal'!AQ6</f>
        <v>0</v>
      </c>
      <c r="AR518" s="451">
        <f>'Rep Ovh Bal'!AR6</f>
        <v>0</v>
      </c>
      <c r="AS518" s="451">
        <f>'Rep Ovh Bal'!AS6</f>
        <v>0</v>
      </c>
      <c r="AT518" s="451">
        <f>'Rep Ovh Bal'!AT6</f>
        <v>166</v>
      </c>
      <c r="AU518" s="1062">
        <f>'Rep Ovh Bal'!AU6</f>
        <v>166</v>
      </c>
      <c r="AV518" s="1063">
        <f>'Rep Ovh Bal'!AV6</f>
        <v>480</v>
      </c>
      <c r="AW518" s="1068"/>
      <c r="AX518" s="1065">
        <f>'Rep Ovh Bal'!AW6</f>
        <v>3.46</v>
      </c>
      <c r="AY518" s="1062">
        <f>'Rep Ovh Bal'!AX6</f>
        <v>24.0816</v>
      </c>
      <c r="AZ518" s="1068"/>
      <c r="BA518" s="1068"/>
      <c r="BB518" s="1068"/>
      <c r="BC518" s="1068"/>
      <c r="BD518" s="1068"/>
      <c r="BE518" s="1068"/>
      <c r="BF518" s="1065" t="str">
        <f>'Rep Ovh Bal'!BE6</f>
        <v/>
      </c>
      <c r="BG518" s="451" t="str">
        <f>'Rep Ovh Bal'!BH6</f>
        <v/>
      </c>
      <c r="BH518" s="451" t="str">
        <f>'Rep Ovh Bal'!BI6</f>
        <v/>
      </c>
      <c r="BI518" s="451" t="str">
        <f>'Rep Ovh Bal'!BJ6</f>
        <v/>
      </c>
      <c r="BJ518" s="451" t="str">
        <f>'Rep Ovh Bal'!BK6</f>
        <v/>
      </c>
      <c r="BK518" s="1062">
        <f>'Rep Ovh Bal'!AY6</f>
        <v>6116.7264</v>
      </c>
      <c r="BL518" s="1069">
        <f>'Rep Ovh Bal'!AY6</f>
        <v>6116.7264</v>
      </c>
      <c r="BM518" s="1068"/>
      <c r="BN518" s="1068"/>
      <c r="BO518" s="1068"/>
      <c r="BP518" s="451" t="str">
        <f>'Rep Ovh Bal'!BQ6</f>
        <v/>
      </c>
      <c r="BQ518" s="451" t="str">
        <f>'Rep Ovh Bal'!BR6</f>
        <v/>
      </c>
      <c r="BR518" s="451" t="str">
        <f>'Rep Ovh Bal'!BS6</f>
        <v/>
      </c>
      <c r="BS518" s="451" t="str">
        <f>'Rep Ovh Bal'!BT6</f>
        <v/>
      </c>
      <c r="BT518" s="451" t="str">
        <f>'Rep Ovh Bal'!BU6</f>
        <v/>
      </c>
      <c r="BU518" s="451" t="str">
        <f>'Rep Ovh Bal'!BV6</f>
        <v/>
      </c>
      <c r="BV518" s="451" t="str">
        <f>'Rep Ovh Bal'!BW6</f>
        <v/>
      </c>
      <c r="BW518" s="1062">
        <f>'Rep Ovh Bal'!AZ6</f>
        <v>1444.896</v>
      </c>
      <c r="BX518" s="1069">
        <f>'Rep Ovh Bal'!AZ6</f>
        <v>1444.896</v>
      </c>
      <c r="BY518" s="1068"/>
      <c r="BZ518" s="1068"/>
      <c r="CA518" s="451" t="str">
        <f>'Rep Ovh Bal'!CB6</f>
        <v/>
      </c>
      <c r="CB518" s="451" t="str">
        <f>'Rep Ovh Bal'!CC6</f>
        <v/>
      </c>
      <c r="CC518" s="451" t="str">
        <f>'Rep Ovh Bal'!CD6</f>
        <v/>
      </c>
      <c r="CD518" s="451" t="str">
        <f>'Rep Ovh Bal'!CE6</f>
        <v/>
      </c>
      <c r="CE518" s="451" t="str">
        <f>'Rep Ovh Bal'!CF6</f>
        <v/>
      </c>
      <c r="CF518" s="451" t="str">
        <f>'Rep Ovh Bal'!CG6</f>
        <v/>
      </c>
      <c r="CG518" s="451" t="str">
        <f>'Rep Ovh Bal'!CH6</f>
        <v/>
      </c>
      <c r="CH518" s="451" t="str">
        <f>'Rep Ovh Bal'!CI6</f>
        <v/>
      </c>
      <c r="CI518" s="1062">
        <f>'Rep Ovh Bal'!BA6</f>
        <v>3997.5456</v>
      </c>
      <c r="CJ518" s="1062">
        <f>'Rep Ovh Bal'!BA6</f>
        <v>3997.5456</v>
      </c>
      <c r="CK518" s="1062">
        <f>'Rep Ovh Bal'!BB6</f>
        <v>11559.168</v>
      </c>
      <c r="CL518" s="1064" t="str">
        <f>'Rep Ovh Bal'!BC6</f>
        <v/>
      </c>
      <c r="CM518" s="451" t="str">
        <f>'Rep Ovh Bal'!CN6</f>
        <v/>
      </c>
      <c r="CN518" s="1065">
        <f>'No Recurrentes 24-26'!EI379</f>
        <v>2730.59</v>
      </c>
      <c r="CO518" s="1065">
        <f>'No Recurrentes 24-26'!EJ379</f>
        <v>2321</v>
      </c>
      <c r="CP518" s="1060">
        <f>'No Recurrentes 24-26'!EK379</f>
        <v>1</v>
      </c>
    </row>
    <row r="519">
      <c r="A519" s="451" t="str">
        <f>'Rep Ovh Bal'!A7</f>
        <v>Repuestos mantenimientos mayores para estaciones y torres</v>
      </c>
      <c r="B519" s="451">
        <f>'Rep Ovh Bal'!B7</f>
        <v>2</v>
      </c>
      <c r="C519" s="451" t="str">
        <f>'Rep Ovh Bal'!C7</f>
        <v>Torres</v>
      </c>
      <c r="D519" s="451" t="str">
        <f>'Rep Ovh Bal'!D7</f>
        <v>OVH balancines TRM</v>
      </c>
      <c r="E519" s="451" t="str">
        <f>'Rep Ovh Bal'!E7</f>
        <v>Repuesto Mecánico</v>
      </c>
      <c r="F519" s="451" t="str">
        <f>'Rep Ovh Bal'!F7</f>
        <v>TDB</v>
      </c>
      <c r="G519" s="1025" t="str">
        <f>'Rep Ovh Bal'!G7</f>
        <v>39800</v>
      </c>
      <c r="H519" s="1061" t="str">
        <f>'Rep Ovh Bal'!H7</f>
        <v>2-01-00125</v>
      </c>
      <c r="I519" s="1061" t="str">
        <f>'Rep Ovh Bal'!I7</f>
        <v>10000085</v>
      </c>
      <c r="J519" s="1061" t="str">
        <f>'Rep Ovh Bal'!J7</f>
        <v>TUERCA HEXAG. DIN 985-8 M30 GALVANIZADO (C.ELEM.DE FIJACION)</v>
      </c>
      <c r="K519" s="451" t="str">
        <f>'Rep Ovh Bal'!K7</f>
        <v>Pza</v>
      </c>
      <c r="L519" s="451">
        <f>'Rep Ovh Bal'!L7</f>
        <v>0</v>
      </c>
      <c r="M519" s="451">
        <f>'Rep Ovh Bal'!M7</f>
        <v>0</v>
      </c>
      <c r="N519" s="451">
        <f>'Rep Ovh Bal'!N7</f>
        <v>0</v>
      </c>
      <c r="O519" s="451">
        <f>'Rep Ovh Bal'!O7</f>
        <v>0</v>
      </c>
      <c r="P519" s="451">
        <f>'Rep Ovh Bal'!P7</f>
        <v>0</v>
      </c>
      <c r="Q519" s="451">
        <f>'Rep Ovh Bal'!Q7</f>
        <v>0</v>
      </c>
      <c r="R519" s="451">
        <f>'Rep Ovh Bal'!R7</f>
        <v>0</v>
      </c>
      <c r="S519" s="451">
        <f>'Rep Ovh Bal'!S7</f>
        <v>0</v>
      </c>
      <c r="T519" s="451">
        <f>'Rep Ovh Bal'!T7</f>
        <v>0</v>
      </c>
      <c r="U519" s="451">
        <f>'Rep Ovh Bal'!U7</f>
        <v>0</v>
      </c>
      <c r="V519" s="451">
        <f>'Rep Ovh Bal'!V7</f>
        <v>140</v>
      </c>
      <c r="W519" s="1062">
        <f>'Rep Ovh Bal'!W7</f>
        <v>140</v>
      </c>
      <c r="X519" s="451">
        <f>'Rep Ovh Bal'!X7</f>
        <v>0</v>
      </c>
      <c r="Y519" s="451">
        <f>'Rep Ovh Bal'!Y7</f>
        <v>0</v>
      </c>
      <c r="Z519" s="451">
        <f>'Rep Ovh Bal'!Z7</f>
        <v>0</v>
      </c>
      <c r="AA519" s="451">
        <f>'Rep Ovh Bal'!AA7</f>
        <v>0</v>
      </c>
      <c r="AB519" s="451">
        <f>'Rep Ovh Bal'!AB7</f>
        <v>0</v>
      </c>
      <c r="AC519" s="451">
        <f>'Rep Ovh Bal'!AC7</f>
        <v>0</v>
      </c>
      <c r="AD519" s="451">
        <f>'Rep Ovh Bal'!AD7</f>
        <v>0</v>
      </c>
      <c r="AE519" s="451">
        <f>'Rep Ovh Bal'!AE7</f>
        <v>0</v>
      </c>
      <c r="AF519" s="451">
        <f>'Rep Ovh Bal'!AF7</f>
        <v>0</v>
      </c>
      <c r="AG519" s="451">
        <f>'Rep Ovh Bal'!AG7</f>
        <v>0</v>
      </c>
      <c r="AH519" s="451">
        <f>'Rep Ovh Bal'!AH7</f>
        <v>260</v>
      </c>
      <c r="AI519" s="1062">
        <f>'Rep Ovh Bal'!AI7</f>
        <v>260</v>
      </c>
      <c r="AJ519" s="451">
        <f>'Rep Ovh Bal'!AJ7</f>
        <v>0</v>
      </c>
      <c r="AK519" s="451">
        <f>'Rep Ovh Bal'!AK7</f>
        <v>0</v>
      </c>
      <c r="AL519" s="451">
        <f>'Rep Ovh Bal'!AL7</f>
        <v>0</v>
      </c>
      <c r="AM519" s="451">
        <f>'Rep Ovh Bal'!AM7</f>
        <v>0</v>
      </c>
      <c r="AN519" s="451">
        <f>'Rep Ovh Bal'!AN7</f>
        <v>0</v>
      </c>
      <c r="AO519" s="451">
        <f>'Rep Ovh Bal'!AO7</f>
        <v>0</v>
      </c>
      <c r="AP519" s="451">
        <f>'Rep Ovh Bal'!AP7</f>
        <v>0</v>
      </c>
      <c r="AQ519" s="451">
        <f>'Rep Ovh Bal'!AQ7</f>
        <v>0</v>
      </c>
      <c r="AR519" s="451">
        <f>'Rep Ovh Bal'!AR7</f>
        <v>0</v>
      </c>
      <c r="AS519" s="451">
        <f>'Rep Ovh Bal'!AS7</f>
        <v>0</v>
      </c>
      <c r="AT519" s="451">
        <f>'Rep Ovh Bal'!AT7</f>
        <v>240</v>
      </c>
      <c r="AU519" s="1062">
        <f>'Rep Ovh Bal'!AU7</f>
        <v>240</v>
      </c>
      <c r="AV519" s="1063">
        <f>'Rep Ovh Bal'!AV7</f>
        <v>640</v>
      </c>
      <c r="AW519" s="1068"/>
      <c r="AX519" s="1065">
        <f>'Rep Ovh Bal'!AW7</f>
        <v>7.54</v>
      </c>
      <c r="AY519" s="1062">
        <f>'Rep Ovh Bal'!AX7</f>
        <v>52.4784</v>
      </c>
      <c r="AZ519" s="1068"/>
      <c r="BA519" s="1068"/>
      <c r="BB519" s="1068"/>
      <c r="BC519" s="1068"/>
      <c r="BD519" s="1068"/>
      <c r="BE519" s="1068"/>
      <c r="BF519" s="1065" t="str">
        <f>'Rep Ovh Bal'!BE7</f>
        <v/>
      </c>
      <c r="BG519" s="451" t="str">
        <f>'Rep Ovh Bal'!BH7</f>
        <v/>
      </c>
      <c r="BH519" s="451" t="str">
        <f>'Rep Ovh Bal'!BI7</f>
        <v/>
      </c>
      <c r="BI519" s="451" t="str">
        <f>'Rep Ovh Bal'!BJ7</f>
        <v/>
      </c>
      <c r="BJ519" s="451" t="str">
        <f>'Rep Ovh Bal'!BK7</f>
        <v/>
      </c>
      <c r="BK519" s="1062">
        <f>'Rep Ovh Bal'!AY7</f>
        <v>7346.976</v>
      </c>
      <c r="BL519" s="1069">
        <f>'Rep Ovh Bal'!AY7</f>
        <v>7346.976</v>
      </c>
      <c r="BM519" s="1068"/>
      <c r="BN519" s="1068"/>
      <c r="BO519" s="1068"/>
      <c r="BP519" s="451" t="str">
        <f>'Rep Ovh Bal'!BQ7</f>
        <v/>
      </c>
      <c r="BQ519" s="451" t="str">
        <f>'Rep Ovh Bal'!BR7</f>
        <v/>
      </c>
      <c r="BR519" s="451" t="str">
        <f>'Rep Ovh Bal'!BS7</f>
        <v/>
      </c>
      <c r="BS519" s="451" t="str">
        <f>'Rep Ovh Bal'!BT7</f>
        <v/>
      </c>
      <c r="BT519" s="451" t="str">
        <f>'Rep Ovh Bal'!BU7</f>
        <v/>
      </c>
      <c r="BU519" s="451" t="str">
        <f>'Rep Ovh Bal'!BV7</f>
        <v/>
      </c>
      <c r="BV519" s="451" t="str">
        <f>'Rep Ovh Bal'!BW7</f>
        <v/>
      </c>
      <c r="BW519" s="1062">
        <f>'Rep Ovh Bal'!AZ7</f>
        <v>13644.384</v>
      </c>
      <c r="BX519" s="1069">
        <f>'Rep Ovh Bal'!AZ7</f>
        <v>13644.384</v>
      </c>
      <c r="BY519" s="1068"/>
      <c r="BZ519" s="1068"/>
      <c r="CA519" s="451" t="str">
        <f>'Rep Ovh Bal'!CB7</f>
        <v/>
      </c>
      <c r="CB519" s="451" t="str">
        <f>'Rep Ovh Bal'!CC7</f>
        <v/>
      </c>
      <c r="CC519" s="451" t="str">
        <f>'Rep Ovh Bal'!CD7</f>
        <v/>
      </c>
      <c r="CD519" s="451" t="str">
        <f>'Rep Ovh Bal'!CE7</f>
        <v/>
      </c>
      <c r="CE519" s="451" t="str">
        <f>'Rep Ovh Bal'!CF7</f>
        <v/>
      </c>
      <c r="CF519" s="451" t="str">
        <f>'Rep Ovh Bal'!CG7</f>
        <v/>
      </c>
      <c r="CG519" s="451" t="str">
        <f>'Rep Ovh Bal'!CH7</f>
        <v/>
      </c>
      <c r="CH519" s="451" t="str">
        <f>'Rep Ovh Bal'!CI7</f>
        <v/>
      </c>
      <c r="CI519" s="1062">
        <f>'Rep Ovh Bal'!BA7</f>
        <v>12594.816</v>
      </c>
      <c r="CJ519" s="1062">
        <f>'Rep Ovh Bal'!BA7</f>
        <v>12594.816</v>
      </c>
      <c r="CK519" s="1062">
        <f>'Rep Ovh Bal'!BB7</f>
        <v>33586.176</v>
      </c>
      <c r="CL519" s="1064" t="str">
        <f>'Rep Ovh Bal'!BC7</f>
        <v/>
      </c>
      <c r="CM519" s="451" t="str">
        <f>'Rep Ovh Bal'!CN7</f>
        <v/>
      </c>
      <c r="CN519" s="451"/>
      <c r="CO519" s="451"/>
      <c r="CP519" s="451"/>
    </row>
    <row r="520">
      <c r="A520" s="451" t="str">
        <f>'Rep Ovh Bal'!A8</f>
        <v>Repuestos mantenimientos mayores para estaciones y torres</v>
      </c>
      <c r="B520" s="451">
        <f>'Rep Ovh Bal'!B8</f>
        <v>2</v>
      </c>
      <c r="C520" s="451" t="str">
        <f>'Rep Ovh Bal'!C8</f>
        <v>Torres</v>
      </c>
      <c r="D520" s="451" t="str">
        <f>'Rep Ovh Bal'!D8</f>
        <v>OVH balancines TRM</v>
      </c>
      <c r="E520" s="451" t="str">
        <f>'Rep Ovh Bal'!E8</f>
        <v>Repuesto Mecánico</v>
      </c>
      <c r="F520" s="451" t="str">
        <f>'Rep Ovh Bal'!F8</f>
        <v>TDB</v>
      </c>
      <c r="G520" s="1025" t="str">
        <f>'Rep Ovh Bal'!G8</f>
        <v>39800</v>
      </c>
      <c r="H520" s="1061" t="str">
        <f>'Rep Ovh Bal'!H8</f>
        <v>2-01-00487</v>
      </c>
      <c r="I520" s="1061" t="str">
        <f>'Rep Ovh Bal'!I8</f>
        <v>10000338</v>
      </c>
      <c r="J520" s="1061" t="str">
        <f>'Rep Ovh Bal'!J8</f>
        <v>ANILLO RETEN.  DIN 471  85X3,0 FOSFAT.</v>
      </c>
      <c r="K520" s="451" t="str">
        <f>'Rep Ovh Bal'!K8</f>
        <v>Pza</v>
      </c>
      <c r="L520" s="451">
        <f>'Rep Ovh Bal'!L8</f>
        <v>0</v>
      </c>
      <c r="M520" s="451">
        <f>'Rep Ovh Bal'!M8</f>
        <v>0</v>
      </c>
      <c r="N520" s="451">
        <f>'Rep Ovh Bal'!N8</f>
        <v>0</v>
      </c>
      <c r="O520" s="451">
        <f>'Rep Ovh Bal'!O8</f>
        <v>0</v>
      </c>
      <c r="P520" s="451">
        <f>'Rep Ovh Bal'!P8</f>
        <v>0</v>
      </c>
      <c r="Q520" s="451">
        <f>'Rep Ovh Bal'!Q8</f>
        <v>0</v>
      </c>
      <c r="R520" s="451">
        <f>'Rep Ovh Bal'!R8</f>
        <v>0</v>
      </c>
      <c r="S520" s="451">
        <f>'Rep Ovh Bal'!S8</f>
        <v>0</v>
      </c>
      <c r="T520" s="451">
        <f>'Rep Ovh Bal'!T8</f>
        <v>0</v>
      </c>
      <c r="U520" s="451">
        <f>'Rep Ovh Bal'!U8</f>
        <v>0</v>
      </c>
      <c r="V520" s="451">
        <f>'Rep Ovh Bal'!V8</f>
        <v>30</v>
      </c>
      <c r="W520" s="1062">
        <f>'Rep Ovh Bal'!W8</f>
        <v>30</v>
      </c>
      <c r="X520" s="451">
        <f>'Rep Ovh Bal'!X8</f>
        <v>0</v>
      </c>
      <c r="Y520" s="451">
        <f>'Rep Ovh Bal'!Y8</f>
        <v>0</v>
      </c>
      <c r="Z520" s="451">
        <f>'Rep Ovh Bal'!Z8</f>
        <v>0</v>
      </c>
      <c r="AA520" s="451">
        <f>'Rep Ovh Bal'!AA8</f>
        <v>0</v>
      </c>
      <c r="AB520" s="451">
        <f>'Rep Ovh Bal'!AB8</f>
        <v>0</v>
      </c>
      <c r="AC520" s="451">
        <f>'Rep Ovh Bal'!AC8</f>
        <v>0</v>
      </c>
      <c r="AD520" s="451">
        <f>'Rep Ovh Bal'!AD8</f>
        <v>0</v>
      </c>
      <c r="AE520" s="451">
        <f>'Rep Ovh Bal'!AE8</f>
        <v>0</v>
      </c>
      <c r="AF520" s="451">
        <f>'Rep Ovh Bal'!AF8</f>
        <v>0</v>
      </c>
      <c r="AG520" s="451">
        <f>'Rep Ovh Bal'!AG8</f>
        <v>0</v>
      </c>
      <c r="AH520" s="451">
        <f>'Rep Ovh Bal'!AH8</f>
        <v>0</v>
      </c>
      <c r="AI520" s="1062">
        <f>'Rep Ovh Bal'!AI8</f>
        <v>0</v>
      </c>
      <c r="AJ520" s="1064">
        <f>'Rep Ovh Bal'!AJ8</f>
        <v>0</v>
      </c>
      <c r="AK520" s="1064">
        <f>'Rep Ovh Bal'!AK8</f>
        <v>0</v>
      </c>
      <c r="AL520" s="1064">
        <f>'Rep Ovh Bal'!AL8</f>
        <v>0</v>
      </c>
      <c r="AM520" s="1064">
        <f>'Rep Ovh Bal'!AM8</f>
        <v>0</v>
      </c>
      <c r="AN520" s="1064">
        <f>'Rep Ovh Bal'!AN8</f>
        <v>0</v>
      </c>
      <c r="AO520" s="1064">
        <f>'Rep Ovh Bal'!AO8</f>
        <v>0</v>
      </c>
      <c r="AP520" s="1064">
        <f>'Rep Ovh Bal'!AP8</f>
        <v>0</v>
      </c>
      <c r="AQ520" s="1064">
        <f>'Rep Ovh Bal'!AQ8</f>
        <v>0</v>
      </c>
      <c r="AR520" s="1064">
        <f>'Rep Ovh Bal'!AR8</f>
        <v>0</v>
      </c>
      <c r="AS520" s="1064">
        <f>'Rep Ovh Bal'!AS8</f>
        <v>0</v>
      </c>
      <c r="AT520" s="451">
        <f>'Rep Ovh Bal'!AT8</f>
        <v>0</v>
      </c>
      <c r="AU520" s="1062">
        <f>'Rep Ovh Bal'!AU8</f>
        <v>0</v>
      </c>
      <c r="AV520" s="1063">
        <f>'Rep Ovh Bal'!AV8</f>
        <v>30</v>
      </c>
      <c r="AW520" s="1068"/>
      <c r="AX520" s="1065">
        <f>'Rep Ovh Bal'!AW8</f>
        <v>2.96</v>
      </c>
      <c r="AY520" s="1062">
        <f>'Rep Ovh Bal'!AX8</f>
        <v>20.6016</v>
      </c>
      <c r="AZ520" s="1068"/>
      <c r="BA520" s="1068"/>
      <c r="BB520" s="1068"/>
      <c r="BC520" s="1068"/>
      <c r="BD520" s="1068"/>
      <c r="BE520" s="1068"/>
      <c r="BF520" s="1065" t="str">
        <f>'Rep Ovh Bal'!BE8</f>
        <v/>
      </c>
      <c r="BG520" s="451" t="str">
        <f>'Rep Ovh Bal'!BH8</f>
        <v/>
      </c>
      <c r="BH520" s="451" t="str">
        <f>'Rep Ovh Bal'!BI8</f>
        <v/>
      </c>
      <c r="BI520" s="451" t="str">
        <f>'Rep Ovh Bal'!BJ8</f>
        <v/>
      </c>
      <c r="BJ520" s="451" t="str">
        <f>'Rep Ovh Bal'!BK8</f>
        <v/>
      </c>
      <c r="BK520" s="1062">
        <f>'Rep Ovh Bal'!AY8</f>
        <v>618.048</v>
      </c>
      <c r="BL520" s="1069">
        <f>'Rep Ovh Bal'!AY8</f>
        <v>618.048</v>
      </c>
      <c r="BM520" s="1068"/>
      <c r="BN520" s="1068"/>
      <c r="BO520" s="1068"/>
      <c r="BP520" s="451" t="str">
        <f>'Rep Ovh Bal'!BQ8</f>
        <v/>
      </c>
      <c r="BQ520" s="451" t="str">
        <f>'Rep Ovh Bal'!BR8</f>
        <v/>
      </c>
      <c r="BR520" s="451" t="str">
        <f>'Rep Ovh Bal'!BS8</f>
        <v/>
      </c>
      <c r="BS520" s="451" t="str">
        <f>'Rep Ovh Bal'!BT8</f>
        <v/>
      </c>
      <c r="BT520" s="451" t="str">
        <f>'Rep Ovh Bal'!BU8</f>
        <v/>
      </c>
      <c r="BU520" s="451" t="str">
        <f>'Rep Ovh Bal'!BV8</f>
        <v/>
      </c>
      <c r="BV520" s="451" t="str">
        <f>'Rep Ovh Bal'!BW8</f>
        <v/>
      </c>
      <c r="BW520" s="1062">
        <f>'Rep Ovh Bal'!AZ8</f>
        <v>0</v>
      </c>
      <c r="BX520" s="1069">
        <f>'Rep Ovh Bal'!AZ8</f>
        <v>0</v>
      </c>
      <c r="BY520" s="1068"/>
      <c r="BZ520" s="1068"/>
      <c r="CA520" s="451" t="str">
        <f>'Rep Ovh Bal'!CB8</f>
        <v/>
      </c>
      <c r="CB520" s="451" t="str">
        <f>'Rep Ovh Bal'!CC8</f>
        <v/>
      </c>
      <c r="CC520" s="451" t="str">
        <f>'Rep Ovh Bal'!CD8</f>
        <v/>
      </c>
      <c r="CD520" s="451" t="str">
        <f>'Rep Ovh Bal'!CE8</f>
        <v/>
      </c>
      <c r="CE520" s="451" t="str">
        <f>'Rep Ovh Bal'!CF8</f>
        <v/>
      </c>
      <c r="CF520" s="451" t="str">
        <f>'Rep Ovh Bal'!CG8</f>
        <v/>
      </c>
      <c r="CG520" s="451" t="str">
        <f>'Rep Ovh Bal'!CH8</f>
        <v/>
      </c>
      <c r="CH520" s="451" t="str">
        <f>'Rep Ovh Bal'!CI8</f>
        <v/>
      </c>
      <c r="CI520" s="1062">
        <f>'Rep Ovh Bal'!BA8</f>
        <v>0</v>
      </c>
      <c r="CJ520" s="1062">
        <f>'Rep Ovh Bal'!BA8</f>
        <v>0</v>
      </c>
      <c r="CK520" s="1062">
        <f>'Rep Ovh Bal'!BB8</f>
        <v>618.048</v>
      </c>
      <c r="CL520" s="1064" t="str">
        <f>'Rep Ovh Bal'!BC8</f>
        <v/>
      </c>
      <c r="CM520" s="451" t="str">
        <f>'Rep Ovh Bal'!CN8</f>
        <v/>
      </c>
      <c r="CN520" s="1065" t="str">
        <f>'Rep Ovh Bal'!BE4</f>
        <v/>
      </c>
      <c r="CO520" s="1062" t="str">
        <f>'Rep Ovh Bal'!BF4</f>
        <v/>
      </c>
      <c r="CP520" s="1060">
        <f>'Rep Ovh Bal'!BG4</f>
        <v>0</v>
      </c>
    </row>
    <row r="521">
      <c r="A521" s="451" t="str">
        <f>'Rep Ovh Bal'!A9</f>
        <v>Repuestos mantenimientos mayores para estaciones y torres</v>
      </c>
      <c r="B521" s="451">
        <f>'Rep Ovh Bal'!B9</f>
        <v>2</v>
      </c>
      <c r="C521" s="451" t="str">
        <f>'Rep Ovh Bal'!C9</f>
        <v>Torres</v>
      </c>
      <c r="D521" s="451" t="str">
        <f>'Rep Ovh Bal'!D9</f>
        <v>OVH balancines TRM</v>
      </c>
      <c r="E521" s="451" t="str">
        <f>'Rep Ovh Bal'!E9</f>
        <v>Repuesto Mecánico</v>
      </c>
      <c r="F521" s="451" t="str">
        <f>'Rep Ovh Bal'!F9</f>
        <v>TDB</v>
      </c>
      <c r="G521" s="1025" t="str">
        <f>'Rep Ovh Bal'!G9</f>
        <v>39800</v>
      </c>
      <c r="H521" s="1061" t="str">
        <f>'Rep Ovh Bal'!H9</f>
        <v>2-01-00128</v>
      </c>
      <c r="I521" s="1061" t="str">
        <f>'Rep Ovh Bal'!I9</f>
        <v>10000343</v>
      </c>
      <c r="J521" s="1061" t="str">
        <f>'Rep Ovh Bal'!J9</f>
        <v>ANILLO RETEN. DIN 471 100X3    FOSFAT.</v>
      </c>
      <c r="K521" s="451" t="str">
        <f>'Rep Ovh Bal'!K9</f>
        <v>Pza</v>
      </c>
      <c r="L521" s="451">
        <f>'Rep Ovh Bal'!L9</f>
        <v>0</v>
      </c>
      <c r="M521" s="451">
        <f>'Rep Ovh Bal'!M9</f>
        <v>0</v>
      </c>
      <c r="N521" s="451">
        <f>'Rep Ovh Bal'!N9</f>
        <v>0</v>
      </c>
      <c r="O521" s="451">
        <f>'Rep Ovh Bal'!O9</f>
        <v>0</v>
      </c>
      <c r="P521" s="451">
        <f>'Rep Ovh Bal'!P9</f>
        <v>0</v>
      </c>
      <c r="Q521" s="451">
        <f>'Rep Ovh Bal'!Q9</f>
        <v>0</v>
      </c>
      <c r="R521" s="451">
        <f>'Rep Ovh Bal'!R9</f>
        <v>0</v>
      </c>
      <c r="S521" s="451">
        <f>'Rep Ovh Bal'!S9</f>
        <v>0</v>
      </c>
      <c r="T521" s="451">
        <f>'Rep Ovh Bal'!T9</f>
        <v>0</v>
      </c>
      <c r="U521" s="451">
        <f>'Rep Ovh Bal'!U9</f>
        <v>0</v>
      </c>
      <c r="V521" s="451">
        <f>'Rep Ovh Bal'!V9</f>
        <v>30</v>
      </c>
      <c r="W521" s="1062">
        <f>'Rep Ovh Bal'!W9</f>
        <v>30</v>
      </c>
      <c r="X521" s="451">
        <f>'Rep Ovh Bal'!X9</f>
        <v>0</v>
      </c>
      <c r="Y521" s="451">
        <f>'Rep Ovh Bal'!Y9</f>
        <v>0</v>
      </c>
      <c r="Z521" s="451">
        <f>'Rep Ovh Bal'!Z9</f>
        <v>0</v>
      </c>
      <c r="AA521" s="451">
        <f>'Rep Ovh Bal'!AA9</f>
        <v>0</v>
      </c>
      <c r="AB521" s="451">
        <f>'Rep Ovh Bal'!AB9</f>
        <v>0</v>
      </c>
      <c r="AC521" s="451">
        <f>'Rep Ovh Bal'!AC9</f>
        <v>0</v>
      </c>
      <c r="AD521" s="451">
        <f>'Rep Ovh Bal'!AD9</f>
        <v>0</v>
      </c>
      <c r="AE521" s="451">
        <f>'Rep Ovh Bal'!AE9</f>
        <v>0</v>
      </c>
      <c r="AF521" s="451">
        <f>'Rep Ovh Bal'!AF9</f>
        <v>0</v>
      </c>
      <c r="AG521" s="451">
        <f>'Rep Ovh Bal'!AG9</f>
        <v>0</v>
      </c>
      <c r="AH521" s="451">
        <f>'Rep Ovh Bal'!AH9</f>
        <v>0</v>
      </c>
      <c r="AI521" s="1062">
        <f>'Rep Ovh Bal'!AI9</f>
        <v>0</v>
      </c>
      <c r="AJ521" s="1064">
        <f>'Rep Ovh Bal'!AJ9</f>
        <v>0</v>
      </c>
      <c r="AK521" s="1064">
        <f>'Rep Ovh Bal'!AK9</f>
        <v>0</v>
      </c>
      <c r="AL521" s="1064">
        <f>'Rep Ovh Bal'!AL9</f>
        <v>0</v>
      </c>
      <c r="AM521" s="1064">
        <f>'Rep Ovh Bal'!AM9</f>
        <v>0</v>
      </c>
      <c r="AN521" s="1064">
        <f>'Rep Ovh Bal'!AN9</f>
        <v>0</v>
      </c>
      <c r="AO521" s="1064">
        <f>'Rep Ovh Bal'!AO9</f>
        <v>0</v>
      </c>
      <c r="AP521" s="1064">
        <f>'Rep Ovh Bal'!AP9</f>
        <v>0</v>
      </c>
      <c r="AQ521" s="1064">
        <f>'Rep Ovh Bal'!AQ9</f>
        <v>0</v>
      </c>
      <c r="AR521" s="1064">
        <f>'Rep Ovh Bal'!AR9</f>
        <v>0</v>
      </c>
      <c r="AS521" s="1064">
        <f>'Rep Ovh Bal'!AS9</f>
        <v>0</v>
      </c>
      <c r="AT521" s="451">
        <f>'Rep Ovh Bal'!AT9</f>
        <v>0</v>
      </c>
      <c r="AU521" s="1062">
        <f>'Rep Ovh Bal'!AU9</f>
        <v>0</v>
      </c>
      <c r="AV521" s="1063">
        <f>'Rep Ovh Bal'!AV9</f>
        <v>30</v>
      </c>
      <c r="AW521" s="1068"/>
      <c r="AX521" s="1065">
        <f>'Rep Ovh Bal'!AW9</f>
        <v>4.04</v>
      </c>
      <c r="AY521" s="1062">
        <f>'Rep Ovh Bal'!AX9</f>
        <v>28.1184</v>
      </c>
      <c r="AZ521" s="1068"/>
      <c r="BA521" s="1068"/>
      <c r="BB521" s="1068"/>
      <c r="BC521" s="1068"/>
      <c r="BD521" s="1068"/>
      <c r="BE521" s="1068"/>
      <c r="BF521" s="1065" t="str">
        <f>'Rep Ovh Bal'!BE9</f>
        <v/>
      </c>
      <c r="BG521" s="451" t="str">
        <f>'Rep Ovh Bal'!BH9</f>
        <v/>
      </c>
      <c r="BH521" s="451" t="str">
        <f>'Rep Ovh Bal'!BI9</f>
        <v/>
      </c>
      <c r="BI521" s="451" t="str">
        <f>'Rep Ovh Bal'!BJ9</f>
        <v/>
      </c>
      <c r="BJ521" s="451" t="str">
        <f>'Rep Ovh Bal'!BK9</f>
        <v/>
      </c>
      <c r="BK521" s="1062">
        <f>'Rep Ovh Bal'!AY9</f>
        <v>843.552</v>
      </c>
      <c r="BL521" s="1069">
        <f>'Rep Ovh Bal'!AY9</f>
        <v>843.552</v>
      </c>
      <c r="BM521" s="1068"/>
      <c r="BN521" s="1068"/>
      <c r="BO521" s="1068"/>
      <c r="BP521" s="451" t="str">
        <f>'Rep Ovh Bal'!BQ9</f>
        <v/>
      </c>
      <c r="BQ521" s="451" t="str">
        <f>'Rep Ovh Bal'!BR9</f>
        <v/>
      </c>
      <c r="BR521" s="451" t="str">
        <f>'Rep Ovh Bal'!BS9</f>
        <v/>
      </c>
      <c r="BS521" s="451" t="str">
        <f>'Rep Ovh Bal'!BT9</f>
        <v/>
      </c>
      <c r="BT521" s="451" t="str">
        <f>'Rep Ovh Bal'!BU9</f>
        <v/>
      </c>
      <c r="BU521" s="451" t="str">
        <f>'Rep Ovh Bal'!BV9</f>
        <v/>
      </c>
      <c r="BV521" s="451" t="str">
        <f>'Rep Ovh Bal'!BW9</f>
        <v/>
      </c>
      <c r="BW521" s="1062">
        <f>'Rep Ovh Bal'!AZ9</f>
        <v>0</v>
      </c>
      <c r="BX521" s="1069">
        <f>'Rep Ovh Bal'!AZ9</f>
        <v>0</v>
      </c>
      <c r="BY521" s="1068"/>
      <c r="BZ521" s="1068"/>
      <c r="CA521" s="451" t="str">
        <f>'Rep Ovh Bal'!CB9</f>
        <v/>
      </c>
      <c r="CB521" s="451" t="str">
        <f>'Rep Ovh Bal'!CC9</f>
        <v/>
      </c>
      <c r="CC521" s="451" t="str">
        <f>'Rep Ovh Bal'!CD9</f>
        <v/>
      </c>
      <c r="CD521" s="451" t="str">
        <f>'Rep Ovh Bal'!CE9</f>
        <v/>
      </c>
      <c r="CE521" s="451" t="str">
        <f>'Rep Ovh Bal'!CF9</f>
        <v/>
      </c>
      <c r="CF521" s="451" t="str">
        <f>'Rep Ovh Bal'!CG9</f>
        <v/>
      </c>
      <c r="CG521" s="451" t="str">
        <f>'Rep Ovh Bal'!CH9</f>
        <v/>
      </c>
      <c r="CH521" s="451" t="str">
        <f>'Rep Ovh Bal'!CI9</f>
        <v/>
      </c>
      <c r="CI521" s="1062">
        <f>'Rep Ovh Bal'!BA9</f>
        <v>0</v>
      </c>
      <c r="CJ521" s="1062">
        <f>'Rep Ovh Bal'!BA9</f>
        <v>0</v>
      </c>
      <c r="CK521" s="1062">
        <f>'Rep Ovh Bal'!BB9</f>
        <v>843.552</v>
      </c>
      <c r="CL521" s="1064" t="str">
        <f>'Rep Ovh Bal'!BC9</f>
        <v/>
      </c>
      <c r="CM521" s="451" t="str">
        <f>'Rep Ovh Bal'!CN9</f>
        <v/>
      </c>
      <c r="CN521" s="1065" t="str">
        <f>'Rep Ovh Bal'!BE5</f>
        <v/>
      </c>
      <c r="CO521" s="1062" t="str">
        <f>'Rep Ovh Bal'!BF5</f>
        <v/>
      </c>
      <c r="CP521" s="1060" t="str">
        <f>'Rep Ovh Bal'!BG5</f>
        <v/>
      </c>
    </row>
    <row r="522">
      <c r="A522" s="451" t="str">
        <f>'Rep Ovh Bal'!A10</f>
        <v>Repuestos mantenimientos mayores para estaciones y torres</v>
      </c>
      <c r="B522" s="451">
        <f>'Rep Ovh Bal'!B10</f>
        <v>2</v>
      </c>
      <c r="C522" s="451" t="str">
        <f>'Rep Ovh Bal'!C10</f>
        <v>Torres</v>
      </c>
      <c r="D522" s="451" t="str">
        <f>'Rep Ovh Bal'!D10</f>
        <v>OVH balancines TRM</v>
      </c>
      <c r="E522" s="451" t="str">
        <f>'Rep Ovh Bal'!E10</f>
        <v>Repuesto Mecánico</v>
      </c>
      <c r="F522" s="451" t="str">
        <f>'Rep Ovh Bal'!F10</f>
        <v>TDB</v>
      </c>
      <c r="G522" s="1025" t="str">
        <f>'Rep Ovh Bal'!G10</f>
        <v>39800</v>
      </c>
      <c r="H522" s="1061" t="str">
        <f>'Rep Ovh Bal'!H10</f>
        <v>2-01-00488</v>
      </c>
      <c r="I522" s="1061" t="str">
        <f>'Rep Ovh Bal'!I10</f>
        <v>10000381</v>
      </c>
      <c r="J522" s="1061" t="str">
        <f>'Rep Ovh Bal'!J10</f>
        <v>CIRCLIP INTER.  DIN 472  52X2  FOSFAT.</v>
      </c>
      <c r="K522" s="451" t="str">
        <f>'Rep Ovh Bal'!K10</f>
        <v>Pza</v>
      </c>
      <c r="L522" s="451">
        <f>'Rep Ovh Bal'!L10</f>
        <v>0</v>
      </c>
      <c r="M522" s="451">
        <f>'Rep Ovh Bal'!M10</f>
        <v>0</v>
      </c>
      <c r="N522" s="451">
        <f>'Rep Ovh Bal'!N10</f>
        <v>0</v>
      </c>
      <c r="O522" s="451">
        <f>'Rep Ovh Bal'!O10</f>
        <v>0</v>
      </c>
      <c r="P522" s="451">
        <f>'Rep Ovh Bal'!P10</f>
        <v>0</v>
      </c>
      <c r="Q522" s="451">
        <f>'Rep Ovh Bal'!Q10</f>
        <v>0</v>
      </c>
      <c r="R522" s="451">
        <f>'Rep Ovh Bal'!R10</f>
        <v>0</v>
      </c>
      <c r="S522" s="451">
        <f>'Rep Ovh Bal'!S10</f>
        <v>0</v>
      </c>
      <c r="T522" s="451">
        <f>'Rep Ovh Bal'!T10</f>
        <v>0</v>
      </c>
      <c r="U522" s="451">
        <f>'Rep Ovh Bal'!U10</f>
        <v>0</v>
      </c>
      <c r="V522" s="451">
        <f>'Rep Ovh Bal'!V10</f>
        <v>30</v>
      </c>
      <c r="W522" s="1062">
        <f>'Rep Ovh Bal'!W10</f>
        <v>30</v>
      </c>
      <c r="X522" s="451">
        <f>'Rep Ovh Bal'!X10</f>
        <v>0</v>
      </c>
      <c r="Y522" s="451">
        <f>'Rep Ovh Bal'!Y10</f>
        <v>0</v>
      </c>
      <c r="Z522" s="451">
        <f>'Rep Ovh Bal'!Z10</f>
        <v>0</v>
      </c>
      <c r="AA522" s="451">
        <f>'Rep Ovh Bal'!AA10</f>
        <v>0</v>
      </c>
      <c r="AB522" s="451">
        <f>'Rep Ovh Bal'!AB10</f>
        <v>0</v>
      </c>
      <c r="AC522" s="451">
        <f>'Rep Ovh Bal'!AC10</f>
        <v>0</v>
      </c>
      <c r="AD522" s="451">
        <f>'Rep Ovh Bal'!AD10</f>
        <v>0</v>
      </c>
      <c r="AE522" s="451">
        <f>'Rep Ovh Bal'!AE10</f>
        <v>0</v>
      </c>
      <c r="AF522" s="451">
        <f>'Rep Ovh Bal'!AF10</f>
        <v>0</v>
      </c>
      <c r="AG522" s="451">
        <f>'Rep Ovh Bal'!AG10</f>
        <v>0</v>
      </c>
      <c r="AH522" s="451">
        <f>'Rep Ovh Bal'!AH10</f>
        <v>0</v>
      </c>
      <c r="AI522" s="1062">
        <f>'Rep Ovh Bal'!AI10</f>
        <v>0</v>
      </c>
      <c r="AJ522" s="451">
        <f>'Rep Ovh Bal'!AJ10</f>
        <v>0</v>
      </c>
      <c r="AK522" s="451">
        <f>'Rep Ovh Bal'!AK10</f>
        <v>0</v>
      </c>
      <c r="AL522" s="451">
        <f>'Rep Ovh Bal'!AL10</f>
        <v>0</v>
      </c>
      <c r="AM522" s="451">
        <f>'Rep Ovh Bal'!AM10</f>
        <v>0</v>
      </c>
      <c r="AN522" s="451">
        <f>'Rep Ovh Bal'!AN10</f>
        <v>0</v>
      </c>
      <c r="AO522" s="451">
        <f>'Rep Ovh Bal'!AO10</f>
        <v>0</v>
      </c>
      <c r="AP522" s="451">
        <f>'Rep Ovh Bal'!AP10</f>
        <v>0</v>
      </c>
      <c r="AQ522" s="451">
        <f>'Rep Ovh Bal'!AQ10</f>
        <v>0</v>
      </c>
      <c r="AR522" s="451">
        <f>'Rep Ovh Bal'!AR10</f>
        <v>0</v>
      </c>
      <c r="AS522" s="451">
        <f>'Rep Ovh Bal'!AS10</f>
        <v>0</v>
      </c>
      <c r="AT522" s="451">
        <f>'Rep Ovh Bal'!AT10</f>
        <v>0</v>
      </c>
      <c r="AU522" s="1062">
        <f>'Rep Ovh Bal'!AU10</f>
        <v>0</v>
      </c>
      <c r="AV522" s="1063">
        <f>'Rep Ovh Bal'!AV10</f>
        <v>30</v>
      </c>
      <c r="AW522" s="1068"/>
      <c r="AX522" s="1065">
        <f>'Rep Ovh Bal'!AW10</f>
        <v>0.69</v>
      </c>
      <c r="AY522" s="1062">
        <f>'Rep Ovh Bal'!AX10</f>
        <v>4.8024</v>
      </c>
      <c r="AZ522" s="1068"/>
      <c r="BA522" s="1068"/>
      <c r="BB522" s="1068"/>
      <c r="BC522" s="1068"/>
      <c r="BD522" s="1068"/>
      <c r="BE522" s="1068"/>
      <c r="BF522" s="1065" t="str">
        <f>'Rep Ovh Bal'!BE10</f>
        <v/>
      </c>
      <c r="BG522" s="451" t="str">
        <f>'Rep Ovh Bal'!BH10</f>
        <v/>
      </c>
      <c r="BH522" s="451" t="str">
        <f>'Rep Ovh Bal'!BI10</f>
        <v/>
      </c>
      <c r="BI522" s="451" t="str">
        <f>'Rep Ovh Bal'!BJ10</f>
        <v/>
      </c>
      <c r="BJ522" s="451" t="str">
        <f>'Rep Ovh Bal'!BK10</f>
        <v/>
      </c>
      <c r="BK522" s="1062">
        <f>'Rep Ovh Bal'!AY10</f>
        <v>144.072</v>
      </c>
      <c r="BL522" s="1069">
        <f>'Rep Ovh Bal'!AY10</f>
        <v>144.072</v>
      </c>
      <c r="BM522" s="1068"/>
      <c r="BN522" s="1068"/>
      <c r="BO522" s="1068"/>
      <c r="BP522" s="451" t="str">
        <f>'Rep Ovh Bal'!BQ10</f>
        <v/>
      </c>
      <c r="BQ522" s="451" t="str">
        <f>'Rep Ovh Bal'!BR10</f>
        <v/>
      </c>
      <c r="BR522" s="451" t="str">
        <f>'Rep Ovh Bal'!BS10</f>
        <v/>
      </c>
      <c r="BS522" s="451" t="str">
        <f>'Rep Ovh Bal'!BT10</f>
        <v/>
      </c>
      <c r="BT522" s="451" t="str">
        <f>'Rep Ovh Bal'!BU10</f>
        <v/>
      </c>
      <c r="BU522" s="451" t="str">
        <f>'Rep Ovh Bal'!BV10</f>
        <v/>
      </c>
      <c r="BV522" s="451" t="str">
        <f>'Rep Ovh Bal'!BW10</f>
        <v/>
      </c>
      <c r="BW522" s="1062">
        <f>'Rep Ovh Bal'!AZ10</f>
        <v>0</v>
      </c>
      <c r="BX522" s="1069">
        <f>'Rep Ovh Bal'!AZ10</f>
        <v>0</v>
      </c>
      <c r="BY522" s="1068"/>
      <c r="BZ522" s="1068"/>
      <c r="CA522" s="451" t="str">
        <f>'Rep Ovh Bal'!CB10</f>
        <v/>
      </c>
      <c r="CB522" s="451" t="str">
        <f>'Rep Ovh Bal'!CC10</f>
        <v/>
      </c>
      <c r="CC522" s="451" t="str">
        <f>'Rep Ovh Bal'!CD10</f>
        <v/>
      </c>
      <c r="CD522" s="451" t="str">
        <f>'Rep Ovh Bal'!CE10</f>
        <v/>
      </c>
      <c r="CE522" s="451" t="str">
        <f>'Rep Ovh Bal'!CF10</f>
        <v/>
      </c>
      <c r="CF522" s="451" t="str">
        <f>'Rep Ovh Bal'!CG10</f>
        <v/>
      </c>
      <c r="CG522" s="451" t="str">
        <f>'Rep Ovh Bal'!CH10</f>
        <v/>
      </c>
      <c r="CH522" s="451" t="str">
        <f>'Rep Ovh Bal'!CI10</f>
        <v/>
      </c>
      <c r="CI522" s="1062">
        <f>'Rep Ovh Bal'!BA10</f>
        <v>0</v>
      </c>
      <c r="CJ522" s="1062">
        <f>'Rep Ovh Bal'!BA10</f>
        <v>0</v>
      </c>
      <c r="CK522" s="1062">
        <f>'Rep Ovh Bal'!BB10</f>
        <v>144.072</v>
      </c>
      <c r="CL522" s="1064" t="str">
        <f>'Rep Ovh Bal'!BC10</f>
        <v/>
      </c>
      <c r="CM522" s="451" t="str">
        <f>'Rep Ovh Bal'!CN10</f>
        <v/>
      </c>
      <c r="CN522" s="1065" t="str">
        <f>'Rep Ovh Bal'!BE6</f>
        <v/>
      </c>
      <c r="CO522" s="1062" t="str">
        <f>'Rep Ovh Bal'!BF6</f>
        <v/>
      </c>
      <c r="CP522" s="1060" t="str">
        <f>'Rep Ovh Bal'!BG6</f>
        <v/>
      </c>
    </row>
    <row r="523">
      <c r="A523" s="451" t="str">
        <f>'Rep Ovh Bal'!A11</f>
        <v>Repuestos mantenimientos mayores para estaciones y torres</v>
      </c>
      <c r="B523" s="451">
        <f>'Rep Ovh Bal'!B11</f>
        <v>2</v>
      </c>
      <c r="C523" s="451" t="str">
        <f>'Rep Ovh Bal'!C11</f>
        <v>Torres</v>
      </c>
      <c r="D523" s="451" t="str">
        <f>'Rep Ovh Bal'!D11</f>
        <v>OVH balancines TRM</v>
      </c>
      <c r="E523" s="451" t="str">
        <f>'Rep Ovh Bal'!E11</f>
        <v>Repuesto Mecánico</v>
      </c>
      <c r="F523" s="451" t="str">
        <f>'Rep Ovh Bal'!F11</f>
        <v>TDB</v>
      </c>
      <c r="G523" s="1025" t="str">
        <f>'Rep Ovh Bal'!G11</f>
        <v>39800</v>
      </c>
      <c r="H523" s="1061" t="str">
        <f>'Rep Ovh Bal'!H11</f>
        <v>2-01-00035</v>
      </c>
      <c r="I523" s="1061" t="str">
        <f>'Rep Ovh Bal'!I11</f>
        <v>10000400</v>
      </c>
      <c r="J523" s="1061" t="str">
        <f>'Rep Ovh Bal'!J11</f>
        <v>CIRCLIP INTER. DIN 472  80X2,5 FOSFAT.</v>
      </c>
      <c r="K523" s="451" t="str">
        <f>'Rep Ovh Bal'!K11</f>
        <v>Pza</v>
      </c>
      <c r="L523" s="451">
        <f>'Rep Ovh Bal'!L11</f>
        <v>0</v>
      </c>
      <c r="M523" s="451">
        <f>'Rep Ovh Bal'!M11</f>
        <v>0</v>
      </c>
      <c r="N523" s="451">
        <f>'Rep Ovh Bal'!N11</f>
        <v>0</v>
      </c>
      <c r="O523" s="451">
        <f>'Rep Ovh Bal'!O11</f>
        <v>0</v>
      </c>
      <c r="P523" s="451">
        <f>'Rep Ovh Bal'!P11</f>
        <v>0</v>
      </c>
      <c r="Q523" s="451">
        <f>'Rep Ovh Bal'!Q11</f>
        <v>0</v>
      </c>
      <c r="R523" s="451">
        <f>'Rep Ovh Bal'!R11</f>
        <v>0</v>
      </c>
      <c r="S523" s="451">
        <f>'Rep Ovh Bal'!S11</f>
        <v>0</v>
      </c>
      <c r="T523" s="451">
        <f>'Rep Ovh Bal'!T11</f>
        <v>0</v>
      </c>
      <c r="U523" s="451">
        <f>'Rep Ovh Bal'!U11</f>
        <v>0</v>
      </c>
      <c r="V523" s="451">
        <f>'Rep Ovh Bal'!V11</f>
        <v>30</v>
      </c>
      <c r="W523" s="1062">
        <f>'Rep Ovh Bal'!W11</f>
        <v>30</v>
      </c>
      <c r="X523" s="451">
        <f>'Rep Ovh Bal'!X11</f>
        <v>0</v>
      </c>
      <c r="Y523" s="451">
        <f>'Rep Ovh Bal'!Y11</f>
        <v>0</v>
      </c>
      <c r="Z523" s="451">
        <f>'Rep Ovh Bal'!Z11</f>
        <v>0</v>
      </c>
      <c r="AA523" s="451">
        <f>'Rep Ovh Bal'!AA11</f>
        <v>0</v>
      </c>
      <c r="AB523" s="451">
        <f>'Rep Ovh Bal'!AB11</f>
        <v>0</v>
      </c>
      <c r="AC523" s="451">
        <f>'Rep Ovh Bal'!AC11</f>
        <v>0</v>
      </c>
      <c r="AD523" s="451">
        <f>'Rep Ovh Bal'!AD11</f>
        <v>0</v>
      </c>
      <c r="AE523" s="451">
        <f>'Rep Ovh Bal'!AE11</f>
        <v>0</v>
      </c>
      <c r="AF523" s="451">
        <f>'Rep Ovh Bal'!AF11</f>
        <v>0</v>
      </c>
      <c r="AG523" s="451">
        <f>'Rep Ovh Bal'!AG11</f>
        <v>0</v>
      </c>
      <c r="AH523" s="451">
        <f>'Rep Ovh Bal'!AH11</f>
        <v>0</v>
      </c>
      <c r="AI523" s="1062">
        <f>'Rep Ovh Bal'!AI11</f>
        <v>0</v>
      </c>
      <c r="AJ523" s="1064">
        <f>'Rep Ovh Bal'!AJ11</f>
        <v>0</v>
      </c>
      <c r="AK523" s="1064">
        <f>'Rep Ovh Bal'!AK11</f>
        <v>0</v>
      </c>
      <c r="AL523" s="1064">
        <f>'Rep Ovh Bal'!AL11</f>
        <v>0</v>
      </c>
      <c r="AM523" s="1064">
        <f>'Rep Ovh Bal'!AM11</f>
        <v>0</v>
      </c>
      <c r="AN523" s="1064">
        <f>'Rep Ovh Bal'!AN11</f>
        <v>0</v>
      </c>
      <c r="AO523" s="1064">
        <f>'Rep Ovh Bal'!AO11</f>
        <v>0</v>
      </c>
      <c r="AP523" s="1064">
        <f>'Rep Ovh Bal'!AP11</f>
        <v>0</v>
      </c>
      <c r="AQ523" s="1064">
        <f>'Rep Ovh Bal'!AQ11</f>
        <v>0</v>
      </c>
      <c r="AR523" s="1064">
        <f>'Rep Ovh Bal'!AR11</f>
        <v>0</v>
      </c>
      <c r="AS523" s="1064">
        <f>'Rep Ovh Bal'!AS11</f>
        <v>0</v>
      </c>
      <c r="AT523" s="451">
        <f>'Rep Ovh Bal'!AT11</f>
        <v>0</v>
      </c>
      <c r="AU523" s="1062">
        <f>'Rep Ovh Bal'!AU11</f>
        <v>0</v>
      </c>
      <c r="AV523" s="1063">
        <f>'Rep Ovh Bal'!AV11</f>
        <v>30</v>
      </c>
      <c r="AW523" s="1068"/>
      <c r="AX523" s="1065">
        <f>'Rep Ovh Bal'!AW11</f>
        <v>1.61</v>
      </c>
      <c r="AY523" s="1062">
        <f>'Rep Ovh Bal'!AX11</f>
        <v>11.2056</v>
      </c>
      <c r="AZ523" s="1068"/>
      <c r="BA523" s="1068"/>
      <c r="BB523" s="1068"/>
      <c r="BC523" s="1068"/>
      <c r="BD523" s="1068"/>
      <c r="BE523" s="1068"/>
      <c r="BF523" s="1065" t="str">
        <f>'Rep Ovh Bal'!BE11</f>
        <v/>
      </c>
      <c r="BG523" s="451" t="str">
        <f>'Rep Ovh Bal'!BH11</f>
        <v/>
      </c>
      <c r="BH523" s="451" t="str">
        <f>'Rep Ovh Bal'!BI11</f>
        <v/>
      </c>
      <c r="BI523" s="451" t="str">
        <f>'Rep Ovh Bal'!BJ11</f>
        <v/>
      </c>
      <c r="BJ523" s="451" t="str">
        <f>'Rep Ovh Bal'!BK11</f>
        <v/>
      </c>
      <c r="BK523" s="1062">
        <f>'Rep Ovh Bal'!AY11</f>
        <v>336.168</v>
      </c>
      <c r="BL523" s="1069">
        <f>'Rep Ovh Bal'!AY11</f>
        <v>336.168</v>
      </c>
      <c r="BM523" s="1068"/>
      <c r="BN523" s="1068"/>
      <c r="BO523" s="1068"/>
      <c r="BP523" s="451" t="str">
        <f>'Rep Ovh Bal'!BQ11</f>
        <v/>
      </c>
      <c r="BQ523" s="451" t="str">
        <f>'Rep Ovh Bal'!BR11</f>
        <v/>
      </c>
      <c r="BR523" s="451" t="str">
        <f>'Rep Ovh Bal'!BS11</f>
        <v/>
      </c>
      <c r="BS523" s="451" t="str">
        <f>'Rep Ovh Bal'!BT11</f>
        <v/>
      </c>
      <c r="BT523" s="451" t="str">
        <f>'Rep Ovh Bal'!BU11</f>
        <v/>
      </c>
      <c r="BU523" s="451" t="str">
        <f>'Rep Ovh Bal'!BV11</f>
        <v/>
      </c>
      <c r="BV523" s="451" t="str">
        <f>'Rep Ovh Bal'!BW11</f>
        <v/>
      </c>
      <c r="BW523" s="1062">
        <f>'Rep Ovh Bal'!AZ11</f>
        <v>0</v>
      </c>
      <c r="BX523" s="1069">
        <f>'Rep Ovh Bal'!AZ11</f>
        <v>0</v>
      </c>
      <c r="BY523" s="1068"/>
      <c r="BZ523" s="1068"/>
      <c r="CA523" s="451" t="str">
        <f>'Rep Ovh Bal'!CB11</f>
        <v/>
      </c>
      <c r="CB523" s="451" t="str">
        <f>'Rep Ovh Bal'!CC11</f>
        <v/>
      </c>
      <c r="CC523" s="451" t="str">
        <f>'Rep Ovh Bal'!CD11</f>
        <v/>
      </c>
      <c r="CD523" s="451" t="str">
        <f>'Rep Ovh Bal'!CE11</f>
        <v/>
      </c>
      <c r="CE523" s="451" t="str">
        <f>'Rep Ovh Bal'!CF11</f>
        <v/>
      </c>
      <c r="CF523" s="451" t="str">
        <f>'Rep Ovh Bal'!CG11</f>
        <v/>
      </c>
      <c r="CG523" s="451" t="str">
        <f>'Rep Ovh Bal'!CH11</f>
        <v/>
      </c>
      <c r="CH523" s="451" t="str">
        <f>'Rep Ovh Bal'!CI11</f>
        <v/>
      </c>
      <c r="CI523" s="1062">
        <f>'Rep Ovh Bal'!BA11</f>
        <v>0</v>
      </c>
      <c r="CJ523" s="1062">
        <f>'Rep Ovh Bal'!BA11</f>
        <v>0</v>
      </c>
      <c r="CK523" s="1062">
        <f>'Rep Ovh Bal'!BB11</f>
        <v>336.168</v>
      </c>
      <c r="CL523" s="1064" t="str">
        <f>'Rep Ovh Bal'!BC11</f>
        <v/>
      </c>
      <c r="CM523" s="451" t="str">
        <f>'Rep Ovh Bal'!CN11</f>
        <v/>
      </c>
      <c r="CN523" s="1065" t="str">
        <f>'Rep Ovh Bal'!BE7</f>
        <v/>
      </c>
      <c r="CO523" s="1062" t="str">
        <f>'Rep Ovh Bal'!BF7</f>
        <v/>
      </c>
      <c r="CP523" s="1060" t="str">
        <f>'Rep Ovh Bal'!BG7</f>
        <v/>
      </c>
    </row>
    <row r="524">
      <c r="A524" s="451" t="str">
        <f>'Rep Ovh Bal'!A12</f>
        <v>Repuestos mantenimientos mayores para estaciones y torres</v>
      </c>
      <c r="B524" s="451">
        <f>'Rep Ovh Bal'!B12</f>
        <v>2</v>
      </c>
      <c r="C524" s="451" t="str">
        <f>'Rep Ovh Bal'!C12</f>
        <v>Torres</v>
      </c>
      <c r="D524" s="451" t="str">
        <f>'Rep Ovh Bal'!D12</f>
        <v>OVH balancines TRM</v>
      </c>
      <c r="E524" s="451" t="str">
        <f>'Rep Ovh Bal'!E12</f>
        <v>Repuesto Mecánico</v>
      </c>
      <c r="F524" s="451" t="str">
        <f>'Rep Ovh Bal'!F12</f>
        <v>TDB</v>
      </c>
      <c r="G524" s="1025" t="str">
        <f>'Rep Ovh Bal'!G12</f>
        <v>39800</v>
      </c>
      <c r="H524" s="1061" t="str">
        <f>'Rep Ovh Bal'!H12</f>
        <v>2-01-00036</v>
      </c>
      <c r="I524" s="1061" t="str">
        <f>'Rep Ovh Bal'!I12</f>
        <v>10000409</v>
      </c>
      <c r="J524" s="1061" t="str">
        <f>'Rep Ovh Bal'!J12</f>
        <v>CIRCLIP INTER.  DIN 472 110X4  FOSFAT.</v>
      </c>
      <c r="K524" s="451" t="str">
        <f>'Rep Ovh Bal'!K12</f>
        <v>Pza</v>
      </c>
      <c r="L524" s="451">
        <f>'Rep Ovh Bal'!L12</f>
        <v>0</v>
      </c>
      <c r="M524" s="451">
        <f>'Rep Ovh Bal'!M12</f>
        <v>0</v>
      </c>
      <c r="N524" s="451">
        <f>'Rep Ovh Bal'!N12</f>
        <v>0</v>
      </c>
      <c r="O524" s="451">
        <f>'Rep Ovh Bal'!O12</f>
        <v>0</v>
      </c>
      <c r="P524" s="451">
        <f>'Rep Ovh Bal'!P12</f>
        <v>0</v>
      </c>
      <c r="Q524" s="451">
        <f>'Rep Ovh Bal'!Q12</f>
        <v>0</v>
      </c>
      <c r="R524" s="451">
        <f>'Rep Ovh Bal'!R12</f>
        <v>0</v>
      </c>
      <c r="S524" s="451">
        <f>'Rep Ovh Bal'!S12</f>
        <v>0</v>
      </c>
      <c r="T524" s="451">
        <f>'Rep Ovh Bal'!T12</f>
        <v>0</v>
      </c>
      <c r="U524" s="451">
        <f>'Rep Ovh Bal'!U12</f>
        <v>0</v>
      </c>
      <c r="V524" s="451">
        <f>'Rep Ovh Bal'!V12</f>
        <v>30</v>
      </c>
      <c r="W524" s="1062">
        <f>'Rep Ovh Bal'!W12</f>
        <v>30</v>
      </c>
      <c r="X524" s="451">
        <f>'Rep Ovh Bal'!X12</f>
        <v>0</v>
      </c>
      <c r="Y524" s="451">
        <f>'Rep Ovh Bal'!Y12</f>
        <v>0</v>
      </c>
      <c r="Z524" s="451">
        <f>'Rep Ovh Bal'!Z12</f>
        <v>0</v>
      </c>
      <c r="AA524" s="451">
        <f>'Rep Ovh Bal'!AA12</f>
        <v>0</v>
      </c>
      <c r="AB524" s="451">
        <f>'Rep Ovh Bal'!AB12</f>
        <v>0</v>
      </c>
      <c r="AC524" s="451">
        <f>'Rep Ovh Bal'!AC12</f>
        <v>0</v>
      </c>
      <c r="AD524" s="451">
        <f>'Rep Ovh Bal'!AD12</f>
        <v>0</v>
      </c>
      <c r="AE524" s="451">
        <f>'Rep Ovh Bal'!AE12</f>
        <v>0</v>
      </c>
      <c r="AF524" s="451">
        <f>'Rep Ovh Bal'!AF12</f>
        <v>0</v>
      </c>
      <c r="AG524" s="451">
        <f>'Rep Ovh Bal'!AG12</f>
        <v>0</v>
      </c>
      <c r="AH524" s="451">
        <f>'Rep Ovh Bal'!AH12</f>
        <v>0</v>
      </c>
      <c r="AI524" s="1062">
        <f>'Rep Ovh Bal'!AI12</f>
        <v>0</v>
      </c>
      <c r="AJ524" s="451">
        <f>'Rep Ovh Bal'!AJ12</f>
        <v>0</v>
      </c>
      <c r="AK524" s="451">
        <f>'Rep Ovh Bal'!AK12</f>
        <v>0</v>
      </c>
      <c r="AL524" s="451">
        <f>'Rep Ovh Bal'!AL12</f>
        <v>0</v>
      </c>
      <c r="AM524" s="451">
        <f>'Rep Ovh Bal'!AM12</f>
        <v>0</v>
      </c>
      <c r="AN524" s="451">
        <f>'Rep Ovh Bal'!AN12</f>
        <v>0</v>
      </c>
      <c r="AO524" s="451">
        <f>'Rep Ovh Bal'!AO12</f>
        <v>0</v>
      </c>
      <c r="AP524" s="451">
        <f>'Rep Ovh Bal'!AP12</f>
        <v>0</v>
      </c>
      <c r="AQ524" s="451">
        <f>'Rep Ovh Bal'!AQ12</f>
        <v>0</v>
      </c>
      <c r="AR524" s="451">
        <f>'Rep Ovh Bal'!AR12</f>
        <v>0</v>
      </c>
      <c r="AS524" s="451">
        <f>'Rep Ovh Bal'!AS12</f>
        <v>0</v>
      </c>
      <c r="AT524" s="451">
        <f>'Rep Ovh Bal'!AT12</f>
        <v>0</v>
      </c>
      <c r="AU524" s="1062">
        <f>'Rep Ovh Bal'!AU12</f>
        <v>0</v>
      </c>
      <c r="AV524" s="1063">
        <f>'Rep Ovh Bal'!AV12</f>
        <v>30</v>
      </c>
      <c r="AW524" s="1068"/>
      <c r="AX524" s="1065">
        <f>'Rep Ovh Bal'!AW12</f>
        <v>4.73</v>
      </c>
      <c r="AY524" s="1062">
        <f>'Rep Ovh Bal'!AX12</f>
        <v>32.9208</v>
      </c>
      <c r="AZ524" s="1068"/>
      <c r="BA524" s="1068"/>
      <c r="BB524" s="1068"/>
      <c r="BC524" s="1068"/>
      <c r="BD524" s="1068"/>
      <c r="BE524" s="1068"/>
      <c r="BF524" s="1065" t="str">
        <f>'Rep Ovh Bal'!BE12</f>
        <v/>
      </c>
      <c r="BG524" s="451" t="str">
        <f>'Rep Ovh Bal'!BH12</f>
        <v/>
      </c>
      <c r="BH524" s="451" t="str">
        <f>'Rep Ovh Bal'!BI12</f>
        <v/>
      </c>
      <c r="BI524" s="451" t="str">
        <f>'Rep Ovh Bal'!BJ12</f>
        <v/>
      </c>
      <c r="BJ524" s="451" t="str">
        <f>'Rep Ovh Bal'!BK12</f>
        <v/>
      </c>
      <c r="BK524" s="1062">
        <f>'Rep Ovh Bal'!AY12</f>
        <v>987.624</v>
      </c>
      <c r="BL524" s="1069">
        <f>'Rep Ovh Bal'!AY12</f>
        <v>987.624</v>
      </c>
      <c r="BM524" s="1068"/>
      <c r="BN524" s="1068"/>
      <c r="BO524" s="1068"/>
      <c r="BP524" s="451" t="str">
        <f>'Rep Ovh Bal'!BQ12</f>
        <v/>
      </c>
      <c r="BQ524" s="451" t="str">
        <f>'Rep Ovh Bal'!BR12</f>
        <v/>
      </c>
      <c r="BR524" s="451" t="str">
        <f>'Rep Ovh Bal'!BS12</f>
        <v/>
      </c>
      <c r="BS524" s="451" t="str">
        <f>'Rep Ovh Bal'!BT12</f>
        <v/>
      </c>
      <c r="BT524" s="451" t="str">
        <f>'Rep Ovh Bal'!BU12</f>
        <v/>
      </c>
      <c r="BU524" s="451" t="str">
        <f>'Rep Ovh Bal'!BV12</f>
        <v/>
      </c>
      <c r="BV524" s="451" t="str">
        <f>'Rep Ovh Bal'!BW12</f>
        <v/>
      </c>
      <c r="BW524" s="1062">
        <f>'Rep Ovh Bal'!AZ12</f>
        <v>0</v>
      </c>
      <c r="BX524" s="1069">
        <f>'Rep Ovh Bal'!AZ12</f>
        <v>0</v>
      </c>
      <c r="BY524" s="1068"/>
      <c r="BZ524" s="1068"/>
      <c r="CA524" s="451" t="str">
        <f>'Rep Ovh Bal'!CB12</f>
        <v/>
      </c>
      <c r="CB524" s="451" t="str">
        <f>'Rep Ovh Bal'!CC12</f>
        <v/>
      </c>
      <c r="CC524" s="451" t="str">
        <f>'Rep Ovh Bal'!CD12</f>
        <v/>
      </c>
      <c r="CD524" s="451" t="str">
        <f>'Rep Ovh Bal'!CE12</f>
        <v/>
      </c>
      <c r="CE524" s="451" t="str">
        <f>'Rep Ovh Bal'!CF12</f>
        <v/>
      </c>
      <c r="CF524" s="451" t="str">
        <f>'Rep Ovh Bal'!CG12</f>
        <v/>
      </c>
      <c r="CG524" s="451" t="str">
        <f>'Rep Ovh Bal'!CH12</f>
        <v/>
      </c>
      <c r="CH524" s="451" t="str">
        <f>'Rep Ovh Bal'!CI12</f>
        <v/>
      </c>
      <c r="CI524" s="1062">
        <f>'Rep Ovh Bal'!BA12</f>
        <v>0</v>
      </c>
      <c r="CJ524" s="1062">
        <f>'Rep Ovh Bal'!BA12</f>
        <v>0</v>
      </c>
      <c r="CK524" s="1062">
        <f>'Rep Ovh Bal'!BB12</f>
        <v>987.624</v>
      </c>
      <c r="CL524" s="1064" t="str">
        <f>'Rep Ovh Bal'!BC12</f>
        <v/>
      </c>
      <c r="CM524" s="451" t="str">
        <f>'Rep Ovh Bal'!CN12</f>
        <v/>
      </c>
      <c r="CN524" s="1065" t="str">
        <f>'Rep Ovh Bal'!BE8</f>
        <v/>
      </c>
      <c r="CO524" s="1062" t="str">
        <f>'Rep Ovh Bal'!BF8</f>
        <v/>
      </c>
      <c r="CP524" s="1060" t="str">
        <f>'Rep Ovh Bal'!BG8</f>
        <v/>
      </c>
    </row>
    <row r="525">
      <c r="A525" s="451" t="str">
        <f>'Rep Ovh Bal'!A13</f>
        <v>Repuestos mantenimientos mayores para estaciones y torres</v>
      </c>
      <c r="B525" s="451">
        <f>'Rep Ovh Bal'!B13</f>
        <v>2</v>
      </c>
      <c r="C525" s="451" t="str">
        <f>'Rep Ovh Bal'!C13</f>
        <v>Torres</v>
      </c>
      <c r="D525" s="451" t="str">
        <f>'Rep Ovh Bal'!D13</f>
        <v>OVH balancines TRM</v>
      </c>
      <c r="E525" s="451" t="str">
        <f>'Rep Ovh Bal'!E13</f>
        <v>Repuesto Mecánico</v>
      </c>
      <c r="F525" s="451" t="str">
        <f>'Rep Ovh Bal'!F13</f>
        <v>TDB</v>
      </c>
      <c r="G525" s="1025" t="str">
        <f>'Rep Ovh Bal'!G13</f>
        <v>39800</v>
      </c>
      <c r="H525" s="1061" t="str">
        <f>'Rep Ovh Bal'!H13</f>
        <v>2-01-00489</v>
      </c>
      <c r="I525" s="1061" t="str">
        <f>'Rep Ovh Bal'!I13</f>
        <v>10004958</v>
      </c>
      <c r="J525" s="1061" t="str">
        <f>'Rep Ovh Bal'!J13</f>
        <v>TORNILLO TENSILOCK CL. 90 M10X20 T.CON DIENTES DE PARADA RLZ</v>
      </c>
      <c r="K525" s="451" t="str">
        <f>'Rep Ovh Bal'!K13</f>
        <v>Pza</v>
      </c>
      <c r="L525" s="451">
        <f>'Rep Ovh Bal'!L13</f>
        <v>0</v>
      </c>
      <c r="M525" s="451">
        <f>'Rep Ovh Bal'!M13</f>
        <v>0</v>
      </c>
      <c r="N525" s="451">
        <f>'Rep Ovh Bal'!N13</f>
        <v>0</v>
      </c>
      <c r="O525" s="451">
        <f>'Rep Ovh Bal'!O13</f>
        <v>0</v>
      </c>
      <c r="P525" s="451">
        <f>'Rep Ovh Bal'!P13</f>
        <v>0</v>
      </c>
      <c r="Q525" s="451">
        <f>'Rep Ovh Bal'!Q13</f>
        <v>0</v>
      </c>
      <c r="R525" s="451">
        <f>'Rep Ovh Bal'!R13</f>
        <v>0</v>
      </c>
      <c r="S525" s="451">
        <f>'Rep Ovh Bal'!S13</f>
        <v>0</v>
      </c>
      <c r="T525" s="451">
        <f>'Rep Ovh Bal'!T13</f>
        <v>0</v>
      </c>
      <c r="U525" s="451">
        <f>'Rep Ovh Bal'!U13</f>
        <v>0</v>
      </c>
      <c r="V525" s="451">
        <f>'Rep Ovh Bal'!V13</f>
        <v>608</v>
      </c>
      <c r="W525" s="1062">
        <f>'Rep Ovh Bal'!W13</f>
        <v>608</v>
      </c>
      <c r="X525" s="451">
        <f>'Rep Ovh Bal'!X13</f>
        <v>0</v>
      </c>
      <c r="Y525" s="451">
        <f>'Rep Ovh Bal'!Y13</f>
        <v>0</v>
      </c>
      <c r="Z525" s="451">
        <f>'Rep Ovh Bal'!Z13</f>
        <v>0</v>
      </c>
      <c r="AA525" s="451">
        <f>'Rep Ovh Bal'!AA13</f>
        <v>0</v>
      </c>
      <c r="AB525" s="451">
        <f>'Rep Ovh Bal'!AB13</f>
        <v>0</v>
      </c>
      <c r="AC525" s="451">
        <f>'Rep Ovh Bal'!AC13</f>
        <v>0</v>
      </c>
      <c r="AD525" s="451">
        <f>'Rep Ovh Bal'!AD13</f>
        <v>0</v>
      </c>
      <c r="AE525" s="451">
        <f>'Rep Ovh Bal'!AE13</f>
        <v>0</v>
      </c>
      <c r="AF525" s="451">
        <f>'Rep Ovh Bal'!AF13</f>
        <v>0</v>
      </c>
      <c r="AG525" s="451">
        <f>'Rep Ovh Bal'!AG13</f>
        <v>0</v>
      </c>
      <c r="AH525" s="451">
        <f>'Rep Ovh Bal'!AH13</f>
        <v>96</v>
      </c>
      <c r="AI525" s="1062">
        <f>'Rep Ovh Bal'!AI13</f>
        <v>96</v>
      </c>
      <c r="AJ525" s="451">
        <f>'Rep Ovh Bal'!AJ13</f>
        <v>0</v>
      </c>
      <c r="AK525" s="451">
        <f>'Rep Ovh Bal'!AK13</f>
        <v>0</v>
      </c>
      <c r="AL525" s="451">
        <f>'Rep Ovh Bal'!AL13</f>
        <v>0</v>
      </c>
      <c r="AM525" s="451">
        <f>'Rep Ovh Bal'!AM13</f>
        <v>0</v>
      </c>
      <c r="AN525" s="451">
        <f>'Rep Ovh Bal'!AN13</f>
        <v>0</v>
      </c>
      <c r="AO525" s="451">
        <f>'Rep Ovh Bal'!AO13</f>
        <v>0</v>
      </c>
      <c r="AP525" s="451">
        <f>'Rep Ovh Bal'!AP13</f>
        <v>0</v>
      </c>
      <c r="AQ525" s="451">
        <f>'Rep Ovh Bal'!AQ13</f>
        <v>0</v>
      </c>
      <c r="AR525" s="451">
        <f>'Rep Ovh Bal'!AR13</f>
        <v>0</v>
      </c>
      <c r="AS525" s="451">
        <f>'Rep Ovh Bal'!AS13</f>
        <v>0</v>
      </c>
      <c r="AT525" s="451">
        <f>'Rep Ovh Bal'!AT13</f>
        <v>320</v>
      </c>
      <c r="AU525" s="1062">
        <f>'Rep Ovh Bal'!AU13</f>
        <v>320</v>
      </c>
      <c r="AV525" s="1063">
        <f>'Rep Ovh Bal'!AV13</f>
        <v>1024</v>
      </c>
      <c r="AW525" s="1068"/>
      <c r="AX525" s="1065">
        <f>'Rep Ovh Bal'!AW13</f>
        <v>1.69</v>
      </c>
      <c r="AY525" s="1062">
        <f>'Rep Ovh Bal'!AX13</f>
        <v>11.7624</v>
      </c>
      <c r="AZ525" s="1068"/>
      <c r="BA525" s="1068"/>
      <c r="BB525" s="1068"/>
      <c r="BC525" s="1068"/>
      <c r="BD525" s="1068"/>
      <c r="BE525" s="1068"/>
      <c r="BF525" s="1065" t="str">
        <f>'Rep Ovh Bal'!BE13</f>
        <v/>
      </c>
      <c r="BG525" s="451" t="str">
        <f>'Rep Ovh Bal'!BH13</f>
        <v/>
      </c>
      <c r="BH525" s="451" t="str">
        <f>'Rep Ovh Bal'!BI13</f>
        <v/>
      </c>
      <c r="BI525" s="451" t="str">
        <f>'Rep Ovh Bal'!BJ13</f>
        <v/>
      </c>
      <c r="BJ525" s="451" t="str">
        <f>'Rep Ovh Bal'!BK13</f>
        <v/>
      </c>
      <c r="BK525" s="1062">
        <f>'Rep Ovh Bal'!AY13</f>
        <v>7151.5392</v>
      </c>
      <c r="BL525" s="1069">
        <f>'Rep Ovh Bal'!AY13</f>
        <v>7151.5392</v>
      </c>
      <c r="BM525" s="1068"/>
      <c r="BN525" s="1068"/>
      <c r="BO525" s="1068"/>
      <c r="BP525" s="451" t="str">
        <f>'Rep Ovh Bal'!BQ13</f>
        <v/>
      </c>
      <c r="BQ525" s="451" t="str">
        <f>'Rep Ovh Bal'!BR13</f>
        <v/>
      </c>
      <c r="BR525" s="451" t="str">
        <f>'Rep Ovh Bal'!BS13</f>
        <v/>
      </c>
      <c r="BS525" s="451" t="str">
        <f>'Rep Ovh Bal'!BT13</f>
        <v/>
      </c>
      <c r="BT525" s="451" t="str">
        <f>'Rep Ovh Bal'!BU13</f>
        <v/>
      </c>
      <c r="BU525" s="451" t="str">
        <f>'Rep Ovh Bal'!BV13</f>
        <v/>
      </c>
      <c r="BV525" s="451" t="str">
        <f>'Rep Ovh Bal'!BW13</f>
        <v/>
      </c>
      <c r="BW525" s="1062">
        <f>'Rep Ovh Bal'!AZ13</f>
        <v>1129.1904</v>
      </c>
      <c r="BX525" s="1069">
        <f>'Rep Ovh Bal'!AZ13</f>
        <v>1129.1904</v>
      </c>
      <c r="BY525" s="1068"/>
      <c r="BZ525" s="1068"/>
      <c r="CA525" s="451" t="str">
        <f>'Rep Ovh Bal'!CB13</f>
        <v/>
      </c>
      <c r="CB525" s="451" t="str">
        <f>'Rep Ovh Bal'!CC13</f>
        <v/>
      </c>
      <c r="CC525" s="451" t="str">
        <f>'Rep Ovh Bal'!CD13</f>
        <v/>
      </c>
      <c r="CD525" s="451" t="str">
        <f>'Rep Ovh Bal'!CE13</f>
        <v/>
      </c>
      <c r="CE525" s="451" t="str">
        <f>'Rep Ovh Bal'!CF13</f>
        <v/>
      </c>
      <c r="CF525" s="451" t="str">
        <f>'Rep Ovh Bal'!CG13</f>
        <v/>
      </c>
      <c r="CG525" s="451" t="str">
        <f>'Rep Ovh Bal'!CH13</f>
        <v/>
      </c>
      <c r="CH525" s="451" t="str">
        <f>'Rep Ovh Bal'!CI13</f>
        <v/>
      </c>
      <c r="CI525" s="1062">
        <f>'Rep Ovh Bal'!BA13</f>
        <v>3763.968</v>
      </c>
      <c r="CJ525" s="1062">
        <f>'Rep Ovh Bal'!BA13</f>
        <v>3763.968</v>
      </c>
      <c r="CK525" s="1062">
        <f>'Rep Ovh Bal'!BB13</f>
        <v>12044.6976</v>
      </c>
      <c r="CL525" s="1064" t="str">
        <f>'Rep Ovh Bal'!BC13</f>
        <v/>
      </c>
      <c r="CM525" s="451" t="str">
        <f>'Rep Ovh Bal'!CN13</f>
        <v/>
      </c>
      <c r="CN525" s="1065" t="str">
        <f>'Rep Ovh Bal'!BE9</f>
        <v/>
      </c>
      <c r="CO525" s="1062" t="str">
        <f>'Rep Ovh Bal'!BF9</f>
        <v/>
      </c>
      <c r="CP525" s="1060" t="str">
        <f>'Rep Ovh Bal'!BG9</f>
        <v/>
      </c>
    </row>
    <row r="526">
      <c r="A526" s="451" t="str">
        <f>'Rep Ovh Bal'!A14</f>
        <v>Repuestos mantenimientos mayores para estaciones y torres</v>
      </c>
      <c r="B526" s="451">
        <f>'Rep Ovh Bal'!B14</f>
        <v>2</v>
      </c>
      <c r="C526" s="451" t="str">
        <f>'Rep Ovh Bal'!C14</f>
        <v>Torres</v>
      </c>
      <c r="D526" s="451" t="str">
        <f>'Rep Ovh Bal'!D14</f>
        <v>OVH balancines TRM</v>
      </c>
      <c r="E526" s="451" t="str">
        <f>'Rep Ovh Bal'!E14</f>
        <v>Repuesto Mecánico</v>
      </c>
      <c r="F526" s="451" t="str">
        <f>'Rep Ovh Bal'!F14</f>
        <v>TDB</v>
      </c>
      <c r="G526" s="1025" t="str">
        <f>'Rep Ovh Bal'!G14</f>
        <v>39800</v>
      </c>
      <c r="H526" s="1061" t="str">
        <f>'Rep Ovh Bal'!H14</f>
        <v>2-01-00129</v>
      </c>
      <c r="I526" s="1061" t="str">
        <f>'Rep Ovh Bal'!I14</f>
        <v>10004961</v>
      </c>
      <c r="J526" s="1061" t="str">
        <f>'Rep Ovh Bal'!J14</f>
        <v>TORNILLO TENSILOCK CL. 100 M12X30 T. DIENTES DE PARADA RLZ</v>
      </c>
      <c r="K526" s="451" t="str">
        <f>'Rep Ovh Bal'!K14</f>
        <v>Pza</v>
      </c>
      <c r="L526" s="451">
        <f>'Rep Ovh Bal'!L14</f>
        <v>0</v>
      </c>
      <c r="M526" s="451">
        <f>'Rep Ovh Bal'!M14</f>
        <v>0</v>
      </c>
      <c r="N526" s="451">
        <f>'Rep Ovh Bal'!N14</f>
        <v>0</v>
      </c>
      <c r="O526" s="451">
        <f>'Rep Ovh Bal'!O14</f>
        <v>0</v>
      </c>
      <c r="P526" s="451">
        <f>'Rep Ovh Bal'!P14</f>
        <v>0</v>
      </c>
      <c r="Q526" s="451">
        <f>'Rep Ovh Bal'!Q14</f>
        <v>0</v>
      </c>
      <c r="R526" s="451">
        <f>'Rep Ovh Bal'!R14</f>
        <v>0</v>
      </c>
      <c r="S526" s="451">
        <f>'Rep Ovh Bal'!S14</f>
        <v>0</v>
      </c>
      <c r="T526" s="451">
        <f>'Rep Ovh Bal'!T14</f>
        <v>0</v>
      </c>
      <c r="U526" s="451">
        <f>'Rep Ovh Bal'!U14</f>
        <v>0</v>
      </c>
      <c r="V526" s="451">
        <f>'Rep Ovh Bal'!V14</f>
        <v>132</v>
      </c>
      <c r="W526" s="1062">
        <f>'Rep Ovh Bal'!W14</f>
        <v>132</v>
      </c>
      <c r="X526" s="451">
        <f>'Rep Ovh Bal'!X14</f>
        <v>0</v>
      </c>
      <c r="Y526" s="451">
        <f>'Rep Ovh Bal'!Y14</f>
        <v>0</v>
      </c>
      <c r="Z526" s="451">
        <f>'Rep Ovh Bal'!Z14</f>
        <v>0</v>
      </c>
      <c r="AA526" s="451">
        <f>'Rep Ovh Bal'!AA14</f>
        <v>0</v>
      </c>
      <c r="AB526" s="451">
        <f>'Rep Ovh Bal'!AB14</f>
        <v>0</v>
      </c>
      <c r="AC526" s="451">
        <f>'Rep Ovh Bal'!AC14</f>
        <v>0</v>
      </c>
      <c r="AD526" s="451">
        <f>'Rep Ovh Bal'!AD14</f>
        <v>0</v>
      </c>
      <c r="AE526" s="451">
        <f>'Rep Ovh Bal'!AE14</f>
        <v>0</v>
      </c>
      <c r="AF526" s="451">
        <f>'Rep Ovh Bal'!AF14</f>
        <v>0</v>
      </c>
      <c r="AG526" s="451">
        <f>'Rep Ovh Bal'!AG14</f>
        <v>0</v>
      </c>
      <c r="AH526" s="451">
        <f>'Rep Ovh Bal'!AH14</f>
        <v>144</v>
      </c>
      <c r="AI526" s="1062">
        <f>'Rep Ovh Bal'!AI14</f>
        <v>144</v>
      </c>
      <c r="AJ526" s="451">
        <f>'Rep Ovh Bal'!AJ14</f>
        <v>0</v>
      </c>
      <c r="AK526" s="451">
        <f>'Rep Ovh Bal'!AK14</f>
        <v>0</v>
      </c>
      <c r="AL526" s="451">
        <f>'Rep Ovh Bal'!AL14</f>
        <v>0</v>
      </c>
      <c r="AM526" s="451">
        <f>'Rep Ovh Bal'!AM14</f>
        <v>0</v>
      </c>
      <c r="AN526" s="451">
        <f>'Rep Ovh Bal'!AN14</f>
        <v>0</v>
      </c>
      <c r="AO526" s="451">
        <f>'Rep Ovh Bal'!AO14</f>
        <v>0</v>
      </c>
      <c r="AP526" s="451">
        <f>'Rep Ovh Bal'!AP14</f>
        <v>0</v>
      </c>
      <c r="AQ526" s="451">
        <f>'Rep Ovh Bal'!AQ14</f>
        <v>0</v>
      </c>
      <c r="AR526" s="451">
        <f>'Rep Ovh Bal'!AR14</f>
        <v>0</v>
      </c>
      <c r="AS526" s="451">
        <f>'Rep Ovh Bal'!AS14</f>
        <v>0</v>
      </c>
      <c r="AT526" s="451">
        <f>'Rep Ovh Bal'!AT14</f>
        <v>140</v>
      </c>
      <c r="AU526" s="1062">
        <f>'Rep Ovh Bal'!AU14</f>
        <v>140</v>
      </c>
      <c r="AV526" s="1063">
        <f>'Rep Ovh Bal'!AV14</f>
        <v>416</v>
      </c>
      <c r="AW526" s="1068"/>
      <c r="AX526" s="1065">
        <f>'Rep Ovh Bal'!AW14</f>
        <v>2.46</v>
      </c>
      <c r="AY526" s="1062">
        <f>'Rep Ovh Bal'!AX14</f>
        <v>17.1216</v>
      </c>
      <c r="AZ526" s="1068"/>
      <c r="BA526" s="1068"/>
      <c r="BB526" s="1068"/>
      <c r="BC526" s="1068"/>
      <c r="BD526" s="1068"/>
      <c r="BE526" s="1068"/>
      <c r="BF526" s="1065" t="str">
        <f>'Rep Ovh Bal'!BE14</f>
        <v/>
      </c>
      <c r="BG526" s="451" t="str">
        <f>'Rep Ovh Bal'!BH14</f>
        <v/>
      </c>
      <c r="BH526" s="451" t="str">
        <f>'Rep Ovh Bal'!BI14</f>
        <v/>
      </c>
      <c r="BI526" s="451" t="str">
        <f>'Rep Ovh Bal'!BJ14</f>
        <v/>
      </c>
      <c r="BJ526" s="451" t="str">
        <f>'Rep Ovh Bal'!BK14</f>
        <v/>
      </c>
      <c r="BK526" s="1062">
        <f>'Rep Ovh Bal'!AY14</f>
        <v>2260.0512</v>
      </c>
      <c r="BL526" s="1069">
        <f>'Rep Ovh Bal'!AY14</f>
        <v>2260.0512</v>
      </c>
      <c r="BM526" s="1068"/>
      <c r="BN526" s="1068"/>
      <c r="BO526" s="1068"/>
      <c r="BP526" s="451" t="str">
        <f>'Rep Ovh Bal'!BQ14</f>
        <v/>
      </c>
      <c r="BQ526" s="451" t="str">
        <f>'Rep Ovh Bal'!BR14</f>
        <v/>
      </c>
      <c r="BR526" s="451" t="str">
        <f>'Rep Ovh Bal'!BS14</f>
        <v/>
      </c>
      <c r="BS526" s="451" t="str">
        <f>'Rep Ovh Bal'!BT14</f>
        <v/>
      </c>
      <c r="BT526" s="451" t="str">
        <f>'Rep Ovh Bal'!BU14</f>
        <v/>
      </c>
      <c r="BU526" s="451" t="str">
        <f>'Rep Ovh Bal'!BV14</f>
        <v/>
      </c>
      <c r="BV526" s="451" t="str">
        <f>'Rep Ovh Bal'!BW14</f>
        <v/>
      </c>
      <c r="BW526" s="1062">
        <f>'Rep Ovh Bal'!AZ14</f>
        <v>2465.5104</v>
      </c>
      <c r="BX526" s="1069">
        <f>'Rep Ovh Bal'!AZ14</f>
        <v>2465.5104</v>
      </c>
      <c r="BY526" s="1068"/>
      <c r="BZ526" s="1068"/>
      <c r="CA526" s="451" t="str">
        <f>'Rep Ovh Bal'!CB14</f>
        <v/>
      </c>
      <c r="CB526" s="451" t="str">
        <f>'Rep Ovh Bal'!CC14</f>
        <v/>
      </c>
      <c r="CC526" s="451" t="str">
        <f>'Rep Ovh Bal'!CD14</f>
        <v/>
      </c>
      <c r="CD526" s="451" t="str">
        <f>'Rep Ovh Bal'!CE14</f>
        <v/>
      </c>
      <c r="CE526" s="451" t="str">
        <f>'Rep Ovh Bal'!CF14</f>
        <v/>
      </c>
      <c r="CF526" s="451" t="str">
        <f>'Rep Ovh Bal'!CG14</f>
        <v/>
      </c>
      <c r="CG526" s="451" t="str">
        <f>'Rep Ovh Bal'!CH14</f>
        <v/>
      </c>
      <c r="CH526" s="451" t="str">
        <f>'Rep Ovh Bal'!CI14</f>
        <v/>
      </c>
      <c r="CI526" s="1062">
        <f>'Rep Ovh Bal'!BA14</f>
        <v>2397.024</v>
      </c>
      <c r="CJ526" s="1062">
        <f>'Rep Ovh Bal'!BA14</f>
        <v>2397.024</v>
      </c>
      <c r="CK526" s="1062">
        <f>'Rep Ovh Bal'!BB14</f>
        <v>7122.5856</v>
      </c>
      <c r="CL526" s="1064" t="str">
        <f>'Rep Ovh Bal'!BC14</f>
        <v/>
      </c>
      <c r="CM526" s="451" t="str">
        <f>'Rep Ovh Bal'!CN14</f>
        <v/>
      </c>
      <c r="CN526" s="1065" t="str">
        <f>'Rep Ovh Bal'!BE10</f>
        <v/>
      </c>
      <c r="CO526" s="1062" t="str">
        <f>'Rep Ovh Bal'!BF10</f>
        <v/>
      </c>
      <c r="CP526" s="1060" t="str">
        <f>'Rep Ovh Bal'!BG10</f>
        <v/>
      </c>
    </row>
    <row r="527">
      <c r="A527" s="451" t="str">
        <f>'Rep Ovh Bal'!A15</f>
        <v>Repuestos mantenimientos mayores para estaciones y torres</v>
      </c>
      <c r="B527" s="451">
        <f>'Rep Ovh Bal'!B15</f>
        <v>2</v>
      </c>
      <c r="C527" s="451" t="str">
        <f>'Rep Ovh Bal'!C15</f>
        <v>Torres</v>
      </c>
      <c r="D527" s="451" t="str">
        <f>'Rep Ovh Bal'!D15</f>
        <v>OVH balancines TRM</v>
      </c>
      <c r="E527" s="451" t="str">
        <f>'Rep Ovh Bal'!E15</f>
        <v>Repuesto Mecánico</v>
      </c>
      <c r="F527" s="451" t="str">
        <f>'Rep Ovh Bal'!F15</f>
        <v>TDB</v>
      </c>
      <c r="G527" s="1025" t="str">
        <f>'Rep Ovh Bal'!G15</f>
        <v>39800</v>
      </c>
      <c r="H527" s="1061" t="str">
        <f>'Rep Ovh Bal'!H15</f>
        <v>2-01-00835</v>
      </c>
      <c r="I527" s="1061" t="str">
        <f>'Rep Ovh Bal'!I15</f>
        <v>10006287</v>
      </c>
      <c r="J527" s="1061" t="str">
        <f>'Rep Ovh Bal'!J15</f>
        <v>RES.C. A=1,00/DIA.7,0/LSC=20,0 EE=  7,5; RES.DE COMPR.DIN2095</v>
      </c>
      <c r="K527" s="451" t="str">
        <f>'Rep Ovh Bal'!K15</f>
        <v>Pza</v>
      </c>
      <c r="L527" s="451">
        <f>'Rep Ovh Bal'!L15</f>
        <v>0</v>
      </c>
      <c r="M527" s="451">
        <f>'Rep Ovh Bal'!M15</f>
        <v>0</v>
      </c>
      <c r="N527" s="451">
        <f>'Rep Ovh Bal'!N15</f>
        <v>0</v>
      </c>
      <c r="O527" s="451">
        <f>'Rep Ovh Bal'!O15</f>
        <v>0</v>
      </c>
      <c r="P527" s="451">
        <f>'Rep Ovh Bal'!P15</f>
        <v>0</v>
      </c>
      <c r="Q527" s="451">
        <f>'Rep Ovh Bal'!Q15</f>
        <v>0</v>
      </c>
      <c r="R527" s="451">
        <f>'Rep Ovh Bal'!R15</f>
        <v>0</v>
      </c>
      <c r="S527" s="451">
        <f>'Rep Ovh Bal'!S15</f>
        <v>0</v>
      </c>
      <c r="T527" s="451">
        <f>'Rep Ovh Bal'!T15</f>
        <v>0</v>
      </c>
      <c r="U527" s="451">
        <f>'Rep Ovh Bal'!U15</f>
        <v>0</v>
      </c>
      <c r="V527" s="451">
        <f>'Rep Ovh Bal'!V15</f>
        <v>100</v>
      </c>
      <c r="W527" s="1062">
        <f>'Rep Ovh Bal'!W15</f>
        <v>100</v>
      </c>
      <c r="X527" s="451">
        <f>'Rep Ovh Bal'!X15</f>
        <v>0</v>
      </c>
      <c r="Y527" s="451">
        <f>'Rep Ovh Bal'!Y15</f>
        <v>0</v>
      </c>
      <c r="Z527" s="451">
        <f>'Rep Ovh Bal'!Z15</f>
        <v>0</v>
      </c>
      <c r="AA527" s="451">
        <f>'Rep Ovh Bal'!AA15</f>
        <v>0</v>
      </c>
      <c r="AB527" s="451">
        <f>'Rep Ovh Bal'!AB15</f>
        <v>0</v>
      </c>
      <c r="AC527" s="451">
        <f>'Rep Ovh Bal'!AC15</f>
        <v>0</v>
      </c>
      <c r="AD527" s="451">
        <f>'Rep Ovh Bal'!AD15</f>
        <v>0</v>
      </c>
      <c r="AE527" s="451">
        <f>'Rep Ovh Bal'!AE15</f>
        <v>0</v>
      </c>
      <c r="AF527" s="451">
        <f>'Rep Ovh Bal'!AF15</f>
        <v>0</v>
      </c>
      <c r="AG527" s="451">
        <f>'Rep Ovh Bal'!AG15</f>
        <v>0</v>
      </c>
      <c r="AH527" s="451">
        <f>'Rep Ovh Bal'!AH15</f>
        <v>0</v>
      </c>
      <c r="AI527" s="1062">
        <f>'Rep Ovh Bal'!AI15</f>
        <v>0</v>
      </c>
      <c r="AJ527" s="1064">
        <f>'Rep Ovh Bal'!AJ15</f>
        <v>0</v>
      </c>
      <c r="AK527" s="1064">
        <f>'Rep Ovh Bal'!AK15</f>
        <v>0</v>
      </c>
      <c r="AL527" s="1064">
        <f>'Rep Ovh Bal'!AL15</f>
        <v>0</v>
      </c>
      <c r="AM527" s="1064">
        <f>'Rep Ovh Bal'!AM15</f>
        <v>0</v>
      </c>
      <c r="AN527" s="1064">
        <f>'Rep Ovh Bal'!AN15</f>
        <v>0</v>
      </c>
      <c r="AO527" s="1064">
        <f>'Rep Ovh Bal'!AO15</f>
        <v>0</v>
      </c>
      <c r="AP527" s="1064">
        <f>'Rep Ovh Bal'!AP15</f>
        <v>0</v>
      </c>
      <c r="AQ527" s="1064">
        <f>'Rep Ovh Bal'!AQ15</f>
        <v>0</v>
      </c>
      <c r="AR527" s="1064">
        <f>'Rep Ovh Bal'!AR15</f>
        <v>0</v>
      </c>
      <c r="AS527" s="1064">
        <f>'Rep Ovh Bal'!AS15</f>
        <v>0</v>
      </c>
      <c r="AT527" s="451">
        <f>'Rep Ovh Bal'!AT15</f>
        <v>0</v>
      </c>
      <c r="AU527" s="1062">
        <f>'Rep Ovh Bal'!AU15</f>
        <v>0</v>
      </c>
      <c r="AV527" s="1063">
        <f>'Rep Ovh Bal'!AV15</f>
        <v>100</v>
      </c>
      <c r="AW527" s="1068"/>
      <c r="AX527" s="1065">
        <f>'Rep Ovh Bal'!AW15</f>
        <v>0.27</v>
      </c>
      <c r="AY527" s="1062">
        <f>'Rep Ovh Bal'!AX15</f>
        <v>1.8792</v>
      </c>
      <c r="AZ527" s="1068"/>
      <c r="BA527" s="1068"/>
      <c r="BB527" s="1068"/>
      <c r="BC527" s="1068"/>
      <c r="BD527" s="1068"/>
      <c r="BE527" s="1068"/>
      <c r="BF527" s="1065" t="str">
        <f>'Rep Ovh Bal'!BE15</f>
        <v/>
      </c>
      <c r="BG527" s="451" t="str">
        <f>'Rep Ovh Bal'!BH15</f>
        <v/>
      </c>
      <c r="BH527" s="451" t="str">
        <f>'Rep Ovh Bal'!BI15</f>
        <v/>
      </c>
      <c r="BI527" s="451" t="str">
        <f>'Rep Ovh Bal'!BJ15</f>
        <v/>
      </c>
      <c r="BJ527" s="451" t="str">
        <f>'Rep Ovh Bal'!BK15</f>
        <v/>
      </c>
      <c r="BK527" s="1062">
        <f>'Rep Ovh Bal'!AY15</f>
        <v>187.92</v>
      </c>
      <c r="BL527" s="1069">
        <f>'Rep Ovh Bal'!AY15</f>
        <v>187.92</v>
      </c>
      <c r="BM527" s="1068"/>
      <c r="BN527" s="1068"/>
      <c r="BO527" s="1068"/>
      <c r="BP527" s="451" t="str">
        <f>'Rep Ovh Bal'!BQ15</f>
        <v/>
      </c>
      <c r="BQ527" s="451" t="str">
        <f>'Rep Ovh Bal'!BR15</f>
        <v/>
      </c>
      <c r="BR527" s="451" t="str">
        <f>'Rep Ovh Bal'!BS15</f>
        <v/>
      </c>
      <c r="BS527" s="451" t="str">
        <f>'Rep Ovh Bal'!BT15</f>
        <v/>
      </c>
      <c r="BT527" s="451" t="str">
        <f>'Rep Ovh Bal'!BU15</f>
        <v/>
      </c>
      <c r="BU527" s="451" t="str">
        <f>'Rep Ovh Bal'!BV15</f>
        <v/>
      </c>
      <c r="BV527" s="451" t="str">
        <f>'Rep Ovh Bal'!BW15</f>
        <v/>
      </c>
      <c r="BW527" s="1062">
        <f>'Rep Ovh Bal'!AZ15</f>
        <v>0</v>
      </c>
      <c r="BX527" s="1069">
        <f>'Rep Ovh Bal'!AZ15</f>
        <v>0</v>
      </c>
      <c r="BY527" s="1068"/>
      <c r="BZ527" s="1068"/>
      <c r="CA527" s="451" t="str">
        <f>'Rep Ovh Bal'!CB15</f>
        <v/>
      </c>
      <c r="CB527" s="451" t="str">
        <f>'Rep Ovh Bal'!CC15</f>
        <v/>
      </c>
      <c r="CC527" s="451" t="str">
        <f>'Rep Ovh Bal'!CD15</f>
        <v/>
      </c>
      <c r="CD527" s="451" t="str">
        <f>'Rep Ovh Bal'!CE15</f>
        <v/>
      </c>
      <c r="CE527" s="451" t="str">
        <f>'Rep Ovh Bal'!CF15</f>
        <v/>
      </c>
      <c r="CF527" s="451" t="str">
        <f>'Rep Ovh Bal'!CG15</f>
        <v/>
      </c>
      <c r="CG527" s="451" t="str">
        <f>'Rep Ovh Bal'!CH15</f>
        <v/>
      </c>
      <c r="CH527" s="451" t="str">
        <f>'Rep Ovh Bal'!CI15</f>
        <v/>
      </c>
      <c r="CI527" s="1062">
        <f>'Rep Ovh Bal'!BA15</f>
        <v>0</v>
      </c>
      <c r="CJ527" s="1062">
        <f>'Rep Ovh Bal'!BA15</f>
        <v>0</v>
      </c>
      <c r="CK527" s="1062">
        <f>'Rep Ovh Bal'!BB15</f>
        <v>187.92</v>
      </c>
      <c r="CL527" s="1064" t="str">
        <f>'Rep Ovh Bal'!BC15</f>
        <v/>
      </c>
      <c r="CM527" s="451" t="str">
        <f>'Rep Ovh Bal'!CN15</f>
        <v/>
      </c>
      <c r="CN527" s="1065" t="str">
        <f>'Rep Ovh Bal'!BE11</f>
        <v/>
      </c>
      <c r="CO527" s="1062" t="str">
        <f>'Rep Ovh Bal'!BF11</f>
        <v/>
      </c>
      <c r="CP527" s="1060" t="str">
        <f>'Rep Ovh Bal'!BG11</f>
        <v/>
      </c>
    </row>
    <row r="528">
      <c r="A528" s="451" t="str">
        <f>'Rep Ovh Bal'!A16</f>
        <v>Repuestos mantenimientos mayores para estaciones y torres</v>
      </c>
      <c r="B528" s="451">
        <f>'Rep Ovh Bal'!B16</f>
        <v>2</v>
      </c>
      <c r="C528" s="451" t="str">
        <f>'Rep Ovh Bal'!C16</f>
        <v>Torres</v>
      </c>
      <c r="D528" s="451" t="str">
        <f>'Rep Ovh Bal'!D16</f>
        <v>OVH balancines TRM</v>
      </c>
      <c r="E528" s="451" t="str">
        <f>'Rep Ovh Bal'!E16</f>
        <v>Repuesto Eléctrico</v>
      </c>
      <c r="F528" s="451" t="str">
        <f>'Rep Ovh Bal'!F16</f>
        <v>TDB</v>
      </c>
      <c r="G528" s="1025" t="str">
        <f>'Rep Ovh Bal'!G16</f>
        <v>39700</v>
      </c>
      <c r="H528" s="1061" t="str">
        <f>'Rep Ovh Bal'!H16</f>
        <v>2-02-00105</v>
      </c>
      <c r="I528" s="1061" t="str">
        <f>'Rep Ovh Bal'!I16</f>
        <v>10006291</v>
      </c>
      <c r="J528" s="1061" t="str">
        <f>'Rep Ovh Bal'!J16</f>
        <v>CONECTOR HEMBRA DIA.7  L=38    P.INTERRUPTOR HORQUILLA</v>
      </c>
      <c r="K528" s="451" t="str">
        <f>'Rep Ovh Bal'!K16</f>
        <v>Pza</v>
      </c>
      <c r="L528" s="451">
        <f>'Rep Ovh Bal'!L16</f>
        <v>0</v>
      </c>
      <c r="M528" s="451">
        <f>'Rep Ovh Bal'!M16</f>
        <v>0</v>
      </c>
      <c r="N528" s="451">
        <f>'Rep Ovh Bal'!N16</f>
        <v>0</v>
      </c>
      <c r="O528" s="451">
        <f>'Rep Ovh Bal'!O16</f>
        <v>0</v>
      </c>
      <c r="P528" s="451">
        <f>'Rep Ovh Bal'!P16</f>
        <v>0</v>
      </c>
      <c r="Q528" s="451">
        <f>'Rep Ovh Bal'!Q16</f>
        <v>0</v>
      </c>
      <c r="R528" s="451">
        <f>'Rep Ovh Bal'!R16</f>
        <v>0</v>
      </c>
      <c r="S528" s="451">
        <f>'Rep Ovh Bal'!S16</f>
        <v>0</v>
      </c>
      <c r="T528" s="451">
        <f>'Rep Ovh Bal'!T16</f>
        <v>0</v>
      </c>
      <c r="U528" s="451">
        <f>'Rep Ovh Bal'!U16</f>
        <v>0</v>
      </c>
      <c r="V528" s="451">
        <f>'Rep Ovh Bal'!V16</f>
        <v>400</v>
      </c>
      <c r="W528" s="1062">
        <f>'Rep Ovh Bal'!W16</f>
        <v>400</v>
      </c>
      <c r="X528" s="451">
        <f>'Rep Ovh Bal'!X16</f>
        <v>0</v>
      </c>
      <c r="Y528" s="451">
        <f>'Rep Ovh Bal'!Y16</f>
        <v>0</v>
      </c>
      <c r="Z528" s="451">
        <f>'Rep Ovh Bal'!Z16</f>
        <v>0</v>
      </c>
      <c r="AA528" s="451">
        <f>'Rep Ovh Bal'!AA16</f>
        <v>0</v>
      </c>
      <c r="AB528" s="451">
        <f>'Rep Ovh Bal'!AB16</f>
        <v>0</v>
      </c>
      <c r="AC528" s="451">
        <f>'Rep Ovh Bal'!AC16</f>
        <v>0</v>
      </c>
      <c r="AD528" s="451">
        <f>'Rep Ovh Bal'!AD16</f>
        <v>0</v>
      </c>
      <c r="AE528" s="451">
        <f>'Rep Ovh Bal'!AE16</f>
        <v>0</v>
      </c>
      <c r="AF528" s="451">
        <f>'Rep Ovh Bal'!AF16</f>
        <v>0</v>
      </c>
      <c r="AG528" s="451">
        <f>'Rep Ovh Bal'!AG16</f>
        <v>0</v>
      </c>
      <c r="AH528" s="451">
        <f>'Rep Ovh Bal'!AH16</f>
        <v>0</v>
      </c>
      <c r="AI528" s="1062">
        <f>'Rep Ovh Bal'!AI16</f>
        <v>0</v>
      </c>
      <c r="AJ528" s="451">
        <f>'Rep Ovh Bal'!AJ16</f>
        <v>0</v>
      </c>
      <c r="AK528" s="451">
        <f>'Rep Ovh Bal'!AK16</f>
        <v>0</v>
      </c>
      <c r="AL528" s="451">
        <f>'Rep Ovh Bal'!AL16</f>
        <v>0</v>
      </c>
      <c r="AM528" s="451">
        <f>'Rep Ovh Bal'!AM16</f>
        <v>0</v>
      </c>
      <c r="AN528" s="451">
        <f>'Rep Ovh Bal'!AN16</f>
        <v>0</v>
      </c>
      <c r="AO528" s="451">
        <f>'Rep Ovh Bal'!AO16</f>
        <v>0</v>
      </c>
      <c r="AP528" s="451">
        <f>'Rep Ovh Bal'!AP16</f>
        <v>0</v>
      </c>
      <c r="AQ528" s="451">
        <f>'Rep Ovh Bal'!AQ16</f>
        <v>0</v>
      </c>
      <c r="AR528" s="451">
        <f>'Rep Ovh Bal'!AR16</f>
        <v>0</v>
      </c>
      <c r="AS528" s="451">
        <f>'Rep Ovh Bal'!AS16</f>
        <v>0</v>
      </c>
      <c r="AT528" s="451">
        <f>'Rep Ovh Bal'!AT16</f>
        <v>0</v>
      </c>
      <c r="AU528" s="1062">
        <f>'Rep Ovh Bal'!AU16</f>
        <v>0</v>
      </c>
      <c r="AV528" s="1063">
        <f>'Rep Ovh Bal'!AV16</f>
        <v>400</v>
      </c>
      <c r="AW528" s="1068"/>
      <c r="AX528" s="1065">
        <f>'Rep Ovh Bal'!AW16</f>
        <v>1.61</v>
      </c>
      <c r="AY528" s="1062">
        <f>'Rep Ovh Bal'!AX16</f>
        <v>11.2056</v>
      </c>
      <c r="AZ528" s="1068"/>
      <c r="BA528" s="1068"/>
      <c r="BB528" s="1068"/>
      <c r="BC528" s="1068"/>
      <c r="BD528" s="1068"/>
      <c r="BE528" s="1068"/>
      <c r="BF528" s="1065" t="str">
        <f>'Rep Ovh Bal'!BE16</f>
        <v/>
      </c>
      <c r="BG528" s="451" t="str">
        <f>'Rep Ovh Bal'!BH16</f>
        <v/>
      </c>
      <c r="BH528" s="451" t="str">
        <f>'Rep Ovh Bal'!BI16</f>
        <v/>
      </c>
      <c r="BI528" s="451" t="str">
        <f>'Rep Ovh Bal'!BJ16</f>
        <v/>
      </c>
      <c r="BJ528" s="451" t="str">
        <f>'Rep Ovh Bal'!BK16</f>
        <v/>
      </c>
      <c r="BK528" s="1062">
        <f>'Rep Ovh Bal'!AY16</f>
        <v>4482.24</v>
      </c>
      <c r="BL528" s="1069">
        <f>'Rep Ovh Bal'!AY16</f>
        <v>4482.24</v>
      </c>
      <c r="BM528" s="1068"/>
      <c r="BN528" s="1068"/>
      <c r="BO528" s="1068"/>
      <c r="BP528" s="451" t="str">
        <f>'Rep Ovh Bal'!BQ16</f>
        <v/>
      </c>
      <c r="BQ528" s="451" t="str">
        <f>'Rep Ovh Bal'!BR16</f>
        <v/>
      </c>
      <c r="BR528" s="451" t="str">
        <f>'Rep Ovh Bal'!BS16</f>
        <v/>
      </c>
      <c r="BS528" s="451" t="str">
        <f>'Rep Ovh Bal'!BT16</f>
        <v/>
      </c>
      <c r="BT528" s="451" t="str">
        <f>'Rep Ovh Bal'!BU16</f>
        <v/>
      </c>
      <c r="BU528" s="451" t="str">
        <f>'Rep Ovh Bal'!BV16</f>
        <v/>
      </c>
      <c r="BV528" s="451" t="str">
        <f>'Rep Ovh Bal'!BW16</f>
        <v/>
      </c>
      <c r="BW528" s="1062">
        <f>'Rep Ovh Bal'!AZ16</f>
        <v>0</v>
      </c>
      <c r="BX528" s="1069">
        <f>'Rep Ovh Bal'!AZ16</f>
        <v>0</v>
      </c>
      <c r="BY528" s="1068"/>
      <c r="BZ528" s="1068"/>
      <c r="CA528" s="451" t="str">
        <f>'Rep Ovh Bal'!CB16</f>
        <v/>
      </c>
      <c r="CB528" s="451" t="str">
        <f>'Rep Ovh Bal'!CC16</f>
        <v/>
      </c>
      <c r="CC528" s="451" t="str">
        <f>'Rep Ovh Bal'!CD16</f>
        <v/>
      </c>
      <c r="CD528" s="451" t="str">
        <f>'Rep Ovh Bal'!CE16</f>
        <v/>
      </c>
      <c r="CE528" s="451" t="str">
        <f>'Rep Ovh Bal'!CF16</f>
        <v/>
      </c>
      <c r="CF528" s="451" t="str">
        <f>'Rep Ovh Bal'!CG16</f>
        <v/>
      </c>
      <c r="CG528" s="451" t="str">
        <f>'Rep Ovh Bal'!CH16</f>
        <v/>
      </c>
      <c r="CH528" s="451" t="str">
        <f>'Rep Ovh Bal'!CI16</f>
        <v/>
      </c>
      <c r="CI528" s="1062">
        <f>'Rep Ovh Bal'!BA16</f>
        <v>0</v>
      </c>
      <c r="CJ528" s="1062">
        <f>'Rep Ovh Bal'!BA16</f>
        <v>0</v>
      </c>
      <c r="CK528" s="1062">
        <f>'Rep Ovh Bal'!BB16</f>
        <v>4482.24</v>
      </c>
      <c r="CL528" s="1064" t="str">
        <f>'Rep Ovh Bal'!BC16</f>
        <v/>
      </c>
      <c r="CM528" s="451" t="str">
        <f>'Rep Ovh Bal'!CN16</f>
        <v/>
      </c>
      <c r="CN528" s="1065" t="str">
        <f>'Rep Ovh Bal'!BE12</f>
        <v/>
      </c>
      <c r="CO528" s="1062" t="str">
        <f>'Rep Ovh Bal'!BF12</f>
        <v/>
      </c>
      <c r="CP528" s="1060" t="str">
        <f>'Rep Ovh Bal'!BG12</f>
        <v/>
      </c>
    </row>
    <row r="529">
      <c r="A529" s="451" t="str">
        <f>'Rep Ovh Bal'!A17</f>
        <v>Repuestos mantenimientos mayores para estaciones y torres</v>
      </c>
      <c r="B529" s="451">
        <f>'Rep Ovh Bal'!B17</f>
        <v>2</v>
      </c>
      <c r="C529" s="451" t="str">
        <f>'Rep Ovh Bal'!C17</f>
        <v>Torres</v>
      </c>
      <c r="D529" s="451" t="str">
        <f>'Rep Ovh Bal'!D17</f>
        <v>OVH balancines TRM</v>
      </c>
      <c r="E529" s="451" t="str">
        <f>'Rep Ovh Bal'!E17</f>
        <v>Repuesto Mecánico</v>
      </c>
      <c r="F529" s="451" t="str">
        <f>'Rep Ovh Bal'!F17</f>
        <v>TDB</v>
      </c>
      <c r="G529" s="1025" t="str">
        <f>'Rep Ovh Bal'!G17</f>
        <v>39800</v>
      </c>
      <c r="H529" s="1061" t="str">
        <f>'Rep Ovh Bal'!H17</f>
        <v>2-01-00130</v>
      </c>
      <c r="I529" s="1061" t="str">
        <f>'Rep Ovh Bal'!I17</f>
        <v>10007419</v>
      </c>
      <c r="J529" s="1061" t="str">
        <f>'Rep Ovh Bal'!J17</f>
        <v>TORNILLO TENSILOCK CL. 100 M16X40 T.DIENTES DE PARADA RLZ</v>
      </c>
      <c r="K529" s="451" t="str">
        <f>'Rep Ovh Bal'!K17</f>
        <v>Pza</v>
      </c>
      <c r="L529" s="451">
        <f>'Rep Ovh Bal'!L17</f>
        <v>0</v>
      </c>
      <c r="M529" s="451">
        <f>'Rep Ovh Bal'!M17</f>
        <v>0</v>
      </c>
      <c r="N529" s="451">
        <f>'Rep Ovh Bal'!N17</f>
        <v>0</v>
      </c>
      <c r="O529" s="451">
        <f>'Rep Ovh Bal'!O17</f>
        <v>0</v>
      </c>
      <c r="P529" s="451">
        <f>'Rep Ovh Bal'!P17</f>
        <v>0</v>
      </c>
      <c r="Q529" s="451">
        <f>'Rep Ovh Bal'!Q17</f>
        <v>0</v>
      </c>
      <c r="R529" s="451">
        <f>'Rep Ovh Bal'!R17</f>
        <v>0</v>
      </c>
      <c r="S529" s="451">
        <f>'Rep Ovh Bal'!S17</f>
        <v>0</v>
      </c>
      <c r="T529" s="451">
        <f>'Rep Ovh Bal'!T17</f>
        <v>0</v>
      </c>
      <c r="U529" s="451">
        <f>'Rep Ovh Bal'!U17</f>
        <v>0</v>
      </c>
      <c r="V529" s="451">
        <f>'Rep Ovh Bal'!V17</f>
        <v>904</v>
      </c>
      <c r="W529" s="1062">
        <f>'Rep Ovh Bal'!W17</f>
        <v>904</v>
      </c>
      <c r="X529" s="451">
        <f>'Rep Ovh Bal'!X17</f>
        <v>0</v>
      </c>
      <c r="Y529" s="451">
        <f>'Rep Ovh Bal'!Y17</f>
        <v>0</v>
      </c>
      <c r="Z529" s="451">
        <f>'Rep Ovh Bal'!Z17</f>
        <v>0</v>
      </c>
      <c r="AA529" s="451">
        <f>'Rep Ovh Bal'!AA17</f>
        <v>0</v>
      </c>
      <c r="AB529" s="451">
        <f>'Rep Ovh Bal'!AB17</f>
        <v>0</v>
      </c>
      <c r="AC529" s="451">
        <f>'Rep Ovh Bal'!AC17</f>
        <v>0</v>
      </c>
      <c r="AD529" s="451">
        <f>'Rep Ovh Bal'!AD17</f>
        <v>0</v>
      </c>
      <c r="AE529" s="451">
        <f>'Rep Ovh Bal'!AE17</f>
        <v>0</v>
      </c>
      <c r="AF529" s="451">
        <f>'Rep Ovh Bal'!AF17</f>
        <v>0</v>
      </c>
      <c r="AG529" s="451">
        <f>'Rep Ovh Bal'!AG17</f>
        <v>0</v>
      </c>
      <c r="AH529" s="1070">
        <f>'Rep Ovh Bal'!AH17</f>
        <v>1064</v>
      </c>
      <c r="AI529" s="1062">
        <f>'Rep Ovh Bal'!AI17</f>
        <v>1064</v>
      </c>
      <c r="AJ529" s="451">
        <f>'Rep Ovh Bal'!AJ17</f>
        <v>0</v>
      </c>
      <c r="AK529" s="451">
        <f>'Rep Ovh Bal'!AK17</f>
        <v>0</v>
      </c>
      <c r="AL529" s="451">
        <f>'Rep Ovh Bal'!AL17</f>
        <v>0</v>
      </c>
      <c r="AM529" s="451">
        <f>'Rep Ovh Bal'!AM17</f>
        <v>0</v>
      </c>
      <c r="AN529" s="451">
        <f>'Rep Ovh Bal'!AN17</f>
        <v>0</v>
      </c>
      <c r="AO529" s="451">
        <f>'Rep Ovh Bal'!AO17</f>
        <v>0</v>
      </c>
      <c r="AP529" s="451">
        <f>'Rep Ovh Bal'!AP17</f>
        <v>0</v>
      </c>
      <c r="AQ529" s="451">
        <f>'Rep Ovh Bal'!AQ17</f>
        <v>0</v>
      </c>
      <c r="AR529" s="451">
        <f>'Rep Ovh Bal'!AR17</f>
        <v>0</v>
      </c>
      <c r="AS529" s="451">
        <f>'Rep Ovh Bal'!AS17</f>
        <v>0</v>
      </c>
      <c r="AT529" s="1070">
        <f>'Rep Ovh Bal'!AT17</f>
        <v>1064</v>
      </c>
      <c r="AU529" s="1062">
        <f>'Rep Ovh Bal'!AU17</f>
        <v>1064</v>
      </c>
      <c r="AV529" s="1063">
        <f>'Rep Ovh Bal'!AV17</f>
        <v>3032</v>
      </c>
      <c r="AW529" s="1068"/>
      <c r="AX529" s="1065">
        <f>'Rep Ovh Bal'!AW17</f>
        <v>6.27</v>
      </c>
      <c r="AY529" s="1062">
        <f>'Rep Ovh Bal'!AX17</f>
        <v>43.6392</v>
      </c>
      <c r="AZ529" s="1068"/>
      <c r="BA529" s="1068"/>
      <c r="BB529" s="1068"/>
      <c r="BC529" s="1068"/>
      <c r="BD529" s="1068"/>
      <c r="BE529" s="1068"/>
      <c r="BF529" s="1065" t="str">
        <f>'Rep Ovh Bal'!BE17</f>
        <v/>
      </c>
      <c r="BG529" s="451" t="str">
        <f>'Rep Ovh Bal'!BH17</f>
        <v/>
      </c>
      <c r="BH529" s="451" t="str">
        <f>'Rep Ovh Bal'!BI17</f>
        <v/>
      </c>
      <c r="BI529" s="451" t="str">
        <f>'Rep Ovh Bal'!BJ17</f>
        <v/>
      </c>
      <c r="BJ529" s="451" t="str">
        <f>'Rep Ovh Bal'!BK17</f>
        <v/>
      </c>
      <c r="BK529" s="1062">
        <f>'Rep Ovh Bal'!AY17</f>
        <v>39449.8368</v>
      </c>
      <c r="BL529" s="1069">
        <f>'Rep Ovh Bal'!AY17</f>
        <v>39449.8368</v>
      </c>
      <c r="BM529" s="1068"/>
      <c r="BN529" s="1068"/>
      <c r="BO529" s="1068"/>
      <c r="BP529" s="451" t="str">
        <f>'Rep Ovh Bal'!BQ17</f>
        <v/>
      </c>
      <c r="BQ529" s="451" t="str">
        <f>'Rep Ovh Bal'!BR17</f>
        <v/>
      </c>
      <c r="BR529" s="451" t="str">
        <f>'Rep Ovh Bal'!BS17</f>
        <v/>
      </c>
      <c r="BS529" s="451" t="str">
        <f>'Rep Ovh Bal'!BT17</f>
        <v/>
      </c>
      <c r="BT529" s="451" t="str">
        <f>'Rep Ovh Bal'!BU17</f>
        <v/>
      </c>
      <c r="BU529" s="451" t="str">
        <f>'Rep Ovh Bal'!BV17</f>
        <v/>
      </c>
      <c r="BV529" s="451" t="str">
        <f>'Rep Ovh Bal'!BW17</f>
        <v/>
      </c>
      <c r="BW529" s="1062">
        <f>'Rep Ovh Bal'!AZ17</f>
        <v>46432.1088</v>
      </c>
      <c r="BX529" s="1069">
        <f>'Rep Ovh Bal'!AZ17</f>
        <v>46432.1088</v>
      </c>
      <c r="BY529" s="1068"/>
      <c r="BZ529" s="1068"/>
      <c r="CA529" s="451" t="str">
        <f>'Rep Ovh Bal'!CB17</f>
        <v/>
      </c>
      <c r="CB529" s="451" t="str">
        <f>'Rep Ovh Bal'!CC17</f>
        <v/>
      </c>
      <c r="CC529" s="451" t="str">
        <f>'Rep Ovh Bal'!CD17</f>
        <v/>
      </c>
      <c r="CD529" s="451" t="str">
        <f>'Rep Ovh Bal'!CE17</f>
        <v/>
      </c>
      <c r="CE529" s="451" t="str">
        <f>'Rep Ovh Bal'!CF17</f>
        <v/>
      </c>
      <c r="CF529" s="451" t="str">
        <f>'Rep Ovh Bal'!CG17</f>
        <v/>
      </c>
      <c r="CG529" s="451" t="str">
        <f>'Rep Ovh Bal'!CH17</f>
        <v/>
      </c>
      <c r="CH529" s="451" t="str">
        <f>'Rep Ovh Bal'!CI17</f>
        <v/>
      </c>
      <c r="CI529" s="1062">
        <f>'Rep Ovh Bal'!BA17</f>
        <v>46432.1088</v>
      </c>
      <c r="CJ529" s="1062">
        <f>'Rep Ovh Bal'!BA17</f>
        <v>46432.1088</v>
      </c>
      <c r="CK529" s="1062">
        <f>'Rep Ovh Bal'!BB17</f>
        <v>132314.0544</v>
      </c>
      <c r="CL529" s="1064" t="str">
        <f>'Rep Ovh Bal'!BC17</f>
        <v/>
      </c>
      <c r="CM529" s="451" t="str">
        <f>'Rep Ovh Bal'!CN17</f>
        <v/>
      </c>
      <c r="CN529" s="1065" t="str">
        <f>'Rep Ovh Bal'!BE13</f>
        <v/>
      </c>
      <c r="CO529" s="1062" t="str">
        <f>'Rep Ovh Bal'!BF13</f>
        <v/>
      </c>
      <c r="CP529" s="1060" t="str">
        <f>'Rep Ovh Bal'!BG13</f>
        <v/>
      </c>
    </row>
    <row r="530">
      <c r="A530" s="451" t="str">
        <f>'Rep Ovh Bal'!A18</f>
        <v>Repuestos mantenimientos mayores para estaciones y torres</v>
      </c>
      <c r="B530" s="451">
        <f>'Rep Ovh Bal'!B18</f>
        <v>2</v>
      </c>
      <c r="C530" s="451" t="str">
        <f>'Rep Ovh Bal'!C18</f>
        <v>Torres</v>
      </c>
      <c r="D530" s="451" t="str">
        <f>'Rep Ovh Bal'!D18</f>
        <v>OVH balancines TRM</v>
      </c>
      <c r="E530" s="451" t="str">
        <f>'Rep Ovh Bal'!E18</f>
        <v>Repuesto Mecánico</v>
      </c>
      <c r="F530" s="451" t="str">
        <f>'Rep Ovh Bal'!F18</f>
        <v>TDB</v>
      </c>
      <c r="G530" s="1025" t="str">
        <f>'Rep Ovh Bal'!G18</f>
        <v>39800</v>
      </c>
      <c r="H530" s="1061" t="str">
        <f>'Rep Ovh Bal'!H18</f>
        <v>2-01-00131</v>
      </c>
      <c r="I530" s="1061" t="str">
        <f>'Rep Ovh Bal'!I18</f>
        <v>10046154</v>
      </c>
      <c r="J530" s="1061" t="str">
        <f>'Rep Ovh Bal'!J18</f>
        <v>ARANDELA SEGUR.  NORDLOCK NL16 RECUB.DE LAMINILLAS DE CINC</v>
      </c>
      <c r="K530" s="451" t="str">
        <f>'Rep Ovh Bal'!K18</f>
        <v>Pza</v>
      </c>
      <c r="L530" s="451">
        <f>'Rep Ovh Bal'!L18</f>
        <v>0</v>
      </c>
      <c r="M530" s="451">
        <f>'Rep Ovh Bal'!M18</f>
        <v>0</v>
      </c>
      <c r="N530" s="451">
        <f>'Rep Ovh Bal'!N18</f>
        <v>0</v>
      </c>
      <c r="O530" s="451">
        <f>'Rep Ovh Bal'!O18</f>
        <v>0</v>
      </c>
      <c r="P530" s="451">
        <f>'Rep Ovh Bal'!P18</f>
        <v>0</v>
      </c>
      <c r="Q530" s="451">
        <f>'Rep Ovh Bal'!Q18</f>
        <v>0</v>
      </c>
      <c r="R530" s="451">
        <f>'Rep Ovh Bal'!R18</f>
        <v>0</v>
      </c>
      <c r="S530" s="451">
        <f>'Rep Ovh Bal'!S18</f>
        <v>0</v>
      </c>
      <c r="T530" s="451">
        <f>'Rep Ovh Bal'!T18</f>
        <v>0</v>
      </c>
      <c r="U530" s="451">
        <f>'Rep Ovh Bal'!U18</f>
        <v>0</v>
      </c>
      <c r="V530" s="451">
        <f>'Rep Ovh Bal'!V18</f>
        <v>472</v>
      </c>
      <c r="W530" s="1062">
        <f>'Rep Ovh Bal'!W18</f>
        <v>472</v>
      </c>
      <c r="X530" s="451">
        <f>'Rep Ovh Bal'!X18</f>
        <v>0</v>
      </c>
      <c r="Y530" s="451">
        <f>'Rep Ovh Bal'!Y18</f>
        <v>0</v>
      </c>
      <c r="Z530" s="451">
        <f>'Rep Ovh Bal'!Z18</f>
        <v>0</v>
      </c>
      <c r="AA530" s="451">
        <f>'Rep Ovh Bal'!AA18</f>
        <v>0</v>
      </c>
      <c r="AB530" s="451">
        <f>'Rep Ovh Bal'!AB18</f>
        <v>0</v>
      </c>
      <c r="AC530" s="451">
        <f>'Rep Ovh Bal'!AC18</f>
        <v>0</v>
      </c>
      <c r="AD530" s="451">
        <f>'Rep Ovh Bal'!AD18</f>
        <v>0</v>
      </c>
      <c r="AE530" s="451">
        <f>'Rep Ovh Bal'!AE18</f>
        <v>0</v>
      </c>
      <c r="AF530" s="451">
        <f>'Rep Ovh Bal'!AF18</f>
        <v>0</v>
      </c>
      <c r="AG530" s="451">
        <f>'Rep Ovh Bal'!AG18</f>
        <v>0</v>
      </c>
      <c r="AH530" s="451">
        <f>'Rep Ovh Bal'!AH18</f>
        <v>404</v>
      </c>
      <c r="AI530" s="1062">
        <f>'Rep Ovh Bal'!AI18</f>
        <v>404</v>
      </c>
      <c r="AJ530" s="451">
        <f>'Rep Ovh Bal'!AJ18</f>
        <v>0</v>
      </c>
      <c r="AK530" s="451">
        <f>'Rep Ovh Bal'!AK18</f>
        <v>0</v>
      </c>
      <c r="AL530" s="451">
        <f>'Rep Ovh Bal'!AL18</f>
        <v>0</v>
      </c>
      <c r="AM530" s="451">
        <f>'Rep Ovh Bal'!AM18</f>
        <v>0</v>
      </c>
      <c r="AN530" s="451">
        <f>'Rep Ovh Bal'!AN18</f>
        <v>0</v>
      </c>
      <c r="AO530" s="451">
        <f>'Rep Ovh Bal'!AO18</f>
        <v>0</v>
      </c>
      <c r="AP530" s="451">
        <f>'Rep Ovh Bal'!AP18</f>
        <v>0</v>
      </c>
      <c r="AQ530" s="451">
        <f>'Rep Ovh Bal'!AQ18</f>
        <v>0</v>
      </c>
      <c r="AR530" s="451">
        <f>'Rep Ovh Bal'!AR18</f>
        <v>0</v>
      </c>
      <c r="AS530" s="451">
        <f>'Rep Ovh Bal'!AS18</f>
        <v>0</v>
      </c>
      <c r="AT530" s="451">
        <f>'Rep Ovh Bal'!AT18</f>
        <v>496</v>
      </c>
      <c r="AU530" s="1062">
        <f>'Rep Ovh Bal'!AU18</f>
        <v>496</v>
      </c>
      <c r="AV530" s="1063">
        <f>'Rep Ovh Bal'!AV18</f>
        <v>1372</v>
      </c>
      <c r="AW530" s="1068"/>
      <c r="AX530" s="1065">
        <f>'Rep Ovh Bal'!AW18</f>
        <v>1.96</v>
      </c>
      <c r="AY530" s="1062">
        <f>'Rep Ovh Bal'!AX18</f>
        <v>13.6416</v>
      </c>
      <c r="AZ530" s="1068"/>
      <c r="BA530" s="1068"/>
      <c r="BB530" s="1068"/>
      <c r="BC530" s="1068"/>
      <c r="BD530" s="1068"/>
      <c r="BE530" s="1068"/>
      <c r="BF530" s="1065" t="str">
        <f>'Rep Ovh Bal'!BE18</f>
        <v/>
      </c>
      <c r="BG530" s="451" t="str">
        <f>'Rep Ovh Bal'!BH18</f>
        <v/>
      </c>
      <c r="BH530" s="451" t="str">
        <f>'Rep Ovh Bal'!BI18</f>
        <v/>
      </c>
      <c r="BI530" s="451" t="str">
        <f>'Rep Ovh Bal'!BJ18</f>
        <v/>
      </c>
      <c r="BJ530" s="451" t="str">
        <f>'Rep Ovh Bal'!BK18</f>
        <v/>
      </c>
      <c r="BK530" s="1062">
        <f>'Rep Ovh Bal'!AY18</f>
        <v>6438.8352</v>
      </c>
      <c r="BL530" s="1069">
        <f>'Rep Ovh Bal'!AY18</f>
        <v>6438.8352</v>
      </c>
      <c r="BM530" s="1068"/>
      <c r="BN530" s="1068"/>
      <c r="BO530" s="1068"/>
      <c r="BP530" s="451" t="str">
        <f>'Rep Ovh Bal'!BQ18</f>
        <v/>
      </c>
      <c r="BQ530" s="451" t="str">
        <f>'Rep Ovh Bal'!BR18</f>
        <v/>
      </c>
      <c r="BR530" s="451" t="str">
        <f>'Rep Ovh Bal'!BS18</f>
        <v/>
      </c>
      <c r="BS530" s="451" t="str">
        <f>'Rep Ovh Bal'!BT18</f>
        <v/>
      </c>
      <c r="BT530" s="451" t="str">
        <f>'Rep Ovh Bal'!BU18</f>
        <v/>
      </c>
      <c r="BU530" s="451" t="str">
        <f>'Rep Ovh Bal'!BV18</f>
        <v/>
      </c>
      <c r="BV530" s="451" t="str">
        <f>'Rep Ovh Bal'!BW18</f>
        <v/>
      </c>
      <c r="BW530" s="1062">
        <f>'Rep Ovh Bal'!AZ18</f>
        <v>5511.2064</v>
      </c>
      <c r="BX530" s="1069">
        <f>'Rep Ovh Bal'!AZ18</f>
        <v>5511.2064</v>
      </c>
      <c r="BY530" s="1068"/>
      <c r="BZ530" s="1068"/>
      <c r="CA530" s="451" t="str">
        <f>'Rep Ovh Bal'!CB18</f>
        <v/>
      </c>
      <c r="CB530" s="451" t="str">
        <f>'Rep Ovh Bal'!CC18</f>
        <v/>
      </c>
      <c r="CC530" s="451" t="str">
        <f>'Rep Ovh Bal'!CD18</f>
        <v/>
      </c>
      <c r="CD530" s="451" t="str">
        <f>'Rep Ovh Bal'!CE18</f>
        <v/>
      </c>
      <c r="CE530" s="451" t="str">
        <f>'Rep Ovh Bal'!CF18</f>
        <v/>
      </c>
      <c r="CF530" s="451" t="str">
        <f>'Rep Ovh Bal'!CG18</f>
        <v/>
      </c>
      <c r="CG530" s="451" t="str">
        <f>'Rep Ovh Bal'!CH18</f>
        <v/>
      </c>
      <c r="CH530" s="451" t="str">
        <f>'Rep Ovh Bal'!CI18</f>
        <v/>
      </c>
      <c r="CI530" s="1062">
        <f>'Rep Ovh Bal'!BA18</f>
        <v>6766.2336</v>
      </c>
      <c r="CJ530" s="1062">
        <f>'Rep Ovh Bal'!BA18</f>
        <v>6766.2336</v>
      </c>
      <c r="CK530" s="1062">
        <f>'Rep Ovh Bal'!BB18</f>
        <v>18716.2752</v>
      </c>
      <c r="CL530" s="1064" t="str">
        <f>'Rep Ovh Bal'!BC18</f>
        <v/>
      </c>
      <c r="CM530" s="451" t="str">
        <f>'Rep Ovh Bal'!CN18</f>
        <v/>
      </c>
      <c r="CN530" s="1065" t="str">
        <f>'Rep Ovh Bal'!BE14</f>
        <v/>
      </c>
      <c r="CO530" s="1062" t="str">
        <f>'Rep Ovh Bal'!BF14</f>
        <v/>
      </c>
      <c r="CP530" s="1060" t="str">
        <f>'Rep Ovh Bal'!BG14</f>
        <v/>
      </c>
    </row>
    <row r="531">
      <c r="A531" s="451" t="str">
        <f>'Rep Ovh Bal'!A19</f>
        <v>Repuestos mantenimientos mayores para estaciones y torres</v>
      </c>
      <c r="B531" s="451">
        <f>'Rep Ovh Bal'!B19</f>
        <v>2</v>
      </c>
      <c r="C531" s="451" t="str">
        <f>'Rep Ovh Bal'!C19</f>
        <v>Torres</v>
      </c>
      <c r="D531" s="451" t="str">
        <f>'Rep Ovh Bal'!D19</f>
        <v>OVH balancines TRM</v>
      </c>
      <c r="E531" s="451" t="str">
        <f>'Rep Ovh Bal'!E19</f>
        <v>Repuesto Mecánico</v>
      </c>
      <c r="F531" s="451" t="str">
        <f>'Rep Ovh Bal'!F19</f>
        <v>TDB</v>
      </c>
      <c r="G531" s="1025" t="str">
        <f>'Rep Ovh Bal'!G19</f>
        <v>39800</v>
      </c>
      <c r="H531" s="1061" t="str">
        <f>'Rep Ovh Bal'!H19</f>
        <v>2-01-00406</v>
      </c>
      <c r="I531" s="1061" t="str">
        <f>'Rep Ovh Bal'!I19</f>
        <v>10075741</v>
      </c>
      <c r="J531" s="1061" t="str">
        <f>'Rep Ovh Bal'!J19</f>
        <v>ARANDELA DIST. DIÁ.51,5/14 E=12,5 P.POLEA C-C, ENSAYO FINAL</v>
      </c>
      <c r="K531" s="451" t="str">
        <f>'Rep Ovh Bal'!K19</f>
        <v>Pza</v>
      </c>
      <c r="L531" s="451">
        <f>'Rep Ovh Bal'!L19</f>
        <v>0</v>
      </c>
      <c r="M531" s="451">
        <f>'Rep Ovh Bal'!M19</f>
        <v>0</v>
      </c>
      <c r="N531" s="451">
        <f>'Rep Ovh Bal'!N19</f>
        <v>0</v>
      </c>
      <c r="O531" s="451">
        <f>'Rep Ovh Bal'!O19</f>
        <v>0</v>
      </c>
      <c r="P531" s="451">
        <f>'Rep Ovh Bal'!P19</f>
        <v>0</v>
      </c>
      <c r="Q531" s="451">
        <f>'Rep Ovh Bal'!Q19</f>
        <v>0</v>
      </c>
      <c r="R531" s="451">
        <f>'Rep Ovh Bal'!R19</f>
        <v>0</v>
      </c>
      <c r="S531" s="451">
        <f>'Rep Ovh Bal'!S19</f>
        <v>0</v>
      </c>
      <c r="T531" s="451">
        <f>'Rep Ovh Bal'!T19</f>
        <v>0</v>
      </c>
      <c r="U531" s="451">
        <f>'Rep Ovh Bal'!U19</f>
        <v>0</v>
      </c>
      <c r="V531" s="451">
        <f>'Rep Ovh Bal'!V19</f>
        <v>30</v>
      </c>
      <c r="W531" s="1062">
        <f>'Rep Ovh Bal'!W19</f>
        <v>30</v>
      </c>
      <c r="X531" s="451">
        <f>'Rep Ovh Bal'!X19</f>
        <v>0</v>
      </c>
      <c r="Y531" s="451">
        <f>'Rep Ovh Bal'!Y19</f>
        <v>0</v>
      </c>
      <c r="Z531" s="451">
        <f>'Rep Ovh Bal'!Z19</f>
        <v>0</v>
      </c>
      <c r="AA531" s="451">
        <f>'Rep Ovh Bal'!AA19</f>
        <v>0</v>
      </c>
      <c r="AB531" s="451">
        <f>'Rep Ovh Bal'!AB19</f>
        <v>0</v>
      </c>
      <c r="AC531" s="451">
        <f>'Rep Ovh Bal'!AC19</f>
        <v>0</v>
      </c>
      <c r="AD531" s="451">
        <f>'Rep Ovh Bal'!AD19</f>
        <v>0</v>
      </c>
      <c r="AE531" s="451">
        <f>'Rep Ovh Bal'!AE19</f>
        <v>0</v>
      </c>
      <c r="AF531" s="451">
        <f>'Rep Ovh Bal'!AF19</f>
        <v>0</v>
      </c>
      <c r="AG531" s="451">
        <f>'Rep Ovh Bal'!AG19</f>
        <v>0</v>
      </c>
      <c r="AH531" s="451">
        <f>'Rep Ovh Bal'!AH19</f>
        <v>0</v>
      </c>
      <c r="AI531" s="1062">
        <f>'Rep Ovh Bal'!AI19</f>
        <v>0</v>
      </c>
      <c r="AJ531" s="451">
        <f>'Rep Ovh Bal'!AJ19</f>
        <v>0</v>
      </c>
      <c r="AK531" s="451">
        <f>'Rep Ovh Bal'!AK19</f>
        <v>0</v>
      </c>
      <c r="AL531" s="451">
        <f>'Rep Ovh Bal'!AL19</f>
        <v>0</v>
      </c>
      <c r="AM531" s="451">
        <f>'Rep Ovh Bal'!AM19</f>
        <v>0</v>
      </c>
      <c r="AN531" s="451">
        <f>'Rep Ovh Bal'!AN19</f>
        <v>0</v>
      </c>
      <c r="AO531" s="451">
        <f>'Rep Ovh Bal'!AO19</f>
        <v>0</v>
      </c>
      <c r="AP531" s="451">
        <f>'Rep Ovh Bal'!AP19</f>
        <v>0</v>
      </c>
      <c r="AQ531" s="451">
        <f>'Rep Ovh Bal'!AQ19</f>
        <v>0</v>
      </c>
      <c r="AR531" s="451">
        <f>'Rep Ovh Bal'!AR19</f>
        <v>0</v>
      </c>
      <c r="AS531" s="451">
        <f>'Rep Ovh Bal'!AS19</f>
        <v>0</v>
      </c>
      <c r="AT531" s="451">
        <f>'Rep Ovh Bal'!AT19</f>
        <v>0</v>
      </c>
      <c r="AU531" s="1062">
        <f>'Rep Ovh Bal'!AU19</f>
        <v>0</v>
      </c>
      <c r="AV531" s="1063">
        <f>'Rep Ovh Bal'!AV19</f>
        <v>30</v>
      </c>
      <c r="AW531" s="1068"/>
      <c r="AX531" s="1065">
        <f>'Rep Ovh Bal'!AW19</f>
        <v>9.81</v>
      </c>
      <c r="AY531" s="1062">
        <f>'Rep Ovh Bal'!AX19</f>
        <v>68.2776</v>
      </c>
      <c r="AZ531" s="1068"/>
      <c r="BA531" s="1068"/>
      <c r="BB531" s="1068"/>
      <c r="BC531" s="1068"/>
      <c r="BD531" s="1068"/>
      <c r="BE531" s="1068"/>
      <c r="BF531" s="1065" t="str">
        <f>'Rep Ovh Bal'!BE19</f>
        <v/>
      </c>
      <c r="BG531" s="451" t="str">
        <f>'Rep Ovh Bal'!BH19</f>
        <v/>
      </c>
      <c r="BH531" s="451" t="str">
        <f>'Rep Ovh Bal'!BI19</f>
        <v/>
      </c>
      <c r="BI531" s="451" t="str">
        <f>'Rep Ovh Bal'!BJ19</f>
        <v/>
      </c>
      <c r="BJ531" s="451" t="str">
        <f>'Rep Ovh Bal'!BK19</f>
        <v/>
      </c>
      <c r="BK531" s="1062">
        <f>'Rep Ovh Bal'!AY19</f>
        <v>2048.328</v>
      </c>
      <c r="BL531" s="1069">
        <f>'Rep Ovh Bal'!AY19</f>
        <v>2048.328</v>
      </c>
      <c r="BM531" s="1068"/>
      <c r="BN531" s="1068"/>
      <c r="BO531" s="1068"/>
      <c r="BP531" s="451" t="str">
        <f>'Rep Ovh Bal'!BQ19</f>
        <v/>
      </c>
      <c r="BQ531" s="451" t="str">
        <f>'Rep Ovh Bal'!BR19</f>
        <v/>
      </c>
      <c r="BR531" s="451" t="str">
        <f>'Rep Ovh Bal'!BS19</f>
        <v/>
      </c>
      <c r="BS531" s="451" t="str">
        <f>'Rep Ovh Bal'!BT19</f>
        <v/>
      </c>
      <c r="BT531" s="451" t="str">
        <f>'Rep Ovh Bal'!BU19</f>
        <v/>
      </c>
      <c r="BU531" s="451" t="str">
        <f>'Rep Ovh Bal'!BV19</f>
        <v/>
      </c>
      <c r="BV531" s="451" t="str">
        <f>'Rep Ovh Bal'!BW19</f>
        <v/>
      </c>
      <c r="BW531" s="1062">
        <f>'Rep Ovh Bal'!AZ19</f>
        <v>0</v>
      </c>
      <c r="BX531" s="1069">
        <f>'Rep Ovh Bal'!AZ19</f>
        <v>0</v>
      </c>
      <c r="BY531" s="1068"/>
      <c r="BZ531" s="1068"/>
      <c r="CA531" s="451" t="str">
        <f>'Rep Ovh Bal'!CB19</f>
        <v/>
      </c>
      <c r="CB531" s="451" t="str">
        <f>'Rep Ovh Bal'!CC19</f>
        <v/>
      </c>
      <c r="CC531" s="451" t="str">
        <f>'Rep Ovh Bal'!CD19</f>
        <v/>
      </c>
      <c r="CD531" s="451" t="str">
        <f>'Rep Ovh Bal'!CE19</f>
        <v/>
      </c>
      <c r="CE531" s="451" t="str">
        <f>'Rep Ovh Bal'!CF19</f>
        <v/>
      </c>
      <c r="CF531" s="451" t="str">
        <f>'Rep Ovh Bal'!CG19</f>
        <v/>
      </c>
      <c r="CG531" s="451" t="str">
        <f>'Rep Ovh Bal'!CH19</f>
        <v/>
      </c>
      <c r="CH531" s="451" t="str">
        <f>'Rep Ovh Bal'!CI19</f>
        <v/>
      </c>
      <c r="CI531" s="1062">
        <f>'Rep Ovh Bal'!BA19</f>
        <v>0</v>
      </c>
      <c r="CJ531" s="1062">
        <f>'Rep Ovh Bal'!BA19</f>
        <v>0</v>
      </c>
      <c r="CK531" s="1062">
        <f>'Rep Ovh Bal'!BB19</f>
        <v>2048.328</v>
      </c>
      <c r="CL531" s="1064" t="str">
        <f>'Rep Ovh Bal'!BC19</f>
        <v/>
      </c>
      <c r="CM531" s="451" t="str">
        <f>'Rep Ovh Bal'!CN19</f>
        <v/>
      </c>
      <c r="CN531" s="1065" t="str">
        <f>'Rep Ovh Bal'!BE15</f>
        <v/>
      </c>
      <c r="CO531" s="1062" t="str">
        <f>'Rep Ovh Bal'!BF15</f>
        <v/>
      </c>
      <c r="CP531" s="1060" t="str">
        <f>'Rep Ovh Bal'!BG15</f>
        <v/>
      </c>
    </row>
    <row r="532">
      <c r="A532" s="451" t="str">
        <f>'Rep Ovh Bal'!A20</f>
        <v>Repuestos mantenimientos mayores para estaciones y torres</v>
      </c>
      <c r="B532" s="451">
        <f>'Rep Ovh Bal'!B20</f>
        <v>2</v>
      </c>
      <c r="C532" s="451" t="str">
        <f>'Rep Ovh Bal'!C20</f>
        <v>Torres</v>
      </c>
      <c r="D532" s="451" t="str">
        <f>'Rep Ovh Bal'!D20</f>
        <v>OVH balancines TRM</v>
      </c>
      <c r="E532" s="451" t="str">
        <f>'Rep Ovh Bal'!E20</f>
        <v>Repuesto Mecánico</v>
      </c>
      <c r="F532" s="451" t="str">
        <f>'Rep Ovh Bal'!F20</f>
        <v>TDB</v>
      </c>
      <c r="G532" s="1025" t="str">
        <f>'Rep Ovh Bal'!G20</f>
        <v>39800</v>
      </c>
      <c r="H532" s="1061" t="str">
        <f>'Rep Ovh Bal'!H20</f>
        <v>2-01-00289</v>
      </c>
      <c r="I532" s="1061" t="str">
        <f>'Rep Ovh Bal'!I20</f>
        <v>10083913</v>
      </c>
      <c r="J532" s="1061" t="str">
        <f>'Rep Ovh Bal'!J20</f>
        <v>CASQUILLO PM 3030 DS  TIPO: KW SIN AGUJ.DE ENGRASE    GLACIER</v>
      </c>
      <c r="K532" s="451" t="str">
        <f>'Rep Ovh Bal'!K20</f>
        <v>Pza</v>
      </c>
      <c r="L532" s="451">
        <f>'Rep Ovh Bal'!L20</f>
        <v>0</v>
      </c>
      <c r="M532" s="451">
        <f>'Rep Ovh Bal'!M20</f>
        <v>0</v>
      </c>
      <c r="N532" s="451">
        <f>'Rep Ovh Bal'!N20</f>
        <v>0</v>
      </c>
      <c r="O532" s="451">
        <f>'Rep Ovh Bal'!O20</f>
        <v>0</v>
      </c>
      <c r="P532" s="451">
        <f>'Rep Ovh Bal'!P20</f>
        <v>0</v>
      </c>
      <c r="Q532" s="451">
        <f>'Rep Ovh Bal'!Q20</f>
        <v>0</v>
      </c>
      <c r="R532" s="451">
        <f>'Rep Ovh Bal'!R20</f>
        <v>0</v>
      </c>
      <c r="S532" s="451">
        <f>'Rep Ovh Bal'!S20</f>
        <v>0</v>
      </c>
      <c r="T532" s="451">
        <f>'Rep Ovh Bal'!T20</f>
        <v>0</v>
      </c>
      <c r="U532" s="451">
        <f>'Rep Ovh Bal'!U20</f>
        <v>0</v>
      </c>
      <c r="V532" s="451">
        <f>'Rep Ovh Bal'!V20</f>
        <v>152</v>
      </c>
      <c r="W532" s="1062">
        <f>'Rep Ovh Bal'!W20</f>
        <v>152</v>
      </c>
      <c r="X532" s="451">
        <f>'Rep Ovh Bal'!X20</f>
        <v>0</v>
      </c>
      <c r="Y532" s="451">
        <f>'Rep Ovh Bal'!Y20</f>
        <v>0</v>
      </c>
      <c r="Z532" s="451">
        <f>'Rep Ovh Bal'!Z20</f>
        <v>0</v>
      </c>
      <c r="AA532" s="451">
        <f>'Rep Ovh Bal'!AA20</f>
        <v>0</v>
      </c>
      <c r="AB532" s="451">
        <f>'Rep Ovh Bal'!AB20</f>
        <v>0</v>
      </c>
      <c r="AC532" s="451">
        <f>'Rep Ovh Bal'!AC20</f>
        <v>0</v>
      </c>
      <c r="AD532" s="451">
        <f>'Rep Ovh Bal'!AD20</f>
        <v>0</v>
      </c>
      <c r="AE532" s="451">
        <f>'Rep Ovh Bal'!AE20</f>
        <v>0</v>
      </c>
      <c r="AF532" s="451">
        <f>'Rep Ovh Bal'!AF20</f>
        <v>0</v>
      </c>
      <c r="AG532" s="451">
        <f>'Rep Ovh Bal'!AG20</f>
        <v>0</v>
      </c>
      <c r="AH532" s="451">
        <f>'Rep Ovh Bal'!AH20</f>
        <v>24</v>
      </c>
      <c r="AI532" s="1062">
        <f>'Rep Ovh Bal'!AI20</f>
        <v>24</v>
      </c>
      <c r="AJ532" s="451">
        <f>'Rep Ovh Bal'!AJ20</f>
        <v>0</v>
      </c>
      <c r="AK532" s="451">
        <f>'Rep Ovh Bal'!AK20</f>
        <v>0</v>
      </c>
      <c r="AL532" s="451">
        <f>'Rep Ovh Bal'!AL20</f>
        <v>0</v>
      </c>
      <c r="AM532" s="451">
        <f>'Rep Ovh Bal'!AM20</f>
        <v>0</v>
      </c>
      <c r="AN532" s="451">
        <f>'Rep Ovh Bal'!AN20</f>
        <v>0</v>
      </c>
      <c r="AO532" s="451">
        <f>'Rep Ovh Bal'!AO20</f>
        <v>0</v>
      </c>
      <c r="AP532" s="451">
        <f>'Rep Ovh Bal'!AP20</f>
        <v>0</v>
      </c>
      <c r="AQ532" s="451">
        <f>'Rep Ovh Bal'!AQ20</f>
        <v>0</v>
      </c>
      <c r="AR532" s="451">
        <f>'Rep Ovh Bal'!AR20</f>
        <v>0</v>
      </c>
      <c r="AS532" s="451">
        <f>'Rep Ovh Bal'!AS20</f>
        <v>0</v>
      </c>
      <c r="AT532" s="451">
        <f>'Rep Ovh Bal'!AT20</f>
        <v>80</v>
      </c>
      <c r="AU532" s="1062">
        <f>'Rep Ovh Bal'!AU20</f>
        <v>80</v>
      </c>
      <c r="AV532" s="1063">
        <f>'Rep Ovh Bal'!AV20</f>
        <v>256</v>
      </c>
      <c r="AW532" s="1068"/>
      <c r="AX532" s="1065">
        <f>'Rep Ovh Bal'!AW20</f>
        <v>8.11</v>
      </c>
      <c r="AY532" s="1062">
        <f>'Rep Ovh Bal'!AX20</f>
        <v>56.4456</v>
      </c>
      <c r="AZ532" s="1068"/>
      <c r="BA532" s="1068"/>
      <c r="BB532" s="1068"/>
      <c r="BC532" s="1068"/>
      <c r="BD532" s="1068"/>
      <c r="BE532" s="1068"/>
      <c r="BF532" s="1065" t="str">
        <f>'Rep Ovh Bal'!BE20</f>
        <v/>
      </c>
      <c r="BG532" s="451" t="str">
        <f>'Rep Ovh Bal'!BH20</f>
        <v/>
      </c>
      <c r="BH532" s="451" t="str">
        <f>'Rep Ovh Bal'!BI20</f>
        <v/>
      </c>
      <c r="BI532" s="451" t="str">
        <f>'Rep Ovh Bal'!BJ20</f>
        <v/>
      </c>
      <c r="BJ532" s="451" t="str">
        <f>'Rep Ovh Bal'!BK20</f>
        <v/>
      </c>
      <c r="BK532" s="1062">
        <f>'Rep Ovh Bal'!AY20</f>
        <v>8579.7312</v>
      </c>
      <c r="BL532" s="1069">
        <f>'Rep Ovh Bal'!AY20</f>
        <v>8579.7312</v>
      </c>
      <c r="BM532" s="1068"/>
      <c r="BN532" s="1068"/>
      <c r="BO532" s="1068"/>
      <c r="BP532" s="451" t="str">
        <f>'Rep Ovh Bal'!BQ20</f>
        <v/>
      </c>
      <c r="BQ532" s="451" t="str">
        <f>'Rep Ovh Bal'!BR20</f>
        <v/>
      </c>
      <c r="BR532" s="451" t="str">
        <f>'Rep Ovh Bal'!BS20</f>
        <v/>
      </c>
      <c r="BS532" s="451" t="str">
        <f>'Rep Ovh Bal'!BT20</f>
        <v/>
      </c>
      <c r="BT532" s="451" t="str">
        <f>'Rep Ovh Bal'!BU20</f>
        <v/>
      </c>
      <c r="BU532" s="451" t="str">
        <f>'Rep Ovh Bal'!BV20</f>
        <v/>
      </c>
      <c r="BV532" s="451" t="str">
        <f>'Rep Ovh Bal'!BW20</f>
        <v/>
      </c>
      <c r="BW532" s="1062">
        <f>'Rep Ovh Bal'!AZ20</f>
        <v>1354.6944</v>
      </c>
      <c r="BX532" s="1069">
        <f>'Rep Ovh Bal'!AZ20</f>
        <v>1354.6944</v>
      </c>
      <c r="BY532" s="1068"/>
      <c r="BZ532" s="1068"/>
      <c r="CA532" s="451" t="str">
        <f>'Rep Ovh Bal'!CB20</f>
        <v/>
      </c>
      <c r="CB532" s="451" t="str">
        <f>'Rep Ovh Bal'!CC20</f>
        <v/>
      </c>
      <c r="CC532" s="451" t="str">
        <f>'Rep Ovh Bal'!CD20</f>
        <v/>
      </c>
      <c r="CD532" s="451" t="str">
        <f>'Rep Ovh Bal'!CE20</f>
        <v/>
      </c>
      <c r="CE532" s="451" t="str">
        <f>'Rep Ovh Bal'!CF20</f>
        <v/>
      </c>
      <c r="CF532" s="451" t="str">
        <f>'Rep Ovh Bal'!CG20</f>
        <v/>
      </c>
      <c r="CG532" s="451" t="str">
        <f>'Rep Ovh Bal'!CH20</f>
        <v/>
      </c>
      <c r="CH532" s="451" t="str">
        <f>'Rep Ovh Bal'!CI20</f>
        <v/>
      </c>
      <c r="CI532" s="1062">
        <f>'Rep Ovh Bal'!BA20</f>
        <v>4515.648</v>
      </c>
      <c r="CJ532" s="1062">
        <f>'Rep Ovh Bal'!BA20</f>
        <v>4515.648</v>
      </c>
      <c r="CK532" s="1062">
        <f>'Rep Ovh Bal'!BB20</f>
        <v>14450.0736</v>
      </c>
      <c r="CL532" s="1064" t="str">
        <f>'Rep Ovh Bal'!BC20</f>
        <v/>
      </c>
      <c r="CM532" s="451" t="str">
        <f>'Rep Ovh Bal'!CN20</f>
        <v/>
      </c>
      <c r="CN532" s="1065" t="str">
        <f>'Rep Ovh Bal'!BE16</f>
        <v/>
      </c>
      <c r="CO532" s="1062" t="str">
        <f>'Rep Ovh Bal'!BF16</f>
        <v/>
      </c>
      <c r="CP532" s="1060" t="str">
        <f>'Rep Ovh Bal'!BG16</f>
        <v/>
      </c>
    </row>
    <row r="533">
      <c r="A533" s="451" t="str">
        <f>'Rep Ovh Bal'!A21</f>
        <v>Repuestos mantenimientos mayores para estaciones y torres</v>
      </c>
      <c r="B533" s="451">
        <f>'Rep Ovh Bal'!B21</f>
        <v>2</v>
      </c>
      <c r="C533" s="451" t="str">
        <f>'Rep Ovh Bal'!C21</f>
        <v>Torres</v>
      </c>
      <c r="D533" s="451" t="str">
        <f>'Rep Ovh Bal'!D21</f>
        <v>OVH balancines TRM</v>
      </c>
      <c r="E533" s="451" t="str">
        <f>'Rep Ovh Bal'!E21</f>
        <v>Repuesto Mecánico</v>
      </c>
      <c r="F533" s="451" t="str">
        <f>'Rep Ovh Bal'!F21</f>
        <v>TDB</v>
      </c>
      <c r="G533" s="1025" t="str">
        <f>'Rep Ovh Bal'!G21</f>
        <v>39800</v>
      </c>
      <c r="H533" s="1061" t="str">
        <f>'Rep Ovh Bal'!H21</f>
        <v>2-01-00299</v>
      </c>
      <c r="I533" s="1061" t="str">
        <f>'Rep Ovh Bal'!I21</f>
        <v>10083926</v>
      </c>
      <c r="J533" s="1061" t="str">
        <f>'Rep Ovh Bal'!J21</f>
        <v>CASQUILLO PM 6040 DS   TIPO KW SIN AGUJ.DE ENGRASE    GLACIER</v>
      </c>
      <c r="K533" s="451" t="str">
        <f>'Rep Ovh Bal'!K21</f>
        <v>Pza</v>
      </c>
      <c r="L533" s="451">
        <f>'Rep Ovh Bal'!L21</f>
        <v>0</v>
      </c>
      <c r="M533" s="451">
        <f>'Rep Ovh Bal'!M21</f>
        <v>0</v>
      </c>
      <c r="N533" s="451">
        <f>'Rep Ovh Bal'!N21</f>
        <v>0</v>
      </c>
      <c r="O533" s="451">
        <f>'Rep Ovh Bal'!O21</f>
        <v>0</v>
      </c>
      <c r="P533" s="451">
        <f>'Rep Ovh Bal'!P21</f>
        <v>0</v>
      </c>
      <c r="Q533" s="451">
        <f>'Rep Ovh Bal'!Q21</f>
        <v>0</v>
      </c>
      <c r="R533" s="451">
        <f>'Rep Ovh Bal'!R21</f>
        <v>0</v>
      </c>
      <c r="S533" s="451">
        <f>'Rep Ovh Bal'!S21</f>
        <v>0</v>
      </c>
      <c r="T533" s="451">
        <f>'Rep Ovh Bal'!T21</f>
        <v>0</v>
      </c>
      <c r="U533" s="451">
        <f>'Rep Ovh Bal'!U21</f>
        <v>0</v>
      </c>
      <c r="V533" s="451">
        <f>'Rep Ovh Bal'!V21</f>
        <v>480</v>
      </c>
      <c r="W533" s="1062">
        <f>'Rep Ovh Bal'!W21</f>
        <v>480</v>
      </c>
      <c r="X533" s="451">
        <f>'Rep Ovh Bal'!X21</f>
        <v>0</v>
      </c>
      <c r="Y533" s="451">
        <f>'Rep Ovh Bal'!Y21</f>
        <v>0</v>
      </c>
      <c r="Z533" s="451">
        <f>'Rep Ovh Bal'!Z21</f>
        <v>0</v>
      </c>
      <c r="AA533" s="451">
        <f>'Rep Ovh Bal'!AA21</f>
        <v>0</v>
      </c>
      <c r="AB533" s="451">
        <f>'Rep Ovh Bal'!AB21</f>
        <v>0</v>
      </c>
      <c r="AC533" s="451">
        <f>'Rep Ovh Bal'!AC21</f>
        <v>0</v>
      </c>
      <c r="AD533" s="451">
        <f>'Rep Ovh Bal'!AD21</f>
        <v>0</v>
      </c>
      <c r="AE533" s="451">
        <f>'Rep Ovh Bal'!AE21</f>
        <v>0</v>
      </c>
      <c r="AF533" s="451">
        <f>'Rep Ovh Bal'!AF21</f>
        <v>0</v>
      </c>
      <c r="AG533" s="451">
        <f>'Rep Ovh Bal'!AG21</f>
        <v>0</v>
      </c>
      <c r="AH533" s="451">
        <f>'Rep Ovh Bal'!AH21</f>
        <v>616</v>
      </c>
      <c r="AI533" s="1062">
        <f>'Rep Ovh Bal'!AI21</f>
        <v>616</v>
      </c>
      <c r="AJ533" s="451">
        <f>'Rep Ovh Bal'!AJ21</f>
        <v>0</v>
      </c>
      <c r="AK533" s="451">
        <f>'Rep Ovh Bal'!AK21</f>
        <v>0</v>
      </c>
      <c r="AL533" s="451">
        <f>'Rep Ovh Bal'!AL21</f>
        <v>0</v>
      </c>
      <c r="AM533" s="451">
        <f>'Rep Ovh Bal'!AM21</f>
        <v>0</v>
      </c>
      <c r="AN533" s="451">
        <f>'Rep Ovh Bal'!AN21</f>
        <v>0</v>
      </c>
      <c r="AO533" s="451">
        <f>'Rep Ovh Bal'!AO21</f>
        <v>0</v>
      </c>
      <c r="AP533" s="451">
        <f>'Rep Ovh Bal'!AP21</f>
        <v>0</v>
      </c>
      <c r="AQ533" s="451">
        <f>'Rep Ovh Bal'!AQ21</f>
        <v>0</v>
      </c>
      <c r="AR533" s="451">
        <f>'Rep Ovh Bal'!AR21</f>
        <v>0</v>
      </c>
      <c r="AS533" s="451">
        <f>'Rep Ovh Bal'!AS21</f>
        <v>0</v>
      </c>
      <c r="AT533" s="451">
        <f>'Rep Ovh Bal'!AT21</f>
        <v>552</v>
      </c>
      <c r="AU533" s="1062">
        <f>'Rep Ovh Bal'!AU21</f>
        <v>552</v>
      </c>
      <c r="AV533" s="1063">
        <f>'Rep Ovh Bal'!AV21</f>
        <v>1648</v>
      </c>
      <c r="AW533" s="1068"/>
      <c r="AX533" s="1065">
        <f>'Rep Ovh Bal'!AW21</f>
        <v>17.54</v>
      </c>
      <c r="AY533" s="1062">
        <f>'Rep Ovh Bal'!AX21</f>
        <v>122.0784</v>
      </c>
      <c r="AZ533" s="1068"/>
      <c r="BA533" s="1068"/>
      <c r="BB533" s="1068"/>
      <c r="BC533" s="1068"/>
      <c r="BD533" s="1068"/>
      <c r="BE533" s="1068"/>
      <c r="BF533" s="1065" t="str">
        <f>'Rep Ovh Bal'!BE21</f>
        <v/>
      </c>
      <c r="BG533" s="451" t="str">
        <f>'Rep Ovh Bal'!BH21</f>
        <v/>
      </c>
      <c r="BH533" s="451" t="str">
        <f>'Rep Ovh Bal'!BI21</f>
        <v/>
      </c>
      <c r="BI533" s="451" t="str">
        <f>'Rep Ovh Bal'!BJ21</f>
        <v/>
      </c>
      <c r="BJ533" s="451" t="str">
        <f>'Rep Ovh Bal'!BK21</f>
        <v/>
      </c>
      <c r="BK533" s="1062">
        <f>'Rep Ovh Bal'!AY21</f>
        <v>58597.632</v>
      </c>
      <c r="BL533" s="1069">
        <f>'Rep Ovh Bal'!AY21</f>
        <v>58597.632</v>
      </c>
      <c r="BM533" s="1068"/>
      <c r="BN533" s="1068"/>
      <c r="BO533" s="1068"/>
      <c r="BP533" s="451" t="str">
        <f>'Rep Ovh Bal'!BQ21</f>
        <v/>
      </c>
      <c r="BQ533" s="451" t="str">
        <f>'Rep Ovh Bal'!BR21</f>
        <v/>
      </c>
      <c r="BR533" s="451" t="str">
        <f>'Rep Ovh Bal'!BS21</f>
        <v/>
      </c>
      <c r="BS533" s="451" t="str">
        <f>'Rep Ovh Bal'!BT21</f>
        <v/>
      </c>
      <c r="BT533" s="451" t="str">
        <f>'Rep Ovh Bal'!BU21</f>
        <v/>
      </c>
      <c r="BU533" s="451" t="str">
        <f>'Rep Ovh Bal'!BV21</f>
        <v/>
      </c>
      <c r="BV533" s="451" t="str">
        <f>'Rep Ovh Bal'!BW21</f>
        <v/>
      </c>
      <c r="BW533" s="1062">
        <f>'Rep Ovh Bal'!AZ21</f>
        <v>75200.2944</v>
      </c>
      <c r="BX533" s="1069">
        <f>'Rep Ovh Bal'!AZ21</f>
        <v>75200.2944</v>
      </c>
      <c r="BY533" s="1068"/>
      <c r="BZ533" s="1068"/>
      <c r="CA533" s="451" t="str">
        <f>'Rep Ovh Bal'!CB21</f>
        <v/>
      </c>
      <c r="CB533" s="451" t="str">
        <f>'Rep Ovh Bal'!CC21</f>
        <v/>
      </c>
      <c r="CC533" s="451" t="str">
        <f>'Rep Ovh Bal'!CD21</f>
        <v/>
      </c>
      <c r="CD533" s="451" t="str">
        <f>'Rep Ovh Bal'!CE21</f>
        <v/>
      </c>
      <c r="CE533" s="451" t="str">
        <f>'Rep Ovh Bal'!CF21</f>
        <v/>
      </c>
      <c r="CF533" s="451" t="str">
        <f>'Rep Ovh Bal'!CG21</f>
        <v/>
      </c>
      <c r="CG533" s="451" t="str">
        <f>'Rep Ovh Bal'!CH21</f>
        <v/>
      </c>
      <c r="CH533" s="451" t="str">
        <f>'Rep Ovh Bal'!CI21</f>
        <v/>
      </c>
      <c r="CI533" s="1062">
        <f>'Rep Ovh Bal'!BA21</f>
        <v>67387.2768</v>
      </c>
      <c r="CJ533" s="1062">
        <f>'Rep Ovh Bal'!BA21</f>
        <v>67387.2768</v>
      </c>
      <c r="CK533" s="1062">
        <f>'Rep Ovh Bal'!BB21</f>
        <v>201185.2032</v>
      </c>
      <c r="CL533" s="1064" t="str">
        <f>'Rep Ovh Bal'!BC21</f>
        <v/>
      </c>
      <c r="CM533" s="451" t="str">
        <f>'Rep Ovh Bal'!CN21</f>
        <v/>
      </c>
      <c r="CN533" s="1065" t="str">
        <f>'Rep Ovh Bal'!BE17</f>
        <v/>
      </c>
      <c r="CO533" s="1062" t="str">
        <f>'Rep Ovh Bal'!BF17</f>
        <v/>
      </c>
      <c r="CP533" s="1060" t="str">
        <f>'Rep Ovh Bal'!BG17</f>
        <v/>
      </c>
    </row>
    <row r="534">
      <c r="A534" s="451" t="str">
        <f>'Rep Ovh Bal'!A22</f>
        <v>Repuestos mantenimientos mayores para estaciones y torres</v>
      </c>
      <c r="B534" s="451">
        <f>'Rep Ovh Bal'!B22</f>
        <v>2</v>
      </c>
      <c r="C534" s="451" t="str">
        <f>'Rep Ovh Bal'!C22</f>
        <v>Torres</v>
      </c>
      <c r="D534" s="451" t="str">
        <f>'Rep Ovh Bal'!D22</f>
        <v>OVH balancines TRM</v>
      </c>
      <c r="E534" s="451" t="str">
        <f>'Rep Ovh Bal'!E22</f>
        <v>Repuesto Mecánico</v>
      </c>
      <c r="F534" s="451" t="str">
        <f>'Rep Ovh Bal'!F22</f>
        <v>TDB</v>
      </c>
      <c r="G534" s="1025" t="str">
        <f>'Rep Ovh Bal'!G22</f>
        <v>39800</v>
      </c>
      <c r="H534" s="1061" t="str">
        <f>'Rep Ovh Bal'!H22</f>
        <v>2-01-00490</v>
      </c>
      <c r="I534" s="1061" t="str">
        <f>'Rep Ovh Bal'!I22</f>
        <v>10083934</v>
      </c>
      <c r="J534" s="1061" t="str">
        <f>'Rep Ovh Bal'!J22</f>
        <v>CASQUILLO PM 90100 DS  TIPO KW SIN AGUJ.DE ENGRASE    GLACIER</v>
      </c>
      <c r="K534" s="451" t="str">
        <f>'Rep Ovh Bal'!K22</f>
        <v>Pza</v>
      </c>
      <c r="L534" s="451">
        <f>'Rep Ovh Bal'!L22</f>
        <v>0</v>
      </c>
      <c r="M534" s="451">
        <f>'Rep Ovh Bal'!M22</f>
        <v>0</v>
      </c>
      <c r="N534" s="451">
        <f>'Rep Ovh Bal'!N22</f>
        <v>0</v>
      </c>
      <c r="O534" s="451">
        <f>'Rep Ovh Bal'!O22</f>
        <v>0</v>
      </c>
      <c r="P534" s="451">
        <f>'Rep Ovh Bal'!P22</f>
        <v>0</v>
      </c>
      <c r="Q534" s="451">
        <f>'Rep Ovh Bal'!Q22</f>
        <v>0</v>
      </c>
      <c r="R534" s="451">
        <f>'Rep Ovh Bal'!R22</f>
        <v>0</v>
      </c>
      <c r="S534" s="451">
        <f>'Rep Ovh Bal'!S22</f>
        <v>0</v>
      </c>
      <c r="T534" s="451">
        <f>'Rep Ovh Bal'!T22</f>
        <v>0</v>
      </c>
      <c r="U534" s="451">
        <f>'Rep Ovh Bal'!U22</f>
        <v>0</v>
      </c>
      <c r="V534" s="451">
        <f>'Rep Ovh Bal'!V22</f>
        <v>76</v>
      </c>
      <c r="W534" s="1062">
        <f>'Rep Ovh Bal'!W22</f>
        <v>76</v>
      </c>
      <c r="X534" s="451">
        <f>'Rep Ovh Bal'!X22</f>
        <v>0</v>
      </c>
      <c r="Y534" s="451">
        <f>'Rep Ovh Bal'!Y22</f>
        <v>0</v>
      </c>
      <c r="Z534" s="451">
        <f>'Rep Ovh Bal'!Z22</f>
        <v>0</v>
      </c>
      <c r="AA534" s="451">
        <f>'Rep Ovh Bal'!AA22</f>
        <v>0</v>
      </c>
      <c r="AB534" s="451">
        <f>'Rep Ovh Bal'!AB22</f>
        <v>0</v>
      </c>
      <c r="AC534" s="451">
        <f>'Rep Ovh Bal'!AC22</f>
        <v>0</v>
      </c>
      <c r="AD534" s="451">
        <f>'Rep Ovh Bal'!AD22</f>
        <v>0</v>
      </c>
      <c r="AE534" s="451">
        <f>'Rep Ovh Bal'!AE22</f>
        <v>0</v>
      </c>
      <c r="AF534" s="451">
        <f>'Rep Ovh Bal'!AF22</f>
        <v>0</v>
      </c>
      <c r="AG534" s="451">
        <f>'Rep Ovh Bal'!AG22</f>
        <v>0</v>
      </c>
      <c r="AH534" s="451">
        <f>'Rep Ovh Bal'!AH22</f>
        <v>82</v>
      </c>
      <c r="AI534" s="1062">
        <f>'Rep Ovh Bal'!AI22</f>
        <v>82</v>
      </c>
      <c r="AJ534" s="451">
        <f>'Rep Ovh Bal'!AJ22</f>
        <v>0</v>
      </c>
      <c r="AK534" s="451">
        <f>'Rep Ovh Bal'!AK22</f>
        <v>0</v>
      </c>
      <c r="AL534" s="451">
        <f>'Rep Ovh Bal'!AL22</f>
        <v>0</v>
      </c>
      <c r="AM534" s="451">
        <f>'Rep Ovh Bal'!AM22</f>
        <v>0</v>
      </c>
      <c r="AN534" s="451">
        <f>'Rep Ovh Bal'!AN22</f>
        <v>0</v>
      </c>
      <c r="AO534" s="451">
        <f>'Rep Ovh Bal'!AO22</f>
        <v>0</v>
      </c>
      <c r="AP534" s="451">
        <f>'Rep Ovh Bal'!AP22</f>
        <v>0</v>
      </c>
      <c r="AQ534" s="451">
        <f>'Rep Ovh Bal'!AQ22</f>
        <v>0</v>
      </c>
      <c r="AR534" s="451">
        <f>'Rep Ovh Bal'!AR22</f>
        <v>0</v>
      </c>
      <c r="AS534" s="451">
        <f>'Rep Ovh Bal'!AS22</f>
        <v>0</v>
      </c>
      <c r="AT534" s="451">
        <f>'Rep Ovh Bal'!AT22</f>
        <v>48</v>
      </c>
      <c r="AU534" s="1062">
        <f>'Rep Ovh Bal'!AU22</f>
        <v>48</v>
      </c>
      <c r="AV534" s="1063">
        <f>'Rep Ovh Bal'!AV22</f>
        <v>206</v>
      </c>
      <c r="AW534" s="1068"/>
      <c r="AX534" s="1065">
        <f>'Rep Ovh Bal'!AW22</f>
        <v>153.06</v>
      </c>
      <c r="AY534" s="1062">
        <f>'Rep Ovh Bal'!AX22</f>
        <v>1065.2976</v>
      </c>
      <c r="AZ534" s="1068"/>
      <c r="BA534" s="1068"/>
      <c r="BB534" s="1068"/>
      <c r="BC534" s="1068"/>
      <c r="BD534" s="1068"/>
      <c r="BE534" s="1068"/>
      <c r="BF534" s="1065" t="str">
        <f>'Rep Ovh Bal'!BE22</f>
        <v/>
      </c>
      <c r="BG534" s="451" t="str">
        <f>'Rep Ovh Bal'!BH22</f>
        <v/>
      </c>
      <c r="BH534" s="451" t="str">
        <f>'Rep Ovh Bal'!BI22</f>
        <v/>
      </c>
      <c r="BI534" s="451" t="str">
        <f>'Rep Ovh Bal'!BJ22</f>
        <v/>
      </c>
      <c r="BJ534" s="451" t="str">
        <f>'Rep Ovh Bal'!BK22</f>
        <v/>
      </c>
      <c r="BK534" s="1062">
        <f>'Rep Ovh Bal'!AY22</f>
        <v>80962.6176</v>
      </c>
      <c r="BL534" s="1069">
        <f>'Rep Ovh Bal'!AY22</f>
        <v>80962.6176</v>
      </c>
      <c r="BM534" s="1068"/>
      <c r="BN534" s="1068"/>
      <c r="BO534" s="1068"/>
      <c r="BP534" s="451" t="str">
        <f>'Rep Ovh Bal'!BQ22</f>
        <v/>
      </c>
      <c r="BQ534" s="451" t="str">
        <f>'Rep Ovh Bal'!BR22</f>
        <v/>
      </c>
      <c r="BR534" s="451" t="str">
        <f>'Rep Ovh Bal'!BS22</f>
        <v/>
      </c>
      <c r="BS534" s="451" t="str">
        <f>'Rep Ovh Bal'!BT22</f>
        <v/>
      </c>
      <c r="BT534" s="451" t="str">
        <f>'Rep Ovh Bal'!BU22</f>
        <v/>
      </c>
      <c r="BU534" s="451" t="str">
        <f>'Rep Ovh Bal'!BV22</f>
        <v/>
      </c>
      <c r="BV534" s="451" t="str">
        <f>'Rep Ovh Bal'!BW22</f>
        <v/>
      </c>
      <c r="BW534" s="1062">
        <f>'Rep Ovh Bal'!AZ22</f>
        <v>87354.4032</v>
      </c>
      <c r="BX534" s="1069">
        <f>'Rep Ovh Bal'!AZ22</f>
        <v>87354.4032</v>
      </c>
      <c r="BY534" s="1068"/>
      <c r="BZ534" s="1068"/>
      <c r="CA534" s="451" t="str">
        <f>'Rep Ovh Bal'!CB22</f>
        <v/>
      </c>
      <c r="CB534" s="451" t="str">
        <f>'Rep Ovh Bal'!CC22</f>
        <v/>
      </c>
      <c r="CC534" s="451" t="str">
        <f>'Rep Ovh Bal'!CD22</f>
        <v/>
      </c>
      <c r="CD534" s="451" t="str">
        <f>'Rep Ovh Bal'!CE22</f>
        <v/>
      </c>
      <c r="CE534" s="451" t="str">
        <f>'Rep Ovh Bal'!CF22</f>
        <v/>
      </c>
      <c r="CF534" s="451" t="str">
        <f>'Rep Ovh Bal'!CG22</f>
        <v/>
      </c>
      <c r="CG534" s="451" t="str">
        <f>'Rep Ovh Bal'!CH22</f>
        <v/>
      </c>
      <c r="CH534" s="451" t="str">
        <f>'Rep Ovh Bal'!CI22</f>
        <v/>
      </c>
      <c r="CI534" s="1062">
        <f>'Rep Ovh Bal'!BA22</f>
        <v>51134.2848</v>
      </c>
      <c r="CJ534" s="1062">
        <f>'Rep Ovh Bal'!BA22</f>
        <v>51134.2848</v>
      </c>
      <c r="CK534" s="1062">
        <f>'Rep Ovh Bal'!BB22</f>
        <v>219451.3056</v>
      </c>
      <c r="CL534" s="1064" t="str">
        <f>'Rep Ovh Bal'!BC22</f>
        <v/>
      </c>
      <c r="CM534" s="451" t="str">
        <f>'Rep Ovh Bal'!CN22</f>
        <v/>
      </c>
      <c r="CN534" s="1065" t="str">
        <f>'Rep Ovh Bal'!BE18</f>
        <v/>
      </c>
      <c r="CO534" s="1062" t="str">
        <f>'Rep Ovh Bal'!BF18</f>
        <v/>
      </c>
      <c r="CP534" s="1060" t="str">
        <f>'Rep Ovh Bal'!BG18</f>
        <v/>
      </c>
    </row>
    <row r="535">
      <c r="A535" s="451" t="str">
        <f>'Rep Ovh Bal'!A23</f>
        <v>Repuestos mantenimientos mayores para estaciones y torres</v>
      </c>
      <c r="B535" s="451">
        <f>'Rep Ovh Bal'!B23</f>
        <v>2</v>
      </c>
      <c r="C535" s="451" t="str">
        <f>'Rep Ovh Bal'!C23</f>
        <v>Torres</v>
      </c>
      <c r="D535" s="451" t="str">
        <f>'Rep Ovh Bal'!D23</f>
        <v>OVH balancines TRM</v>
      </c>
      <c r="E535" s="451" t="str">
        <f>'Rep Ovh Bal'!E23</f>
        <v>Repuesto Mecánico</v>
      </c>
      <c r="F535" s="451" t="str">
        <f>'Rep Ovh Bal'!F23</f>
        <v>TDB</v>
      </c>
      <c r="G535" s="1025" t="str">
        <f>'Rep Ovh Bal'!G23</f>
        <v>39800</v>
      </c>
      <c r="H535" s="1061" t="str">
        <f>'Rep Ovh Bal'!H23</f>
        <v>2-01-00491</v>
      </c>
      <c r="I535" s="1061" t="str">
        <f>'Rep Ovh Bal'!I23</f>
        <v>10083935</v>
      </c>
      <c r="J535" s="1061" t="str">
        <f>'Rep Ovh Bal'!J23</f>
        <v>CASQUILLO PM 100115 DS TIPO KW SIN AGUJ.DE ENGRASE    GLACIER</v>
      </c>
      <c r="K535" s="451" t="str">
        <f>'Rep Ovh Bal'!K23</f>
        <v>Pza</v>
      </c>
      <c r="L535" s="451">
        <f>'Rep Ovh Bal'!L23</f>
        <v>0</v>
      </c>
      <c r="M535" s="451">
        <f>'Rep Ovh Bal'!M23</f>
        <v>0</v>
      </c>
      <c r="N535" s="451">
        <f>'Rep Ovh Bal'!N23</f>
        <v>0</v>
      </c>
      <c r="O535" s="451">
        <f>'Rep Ovh Bal'!O23</f>
        <v>0</v>
      </c>
      <c r="P535" s="451">
        <f>'Rep Ovh Bal'!P23</f>
        <v>0</v>
      </c>
      <c r="Q535" s="451">
        <f>'Rep Ovh Bal'!Q23</f>
        <v>0</v>
      </c>
      <c r="R535" s="451">
        <f>'Rep Ovh Bal'!R23</f>
        <v>0</v>
      </c>
      <c r="S535" s="451">
        <f>'Rep Ovh Bal'!S23</f>
        <v>0</v>
      </c>
      <c r="T535" s="451">
        <f>'Rep Ovh Bal'!T23</f>
        <v>0</v>
      </c>
      <c r="U535" s="451">
        <f>'Rep Ovh Bal'!U23</f>
        <v>0</v>
      </c>
      <c r="V535" s="451">
        <f>'Rep Ovh Bal'!V23</f>
        <v>96</v>
      </c>
      <c r="W535" s="1062">
        <f>'Rep Ovh Bal'!W23</f>
        <v>96</v>
      </c>
      <c r="X535" s="451">
        <f>'Rep Ovh Bal'!X23</f>
        <v>0</v>
      </c>
      <c r="Y535" s="451">
        <f>'Rep Ovh Bal'!Y23</f>
        <v>0</v>
      </c>
      <c r="Z535" s="451">
        <f>'Rep Ovh Bal'!Z23</f>
        <v>0</v>
      </c>
      <c r="AA535" s="451">
        <f>'Rep Ovh Bal'!AA23</f>
        <v>0</v>
      </c>
      <c r="AB535" s="451">
        <f>'Rep Ovh Bal'!AB23</f>
        <v>0</v>
      </c>
      <c r="AC535" s="451">
        <f>'Rep Ovh Bal'!AC23</f>
        <v>0</v>
      </c>
      <c r="AD535" s="451">
        <f>'Rep Ovh Bal'!AD23</f>
        <v>0</v>
      </c>
      <c r="AE535" s="451">
        <f>'Rep Ovh Bal'!AE23</f>
        <v>0</v>
      </c>
      <c r="AF535" s="451">
        <f>'Rep Ovh Bal'!AF23</f>
        <v>0</v>
      </c>
      <c r="AG535" s="451">
        <f>'Rep Ovh Bal'!AG23</f>
        <v>0</v>
      </c>
      <c r="AH535" s="451">
        <f>'Rep Ovh Bal'!AH23</f>
        <v>94</v>
      </c>
      <c r="AI535" s="1062">
        <f>'Rep Ovh Bal'!AI23</f>
        <v>94</v>
      </c>
      <c r="AJ535" s="451">
        <f>'Rep Ovh Bal'!AJ23</f>
        <v>0</v>
      </c>
      <c r="AK535" s="451">
        <f>'Rep Ovh Bal'!AK23</f>
        <v>0</v>
      </c>
      <c r="AL535" s="451">
        <f>'Rep Ovh Bal'!AL23</f>
        <v>0</v>
      </c>
      <c r="AM535" s="451">
        <f>'Rep Ovh Bal'!AM23</f>
        <v>0</v>
      </c>
      <c r="AN535" s="451">
        <f>'Rep Ovh Bal'!AN23</f>
        <v>0</v>
      </c>
      <c r="AO535" s="451">
        <f>'Rep Ovh Bal'!AO23</f>
        <v>0</v>
      </c>
      <c r="AP535" s="451">
        <f>'Rep Ovh Bal'!AP23</f>
        <v>0</v>
      </c>
      <c r="AQ535" s="451">
        <f>'Rep Ovh Bal'!AQ23</f>
        <v>0</v>
      </c>
      <c r="AR535" s="451">
        <f>'Rep Ovh Bal'!AR23</f>
        <v>0</v>
      </c>
      <c r="AS535" s="451">
        <f>'Rep Ovh Bal'!AS23</f>
        <v>0</v>
      </c>
      <c r="AT535" s="451">
        <f>'Rep Ovh Bal'!AT23</f>
        <v>82</v>
      </c>
      <c r="AU535" s="1062">
        <f>'Rep Ovh Bal'!AU23</f>
        <v>82</v>
      </c>
      <c r="AV535" s="1063">
        <f>'Rep Ovh Bal'!AV23</f>
        <v>272</v>
      </c>
      <c r="AW535" s="1068"/>
      <c r="AX535" s="1065">
        <f>'Rep Ovh Bal'!AW23</f>
        <v>87.22</v>
      </c>
      <c r="AY535" s="1062">
        <f>'Rep Ovh Bal'!AX23</f>
        <v>607.0512</v>
      </c>
      <c r="AZ535" s="1068"/>
      <c r="BA535" s="1068"/>
      <c r="BB535" s="1068"/>
      <c r="BC535" s="1068"/>
      <c r="BD535" s="1068"/>
      <c r="BE535" s="1068"/>
      <c r="BF535" s="1065" t="str">
        <f>'Rep Ovh Bal'!BE23</f>
        <v/>
      </c>
      <c r="BG535" s="451" t="str">
        <f>'Rep Ovh Bal'!BH23</f>
        <v/>
      </c>
      <c r="BH535" s="451" t="str">
        <f>'Rep Ovh Bal'!BI23</f>
        <v/>
      </c>
      <c r="BI535" s="451" t="str">
        <f>'Rep Ovh Bal'!BJ23</f>
        <v/>
      </c>
      <c r="BJ535" s="451" t="str">
        <f>'Rep Ovh Bal'!BK23</f>
        <v/>
      </c>
      <c r="BK535" s="1062">
        <f>'Rep Ovh Bal'!AY23</f>
        <v>58276.9152</v>
      </c>
      <c r="BL535" s="1069">
        <f>'Rep Ovh Bal'!AY23</f>
        <v>58276.9152</v>
      </c>
      <c r="BM535" s="1068"/>
      <c r="BN535" s="1068"/>
      <c r="BO535" s="1068"/>
      <c r="BP535" s="451" t="str">
        <f>'Rep Ovh Bal'!BQ23</f>
        <v/>
      </c>
      <c r="BQ535" s="451" t="str">
        <f>'Rep Ovh Bal'!BR23</f>
        <v/>
      </c>
      <c r="BR535" s="451" t="str">
        <f>'Rep Ovh Bal'!BS23</f>
        <v/>
      </c>
      <c r="BS535" s="451" t="str">
        <f>'Rep Ovh Bal'!BT23</f>
        <v/>
      </c>
      <c r="BT535" s="451" t="str">
        <f>'Rep Ovh Bal'!BU23</f>
        <v/>
      </c>
      <c r="BU535" s="451" t="str">
        <f>'Rep Ovh Bal'!BV23</f>
        <v/>
      </c>
      <c r="BV535" s="451" t="str">
        <f>'Rep Ovh Bal'!BW23</f>
        <v/>
      </c>
      <c r="BW535" s="1062">
        <f>'Rep Ovh Bal'!AZ23</f>
        <v>57062.8128</v>
      </c>
      <c r="BX535" s="1069">
        <f>'Rep Ovh Bal'!AZ23</f>
        <v>57062.8128</v>
      </c>
      <c r="BY535" s="1068"/>
      <c r="BZ535" s="1068"/>
      <c r="CA535" s="451" t="str">
        <f>'Rep Ovh Bal'!CB23</f>
        <v/>
      </c>
      <c r="CB535" s="451" t="str">
        <f>'Rep Ovh Bal'!CC23</f>
        <v/>
      </c>
      <c r="CC535" s="451" t="str">
        <f>'Rep Ovh Bal'!CD23</f>
        <v/>
      </c>
      <c r="CD535" s="451" t="str">
        <f>'Rep Ovh Bal'!CE23</f>
        <v/>
      </c>
      <c r="CE535" s="451" t="str">
        <f>'Rep Ovh Bal'!CF23</f>
        <v/>
      </c>
      <c r="CF535" s="451" t="str">
        <f>'Rep Ovh Bal'!CG23</f>
        <v/>
      </c>
      <c r="CG535" s="451" t="str">
        <f>'Rep Ovh Bal'!CH23</f>
        <v/>
      </c>
      <c r="CH535" s="451" t="str">
        <f>'Rep Ovh Bal'!CI23</f>
        <v/>
      </c>
      <c r="CI535" s="1062">
        <f>'Rep Ovh Bal'!BA23</f>
        <v>49778.1984</v>
      </c>
      <c r="CJ535" s="1062">
        <f>'Rep Ovh Bal'!BA23</f>
        <v>49778.1984</v>
      </c>
      <c r="CK535" s="1062">
        <f>'Rep Ovh Bal'!BB23</f>
        <v>165117.9264</v>
      </c>
      <c r="CL535" s="1064" t="str">
        <f>'Rep Ovh Bal'!BC23</f>
        <v/>
      </c>
      <c r="CM535" s="451" t="str">
        <f>'Rep Ovh Bal'!CN23</f>
        <v/>
      </c>
      <c r="CN535" s="1065" t="str">
        <f>'Rep Ovh Bal'!BE19</f>
        <v/>
      </c>
      <c r="CO535" s="1062" t="str">
        <f>'Rep Ovh Bal'!BF19</f>
        <v/>
      </c>
      <c r="CP535" s="1060" t="str">
        <f>'Rep Ovh Bal'!BG19</f>
        <v/>
      </c>
    </row>
    <row r="536">
      <c r="A536" s="451" t="str">
        <f>'Rep Ovh Bal'!A24</f>
        <v>Repuestos mantenimientos mayores para estaciones y torres</v>
      </c>
      <c r="B536" s="451">
        <f>'Rep Ovh Bal'!B24</f>
        <v>2</v>
      </c>
      <c r="C536" s="451" t="str">
        <f>'Rep Ovh Bal'!C24</f>
        <v>Torres</v>
      </c>
      <c r="D536" s="451" t="str">
        <f>'Rep Ovh Bal'!D24</f>
        <v>OVH balancines TRM</v>
      </c>
      <c r="E536" s="451" t="str">
        <f>'Rep Ovh Bal'!E24</f>
        <v>Repuesto Mecánico</v>
      </c>
      <c r="F536" s="451" t="str">
        <f>'Rep Ovh Bal'!F24</f>
        <v>TDB</v>
      </c>
      <c r="G536" s="1025" t="str">
        <f>'Rep Ovh Bal'!G24</f>
        <v>39800</v>
      </c>
      <c r="H536" s="1061" t="str">
        <f>'Rep Ovh Bal'!H24</f>
        <v>2-01-00940</v>
      </c>
      <c r="I536" s="1061" t="str">
        <f>'Rep Ovh Bal'!I24</f>
        <v>10087005</v>
      </c>
      <c r="J536" s="1061" t="str">
        <f>'Rep Ovh Bal'!J24</f>
        <v>TORNILLO  DIN7984- 8.8 M12X 30 DE CABEZA CILÍNDRICA, GALV.</v>
      </c>
      <c r="K536" s="451" t="str">
        <f>'Rep Ovh Bal'!K24</f>
        <v>Pza</v>
      </c>
      <c r="L536" s="451">
        <f>'Rep Ovh Bal'!L24</f>
        <v>0</v>
      </c>
      <c r="M536" s="451">
        <f>'Rep Ovh Bal'!M24</f>
        <v>0</v>
      </c>
      <c r="N536" s="451">
        <f>'Rep Ovh Bal'!N24</f>
        <v>0</v>
      </c>
      <c r="O536" s="451">
        <f>'Rep Ovh Bal'!O24</f>
        <v>0</v>
      </c>
      <c r="P536" s="451">
        <f>'Rep Ovh Bal'!P24</f>
        <v>0</v>
      </c>
      <c r="Q536" s="451">
        <f>'Rep Ovh Bal'!Q24</f>
        <v>0</v>
      </c>
      <c r="R536" s="451">
        <f>'Rep Ovh Bal'!R24</f>
        <v>0</v>
      </c>
      <c r="S536" s="451">
        <f>'Rep Ovh Bal'!S24</f>
        <v>0</v>
      </c>
      <c r="T536" s="451">
        <f>'Rep Ovh Bal'!T24</f>
        <v>0</v>
      </c>
      <c r="U536" s="451">
        <f>'Rep Ovh Bal'!U24</f>
        <v>0</v>
      </c>
      <c r="V536" s="451">
        <f>'Rep Ovh Bal'!V24</f>
        <v>40</v>
      </c>
      <c r="W536" s="1062">
        <f>'Rep Ovh Bal'!W24</f>
        <v>40</v>
      </c>
      <c r="X536" s="451">
        <f>'Rep Ovh Bal'!X24</f>
        <v>0</v>
      </c>
      <c r="Y536" s="451">
        <f>'Rep Ovh Bal'!Y24</f>
        <v>0</v>
      </c>
      <c r="Z536" s="451">
        <f>'Rep Ovh Bal'!Z24</f>
        <v>0</v>
      </c>
      <c r="AA536" s="451">
        <f>'Rep Ovh Bal'!AA24</f>
        <v>0</v>
      </c>
      <c r="AB536" s="451">
        <f>'Rep Ovh Bal'!AB24</f>
        <v>0</v>
      </c>
      <c r="AC536" s="451">
        <f>'Rep Ovh Bal'!AC24</f>
        <v>0</v>
      </c>
      <c r="AD536" s="451">
        <f>'Rep Ovh Bal'!AD24</f>
        <v>0</v>
      </c>
      <c r="AE536" s="451">
        <f>'Rep Ovh Bal'!AE24</f>
        <v>0</v>
      </c>
      <c r="AF536" s="451">
        <f>'Rep Ovh Bal'!AF24</f>
        <v>0</v>
      </c>
      <c r="AG536" s="451">
        <f>'Rep Ovh Bal'!AG24</f>
        <v>0</v>
      </c>
      <c r="AH536" s="451">
        <f>'Rep Ovh Bal'!AH24</f>
        <v>48</v>
      </c>
      <c r="AI536" s="1062">
        <f>'Rep Ovh Bal'!AI24</f>
        <v>48</v>
      </c>
      <c r="AJ536" s="451">
        <f>'Rep Ovh Bal'!AJ24</f>
        <v>0</v>
      </c>
      <c r="AK536" s="451">
        <f>'Rep Ovh Bal'!AK24</f>
        <v>0</v>
      </c>
      <c r="AL536" s="451">
        <f>'Rep Ovh Bal'!AL24</f>
        <v>0</v>
      </c>
      <c r="AM536" s="451">
        <f>'Rep Ovh Bal'!AM24</f>
        <v>0</v>
      </c>
      <c r="AN536" s="451">
        <f>'Rep Ovh Bal'!AN24</f>
        <v>0</v>
      </c>
      <c r="AO536" s="451">
        <f>'Rep Ovh Bal'!AO24</f>
        <v>0</v>
      </c>
      <c r="AP536" s="451">
        <f>'Rep Ovh Bal'!AP24</f>
        <v>0</v>
      </c>
      <c r="AQ536" s="451">
        <f>'Rep Ovh Bal'!AQ24</f>
        <v>0</v>
      </c>
      <c r="AR536" s="451">
        <f>'Rep Ovh Bal'!AR24</f>
        <v>0</v>
      </c>
      <c r="AS536" s="451">
        <f>'Rep Ovh Bal'!AS24</f>
        <v>0</v>
      </c>
      <c r="AT536" s="451">
        <f>'Rep Ovh Bal'!AT24</f>
        <v>64</v>
      </c>
      <c r="AU536" s="1062">
        <f>'Rep Ovh Bal'!AU24</f>
        <v>64</v>
      </c>
      <c r="AV536" s="1063">
        <f>'Rep Ovh Bal'!AV24</f>
        <v>152</v>
      </c>
      <c r="AW536" s="1068"/>
      <c r="AX536" s="1065">
        <f>'Rep Ovh Bal'!AW24</f>
        <v>1.23</v>
      </c>
      <c r="AY536" s="1062">
        <f>'Rep Ovh Bal'!AX24</f>
        <v>8.5608</v>
      </c>
      <c r="AZ536" s="1068"/>
      <c r="BA536" s="1068"/>
      <c r="BB536" s="1068"/>
      <c r="BC536" s="1068"/>
      <c r="BD536" s="1068"/>
      <c r="BE536" s="1068"/>
      <c r="BF536" s="1065" t="str">
        <f>'Rep Ovh Bal'!BE24</f>
        <v/>
      </c>
      <c r="BG536" s="451" t="str">
        <f>'Rep Ovh Bal'!BH24</f>
        <v/>
      </c>
      <c r="BH536" s="451" t="str">
        <f>'Rep Ovh Bal'!BI24</f>
        <v/>
      </c>
      <c r="BI536" s="451" t="str">
        <f>'Rep Ovh Bal'!BJ24</f>
        <v/>
      </c>
      <c r="BJ536" s="451" t="str">
        <f>'Rep Ovh Bal'!BK24</f>
        <v/>
      </c>
      <c r="BK536" s="1062">
        <f>'Rep Ovh Bal'!AY24</f>
        <v>342.432</v>
      </c>
      <c r="BL536" s="1069">
        <f>'Rep Ovh Bal'!AY24</f>
        <v>342.432</v>
      </c>
      <c r="BM536" s="1068"/>
      <c r="BN536" s="1068"/>
      <c r="BO536" s="1068"/>
      <c r="BP536" s="451" t="str">
        <f>'Rep Ovh Bal'!BQ24</f>
        <v/>
      </c>
      <c r="BQ536" s="451" t="str">
        <f>'Rep Ovh Bal'!BR24</f>
        <v/>
      </c>
      <c r="BR536" s="451" t="str">
        <f>'Rep Ovh Bal'!BS24</f>
        <v/>
      </c>
      <c r="BS536" s="451" t="str">
        <f>'Rep Ovh Bal'!BT24</f>
        <v/>
      </c>
      <c r="BT536" s="451" t="str">
        <f>'Rep Ovh Bal'!BU24</f>
        <v/>
      </c>
      <c r="BU536" s="451" t="str">
        <f>'Rep Ovh Bal'!BV24</f>
        <v/>
      </c>
      <c r="BV536" s="451" t="str">
        <f>'Rep Ovh Bal'!BW24</f>
        <v/>
      </c>
      <c r="BW536" s="1062">
        <f>'Rep Ovh Bal'!AZ24</f>
        <v>410.9184</v>
      </c>
      <c r="BX536" s="1069">
        <f>'Rep Ovh Bal'!AZ24</f>
        <v>410.9184</v>
      </c>
      <c r="BY536" s="1068"/>
      <c r="BZ536" s="1068"/>
      <c r="CA536" s="451" t="str">
        <f>'Rep Ovh Bal'!CB24</f>
        <v/>
      </c>
      <c r="CB536" s="451" t="str">
        <f>'Rep Ovh Bal'!CC24</f>
        <v/>
      </c>
      <c r="CC536" s="451" t="str">
        <f>'Rep Ovh Bal'!CD24</f>
        <v/>
      </c>
      <c r="CD536" s="451" t="str">
        <f>'Rep Ovh Bal'!CE24</f>
        <v/>
      </c>
      <c r="CE536" s="451" t="str">
        <f>'Rep Ovh Bal'!CF24</f>
        <v/>
      </c>
      <c r="CF536" s="451" t="str">
        <f>'Rep Ovh Bal'!CG24</f>
        <v/>
      </c>
      <c r="CG536" s="451" t="str">
        <f>'Rep Ovh Bal'!CH24</f>
        <v/>
      </c>
      <c r="CH536" s="451" t="str">
        <f>'Rep Ovh Bal'!CI24</f>
        <v/>
      </c>
      <c r="CI536" s="1062">
        <f>'Rep Ovh Bal'!BA24</f>
        <v>547.8912</v>
      </c>
      <c r="CJ536" s="1062">
        <f>'Rep Ovh Bal'!BA24</f>
        <v>547.8912</v>
      </c>
      <c r="CK536" s="1062">
        <f>'Rep Ovh Bal'!BB24</f>
        <v>1301.2416</v>
      </c>
      <c r="CL536" s="1064" t="str">
        <f>'Rep Ovh Bal'!BC24</f>
        <v/>
      </c>
      <c r="CM536" s="451" t="str">
        <f>'Rep Ovh Bal'!CN24</f>
        <v/>
      </c>
      <c r="CN536" s="1065" t="str">
        <f>'Rep Ovh Bal'!BE20</f>
        <v/>
      </c>
      <c r="CO536" s="1062" t="str">
        <f>'Rep Ovh Bal'!BF20</f>
        <v/>
      </c>
      <c r="CP536" s="1060" t="str">
        <f>'Rep Ovh Bal'!BG20</f>
        <v/>
      </c>
    </row>
    <row r="537">
      <c r="A537" s="451" t="str">
        <f>'Rep Ovh Bal'!A25</f>
        <v>Repuestos mantenimientos mayores para estaciones y torres</v>
      </c>
      <c r="B537" s="451">
        <f>'Rep Ovh Bal'!B25</f>
        <v>2</v>
      </c>
      <c r="C537" s="451" t="str">
        <f>'Rep Ovh Bal'!C25</f>
        <v>Torres</v>
      </c>
      <c r="D537" s="451" t="str">
        <f>'Rep Ovh Bal'!D25</f>
        <v>OVH balancines TRM</v>
      </c>
      <c r="E537" s="451" t="str">
        <f>'Rep Ovh Bal'!E25</f>
        <v>Repuesto Mecánico</v>
      </c>
      <c r="F537" s="451" t="str">
        <f>'Rep Ovh Bal'!F25</f>
        <v>TDB</v>
      </c>
      <c r="G537" s="1025" t="str">
        <f>'Rep Ovh Bal'!G25</f>
        <v>39800</v>
      </c>
      <c r="H537" s="1061" t="str">
        <f>'Rep Ovh Bal'!H25</f>
        <v>2-01-00257</v>
      </c>
      <c r="I537" s="1061" t="str">
        <f>'Rep Ovh Bal'!I25</f>
        <v>10096799</v>
      </c>
      <c r="J537" s="1061" t="str">
        <f>'Rep Ovh Bal'!J25</f>
        <v>ANILLO ELÁSTICO  393,5X 6,3    CON RECUBRIMIENTO DELTA-TONE</v>
      </c>
      <c r="K537" s="451" t="str">
        <f>'Rep Ovh Bal'!K25</f>
        <v>Pza</v>
      </c>
      <c r="L537" s="451">
        <f>'Rep Ovh Bal'!L25</f>
        <v>0</v>
      </c>
      <c r="M537" s="451">
        <f>'Rep Ovh Bal'!M25</f>
        <v>0</v>
      </c>
      <c r="N537" s="451">
        <f>'Rep Ovh Bal'!N25</f>
        <v>0</v>
      </c>
      <c r="O537" s="451">
        <f>'Rep Ovh Bal'!O25</f>
        <v>0</v>
      </c>
      <c r="P537" s="451">
        <f>'Rep Ovh Bal'!P25</f>
        <v>0</v>
      </c>
      <c r="Q537" s="451">
        <f>'Rep Ovh Bal'!Q25</f>
        <v>0</v>
      </c>
      <c r="R537" s="451">
        <f>'Rep Ovh Bal'!R25</f>
        <v>0</v>
      </c>
      <c r="S537" s="451">
        <f>'Rep Ovh Bal'!S25</f>
        <v>0</v>
      </c>
      <c r="T537" s="451">
        <f>'Rep Ovh Bal'!T25</f>
        <v>0</v>
      </c>
      <c r="U537" s="451">
        <f>'Rep Ovh Bal'!U25</f>
        <v>0</v>
      </c>
      <c r="V537" s="451">
        <f>'Rep Ovh Bal'!V25</f>
        <v>20</v>
      </c>
      <c r="W537" s="1062">
        <f>'Rep Ovh Bal'!W25</f>
        <v>20</v>
      </c>
      <c r="X537" s="451">
        <f>'Rep Ovh Bal'!X25</f>
        <v>0</v>
      </c>
      <c r="Y537" s="451">
        <f>'Rep Ovh Bal'!Y25</f>
        <v>0</v>
      </c>
      <c r="Z537" s="451">
        <f>'Rep Ovh Bal'!Z25</f>
        <v>0</v>
      </c>
      <c r="AA537" s="451">
        <f>'Rep Ovh Bal'!AA25</f>
        <v>0</v>
      </c>
      <c r="AB537" s="451">
        <f>'Rep Ovh Bal'!AB25</f>
        <v>0</v>
      </c>
      <c r="AC537" s="451">
        <f>'Rep Ovh Bal'!AC25</f>
        <v>0</v>
      </c>
      <c r="AD537" s="451">
        <f>'Rep Ovh Bal'!AD25</f>
        <v>0</v>
      </c>
      <c r="AE537" s="451">
        <f>'Rep Ovh Bal'!AE25</f>
        <v>0</v>
      </c>
      <c r="AF537" s="451">
        <f>'Rep Ovh Bal'!AF25</f>
        <v>0</v>
      </c>
      <c r="AG537" s="451">
        <f>'Rep Ovh Bal'!AG25</f>
        <v>0</v>
      </c>
      <c r="AH537" s="451">
        <f>'Rep Ovh Bal'!AH25</f>
        <v>0</v>
      </c>
      <c r="AI537" s="1062">
        <f>'Rep Ovh Bal'!AI25</f>
        <v>0</v>
      </c>
      <c r="AJ537" s="451">
        <f>'Rep Ovh Bal'!AJ25</f>
        <v>0</v>
      </c>
      <c r="AK537" s="451">
        <f>'Rep Ovh Bal'!AK25</f>
        <v>0</v>
      </c>
      <c r="AL537" s="451">
        <f>'Rep Ovh Bal'!AL25</f>
        <v>0</v>
      </c>
      <c r="AM537" s="451">
        <f>'Rep Ovh Bal'!AM25</f>
        <v>0</v>
      </c>
      <c r="AN537" s="451">
        <f>'Rep Ovh Bal'!AN25</f>
        <v>0</v>
      </c>
      <c r="AO537" s="451">
        <f>'Rep Ovh Bal'!AO25</f>
        <v>0</v>
      </c>
      <c r="AP537" s="451">
        <f>'Rep Ovh Bal'!AP25</f>
        <v>0</v>
      </c>
      <c r="AQ537" s="451">
        <f>'Rep Ovh Bal'!AQ25</f>
        <v>0</v>
      </c>
      <c r="AR537" s="451">
        <f>'Rep Ovh Bal'!AR25</f>
        <v>0</v>
      </c>
      <c r="AS537" s="451">
        <f>'Rep Ovh Bal'!AS25</f>
        <v>0</v>
      </c>
      <c r="AT537" s="451">
        <f>'Rep Ovh Bal'!AT25</f>
        <v>0</v>
      </c>
      <c r="AU537" s="1062">
        <f>'Rep Ovh Bal'!AU25</f>
        <v>0</v>
      </c>
      <c r="AV537" s="1063">
        <f>'Rep Ovh Bal'!AV25</f>
        <v>20</v>
      </c>
      <c r="AW537" s="1068"/>
      <c r="AX537" s="1065">
        <f>'Rep Ovh Bal'!AW25</f>
        <v>11.04</v>
      </c>
      <c r="AY537" s="1062">
        <f>'Rep Ovh Bal'!AX25</f>
        <v>76.8384</v>
      </c>
      <c r="AZ537" s="1068"/>
      <c r="BA537" s="1068"/>
      <c r="BB537" s="1068"/>
      <c r="BC537" s="1068"/>
      <c r="BD537" s="1068"/>
      <c r="BE537" s="1068"/>
      <c r="BF537" s="1065" t="str">
        <f>'Rep Ovh Bal'!BE25</f>
        <v/>
      </c>
      <c r="BG537" s="451" t="str">
        <f>'Rep Ovh Bal'!BH25</f>
        <v/>
      </c>
      <c r="BH537" s="451" t="str">
        <f>'Rep Ovh Bal'!BI25</f>
        <v/>
      </c>
      <c r="BI537" s="451" t="str">
        <f>'Rep Ovh Bal'!BJ25</f>
        <v/>
      </c>
      <c r="BJ537" s="451" t="str">
        <f>'Rep Ovh Bal'!BK25</f>
        <v/>
      </c>
      <c r="BK537" s="1062">
        <f>'Rep Ovh Bal'!AY25</f>
        <v>1536.768</v>
      </c>
      <c r="BL537" s="1069">
        <f>'Rep Ovh Bal'!AY25</f>
        <v>1536.768</v>
      </c>
      <c r="BM537" s="1068"/>
      <c r="BN537" s="1068"/>
      <c r="BO537" s="1068"/>
      <c r="BP537" s="451" t="str">
        <f>'Rep Ovh Bal'!BQ25</f>
        <v/>
      </c>
      <c r="BQ537" s="451" t="str">
        <f>'Rep Ovh Bal'!BR25</f>
        <v/>
      </c>
      <c r="BR537" s="451" t="str">
        <f>'Rep Ovh Bal'!BS25</f>
        <v/>
      </c>
      <c r="BS537" s="451" t="str">
        <f>'Rep Ovh Bal'!BT25</f>
        <v/>
      </c>
      <c r="BT537" s="451" t="str">
        <f>'Rep Ovh Bal'!BU25</f>
        <v/>
      </c>
      <c r="BU537" s="451" t="str">
        <f>'Rep Ovh Bal'!BV25</f>
        <v/>
      </c>
      <c r="BV537" s="451" t="str">
        <f>'Rep Ovh Bal'!BW25</f>
        <v/>
      </c>
      <c r="BW537" s="1062">
        <f>'Rep Ovh Bal'!AZ25</f>
        <v>0</v>
      </c>
      <c r="BX537" s="1069">
        <f>'Rep Ovh Bal'!AZ25</f>
        <v>0</v>
      </c>
      <c r="BY537" s="1068"/>
      <c r="BZ537" s="1068"/>
      <c r="CA537" s="451" t="str">
        <f>'Rep Ovh Bal'!CB25</f>
        <v/>
      </c>
      <c r="CB537" s="451" t="str">
        <f>'Rep Ovh Bal'!CC25</f>
        <v/>
      </c>
      <c r="CC537" s="451" t="str">
        <f>'Rep Ovh Bal'!CD25</f>
        <v/>
      </c>
      <c r="CD537" s="451" t="str">
        <f>'Rep Ovh Bal'!CE25</f>
        <v/>
      </c>
      <c r="CE537" s="451" t="str">
        <f>'Rep Ovh Bal'!CF25</f>
        <v/>
      </c>
      <c r="CF537" s="451" t="str">
        <f>'Rep Ovh Bal'!CG25</f>
        <v/>
      </c>
      <c r="CG537" s="451" t="str">
        <f>'Rep Ovh Bal'!CH25</f>
        <v/>
      </c>
      <c r="CH537" s="451" t="str">
        <f>'Rep Ovh Bal'!CI25</f>
        <v/>
      </c>
      <c r="CI537" s="1062">
        <f>'Rep Ovh Bal'!BA25</f>
        <v>0</v>
      </c>
      <c r="CJ537" s="1062">
        <f>'Rep Ovh Bal'!BA25</f>
        <v>0</v>
      </c>
      <c r="CK537" s="1062">
        <f>'Rep Ovh Bal'!BB25</f>
        <v>1536.768</v>
      </c>
      <c r="CL537" s="1064" t="str">
        <f>'Rep Ovh Bal'!BC25</f>
        <v/>
      </c>
      <c r="CM537" s="451" t="str">
        <f>'Rep Ovh Bal'!CN25</f>
        <v/>
      </c>
      <c r="CN537" s="1065" t="str">
        <f>'Rep Ovh Bal'!BE21</f>
        <v/>
      </c>
      <c r="CO537" s="1062" t="str">
        <f>'Rep Ovh Bal'!BF21</f>
        <v/>
      </c>
      <c r="CP537" s="1060" t="str">
        <f>'Rep Ovh Bal'!BG21</f>
        <v/>
      </c>
    </row>
    <row r="538">
      <c r="A538" s="451" t="str">
        <f>'Rep Ovh Bal'!A26</f>
        <v>Repuestos mantenimientos mayores para estaciones y torres</v>
      </c>
      <c r="B538" s="451">
        <f>'Rep Ovh Bal'!B26</f>
        <v>2</v>
      </c>
      <c r="C538" s="451" t="str">
        <f>'Rep Ovh Bal'!C26</f>
        <v>Torres</v>
      </c>
      <c r="D538" s="451" t="str">
        <f>'Rep Ovh Bal'!D26</f>
        <v>OVH balancines TRM</v>
      </c>
      <c r="E538" s="451" t="str">
        <f>'Rep Ovh Bal'!E26</f>
        <v>Repuesto Mecánico</v>
      </c>
      <c r="F538" s="451" t="str">
        <f>'Rep Ovh Bal'!F26</f>
        <v>TDB</v>
      </c>
      <c r="G538" s="1025" t="str">
        <f>'Rep Ovh Bal'!G26</f>
        <v>39800</v>
      </c>
      <c r="H538" s="1061" t="str">
        <f>'Rep Ovh Bal'!H26</f>
        <v>2-01-00408</v>
      </c>
      <c r="I538" s="1061" t="str">
        <f>'Rep Ovh Bal'!I26</f>
        <v>10096801</v>
      </c>
      <c r="J538" s="1061" t="str">
        <f>'Rep Ovh Bal'!J26</f>
        <v>ANILLO MUELLE 194,8X 5,0       CON RECUBRIMIENTO DELTA-TONE</v>
      </c>
      <c r="K538" s="451" t="str">
        <f>'Rep Ovh Bal'!K26</f>
        <v>Pza</v>
      </c>
      <c r="L538" s="451">
        <f>'Rep Ovh Bal'!L26</f>
        <v>0</v>
      </c>
      <c r="M538" s="451">
        <f>'Rep Ovh Bal'!M26</f>
        <v>0</v>
      </c>
      <c r="N538" s="451">
        <f>'Rep Ovh Bal'!N26</f>
        <v>0</v>
      </c>
      <c r="O538" s="451">
        <f>'Rep Ovh Bal'!O26</f>
        <v>0</v>
      </c>
      <c r="P538" s="451">
        <f>'Rep Ovh Bal'!P26</f>
        <v>0</v>
      </c>
      <c r="Q538" s="451">
        <f>'Rep Ovh Bal'!Q26</f>
        <v>0</v>
      </c>
      <c r="R538" s="451">
        <f>'Rep Ovh Bal'!R26</f>
        <v>0</v>
      </c>
      <c r="S538" s="451">
        <f>'Rep Ovh Bal'!S26</f>
        <v>0</v>
      </c>
      <c r="T538" s="451">
        <f>'Rep Ovh Bal'!T26</f>
        <v>0</v>
      </c>
      <c r="U538" s="451">
        <f>'Rep Ovh Bal'!U26</f>
        <v>0</v>
      </c>
      <c r="V538" s="451">
        <f>'Rep Ovh Bal'!V26</f>
        <v>30</v>
      </c>
      <c r="W538" s="1062">
        <f>'Rep Ovh Bal'!W26</f>
        <v>30</v>
      </c>
      <c r="X538" s="451">
        <f>'Rep Ovh Bal'!X26</f>
        <v>0</v>
      </c>
      <c r="Y538" s="451">
        <f>'Rep Ovh Bal'!Y26</f>
        <v>0</v>
      </c>
      <c r="Z538" s="451">
        <f>'Rep Ovh Bal'!Z26</f>
        <v>0</v>
      </c>
      <c r="AA538" s="451">
        <f>'Rep Ovh Bal'!AA26</f>
        <v>0</v>
      </c>
      <c r="AB538" s="451">
        <f>'Rep Ovh Bal'!AB26</f>
        <v>0</v>
      </c>
      <c r="AC538" s="451">
        <f>'Rep Ovh Bal'!AC26</f>
        <v>0</v>
      </c>
      <c r="AD538" s="451">
        <f>'Rep Ovh Bal'!AD26</f>
        <v>0</v>
      </c>
      <c r="AE538" s="451">
        <f>'Rep Ovh Bal'!AE26</f>
        <v>0</v>
      </c>
      <c r="AF538" s="451">
        <f>'Rep Ovh Bal'!AF26</f>
        <v>0</v>
      </c>
      <c r="AG538" s="451">
        <f>'Rep Ovh Bal'!AG26</f>
        <v>0</v>
      </c>
      <c r="AH538" s="451">
        <f>'Rep Ovh Bal'!AH26</f>
        <v>0</v>
      </c>
      <c r="AI538" s="1062">
        <f>'Rep Ovh Bal'!AI26</f>
        <v>0</v>
      </c>
      <c r="AJ538" s="451">
        <f>'Rep Ovh Bal'!AJ26</f>
        <v>0</v>
      </c>
      <c r="AK538" s="451">
        <f>'Rep Ovh Bal'!AK26</f>
        <v>0</v>
      </c>
      <c r="AL538" s="451">
        <f>'Rep Ovh Bal'!AL26</f>
        <v>0</v>
      </c>
      <c r="AM538" s="451">
        <f>'Rep Ovh Bal'!AM26</f>
        <v>0</v>
      </c>
      <c r="AN538" s="451">
        <f>'Rep Ovh Bal'!AN26</f>
        <v>0</v>
      </c>
      <c r="AO538" s="451">
        <f>'Rep Ovh Bal'!AO26</f>
        <v>0</v>
      </c>
      <c r="AP538" s="451">
        <f>'Rep Ovh Bal'!AP26</f>
        <v>0</v>
      </c>
      <c r="AQ538" s="451">
        <f>'Rep Ovh Bal'!AQ26</f>
        <v>0</v>
      </c>
      <c r="AR538" s="451">
        <f>'Rep Ovh Bal'!AR26</f>
        <v>0</v>
      </c>
      <c r="AS538" s="451">
        <f>'Rep Ovh Bal'!AS26</f>
        <v>0</v>
      </c>
      <c r="AT538" s="451">
        <f>'Rep Ovh Bal'!AT26</f>
        <v>0</v>
      </c>
      <c r="AU538" s="1062">
        <f>'Rep Ovh Bal'!AU26</f>
        <v>0</v>
      </c>
      <c r="AV538" s="1063">
        <f>'Rep Ovh Bal'!AV26</f>
        <v>30</v>
      </c>
      <c r="AW538" s="1068"/>
      <c r="AX538" s="1065">
        <f>'Rep Ovh Bal'!AW26</f>
        <v>7.31</v>
      </c>
      <c r="AY538" s="1062">
        <f>'Rep Ovh Bal'!AX26</f>
        <v>50.8776</v>
      </c>
      <c r="AZ538" s="1068"/>
      <c r="BA538" s="1068"/>
      <c r="BB538" s="1068"/>
      <c r="BC538" s="1068"/>
      <c r="BD538" s="1068"/>
      <c r="BE538" s="1068"/>
      <c r="BF538" s="1065" t="str">
        <f>'Rep Ovh Bal'!BE26</f>
        <v/>
      </c>
      <c r="BG538" s="451" t="str">
        <f>'Rep Ovh Bal'!BH26</f>
        <v/>
      </c>
      <c r="BH538" s="451" t="str">
        <f>'Rep Ovh Bal'!BI26</f>
        <v/>
      </c>
      <c r="BI538" s="451" t="str">
        <f>'Rep Ovh Bal'!BJ26</f>
        <v/>
      </c>
      <c r="BJ538" s="451" t="str">
        <f>'Rep Ovh Bal'!BK26</f>
        <v/>
      </c>
      <c r="BK538" s="1062">
        <f>'Rep Ovh Bal'!AY26</f>
        <v>1526.328</v>
      </c>
      <c r="BL538" s="1069">
        <f>'Rep Ovh Bal'!AY26</f>
        <v>1526.328</v>
      </c>
      <c r="BM538" s="1068"/>
      <c r="BN538" s="1068"/>
      <c r="BO538" s="1068"/>
      <c r="BP538" s="451" t="str">
        <f>'Rep Ovh Bal'!BQ26</f>
        <v/>
      </c>
      <c r="BQ538" s="451" t="str">
        <f>'Rep Ovh Bal'!BR26</f>
        <v/>
      </c>
      <c r="BR538" s="451" t="str">
        <f>'Rep Ovh Bal'!BS26</f>
        <v/>
      </c>
      <c r="BS538" s="451" t="str">
        <f>'Rep Ovh Bal'!BT26</f>
        <v/>
      </c>
      <c r="BT538" s="451" t="str">
        <f>'Rep Ovh Bal'!BU26</f>
        <v/>
      </c>
      <c r="BU538" s="451" t="str">
        <f>'Rep Ovh Bal'!BV26</f>
        <v/>
      </c>
      <c r="BV538" s="451" t="str">
        <f>'Rep Ovh Bal'!BW26</f>
        <v/>
      </c>
      <c r="BW538" s="1062">
        <f>'Rep Ovh Bal'!AZ26</f>
        <v>0</v>
      </c>
      <c r="BX538" s="1069">
        <f>'Rep Ovh Bal'!AZ26</f>
        <v>0</v>
      </c>
      <c r="BY538" s="1068"/>
      <c r="BZ538" s="1068"/>
      <c r="CA538" s="451" t="str">
        <f>'Rep Ovh Bal'!CB26</f>
        <v/>
      </c>
      <c r="CB538" s="451" t="str">
        <f>'Rep Ovh Bal'!CC26</f>
        <v/>
      </c>
      <c r="CC538" s="451" t="str">
        <f>'Rep Ovh Bal'!CD26</f>
        <v/>
      </c>
      <c r="CD538" s="451" t="str">
        <f>'Rep Ovh Bal'!CE26</f>
        <v/>
      </c>
      <c r="CE538" s="451" t="str">
        <f>'Rep Ovh Bal'!CF26</f>
        <v/>
      </c>
      <c r="CF538" s="451" t="str">
        <f>'Rep Ovh Bal'!CG26</f>
        <v/>
      </c>
      <c r="CG538" s="451" t="str">
        <f>'Rep Ovh Bal'!CH26</f>
        <v/>
      </c>
      <c r="CH538" s="451" t="str">
        <f>'Rep Ovh Bal'!CI26</f>
        <v/>
      </c>
      <c r="CI538" s="1062">
        <f>'Rep Ovh Bal'!BA26</f>
        <v>0</v>
      </c>
      <c r="CJ538" s="1062">
        <f>'Rep Ovh Bal'!BA26</f>
        <v>0</v>
      </c>
      <c r="CK538" s="1062">
        <f>'Rep Ovh Bal'!BB26</f>
        <v>1526.328</v>
      </c>
      <c r="CL538" s="1064" t="str">
        <f>'Rep Ovh Bal'!BC26</f>
        <v/>
      </c>
      <c r="CM538" s="451" t="str">
        <f>'Rep Ovh Bal'!CN26</f>
        <v/>
      </c>
      <c r="CN538" s="1065" t="str">
        <f>'Rep Ovh Bal'!BE22</f>
        <v/>
      </c>
      <c r="CO538" s="1062" t="str">
        <f>'Rep Ovh Bal'!BF22</f>
        <v/>
      </c>
      <c r="CP538" s="1060" t="str">
        <f>'Rep Ovh Bal'!BG22</f>
        <v/>
      </c>
    </row>
    <row r="539">
      <c r="A539" s="451" t="str">
        <f>'Rep Ovh Bal'!A27</f>
        <v>Repuestos mantenimientos mayores para estaciones y torres</v>
      </c>
      <c r="B539" s="451">
        <f>'Rep Ovh Bal'!B27</f>
        <v>2</v>
      </c>
      <c r="C539" s="451" t="str">
        <f>'Rep Ovh Bal'!C27</f>
        <v>Torres</v>
      </c>
      <c r="D539" s="451" t="str">
        <f>'Rep Ovh Bal'!D27</f>
        <v>OVH balancines TRM</v>
      </c>
      <c r="E539" s="451" t="str">
        <f>'Rep Ovh Bal'!E27</f>
        <v>Repuesto Mecánico</v>
      </c>
      <c r="F539" s="451" t="str">
        <f>'Rep Ovh Bal'!F27</f>
        <v>TDB</v>
      </c>
      <c r="G539" s="1025" t="str">
        <f>'Rep Ovh Bal'!G27</f>
        <v>39800</v>
      </c>
      <c r="H539" s="1061" t="str">
        <f>'Rep Ovh Bal'!H27</f>
        <v>2-01-00438</v>
      </c>
      <c r="I539" s="1061" t="str">
        <f>'Rep Ovh Bal'!I27</f>
        <v>10167525</v>
      </c>
      <c r="J539" s="1061" t="str">
        <f>'Rep Ovh Bal'!J27</f>
        <v>CASQUILLO DISTANC. 34/25 L= 45 CAQUILLO DISTANCIADOR</v>
      </c>
      <c r="K539" s="451" t="str">
        <f>'Rep Ovh Bal'!K27</f>
        <v>Pza</v>
      </c>
      <c r="L539" s="451">
        <f>'Rep Ovh Bal'!L27</f>
        <v>0</v>
      </c>
      <c r="M539" s="451">
        <f>'Rep Ovh Bal'!M27</f>
        <v>0</v>
      </c>
      <c r="N539" s="451">
        <f>'Rep Ovh Bal'!N27</f>
        <v>0</v>
      </c>
      <c r="O539" s="451">
        <f>'Rep Ovh Bal'!O27</f>
        <v>0</v>
      </c>
      <c r="P539" s="451">
        <f>'Rep Ovh Bal'!P27</f>
        <v>0</v>
      </c>
      <c r="Q539" s="451">
        <f>'Rep Ovh Bal'!Q27</f>
        <v>0</v>
      </c>
      <c r="R539" s="451">
        <f>'Rep Ovh Bal'!R27</f>
        <v>0</v>
      </c>
      <c r="S539" s="451">
        <f>'Rep Ovh Bal'!S27</f>
        <v>0</v>
      </c>
      <c r="T539" s="451">
        <f>'Rep Ovh Bal'!T27</f>
        <v>0</v>
      </c>
      <c r="U539" s="451">
        <f>'Rep Ovh Bal'!U27</f>
        <v>0</v>
      </c>
      <c r="V539" s="451">
        <f>'Rep Ovh Bal'!V27</f>
        <v>120</v>
      </c>
      <c r="W539" s="1062">
        <f>'Rep Ovh Bal'!W27</f>
        <v>120</v>
      </c>
      <c r="X539" s="451">
        <f>'Rep Ovh Bal'!X27</f>
        <v>0</v>
      </c>
      <c r="Y539" s="451">
        <f>'Rep Ovh Bal'!Y27</f>
        <v>0</v>
      </c>
      <c r="Z539" s="451">
        <f>'Rep Ovh Bal'!Z27</f>
        <v>0</v>
      </c>
      <c r="AA539" s="451">
        <f>'Rep Ovh Bal'!AA27</f>
        <v>0</v>
      </c>
      <c r="AB539" s="451">
        <f>'Rep Ovh Bal'!AB27</f>
        <v>0</v>
      </c>
      <c r="AC539" s="451">
        <f>'Rep Ovh Bal'!AC27</f>
        <v>0</v>
      </c>
      <c r="AD539" s="451">
        <f>'Rep Ovh Bal'!AD27</f>
        <v>0</v>
      </c>
      <c r="AE539" s="451">
        <f>'Rep Ovh Bal'!AE27</f>
        <v>0</v>
      </c>
      <c r="AF539" s="451">
        <f>'Rep Ovh Bal'!AF27</f>
        <v>0</v>
      </c>
      <c r="AG539" s="451">
        <f>'Rep Ovh Bal'!AG27</f>
        <v>0</v>
      </c>
      <c r="AH539" s="451">
        <f>'Rep Ovh Bal'!AH27</f>
        <v>0</v>
      </c>
      <c r="AI539" s="1062">
        <f>'Rep Ovh Bal'!AI27</f>
        <v>0</v>
      </c>
      <c r="AJ539" s="451">
        <f>'Rep Ovh Bal'!AJ27</f>
        <v>0</v>
      </c>
      <c r="AK539" s="451">
        <f>'Rep Ovh Bal'!AK27</f>
        <v>0</v>
      </c>
      <c r="AL539" s="451">
        <f>'Rep Ovh Bal'!AL27</f>
        <v>0</v>
      </c>
      <c r="AM539" s="451">
        <f>'Rep Ovh Bal'!AM27</f>
        <v>0</v>
      </c>
      <c r="AN539" s="451">
        <f>'Rep Ovh Bal'!AN27</f>
        <v>0</v>
      </c>
      <c r="AO539" s="451">
        <f>'Rep Ovh Bal'!AO27</f>
        <v>0</v>
      </c>
      <c r="AP539" s="451">
        <f>'Rep Ovh Bal'!AP27</f>
        <v>0</v>
      </c>
      <c r="AQ539" s="451">
        <f>'Rep Ovh Bal'!AQ27</f>
        <v>0</v>
      </c>
      <c r="AR539" s="451">
        <f>'Rep Ovh Bal'!AR27</f>
        <v>0</v>
      </c>
      <c r="AS539" s="451">
        <f>'Rep Ovh Bal'!AS27</f>
        <v>0</v>
      </c>
      <c r="AT539" s="451">
        <f>'Rep Ovh Bal'!AT27</f>
        <v>0</v>
      </c>
      <c r="AU539" s="1062">
        <f>'Rep Ovh Bal'!AU27</f>
        <v>0</v>
      </c>
      <c r="AV539" s="1063">
        <f>'Rep Ovh Bal'!AV27</f>
        <v>120</v>
      </c>
      <c r="AW539" s="1068"/>
      <c r="AX539" s="1065">
        <f>'Rep Ovh Bal'!AW27</f>
        <v>9.15</v>
      </c>
      <c r="AY539" s="1062">
        <f>'Rep Ovh Bal'!AX27</f>
        <v>63.684</v>
      </c>
      <c r="AZ539" s="1068"/>
      <c r="BA539" s="1068"/>
      <c r="BB539" s="1068"/>
      <c r="BC539" s="1068"/>
      <c r="BD539" s="1068"/>
      <c r="BE539" s="1068"/>
      <c r="BF539" s="1065" t="str">
        <f>'Rep Ovh Bal'!BE27</f>
        <v/>
      </c>
      <c r="BG539" s="451" t="str">
        <f>'Rep Ovh Bal'!BH27</f>
        <v/>
      </c>
      <c r="BH539" s="451" t="str">
        <f>'Rep Ovh Bal'!BI27</f>
        <v/>
      </c>
      <c r="BI539" s="451" t="str">
        <f>'Rep Ovh Bal'!BJ27</f>
        <v/>
      </c>
      <c r="BJ539" s="451" t="str">
        <f>'Rep Ovh Bal'!BK27</f>
        <v/>
      </c>
      <c r="BK539" s="1062">
        <f>'Rep Ovh Bal'!AY27</f>
        <v>7642.08</v>
      </c>
      <c r="BL539" s="1069">
        <f>'Rep Ovh Bal'!AY27</f>
        <v>7642.08</v>
      </c>
      <c r="BM539" s="1068"/>
      <c r="BN539" s="1068"/>
      <c r="BO539" s="1068"/>
      <c r="BP539" s="451" t="str">
        <f>'Rep Ovh Bal'!BQ27</f>
        <v/>
      </c>
      <c r="BQ539" s="451" t="str">
        <f>'Rep Ovh Bal'!BR27</f>
        <v/>
      </c>
      <c r="BR539" s="451" t="str">
        <f>'Rep Ovh Bal'!BS27</f>
        <v/>
      </c>
      <c r="BS539" s="451" t="str">
        <f>'Rep Ovh Bal'!BT27</f>
        <v/>
      </c>
      <c r="BT539" s="451" t="str">
        <f>'Rep Ovh Bal'!BU27</f>
        <v/>
      </c>
      <c r="BU539" s="451" t="str">
        <f>'Rep Ovh Bal'!BV27</f>
        <v/>
      </c>
      <c r="BV539" s="451" t="str">
        <f>'Rep Ovh Bal'!BW27</f>
        <v/>
      </c>
      <c r="BW539" s="1062">
        <f>'Rep Ovh Bal'!AZ27</f>
        <v>0</v>
      </c>
      <c r="BX539" s="1069">
        <f>'Rep Ovh Bal'!AZ27</f>
        <v>0</v>
      </c>
      <c r="BY539" s="1068"/>
      <c r="BZ539" s="1068"/>
      <c r="CA539" s="451" t="str">
        <f>'Rep Ovh Bal'!CB27</f>
        <v/>
      </c>
      <c r="CB539" s="451" t="str">
        <f>'Rep Ovh Bal'!CC27</f>
        <v/>
      </c>
      <c r="CC539" s="451" t="str">
        <f>'Rep Ovh Bal'!CD27</f>
        <v/>
      </c>
      <c r="CD539" s="451" t="str">
        <f>'Rep Ovh Bal'!CE27</f>
        <v/>
      </c>
      <c r="CE539" s="451" t="str">
        <f>'Rep Ovh Bal'!CF27</f>
        <v/>
      </c>
      <c r="CF539" s="451" t="str">
        <f>'Rep Ovh Bal'!CG27</f>
        <v/>
      </c>
      <c r="CG539" s="451" t="str">
        <f>'Rep Ovh Bal'!CH27</f>
        <v/>
      </c>
      <c r="CH539" s="451" t="str">
        <f>'Rep Ovh Bal'!CI27</f>
        <v/>
      </c>
      <c r="CI539" s="1062">
        <f>'Rep Ovh Bal'!BA27</f>
        <v>0</v>
      </c>
      <c r="CJ539" s="1062">
        <f>'Rep Ovh Bal'!BA27</f>
        <v>0</v>
      </c>
      <c r="CK539" s="1062">
        <f>'Rep Ovh Bal'!BB27</f>
        <v>7642.08</v>
      </c>
      <c r="CL539" s="1064" t="str">
        <f>'Rep Ovh Bal'!BC27</f>
        <v/>
      </c>
      <c r="CM539" s="451" t="str">
        <f>'Rep Ovh Bal'!CN27</f>
        <v/>
      </c>
      <c r="CN539" s="1065" t="str">
        <f>'Rep Ovh Bal'!BE23</f>
        <v/>
      </c>
      <c r="CO539" s="1062" t="str">
        <f>'Rep Ovh Bal'!BF23</f>
        <v/>
      </c>
      <c r="CP539" s="1060" t="str">
        <f>'Rep Ovh Bal'!BG23</f>
        <v/>
      </c>
    </row>
    <row r="540">
      <c r="A540" s="451" t="str">
        <f>'Rep Ovh Bal'!A28</f>
        <v>Repuestos mantenimientos mayores para estaciones y torres</v>
      </c>
      <c r="B540" s="451">
        <f>'Rep Ovh Bal'!B28</f>
        <v>2</v>
      </c>
      <c r="C540" s="451" t="str">
        <f>'Rep Ovh Bal'!C28</f>
        <v>Torres</v>
      </c>
      <c r="D540" s="451" t="str">
        <f>'Rep Ovh Bal'!D28</f>
        <v>OVH balancines TRM</v>
      </c>
      <c r="E540" s="451" t="str">
        <f>'Rep Ovh Bal'!E28</f>
        <v>Repuesto Mecánico</v>
      </c>
      <c r="F540" s="451" t="str">
        <f>'Rep Ovh Bal'!F28</f>
        <v>TDB</v>
      </c>
      <c r="G540" s="1025" t="str">
        <f>'Rep Ovh Bal'!G28</f>
        <v>39800</v>
      </c>
      <c r="H540" s="1061" t="str">
        <f>'Rep Ovh Bal'!H28</f>
        <v>2-01-00262</v>
      </c>
      <c r="I540" s="1061" t="str">
        <f>'Rep Ovh Bal'!I28</f>
        <v>10183056</v>
      </c>
      <c r="J540" s="1061" t="str">
        <f>'Rep Ovh Bal'!J28</f>
        <v>CASQUILLO PM 5540 DS  TIPO: KW SIN AGUJ.DE ENGRASE    GLACIER</v>
      </c>
      <c r="K540" s="451" t="str">
        <f>'Rep Ovh Bal'!K28</f>
        <v>Pza</v>
      </c>
      <c r="L540" s="451">
        <f>'Rep Ovh Bal'!L28</f>
        <v>0</v>
      </c>
      <c r="M540" s="451">
        <f>'Rep Ovh Bal'!M28</f>
        <v>0</v>
      </c>
      <c r="N540" s="451">
        <f>'Rep Ovh Bal'!N28</f>
        <v>0</v>
      </c>
      <c r="O540" s="451">
        <f>'Rep Ovh Bal'!O28</f>
        <v>0</v>
      </c>
      <c r="P540" s="451">
        <f>'Rep Ovh Bal'!P28</f>
        <v>0</v>
      </c>
      <c r="Q540" s="451">
        <f>'Rep Ovh Bal'!Q28</f>
        <v>0</v>
      </c>
      <c r="R540" s="451">
        <f>'Rep Ovh Bal'!R28</f>
        <v>0</v>
      </c>
      <c r="S540" s="451">
        <f>'Rep Ovh Bal'!S28</f>
        <v>0</v>
      </c>
      <c r="T540" s="451">
        <f>'Rep Ovh Bal'!T28</f>
        <v>0</v>
      </c>
      <c r="U540" s="451">
        <f>'Rep Ovh Bal'!U28</f>
        <v>0</v>
      </c>
      <c r="V540" s="1070">
        <f>'Rep Ovh Bal'!V28</f>
        <v>1016</v>
      </c>
      <c r="W540" s="1062">
        <f>'Rep Ovh Bal'!W28</f>
        <v>1016</v>
      </c>
      <c r="X540" s="451">
        <f>'Rep Ovh Bal'!X28</f>
        <v>0</v>
      </c>
      <c r="Y540" s="451">
        <f>'Rep Ovh Bal'!Y28</f>
        <v>0</v>
      </c>
      <c r="Z540" s="451">
        <f>'Rep Ovh Bal'!Z28</f>
        <v>0</v>
      </c>
      <c r="AA540" s="451">
        <f>'Rep Ovh Bal'!AA28</f>
        <v>0</v>
      </c>
      <c r="AB540" s="451">
        <f>'Rep Ovh Bal'!AB28</f>
        <v>0</v>
      </c>
      <c r="AC540" s="451">
        <f>'Rep Ovh Bal'!AC28</f>
        <v>0</v>
      </c>
      <c r="AD540" s="451">
        <f>'Rep Ovh Bal'!AD28</f>
        <v>0</v>
      </c>
      <c r="AE540" s="451">
        <f>'Rep Ovh Bal'!AE28</f>
        <v>0</v>
      </c>
      <c r="AF540" s="451">
        <f>'Rep Ovh Bal'!AF28</f>
        <v>0</v>
      </c>
      <c r="AG540" s="451">
        <f>'Rep Ovh Bal'!AG28</f>
        <v>0</v>
      </c>
      <c r="AH540" s="451">
        <f>'Rep Ovh Bal'!AH28</f>
        <v>168</v>
      </c>
      <c r="AI540" s="1062">
        <f>'Rep Ovh Bal'!AI28</f>
        <v>168</v>
      </c>
      <c r="AJ540" s="451">
        <f>'Rep Ovh Bal'!AJ28</f>
        <v>0</v>
      </c>
      <c r="AK540" s="451">
        <f>'Rep Ovh Bal'!AK28</f>
        <v>0</v>
      </c>
      <c r="AL540" s="451">
        <f>'Rep Ovh Bal'!AL28</f>
        <v>0</v>
      </c>
      <c r="AM540" s="451">
        <f>'Rep Ovh Bal'!AM28</f>
        <v>0</v>
      </c>
      <c r="AN540" s="451">
        <f>'Rep Ovh Bal'!AN28</f>
        <v>0</v>
      </c>
      <c r="AO540" s="451">
        <f>'Rep Ovh Bal'!AO28</f>
        <v>0</v>
      </c>
      <c r="AP540" s="451">
        <f>'Rep Ovh Bal'!AP28</f>
        <v>0</v>
      </c>
      <c r="AQ540" s="451">
        <f>'Rep Ovh Bal'!AQ28</f>
        <v>0</v>
      </c>
      <c r="AR540" s="451">
        <f>'Rep Ovh Bal'!AR28</f>
        <v>0</v>
      </c>
      <c r="AS540" s="451">
        <f>'Rep Ovh Bal'!AS28</f>
        <v>0</v>
      </c>
      <c r="AT540" s="451">
        <f>'Rep Ovh Bal'!AT28</f>
        <v>616</v>
      </c>
      <c r="AU540" s="1062">
        <f>'Rep Ovh Bal'!AU28</f>
        <v>616</v>
      </c>
      <c r="AV540" s="1063">
        <f>'Rep Ovh Bal'!AV28</f>
        <v>1800</v>
      </c>
      <c r="AW540" s="1068"/>
      <c r="AX540" s="1065">
        <f>'Rep Ovh Bal'!AW28</f>
        <v>16.65</v>
      </c>
      <c r="AY540" s="1062">
        <f>'Rep Ovh Bal'!AX28</f>
        <v>115.884</v>
      </c>
      <c r="AZ540" s="1068"/>
      <c r="BA540" s="1068"/>
      <c r="BB540" s="1068"/>
      <c r="BC540" s="1068"/>
      <c r="BD540" s="1068"/>
      <c r="BE540" s="1068"/>
      <c r="BF540" s="1065" t="str">
        <f>'Rep Ovh Bal'!BE28</f>
        <v/>
      </c>
      <c r="BG540" s="451" t="str">
        <f>'Rep Ovh Bal'!BH28</f>
        <v/>
      </c>
      <c r="BH540" s="451" t="str">
        <f>'Rep Ovh Bal'!BI28</f>
        <v/>
      </c>
      <c r="BI540" s="451" t="str">
        <f>'Rep Ovh Bal'!BJ28</f>
        <v/>
      </c>
      <c r="BJ540" s="451" t="str">
        <f>'Rep Ovh Bal'!BK28</f>
        <v/>
      </c>
      <c r="BK540" s="1062">
        <f>'Rep Ovh Bal'!AY28</f>
        <v>117738.144</v>
      </c>
      <c r="BL540" s="1069">
        <f>'Rep Ovh Bal'!AY28</f>
        <v>117738.144</v>
      </c>
      <c r="BM540" s="1068"/>
      <c r="BN540" s="1068"/>
      <c r="BO540" s="1068"/>
      <c r="BP540" s="451" t="str">
        <f>'Rep Ovh Bal'!BQ28</f>
        <v/>
      </c>
      <c r="BQ540" s="451" t="str">
        <f>'Rep Ovh Bal'!BR28</f>
        <v/>
      </c>
      <c r="BR540" s="451" t="str">
        <f>'Rep Ovh Bal'!BS28</f>
        <v/>
      </c>
      <c r="BS540" s="451" t="str">
        <f>'Rep Ovh Bal'!BT28</f>
        <v/>
      </c>
      <c r="BT540" s="451" t="str">
        <f>'Rep Ovh Bal'!BU28</f>
        <v/>
      </c>
      <c r="BU540" s="451" t="str">
        <f>'Rep Ovh Bal'!BV28</f>
        <v/>
      </c>
      <c r="BV540" s="451" t="str">
        <f>'Rep Ovh Bal'!BW28</f>
        <v/>
      </c>
      <c r="BW540" s="1062">
        <f>'Rep Ovh Bal'!AZ28</f>
        <v>19468.512</v>
      </c>
      <c r="BX540" s="1069">
        <f>'Rep Ovh Bal'!AZ28</f>
        <v>19468.512</v>
      </c>
      <c r="BY540" s="1068"/>
      <c r="BZ540" s="1068"/>
      <c r="CA540" s="451" t="str">
        <f>'Rep Ovh Bal'!CB28</f>
        <v/>
      </c>
      <c r="CB540" s="451" t="str">
        <f>'Rep Ovh Bal'!CC28</f>
        <v/>
      </c>
      <c r="CC540" s="451" t="str">
        <f>'Rep Ovh Bal'!CD28</f>
        <v/>
      </c>
      <c r="CD540" s="451" t="str">
        <f>'Rep Ovh Bal'!CE28</f>
        <v/>
      </c>
      <c r="CE540" s="451" t="str">
        <f>'Rep Ovh Bal'!CF28</f>
        <v/>
      </c>
      <c r="CF540" s="451" t="str">
        <f>'Rep Ovh Bal'!CG28</f>
        <v/>
      </c>
      <c r="CG540" s="451" t="str">
        <f>'Rep Ovh Bal'!CH28</f>
        <v/>
      </c>
      <c r="CH540" s="451" t="str">
        <f>'Rep Ovh Bal'!CI28</f>
        <v/>
      </c>
      <c r="CI540" s="1062">
        <f>'Rep Ovh Bal'!BA28</f>
        <v>71384.544</v>
      </c>
      <c r="CJ540" s="1062">
        <f>'Rep Ovh Bal'!BA28</f>
        <v>71384.544</v>
      </c>
      <c r="CK540" s="1062">
        <f>'Rep Ovh Bal'!BB28</f>
        <v>208591.2</v>
      </c>
      <c r="CL540" s="1064" t="str">
        <f>'Rep Ovh Bal'!BC28</f>
        <v/>
      </c>
      <c r="CM540" s="451" t="str">
        <f>'Rep Ovh Bal'!CN28</f>
        <v/>
      </c>
      <c r="CN540" s="1065" t="str">
        <f>'Rep Ovh Bal'!BE24</f>
        <v/>
      </c>
      <c r="CO540" s="1062" t="str">
        <f>'Rep Ovh Bal'!BF24</f>
        <v/>
      </c>
      <c r="CP540" s="1060" t="str">
        <f>'Rep Ovh Bal'!BG24</f>
        <v/>
      </c>
    </row>
    <row r="541">
      <c r="A541" s="451" t="str">
        <f>'Rep Ovh Bal'!A29</f>
        <v>Repuestos mantenimientos mayores para estaciones y torres</v>
      </c>
      <c r="B541" s="451">
        <f>'Rep Ovh Bal'!B29</f>
        <v>2</v>
      </c>
      <c r="C541" s="451" t="str">
        <f>'Rep Ovh Bal'!C29</f>
        <v>Torres</v>
      </c>
      <c r="D541" s="451" t="str">
        <f>'Rep Ovh Bal'!D29</f>
        <v>OVH balancines TRM</v>
      </c>
      <c r="E541" s="451" t="str">
        <f>'Rep Ovh Bal'!E29</f>
        <v>Repuesto Mecánico</v>
      </c>
      <c r="F541" s="451" t="str">
        <f>'Rep Ovh Bal'!F29</f>
        <v>TDB</v>
      </c>
      <c r="G541" s="1025" t="str">
        <f>'Rep Ovh Bal'!G29</f>
        <v>39800</v>
      </c>
      <c r="H541" s="1061" t="str">
        <f>'Rep Ovh Bal'!H29</f>
        <v>2-01-00014</v>
      </c>
      <c r="I541" s="1061" t="str">
        <f>'Rep Ovh Bal'!I29</f>
        <v>10186109</v>
      </c>
      <c r="J541" s="1061" t="str">
        <f>'Rep Ovh Bal'!J29</f>
        <v>CUERPO DE POLEA 501 400X130    </v>
      </c>
      <c r="K541" s="451" t="str">
        <f>'Rep Ovh Bal'!K29</f>
        <v>Pza</v>
      </c>
      <c r="L541" s="451">
        <f>'Rep Ovh Bal'!L29</f>
        <v>0</v>
      </c>
      <c r="M541" s="451">
        <f>'Rep Ovh Bal'!M29</f>
        <v>0</v>
      </c>
      <c r="N541" s="451">
        <f>'Rep Ovh Bal'!N29</f>
        <v>0</v>
      </c>
      <c r="O541" s="451">
        <f>'Rep Ovh Bal'!O29</f>
        <v>0</v>
      </c>
      <c r="P541" s="451">
        <f>'Rep Ovh Bal'!P29</f>
        <v>0</v>
      </c>
      <c r="Q541" s="451">
        <f>'Rep Ovh Bal'!Q29</f>
        <v>0</v>
      </c>
      <c r="R541" s="451">
        <f>'Rep Ovh Bal'!R29</f>
        <v>0</v>
      </c>
      <c r="S541" s="451">
        <f>'Rep Ovh Bal'!S29</f>
        <v>0</v>
      </c>
      <c r="T541" s="451">
        <f>'Rep Ovh Bal'!T29</f>
        <v>0</v>
      </c>
      <c r="U541" s="451">
        <f>'Rep Ovh Bal'!U29</f>
        <v>0</v>
      </c>
      <c r="V541" s="451">
        <f>'Rep Ovh Bal'!V29</f>
        <v>4</v>
      </c>
      <c r="W541" s="1062">
        <f>'Rep Ovh Bal'!W29</f>
        <v>4</v>
      </c>
      <c r="X541" s="451">
        <f>'Rep Ovh Bal'!X29</f>
        <v>0</v>
      </c>
      <c r="Y541" s="451">
        <f>'Rep Ovh Bal'!Y29</f>
        <v>0</v>
      </c>
      <c r="Z541" s="451">
        <f>'Rep Ovh Bal'!Z29</f>
        <v>0</v>
      </c>
      <c r="AA541" s="451">
        <f>'Rep Ovh Bal'!AA29</f>
        <v>0</v>
      </c>
      <c r="AB541" s="451">
        <f>'Rep Ovh Bal'!AB29</f>
        <v>0</v>
      </c>
      <c r="AC541" s="451">
        <f>'Rep Ovh Bal'!AC29</f>
        <v>0</v>
      </c>
      <c r="AD541" s="451">
        <f>'Rep Ovh Bal'!AD29</f>
        <v>0</v>
      </c>
      <c r="AE541" s="451">
        <f>'Rep Ovh Bal'!AE29</f>
        <v>0</v>
      </c>
      <c r="AF541" s="451">
        <f>'Rep Ovh Bal'!AF29</f>
        <v>0</v>
      </c>
      <c r="AG541" s="451">
        <f>'Rep Ovh Bal'!AG29</f>
        <v>0</v>
      </c>
      <c r="AH541" s="451">
        <f>'Rep Ovh Bal'!AH29</f>
        <v>0</v>
      </c>
      <c r="AI541" s="1062">
        <f>'Rep Ovh Bal'!AI29</f>
        <v>0</v>
      </c>
      <c r="AJ541" s="451">
        <f>'Rep Ovh Bal'!AJ29</f>
        <v>0</v>
      </c>
      <c r="AK541" s="451">
        <f>'Rep Ovh Bal'!AK29</f>
        <v>0</v>
      </c>
      <c r="AL541" s="451">
        <f>'Rep Ovh Bal'!AL29</f>
        <v>0</v>
      </c>
      <c r="AM541" s="451">
        <f>'Rep Ovh Bal'!AM29</f>
        <v>0</v>
      </c>
      <c r="AN541" s="451">
        <f>'Rep Ovh Bal'!AN29</f>
        <v>0</v>
      </c>
      <c r="AO541" s="451">
        <f>'Rep Ovh Bal'!AO29</f>
        <v>0</v>
      </c>
      <c r="AP541" s="451">
        <f>'Rep Ovh Bal'!AP29</f>
        <v>0</v>
      </c>
      <c r="AQ541" s="451">
        <f>'Rep Ovh Bal'!AQ29</f>
        <v>0</v>
      </c>
      <c r="AR541" s="451">
        <f>'Rep Ovh Bal'!AR29</f>
        <v>0</v>
      </c>
      <c r="AS541" s="451">
        <f>'Rep Ovh Bal'!AS29</f>
        <v>0</v>
      </c>
      <c r="AT541" s="451">
        <f>'Rep Ovh Bal'!AT29</f>
        <v>0</v>
      </c>
      <c r="AU541" s="1062">
        <f>'Rep Ovh Bal'!AU29</f>
        <v>0</v>
      </c>
      <c r="AV541" s="1063">
        <f>'Rep Ovh Bal'!AV29</f>
        <v>4</v>
      </c>
      <c r="AW541" s="1068"/>
      <c r="AX541" s="1065">
        <f>'Rep Ovh Bal'!AW29</f>
        <v>784.35</v>
      </c>
      <c r="AY541" s="1062">
        <f>'Rep Ovh Bal'!AX29</f>
        <v>5459.076</v>
      </c>
      <c r="AZ541" s="1068"/>
      <c r="BA541" s="1068"/>
      <c r="BB541" s="1068"/>
      <c r="BC541" s="1068"/>
      <c r="BD541" s="1068"/>
      <c r="BE541" s="1068"/>
      <c r="BF541" s="1065" t="str">
        <f>'Rep Ovh Bal'!BE29</f>
        <v/>
      </c>
      <c r="BG541" s="451" t="str">
        <f>'Rep Ovh Bal'!BH29</f>
        <v/>
      </c>
      <c r="BH541" s="451" t="str">
        <f>'Rep Ovh Bal'!BI29</f>
        <v/>
      </c>
      <c r="BI541" s="451" t="str">
        <f>'Rep Ovh Bal'!BJ29</f>
        <v/>
      </c>
      <c r="BJ541" s="451" t="str">
        <f>'Rep Ovh Bal'!BK29</f>
        <v/>
      </c>
      <c r="BK541" s="1062">
        <f>'Rep Ovh Bal'!AY29</f>
        <v>21836.304</v>
      </c>
      <c r="BL541" s="1069">
        <f>'Rep Ovh Bal'!AY29</f>
        <v>21836.304</v>
      </c>
      <c r="BM541" s="1068"/>
      <c r="BN541" s="1068"/>
      <c r="BO541" s="1068"/>
      <c r="BP541" s="451" t="str">
        <f>'Rep Ovh Bal'!BQ29</f>
        <v/>
      </c>
      <c r="BQ541" s="451" t="str">
        <f>'Rep Ovh Bal'!BR29</f>
        <v/>
      </c>
      <c r="BR541" s="451" t="str">
        <f>'Rep Ovh Bal'!BS29</f>
        <v/>
      </c>
      <c r="BS541" s="451" t="str">
        <f>'Rep Ovh Bal'!BT29</f>
        <v/>
      </c>
      <c r="BT541" s="451" t="str">
        <f>'Rep Ovh Bal'!BU29</f>
        <v/>
      </c>
      <c r="BU541" s="451" t="str">
        <f>'Rep Ovh Bal'!BV29</f>
        <v/>
      </c>
      <c r="BV541" s="451" t="str">
        <f>'Rep Ovh Bal'!BW29</f>
        <v/>
      </c>
      <c r="BW541" s="1062">
        <f>'Rep Ovh Bal'!AZ29</f>
        <v>0</v>
      </c>
      <c r="BX541" s="1069">
        <f>'Rep Ovh Bal'!AZ29</f>
        <v>0</v>
      </c>
      <c r="BY541" s="1068"/>
      <c r="BZ541" s="1068"/>
      <c r="CA541" s="451" t="str">
        <f>'Rep Ovh Bal'!CB29</f>
        <v/>
      </c>
      <c r="CB541" s="451" t="str">
        <f>'Rep Ovh Bal'!CC29</f>
        <v/>
      </c>
      <c r="CC541" s="451" t="str">
        <f>'Rep Ovh Bal'!CD29</f>
        <v/>
      </c>
      <c r="CD541" s="451" t="str">
        <f>'Rep Ovh Bal'!CE29</f>
        <v/>
      </c>
      <c r="CE541" s="451" t="str">
        <f>'Rep Ovh Bal'!CF29</f>
        <v/>
      </c>
      <c r="CF541" s="451" t="str">
        <f>'Rep Ovh Bal'!CG29</f>
        <v/>
      </c>
      <c r="CG541" s="451" t="str">
        <f>'Rep Ovh Bal'!CH29</f>
        <v/>
      </c>
      <c r="CH541" s="451" t="str">
        <f>'Rep Ovh Bal'!CI29</f>
        <v/>
      </c>
      <c r="CI541" s="1062">
        <f>'Rep Ovh Bal'!BA29</f>
        <v>0</v>
      </c>
      <c r="CJ541" s="1062">
        <f>'Rep Ovh Bal'!BA29</f>
        <v>0</v>
      </c>
      <c r="CK541" s="1062">
        <f>'Rep Ovh Bal'!BB29</f>
        <v>21836.304</v>
      </c>
      <c r="CL541" s="1064" t="str">
        <f>'Rep Ovh Bal'!BC29</f>
        <v/>
      </c>
      <c r="CM541" s="451" t="str">
        <f>'Rep Ovh Bal'!CN29</f>
        <v/>
      </c>
      <c r="CN541" s="1065" t="str">
        <f>'Rep Ovh Bal'!BE25</f>
        <v/>
      </c>
      <c r="CO541" s="1062" t="str">
        <f>'Rep Ovh Bal'!BF25</f>
        <v/>
      </c>
      <c r="CP541" s="1060" t="str">
        <f>'Rep Ovh Bal'!BG25</f>
        <v/>
      </c>
    </row>
    <row r="542">
      <c r="A542" s="451" t="str">
        <f>'Rep Ovh Bal'!A30</f>
        <v>Repuestos mantenimientos mayores para estaciones y torres</v>
      </c>
      <c r="B542" s="451">
        <f>'Rep Ovh Bal'!B30</f>
        <v>2</v>
      </c>
      <c r="C542" s="451" t="str">
        <f>'Rep Ovh Bal'!C30</f>
        <v>Torres</v>
      </c>
      <c r="D542" s="451" t="str">
        <f>'Rep Ovh Bal'!D30</f>
        <v>OVH balancines TRM</v>
      </c>
      <c r="E542" s="451" t="str">
        <f>'Rep Ovh Bal'!E30</f>
        <v>Repuesto Mecánico</v>
      </c>
      <c r="F542" s="451" t="str">
        <f>'Rep Ovh Bal'!F30</f>
        <v>TDB</v>
      </c>
      <c r="G542" s="1025" t="str">
        <f>'Rep Ovh Bal'!G30</f>
        <v>39800</v>
      </c>
      <c r="H542" s="1061" t="str">
        <f>'Rep Ovh Bal'!H30</f>
        <v/>
      </c>
      <c r="I542" s="1061" t="str">
        <f>'Rep Ovh Bal'!I30</f>
        <v>10245633</v>
      </c>
      <c r="J542" s="1061" t="str">
        <f>'Rep Ovh Bal'!J30</f>
        <v>TORNILLO TENSILOCK CL.90 M16X25 T.CON DIENTE, REV.LAM.DE ZINC</v>
      </c>
      <c r="K542" s="451" t="str">
        <f>'Rep Ovh Bal'!K30</f>
        <v>Pza</v>
      </c>
      <c r="L542" s="451">
        <f>'Rep Ovh Bal'!L30</f>
        <v>0</v>
      </c>
      <c r="M542" s="451">
        <f>'Rep Ovh Bal'!M30</f>
        <v>0</v>
      </c>
      <c r="N542" s="451">
        <f>'Rep Ovh Bal'!N30</f>
        <v>0</v>
      </c>
      <c r="O542" s="451">
        <f>'Rep Ovh Bal'!O30</f>
        <v>0</v>
      </c>
      <c r="P542" s="451">
        <f>'Rep Ovh Bal'!P30</f>
        <v>0</v>
      </c>
      <c r="Q542" s="451">
        <f>'Rep Ovh Bal'!Q30</f>
        <v>0</v>
      </c>
      <c r="R542" s="451">
        <f>'Rep Ovh Bal'!R30</f>
        <v>0</v>
      </c>
      <c r="S542" s="451">
        <f>'Rep Ovh Bal'!S30</f>
        <v>0</v>
      </c>
      <c r="T542" s="451">
        <f>'Rep Ovh Bal'!T30</f>
        <v>0</v>
      </c>
      <c r="U542" s="451">
        <f>'Rep Ovh Bal'!U30</f>
        <v>0</v>
      </c>
      <c r="V542" s="451">
        <f>'Rep Ovh Bal'!V30</f>
        <v>0</v>
      </c>
      <c r="W542" s="1062">
        <f>'Rep Ovh Bal'!W30</f>
        <v>0</v>
      </c>
      <c r="X542" s="451">
        <f>'Rep Ovh Bal'!X30</f>
        <v>0</v>
      </c>
      <c r="Y542" s="451">
        <f>'Rep Ovh Bal'!Y30</f>
        <v>0</v>
      </c>
      <c r="Z542" s="451">
        <f>'Rep Ovh Bal'!Z30</f>
        <v>0</v>
      </c>
      <c r="AA542" s="451">
        <f>'Rep Ovh Bal'!AA30</f>
        <v>0</v>
      </c>
      <c r="AB542" s="451">
        <f>'Rep Ovh Bal'!AB30</f>
        <v>0</v>
      </c>
      <c r="AC542" s="451">
        <f>'Rep Ovh Bal'!AC30</f>
        <v>0</v>
      </c>
      <c r="AD542" s="451">
        <f>'Rep Ovh Bal'!AD30</f>
        <v>0</v>
      </c>
      <c r="AE542" s="451">
        <f>'Rep Ovh Bal'!AE30</f>
        <v>0</v>
      </c>
      <c r="AF542" s="451">
        <f>'Rep Ovh Bal'!AF30</f>
        <v>0</v>
      </c>
      <c r="AG542" s="451">
        <f>'Rep Ovh Bal'!AG30</f>
        <v>0</v>
      </c>
      <c r="AH542" s="451">
        <f>'Rep Ovh Bal'!AH30</f>
        <v>96</v>
      </c>
      <c r="AI542" s="1062">
        <f>'Rep Ovh Bal'!AI30</f>
        <v>96</v>
      </c>
      <c r="AJ542" s="451">
        <f>'Rep Ovh Bal'!AJ30</f>
        <v>0</v>
      </c>
      <c r="AK542" s="451">
        <f>'Rep Ovh Bal'!AK30</f>
        <v>0</v>
      </c>
      <c r="AL542" s="451">
        <f>'Rep Ovh Bal'!AL30</f>
        <v>0</v>
      </c>
      <c r="AM542" s="451">
        <f>'Rep Ovh Bal'!AM30</f>
        <v>0</v>
      </c>
      <c r="AN542" s="451">
        <f>'Rep Ovh Bal'!AN30</f>
        <v>0</v>
      </c>
      <c r="AO542" s="451">
        <f>'Rep Ovh Bal'!AO30</f>
        <v>0</v>
      </c>
      <c r="AP542" s="451">
        <f>'Rep Ovh Bal'!AP30</f>
        <v>0</v>
      </c>
      <c r="AQ542" s="451">
        <f>'Rep Ovh Bal'!AQ30</f>
        <v>0</v>
      </c>
      <c r="AR542" s="451">
        <f>'Rep Ovh Bal'!AR30</f>
        <v>0</v>
      </c>
      <c r="AS542" s="451">
        <f>'Rep Ovh Bal'!AS30</f>
        <v>0</v>
      </c>
      <c r="AT542" s="451">
        <f>'Rep Ovh Bal'!AT30</f>
        <v>128</v>
      </c>
      <c r="AU542" s="1062">
        <f>'Rep Ovh Bal'!AU30</f>
        <v>128</v>
      </c>
      <c r="AV542" s="1063">
        <f>'Rep Ovh Bal'!AV30</f>
        <v>224</v>
      </c>
      <c r="AW542" s="1068"/>
      <c r="AX542" s="1065">
        <f>'Rep Ovh Bal'!AW30</f>
        <v>4.69</v>
      </c>
      <c r="AY542" s="1062">
        <f>'Rep Ovh Bal'!AX30</f>
        <v>32.6424</v>
      </c>
      <c r="AZ542" s="1068"/>
      <c r="BA542" s="1068"/>
      <c r="BB542" s="1068"/>
      <c r="BC542" s="1068"/>
      <c r="BD542" s="1068"/>
      <c r="BE542" s="1068"/>
      <c r="BF542" s="1065" t="str">
        <f>'Rep Ovh Bal'!BE30</f>
        <v/>
      </c>
      <c r="BG542" s="451" t="str">
        <f>'Rep Ovh Bal'!BH30</f>
        <v/>
      </c>
      <c r="BH542" s="451" t="str">
        <f>'Rep Ovh Bal'!BI30</f>
        <v/>
      </c>
      <c r="BI542" s="451" t="str">
        <f>'Rep Ovh Bal'!BJ30</f>
        <v/>
      </c>
      <c r="BJ542" s="451" t="str">
        <f>'Rep Ovh Bal'!BK30</f>
        <v/>
      </c>
      <c r="BK542" s="1062">
        <f>'Rep Ovh Bal'!AY30</f>
        <v>0</v>
      </c>
      <c r="BL542" s="1069">
        <f>'Rep Ovh Bal'!AY30</f>
        <v>0</v>
      </c>
      <c r="BM542" s="1068"/>
      <c r="BN542" s="1068"/>
      <c r="BO542" s="1068"/>
      <c r="BP542" s="451" t="str">
        <f>'Rep Ovh Bal'!BQ30</f>
        <v/>
      </c>
      <c r="BQ542" s="451" t="str">
        <f>'Rep Ovh Bal'!BR30</f>
        <v/>
      </c>
      <c r="BR542" s="451" t="str">
        <f>'Rep Ovh Bal'!BS30</f>
        <v/>
      </c>
      <c r="BS542" s="451" t="str">
        <f>'Rep Ovh Bal'!BT30</f>
        <v/>
      </c>
      <c r="BT542" s="451" t="str">
        <f>'Rep Ovh Bal'!BU30</f>
        <v/>
      </c>
      <c r="BU542" s="451" t="str">
        <f>'Rep Ovh Bal'!BV30</f>
        <v/>
      </c>
      <c r="BV542" s="451" t="str">
        <f>'Rep Ovh Bal'!BW30</f>
        <v/>
      </c>
      <c r="BW542" s="1062">
        <f>'Rep Ovh Bal'!AZ30</f>
        <v>3133.6704</v>
      </c>
      <c r="BX542" s="1069">
        <f>'Rep Ovh Bal'!AZ30</f>
        <v>3133.6704</v>
      </c>
      <c r="BY542" s="1068"/>
      <c r="BZ542" s="1068"/>
      <c r="CA542" s="451" t="str">
        <f>'Rep Ovh Bal'!CB30</f>
        <v/>
      </c>
      <c r="CB542" s="451" t="str">
        <f>'Rep Ovh Bal'!CC30</f>
        <v/>
      </c>
      <c r="CC542" s="451" t="str">
        <f>'Rep Ovh Bal'!CD30</f>
        <v/>
      </c>
      <c r="CD542" s="451" t="str">
        <f>'Rep Ovh Bal'!CE30</f>
        <v/>
      </c>
      <c r="CE542" s="451" t="str">
        <f>'Rep Ovh Bal'!CF30</f>
        <v/>
      </c>
      <c r="CF542" s="451" t="str">
        <f>'Rep Ovh Bal'!CG30</f>
        <v/>
      </c>
      <c r="CG542" s="451" t="str">
        <f>'Rep Ovh Bal'!CH30</f>
        <v/>
      </c>
      <c r="CH542" s="451" t="str">
        <f>'Rep Ovh Bal'!CI30</f>
        <v/>
      </c>
      <c r="CI542" s="1062">
        <f>'Rep Ovh Bal'!BA30</f>
        <v>4178.2272</v>
      </c>
      <c r="CJ542" s="1062">
        <f>'Rep Ovh Bal'!BA30</f>
        <v>4178.2272</v>
      </c>
      <c r="CK542" s="1062">
        <f>'Rep Ovh Bal'!BB30</f>
        <v>7311.8976</v>
      </c>
      <c r="CL542" s="1064" t="str">
        <f>'Rep Ovh Bal'!BC30</f>
        <v/>
      </c>
      <c r="CM542" s="451" t="str">
        <f>'Rep Ovh Bal'!CN30</f>
        <v/>
      </c>
      <c r="CN542" s="1065" t="str">
        <f>'Rep Ovh Bal'!BE26</f>
        <v/>
      </c>
      <c r="CO542" s="1062" t="str">
        <f>'Rep Ovh Bal'!BF26</f>
        <v/>
      </c>
      <c r="CP542" s="1060" t="str">
        <f>'Rep Ovh Bal'!BG26</f>
        <v/>
      </c>
    </row>
    <row r="543">
      <c r="A543" s="451" t="str">
        <f>'Rep Ovh Bal'!A31</f>
        <v>Repuestos mantenimientos mayores para estaciones y torres</v>
      </c>
      <c r="B543" s="451">
        <f>'Rep Ovh Bal'!B31</f>
        <v>2</v>
      </c>
      <c r="C543" s="451" t="str">
        <f>'Rep Ovh Bal'!C31</f>
        <v>Torres</v>
      </c>
      <c r="D543" s="451" t="str">
        <f>'Rep Ovh Bal'!D31</f>
        <v>OVH balancines TRM</v>
      </c>
      <c r="E543" s="451" t="str">
        <f>'Rep Ovh Bal'!E31</f>
        <v>Repuesto Mecánico</v>
      </c>
      <c r="F543" s="451" t="str">
        <f>'Rep Ovh Bal'!F31</f>
        <v>TDB</v>
      </c>
      <c r="G543" s="1025" t="str">
        <f>'Rep Ovh Bal'!G31</f>
        <v>39800</v>
      </c>
      <c r="H543" s="1061" t="str">
        <f>'Rep Ovh Bal'!H31</f>
        <v>2-01-00858</v>
      </c>
      <c r="I543" s="1061" t="str">
        <f>'Rep Ovh Bal'!I31</f>
        <v>10252061</v>
      </c>
      <c r="J543" s="1061" t="str">
        <f>'Rep Ovh Bal'!J31</f>
        <v>TUERCA AUTOFIJ.  INLOC - 8 M24 C.ELEM.DE FIJAC. ~DIN934 GALV.</v>
      </c>
      <c r="K543" s="451" t="str">
        <f>'Rep Ovh Bal'!K31</f>
        <v>Pza</v>
      </c>
      <c r="L543" s="451">
        <f>'Rep Ovh Bal'!L31</f>
        <v>0</v>
      </c>
      <c r="M543" s="451">
        <f>'Rep Ovh Bal'!M31</f>
        <v>0</v>
      </c>
      <c r="N543" s="451">
        <f>'Rep Ovh Bal'!N31</f>
        <v>0</v>
      </c>
      <c r="O543" s="451">
        <f>'Rep Ovh Bal'!O31</f>
        <v>0</v>
      </c>
      <c r="P543" s="451">
        <f>'Rep Ovh Bal'!P31</f>
        <v>0</v>
      </c>
      <c r="Q543" s="451">
        <f>'Rep Ovh Bal'!Q31</f>
        <v>0</v>
      </c>
      <c r="R543" s="451">
        <f>'Rep Ovh Bal'!R31</f>
        <v>0</v>
      </c>
      <c r="S543" s="451">
        <f>'Rep Ovh Bal'!S31</f>
        <v>0</v>
      </c>
      <c r="T543" s="451">
        <f>'Rep Ovh Bal'!T31</f>
        <v>0</v>
      </c>
      <c r="U543" s="451">
        <f>'Rep Ovh Bal'!U31</f>
        <v>0</v>
      </c>
      <c r="V543" s="451">
        <f>'Rep Ovh Bal'!V31</f>
        <v>280</v>
      </c>
      <c r="W543" s="1062">
        <f>'Rep Ovh Bal'!W31</f>
        <v>280</v>
      </c>
      <c r="X543" s="451">
        <f>'Rep Ovh Bal'!X31</f>
        <v>0</v>
      </c>
      <c r="Y543" s="451">
        <f>'Rep Ovh Bal'!Y31</f>
        <v>0</v>
      </c>
      <c r="Z543" s="451">
        <f>'Rep Ovh Bal'!Z31</f>
        <v>0</v>
      </c>
      <c r="AA543" s="451">
        <f>'Rep Ovh Bal'!AA31</f>
        <v>0</v>
      </c>
      <c r="AB543" s="451">
        <f>'Rep Ovh Bal'!AB31</f>
        <v>0</v>
      </c>
      <c r="AC543" s="451">
        <f>'Rep Ovh Bal'!AC31</f>
        <v>0</v>
      </c>
      <c r="AD543" s="451">
        <f>'Rep Ovh Bal'!AD31</f>
        <v>0</v>
      </c>
      <c r="AE543" s="451">
        <f>'Rep Ovh Bal'!AE31</f>
        <v>0</v>
      </c>
      <c r="AF543" s="451">
        <f>'Rep Ovh Bal'!AF31</f>
        <v>0</v>
      </c>
      <c r="AG543" s="451">
        <f>'Rep Ovh Bal'!AG31</f>
        <v>0</v>
      </c>
      <c r="AH543" s="451">
        <f>'Rep Ovh Bal'!AH31</f>
        <v>616</v>
      </c>
      <c r="AI543" s="1062">
        <f>'Rep Ovh Bal'!AI31</f>
        <v>616</v>
      </c>
      <c r="AJ543" s="451">
        <f>'Rep Ovh Bal'!AJ31</f>
        <v>0</v>
      </c>
      <c r="AK543" s="451">
        <f>'Rep Ovh Bal'!AK31</f>
        <v>0</v>
      </c>
      <c r="AL543" s="451">
        <f>'Rep Ovh Bal'!AL31</f>
        <v>0</v>
      </c>
      <c r="AM543" s="451">
        <f>'Rep Ovh Bal'!AM31</f>
        <v>0</v>
      </c>
      <c r="AN543" s="451">
        <f>'Rep Ovh Bal'!AN31</f>
        <v>0</v>
      </c>
      <c r="AO543" s="451">
        <f>'Rep Ovh Bal'!AO31</f>
        <v>0</v>
      </c>
      <c r="AP543" s="451">
        <f>'Rep Ovh Bal'!AP31</f>
        <v>0</v>
      </c>
      <c r="AQ543" s="451">
        <f>'Rep Ovh Bal'!AQ31</f>
        <v>0</v>
      </c>
      <c r="AR543" s="451">
        <f>'Rep Ovh Bal'!AR31</f>
        <v>0</v>
      </c>
      <c r="AS543" s="451">
        <f>'Rep Ovh Bal'!AS31</f>
        <v>0</v>
      </c>
      <c r="AT543" s="451">
        <f>'Rep Ovh Bal'!AT31</f>
        <v>552</v>
      </c>
      <c r="AU543" s="1062">
        <f>'Rep Ovh Bal'!AU31</f>
        <v>552</v>
      </c>
      <c r="AV543" s="1063">
        <f>'Rep Ovh Bal'!AV31</f>
        <v>1448</v>
      </c>
      <c r="AW543" s="1068"/>
      <c r="AX543" s="1065">
        <f>'Rep Ovh Bal'!AW31</f>
        <v>3.08</v>
      </c>
      <c r="AY543" s="1062">
        <f>'Rep Ovh Bal'!AX31</f>
        <v>21.4368</v>
      </c>
      <c r="AZ543" s="1068"/>
      <c r="BA543" s="1068"/>
      <c r="BB543" s="1068"/>
      <c r="BC543" s="1068"/>
      <c r="BD543" s="1068"/>
      <c r="BE543" s="1068"/>
      <c r="BF543" s="1065" t="str">
        <f>'Rep Ovh Bal'!BE31</f>
        <v/>
      </c>
      <c r="BG543" s="451" t="str">
        <f>'Rep Ovh Bal'!BH31</f>
        <v/>
      </c>
      <c r="BH543" s="451" t="str">
        <f>'Rep Ovh Bal'!BI31</f>
        <v/>
      </c>
      <c r="BI543" s="451" t="str">
        <f>'Rep Ovh Bal'!BJ31</f>
        <v/>
      </c>
      <c r="BJ543" s="451" t="str">
        <f>'Rep Ovh Bal'!BK31</f>
        <v/>
      </c>
      <c r="BK543" s="1062">
        <f>'Rep Ovh Bal'!AY31</f>
        <v>6002.304</v>
      </c>
      <c r="BL543" s="1069">
        <f>'Rep Ovh Bal'!AY31</f>
        <v>6002.304</v>
      </c>
      <c r="BM543" s="1068"/>
      <c r="BN543" s="1068"/>
      <c r="BO543" s="1068"/>
      <c r="BP543" s="451" t="str">
        <f>'Rep Ovh Bal'!BQ31</f>
        <v/>
      </c>
      <c r="BQ543" s="451" t="str">
        <f>'Rep Ovh Bal'!BR31</f>
        <v/>
      </c>
      <c r="BR543" s="451" t="str">
        <f>'Rep Ovh Bal'!BS31</f>
        <v/>
      </c>
      <c r="BS543" s="451" t="str">
        <f>'Rep Ovh Bal'!BT31</f>
        <v/>
      </c>
      <c r="BT543" s="451" t="str">
        <f>'Rep Ovh Bal'!BU31</f>
        <v/>
      </c>
      <c r="BU543" s="451" t="str">
        <f>'Rep Ovh Bal'!BV31</f>
        <v/>
      </c>
      <c r="BV543" s="451" t="str">
        <f>'Rep Ovh Bal'!BW31</f>
        <v/>
      </c>
      <c r="BW543" s="1062">
        <f>'Rep Ovh Bal'!AZ31</f>
        <v>13205.0688</v>
      </c>
      <c r="BX543" s="1069">
        <f>'Rep Ovh Bal'!AZ31</f>
        <v>13205.0688</v>
      </c>
      <c r="BY543" s="1068"/>
      <c r="BZ543" s="1068"/>
      <c r="CA543" s="451" t="str">
        <f>'Rep Ovh Bal'!CB31</f>
        <v/>
      </c>
      <c r="CB543" s="451" t="str">
        <f>'Rep Ovh Bal'!CC31</f>
        <v/>
      </c>
      <c r="CC543" s="451" t="str">
        <f>'Rep Ovh Bal'!CD31</f>
        <v/>
      </c>
      <c r="CD543" s="451" t="str">
        <f>'Rep Ovh Bal'!CE31</f>
        <v/>
      </c>
      <c r="CE543" s="451" t="str">
        <f>'Rep Ovh Bal'!CF31</f>
        <v/>
      </c>
      <c r="CF543" s="451" t="str">
        <f>'Rep Ovh Bal'!CG31</f>
        <v/>
      </c>
      <c r="CG543" s="451" t="str">
        <f>'Rep Ovh Bal'!CH31</f>
        <v/>
      </c>
      <c r="CH543" s="451" t="str">
        <f>'Rep Ovh Bal'!CI31</f>
        <v/>
      </c>
      <c r="CI543" s="1062">
        <f>'Rep Ovh Bal'!BA31</f>
        <v>11833.1136</v>
      </c>
      <c r="CJ543" s="1062">
        <f>'Rep Ovh Bal'!BA31</f>
        <v>11833.1136</v>
      </c>
      <c r="CK543" s="1062">
        <f>'Rep Ovh Bal'!BB31</f>
        <v>31040.4864</v>
      </c>
      <c r="CL543" s="1064" t="str">
        <f>'Rep Ovh Bal'!BC31</f>
        <v/>
      </c>
      <c r="CM543" s="451" t="str">
        <f>'Rep Ovh Bal'!CN31</f>
        <v/>
      </c>
      <c r="CN543" s="1065" t="str">
        <f>'Rep Ovh Bal'!BE27</f>
        <v/>
      </c>
      <c r="CO543" s="1062" t="str">
        <f>'Rep Ovh Bal'!BF27</f>
        <v/>
      </c>
      <c r="CP543" s="1060" t="str">
        <f>'Rep Ovh Bal'!BG27</f>
        <v/>
      </c>
    </row>
    <row r="544">
      <c r="A544" s="451" t="str">
        <f>'Rep Ovh Bal'!A32</f>
        <v>Repuestos mantenimientos mayores para estaciones y torres</v>
      </c>
      <c r="B544" s="451">
        <f>'Rep Ovh Bal'!B32</f>
        <v>2</v>
      </c>
      <c r="C544" s="451" t="str">
        <f>'Rep Ovh Bal'!C32</f>
        <v>Torres</v>
      </c>
      <c r="D544" s="451" t="str">
        <f>'Rep Ovh Bal'!D32</f>
        <v>OVH balancines TRM</v>
      </c>
      <c r="E544" s="451" t="str">
        <f>'Rep Ovh Bal'!E32</f>
        <v>Repuesto Mecánico</v>
      </c>
      <c r="F544" s="451" t="str">
        <f>'Rep Ovh Bal'!F32</f>
        <v>TDB</v>
      </c>
      <c r="G544" s="1025" t="str">
        <f>'Rep Ovh Bal'!G32</f>
        <v>39800</v>
      </c>
      <c r="H544" s="1061" t="str">
        <f>'Rep Ovh Bal'!H32</f>
        <v/>
      </c>
      <c r="I544" s="1061" t="str">
        <f>'Rep Ovh Bal'!I32</f>
        <v>10262938</v>
      </c>
      <c r="J544" s="1061" t="str">
        <f>'Rep Ovh Bal'!J32</f>
        <v>ARANDELA SEGUR.  NORDLOCK NL12 RECUB.DE LAMINILLAS DE CINC</v>
      </c>
      <c r="K544" s="451" t="str">
        <f>'Rep Ovh Bal'!K32</f>
        <v>Pza</v>
      </c>
      <c r="L544" s="451">
        <f>'Rep Ovh Bal'!L32</f>
        <v>0</v>
      </c>
      <c r="M544" s="451">
        <f>'Rep Ovh Bal'!M32</f>
        <v>0</v>
      </c>
      <c r="N544" s="451">
        <f>'Rep Ovh Bal'!N32</f>
        <v>0</v>
      </c>
      <c r="O544" s="451">
        <f>'Rep Ovh Bal'!O32</f>
        <v>0</v>
      </c>
      <c r="P544" s="451">
        <f>'Rep Ovh Bal'!P32</f>
        <v>0</v>
      </c>
      <c r="Q544" s="451">
        <f>'Rep Ovh Bal'!Q32</f>
        <v>0</v>
      </c>
      <c r="R544" s="451">
        <f>'Rep Ovh Bal'!R32</f>
        <v>0</v>
      </c>
      <c r="S544" s="451">
        <f>'Rep Ovh Bal'!S32</f>
        <v>0</v>
      </c>
      <c r="T544" s="451">
        <f>'Rep Ovh Bal'!T32</f>
        <v>0</v>
      </c>
      <c r="U544" s="451">
        <f>'Rep Ovh Bal'!U32</f>
        <v>0</v>
      </c>
      <c r="V544" s="451">
        <f>'Rep Ovh Bal'!V32</f>
        <v>304</v>
      </c>
      <c r="W544" s="1062">
        <f>'Rep Ovh Bal'!W32</f>
        <v>304</v>
      </c>
      <c r="X544" s="451">
        <f>'Rep Ovh Bal'!X32</f>
        <v>0</v>
      </c>
      <c r="Y544" s="451">
        <f>'Rep Ovh Bal'!Y32</f>
        <v>0</v>
      </c>
      <c r="Z544" s="451">
        <f>'Rep Ovh Bal'!Z32</f>
        <v>0</v>
      </c>
      <c r="AA544" s="451">
        <f>'Rep Ovh Bal'!AA32</f>
        <v>0</v>
      </c>
      <c r="AB544" s="451">
        <f>'Rep Ovh Bal'!AB32</f>
        <v>0</v>
      </c>
      <c r="AC544" s="451">
        <f>'Rep Ovh Bal'!AC32</f>
        <v>0</v>
      </c>
      <c r="AD544" s="451">
        <f>'Rep Ovh Bal'!AD32</f>
        <v>0</v>
      </c>
      <c r="AE544" s="451">
        <f>'Rep Ovh Bal'!AE32</f>
        <v>0</v>
      </c>
      <c r="AF544" s="451">
        <f>'Rep Ovh Bal'!AF32</f>
        <v>0</v>
      </c>
      <c r="AG544" s="451">
        <f>'Rep Ovh Bal'!AG32</f>
        <v>0</v>
      </c>
      <c r="AH544" s="451">
        <f>'Rep Ovh Bal'!AH32</f>
        <v>48</v>
      </c>
      <c r="AI544" s="1062">
        <f>'Rep Ovh Bal'!AI32</f>
        <v>48</v>
      </c>
      <c r="AJ544" s="451">
        <f>'Rep Ovh Bal'!AJ32</f>
        <v>0</v>
      </c>
      <c r="AK544" s="451">
        <f>'Rep Ovh Bal'!AK32</f>
        <v>0</v>
      </c>
      <c r="AL544" s="451">
        <f>'Rep Ovh Bal'!AL32</f>
        <v>0</v>
      </c>
      <c r="AM544" s="451">
        <f>'Rep Ovh Bal'!AM32</f>
        <v>0</v>
      </c>
      <c r="AN544" s="451">
        <f>'Rep Ovh Bal'!AN32</f>
        <v>0</v>
      </c>
      <c r="AO544" s="451">
        <f>'Rep Ovh Bal'!AO32</f>
        <v>0</v>
      </c>
      <c r="AP544" s="451">
        <f>'Rep Ovh Bal'!AP32</f>
        <v>0</v>
      </c>
      <c r="AQ544" s="451">
        <f>'Rep Ovh Bal'!AQ32</f>
        <v>0</v>
      </c>
      <c r="AR544" s="451">
        <f>'Rep Ovh Bal'!AR32</f>
        <v>0</v>
      </c>
      <c r="AS544" s="451">
        <f>'Rep Ovh Bal'!AS32</f>
        <v>0</v>
      </c>
      <c r="AT544" s="451">
        <f>'Rep Ovh Bal'!AT32</f>
        <v>160</v>
      </c>
      <c r="AU544" s="1062">
        <f>'Rep Ovh Bal'!AU32</f>
        <v>160</v>
      </c>
      <c r="AV544" s="1063">
        <f>'Rep Ovh Bal'!AV32</f>
        <v>512</v>
      </c>
      <c r="AW544" s="1068"/>
      <c r="AX544" s="1065">
        <f>'Rep Ovh Bal'!AW32</f>
        <v>1.96</v>
      </c>
      <c r="AY544" s="1062">
        <f>'Rep Ovh Bal'!AX32</f>
        <v>13.6416</v>
      </c>
      <c r="AZ544" s="1068"/>
      <c r="BA544" s="1068"/>
      <c r="BB544" s="1068"/>
      <c r="BC544" s="1068"/>
      <c r="BD544" s="1068"/>
      <c r="BE544" s="1068"/>
      <c r="BF544" s="1065" t="str">
        <f>'Rep Ovh Bal'!BE32</f>
        <v/>
      </c>
      <c r="BG544" s="451" t="str">
        <f>'Rep Ovh Bal'!BH32</f>
        <v/>
      </c>
      <c r="BH544" s="451" t="str">
        <f>'Rep Ovh Bal'!BI32</f>
        <v/>
      </c>
      <c r="BI544" s="451" t="str">
        <f>'Rep Ovh Bal'!BJ32</f>
        <v/>
      </c>
      <c r="BJ544" s="451" t="str">
        <f>'Rep Ovh Bal'!BK32</f>
        <v/>
      </c>
      <c r="BK544" s="1062">
        <f>'Rep Ovh Bal'!AY32</f>
        <v>4147.0464</v>
      </c>
      <c r="BL544" s="1069">
        <f>'Rep Ovh Bal'!AY32</f>
        <v>4147.0464</v>
      </c>
      <c r="BM544" s="1068"/>
      <c r="BN544" s="1068"/>
      <c r="BO544" s="1068"/>
      <c r="BP544" s="451" t="str">
        <f>'Rep Ovh Bal'!BQ32</f>
        <v/>
      </c>
      <c r="BQ544" s="451" t="str">
        <f>'Rep Ovh Bal'!BR32</f>
        <v/>
      </c>
      <c r="BR544" s="451" t="str">
        <f>'Rep Ovh Bal'!BS32</f>
        <v/>
      </c>
      <c r="BS544" s="451" t="str">
        <f>'Rep Ovh Bal'!BT32</f>
        <v/>
      </c>
      <c r="BT544" s="451" t="str">
        <f>'Rep Ovh Bal'!BU32</f>
        <v/>
      </c>
      <c r="BU544" s="451" t="str">
        <f>'Rep Ovh Bal'!BV32</f>
        <v/>
      </c>
      <c r="BV544" s="451" t="str">
        <f>'Rep Ovh Bal'!BW32</f>
        <v/>
      </c>
      <c r="BW544" s="1062">
        <f>'Rep Ovh Bal'!AZ32</f>
        <v>654.7968</v>
      </c>
      <c r="BX544" s="1069">
        <f>'Rep Ovh Bal'!AZ32</f>
        <v>654.7968</v>
      </c>
      <c r="BY544" s="1068"/>
      <c r="BZ544" s="1068"/>
      <c r="CA544" s="451" t="str">
        <f>'Rep Ovh Bal'!CB32</f>
        <v/>
      </c>
      <c r="CB544" s="451" t="str">
        <f>'Rep Ovh Bal'!CC32</f>
        <v/>
      </c>
      <c r="CC544" s="451" t="str">
        <f>'Rep Ovh Bal'!CD32</f>
        <v/>
      </c>
      <c r="CD544" s="451" t="str">
        <f>'Rep Ovh Bal'!CE32</f>
        <v/>
      </c>
      <c r="CE544" s="451" t="str">
        <f>'Rep Ovh Bal'!CF32</f>
        <v/>
      </c>
      <c r="CF544" s="451" t="str">
        <f>'Rep Ovh Bal'!CG32</f>
        <v/>
      </c>
      <c r="CG544" s="451" t="str">
        <f>'Rep Ovh Bal'!CH32</f>
        <v/>
      </c>
      <c r="CH544" s="451" t="str">
        <f>'Rep Ovh Bal'!CI32</f>
        <v/>
      </c>
      <c r="CI544" s="1062">
        <f>'Rep Ovh Bal'!BA32</f>
        <v>2182.656</v>
      </c>
      <c r="CJ544" s="1062">
        <f>'Rep Ovh Bal'!BA32</f>
        <v>2182.656</v>
      </c>
      <c r="CK544" s="1062">
        <f>'Rep Ovh Bal'!BB32</f>
        <v>6984.4992</v>
      </c>
      <c r="CL544" s="1064" t="str">
        <f>'Rep Ovh Bal'!BC32</f>
        <v/>
      </c>
      <c r="CM544" s="451" t="str">
        <f>'Rep Ovh Bal'!CN32</f>
        <v/>
      </c>
      <c r="CN544" s="1065" t="str">
        <f>'Rep Ovh Bal'!BE28</f>
        <v/>
      </c>
      <c r="CO544" s="1062" t="str">
        <f>'Rep Ovh Bal'!BF28</f>
        <v/>
      </c>
      <c r="CP544" s="1060" t="str">
        <f>'Rep Ovh Bal'!BG28</f>
        <v/>
      </c>
    </row>
    <row r="545">
      <c r="A545" s="451" t="str">
        <f>'Rep Ovh Bal'!A33</f>
        <v>Repuestos mantenimientos mayores para estaciones y torres</v>
      </c>
      <c r="B545" s="451">
        <f>'Rep Ovh Bal'!B33</f>
        <v>2</v>
      </c>
      <c r="C545" s="451" t="str">
        <f>'Rep Ovh Bal'!C33</f>
        <v>Torres</v>
      </c>
      <c r="D545" s="451" t="str">
        <f>'Rep Ovh Bal'!D33</f>
        <v>OVH balancines TRM</v>
      </c>
      <c r="E545" s="451" t="str">
        <f>'Rep Ovh Bal'!E33</f>
        <v>Repuesto Mecánico</v>
      </c>
      <c r="F545" s="451" t="str">
        <f>'Rep Ovh Bal'!F33</f>
        <v>TDB</v>
      </c>
      <c r="G545" s="1025" t="str">
        <f>'Rep Ovh Bal'!G33</f>
        <v>39800</v>
      </c>
      <c r="H545" s="1061" t="str">
        <f>'Rep Ovh Bal'!H33</f>
        <v>2-01-00439</v>
      </c>
      <c r="I545" s="1061" t="str">
        <f>'Rep Ovh Bal'!I33</f>
        <v>10288696</v>
      </c>
      <c r="J545" s="1061" t="str">
        <f>'Rep Ovh Bal'!J33</f>
        <v>BULÓN DIA.24,9 LN 148 M20      PARA POLEA TIPO C/401(&gt;1970)</v>
      </c>
      <c r="K545" s="451" t="str">
        <f>'Rep Ovh Bal'!K33</f>
        <v>Pza</v>
      </c>
      <c r="L545" s="451">
        <f>'Rep Ovh Bal'!L33</f>
        <v>0</v>
      </c>
      <c r="M545" s="451">
        <f>'Rep Ovh Bal'!M33</f>
        <v>0</v>
      </c>
      <c r="N545" s="451">
        <f>'Rep Ovh Bal'!N33</f>
        <v>0</v>
      </c>
      <c r="O545" s="451">
        <f>'Rep Ovh Bal'!O33</f>
        <v>0</v>
      </c>
      <c r="P545" s="451">
        <f>'Rep Ovh Bal'!P33</f>
        <v>0</v>
      </c>
      <c r="Q545" s="451">
        <f>'Rep Ovh Bal'!Q33</f>
        <v>0</v>
      </c>
      <c r="R545" s="451">
        <f>'Rep Ovh Bal'!R33</f>
        <v>0</v>
      </c>
      <c r="S545" s="451">
        <f>'Rep Ovh Bal'!S33</f>
        <v>0</v>
      </c>
      <c r="T545" s="451">
        <f>'Rep Ovh Bal'!T33</f>
        <v>0</v>
      </c>
      <c r="U545" s="451">
        <f>'Rep Ovh Bal'!U33</f>
        <v>0</v>
      </c>
      <c r="V545" s="451">
        <f>'Rep Ovh Bal'!V33</f>
        <v>152</v>
      </c>
      <c r="W545" s="1062">
        <f>'Rep Ovh Bal'!W33</f>
        <v>152</v>
      </c>
      <c r="X545" s="451">
        <f>'Rep Ovh Bal'!X33</f>
        <v>0</v>
      </c>
      <c r="Y545" s="451">
        <f>'Rep Ovh Bal'!Y33</f>
        <v>0</v>
      </c>
      <c r="Z545" s="451">
        <f>'Rep Ovh Bal'!Z33</f>
        <v>0</v>
      </c>
      <c r="AA545" s="451">
        <f>'Rep Ovh Bal'!AA33</f>
        <v>0</v>
      </c>
      <c r="AB545" s="451">
        <f>'Rep Ovh Bal'!AB33</f>
        <v>0</v>
      </c>
      <c r="AC545" s="451">
        <f>'Rep Ovh Bal'!AC33</f>
        <v>0</v>
      </c>
      <c r="AD545" s="451">
        <f>'Rep Ovh Bal'!AD33</f>
        <v>0</v>
      </c>
      <c r="AE545" s="451">
        <f>'Rep Ovh Bal'!AE33</f>
        <v>0</v>
      </c>
      <c r="AF545" s="451">
        <f>'Rep Ovh Bal'!AF33</f>
        <v>0</v>
      </c>
      <c r="AG545" s="451">
        <f>'Rep Ovh Bal'!AG33</f>
        <v>0</v>
      </c>
      <c r="AH545" s="451">
        <f>'Rep Ovh Bal'!AH33</f>
        <v>24</v>
      </c>
      <c r="AI545" s="1062">
        <f>'Rep Ovh Bal'!AI33</f>
        <v>24</v>
      </c>
      <c r="AJ545" s="451">
        <f>'Rep Ovh Bal'!AJ33</f>
        <v>0</v>
      </c>
      <c r="AK545" s="451">
        <f>'Rep Ovh Bal'!AK33</f>
        <v>0</v>
      </c>
      <c r="AL545" s="451">
        <f>'Rep Ovh Bal'!AL33</f>
        <v>0</v>
      </c>
      <c r="AM545" s="451">
        <f>'Rep Ovh Bal'!AM33</f>
        <v>0</v>
      </c>
      <c r="AN545" s="451">
        <f>'Rep Ovh Bal'!AN33</f>
        <v>0</v>
      </c>
      <c r="AO545" s="451">
        <f>'Rep Ovh Bal'!AO33</f>
        <v>0</v>
      </c>
      <c r="AP545" s="451">
        <f>'Rep Ovh Bal'!AP33</f>
        <v>0</v>
      </c>
      <c r="AQ545" s="451">
        <f>'Rep Ovh Bal'!AQ33</f>
        <v>0</v>
      </c>
      <c r="AR545" s="451">
        <f>'Rep Ovh Bal'!AR33</f>
        <v>0</v>
      </c>
      <c r="AS545" s="451">
        <f>'Rep Ovh Bal'!AS33</f>
        <v>0</v>
      </c>
      <c r="AT545" s="451">
        <f>'Rep Ovh Bal'!AT33</f>
        <v>80</v>
      </c>
      <c r="AU545" s="1062">
        <f>'Rep Ovh Bal'!AU33</f>
        <v>80</v>
      </c>
      <c r="AV545" s="1063">
        <f>'Rep Ovh Bal'!AV33</f>
        <v>256</v>
      </c>
      <c r="AW545" s="1068"/>
      <c r="AX545" s="1065">
        <f>'Rep Ovh Bal'!AW33</f>
        <v>25.5</v>
      </c>
      <c r="AY545" s="1062">
        <f>'Rep Ovh Bal'!AX33</f>
        <v>177.48</v>
      </c>
      <c r="AZ545" s="1068"/>
      <c r="BA545" s="1068"/>
      <c r="BB545" s="1068"/>
      <c r="BC545" s="1068"/>
      <c r="BD545" s="1068"/>
      <c r="BE545" s="1068"/>
      <c r="BF545" s="1065" t="str">
        <f>'Rep Ovh Bal'!BE33</f>
        <v/>
      </c>
      <c r="BG545" s="451" t="str">
        <f>'Rep Ovh Bal'!BH33</f>
        <v/>
      </c>
      <c r="BH545" s="451" t="str">
        <f>'Rep Ovh Bal'!BI33</f>
        <v/>
      </c>
      <c r="BI545" s="451" t="str">
        <f>'Rep Ovh Bal'!BJ33</f>
        <v/>
      </c>
      <c r="BJ545" s="451" t="str">
        <f>'Rep Ovh Bal'!BK33</f>
        <v/>
      </c>
      <c r="BK545" s="1062">
        <f>'Rep Ovh Bal'!AY33</f>
        <v>26976.96</v>
      </c>
      <c r="BL545" s="1069">
        <f>'Rep Ovh Bal'!AY33</f>
        <v>26976.96</v>
      </c>
      <c r="BM545" s="1068"/>
      <c r="BN545" s="1068"/>
      <c r="BO545" s="1068"/>
      <c r="BP545" s="451" t="str">
        <f>'Rep Ovh Bal'!BQ33</f>
        <v/>
      </c>
      <c r="BQ545" s="451" t="str">
        <f>'Rep Ovh Bal'!BR33</f>
        <v/>
      </c>
      <c r="BR545" s="451" t="str">
        <f>'Rep Ovh Bal'!BS33</f>
        <v/>
      </c>
      <c r="BS545" s="451" t="str">
        <f>'Rep Ovh Bal'!BT33</f>
        <v/>
      </c>
      <c r="BT545" s="451" t="str">
        <f>'Rep Ovh Bal'!BU33</f>
        <v/>
      </c>
      <c r="BU545" s="451" t="str">
        <f>'Rep Ovh Bal'!BV33</f>
        <v/>
      </c>
      <c r="BV545" s="451" t="str">
        <f>'Rep Ovh Bal'!BW33</f>
        <v/>
      </c>
      <c r="BW545" s="1062">
        <f>'Rep Ovh Bal'!AZ33</f>
        <v>4259.52</v>
      </c>
      <c r="BX545" s="1069">
        <f>'Rep Ovh Bal'!AZ33</f>
        <v>4259.52</v>
      </c>
      <c r="BY545" s="1068"/>
      <c r="BZ545" s="1068"/>
      <c r="CA545" s="451" t="str">
        <f>'Rep Ovh Bal'!CB33</f>
        <v/>
      </c>
      <c r="CB545" s="451" t="str">
        <f>'Rep Ovh Bal'!CC33</f>
        <v/>
      </c>
      <c r="CC545" s="451" t="str">
        <f>'Rep Ovh Bal'!CD33</f>
        <v/>
      </c>
      <c r="CD545" s="451" t="str">
        <f>'Rep Ovh Bal'!CE33</f>
        <v/>
      </c>
      <c r="CE545" s="451" t="str">
        <f>'Rep Ovh Bal'!CF33</f>
        <v/>
      </c>
      <c r="CF545" s="451" t="str">
        <f>'Rep Ovh Bal'!CG33</f>
        <v/>
      </c>
      <c r="CG545" s="451" t="str">
        <f>'Rep Ovh Bal'!CH33</f>
        <v/>
      </c>
      <c r="CH545" s="451" t="str">
        <f>'Rep Ovh Bal'!CI33</f>
        <v/>
      </c>
      <c r="CI545" s="1062">
        <f>'Rep Ovh Bal'!BA33</f>
        <v>14198.4</v>
      </c>
      <c r="CJ545" s="1062">
        <f>'Rep Ovh Bal'!BA33</f>
        <v>14198.4</v>
      </c>
      <c r="CK545" s="1062">
        <f>'Rep Ovh Bal'!BB33</f>
        <v>45434.88</v>
      </c>
      <c r="CL545" s="1064" t="str">
        <f>'Rep Ovh Bal'!BC33</f>
        <v/>
      </c>
      <c r="CM545" s="451" t="str">
        <f>'Rep Ovh Bal'!CN33</f>
        <v/>
      </c>
      <c r="CN545" s="1065" t="str">
        <f>'Rep Ovh Bal'!BE29</f>
        <v/>
      </c>
      <c r="CO545" s="1062" t="str">
        <f>'Rep Ovh Bal'!BF29</f>
        <v/>
      </c>
      <c r="CP545" s="1060" t="str">
        <f>'Rep Ovh Bal'!BG29</f>
        <v/>
      </c>
    </row>
    <row r="546">
      <c r="A546" s="451" t="str">
        <f>'Rep Ovh Bal'!A34</f>
        <v>Repuestos mantenimientos mayores para estaciones y torres</v>
      </c>
      <c r="B546" s="451">
        <f>'Rep Ovh Bal'!B34</f>
        <v>2</v>
      </c>
      <c r="C546" s="451" t="str">
        <f>'Rep Ovh Bal'!C34</f>
        <v>Torres</v>
      </c>
      <c r="D546" s="451" t="str">
        <f>'Rep Ovh Bal'!D34</f>
        <v>OVH balancines TRM</v>
      </c>
      <c r="E546" s="451" t="str">
        <f>'Rep Ovh Bal'!E34</f>
        <v>Repuesto Mecánico</v>
      </c>
      <c r="F546" s="451" t="str">
        <f>'Rep Ovh Bal'!F34</f>
        <v>TDB</v>
      </c>
      <c r="G546" s="1025" t="str">
        <f>'Rep Ovh Bal'!G34</f>
        <v>39800</v>
      </c>
      <c r="H546" s="1061" t="str">
        <f>'Rep Ovh Bal'!H34</f>
        <v>2-01-00860</v>
      </c>
      <c r="I546" s="1061" t="str">
        <f>'Rep Ovh Bal'!I34</f>
        <v>10293344</v>
      </c>
      <c r="J546" s="1061" t="str">
        <f>'Rep Ovh Bal'!J34</f>
        <v>PERNO DIA.29,9  L 225 M24      PARA POLEA TIPO 501</v>
      </c>
      <c r="K546" s="451" t="str">
        <f>'Rep Ovh Bal'!K34</f>
        <v>Pza</v>
      </c>
      <c r="L546" s="451">
        <f>'Rep Ovh Bal'!L34</f>
        <v>0</v>
      </c>
      <c r="M546" s="451">
        <f>'Rep Ovh Bal'!M34</f>
        <v>0</v>
      </c>
      <c r="N546" s="451">
        <f>'Rep Ovh Bal'!N34</f>
        <v>0</v>
      </c>
      <c r="O546" s="451">
        <f>'Rep Ovh Bal'!O34</f>
        <v>0</v>
      </c>
      <c r="P546" s="451">
        <f>'Rep Ovh Bal'!P34</f>
        <v>0</v>
      </c>
      <c r="Q546" s="451">
        <f>'Rep Ovh Bal'!Q34</f>
        <v>0</v>
      </c>
      <c r="R546" s="451">
        <f>'Rep Ovh Bal'!R34</f>
        <v>0</v>
      </c>
      <c r="S546" s="451">
        <f>'Rep Ovh Bal'!S34</f>
        <v>0</v>
      </c>
      <c r="T546" s="451">
        <f>'Rep Ovh Bal'!T34</f>
        <v>0</v>
      </c>
      <c r="U546" s="451">
        <f>'Rep Ovh Bal'!U34</f>
        <v>0</v>
      </c>
      <c r="V546" s="451">
        <f>'Rep Ovh Bal'!V34</f>
        <v>240</v>
      </c>
      <c r="W546" s="1062">
        <f>'Rep Ovh Bal'!W34</f>
        <v>240</v>
      </c>
      <c r="X546" s="451">
        <f>'Rep Ovh Bal'!X34</f>
        <v>0</v>
      </c>
      <c r="Y546" s="451">
        <f>'Rep Ovh Bal'!Y34</f>
        <v>0</v>
      </c>
      <c r="Z546" s="451">
        <f>'Rep Ovh Bal'!Z34</f>
        <v>0</v>
      </c>
      <c r="AA546" s="451">
        <f>'Rep Ovh Bal'!AA34</f>
        <v>0</v>
      </c>
      <c r="AB546" s="451">
        <f>'Rep Ovh Bal'!AB34</f>
        <v>0</v>
      </c>
      <c r="AC546" s="451">
        <f>'Rep Ovh Bal'!AC34</f>
        <v>0</v>
      </c>
      <c r="AD546" s="451">
        <f>'Rep Ovh Bal'!AD34</f>
        <v>0</v>
      </c>
      <c r="AE546" s="451">
        <f>'Rep Ovh Bal'!AE34</f>
        <v>0</v>
      </c>
      <c r="AF546" s="451">
        <f>'Rep Ovh Bal'!AF34</f>
        <v>0</v>
      </c>
      <c r="AG546" s="451">
        <f>'Rep Ovh Bal'!AG34</f>
        <v>0</v>
      </c>
      <c r="AH546" s="451">
        <f>'Rep Ovh Bal'!AH34</f>
        <v>460</v>
      </c>
      <c r="AI546" s="1062">
        <f>'Rep Ovh Bal'!AI34</f>
        <v>460</v>
      </c>
      <c r="AJ546" s="451">
        <f>'Rep Ovh Bal'!AJ34</f>
        <v>0</v>
      </c>
      <c r="AK546" s="451">
        <f>'Rep Ovh Bal'!AK34</f>
        <v>0</v>
      </c>
      <c r="AL546" s="451">
        <f>'Rep Ovh Bal'!AL34</f>
        <v>0</v>
      </c>
      <c r="AM546" s="451">
        <f>'Rep Ovh Bal'!AM34</f>
        <v>0</v>
      </c>
      <c r="AN546" s="451">
        <f>'Rep Ovh Bal'!AN34</f>
        <v>0</v>
      </c>
      <c r="AO546" s="451">
        <f>'Rep Ovh Bal'!AO34</f>
        <v>0</v>
      </c>
      <c r="AP546" s="451">
        <f>'Rep Ovh Bal'!AP34</f>
        <v>0</v>
      </c>
      <c r="AQ546" s="451">
        <f>'Rep Ovh Bal'!AQ34</f>
        <v>0</v>
      </c>
      <c r="AR546" s="451">
        <f>'Rep Ovh Bal'!AR34</f>
        <v>0</v>
      </c>
      <c r="AS546" s="451">
        <f>'Rep Ovh Bal'!AS34</f>
        <v>0</v>
      </c>
      <c r="AT546" s="451">
        <f>'Rep Ovh Bal'!AT34</f>
        <v>480</v>
      </c>
      <c r="AU546" s="1062">
        <f>'Rep Ovh Bal'!AU34</f>
        <v>480</v>
      </c>
      <c r="AV546" s="1063">
        <f>'Rep Ovh Bal'!AV34</f>
        <v>1180</v>
      </c>
      <c r="AW546" s="1068"/>
      <c r="AX546" s="1065">
        <f>'Rep Ovh Bal'!AW34</f>
        <v>47.38</v>
      </c>
      <c r="AY546" s="1062">
        <f>'Rep Ovh Bal'!AX34</f>
        <v>329.7648</v>
      </c>
      <c r="AZ546" s="1068"/>
      <c r="BA546" s="1068"/>
      <c r="BB546" s="1068"/>
      <c r="BC546" s="1068"/>
      <c r="BD546" s="1068"/>
      <c r="BE546" s="1068"/>
      <c r="BF546" s="1065" t="str">
        <f>'Rep Ovh Bal'!BE34</f>
        <v/>
      </c>
      <c r="BG546" s="451" t="str">
        <f>'Rep Ovh Bal'!BH34</f>
        <v/>
      </c>
      <c r="BH546" s="451" t="str">
        <f>'Rep Ovh Bal'!BI34</f>
        <v/>
      </c>
      <c r="BI546" s="451" t="str">
        <f>'Rep Ovh Bal'!BJ34</f>
        <v/>
      </c>
      <c r="BJ546" s="451" t="str">
        <f>'Rep Ovh Bal'!BK34</f>
        <v/>
      </c>
      <c r="BK546" s="1062">
        <f>'Rep Ovh Bal'!AY34</f>
        <v>79143.552</v>
      </c>
      <c r="BL546" s="1069">
        <f>'Rep Ovh Bal'!AY34</f>
        <v>79143.552</v>
      </c>
      <c r="BM546" s="1068"/>
      <c r="BN546" s="1068"/>
      <c r="BO546" s="1068"/>
      <c r="BP546" s="451" t="str">
        <f>'Rep Ovh Bal'!BQ34</f>
        <v/>
      </c>
      <c r="BQ546" s="451" t="str">
        <f>'Rep Ovh Bal'!BR34</f>
        <v/>
      </c>
      <c r="BR546" s="451" t="str">
        <f>'Rep Ovh Bal'!BS34</f>
        <v/>
      </c>
      <c r="BS546" s="451" t="str">
        <f>'Rep Ovh Bal'!BT34</f>
        <v/>
      </c>
      <c r="BT546" s="451" t="str">
        <f>'Rep Ovh Bal'!BU34</f>
        <v/>
      </c>
      <c r="BU546" s="451" t="str">
        <f>'Rep Ovh Bal'!BV34</f>
        <v/>
      </c>
      <c r="BV546" s="451" t="str">
        <f>'Rep Ovh Bal'!BW34</f>
        <v/>
      </c>
      <c r="BW546" s="1062">
        <f>'Rep Ovh Bal'!AZ34</f>
        <v>151691.808</v>
      </c>
      <c r="BX546" s="1069">
        <f>'Rep Ovh Bal'!AZ34</f>
        <v>151691.808</v>
      </c>
      <c r="BY546" s="1068"/>
      <c r="BZ546" s="1068"/>
      <c r="CA546" s="451" t="str">
        <f>'Rep Ovh Bal'!CB34</f>
        <v/>
      </c>
      <c r="CB546" s="451" t="str">
        <f>'Rep Ovh Bal'!CC34</f>
        <v/>
      </c>
      <c r="CC546" s="451" t="str">
        <f>'Rep Ovh Bal'!CD34</f>
        <v/>
      </c>
      <c r="CD546" s="451" t="str">
        <f>'Rep Ovh Bal'!CE34</f>
        <v/>
      </c>
      <c r="CE546" s="451" t="str">
        <f>'Rep Ovh Bal'!CF34</f>
        <v/>
      </c>
      <c r="CF546" s="451" t="str">
        <f>'Rep Ovh Bal'!CG34</f>
        <v/>
      </c>
      <c r="CG546" s="451" t="str">
        <f>'Rep Ovh Bal'!CH34</f>
        <v/>
      </c>
      <c r="CH546" s="451" t="str">
        <f>'Rep Ovh Bal'!CI34</f>
        <v/>
      </c>
      <c r="CI546" s="1062">
        <f>'Rep Ovh Bal'!BA34</f>
        <v>158287.104</v>
      </c>
      <c r="CJ546" s="1062">
        <f>'Rep Ovh Bal'!BA34</f>
        <v>158287.104</v>
      </c>
      <c r="CK546" s="1062">
        <f>'Rep Ovh Bal'!BB34</f>
        <v>389122.464</v>
      </c>
      <c r="CL546" s="1064" t="str">
        <f>'Rep Ovh Bal'!BC34</f>
        <v/>
      </c>
      <c r="CM546" s="451" t="str">
        <f>'Rep Ovh Bal'!CN34</f>
        <v/>
      </c>
      <c r="CN546" s="1065" t="str">
        <f>'Rep Ovh Bal'!BE30</f>
        <v/>
      </c>
      <c r="CO546" s="1062" t="str">
        <f>'Rep Ovh Bal'!BF30</f>
        <v/>
      </c>
      <c r="CP546" s="1060" t="str">
        <f>'Rep Ovh Bal'!BG30</f>
        <v/>
      </c>
    </row>
    <row r="547">
      <c r="A547" s="451" t="str">
        <f>'Rep Ovh Bal'!A35</f>
        <v>Repuestos mantenimientos mayores para estaciones y torres</v>
      </c>
      <c r="B547" s="451">
        <f>'Rep Ovh Bal'!B35</f>
        <v>2</v>
      </c>
      <c r="C547" s="451" t="str">
        <f>'Rep Ovh Bal'!C35</f>
        <v>Torres</v>
      </c>
      <c r="D547" s="451" t="str">
        <f>'Rep Ovh Bal'!D35</f>
        <v>OVH balancines TRM</v>
      </c>
      <c r="E547" s="451" t="str">
        <f>'Rep Ovh Bal'!E35</f>
        <v>Repuesto Mecánico</v>
      </c>
      <c r="F547" s="451" t="str">
        <f>'Rep Ovh Bal'!F35</f>
        <v>TDB</v>
      </c>
      <c r="G547" s="1025" t="str">
        <f>'Rep Ovh Bal'!G35</f>
        <v>39800</v>
      </c>
      <c r="H547" s="1061" t="str">
        <f>'Rep Ovh Bal'!H35</f>
        <v>2-01-00869</v>
      </c>
      <c r="I547" s="1061" t="str">
        <f>'Rep Ovh Bal'!I35</f>
        <v>10295381</v>
      </c>
      <c r="J547" s="1061" t="str">
        <f>'Rep Ovh Bal'!J35</f>
        <v>RACOR DE ENGRASE A 12X1,0  DIN71412 CÓNICO RECTO</v>
      </c>
      <c r="K547" s="451" t="str">
        <f>'Rep Ovh Bal'!K35</f>
        <v>Pza</v>
      </c>
      <c r="L547" s="451">
        <f>'Rep Ovh Bal'!L35</f>
        <v>0</v>
      </c>
      <c r="M547" s="451">
        <f>'Rep Ovh Bal'!M35</f>
        <v>0</v>
      </c>
      <c r="N547" s="451">
        <f>'Rep Ovh Bal'!N35</f>
        <v>0</v>
      </c>
      <c r="O547" s="451">
        <f>'Rep Ovh Bal'!O35</f>
        <v>0</v>
      </c>
      <c r="P547" s="451">
        <f>'Rep Ovh Bal'!P35</f>
        <v>0</v>
      </c>
      <c r="Q547" s="451">
        <f>'Rep Ovh Bal'!Q35</f>
        <v>0</v>
      </c>
      <c r="R547" s="451">
        <f>'Rep Ovh Bal'!R35</f>
        <v>0</v>
      </c>
      <c r="S547" s="451">
        <f>'Rep Ovh Bal'!S35</f>
        <v>0</v>
      </c>
      <c r="T547" s="451">
        <f>'Rep Ovh Bal'!T35</f>
        <v>0</v>
      </c>
      <c r="U547" s="451">
        <f>'Rep Ovh Bal'!U35</f>
        <v>0</v>
      </c>
      <c r="V547" s="451">
        <f>'Rep Ovh Bal'!V35</f>
        <v>50</v>
      </c>
      <c r="W547" s="1062">
        <f>'Rep Ovh Bal'!W35</f>
        <v>50</v>
      </c>
      <c r="X547" s="451">
        <f>'Rep Ovh Bal'!X35</f>
        <v>0</v>
      </c>
      <c r="Y547" s="451">
        <f>'Rep Ovh Bal'!Y35</f>
        <v>0</v>
      </c>
      <c r="Z547" s="451">
        <f>'Rep Ovh Bal'!Z35</f>
        <v>0</v>
      </c>
      <c r="AA547" s="451">
        <f>'Rep Ovh Bal'!AA35</f>
        <v>0</v>
      </c>
      <c r="AB547" s="451">
        <f>'Rep Ovh Bal'!AB35</f>
        <v>0</v>
      </c>
      <c r="AC547" s="451">
        <f>'Rep Ovh Bal'!AC35</f>
        <v>0</v>
      </c>
      <c r="AD547" s="451">
        <f>'Rep Ovh Bal'!AD35</f>
        <v>0</v>
      </c>
      <c r="AE547" s="451">
        <f>'Rep Ovh Bal'!AE35</f>
        <v>0</v>
      </c>
      <c r="AF547" s="451">
        <f>'Rep Ovh Bal'!AF35</f>
        <v>0</v>
      </c>
      <c r="AG547" s="451">
        <f>'Rep Ovh Bal'!AG35</f>
        <v>0</v>
      </c>
      <c r="AH547" s="451">
        <f>'Rep Ovh Bal'!AH35</f>
        <v>0</v>
      </c>
      <c r="AI547" s="1062">
        <f>'Rep Ovh Bal'!AI35</f>
        <v>0</v>
      </c>
      <c r="AJ547" s="451">
        <f>'Rep Ovh Bal'!AJ35</f>
        <v>0</v>
      </c>
      <c r="AK547" s="451">
        <f>'Rep Ovh Bal'!AK35</f>
        <v>0</v>
      </c>
      <c r="AL547" s="451">
        <f>'Rep Ovh Bal'!AL35</f>
        <v>0</v>
      </c>
      <c r="AM547" s="451">
        <f>'Rep Ovh Bal'!AM35</f>
        <v>0</v>
      </c>
      <c r="AN547" s="451">
        <f>'Rep Ovh Bal'!AN35</f>
        <v>0</v>
      </c>
      <c r="AO547" s="451">
        <f>'Rep Ovh Bal'!AO35</f>
        <v>0</v>
      </c>
      <c r="AP547" s="451">
        <f>'Rep Ovh Bal'!AP35</f>
        <v>0</v>
      </c>
      <c r="AQ547" s="451">
        <f>'Rep Ovh Bal'!AQ35</f>
        <v>0</v>
      </c>
      <c r="AR547" s="451">
        <f>'Rep Ovh Bal'!AR35</f>
        <v>0</v>
      </c>
      <c r="AS547" s="451">
        <f>'Rep Ovh Bal'!AS35</f>
        <v>0</v>
      </c>
      <c r="AT547" s="451">
        <f>'Rep Ovh Bal'!AT35</f>
        <v>0</v>
      </c>
      <c r="AU547" s="1062">
        <f>'Rep Ovh Bal'!AU35</f>
        <v>0</v>
      </c>
      <c r="AV547" s="1063">
        <f>'Rep Ovh Bal'!AV35</f>
        <v>50</v>
      </c>
      <c r="AW547" s="1068"/>
      <c r="AX547" s="1065">
        <f>'Rep Ovh Bal'!AW35</f>
        <v>2.38</v>
      </c>
      <c r="AY547" s="1062">
        <f>'Rep Ovh Bal'!AX35</f>
        <v>16.5648</v>
      </c>
      <c r="AZ547" s="1068"/>
      <c r="BA547" s="1068"/>
      <c r="BB547" s="1068"/>
      <c r="BC547" s="1068"/>
      <c r="BD547" s="1068"/>
      <c r="BE547" s="1068"/>
      <c r="BF547" s="1065" t="str">
        <f>'Rep Ovh Bal'!BE35</f>
        <v/>
      </c>
      <c r="BG547" s="451" t="str">
        <f>'Rep Ovh Bal'!BH35</f>
        <v/>
      </c>
      <c r="BH547" s="451" t="str">
        <f>'Rep Ovh Bal'!BI35</f>
        <v/>
      </c>
      <c r="BI547" s="451" t="str">
        <f>'Rep Ovh Bal'!BJ35</f>
        <v/>
      </c>
      <c r="BJ547" s="451" t="str">
        <f>'Rep Ovh Bal'!BK35</f>
        <v/>
      </c>
      <c r="BK547" s="1062">
        <f>'Rep Ovh Bal'!AY35</f>
        <v>828.24</v>
      </c>
      <c r="BL547" s="1069">
        <f>'Rep Ovh Bal'!AY35</f>
        <v>828.24</v>
      </c>
      <c r="BM547" s="1068"/>
      <c r="BN547" s="1068"/>
      <c r="BO547" s="1068"/>
      <c r="BP547" s="451" t="str">
        <f>'Rep Ovh Bal'!BQ35</f>
        <v/>
      </c>
      <c r="BQ547" s="451" t="str">
        <f>'Rep Ovh Bal'!BR35</f>
        <v/>
      </c>
      <c r="BR547" s="451" t="str">
        <f>'Rep Ovh Bal'!BS35</f>
        <v/>
      </c>
      <c r="BS547" s="451" t="str">
        <f>'Rep Ovh Bal'!BT35</f>
        <v/>
      </c>
      <c r="BT547" s="451" t="str">
        <f>'Rep Ovh Bal'!BU35</f>
        <v/>
      </c>
      <c r="BU547" s="451" t="str">
        <f>'Rep Ovh Bal'!BV35</f>
        <v/>
      </c>
      <c r="BV547" s="451" t="str">
        <f>'Rep Ovh Bal'!BW35</f>
        <v/>
      </c>
      <c r="BW547" s="1062">
        <f>'Rep Ovh Bal'!AZ35</f>
        <v>0</v>
      </c>
      <c r="BX547" s="1069">
        <f>'Rep Ovh Bal'!AZ35</f>
        <v>0</v>
      </c>
      <c r="BY547" s="1068"/>
      <c r="BZ547" s="1068"/>
      <c r="CA547" s="451" t="str">
        <f>'Rep Ovh Bal'!CB35</f>
        <v/>
      </c>
      <c r="CB547" s="451" t="str">
        <f>'Rep Ovh Bal'!CC35</f>
        <v/>
      </c>
      <c r="CC547" s="451" t="str">
        <f>'Rep Ovh Bal'!CD35</f>
        <v/>
      </c>
      <c r="CD547" s="451" t="str">
        <f>'Rep Ovh Bal'!CE35</f>
        <v/>
      </c>
      <c r="CE547" s="451" t="str">
        <f>'Rep Ovh Bal'!CF35</f>
        <v/>
      </c>
      <c r="CF547" s="451" t="str">
        <f>'Rep Ovh Bal'!CG35</f>
        <v/>
      </c>
      <c r="CG547" s="451" t="str">
        <f>'Rep Ovh Bal'!CH35</f>
        <v/>
      </c>
      <c r="CH547" s="451" t="str">
        <f>'Rep Ovh Bal'!CI35</f>
        <v/>
      </c>
      <c r="CI547" s="1062">
        <f>'Rep Ovh Bal'!BA35</f>
        <v>0</v>
      </c>
      <c r="CJ547" s="1062">
        <f>'Rep Ovh Bal'!BA35</f>
        <v>0</v>
      </c>
      <c r="CK547" s="1062">
        <f>'Rep Ovh Bal'!BB35</f>
        <v>828.24</v>
      </c>
      <c r="CL547" s="1064" t="str">
        <f>'Rep Ovh Bal'!BC35</f>
        <v/>
      </c>
      <c r="CM547" s="451" t="str">
        <f>'Rep Ovh Bal'!CN35</f>
        <v/>
      </c>
      <c r="CN547" s="1065" t="str">
        <f>'Rep Ovh Bal'!BE31</f>
        <v/>
      </c>
      <c r="CO547" s="1062" t="str">
        <f>'Rep Ovh Bal'!BF31</f>
        <v/>
      </c>
      <c r="CP547" s="1060" t="str">
        <f>'Rep Ovh Bal'!BG31</f>
        <v/>
      </c>
    </row>
    <row r="548">
      <c r="A548" s="451" t="str">
        <f>'Rep Ovh Bal'!A36</f>
        <v>Repuestos mantenimientos mayores para estaciones y torres</v>
      </c>
      <c r="B548" s="451">
        <f>'Rep Ovh Bal'!B36</f>
        <v>2</v>
      </c>
      <c r="C548" s="451" t="str">
        <f>'Rep Ovh Bal'!C36</f>
        <v>Torres</v>
      </c>
      <c r="D548" s="451" t="str">
        <f>'Rep Ovh Bal'!D36</f>
        <v>OVH balancines TRM</v>
      </c>
      <c r="E548" s="451" t="str">
        <f>'Rep Ovh Bal'!E36</f>
        <v>Repuesto Eléctrico</v>
      </c>
      <c r="F548" s="451" t="str">
        <f>'Rep Ovh Bal'!F36</f>
        <v>TDB</v>
      </c>
      <c r="G548" s="1025" t="str">
        <f>'Rep Ovh Bal'!G36</f>
        <v>39700</v>
      </c>
      <c r="H548" s="1061" t="str">
        <f>'Rep Ovh Bal'!H36</f>
        <v>2-02-00335</v>
      </c>
      <c r="I548" s="1061" t="str">
        <f>'Rep Ovh Bal'!I36</f>
        <v>10302024</v>
      </c>
      <c r="J548" s="1061" t="str">
        <f>'Rep Ovh Bal'!J36</f>
        <v>CABLE DE CONEX.RPD 4M KDKS AMARILLO CON ENCHUFE INYECTADO Y</v>
      </c>
      <c r="K548" s="451" t="str">
        <f>'Rep Ovh Bal'!K36</f>
        <v>Pza</v>
      </c>
      <c r="L548" s="451">
        <f>'Rep Ovh Bal'!L36</f>
        <v>0</v>
      </c>
      <c r="M548" s="451">
        <f>'Rep Ovh Bal'!M36</f>
        <v>0</v>
      </c>
      <c r="N548" s="451">
        <f>'Rep Ovh Bal'!N36</f>
        <v>0</v>
      </c>
      <c r="O548" s="451">
        <f>'Rep Ovh Bal'!O36</f>
        <v>0</v>
      </c>
      <c r="P548" s="451">
        <f>'Rep Ovh Bal'!P36</f>
        <v>0</v>
      </c>
      <c r="Q548" s="451">
        <f>'Rep Ovh Bal'!Q36</f>
        <v>0</v>
      </c>
      <c r="R548" s="451">
        <f>'Rep Ovh Bal'!R36</f>
        <v>0</v>
      </c>
      <c r="S548" s="451">
        <f>'Rep Ovh Bal'!S36</f>
        <v>0</v>
      </c>
      <c r="T548" s="451">
        <f>'Rep Ovh Bal'!T36</f>
        <v>0</v>
      </c>
      <c r="U548" s="451">
        <f>'Rep Ovh Bal'!U36</f>
        <v>0</v>
      </c>
      <c r="V548" s="451">
        <f>'Rep Ovh Bal'!V36</f>
        <v>2</v>
      </c>
      <c r="W548" s="1062">
        <f>'Rep Ovh Bal'!W36</f>
        <v>2</v>
      </c>
      <c r="X548" s="451">
        <f>'Rep Ovh Bal'!X36</f>
        <v>0</v>
      </c>
      <c r="Y548" s="451">
        <f>'Rep Ovh Bal'!Y36</f>
        <v>0</v>
      </c>
      <c r="Z548" s="451">
        <f>'Rep Ovh Bal'!Z36</f>
        <v>0</v>
      </c>
      <c r="AA548" s="451">
        <f>'Rep Ovh Bal'!AA36</f>
        <v>0</v>
      </c>
      <c r="AB548" s="451">
        <f>'Rep Ovh Bal'!AB36</f>
        <v>0</v>
      </c>
      <c r="AC548" s="451">
        <f>'Rep Ovh Bal'!AC36</f>
        <v>0</v>
      </c>
      <c r="AD548" s="451">
        <f>'Rep Ovh Bal'!AD36</f>
        <v>0</v>
      </c>
      <c r="AE548" s="451">
        <f>'Rep Ovh Bal'!AE36</f>
        <v>0</v>
      </c>
      <c r="AF548" s="451">
        <f>'Rep Ovh Bal'!AF36</f>
        <v>0</v>
      </c>
      <c r="AG548" s="451">
        <f>'Rep Ovh Bal'!AG36</f>
        <v>0</v>
      </c>
      <c r="AH548" s="451">
        <f>'Rep Ovh Bal'!AH36</f>
        <v>0</v>
      </c>
      <c r="AI548" s="1062">
        <f>'Rep Ovh Bal'!AI36</f>
        <v>0</v>
      </c>
      <c r="AJ548" s="451">
        <f>'Rep Ovh Bal'!AJ36</f>
        <v>0</v>
      </c>
      <c r="AK548" s="451">
        <f>'Rep Ovh Bal'!AK36</f>
        <v>0</v>
      </c>
      <c r="AL548" s="451">
        <f>'Rep Ovh Bal'!AL36</f>
        <v>0</v>
      </c>
      <c r="AM548" s="451">
        <f>'Rep Ovh Bal'!AM36</f>
        <v>0</v>
      </c>
      <c r="AN548" s="451">
        <f>'Rep Ovh Bal'!AN36</f>
        <v>0</v>
      </c>
      <c r="AO548" s="451">
        <f>'Rep Ovh Bal'!AO36</f>
        <v>0</v>
      </c>
      <c r="AP548" s="451">
        <f>'Rep Ovh Bal'!AP36</f>
        <v>0</v>
      </c>
      <c r="AQ548" s="451">
        <f>'Rep Ovh Bal'!AQ36</f>
        <v>0</v>
      </c>
      <c r="AR548" s="451">
        <f>'Rep Ovh Bal'!AR36</f>
        <v>0</v>
      </c>
      <c r="AS548" s="451">
        <f>'Rep Ovh Bal'!AS36</f>
        <v>0</v>
      </c>
      <c r="AT548" s="451">
        <f>'Rep Ovh Bal'!AT36</f>
        <v>0</v>
      </c>
      <c r="AU548" s="1062">
        <f>'Rep Ovh Bal'!AU36</f>
        <v>0</v>
      </c>
      <c r="AV548" s="1063">
        <f>'Rep Ovh Bal'!AV36</f>
        <v>2</v>
      </c>
      <c r="AW548" s="1068"/>
      <c r="AX548" s="1065">
        <f>'Rep Ovh Bal'!AW36</f>
        <v>100.87</v>
      </c>
      <c r="AY548" s="1062">
        <f>'Rep Ovh Bal'!AX36</f>
        <v>702.0552</v>
      </c>
      <c r="AZ548" s="1068"/>
      <c r="BA548" s="1068"/>
      <c r="BB548" s="1068"/>
      <c r="BC548" s="1068"/>
      <c r="BD548" s="1068"/>
      <c r="BE548" s="1068"/>
      <c r="BF548" s="1065" t="str">
        <f>'Rep Ovh Bal'!BE36</f>
        <v/>
      </c>
      <c r="BG548" s="451" t="str">
        <f>'Rep Ovh Bal'!BH36</f>
        <v/>
      </c>
      <c r="BH548" s="451" t="str">
        <f>'Rep Ovh Bal'!BI36</f>
        <v/>
      </c>
      <c r="BI548" s="451" t="str">
        <f>'Rep Ovh Bal'!BJ36</f>
        <v/>
      </c>
      <c r="BJ548" s="451" t="str">
        <f>'Rep Ovh Bal'!BK36</f>
        <v/>
      </c>
      <c r="BK548" s="1062">
        <f>'Rep Ovh Bal'!AY36</f>
        <v>1404.1104</v>
      </c>
      <c r="BL548" s="1069">
        <f>'Rep Ovh Bal'!AY36</f>
        <v>1404.1104</v>
      </c>
      <c r="BM548" s="1068"/>
      <c r="BN548" s="1068"/>
      <c r="BO548" s="1068"/>
      <c r="BP548" s="451" t="str">
        <f>'Rep Ovh Bal'!BQ36</f>
        <v/>
      </c>
      <c r="BQ548" s="451" t="str">
        <f>'Rep Ovh Bal'!BR36</f>
        <v/>
      </c>
      <c r="BR548" s="451" t="str">
        <f>'Rep Ovh Bal'!BS36</f>
        <v/>
      </c>
      <c r="BS548" s="451" t="str">
        <f>'Rep Ovh Bal'!BT36</f>
        <v/>
      </c>
      <c r="BT548" s="451" t="str">
        <f>'Rep Ovh Bal'!BU36</f>
        <v/>
      </c>
      <c r="BU548" s="451" t="str">
        <f>'Rep Ovh Bal'!BV36</f>
        <v/>
      </c>
      <c r="BV548" s="451" t="str">
        <f>'Rep Ovh Bal'!BW36</f>
        <v/>
      </c>
      <c r="BW548" s="1062">
        <f>'Rep Ovh Bal'!AZ36</f>
        <v>0</v>
      </c>
      <c r="BX548" s="1069">
        <f>'Rep Ovh Bal'!AZ36</f>
        <v>0</v>
      </c>
      <c r="BY548" s="1068"/>
      <c r="BZ548" s="1068"/>
      <c r="CA548" s="451" t="str">
        <f>'Rep Ovh Bal'!CB36</f>
        <v/>
      </c>
      <c r="CB548" s="451" t="str">
        <f>'Rep Ovh Bal'!CC36</f>
        <v/>
      </c>
      <c r="CC548" s="451" t="str">
        <f>'Rep Ovh Bal'!CD36</f>
        <v/>
      </c>
      <c r="CD548" s="451" t="str">
        <f>'Rep Ovh Bal'!CE36</f>
        <v/>
      </c>
      <c r="CE548" s="451" t="str">
        <f>'Rep Ovh Bal'!CF36</f>
        <v/>
      </c>
      <c r="CF548" s="451" t="str">
        <f>'Rep Ovh Bal'!CG36</f>
        <v/>
      </c>
      <c r="CG548" s="451" t="str">
        <f>'Rep Ovh Bal'!CH36</f>
        <v/>
      </c>
      <c r="CH548" s="451" t="str">
        <f>'Rep Ovh Bal'!CI36</f>
        <v/>
      </c>
      <c r="CI548" s="1062">
        <f>'Rep Ovh Bal'!BA36</f>
        <v>0</v>
      </c>
      <c r="CJ548" s="1062">
        <f>'Rep Ovh Bal'!BA36</f>
        <v>0</v>
      </c>
      <c r="CK548" s="1062">
        <f>'Rep Ovh Bal'!BB36</f>
        <v>1404.1104</v>
      </c>
      <c r="CL548" s="1064" t="str">
        <f>'Rep Ovh Bal'!BC36</f>
        <v/>
      </c>
      <c r="CM548" s="451" t="str">
        <f>'Rep Ovh Bal'!CN36</f>
        <v/>
      </c>
      <c r="CN548" s="1065" t="str">
        <f>'Rep Ovh Bal'!BE32</f>
        <v/>
      </c>
      <c r="CO548" s="1062" t="str">
        <f>'Rep Ovh Bal'!BF32</f>
        <v/>
      </c>
      <c r="CP548" s="1060" t="str">
        <f>'Rep Ovh Bal'!BG32</f>
        <v/>
      </c>
    </row>
    <row r="549">
      <c r="A549" s="451" t="str">
        <f>'Rep Ovh Bal'!A37</f>
        <v>Repuestos mantenimientos mayores para estaciones y torres</v>
      </c>
      <c r="B549" s="451">
        <f>'Rep Ovh Bal'!B37</f>
        <v>2</v>
      </c>
      <c r="C549" s="451" t="str">
        <f>'Rep Ovh Bal'!C37</f>
        <v>Torres</v>
      </c>
      <c r="D549" s="451" t="str">
        <f>'Rep Ovh Bal'!D37</f>
        <v>OVH balancines TRM</v>
      </c>
      <c r="E549" s="451" t="str">
        <f>'Rep Ovh Bal'!E37</f>
        <v>Repuesto Eléctrico</v>
      </c>
      <c r="F549" s="451" t="str">
        <f>'Rep Ovh Bal'!F37</f>
        <v>TDB</v>
      </c>
      <c r="G549" s="1025" t="str">
        <f>'Rep Ovh Bal'!G37</f>
        <v>39700</v>
      </c>
      <c r="H549" s="1061" t="str">
        <f>'Rep Ovh Bal'!H37</f>
        <v>2-02-00334</v>
      </c>
      <c r="I549" s="1061" t="str">
        <f>'Rep Ovh Bal'!I37</f>
        <v>10302026</v>
      </c>
      <c r="J549" s="1061" t="str">
        <f>'Rep Ovh Bal'!J37</f>
        <v>CABLE DE CONEX.RPD 6M KDKS AMARILLO CON ENCHUFE INYECTADO Y</v>
      </c>
      <c r="K549" s="451" t="str">
        <f>'Rep Ovh Bal'!K37</f>
        <v>Pza</v>
      </c>
      <c r="L549" s="451">
        <f>'Rep Ovh Bal'!L37</f>
        <v>0</v>
      </c>
      <c r="M549" s="451">
        <f>'Rep Ovh Bal'!M37</f>
        <v>0</v>
      </c>
      <c r="N549" s="451">
        <f>'Rep Ovh Bal'!N37</f>
        <v>0</v>
      </c>
      <c r="O549" s="451">
        <f>'Rep Ovh Bal'!O37</f>
        <v>0</v>
      </c>
      <c r="P549" s="451">
        <f>'Rep Ovh Bal'!P37</f>
        <v>0</v>
      </c>
      <c r="Q549" s="451">
        <f>'Rep Ovh Bal'!Q37</f>
        <v>0</v>
      </c>
      <c r="R549" s="451">
        <f>'Rep Ovh Bal'!R37</f>
        <v>0</v>
      </c>
      <c r="S549" s="451">
        <f>'Rep Ovh Bal'!S37</f>
        <v>0</v>
      </c>
      <c r="T549" s="451">
        <f>'Rep Ovh Bal'!T37</f>
        <v>0</v>
      </c>
      <c r="U549" s="451">
        <f>'Rep Ovh Bal'!U37</f>
        <v>0</v>
      </c>
      <c r="V549" s="451">
        <f>'Rep Ovh Bal'!V37</f>
        <v>2</v>
      </c>
      <c r="W549" s="1062">
        <f>'Rep Ovh Bal'!W37</f>
        <v>2</v>
      </c>
      <c r="X549" s="451">
        <f>'Rep Ovh Bal'!X37</f>
        <v>0</v>
      </c>
      <c r="Y549" s="451">
        <f>'Rep Ovh Bal'!Y37</f>
        <v>0</v>
      </c>
      <c r="Z549" s="451">
        <f>'Rep Ovh Bal'!Z37</f>
        <v>0</v>
      </c>
      <c r="AA549" s="451">
        <f>'Rep Ovh Bal'!AA37</f>
        <v>0</v>
      </c>
      <c r="AB549" s="451">
        <f>'Rep Ovh Bal'!AB37</f>
        <v>0</v>
      </c>
      <c r="AC549" s="451">
        <f>'Rep Ovh Bal'!AC37</f>
        <v>0</v>
      </c>
      <c r="AD549" s="451">
        <f>'Rep Ovh Bal'!AD37</f>
        <v>0</v>
      </c>
      <c r="AE549" s="451">
        <f>'Rep Ovh Bal'!AE37</f>
        <v>0</v>
      </c>
      <c r="AF549" s="451">
        <f>'Rep Ovh Bal'!AF37</f>
        <v>0</v>
      </c>
      <c r="AG549" s="451">
        <f>'Rep Ovh Bal'!AG37</f>
        <v>0</v>
      </c>
      <c r="AH549" s="451">
        <f>'Rep Ovh Bal'!AH37</f>
        <v>0</v>
      </c>
      <c r="AI549" s="1062">
        <f>'Rep Ovh Bal'!AI37</f>
        <v>0</v>
      </c>
      <c r="AJ549" s="451">
        <f>'Rep Ovh Bal'!AJ37</f>
        <v>0</v>
      </c>
      <c r="AK549" s="451">
        <f>'Rep Ovh Bal'!AK37</f>
        <v>0</v>
      </c>
      <c r="AL549" s="451">
        <f>'Rep Ovh Bal'!AL37</f>
        <v>0</v>
      </c>
      <c r="AM549" s="451">
        <f>'Rep Ovh Bal'!AM37</f>
        <v>0</v>
      </c>
      <c r="AN549" s="451">
        <f>'Rep Ovh Bal'!AN37</f>
        <v>0</v>
      </c>
      <c r="AO549" s="451">
        <f>'Rep Ovh Bal'!AO37</f>
        <v>0</v>
      </c>
      <c r="AP549" s="451">
        <f>'Rep Ovh Bal'!AP37</f>
        <v>0</v>
      </c>
      <c r="AQ549" s="451">
        <f>'Rep Ovh Bal'!AQ37</f>
        <v>0</v>
      </c>
      <c r="AR549" s="451">
        <f>'Rep Ovh Bal'!AR37</f>
        <v>0</v>
      </c>
      <c r="AS549" s="451">
        <f>'Rep Ovh Bal'!AS37</f>
        <v>0</v>
      </c>
      <c r="AT549" s="451">
        <f>'Rep Ovh Bal'!AT37</f>
        <v>0</v>
      </c>
      <c r="AU549" s="1062">
        <f>'Rep Ovh Bal'!AU37</f>
        <v>0</v>
      </c>
      <c r="AV549" s="1063">
        <f>'Rep Ovh Bal'!AV37</f>
        <v>2</v>
      </c>
      <c r="AW549" s="1068"/>
      <c r="AX549" s="1065">
        <f>'Rep Ovh Bal'!AW37</f>
        <v>111.25</v>
      </c>
      <c r="AY549" s="1062">
        <f>'Rep Ovh Bal'!AX37</f>
        <v>774.3</v>
      </c>
      <c r="AZ549" s="1068"/>
      <c r="BA549" s="1068"/>
      <c r="BB549" s="1068"/>
      <c r="BC549" s="1068"/>
      <c r="BD549" s="1068"/>
      <c r="BE549" s="1068"/>
      <c r="BF549" s="1065" t="str">
        <f>'Rep Ovh Bal'!BE37</f>
        <v/>
      </c>
      <c r="BG549" s="451" t="str">
        <f>'Rep Ovh Bal'!BH37</f>
        <v/>
      </c>
      <c r="BH549" s="451" t="str">
        <f>'Rep Ovh Bal'!BI37</f>
        <v/>
      </c>
      <c r="BI549" s="451" t="str">
        <f>'Rep Ovh Bal'!BJ37</f>
        <v/>
      </c>
      <c r="BJ549" s="451" t="str">
        <f>'Rep Ovh Bal'!BK37</f>
        <v/>
      </c>
      <c r="BK549" s="1062">
        <f>'Rep Ovh Bal'!AY37</f>
        <v>1548.6</v>
      </c>
      <c r="BL549" s="1069">
        <f>'Rep Ovh Bal'!AY37</f>
        <v>1548.6</v>
      </c>
      <c r="BM549" s="1068"/>
      <c r="BN549" s="1068"/>
      <c r="BO549" s="1068"/>
      <c r="BP549" s="451" t="str">
        <f>'Rep Ovh Bal'!BQ37</f>
        <v/>
      </c>
      <c r="BQ549" s="451" t="str">
        <f>'Rep Ovh Bal'!BR37</f>
        <v/>
      </c>
      <c r="BR549" s="451" t="str">
        <f>'Rep Ovh Bal'!BS37</f>
        <v/>
      </c>
      <c r="BS549" s="451" t="str">
        <f>'Rep Ovh Bal'!BT37</f>
        <v/>
      </c>
      <c r="BT549" s="451" t="str">
        <f>'Rep Ovh Bal'!BU37</f>
        <v/>
      </c>
      <c r="BU549" s="451" t="str">
        <f>'Rep Ovh Bal'!BV37</f>
        <v/>
      </c>
      <c r="BV549" s="451" t="str">
        <f>'Rep Ovh Bal'!BW37</f>
        <v/>
      </c>
      <c r="BW549" s="1062">
        <f>'Rep Ovh Bal'!AZ37</f>
        <v>0</v>
      </c>
      <c r="BX549" s="1069">
        <f>'Rep Ovh Bal'!AZ37</f>
        <v>0</v>
      </c>
      <c r="BY549" s="1068"/>
      <c r="BZ549" s="1068"/>
      <c r="CA549" s="451" t="str">
        <f>'Rep Ovh Bal'!CB37</f>
        <v/>
      </c>
      <c r="CB549" s="451" t="str">
        <f>'Rep Ovh Bal'!CC37</f>
        <v/>
      </c>
      <c r="CC549" s="451" t="str">
        <f>'Rep Ovh Bal'!CD37</f>
        <v/>
      </c>
      <c r="CD549" s="451" t="str">
        <f>'Rep Ovh Bal'!CE37</f>
        <v/>
      </c>
      <c r="CE549" s="451" t="str">
        <f>'Rep Ovh Bal'!CF37</f>
        <v/>
      </c>
      <c r="CF549" s="451" t="str">
        <f>'Rep Ovh Bal'!CG37</f>
        <v/>
      </c>
      <c r="CG549" s="451" t="str">
        <f>'Rep Ovh Bal'!CH37</f>
        <v/>
      </c>
      <c r="CH549" s="451" t="str">
        <f>'Rep Ovh Bal'!CI37</f>
        <v/>
      </c>
      <c r="CI549" s="1062">
        <f>'Rep Ovh Bal'!BA37</f>
        <v>0</v>
      </c>
      <c r="CJ549" s="1062">
        <f>'Rep Ovh Bal'!BA37</f>
        <v>0</v>
      </c>
      <c r="CK549" s="1062">
        <f>'Rep Ovh Bal'!BB37</f>
        <v>1548.6</v>
      </c>
      <c r="CL549" s="1064" t="str">
        <f>'Rep Ovh Bal'!BC37</f>
        <v/>
      </c>
      <c r="CM549" s="451" t="str">
        <f>'Rep Ovh Bal'!CN37</f>
        <v/>
      </c>
      <c r="CN549" s="1065" t="str">
        <f>'Rep Ovh Bal'!BE33</f>
        <v/>
      </c>
      <c r="CO549" s="1062" t="str">
        <f>'Rep Ovh Bal'!BF33</f>
        <v/>
      </c>
      <c r="CP549" s="1060" t="str">
        <f>'Rep Ovh Bal'!BG33</f>
        <v/>
      </c>
    </row>
    <row r="550">
      <c r="A550" s="451" t="str">
        <f>'Rep Ovh Bal'!A38</f>
        <v>Repuestos mantenimientos mayores para estaciones y torres</v>
      </c>
      <c r="B550" s="451">
        <f>'Rep Ovh Bal'!B38</f>
        <v>2</v>
      </c>
      <c r="C550" s="451" t="str">
        <f>'Rep Ovh Bal'!C38</f>
        <v>Torres</v>
      </c>
      <c r="D550" s="451" t="str">
        <f>'Rep Ovh Bal'!D38</f>
        <v>OVH balancines TRM</v>
      </c>
      <c r="E550" s="451" t="str">
        <f>'Rep Ovh Bal'!E38</f>
        <v>Repuesto Eléctrico</v>
      </c>
      <c r="F550" s="451" t="str">
        <f>'Rep Ovh Bal'!F38</f>
        <v>TDB</v>
      </c>
      <c r="G550" s="1025" t="str">
        <f>'Rep Ovh Bal'!G38</f>
        <v>39700</v>
      </c>
      <c r="H550" s="1061" t="str">
        <f>'Rep Ovh Bal'!H38</f>
        <v>2-02-00333</v>
      </c>
      <c r="I550" s="1061" t="str">
        <f>'Rep Ovh Bal'!I38</f>
        <v>10302028</v>
      </c>
      <c r="J550" s="1061" t="str">
        <f>'Rep Ovh Bal'!J38</f>
        <v>CABLE CONECTOR RPD 8M KDKS AMARILLO CON CONECTOR INTEGRADO +</v>
      </c>
      <c r="K550" s="451" t="str">
        <f>'Rep Ovh Bal'!K38</f>
        <v>Pza</v>
      </c>
      <c r="L550" s="451">
        <f>'Rep Ovh Bal'!L38</f>
        <v>0</v>
      </c>
      <c r="M550" s="451">
        <f>'Rep Ovh Bal'!M38</f>
        <v>0</v>
      </c>
      <c r="N550" s="451">
        <f>'Rep Ovh Bal'!N38</f>
        <v>0</v>
      </c>
      <c r="O550" s="451">
        <f>'Rep Ovh Bal'!O38</f>
        <v>0</v>
      </c>
      <c r="P550" s="451">
        <f>'Rep Ovh Bal'!P38</f>
        <v>0</v>
      </c>
      <c r="Q550" s="451">
        <f>'Rep Ovh Bal'!Q38</f>
        <v>0</v>
      </c>
      <c r="R550" s="451">
        <f>'Rep Ovh Bal'!R38</f>
        <v>0</v>
      </c>
      <c r="S550" s="451">
        <f>'Rep Ovh Bal'!S38</f>
        <v>0</v>
      </c>
      <c r="T550" s="451">
        <f>'Rep Ovh Bal'!T38</f>
        <v>0</v>
      </c>
      <c r="U550" s="451">
        <f>'Rep Ovh Bal'!U38</f>
        <v>0</v>
      </c>
      <c r="V550" s="451">
        <f>'Rep Ovh Bal'!V38</f>
        <v>2</v>
      </c>
      <c r="W550" s="1062">
        <f>'Rep Ovh Bal'!W38</f>
        <v>2</v>
      </c>
      <c r="X550" s="451">
        <f>'Rep Ovh Bal'!X38</f>
        <v>0</v>
      </c>
      <c r="Y550" s="451">
        <f>'Rep Ovh Bal'!Y38</f>
        <v>0</v>
      </c>
      <c r="Z550" s="451">
        <f>'Rep Ovh Bal'!Z38</f>
        <v>0</v>
      </c>
      <c r="AA550" s="451">
        <f>'Rep Ovh Bal'!AA38</f>
        <v>0</v>
      </c>
      <c r="AB550" s="451">
        <f>'Rep Ovh Bal'!AB38</f>
        <v>0</v>
      </c>
      <c r="AC550" s="451">
        <f>'Rep Ovh Bal'!AC38</f>
        <v>0</v>
      </c>
      <c r="AD550" s="451">
        <f>'Rep Ovh Bal'!AD38</f>
        <v>0</v>
      </c>
      <c r="AE550" s="451">
        <f>'Rep Ovh Bal'!AE38</f>
        <v>0</v>
      </c>
      <c r="AF550" s="451">
        <f>'Rep Ovh Bal'!AF38</f>
        <v>0</v>
      </c>
      <c r="AG550" s="451">
        <f>'Rep Ovh Bal'!AG38</f>
        <v>0</v>
      </c>
      <c r="AH550" s="451">
        <f>'Rep Ovh Bal'!AH38</f>
        <v>0</v>
      </c>
      <c r="AI550" s="1062">
        <f>'Rep Ovh Bal'!AI38</f>
        <v>0</v>
      </c>
      <c r="AJ550" s="451">
        <f>'Rep Ovh Bal'!AJ38</f>
        <v>0</v>
      </c>
      <c r="AK550" s="451">
        <f>'Rep Ovh Bal'!AK38</f>
        <v>0</v>
      </c>
      <c r="AL550" s="451">
        <f>'Rep Ovh Bal'!AL38</f>
        <v>0</v>
      </c>
      <c r="AM550" s="451">
        <f>'Rep Ovh Bal'!AM38</f>
        <v>0</v>
      </c>
      <c r="AN550" s="451">
        <f>'Rep Ovh Bal'!AN38</f>
        <v>0</v>
      </c>
      <c r="AO550" s="451">
        <f>'Rep Ovh Bal'!AO38</f>
        <v>0</v>
      </c>
      <c r="AP550" s="451">
        <f>'Rep Ovh Bal'!AP38</f>
        <v>0</v>
      </c>
      <c r="AQ550" s="451">
        <f>'Rep Ovh Bal'!AQ38</f>
        <v>0</v>
      </c>
      <c r="AR550" s="451">
        <f>'Rep Ovh Bal'!AR38</f>
        <v>0</v>
      </c>
      <c r="AS550" s="451">
        <f>'Rep Ovh Bal'!AS38</f>
        <v>0</v>
      </c>
      <c r="AT550" s="451">
        <f>'Rep Ovh Bal'!AT38</f>
        <v>0</v>
      </c>
      <c r="AU550" s="1062">
        <f>'Rep Ovh Bal'!AU38</f>
        <v>0</v>
      </c>
      <c r="AV550" s="1063">
        <f>'Rep Ovh Bal'!AV38</f>
        <v>2</v>
      </c>
      <c r="AW550" s="1068"/>
      <c r="AX550" s="1065">
        <f>'Rep Ovh Bal'!AW38</f>
        <v>120.56</v>
      </c>
      <c r="AY550" s="1062">
        <f>'Rep Ovh Bal'!AX38</f>
        <v>839.0976</v>
      </c>
      <c r="AZ550" s="1068"/>
      <c r="BA550" s="1068"/>
      <c r="BB550" s="1068"/>
      <c r="BC550" s="1068"/>
      <c r="BD550" s="1068"/>
      <c r="BE550" s="1068"/>
      <c r="BF550" s="1065" t="str">
        <f>'Rep Ovh Bal'!BE38</f>
        <v/>
      </c>
      <c r="BG550" s="451" t="str">
        <f>'Rep Ovh Bal'!BH38</f>
        <v/>
      </c>
      <c r="BH550" s="451" t="str">
        <f>'Rep Ovh Bal'!BI38</f>
        <v/>
      </c>
      <c r="BI550" s="451" t="str">
        <f>'Rep Ovh Bal'!BJ38</f>
        <v/>
      </c>
      <c r="BJ550" s="451" t="str">
        <f>'Rep Ovh Bal'!BK38</f>
        <v/>
      </c>
      <c r="BK550" s="1062">
        <f>'Rep Ovh Bal'!AY38</f>
        <v>1678.1952</v>
      </c>
      <c r="BL550" s="1069">
        <f>'Rep Ovh Bal'!AY38</f>
        <v>1678.1952</v>
      </c>
      <c r="BM550" s="1068"/>
      <c r="BN550" s="1068"/>
      <c r="BO550" s="1068"/>
      <c r="BP550" s="451" t="str">
        <f>'Rep Ovh Bal'!BQ38</f>
        <v/>
      </c>
      <c r="BQ550" s="451" t="str">
        <f>'Rep Ovh Bal'!BR38</f>
        <v/>
      </c>
      <c r="BR550" s="451" t="str">
        <f>'Rep Ovh Bal'!BS38</f>
        <v/>
      </c>
      <c r="BS550" s="451" t="str">
        <f>'Rep Ovh Bal'!BT38</f>
        <v/>
      </c>
      <c r="BT550" s="451" t="str">
        <f>'Rep Ovh Bal'!BU38</f>
        <v/>
      </c>
      <c r="BU550" s="451" t="str">
        <f>'Rep Ovh Bal'!BV38</f>
        <v/>
      </c>
      <c r="BV550" s="451" t="str">
        <f>'Rep Ovh Bal'!BW38</f>
        <v/>
      </c>
      <c r="BW550" s="1062">
        <f>'Rep Ovh Bal'!AZ38</f>
        <v>0</v>
      </c>
      <c r="BX550" s="1069">
        <f>'Rep Ovh Bal'!AZ38</f>
        <v>0</v>
      </c>
      <c r="BY550" s="1068"/>
      <c r="BZ550" s="1068"/>
      <c r="CA550" s="451" t="str">
        <f>'Rep Ovh Bal'!CB38</f>
        <v/>
      </c>
      <c r="CB550" s="451" t="str">
        <f>'Rep Ovh Bal'!CC38</f>
        <v/>
      </c>
      <c r="CC550" s="451" t="str">
        <f>'Rep Ovh Bal'!CD38</f>
        <v/>
      </c>
      <c r="CD550" s="451" t="str">
        <f>'Rep Ovh Bal'!CE38</f>
        <v/>
      </c>
      <c r="CE550" s="451" t="str">
        <f>'Rep Ovh Bal'!CF38</f>
        <v/>
      </c>
      <c r="CF550" s="451" t="str">
        <f>'Rep Ovh Bal'!CG38</f>
        <v/>
      </c>
      <c r="CG550" s="451" t="str">
        <f>'Rep Ovh Bal'!CH38</f>
        <v/>
      </c>
      <c r="CH550" s="451" t="str">
        <f>'Rep Ovh Bal'!CI38</f>
        <v/>
      </c>
      <c r="CI550" s="1062">
        <f>'Rep Ovh Bal'!BA38</f>
        <v>0</v>
      </c>
      <c r="CJ550" s="1062">
        <f>'Rep Ovh Bal'!BA38</f>
        <v>0</v>
      </c>
      <c r="CK550" s="1062">
        <f>'Rep Ovh Bal'!BB38</f>
        <v>1678.1952</v>
      </c>
      <c r="CL550" s="1064" t="str">
        <f>'Rep Ovh Bal'!BC38</f>
        <v/>
      </c>
      <c r="CM550" s="451" t="str">
        <f>'Rep Ovh Bal'!CN38</f>
        <v/>
      </c>
      <c r="CN550" s="1065" t="str">
        <f>'Rep Ovh Bal'!BE34</f>
        <v/>
      </c>
      <c r="CO550" s="1062" t="str">
        <f>'Rep Ovh Bal'!BF34</f>
        <v/>
      </c>
      <c r="CP550" s="1060" t="str">
        <f>'Rep Ovh Bal'!BG34</f>
        <v/>
      </c>
    </row>
    <row r="551">
      <c r="A551" s="451" t="str">
        <f>'Rep Ovh Bal'!A39</f>
        <v>Repuestos mantenimientos mayores para estaciones y torres</v>
      </c>
      <c r="B551" s="451">
        <f>'Rep Ovh Bal'!B39</f>
        <v>2</v>
      </c>
      <c r="C551" s="451" t="str">
        <f>'Rep Ovh Bal'!C39</f>
        <v>Torres</v>
      </c>
      <c r="D551" s="451" t="str">
        <f>'Rep Ovh Bal'!D39</f>
        <v>OVH balancines TRM</v>
      </c>
      <c r="E551" s="451" t="str">
        <f>'Rep Ovh Bal'!E39</f>
        <v>Repuesto Eléctrico</v>
      </c>
      <c r="F551" s="451" t="str">
        <f>'Rep Ovh Bal'!F39</f>
        <v>TDB</v>
      </c>
      <c r="G551" s="1025" t="str">
        <f>'Rep Ovh Bal'!G39</f>
        <v>39700</v>
      </c>
      <c r="H551" s="1061" t="str">
        <f>'Rep Ovh Bal'!H39</f>
        <v>2-02-00337</v>
      </c>
      <c r="I551" s="1061" t="str">
        <f>'Rep Ovh Bal'!I39</f>
        <v>10302030</v>
      </c>
      <c r="J551" s="1061" t="str">
        <f>'Rep Ovh Bal'!J39</f>
        <v>CABLE DE CONEX.RPD 10M KDKS AMARILLO CON ENCHUFE INYECTADO Y</v>
      </c>
      <c r="K551" s="451" t="str">
        <f>'Rep Ovh Bal'!K39</f>
        <v>Pza</v>
      </c>
      <c r="L551" s="451">
        <f>'Rep Ovh Bal'!L39</f>
        <v>0</v>
      </c>
      <c r="M551" s="451">
        <f>'Rep Ovh Bal'!M39</f>
        <v>0</v>
      </c>
      <c r="N551" s="451">
        <f>'Rep Ovh Bal'!N39</f>
        <v>0</v>
      </c>
      <c r="O551" s="451">
        <f>'Rep Ovh Bal'!O39</f>
        <v>0</v>
      </c>
      <c r="P551" s="451">
        <f>'Rep Ovh Bal'!P39</f>
        <v>0</v>
      </c>
      <c r="Q551" s="451">
        <f>'Rep Ovh Bal'!Q39</f>
        <v>0</v>
      </c>
      <c r="R551" s="451">
        <f>'Rep Ovh Bal'!R39</f>
        <v>0</v>
      </c>
      <c r="S551" s="451">
        <f>'Rep Ovh Bal'!S39</f>
        <v>0</v>
      </c>
      <c r="T551" s="451">
        <f>'Rep Ovh Bal'!T39</f>
        <v>0</v>
      </c>
      <c r="U551" s="451">
        <f>'Rep Ovh Bal'!U39</f>
        <v>0</v>
      </c>
      <c r="V551" s="451">
        <f>'Rep Ovh Bal'!V39</f>
        <v>2</v>
      </c>
      <c r="W551" s="1062">
        <f>'Rep Ovh Bal'!W39</f>
        <v>2</v>
      </c>
      <c r="X551" s="451">
        <f>'Rep Ovh Bal'!X39</f>
        <v>0</v>
      </c>
      <c r="Y551" s="451">
        <f>'Rep Ovh Bal'!Y39</f>
        <v>0</v>
      </c>
      <c r="Z551" s="451">
        <f>'Rep Ovh Bal'!Z39</f>
        <v>0</v>
      </c>
      <c r="AA551" s="451">
        <f>'Rep Ovh Bal'!AA39</f>
        <v>0</v>
      </c>
      <c r="AB551" s="451">
        <f>'Rep Ovh Bal'!AB39</f>
        <v>0</v>
      </c>
      <c r="AC551" s="451">
        <f>'Rep Ovh Bal'!AC39</f>
        <v>0</v>
      </c>
      <c r="AD551" s="451">
        <f>'Rep Ovh Bal'!AD39</f>
        <v>0</v>
      </c>
      <c r="AE551" s="451">
        <f>'Rep Ovh Bal'!AE39</f>
        <v>0</v>
      </c>
      <c r="AF551" s="451">
        <f>'Rep Ovh Bal'!AF39</f>
        <v>0</v>
      </c>
      <c r="AG551" s="451">
        <f>'Rep Ovh Bal'!AG39</f>
        <v>0</v>
      </c>
      <c r="AH551" s="451">
        <f>'Rep Ovh Bal'!AH39</f>
        <v>0</v>
      </c>
      <c r="AI551" s="1062">
        <f>'Rep Ovh Bal'!AI39</f>
        <v>0</v>
      </c>
      <c r="AJ551" s="451">
        <f>'Rep Ovh Bal'!AJ39</f>
        <v>0</v>
      </c>
      <c r="AK551" s="451">
        <f>'Rep Ovh Bal'!AK39</f>
        <v>0</v>
      </c>
      <c r="AL551" s="451">
        <f>'Rep Ovh Bal'!AL39</f>
        <v>0</v>
      </c>
      <c r="AM551" s="451">
        <f>'Rep Ovh Bal'!AM39</f>
        <v>0</v>
      </c>
      <c r="AN551" s="451">
        <f>'Rep Ovh Bal'!AN39</f>
        <v>0</v>
      </c>
      <c r="AO551" s="451">
        <f>'Rep Ovh Bal'!AO39</f>
        <v>0</v>
      </c>
      <c r="AP551" s="451">
        <f>'Rep Ovh Bal'!AP39</f>
        <v>0</v>
      </c>
      <c r="AQ551" s="451">
        <f>'Rep Ovh Bal'!AQ39</f>
        <v>0</v>
      </c>
      <c r="AR551" s="451">
        <f>'Rep Ovh Bal'!AR39</f>
        <v>0</v>
      </c>
      <c r="AS551" s="451">
        <f>'Rep Ovh Bal'!AS39</f>
        <v>0</v>
      </c>
      <c r="AT551" s="451">
        <f>'Rep Ovh Bal'!AT39</f>
        <v>0</v>
      </c>
      <c r="AU551" s="1062">
        <f>'Rep Ovh Bal'!AU39</f>
        <v>0</v>
      </c>
      <c r="AV551" s="1063">
        <f>'Rep Ovh Bal'!AV39</f>
        <v>2</v>
      </c>
      <c r="AW551" s="1068"/>
      <c r="AX551" s="1065">
        <f>'Rep Ovh Bal'!AW39</f>
        <v>131.21</v>
      </c>
      <c r="AY551" s="1062">
        <f>'Rep Ovh Bal'!AX39</f>
        <v>913.2216</v>
      </c>
      <c r="AZ551" s="1068"/>
      <c r="BA551" s="1068"/>
      <c r="BB551" s="1068"/>
      <c r="BC551" s="1068"/>
      <c r="BD551" s="1068"/>
      <c r="BE551" s="1068"/>
      <c r="BF551" s="1065" t="str">
        <f>'Rep Ovh Bal'!BE39</f>
        <v/>
      </c>
      <c r="BG551" s="451" t="str">
        <f>'Rep Ovh Bal'!BH39</f>
        <v/>
      </c>
      <c r="BH551" s="451" t="str">
        <f>'Rep Ovh Bal'!BI39</f>
        <v/>
      </c>
      <c r="BI551" s="451" t="str">
        <f>'Rep Ovh Bal'!BJ39</f>
        <v/>
      </c>
      <c r="BJ551" s="451" t="str">
        <f>'Rep Ovh Bal'!BK39</f>
        <v/>
      </c>
      <c r="BK551" s="1062">
        <f>'Rep Ovh Bal'!AY39</f>
        <v>1826.4432</v>
      </c>
      <c r="BL551" s="1069">
        <f>'Rep Ovh Bal'!AY39</f>
        <v>1826.4432</v>
      </c>
      <c r="BM551" s="1068"/>
      <c r="BN551" s="1068"/>
      <c r="BO551" s="1068"/>
      <c r="BP551" s="451" t="str">
        <f>'Rep Ovh Bal'!BQ39</f>
        <v/>
      </c>
      <c r="BQ551" s="451" t="str">
        <f>'Rep Ovh Bal'!BR39</f>
        <v/>
      </c>
      <c r="BR551" s="451" t="str">
        <f>'Rep Ovh Bal'!BS39</f>
        <v/>
      </c>
      <c r="BS551" s="451" t="str">
        <f>'Rep Ovh Bal'!BT39</f>
        <v/>
      </c>
      <c r="BT551" s="451" t="str">
        <f>'Rep Ovh Bal'!BU39</f>
        <v/>
      </c>
      <c r="BU551" s="451" t="str">
        <f>'Rep Ovh Bal'!BV39</f>
        <v/>
      </c>
      <c r="BV551" s="451" t="str">
        <f>'Rep Ovh Bal'!BW39</f>
        <v/>
      </c>
      <c r="BW551" s="1062">
        <f>'Rep Ovh Bal'!AZ39</f>
        <v>0</v>
      </c>
      <c r="BX551" s="1069">
        <f>'Rep Ovh Bal'!AZ39</f>
        <v>0</v>
      </c>
      <c r="BY551" s="1068"/>
      <c r="BZ551" s="1068"/>
      <c r="CA551" s="451" t="str">
        <f>'Rep Ovh Bal'!CB39</f>
        <v/>
      </c>
      <c r="CB551" s="451" t="str">
        <f>'Rep Ovh Bal'!CC39</f>
        <v/>
      </c>
      <c r="CC551" s="451" t="str">
        <f>'Rep Ovh Bal'!CD39</f>
        <v/>
      </c>
      <c r="CD551" s="451" t="str">
        <f>'Rep Ovh Bal'!CE39</f>
        <v/>
      </c>
      <c r="CE551" s="451" t="str">
        <f>'Rep Ovh Bal'!CF39</f>
        <v/>
      </c>
      <c r="CF551" s="451" t="str">
        <f>'Rep Ovh Bal'!CG39</f>
        <v/>
      </c>
      <c r="CG551" s="451" t="str">
        <f>'Rep Ovh Bal'!CH39</f>
        <v/>
      </c>
      <c r="CH551" s="451" t="str">
        <f>'Rep Ovh Bal'!CI39</f>
        <v/>
      </c>
      <c r="CI551" s="1062">
        <f>'Rep Ovh Bal'!BA39</f>
        <v>0</v>
      </c>
      <c r="CJ551" s="1062">
        <f>'Rep Ovh Bal'!BA39</f>
        <v>0</v>
      </c>
      <c r="CK551" s="1062">
        <f>'Rep Ovh Bal'!BB39</f>
        <v>1826.4432</v>
      </c>
      <c r="CL551" s="1064" t="str">
        <f>'Rep Ovh Bal'!BC39</f>
        <v/>
      </c>
      <c r="CM551" s="451" t="str">
        <f>'Rep Ovh Bal'!CN39</f>
        <v/>
      </c>
      <c r="CN551" s="1065" t="str">
        <f>'Rep Ovh Bal'!BE35</f>
        <v/>
      </c>
      <c r="CO551" s="1062" t="str">
        <f>'Rep Ovh Bal'!BF35</f>
        <v/>
      </c>
      <c r="CP551" s="1060" t="str">
        <f>'Rep Ovh Bal'!BG35</f>
        <v/>
      </c>
    </row>
    <row r="552">
      <c r="A552" s="451" t="str">
        <f>'Rep Ovh Bal'!A40</f>
        <v>Repuestos mantenimientos mayores para estaciones y torres</v>
      </c>
      <c r="B552" s="451">
        <f>'Rep Ovh Bal'!B40</f>
        <v>2</v>
      </c>
      <c r="C552" s="451" t="str">
        <f>'Rep Ovh Bal'!C40</f>
        <v>Torres</v>
      </c>
      <c r="D552" s="451" t="str">
        <f>'Rep Ovh Bal'!D40</f>
        <v>OVH balancines TRM</v>
      </c>
      <c r="E552" s="451" t="str">
        <f>'Rep Ovh Bal'!E40</f>
        <v>Repuesto Eléctrico</v>
      </c>
      <c r="F552" s="451" t="str">
        <f>'Rep Ovh Bal'!F40</f>
        <v>TDB</v>
      </c>
      <c r="G552" s="1025" t="str">
        <f>'Rep Ovh Bal'!G40</f>
        <v>39700</v>
      </c>
      <c r="H552" s="1061" t="str">
        <f>'Rep Ovh Bal'!H40</f>
        <v>2-02-00332</v>
      </c>
      <c r="I552" s="1061" t="str">
        <f>'Rep Ovh Bal'!I40</f>
        <v>10302032</v>
      </c>
      <c r="J552" s="1061" t="str">
        <f>'Rep Ovh Bal'!J40</f>
        <v>CABLE CONEX. RPD 12,0M LDKS AMARILLO C. ENCHUFE INYECTADO Y</v>
      </c>
      <c r="K552" s="451" t="str">
        <f>'Rep Ovh Bal'!K40</f>
        <v>Pza</v>
      </c>
      <c r="L552" s="451">
        <f>'Rep Ovh Bal'!L40</f>
        <v>0</v>
      </c>
      <c r="M552" s="451">
        <f>'Rep Ovh Bal'!M40</f>
        <v>0</v>
      </c>
      <c r="N552" s="451">
        <f>'Rep Ovh Bal'!N40</f>
        <v>0</v>
      </c>
      <c r="O552" s="451">
        <f>'Rep Ovh Bal'!O40</f>
        <v>0</v>
      </c>
      <c r="P552" s="451">
        <f>'Rep Ovh Bal'!P40</f>
        <v>0</v>
      </c>
      <c r="Q552" s="451">
        <f>'Rep Ovh Bal'!Q40</f>
        <v>0</v>
      </c>
      <c r="R552" s="451">
        <f>'Rep Ovh Bal'!R40</f>
        <v>0</v>
      </c>
      <c r="S552" s="451">
        <f>'Rep Ovh Bal'!S40</f>
        <v>0</v>
      </c>
      <c r="T552" s="451">
        <f>'Rep Ovh Bal'!T40</f>
        <v>0</v>
      </c>
      <c r="U552" s="451">
        <f>'Rep Ovh Bal'!U40</f>
        <v>0</v>
      </c>
      <c r="V552" s="451">
        <f>'Rep Ovh Bal'!V40</f>
        <v>2</v>
      </c>
      <c r="W552" s="1062">
        <f>'Rep Ovh Bal'!W40</f>
        <v>2</v>
      </c>
      <c r="X552" s="451">
        <f>'Rep Ovh Bal'!X40</f>
        <v>0</v>
      </c>
      <c r="Y552" s="451">
        <f>'Rep Ovh Bal'!Y40</f>
        <v>0</v>
      </c>
      <c r="Z552" s="451">
        <f>'Rep Ovh Bal'!Z40</f>
        <v>0</v>
      </c>
      <c r="AA552" s="451">
        <f>'Rep Ovh Bal'!AA40</f>
        <v>0</v>
      </c>
      <c r="AB552" s="451">
        <f>'Rep Ovh Bal'!AB40</f>
        <v>0</v>
      </c>
      <c r="AC552" s="451">
        <f>'Rep Ovh Bal'!AC40</f>
        <v>0</v>
      </c>
      <c r="AD552" s="451">
        <f>'Rep Ovh Bal'!AD40</f>
        <v>0</v>
      </c>
      <c r="AE552" s="451">
        <f>'Rep Ovh Bal'!AE40</f>
        <v>0</v>
      </c>
      <c r="AF552" s="451">
        <f>'Rep Ovh Bal'!AF40</f>
        <v>0</v>
      </c>
      <c r="AG552" s="451">
        <f>'Rep Ovh Bal'!AG40</f>
        <v>0</v>
      </c>
      <c r="AH552" s="451">
        <f>'Rep Ovh Bal'!AH40</f>
        <v>0</v>
      </c>
      <c r="AI552" s="1062">
        <f>'Rep Ovh Bal'!AI40</f>
        <v>0</v>
      </c>
      <c r="AJ552" s="451">
        <f>'Rep Ovh Bal'!AJ40</f>
        <v>0</v>
      </c>
      <c r="AK552" s="451">
        <f>'Rep Ovh Bal'!AK40</f>
        <v>0</v>
      </c>
      <c r="AL552" s="451">
        <f>'Rep Ovh Bal'!AL40</f>
        <v>0</v>
      </c>
      <c r="AM552" s="451">
        <f>'Rep Ovh Bal'!AM40</f>
        <v>0</v>
      </c>
      <c r="AN552" s="451">
        <f>'Rep Ovh Bal'!AN40</f>
        <v>0</v>
      </c>
      <c r="AO552" s="451">
        <f>'Rep Ovh Bal'!AO40</f>
        <v>0</v>
      </c>
      <c r="AP552" s="451">
        <f>'Rep Ovh Bal'!AP40</f>
        <v>0</v>
      </c>
      <c r="AQ552" s="451">
        <f>'Rep Ovh Bal'!AQ40</f>
        <v>0</v>
      </c>
      <c r="AR552" s="451">
        <f>'Rep Ovh Bal'!AR40</f>
        <v>0</v>
      </c>
      <c r="AS552" s="451">
        <f>'Rep Ovh Bal'!AS40</f>
        <v>0</v>
      </c>
      <c r="AT552" s="451">
        <f>'Rep Ovh Bal'!AT40</f>
        <v>0</v>
      </c>
      <c r="AU552" s="1062">
        <f>'Rep Ovh Bal'!AU40</f>
        <v>0</v>
      </c>
      <c r="AV552" s="1063">
        <f>'Rep Ovh Bal'!AV40</f>
        <v>2</v>
      </c>
      <c r="AW552" s="1068"/>
      <c r="AX552" s="1065">
        <f>'Rep Ovh Bal'!AW40</f>
        <v>141.79</v>
      </c>
      <c r="AY552" s="1062">
        <f>'Rep Ovh Bal'!AX40</f>
        <v>986.8584</v>
      </c>
      <c r="AZ552" s="1068"/>
      <c r="BA552" s="1068"/>
      <c r="BB552" s="1068"/>
      <c r="BC552" s="1068"/>
      <c r="BD552" s="1068"/>
      <c r="BE552" s="1068"/>
      <c r="BF552" s="1065" t="str">
        <f>'Rep Ovh Bal'!BE40</f>
        <v/>
      </c>
      <c r="BG552" s="451" t="str">
        <f>'Rep Ovh Bal'!BH40</f>
        <v/>
      </c>
      <c r="BH552" s="451" t="str">
        <f>'Rep Ovh Bal'!BI40</f>
        <v/>
      </c>
      <c r="BI552" s="451" t="str">
        <f>'Rep Ovh Bal'!BJ40</f>
        <v/>
      </c>
      <c r="BJ552" s="451" t="str">
        <f>'Rep Ovh Bal'!BK40</f>
        <v/>
      </c>
      <c r="BK552" s="1062">
        <f>'Rep Ovh Bal'!AY40</f>
        <v>1973.7168</v>
      </c>
      <c r="BL552" s="1069">
        <f>'Rep Ovh Bal'!AY40</f>
        <v>1973.7168</v>
      </c>
      <c r="BM552" s="1068"/>
      <c r="BN552" s="1068"/>
      <c r="BO552" s="1068"/>
      <c r="BP552" s="451" t="str">
        <f>'Rep Ovh Bal'!BQ40</f>
        <v/>
      </c>
      <c r="BQ552" s="451" t="str">
        <f>'Rep Ovh Bal'!BR40</f>
        <v/>
      </c>
      <c r="BR552" s="451" t="str">
        <f>'Rep Ovh Bal'!BS40</f>
        <v/>
      </c>
      <c r="BS552" s="451" t="str">
        <f>'Rep Ovh Bal'!BT40</f>
        <v/>
      </c>
      <c r="BT552" s="451" t="str">
        <f>'Rep Ovh Bal'!BU40</f>
        <v/>
      </c>
      <c r="BU552" s="451" t="str">
        <f>'Rep Ovh Bal'!BV40</f>
        <v/>
      </c>
      <c r="BV552" s="451" t="str">
        <f>'Rep Ovh Bal'!BW40</f>
        <v/>
      </c>
      <c r="BW552" s="1062">
        <f>'Rep Ovh Bal'!AZ40</f>
        <v>0</v>
      </c>
      <c r="BX552" s="1069">
        <f>'Rep Ovh Bal'!AZ40</f>
        <v>0</v>
      </c>
      <c r="BY552" s="1068"/>
      <c r="BZ552" s="1068"/>
      <c r="CA552" s="451" t="str">
        <f>'Rep Ovh Bal'!CB40</f>
        <v/>
      </c>
      <c r="CB552" s="451" t="str">
        <f>'Rep Ovh Bal'!CC40</f>
        <v/>
      </c>
      <c r="CC552" s="451" t="str">
        <f>'Rep Ovh Bal'!CD40</f>
        <v/>
      </c>
      <c r="CD552" s="451" t="str">
        <f>'Rep Ovh Bal'!CE40</f>
        <v/>
      </c>
      <c r="CE552" s="451" t="str">
        <f>'Rep Ovh Bal'!CF40</f>
        <v/>
      </c>
      <c r="CF552" s="451" t="str">
        <f>'Rep Ovh Bal'!CG40</f>
        <v/>
      </c>
      <c r="CG552" s="451" t="str">
        <f>'Rep Ovh Bal'!CH40</f>
        <v/>
      </c>
      <c r="CH552" s="451" t="str">
        <f>'Rep Ovh Bal'!CI40</f>
        <v/>
      </c>
      <c r="CI552" s="1062">
        <f>'Rep Ovh Bal'!BA40</f>
        <v>0</v>
      </c>
      <c r="CJ552" s="1062">
        <f>'Rep Ovh Bal'!BA40</f>
        <v>0</v>
      </c>
      <c r="CK552" s="1062">
        <f>'Rep Ovh Bal'!BB40</f>
        <v>1973.7168</v>
      </c>
      <c r="CL552" s="1064" t="str">
        <f>'Rep Ovh Bal'!BC40</f>
        <v/>
      </c>
      <c r="CM552" s="451" t="str">
        <f>'Rep Ovh Bal'!CN40</f>
        <v/>
      </c>
      <c r="CN552" s="1065" t="str">
        <f>'Rep Ovh Bal'!BE36</f>
        <v/>
      </c>
      <c r="CO552" s="1062" t="str">
        <f>'Rep Ovh Bal'!BF36</f>
        <v/>
      </c>
      <c r="CP552" s="1060" t="str">
        <f>'Rep Ovh Bal'!BG36</f>
        <v/>
      </c>
    </row>
    <row r="553">
      <c r="A553" s="451" t="str">
        <f>'Rep Ovh Bal'!A41</f>
        <v>Repuestos mantenimientos mayores para estaciones y torres</v>
      </c>
      <c r="B553" s="451">
        <f>'Rep Ovh Bal'!B41</f>
        <v>2</v>
      </c>
      <c r="C553" s="451" t="str">
        <f>'Rep Ovh Bal'!C41</f>
        <v>Torres</v>
      </c>
      <c r="D553" s="451" t="str">
        <f>'Rep Ovh Bal'!D41</f>
        <v>OVH balancines TRM</v>
      </c>
      <c r="E553" s="451" t="str">
        <f>'Rep Ovh Bal'!E41</f>
        <v>Repuesto Mecánico</v>
      </c>
      <c r="F553" s="451" t="str">
        <f>'Rep Ovh Bal'!F41</f>
        <v>TDB</v>
      </c>
      <c r="G553" s="1025" t="str">
        <f>'Rep Ovh Bal'!G41</f>
        <v>39800</v>
      </c>
      <c r="H553" s="1061" t="str">
        <f>'Rep Ovh Bal'!H41</f>
        <v>2-01-00493</v>
      </c>
      <c r="I553" s="1061" t="str">
        <f>'Rep Ovh Bal'!I41</f>
        <v>10389587</v>
      </c>
      <c r="J553" s="1061" t="str">
        <f>'Rep Ovh Bal'!J41</f>
        <v>CASQUILLO PM 4040 DS  TIPO: KW SIN AGUJ.DE ENGRASE    GLACIER</v>
      </c>
      <c r="K553" s="451" t="str">
        <f>'Rep Ovh Bal'!K41</f>
        <v>Pza</v>
      </c>
      <c r="L553" s="451">
        <f>'Rep Ovh Bal'!L41</f>
        <v>0</v>
      </c>
      <c r="M553" s="451">
        <f>'Rep Ovh Bal'!M41</f>
        <v>0</v>
      </c>
      <c r="N553" s="451">
        <f>'Rep Ovh Bal'!N41</f>
        <v>0</v>
      </c>
      <c r="O553" s="451">
        <f>'Rep Ovh Bal'!O41</f>
        <v>0</v>
      </c>
      <c r="P553" s="451">
        <f>'Rep Ovh Bal'!P41</f>
        <v>0</v>
      </c>
      <c r="Q553" s="451">
        <f>'Rep Ovh Bal'!Q41</f>
        <v>0</v>
      </c>
      <c r="R553" s="451">
        <f>'Rep Ovh Bal'!R41</f>
        <v>0</v>
      </c>
      <c r="S553" s="451">
        <f>'Rep Ovh Bal'!S41</f>
        <v>0</v>
      </c>
      <c r="T553" s="451">
        <f>'Rep Ovh Bal'!T41</f>
        <v>0</v>
      </c>
      <c r="U553" s="451">
        <f>'Rep Ovh Bal'!U41</f>
        <v>0</v>
      </c>
      <c r="V553" s="451">
        <f>'Rep Ovh Bal'!V41</f>
        <v>304</v>
      </c>
      <c r="W553" s="1062">
        <f>'Rep Ovh Bal'!W41</f>
        <v>304</v>
      </c>
      <c r="X553" s="451">
        <f>'Rep Ovh Bal'!X41</f>
        <v>0</v>
      </c>
      <c r="Y553" s="451">
        <f>'Rep Ovh Bal'!Y41</f>
        <v>0</v>
      </c>
      <c r="Z553" s="451">
        <f>'Rep Ovh Bal'!Z41</f>
        <v>0</v>
      </c>
      <c r="AA553" s="451">
        <f>'Rep Ovh Bal'!AA41</f>
        <v>0</v>
      </c>
      <c r="AB553" s="451">
        <f>'Rep Ovh Bal'!AB41</f>
        <v>0</v>
      </c>
      <c r="AC553" s="451">
        <f>'Rep Ovh Bal'!AC41</f>
        <v>0</v>
      </c>
      <c r="AD553" s="451">
        <f>'Rep Ovh Bal'!AD41</f>
        <v>0</v>
      </c>
      <c r="AE553" s="451">
        <f>'Rep Ovh Bal'!AE41</f>
        <v>0</v>
      </c>
      <c r="AF553" s="451">
        <f>'Rep Ovh Bal'!AF41</f>
        <v>0</v>
      </c>
      <c r="AG553" s="451">
        <f>'Rep Ovh Bal'!AG41</f>
        <v>0</v>
      </c>
      <c r="AH553" s="451">
        <f>'Rep Ovh Bal'!AH41</f>
        <v>48</v>
      </c>
      <c r="AI553" s="1062">
        <f>'Rep Ovh Bal'!AI41</f>
        <v>48</v>
      </c>
      <c r="AJ553" s="451">
        <f>'Rep Ovh Bal'!AJ41</f>
        <v>0</v>
      </c>
      <c r="AK553" s="451">
        <f>'Rep Ovh Bal'!AK41</f>
        <v>0</v>
      </c>
      <c r="AL553" s="451">
        <f>'Rep Ovh Bal'!AL41</f>
        <v>0</v>
      </c>
      <c r="AM553" s="451">
        <f>'Rep Ovh Bal'!AM41</f>
        <v>0</v>
      </c>
      <c r="AN553" s="451">
        <f>'Rep Ovh Bal'!AN41</f>
        <v>0</v>
      </c>
      <c r="AO553" s="451">
        <f>'Rep Ovh Bal'!AO41</f>
        <v>0</v>
      </c>
      <c r="AP553" s="451">
        <f>'Rep Ovh Bal'!AP41</f>
        <v>0</v>
      </c>
      <c r="AQ553" s="451">
        <f>'Rep Ovh Bal'!AQ41</f>
        <v>0</v>
      </c>
      <c r="AR553" s="451">
        <f>'Rep Ovh Bal'!AR41</f>
        <v>0</v>
      </c>
      <c r="AS553" s="451">
        <f>'Rep Ovh Bal'!AS41</f>
        <v>0</v>
      </c>
      <c r="AT553" s="451">
        <f>'Rep Ovh Bal'!AT41</f>
        <v>160</v>
      </c>
      <c r="AU553" s="1062">
        <f>'Rep Ovh Bal'!AU41</f>
        <v>160</v>
      </c>
      <c r="AV553" s="1063">
        <f>'Rep Ovh Bal'!AV41</f>
        <v>512</v>
      </c>
      <c r="AW553" s="1068"/>
      <c r="AX553" s="1065">
        <f>'Rep Ovh Bal'!AW41</f>
        <v>15.04</v>
      </c>
      <c r="AY553" s="1062">
        <f>'Rep Ovh Bal'!AX41</f>
        <v>104.6784</v>
      </c>
      <c r="AZ553" s="1068"/>
      <c r="BA553" s="1068"/>
      <c r="BB553" s="1068"/>
      <c r="BC553" s="1068"/>
      <c r="BD553" s="1068"/>
      <c r="BE553" s="1068"/>
      <c r="BF553" s="1065" t="str">
        <f>'Rep Ovh Bal'!BE41</f>
        <v/>
      </c>
      <c r="BG553" s="451" t="str">
        <f>'Rep Ovh Bal'!BH41</f>
        <v/>
      </c>
      <c r="BH553" s="451" t="str">
        <f>'Rep Ovh Bal'!BI41</f>
        <v/>
      </c>
      <c r="BI553" s="451" t="str">
        <f>'Rep Ovh Bal'!BJ41</f>
        <v/>
      </c>
      <c r="BJ553" s="451" t="str">
        <f>'Rep Ovh Bal'!BK41</f>
        <v/>
      </c>
      <c r="BK553" s="1062">
        <f>'Rep Ovh Bal'!AY41</f>
        <v>31822.2336</v>
      </c>
      <c r="BL553" s="1069">
        <f>'Rep Ovh Bal'!AY41</f>
        <v>31822.2336</v>
      </c>
      <c r="BM553" s="1068"/>
      <c r="BN553" s="1068"/>
      <c r="BO553" s="1068"/>
      <c r="BP553" s="451" t="str">
        <f>'Rep Ovh Bal'!BQ41</f>
        <v/>
      </c>
      <c r="BQ553" s="451" t="str">
        <f>'Rep Ovh Bal'!BR41</f>
        <v/>
      </c>
      <c r="BR553" s="451" t="str">
        <f>'Rep Ovh Bal'!BS41</f>
        <v/>
      </c>
      <c r="BS553" s="451" t="str">
        <f>'Rep Ovh Bal'!BT41</f>
        <v/>
      </c>
      <c r="BT553" s="451" t="str">
        <f>'Rep Ovh Bal'!BU41</f>
        <v/>
      </c>
      <c r="BU553" s="451" t="str">
        <f>'Rep Ovh Bal'!BV41</f>
        <v/>
      </c>
      <c r="BV553" s="451" t="str">
        <f>'Rep Ovh Bal'!BW41</f>
        <v/>
      </c>
      <c r="BW553" s="1062">
        <f>'Rep Ovh Bal'!AZ41</f>
        <v>5024.5632</v>
      </c>
      <c r="BX553" s="1069">
        <f>'Rep Ovh Bal'!AZ41</f>
        <v>5024.5632</v>
      </c>
      <c r="BY553" s="1068"/>
      <c r="BZ553" s="1068"/>
      <c r="CA553" s="451" t="str">
        <f>'Rep Ovh Bal'!CB41</f>
        <v/>
      </c>
      <c r="CB553" s="451" t="str">
        <f>'Rep Ovh Bal'!CC41</f>
        <v/>
      </c>
      <c r="CC553" s="451" t="str">
        <f>'Rep Ovh Bal'!CD41</f>
        <v/>
      </c>
      <c r="CD553" s="451" t="str">
        <f>'Rep Ovh Bal'!CE41</f>
        <v/>
      </c>
      <c r="CE553" s="451" t="str">
        <f>'Rep Ovh Bal'!CF41</f>
        <v/>
      </c>
      <c r="CF553" s="451" t="str">
        <f>'Rep Ovh Bal'!CG41</f>
        <v/>
      </c>
      <c r="CG553" s="451" t="str">
        <f>'Rep Ovh Bal'!CH41</f>
        <v/>
      </c>
      <c r="CH553" s="451" t="str">
        <f>'Rep Ovh Bal'!CI41</f>
        <v/>
      </c>
      <c r="CI553" s="1062">
        <f>'Rep Ovh Bal'!BA41</f>
        <v>16748.544</v>
      </c>
      <c r="CJ553" s="1062">
        <f>'Rep Ovh Bal'!BA41</f>
        <v>16748.544</v>
      </c>
      <c r="CK553" s="1062">
        <f>'Rep Ovh Bal'!BB41</f>
        <v>53595.3408</v>
      </c>
      <c r="CL553" s="1064" t="str">
        <f>'Rep Ovh Bal'!BC41</f>
        <v/>
      </c>
      <c r="CM553" s="451" t="str">
        <f>'Rep Ovh Bal'!CN41</f>
        <v/>
      </c>
      <c r="CN553" s="1065" t="str">
        <f>'Rep Ovh Bal'!BE37</f>
        <v/>
      </c>
      <c r="CO553" s="1062" t="str">
        <f>'Rep Ovh Bal'!BF37</f>
        <v/>
      </c>
      <c r="CP553" s="1060" t="str">
        <f>'Rep Ovh Bal'!BG37</f>
        <v/>
      </c>
    </row>
    <row r="554">
      <c r="A554" s="451" t="str">
        <f>'Rep Ovh Bal'!A42</f>
        <v>Repuestos mantenimientos mayores para estaciones y torres</v>
      </c>
      <c r="B554" s="451">
        <f>'Rep Ovh Bal'!B42</f>
        <v>2</v>
      </c>
      <c r="C554" s="451" t="str">
        <f>'Rep Ovh Bal'!C42</f>
        <v>Torres</v>
      </c>
      <c r="D554" s="451" t="str">
        <f>'Rep Ovh Bal'!D42</f>
        <v>OVH balancines TRM</v>
      </c>
      <c r="E554" s="451" t="str">
        <f>'Rep Ovh Bal'!E42</f>
        <v>Repuesto Mecánico</v>
      </c>
      <c r="F554" s="451" t="str">
        <f>'Rep Ovh Bal'!F42</f>
        <v>TDB</v>
      </c>
      <c r="G554" s="1025" t="str">
        <f>'Rep Ovh Bal'!G42</f>
        <v>39800</v>
      </c>
      <c r="H554" s="1061" t="str">
        <f>'Rep Ovh Bal'!H42</f>
        <v>2-01-00871</v>
      </c>
      <c r="I554" s="1061" t="str">
        <f>'Rep Ovh Bal'!I42</f>
        <v>10420185</v>
      </c>
      <c r="J554" s="1061" t="str">
        <f>'Rep Ovh Bal'!J42</f>
        <v>ROD.RA.BOLAS  DIN 625/1- 6205-2RS-C3 LT VT210 (TTF 90% +/-5%)</v>
      </c>
      <c r="K554" s="451" t="str">
        <f>'Rep Ovh Bal'!K42</f>
        <v>Pza</v>
      </c>
      <c r="L554" s="451">
        <f>'Rep Ovh Bal'!L42</f>
        <v>0</v>
      </c>
      <c r="M554" s="451">
        <f>'Rep Ovh Bal'!M42</f>
        <v>0</v>
      </c>
      <c r="N554" s="451">
        <f>'Rep Ovh Bal'!N42</f>
        <v>0</v>
      </c>
      <c r="O554" s="451">
        <f>'Rep Ovh Bal'!O42</f>
        <v>0</v>
      </c>
      <c r="P554" s="451">
        <f>'Rep Ovh Bal'!P42</f>
        <v>0</v>
      </c>
      <c r="Q554" s="451">
        <f>'Rep Ovh Bal'!Q42</f>
        <v>0</v>
      </c>
      <c r="R554" s="451">
        <f>'Rep Ovh Bal'!R42</f>
        <v>0</v>
      </c>
      <c r="S554" s="451">
        <f>'Rep Ovh Bal'!S42</f>
        <v>0</v>
      </c>
      <c r="T554" s="451">
        <f>'Rep Ovh Bal'!T42</f>
        <v>0</v>
      </c>
      <c r="U554" s="451">
        <f>'Rep Ovh Bal'!U42</f>
        <v>0</v>
      </c>
      <c r="V554" s="451">
        <f>'Rep Ovh Bal'!V42</f>
        <v>304</v>
      </c>
      <c r="W554" s="1062">
        <f>'Rep Ovh Bal'!W42</f>
        <v>304</v>
      </c>
      <c r="X554" s="451">
        <f>'Rep Ovh Bal'!X42</f>
        <v>0</v>
      </c>
      <c r="Y554" s="451">
        <f>'Rep Ovh Bal'!Y42</f>
        <v>0</v>
      </c>
      <c r="Z554" s="451">
        <f>'Rep Ovh Bal'!Z42</f>
        <v>0</v>
      </c>
      <c r="AA554" s="451">
        <f>'Rep Ovh Bal'!AA42</f>
        <v>0</v>
      </c>
      <c r="AB554" s="451">
        <f>'Rep Ovh Bal'!AB42</f>
        <v>0</v>
      </c>
      <c r="AC554" s="451">
        <f>'Rep Ovh Bal'!AC42</f>
        <v>0</v>
      </c>
      <c r="AD554" s="451">
        <f>'Rep Ovh Bal'!AD42</f>
        <v>0</v>
      </c>
      <c r="AE554" s="451">
        <f>'Rep Ovh Bal'!AE42</f>
        <v>0</v>
      </c>
      <c r="AF554" s="451">
        <f>'Rep Ovh Bal'!AF42</f>
        <v>0</v>
      </c>
      <c r="AG554" s="451">
        <f>'Rep Ovh Bal'!AG42</f>
        <v>0</v>
      </c>
      <c r="AH554" s="451">
        <f>'Rep Ovh Bal'!AH42</f>
        <v>48</v>
      </c>
      <c r="AI554" s="1062">
        <f>'Rep Ovh Bal'!AI42</f>
        <v>48</v>
      </c>
      <c r="AJ554" s="451">
        <f>'Rep Ovh Bal'!AJ42</f>
        <v>0</v>
      </c>
      <c r="AK554" s="451">
        <f>'Rep Ovh Bal'!AK42</f>
        <v>0</v>
      </c>
      <c r="AL554" s="451">
        <f>'Rep Ovh Bal'!AL42</f>
        <v>0</v>
      </c>
      <c r="AM554" s="451">
        <f>'Rep Ovh Bal'!AM42</f>
        <v>0</v>
      </c>
      <c r="AN554" s="451">
        <f>'Rep Ovh Bal'!AN42</f>
        <v>0</v>
      </c>
      <c r="AO554" s="451">
        <f>'Rep Ovh Bal'!AO42</f>
        <v>0</v>
      </c>
      <c r="AP554" s="451">
        <f>'Rep Ovh Bal'!AP42</f>
        <v>0</v>
      </c>
      <c r="AQ554" s="451">
        <f>'Rep Ovh Bal'!AQ42</f>
        <v>0</v>
      </c>
      <c r="AR554" s="451">
        <f>'Rep Ovh Bal'!AR42</f>
        <v>0</v>
      </c>
      <c r="AS554" s="451">
        <f>'Rep Ovh Bal'!AS42</f>
        <v>0</v>
      </c>
      <c r="AT554" s="451">
        <f>'Rep Ovh Bal'!AT42</f>
        <v>160</v>
      </c>
      <c r="AU554" s="1062">
        <f>'Rep Ovh Bal'!AU42</f>
        <v>160</v>
      </c>
      <c r="AV554" s="1063">
        <f>'Rep Ovh Bal'!AV42</f>
        <v>512</v>
      </c>
      <c r="AW554" s="1068"/>
      <c r="AX554" s="1065">
        <f>'Rep Ovh Bal'!AW42</f>
        <v>9.31</v>
      </c>
      <c r="AY554" s="1062">
        <f>'Rep Ovh Bal'!AX42</f>
        <v>64.7976</v>
      </c>
      <c r="AZ554" s="1068"/>
      <c r="BA554" s="1068"/>
      <c r="BB554" s="1068"/>
      <c r="BC554" s="1068"/>
      <c r="BD554" s="1068"/>
      <c r="BE554" s="1068"/>
      <c r="BF554" s="1065" t="str">
        <f>'Rep Ovh Bal'!BE42</f>
        <v/>
      </c>
      <c r="BG554" s="451" t="str">
        <f>'Rep Ovh Bal'!BH42</f>
        <v/>
      </c>
      <c r="BH554" s="451" t="str">
        <f>'Rep Ovh Bal'!BI42</f>
        <v/>
      </c>
      <c r="BI554" s="451" t="str">
        <f>'Rep Ovh Bal'!BJ42</f>
        <v/>
      </c>
      <c r="BJ554" s="451" t="str">
        <f>'Rep Ovh Bal'!BK42</f>
        <v/>
      </c>
      <c r="BK554" s="1062">
        <f>'Rep Ovh Bal'!AY42</f>
        <v>19698.4704</v>
      </c>
      <c r="BL554" s="1069">
        <f>'Rep Ovh Bal'!AY42</f>
        <v>19698.4704</v>
      </c>
      <c r="BM554" s="1068"/>
      <c r="BN554" s="1068"/>
      <c r="BO554" s="1068"/>
      <c r="BP554" s="451" t="str">
        <f>'Rep Ovh Bal'!BQ42</f>
        <v/>
      </c>
      <c r="BQ554" s="451" t="str">
        <f>'Rep Ovh Bal'!BR42</f>
        <v/>
      </c>
      <c r="BR554" s="451" t="str">
        <f>'Rep Ovh Bal'!BS42</f>
        <v/>
      </c>
      <c r="BS554" s="451" t="str">
        <f>'Rep Ovh Bal'!BT42</f>
        <v/>
      </c>
      <c r="BT554" s="451" t="str">
        <f>'Rep Ovh Bal'!BU42</f>
        <v/>
      </c>
      <c r="BU554" s="451" t="str">
        <f>'Rep Ovh Bal'!BV42</f>
        <v/>
      </c>
      <c r="BV554" s="451" t="str">
        <f>'Rep Ovh Bal'!BW42</f>
        <v/>
      </c>
      <c r="BW554" s="1062">
        <f>'Rep Ovh Bal'!AZ42</f>
        <v>3110.2848</v>
      </c>
      <c r="BX554" s="1069">
        <f>'Rep Ovh Bal'!AZ42</f>
        <v>3110.2848</v>
      </c>
      <c r="BY554" s="1068"/>
      <c r="BZ554" s="1068"/>
      <c r="CA554" s="451" t="str">
        <f>'Rep Ovh Bal'!CB42</f>
        <v/>
      </c>
      <c r="CB554" s="451" t="str">
        <f>'Rep Ovh Bal'!CC42</f>
        <v/>
      </c>
      <c r="CC554" s="451" t="str">
        <f>'Rep Ovh Bal'!CD42</f>
        <v/>
      </c>
      <c r="CD554" s="451" t="str">
        <f>'Rep Ovh Bal'!CE42</f>
        <v/>
      </c>
      <c r="CE554" s="451" t="str">
        <f>'Rep Ovh Bal'!CF42</f>
        <v/>
      </c>
      <c r="CF554" s="451" t="str">
        <f>'Rep Ovh Bal'!CG42</f>
        <v/>
      </c>
      <c r="CG554" s="451" t="str">
        <f>'Rep Ovh Bal'!CH42</f>
        <v/>
      </c>
      <c r="CH554" s="451" t="str">
        <f>'Rep Ovh Bal'!CI42</f>
        <v/>
      </c>
      <c r="CI554" s="1062">
        <f>'Rep Ovh Bal'!BA42</f>
        <v>10367.616</v>
      </c>
      <c r="CJ554" s="1062">
        <f>'Rep Ovh Bal'!BA42</f>
        <v>10367.616</v>
      </c>
      <c r="CK554" s="1062">
        <f>'Rep Ovh Bal'!BB42</f>
        <v>33176.3712</v>
      </c>
      <c r="CL554" s="1064" t="str">
        <f>'Rep Ovh Bal'!BC42</f>
        <v/>
      </c>
      <c r="CM554" s="451" t="str">
        <f>'Rep Ovh Bal'!CN42</f>
        <v/>
      </c>
      <c r="CN554" s="1065" t="str">
        <f>'Rep Ovh Bal'!BE38</f>
        <v/>
      </c>
      <c r="CO554" s="1062" t="str">
        <f>'Rep Ovh Bal'!BF38</f>
        <v/>
      </c>
      <c r="CP554" s="1060" t="str">
        <f>'Rep Ovh Bal'!BG38</f>
        <v/>
      </c>
    </row>
    <row r="555">
      <c r="A555" s="451" t="str">
        <f>'Rep Ovh Bal'!A43</f>
        <v>Repuestos mantenimientos mayores para estaciones y torres</v>
      </c>
      <c r="B555" s="451">
        <f>'Rep Ovh Bal'!B43</f>
        <v>2</v>
      </c>
      <c r="C555" s="451" t="str">
        <f>'Rep Ovh Bal'!C43</f>
        <v>Torres</v>
      </c>
      <c r="D555" s="451" t="str">
        <f>'Rep Ovh Bal'!D43</f>
        <v>OVH balancines TRM</v>
      </c>
      <c r="E555" s="451" t="str">
        <f>'Rep Ovh Bal'!E43</f>
        <v>Repuesto Mecánico</v>
      </c>
      <c r="F555" s="451" t="str">
        <f>'Rep Ovh Bal'!F43</f>
        <v>TDB</v>
      </c>
      <c r="G555" s="1025" t="str">
        <f>'Rep Ovh Bal'!G43</f>
        <v>39800</v>
      </c>
      <c r="H555" s="1061" t="str">
        <f>'Rep Ovh Bal'!H43</f>
        <v>2-01-00011</v>
      </c>
      <c r="I555" s="1061" t="str">
        <f>'Rep Ovh Bal'!I43</f>
        <v>10431740</v>
      </c>
      <c r="J555" s="1061" t="str">
        <f>'Rep Ovh Bal'!J43</f>
        <v>GUARN.DE GOMA  501 485X100/R40 </v>
      </c>
      <c r="K555" s="451" t="str">
        <f>'Rep Ovh Bal'!K43</f>
        <v>Pza</v>
      </c>
      <c r="L555" s="451">
        <f>'Rep Ovh Bal'!L43</f>
        <v>0</v>
      </c>
      <c r="M555" s="451">
        <f>'Rep Ovh Bal'!M43</f>
        <v>0</v>
      </c>
      <c r="N555" s="451">
        <f>'Rep Ovh Bal'!N43</f>
        <v>0</v>
      </c>
      <c r="O555" s="451">
        <f>'Rep Ovh Bal'!O43</f>
        <v>0</v>
      </c>
      <c r="P555" s="451">
        <f>'Rep Ovh Bal'!P43</f>
        <v>0</v>
      </c>
      <c r="Q555" s="451">
        <f>'Rep Ovh Bal'!Q43</f>
        <v>0</v>
      </c>
      <c r="R555" s="451">
        <f>'Rep Ovh Bal'!R43</f>
        <v>0</v>
      </c>
      <c r="S555" s="451">
        <f>'Rep Ovh Bal'!S43</f>
        <v>0</v>
      </c>
      <c r="T555" s="451">
        <f>'Rep Ovh Bal'!T43</f>
        <v>0</v>
      </c>
      <c r="U555" s="451">
        <f>'Rep Ovh Bal'!U43</f>
        <v>0</v>
      </c>
      <c r="V555" s="451">
        <f>'Rep Ovh Bal'!V43</f>
        <v>280</v>
      </c>
      <c r="W555" s="1062">
        <f>'Rep Ovh Bal'!W43</f>
        <v>280</v>
      </c>
      <c r="X555" s="451">
        <f>'Rep Ovh Bal'!X43</f>
        <v>0</v>
      </c>
      <c r="Y555" s="451">
        <f>'Rep Ovh Bal'!Y43</f>
        <v>0</v>
      </c>
      <c r="Z555" s="451">
        <f>'Rep Ovh Bal'!Z43</f>
        <v>0</v>
      </c>
      <c r="AA555" s="451">
        <f>'Rep Ovh Bal'!AA43</f>
        <v>0</v>
      </c>
      <c r="AB555" s="451">
        <f>'Rep Ovh Bal'!AB43</f>
        <v>0</v>
      </c>
      <c r="AC555" s="451">
        <f>'Rep Ovh Bal'!AC43</f>
        <v>0</v>
      </c>
      <c r="AD555" s="451">
        <f>'Rep Ovh Bal'!AD43</f>
        <v>0</v>
      </c>
      <c r="AE555" s="451">
        <f>'Rep Ovh Bal'!AE43</f>
        <v>0</v>
      </c>
      <c r="AF555" s="451">
        <f>'Rep Ovh Bal'!AF43</f>
        <v>0</v>
      </c>
      <c r="AG555" s="451">
        <f>'Rep Ovh Bal'!AG43</f>
        <v>0</v>
      </c>
      <c r="AH555" s="451">
        <f>'Rep Ovh Bal'!AH43</f>
        <v>616</v>
      </c>
      <c r="AI555" s="1062">
        <f>'Rep Ovh Bal'!AI43</f>
        <v>616</v>
      </c>
      <c r="AJ555" s="451">
        <f>'Rep Ovh Bal'!AJ43</f>
        <v>0</v>
      </c>
      <c r="AK555" s="451">
        <f>'Rep Ovh Bal'!AK43</f>
        <v>0</v>
      </c>
      <c r="AL555" s="451">
        <f>'Rep Ovh Bal'!AL43</f>
        <v>0</v>
      </c>
      <c r="AM555" s="451">
        <f>'Rep Ovh Bal'!AM43</f>
        <v>0</v>
      </c>
      <c r="AN555" s="451">
        <f>'Rep Ovh Bal'!AN43</f>
        <v>0</v>
      </c>
      <c r="AO555" s="451">
        <f>'Rep Ovh Bal'!AO43</f>
        <v>0</v>
      </c>
      <c r="AP555" s="451">
        <f>'Rep Ovh Bal'!AP43</f>
        <v>0</v>
      </c>
      <c r="AQ555" s="451">
        <f>'Rep Ovh Bal'!AQ43</f>
        <v>0</v>
      </c>
      <c r="AR555" s="451">
        <f>'Rep Ovh Bal'!AR43</f>
        <v>0</v>
      </c>
      <c r="AS555" s="451">
        <f>'Rep Ovh Bal'!AS43</f>
        <v>0</v>
      </c>
      <c r="AT555" s="451">
        <f>'Rep Ovh Bal'!AT43</f>
        <v>552</v>
      </c>
      <c r="AU555" s="1062">
        <f>'Rep Ovh Bal'!AU43</f>
        <v>552</v>
      </c>
      <c r="AV555" s="1063">
        <f>'Rep Ovh Bal'!AV43</f>
        <v>1448</v>
      </c>
      <c r="AW555" s="1068"/>
      <c r="AX555" s="1065">
        <f>'Rep Ovh Bal'!AW43</f>
        <v>401.33</v>
      </c>
      <c r="AY555" s="1062">
        <f>'Rep Ovh Bal'!AX43</f>
        <v>2793.2568</v>
      </c>
      <c r="AZ555" s="1068"/>
      <c r="BA555" s="1068"/>
      <c r="BB555" s="1068"/>
      <c r="BC555" s="1068"/>
      <c r="BD555" s="1068"/>
      <c r="BE555" s="1068"/>
      <c r="BF555" s="1065" t="str">
        <f>'Rep Ovh Bal'!BE43</f>
        <v/>
      </c>
      <c r="BG555" s="451" t="str">
        <f>'Rep Ovh Bal'!BH43</f>
        <v/>
      </c>
      <c r="BH555" s="451" t="str">
        <f>'Rep Ovh Bal'!BI43</f>
        <v/>
      </c>
      <c r="BI555" s="451" t="str">
        <f>'Rep Ovh Bal'!BJ43</f>
        <v/>
      </c>
      <c r="BJ555" s="451" t="str">
        <f>'Rep Ovh Bal'!BK43</f>
        <v/>
      </c>
      <c r="BK555" s="1062">
        <f>'Rep Ovh Bal'!AY43</f>
        <v>782111.904</v>
      </c>
      <c r="BL555" s="1069">
        <f>'Rep Ovh Bal'!AY43</f>
        <v>782111.904</v>
      </c>
      <c r="BM555" s="1068"/>
      <c r="BN555" s="1068"/>
      <c r="BO555" s="1068"/>
      <c r="BP555" s="451" t="str">
        <f>'Rep Ovh Bal'!BQ43</f>
        <v/>
      </c>
      <c r="BQ555" s="451" t="str">
        <f>'Rep Ovh Bal'!BR43</f>
        <v/>
      </c>
      <c r="BR555" s="451" t="str">
        <f>'Rep Ovh Bal'!BS43</f>
        <v/>
      </c>
      <c r="BS555" s="451" t="str">
        <f>'Rep Ovh Bal'!BT43</f>
        <v/>
      </c>
      <c r="BT555" s="451" t="str">
        <f>'Rep Ovh Bal'!BU43</f>
        <v/>
      </c>
      <c r="BU555" s="451" t="str">
        <f>'Rep Ovh Bal'!BV43</f>
        <v/>
      </c>
      <c r="BV555" s="451" t="str">
        <f>'Rep Ovh Bal'!BW43</f>
        <v/>
      </c>
      <c r="BW555" s="1062">
        <f>'Rep Ovh Bal'!AZ43</f>
        <v>1720646.189</v>
      </c>
      <c r="BX555" s="1069">
        <f>'Rep Ovh Bal'!AZ43</f>
        <v>1720646.189</v>
      </c>
      <c r="BY555" s="1068"/>
      <c r="BZ555" s="1068"/>
      <c r="CA555" s="451" t="str">
        <f>'Rep Ovh Bal'!CB43</f>
        <v/>
      </c>
      <c r="CB555" s="451" t="str">
        <f>'Rep Ovh Bal'!CC43</f>
        <v/>
      </c>
      <c r="CC555" s="451" t="str">
        <f>'Rep Ovh Bal'!CD43</f>
        <v/>
      </c>
      <c r="CD555" s="451" t="str">
        <f>'Rep Ovh Bal'!CE43</f>
        <v/>
      </c>
      <c r="CE555" s="451" t="str">
        <f>'Rep Ovh Bal'!CF43</f>
        <v/>
      </c>
      <c r="CF555" s="451" t="str">
        <f>'Rep Ovh Bal'!CG43</f>
        <v/>
      </c>
      <c r="CG555" s="451" t="str">
        <f>'Rep Ovh Bal'!CH43</f>
        <v/>
      </c>
      <c r="CH555" s="451" t="str">
        <f>'Rep Ovh Bal'!CI43</f>
        <v/>
      </c>
      <c r="CI555" s="1062">
        <f>'Rep Ovh Bal'!BA43</f>
        <v>1541877.754</v>
      </c>
      <c r="CJ555" s="1062">
        <f>'Rep Ovh Bal'!BA43</f>
        <v>1541877.754</v>
      </c>
      <c r="CK555" s="1062">
        <f>'Rep Ovh Bal'!BB43</f>
        <v>4044635.846</v>
      </c>
      <c r="CL555" s="1064" t="str">
        <f>'Rep Ovh Bal'!BC43</f>
        <v/>
      </c>
      <c r="CM555" s="451" t="str">
        <f>'Rep Ovh Bal'!CN43</f>
        <v/>
      </c>
      <c r="CN555" s="1065" t="str">
        <f>'Rep Ovh Bal'!BE39</f>
        <v/>
      </c>
      <c r="CO555" s="1062" t="str">
        <f>'Rep Ovh Bal'!BF39</f>
        <v/>
      </c>
      <c r="CP555" s="1060" t="str">
        <f>'Rep Ovh Bal'!BG39</f>
        <v/>
      </c>
    </row>
    <row r="556">
      <c r="A556" s="451" t="str">
        <f>'Rep Ovh Bal'!A44</f>
        <v>Repuestos mantenimientos mayores para estaciones y torres</v>
      </c>
      <c r="B556" s="451">
        <f>'Rep Ovh Bal'!B44</f>
        <v>2</v>
      </c>
      <c r="C556" s="451" t="str">
        <f>'Rep Ovh Bal'!C44</f>
        <v>Torres</v>
      </c>
      <c r="D556" s="451" t="str">
        <f>'Rep Ovh Bal'!D44</f>
        <v>OVH balancines TRM</v>
      </c>
      <c r="E556" s="451" t="str">
        <f>'Rep Ovh Bal'!E44</f>
        <v>Repuesto Mecánico</v>
      </c>
      <c r="F556" s="451" t="str">
        <f>'Rep Ovh Bal'!F44</f>
        <v>TDB</v>
      </c>
      <c r="G556" s="1025" t="str">
        <f>'Rep Ovh Bal'!G44</f>
        <v>39800</v>
      </c>
      <c r="H556" s="1061" t="str">
        <f>'Rep Ovh Bal'!H44</f>
        <v>2-01-00012</v>
      </c>
      <c r="I556" s="1061" t="str">
        <f>'Rep Ovh Bal'!I44</f>
        <v>10434107</v>
      </c>
      <c r="J556" s="1061" t="str">
        <f>'Rep Ovh Bal'!J44</f>
        <v>GUARN.DE GOMA  420 422X 93/R34 </v>
      </c>
      <c r="K556" s="451" t="str">
        <f>'Rep Ovh Bal'!K44</f>
        <v>Pza</v>
      </c>
      <c r="L556" s="451">
        <f>'Rep Ovh Bal'!L44</f>
        <v>0</v>
      </c>
      <c r="M556" s="451">
        <f>'Rep Ovh Bal'!M44</f>
        <v>0</v>
      </c>
      <c r="N556" s="451">
        <f>'Rep Ovh Bal'!N44</f>
        <v>0</v>
      </c>
      <c r="O556" s="451">
        <f>'Rep Ovh Bal'!O44</f>
        <v>0</v>
      </c>
      <c r="P556" s="451">
        <f>'Rep Ovh Bal'!P44</f>
        <v>0</v>
      </c>
      <c r="Q556" s="451">
        <f>'Rep Ovh Bal'!Q44</f>
        <v>0</v>
      </c>
      <c r="R556" s="451">
        <f>'Rep Ovh Bal'!R44</f>
        <v>0</v>
      </c>
      <c r="S556" s="451">
        <f>'Rep Ovh Bal'!S44</f>
        <v>0</v>
      </c>
      <c r="T556" s="451">
        <f>'Rep Ovh Bal'!T44</f>
        <v>0</v>
      </c>
      <c r="U556" s="451">
        <f>'Rep Ovh Bal'!U44</f>
        <v>0</v>
      </c>
      <c r="V556" s="451">
        <f>'Rep Ovh Bal'!V44</f>
        <v>508</v>
      </c>
      <c r="W556" s="1062">
        <f>'Rep Ovh Bal'!W44</f>
        <v>508</v>
      </c>
      <c r="X556" s="451">
        <f>'Rep Ovh Bal'!X44</f>
        <v>0</v>
      </c>
      <c r="Y556" s="451">
        <f>'Rep Ovh Bal'!Y44</f>
        <v>0</v>
      </c>
      <c r="Z556" s="451">
        <f>'Rep Ovh Bal'!Z44</f>
        <v>0</v>
      </c>
      <c r="AA556" s="451">
        <f>'Rep Ovh Bal'!AA44</f>
        <v>0</v>
      </c>
      <c r="AB556" s="451">
        <f>'Rep Ovh Bal'!AB44</f>
        <v>0</v>
      </c>
      <c r="AC556" s="451">
        <f>'Rep Ovh Bal'!AC44</f>
        <v>0</v>
      </c>
      <c r="AD556" s="451">
        <f>'Rep Ovh Bal'!AD44</f>
        <v>0</v>
      </c>
      <c r="AE556" s="451">
        <f>'Rep Ovh Bal'!AE44</f>
        <v>0</v>
      </c>
      <c r="AF556" s="451">
        <f>'Rep Ovh Bal'!AF44</f>
        <v>0</v>
      </c>
      <c r="AG556" s="451">
        <f>'Rep Ovh Bal'!AG44</f>
        <v>0</v>
      </c>
      <c r="AH556" s="451">
        <f>'Rep Ovh Bal'!AH44</f>
        <v>96</v>
      </c>
      <c r="AI556" s="1062">
        <f>'Rep Ovh Bal'!AI44</f>
        <v>96</v>
      </c>
      <c r="AJ556" s="451">
        <f>'Rep Ovh Bal'!AJ44</f>
        <v>0</v>
      </c>
      <c r="AK556" s="451">
        <f>'Rep Ovh Bal'!AK44</f>
        <v>0</v>
      </c>
      <c r="AL556" s="451">
        <f>'Rep Ovh Bal'!AL44</f>
        <v>0</v>
      </c>
      <c r="AM556" s="451">
        <f>'Rep Ovh Bal'!AM44</f>
        <v>0</v>
      </c>
      <c r="AN556" s="451">
        <f>'Rep Ovh Bal'!AN44</f>
        <v>0</v>
      </c>
      <c r="AO556" s="451">
        <f>'Rep Ovh Bal'!AO44</f>
        <v>0</v>
      </c>
      <c r="AP556" s="451">
        <f>'Rep Ovh Bal'!AP44</f>
        <v>0</v>
      </c>
      <c r="AQ556" s="451">
        <f>'Rep Ovh Bal'!AQ44</f>
        <v>0</v>
      </c>
      <c r="AR556" s="451">
        <f>'Rep Ovh Bal'!AR44</f>
        <v>0</v>
      </c>
      <c r="AS556" s="451">
        <f>'Rep Ovh Bal'!AS44</f>
        <v>0</v>
      </c>
      <c r="AT556" s="451">
        <f>'Rep Ovh Bal'!AT44</f>
        <v>316</v>
      </c>
      <c r="AU556" s="1062">
        <f>'Rep Ovh Bal'!AU44</f>
        <v>316</v>
      </c>
      <c r="AV556" s="1063">
        <f>'Rep Ovh Bal'!AV44</f>
        <v>920</v>
      </c>
      <c r="AW556" s="1068"/>
      <c r="AX556" s="1065">
        <f>'Rep Ovh Bal'!AW44</f>
        <v>317.23</v>
      </c>
      <c r="AY556" s="1062">
        <f>'Rep Ovh Bal'!AX44</f>
        <v>2207.9208</v>
      </c>
      <c r="AZ556" s="1068"/>
      <c r="BA556" s="1068"/>
      <c r="BB556" s="1068"/>
      <c r="BC556" s="1068"/>
      <c r="BD556" s="1068"/>
      <c r="BE556" s="1068"/>
      <c r="BF556" s="1065" t="str">
        <f>'Rep Ovh Bal'!BE44</f>
        <v/>
      </c>
      <c r="BG556" s="451" t="str">
        <f>'Rep Ovh Bal'!BH44</f>
        <v/>
      </c>
      <c r="BH556" s="451" t="str">
        <f>'Rep Ovh Bal'!BI44</f>
        <v/>
      </c>
      <c r="BI556" s="451" t="str">
        <f>'Rep Ovh Bal'!BJ44</f>
        <v/>
      </c>
      <c r="BJ556" s="451" t="str">
        <f>'Rep Ovh Bal'!BK44</f>
        <v/>
      </c>
      <c r="BK556" s="1062">
        <f>'Rep Ovh Bal'!AY44</f>
        <v>1121623.766</v>
      </c>
      <c r="BL556" s="1069">
        <f>'Rep Ovh Bal'!AY44</f>
        <v>1121623.766</v>
      </c>
      <c r="BM556" s="1068"/>
      <c r="BN556" s="1068"/>
      <c r="BO556" s="1068"/>
      <c r="BP556" s="451" t="str">
        <f>'Rep Ovh Bal'!BQ44</f>
        <v/>
      </c>
      <c r="BQ556" s="451" t="str">
        <f>'Rep Ovh Bal'!BR44</f>
        <v/>
      </c>
      <c r="BR556" s="451" t="str">
        <f>'Rep Ovh Bal'!BS44</f>
        <v/>
      </c>
      <c r="BS556" s="451" t="str">
        <f>'Rep Ovh Bal'!BT44</f>
        <v/>
      </c>
      <c r="BT556" s="451" t="str">
        <f>'Rep Ovh Bal'!BU44</f>
        <v/>
      </c>
      <c r="BU556" s="451" t="str">
        <f>'Rep Ovh Bal'!BV44</f>
        <v/>
      </c>
      <c r="BV556" s="451" t="str">
        <f>'Rep Ovh Bal'!BW44</f>
        <v/>
      </c>
      <c r="BW556" s="1062">
        <f>'Rep Ovh Bal'!AZ44</f>
        <v>211960.3968</v>
      </c>
      <c r="BX556" s="1069">
        <f>'Rep Ovh Bal'!AZ44</f>
        <v>211960.3968</v>
      </c>
      <c r="BY556" s="1068"/>
      <c r="BZ556" s="1068"/>
      <c r="CA556" s="451" t="str">
        <f>'Rep Ovh Bal'!CB44</f>
        <v/>
      </c>
      <c r="CB556" s="451" t="str">
        <f>'Rep Ovh Bal'!CC44</f>
        <v/>
      </c>
      <c r="CC556" s="451" t="str">
        <f>'Rep Ovh Bal'!CD44</f>
        <v/>
      </c>
      <c r="CD556" s="451" t="str">
        <f>'Rep Ovh Bal'!CE44</f>
        <v/>
      </c>
      <c r="CE556" s="451" t="str">
        <f>'Rep Ovh Bal'!CF44</f>
        <v/>
      </c>
      <c r="CF556" s="451" t="str">
        <f>'Rep Ovh Bal'!CG44</f>
        <v/>
      </c>
      <c r="CG556" s="451" t="str">
        <f>'Rep Ovh Bal'!CH44</f>
        <v/>
      </c>
      <c r="CH556" s="451" t="str">
        <f>'Rep Ovh Bal'!CI44</f>
        <v/>
      </c>
      <c r="CI556" s="1062">
        <f>'Rep Ovh Bal'!BA44</f>
        <v>697702.9728</v>
      </c>
      <c r="CJ556" s="1062">
        <f>'Rep Ovh Bal'!BA44</f>
        <v>697702.9728</v>
      </c>
      <c r="CK556" s="1062">
        <f>'Rep Ovh Bal'!BB44</f>
        <v>2031287.136</v>
      </c>
      <c r="CL556" s="1064" t="str">
        <f>'Rep Ovh Bal'!BC44</f>
        <v/>
      </c>
      <c r="CM556" s="451" t="str">
        <f>'Rep Ovh Bal'!CN44</f>
        <v/>
      </c>
      <c r="CN556" s="1065" t="str">
        <f>'Rep Ovh Bal'!BE40</f>
        <v/>
      </c>
      <c r="CO556" s="1062" t="str">
        <f>'Rep Ovh Bal'!BF40</f>
        <v/>
      </c>
      <c r="CP556" s="1060" t="str">
        <f>'Rep Ovh Bal'!BG40</f>
        <v/>
      </c>
    </row>
    <row r="557">
      <c r="A557" s="451" t="str">
        <f>'Rep Ovh Bal'!A45</f>
        <v>Repuestos mantenimientos mayores para estaciones y torres</v>
      </c>
      <c r="B557" s="451">
        <f>'Rep Ovh Bal'!B45</f>
        <v>2</v>
      </c>
      <c r="C557" s="451" t="str">
        <f>'Rep Ovh Bal'!C45</f>
        <v>Torres</v>
      </c>
      <c r="D557" s="451" t="str">
        <f>'Rep Ovh Bal'!D45</f>
        <v>OVH balancines TRM</v>
      </c>
      <c r="E557" s="451" t="str">
        <f>'Rep Ovh Bal'!E45</f>
        <v>Repuesto Mecánico</v>
      </c>
      <c r="F557" s="451" t="str">
        <f>'Rep Ovh Bal'!F45</f>
        <v>TDB</v>
      </c>
      <c r="G557" s="1025" t="str">
        <f>'Rep Ovh Bal'!G45</f>
        <v>39800</v>
      </c>
      <c r="H557" s="1061" t="str">
        <f>'Rep Ovh Bal'!H45</f>
        <v>2-01-00042</v>
      </c>
      <c r="I557" s="1061" t="str">
        <f>'Rep Ovh Bal'!I45</f>
        <v>10456209</v>
      </c>
      <c r="J557" s="1061" t="str">
        <f>'Rep Ovh Bal'!J45</f>
        <v>PERNO DIA.24,9 LN 192 M20      PARA POLEA TIPO 420C</v>
      </c>
      <c r="K557" s="451" t="str">
        <f>'Rep Ovh Bal'!K45</f>
        <v>Pza</v>
      </c>
      <c r="L557" s="451">
        <f>'Rep Ovh Bal'!L45</f>
        <v>0</v>
      </c>
      <c r="M557" s="451">
        <f>'Rep Ovh Bal'!M45</f>
        <v>0</v>
      </c>
      <c r="N557" s="451">
        <f>'Rep Ovh Bal'!N45</f>
        <v>0</v>
      </c>
      <c r="O557" s="451">
        <f>'Rep Ovh Bal'!O45</f>
        <v>0</v>
      </c>
      <c r="P557" s="451">
        <f>'Rep Ovh Bal'!P45</f>
        <v>0</v>
      </c>
      <c r="Q557" s="451">
        <f>'Rep Ovh Bal'!Q45</f>
        <v>0</v>
      </c>
      <c r="R557" s="451">
        <f>'Rep Ovh Bal'!R45</f>
        <v>0</v>
      </c>
      <c r="S557" s="451">
        <f>'Rep Ovh Bal'!S45</f>
        <v>0</v>
      </c>
      <c r="T557" s="451">
        <f>'Rep Ovh Bal'!T45</f>
        <v>0</v>
      </c>
      <c r="U557" s="451">
        <f>'Rep Ovh Bal'!U45</f>
        <v>0</v>
      </c>
      <c r="V557" s="451">
        <f>'Rep Ovh Bal'!V45</f>
        <v>508</v>
      </c>
      <c r="W557" s="1062">
        <f>'Rep Ovh Bal'!W45</f>
        <v>508</v>
      </c>
      <c r="X557" s="451">
        <f>'Rep Ovh Bal'!X45</f>
        <v>0</v>
      </c>
      <c r="Y557" s="451">
        <f>'Rep Ovh Bal'!Y45</f>
        <v>0</v>
      </c>
      <c r="Z557" s="451">
        <f>'Rep Ovh Bal'!Z45</f>
        <v>0</v>
      </c>
      <c r="AA557" s="451">
        <f>'Rep Ovh Bal'!AA45</f>
        <v>0</v>
      </c>
      <c r="AB557" s="451">
        <f>'Rep Ovh Bal'!AB45</f>
        <v>0</v>
      </c>
      <c r="AC557" s="451">
        <f>'Rep Ovh Bal'!AC45</f>
        <v>0</v>
      </c>
      <c r="AD557" s="451">
        <f>'Rep Ovh Bal'!AD45</f>
        <v>0</v>
      </c>
      <c r="AE557" s="451">
        <f>'Rep Ovh Bal'!AE45</f>
        <v>0</v>
      </c>
      <c r="AF557" s="451">
        <f>'Rep Ovh Bal'!AF45</f>
        <v>0</v>
      </c>
      <c r="AG557" s="451">
        <f>'Rep Ovh Bal'!AG45</f>
        <v>0</v>
      </c>
      <c r="AH557" s="451">
        <f>'Rep Ovh Bal'!AH45</f>
        <v>96</v>
      </c>
      <c r="AI557" s="1062">
        <f>'Rep Ovh Bal'!AI45</f>
        <v>96</v>
      </c>
      <c r="AJ557" s="451">
        <f>'Rep Ovh Bal'!AJ45</f>
        <v>0</v>
      </c>
      <c r="AK557" s="451">
        <f>'Rep Ovh Bal'!AK45</f>
        <v>0</v>
      </c>
      <c r="AL557" s="451">
        <f>'Rep Ovh Bal'!AL45</f>
        <v>0</v>
      </c>
      <c r="AM557" s="451">
        <f>'Rep Ovh Bal'!AM45</f>
        <v>0</v>
      </c>
      <c r="AN557" s="451">
        <f>'Rep Ovh Bal'!AN45</f>
        <v>0</v>
      </c>
      <c r="AO557" s="451">
        <f>'Rep Ovh Bal'!AO45</f>
        <v>0</v>
      </c>
      <c r="AP557" s="451">
        <f>'Rep Ovh Bal'!AP45</f>
        <v>0</v>
      </c>
      <c r="AQ557" s="451">
        <f>'Rep Ovh Bal'!AQ45</f>
        <v>0</v>
      </c>
      <c r="AR557" s="451">
        <f>'Rep Ovh Bal'!AR45</f>
        <v>0</v>
      </c>
      <c r="AS557" s="451">
        <f>'Rep Ovh Bal'!AS45</f>
        <v>0</v>
      </c>
      <c r="AT557" s="451">
        <f>'Rep Ovh Bal'!AT45</f>
        <v>316</v>
      </c>
      <c r="AU557" s="1062">
        <f>'Rep Ovh Bal'!AU45</f>
        <v>316</v>
      </c>
      <c r="AV557" s="1063">
        <f>'Rep Ovh Bal'!AV45</f>
        <v>920</v>
      </c>
      <c r="AW557" s="1068"/>
      <c r="AX557" s="1065">
        <f>'Rep Ovh Bal'!AW45</f>
        <v>38.57</v>
      </c>
      <c r="AY557" s="1062">
        <f>'Rep Ovh Bal'!AX45</f>
        <v>268.4472</v>
      </c>
      <c r="AZ557" s="1068"/>
      <c r="BA557" s="1068"/>
      <c r="BB557" s="1068"/>
      <c r="BC557" s="1068"/>
      <c r="BD557" s="1068"/>
      <c r="BE557" s="1068"/>
      <c r="BF557" s="1065" t="str">
        <f>'Rep Ovh Bal'!BE45</f>
        <v/>
      </c>
      <c r="BG557" s="451" t="str">
        <f>'Rep Ovh Bal'!BH45</f>
        <v/>
      </c>
      <c r="BH557" s="451" t="str">
        <f>'Rep Ovh Bal'!BI45</f>
        <v/>
      </c>
      <c r="BI557" s="451" t="str">
        <f>'Rep Ovh Bal'!BJ45</f>
        <v/>
      </c>
      <c r="BJ557" s="451" t="str">
        <f>'Rep Ovh Bal'!BK45</f>
        <v/>
      </c>
      <c r="BK557" s="1062">
        <f>'Rep Ovh Bal'!AY45</f>
        <v>136371.1776</v>
      </c>
      <c r="BL557" s="1069">
        <f>'Rep Ovh Bal'!AY45</f>
        <v>136371.1776</v>
      </c>
      <c r="BM557" s="1068"/>
      <c r="BN557" s="1068"/>
      <c r="BO557" s="1068"/>
      <c r="BP557" s="451" t="str">
        <f>'Rep Ovh Bal'!BQ45</f>
        <v/>
      </c>
      <c r="BQ557" s="451" t="str">
        <f>'Rep Ovh Bal'!BR45</f>
        <v/>
      </c>
      <c r="BR557" s="451" t="str">
        <f>'Rep Ovh Bal'!BS45</f>
        <v/>
      </c>
      <c r="BS557" s="451" t="str">
        <f>'Rep Ovh Bal'!BT45</f>
        <v/>
      </c>
      <c r="BT557" s="451" t="str">
        <f>'Rep Ovh Bal'!BU45</f>
        <v/>
      </c>
      <c r="BU557" s="451" t="str">
        <f>'Rep Ovh Bal'!BV45</f>
        <v/>
      </c>
      <c r="BV557" s="451" t="str">
        <f>'Rep Ovh Bal'!BW45</f>
        <v/>
      </c>
      <c r="BW557" s="1062">
        <f>'Rep Ovh Bal'!AZ45</f>
        <v>25770.9312</v>
      </c>
      <c r="BX557" s="1069">
        <f>'Rep Ovh Bal'!AZ45</f>
        <v>25770.9312</v>
      </c>
      <c r="BY557" s="1068"/>
      <c r="BZ557" s="1068"/>
      <c r="CA557" s="451" t="str">
        <f>'Rep Ovh Bal'!CB45</f>
        <v/>
      </c>
      <c r="CB557" s="451" t="str">
        <f>'Rep Ovh Bal'!CC45</f>
        <v/>
      </c>
      <c r="CC557" s="451" t="str">
        <f>'Rep Ovh Bal'!CD45</f>
        <v/>
      </c>
      <c r="CD557" s="451" t="str">
        <f>'Rep Ovh Bal'!CE45</f>
        <v/>
      </c>
      <c r="CE557" s="451" t="str">
        <f>'Rep Ovh Bal'!CF45</f>
        <v/>
      </c>
      <c r="CF557" s="451" t="str">
        <f>'Rep Ovh Bal'!CG45</f>
        <v/>
      </c>
      <c r="CG557" s="451" t="str">
        <f>'Rep Ovh Bal'!CH45</f>
        <v/>
      </c>
      <c r="CH557" s="451" t="str">
        <f>'Rep Ovh Bal'!CI45</f>
        <v/>
      </c>
      <c r="CI557" s="1062">
        <f>'Rep Ovh Bal'!BA45</f>
        <v>84829.3152</v>
      </c>
      <c r="CJ557" s="1062">
        <f>'Rep Ovh Bal'!BA45</f>
        <v>84829.3152</v>
      </c>
      <c r="CK557" s="1062">
        <f>'Rep Ovh Bal'!BB45</f>
        <v>246971.424</v>
      </c>
      <c r="CL557" s="1064" t="str">
        <f>'Rep Ovh Bal'!BC45</f>
        <v/>
      </c>
      <c r="CM557" s="451" t="str">
        <f>'Rep Ovh Bal'!CN45</f>
        <v/>
      </c>
      <c r="CN557" s="1065" t="str">
        <f>'Rep Ovh Bal'!BE41</f>
        <v/>
      </c>
      <c r="CO557" s="1062" t="str">
        <f>'Rep Ovh Bal'!BF41</f>
        <v/>
      </c>
      <c r="CP557" s="1060" t="str">
        <f>'Rep Ovh Bal'!BG41</f>
        <v/>
      </c>
    </row>
    <row r="558">
      <c r="A558" s="451" t="str">
        <f>'Rep Ovh Bal'!A46</f>
        <v>Repuestos mantenimientos mayores para estaciones y torres</v>
      </c>
      <c r="B558" s="451">
        <f>'Rep Ovh Bal'!B46</f>
        <v>2</v>
      </c>
      <c r="C558" s="451" t="str">
        <f>'Rep Ovh Bal'!C46</f>
        <v>Torres</v>
      </c>
      <c r="D558" s="451" t="str">
        <f>'Rep Ovh Bal'!D46</f>
        <v>OVH balancines TRM</v>
      </c>
      <c r="E558" s="451" t="str">
        <f>'Rep Ovh Bal'!E46</f>
        <v>Repuesto Mecánico</v>
      </c>
      <c r="F558" s="451" t="str">
        <f>'Rep Ovh Bal'!F46</f>
        <v>TDB</v>
      </c>
      <c r="G558" s="1025" t="str">
        <f>'Rep Ovh Bal'!G46</f>
        <v>39800</v>
      </c>
      <c r="H558" s="1061" t="str">
        <f>'Rep Ovh Bal'!H46</f>
        <v>2-01-00976</v>
      </c>
      <c r="I558" s="1061" t="str">
        <f>'Rep Ovh Bal'!I46</f>
        <v>10456214</v>
      </c>
      <c r="J558" s="1061" t="str">
        <f>'Rep Ovh Bal'!J46</f>
        <v>BULÓN DIA.40,0 LN 347 M24      P.2CP EN BAST.DE 4P. TIPO-420C</v>
      </c>
      <c r="K558" s="451" t="str">
        <f>'Rep Ovh Bal'!K46</f>
        <v>Pza</v>
      </c>
      <c r="L558" s="451">
        <f>'Rep Ovh Bal'!L46</f>
        <v>0</v>
      </c>
      <c r="M558" s="451">
        <f>'Rep Ovh Bal'!M46</f>
        <v>0</v>
      </c>
      <c r="N558" s="451">
        <f>'Rep Ovh Bal'!N46</f>
        <v>0</v>
      </c>
      <c r="O558" s="451">
        <f>'Rep Ovh Bal'!O46</f>
        <v>0</v>
      </c>
      <c r="P558" s="451">
        <f>'Rep Ovh Bal'!P46</f>
        <v>0</v>
      </c>
      <c r="Q558" s="451">
        <f>'Rep Ovh Bal'!Q46</f>
        <v>0</v>
      </c>
      <c r="R558" s="451">
        <f>'Rep Ovh Bal'!R46</f>
        <v>0</v>
      </c>
      <c r="S558" s="451">
        <f>'Rep Ovh Bal'!S46</f>
        <v>0</v>
      </c>
      <c r="T558" s="451">
        <f>'Rep Ovh Bal'!T46</f>
        <v>0</v>
      </c>
      <c r="U558" s="451">
        <f>'Rep Ovh Bal'!U46</f>
        <v>0</v>
      </c>
      <c r="V558" s="451">
        <f>'Rep Ovh Bal'!V46</f>
        <v>216</v>
      </c>
      <c r="W558" s="1062">
        <f>'Rep Ovh Bal'!W46</f>
        <v>216</v>
      </c>
      <c r="X558" s="451">
        <f>'Rep Ovh Bal'!X46</f>
        <v>0</v>
      </c>
      <c r="Y558" s="451">
        <f>'Rep Ovh Bal'!Y46</f>
        <v>0</v>
      </c>
      <c r="Z558" s="451">
        <f>'Rep Ovh Bal'!Z46</f>
        <v>0</v>
      </c>
      <c r="AA558" s="451">
        <f>'Rep Ovh Bal'!AA46</f>
        <v>0</v>
      </c>
      <c r="AB558" s="451">
        <f>'Rep Ovh Bal'!AB46</f>
        <v>0</v>
      </c>
      <c r="AC558" s="451">
        <f>'Rep Ovh Bal'!AC46</f>
        <v>0</v>
      </c>
      <c r="AD558" s="451">
        <f>'Rep Ovh Bal'!AD46</f>
        <v>0</v>
      </c>
      <c r="AE558" s="451">
        <f>'Rep Ovh Bal'!AE46</f>
        <v>0</v>
      </c>
      <c r="AF558" s="451">
        <f>'Rep Ovh Bal'!AF46</f>
        <v>0</v>
      </c>
      <c r="AG558" s="451">
        <f>'Rep Ovh Bal'!AG46</f>
        <v>0</v>
      </c>
      <c r="AH558" s="451">
        <f>'Rep Ovh Bal'!AH46</f>
        <v>48</v>
      </c>
      <c r="AI558" s="1062">
        <f>'Rep Ovh Bal'!AI46</f>
        <v>48</v>
      </c>
      <c r="AJ558" s="451">
        <f>'Rep Ovh Bal'!AJ46</f>
        <v>0</v>
      </c>
      <c r="AK558" s="451">
        <f>'Rep Ovh Bal'!AK46</f>
        <v>0</v>
      </c>
      <c r="AL558" s="451">
        <f>'Rep Ovh Bal'!AL46</f>
        <v>0</v>
      </c>
      <c r="AM558" s="451">
        <f>'Rep Ovh Bal'!AM46</f>
        <v>0</v>
      </c>
      <c r="AN558" s="451">
        <f>'Rep Ovh Bal'!AN46</f>
        <v>0</v>
      </c>
      <c r="AO558" s="451">
        <f>'Rep Ovh Bal'!AO46</f>
        <v>0</v>
      </c>
      <c r="AP558" s="451">
        <f>'Rep Ovh Bal'!AP46</f>
        <v>0</v>
      </c>
      <c r="AQ558" s="451">
        <f>'Rep Ovh Bal'!AQ46</f>
        <v>0</v>
      </c>
      <c r="AR558" s="451">
        <f>'Rep Ovh Bal'!AR46</f>
        <v>0</v>
      </c>
      <c r="AS558" s="451">
        <f>'Rep Ovh Bal'!AS46</f>
        <v>0</v>
      </c>
      <c r="AT558" s="451">
        <f>'Rep Ovh Bal'!AT46</f>
        <v>140</v>
      </c>
      <c r="AU558" s="1062">
        <f>'Rep Ovh Bal'!AU46</f>
        <v>140</v>
      </c>
      <c r="AV558" s="1063">
        <f>'Rep Ovh Bal'!AV46</f>
        <v>404</v>
      </c>
      <c r="AW558" s="1068"/>
      <c r="AX558" s="1065">
        <f>'Rep Ovh Bal'!AW46</f>
        <v>156.21</v>
      </c>
      <c r="AY558" s="1062">
        <f>'Rep Ovh Bal'!AX46</f>
        <v>1087.2216</v>
      </c>
      <c r="AZ558" s="1068"/>
      <c r="BA558" s="1068"/>
      <c r="BB558" s="1068"/>
      <c r="BC558" s="1068"/>
      <c r="BD558" s="1068"/>
      <c r="BE558" s="1068"/>
      <c r="BF558" s="1065" t="str">
        <f>'Rep Ovh Bal'!BE46</f>
        <v/>
      </c>
      <c r="BG558" s="451" t="str">
        <f>'Rep Ovh Bal'!BH46</f>
        <v/>
      </c>
      <c r="BH558" s="451" t="str">
        <f>'Rep Ovh Bal'!BI46</f>
        <v/>
      </c>
      <c r="BI558" s="451" t="str">
        <f>'Rep Ovh Bal'!BJ46</f>
        <v/>
      </c>
      <c r="BJ558" s="451" t="str">
        <f>'Rep Ovh Bal'!BK46</f>
        <v/>
      </c>
      <c r="BK558" s="1062">
        <f>'Rep Ovh Bal'!AY46</f>
        <v>234839.8656</v>
      </c>
      <c r="BL558" s="1069">
        <f>'Rep Ovh Bal'!AY46</f>
        <v>234839.8656</v>
      </c>
      <c r="BM558" s="1068"/>
      <c r="BN558" s="1068"/>
      <c r="BO558" s="1068"/>
      <c r="BP558" s="451" t="str">
        <f>'Rep Ovh Bal'!BQ46</f>
        <v/>
      </c>
      <c r="BQ558" s="451" t="str">
        <f>'Rep Ovh Bal'!BR46</f>
        <v/>
      </c>
      <c r="BR558" s="451" t="str">
        <f>'Rep Ovh Bal'!BS46</f>
        <v/>
      </c>
      <c r="BS558" s="451" t="str">
        <f>'Rep Ovh Bal'!BT46</f>
        <v/>
      </c>
      <c r="BT558" s="451" t="str">
        <f>'Rep Ovh Bal'!BU46</f>
        <v/>
      </c>
      <c r="BU558" s="451" t="str">
        <f>'Rep Ovh Bal'!BV46</f>
        <v/>
      </c>
      <c r="BV558" s="451" t="str">
        <f>'Rep Ovh Bal'!BW46</f>
        <v/>
      </c>
      <c r="BW558" s="1062">
        <f>'Rep Ovh Bal'!AZ46</f>
        <v>52186.6368</v>
      </c>
      <c r="BX558" s="1069">
        <f>'Rep Ovh Bal'!AZ46</f>
        <v>52186.6368</v>
      </c>
      <c r="BY558" s="1068"/>
      <c r="BZ558" s="1068"/>
      <c r="CA558" s="451" t="str">
        <f>'Rep Ovh Bal'!CB46</f>
        <v/>
      </c>
      <c r="CB558" s="451" t="str">
        <f>'Rep Ovh Bal'!CC46</f>
        <v/>
      </c>
      <c r="CC558" s="451" t="str">
        <f>'Rep Ovh Bal'!CD46</f>
        <v/>
      </c>
      <c r="CD558" s="451" t="str">
        <f>'Rep Ovh Bal'!CE46</f>
        <v/>
      </c>
      <c r="CE558" s="451" t="str">
        <f>'Rep Ovh Bal'!CF46</f>
        <v/>
      </c>
      <c r="CF558" s="451" t="str">
        <f>'Rep Ovh Bal'!CG46</f>
        <v/>
      </c>
      <c r="CG558" s="451" t="str">
        <f>'Rep Ovh Bal'!CH46</f>
        <v/>
      </c>
      <c r="CH558" s="451" t="str">
        <f>'Rep Ovh Bal'!CI46</f>
        <v/>
      </c>
      <c r="CI558" s="1062">
        <f>'Rep Ovh Bal'!BA46</f>
        <v>152211.024</v>
      </c>
      <c r="CJ558" s="1062">
        <f>'Rep Ovh Bal'!BA46</f>
        <v>152211.024</v>
      </c>
      <c r="CK558" s="1062">
        <f>'Rep Ovh Bal'!BB46</f>
        <v>439237.5264</v>
      </c>
      <c r="CL558" s="1064" t="str">
        <f>'Rep Ovh Bal'!BC46</f>
        <v/>
      </c>
      <c r="CM558" s="451" t="str">
        <f>'Rep Ovh Bal'!CN46</f>
        <v/>
      </c>
      <c r="CN558" s="1065" t="str">
        <f>'Rep Ovh Bal'!BE42</f>
        <v/>
      </c>
      <c r="CO558" s="1062" t="str">
        <f>'Rep Ovh Bal'!BF42</f>
        <v/>
      </c>
      <c r="CP558" s="1060" t="str">
        <f>'Rep Ovh Bal'!BG42</f>
        <v/>
      </c>
    </row>
    <row r="559">
      <c r="A559" s="451" t="str">
        <f>'Rep Ovh Bal'!A47</f>
        <v>Repuestos mantenimientos mayores para estaciones y torres</v>
      </c>
      <c r="B559" s="451">
        <f>'Rep Ovh Bal'!B47</f>
        <v>2</v>
      </c>
      <c r="C559" s="451" t="str">
        <f>'Rep Ovh Bal'!C47</f>
        <v>Torres</v>
      </c>
      <c r="D559" s="451" t="str">
        <f>'Rep Ovh Bal'!D47</f>
        <v>OVH balancines TRM</v>
      </c>
      <c r="E559" s="451" t="str">
        <f>'Rep Ovh Bal'!E47</f>
        <v>Repuesto Mecánico</v>
      </c>
      <c r="F559" s="451" t="str">
        <f>'Rep Ovh Bal'!F47</f>
        <v>TDB</v>
      </c>
      <c r="G559" s="1025" t="str">
        <f>'Rep Ovh Bal'!G47</f>
        <v>39800</v>
      </c>
      <c r="H559" s="1061" t="str">
        <f>'Rep Ovh Bal'!H47</f>
        <v>2-01-00495</v>
      </c>
      <c r="I559" s="1061" t="str">
        <f>'Rep Ovh Bal'!I47</f>
        <v>10482959</v>
      </c>
      <c r="J559" s="1061" t="str">
        <f>'Rep Ovh Bal'!J47</f>
        <v>BULÓN DIA.50,0 LN 388 M30      P.BÁSC.DE 2 EN BAST.DE 4P.501C</v>
      </c>
      <c r="K559" s="451" t="str">
        <f>'Rep Ovh Bal'!K47</f>
        <v>Pza</v>
      </c>
      <c r="L559" s="451">
        <f>'Rep Ovh Bal'!L47</f>
        <v>0</v>
      </c>
      <c r="M559" s="451">
        <f>'Rep Ovh Bal'!M47</f>
        <v>0</v>
      </c>
      <c r="N559" s="451">
        <f>'Rep Ovh Bal'!N47</f>
        <v>0</v>
      </c>
      <c r="O559" s="451">
        <f>'Rep Ovh Bal'!O47</f>
        <v>0</v>
      </c>
      <c r="P559" s="451">
        <f>'Rep Ovh Bal'!P47</f>
        <v>0</v>
      </c>
      <c r="Q559" s="451">
        <f>'Rep Ovh Bal'!Q47</f>
        <v>0</v>
      </c>
      <c r="R559" s="451">
        <f>'Rep Ovh Bal'!R47</f>
        <v>0</v>
      </c>
      <c r="S559" s="451">
        <f>'Rep Ovh Bal'!S47</f>
        <v>0</v>
      </c>
      <c r="T559" s="451">
        <f>'Rep Ovh Bal'!T47</f>
        <v>0</v>
      </c>
      <c r="U559" s="451">
        <f>'Rep Ovh Bal'!U47</f>
        <v>0</v>
      </c>
      <c r="V559" s="451">
        <f>'Rep Ovh Bal'!V47</f>
        <v>120</v>
      </c>
      <c r="W559" s="1062">
        <f>'Rep Ovh Bal'!W47</f>
        <v>120</v>
      </c>
      <c r="X559" s="451">
        <f>'Rep Ovh Bal'!X47</f>
        <v>0</v>
      </c>
      <c r="Y559" s="451">
        <f>'Rep Ovh Bal'!Y47</f>
        <v>0</v>
      </c>
      <c r="Z559" s="451">
        <f>'Rep Ovh Bal'!Z47</f>
        <v>0</v>
      </c>
      <c r="AA559" s="451">
        <f>'Rep Ovh Bal'!AA47</f>
        <v>0</v>
      </c>
      <c r="AB559" s="451">
        <f>'Rep Ovh Bal'!AB47</f>
        <v>0</v>
      </c>
      <c r="AC559" s="451">
        <f>'Rep Ovh Bal'!AC47</f>
        <v>0</v>
      </c>
      <c r="AD559" s="451">
        <f>'Rep Ovh Bal'!AD47</f>
        <v>0</v>
      </c>
      <c r="AE559" s="451">
        <f>'Rep Ovh Bal'!AE47</f>
        <v>0</v>
      </c>
      <c r="AF559" s="451">
        <f>'Rep Ovh Bal'!AF47</f>
        <v>0</v>
      </c>
      <c r="AG559" s="451">
        <f>'Rep Ovh Bal'!AG47</f>
        <v>0</v>
      </c>
      <c r="AH559" s="451">
        <f>'Rep Ovh Bal'!AH47</f>
        <v>192</v>
      </c>
      <c r="AI559" s="1062">
        <f>'Rep Ovh Bal'!AI47</f>
        <v>192</v>
      </c>
      <c r="AJ559" s="451">
        <f>'Rep Ovh Bal'!AJ47</f>
        <v>0</v>
      </c>
      <c r="AK559" s="451">
        <f>'Rep Ovh Bal'!AK47</f>
        <v>0</v>
      </c>
      <c r="AL559" s="451">
        <f>'Rep Ovh Bal'!AL47</f>
        <v>0</v>
      </c>
      <c r="AM559" s="451">
        <f>'Rep Ovh Bal'!AM47</f>
        <v>0</v>
      </c>
      <c r="AN559" s="451">
        <f>'Rep Ovh Bal'!AN47</f>
        <v>0</v>
      </c>
      <c r="AO559" s="451">
        <f>'Rep Ovh Bal'!AO47</f>
        <v>0</v>
      </c>
      <c r="AP559" s="451">
        <f>'Rep Ovh Bal'!AP47</f>
        <v>0</v>
      </c>
      <c r="AQ559" s="451">
        <f>'Rep Ovh Bal'!AQ47</f>
        <v>0</v>
      </c>
      <c r="AR559" s="451">
        <f>'Rep Ovh Bal'!AR47</f>
        <v>0</v>
      </c>
      <c r="AS559" s="451">
        <f>'Rep Ovh Bal'!AS47</f>
        <v>0</v>
      </c>
      <c r="AT559" s="451">
        <f>'Rep Ovh Bal'!AT47</f>
        <v>180</v>
      </c>
      <c r="AU559" s="1062">
        <f>'Rep Ovh Bal'!AU47</f>
        <v>180</v>
      </c>
      <c r="AV559" s="1063">
        <f>'Rep Ovh Bal'!AV47</f>
        <v>492</v>
      </c>
      <c r="AW559" s="1068"/>
      <c r="AX559" s="1065">
        <f>'Rep Ovh Bal'!AW47</f>
        <v>225.16</v>
      </c>
      <c r="AY559" s="1062">
        <f>'Rep Ovh Bal'!AX47</f>
        <v>1567.1136</v>
      </c>
      <c r="AZ559" s="1068"/>
      <c r="BA559" s="1068"/>
      <c r="BB559" s="1068"/>
      <c r="BC559" s="1068"/>
      <c r="BD559" s="1068"/>
      <c r="BE559" s="1068"/>
      <c r="BF559" s="1065" t="str">
        <f>'Rep Ovh Bal'!BE47</f>
        <v/>
      </c>
      <c r="BG559" s="451" t="str">
        <f>'Rep Ovh Bal'!BH47</f>
        <v/>
      </c>
      <c r="BH559" s="451" t="str">
        <f>'Rep Ovh Bal'!BI47</f>
        <v/>
      </c>
      <c r="BI559" s="451" t="str">
        <f>'Rep Ovh Bal'!BJ47</f>
        <v/>
      </c>
      <c r="BJ559" s="451" t="str">
        <f>'Rep Ovh Bal'!BK47</f>
        <v/>
      </c>
      <c r="BK559" s="1062">
        <f>'Rep Ovh Bal'!AY47</f>
        <v>188053.632</v>
      </c>
      <c r="BL559" s="1069">
        <f>'Rep Ovh Bal'!AY47</f>
        <v>188053.632</v>
      </c>
      <c r="BM559" s="1068"/>
      <c r="BN559" s="1068"/>
      <c r="BO559" s="1068"/>
      <c r="BP559" s="451" t="str">
        <f>'Rep Ovh Bal'!BQ47</f>
        <v/>
      </c>
      <c r="BQ559" s="451" t="str">
        <f>'Rep Ovh Bal'!BR47</f>
        <v/>
      </c>
      <c r="BR559" s="451" t="str">
        <f>'Rep Ovh Bal'!BS47</f>
        <v/>
      </c>
      <c r="BS559" s="451" t="str">
        <f>'Rep Ovh Bal'!BT47</f>
        <v/>
      </c>
      <c r="BT559" s="451" t="str">
        <f>'Rep Ovh Bal'!BU47</f>
        <v/>
      </c>
      <c r="BU559" s="451" t="str">
        <f>'Rep Ovh Bal'!BV47</f>
        <v/>
      </c>
      <c r="BV559" s="451" t="str">
        <f>'Rep Ovh Bal'!BW47</f>
        <v/>
      </c>
      <c r="BW559" s="1062">
        <f>'Rep Ovh Bal'!AZ47</f>
        <v>300885.8112</v>
      </c>
      <c r="BX559" s="1069">
        <f>'Rep Ovh Bal'!AZ47</f>
        <v>300885.8112</v>
      </c>
      <c r="BY559" s="1068"/>
      <c r="BZ559" s="1068"/>
      <c r="CA559" s="451" t="str">
        <f>'Rep Ovh Bal'!CB47</f>
        <v/>
      </c>
      <c r="CB559" s="451" t="str">
        <f>'Rep Ovh Bal'!CC47</f>
        <v/>
      </c>
      <c r="CC559" s="451" t="str">
        <f>'Rep Ovh Bal'!CD47</f>
        <v/>
      </c>
      <c r="CD559" s="451" t="str">
        <f>'Rep Ovh Bal'!CE47</f>
        <v/>
      </c>
      <c r="CE559" s="451" t="str">
        <f>'Rep Ovh Bal'!CF47</f>
        <v/>
      </c>
      <c r="CF559" s="451" t="str">
        <f>'Rep Ovh Bal'!CG47</f>
        <v/>
      </c>
      <c r="CG559" s="451" t="str">
        <f>'Rep Ovh Bal'!CH47</f>
        <v/>
      </c>
      <c r="CH559" s="451" t="str">
        <f>'Rep Ovh Bal'!CI47</f>
        <v/>
      </c>
      <c r="CI559" s="1062">
        <f>'Rep Ovh Bal'!BA47</f>
        <v>282080.448</v>
      </c>
      <c r="CJ559" s="1062">
        <f>'Rep Ovh Bal'!BA47</f>
        <v>282080.448</v>
      </c>
      <c r="CK559" s="1062">
        <f>'Rep Ovh Bal'!BB47</f>
        <v>771019.8912</v>
      </c>
      <c r="CL559" s="1064" t="str">
        <f>'Rep Ovh Bal'!BC47</f>
        <v/>
      </c>
      <c r="CM559" s="451" t="str">
        <f>'Rep Ovh Bal'!CN47</f>
        <v/>
      </c>
      <c r="CN559" s="1065" t="str">
        <f>'Rep Ovh Bal'!BE43</f>
        <v/>
      </c>
      <c r="CO559" s="1062" t="str">
        <f>'Rep Ovh Bal'!BF43</f>
        <v/>
      </c>
      <c r="CP559" s="1060" t="str">
        <f>'Rep Ovh Bal'!BG43</f>
        <v/>
      </c>
    </row>
    <row r="560">
      <c r="A560" s="451" t="str">
        <f>'Rep Ovh Bal'!A48</f>
        <v>Repuestos mantenimientos mayores para estaciones y torres</v>
      </c>
      <c r="B560" s="451">
        <f>'Rep Ovh Bal'!B48</f>
        <v>2</v>
      </c>
      <c r="C560" s="451" t="str">
        <f>'Rep Ovh Bal'!C48</f>
        <v>Torres</v>
      </c>
      <c r="D560" s="451" t="str">
        <f>'Rep Ovh Bal'!D48</f>
        <v>OVH balancines TRM</v>
      </c>
      <c r="E560" s="451" t="str">
        <f>'Rep Ovh Bal'!E48</f>
        <v>Repuesto Mecánico</v>
      </c>
      <c r="F560" s="451" t="str">
        <f>'Rep Ovh Bal'!F48</f>
        <v>TDB</v>
      </c>
      <c r="G560" s="1025" t="str">
        <f>'Rep Ovh Bal'!G48</f>
        <v>39800</v>
      </c>
      <c r="H560" s="1061" t="str">
        <f>'Rep Ovh Bal'!H48</f>
        <v>2-01-00261</v>
      </c>
      <c r="I560" s="1061" t="str">
        <f>'Rep Ovh Bal'!I48</f>
        <v>10487980</v>
      </c>
      <c r="J560" s="1061" t="str">
        <f>'Rep Ovh Bal'!J48</f>
        <v>CASQUILLO PM 7580 DS   TIPO KW SIN AGUJ.DE ENGRASE    GLACIER</v>
      </c>
      <c r="K560" s="451" t="str">
        <f>'Rep Ovh Bal'!K48</f>
        <v>Pza</v>
      </c>
      <c r="L560" s="451">
        <f>'Rep Ovh Bal'!L48</f>
        <v>0</v>
      </c>
      <c r="M560" s="451">
        <f>'Rep Ovh Bal'!M48</f>
        <v>0</v>
      </c>
      <c r="N560" s="451">
        <f>'Rep Ovh Bal'!N48</f>
        <v>0</v>
      </c>
      <c r="O560" s="451">
        <f>'Rep Ovh Bal'!O48</f>
        <v>0</v>
      </c>
      <c r="P560" s="451">
        <f>'Rep Ovh Bal'!P48</f>
        <v>0</v>
      </c>
      <c r="Q560" s="451">
        <f>'Rep Ovh Bal'!Q48</f>
        <v>0</v>
      </c>
      <c r="R560" s="451">
        <f>'Rep Ovh Bal'!R48</f>
        <v>0</v>
      </c>
      <c r="S560" s="451">
        <f>'Rep Ovh Bal'!S48</f>
        <v>0</v>
      </c>
      <c r="T560" s="451">
        <f>'Rep Ovh Bal'!T48</f>
        <v>0</v>
      </c>
      <c r="U560" s="451">
        <f>'Rep Ovh Bal'!U48</f>
        <v>0</v>
      </c>
      <c r="V560" s="451">
        <f>'Rep Ovh Bal'!V48</f>
        <v>308</v>
      </c>
      <c r="W560" s="1062">
        <f>'Rep Ovh Bal'!W48</f>
        <v>308</v>
      </c>
      <c r="X560" s="451">
        <f>'Rep Ovh Bal'!X48</f>
        <v>0</v>
      </c>
      <c r="Y560" s="451">
        <f>'Rep Ovh Bal'!Y48</f>
        <v>0</v>
      </c>
      <c r="Z560" s="451">
        <f>'Rep Ovh Bal'!Z48</f>
        <v>0</v>
      </c>
      <c r="AA560" s="451">
        <f>'Rep Ovh Bal'!AA48</f>
        <v>0</v>
      </c>
      <c r="AB560" s="451">
        <f>'Rep Ovh Bal'!AB48</f>
        <v>0</v>
      </c>
      <c r="AC560" s="451">
        <f>'Rep Ovh Bal'!AC48</f>
        <v>0</v>
      </c>
      <c r="AD560" s="451">
        <f>'Rep Ovh Bal'!AD48</f>
        <v>0</v>
      </c>
      <c r="AE560" s="451">
        <f>'Rep Ovh Bal'!AE48</f>
        <v>0</v>
      </c>
      <c r="AF560" s="451">
        <f>'Rep Ovh Bal'!AF48</f>
        <v>0</v>
      </c>
      <c r="AG560" s="451">
        <f>'Rep Ovh Bal'!AG48</f>
        <v>0</v>
      </c>
      <c r="AH560" s="451">
        <f>'Rep Ovh Bal'!AH48</f>
        <v>36</v>
      </c>
      <c r="AI560" s="1062">
        <f>'Rep Ovh Bal'!AI48</f>
        <v>36</v>
      </c>
      <c r="AJ560" s="451">
        <f>'Rep Ovh Bal'!AJ48</f>
        <v>0</v>
      </c>
      <c r="AK560" s="451">
        <f>'Rep Ovh Bal'!AK48</f>
        <v>0</v>
      </c>
      <c r="AL560" s="451">
        <f>'Rep Ovh Bal'!AL48</f>
        <v>0</v>
      </c>
      <c r="AM560" s="451">
        <f>'Rep Ovh Bal'!AM48</f>
        <v>0</v>
      </c>
      <c r="AN560" s="451">
        <f>'Rep Ovh Bal'!AN48</f>
        <v>0</v>
      </c>
      <c r="AO560" s="451">
        <f>'Rep Ovh Bal'!AO48</f>
        <v>0</v>
      </c>
      <c r="AP560" s="451">
        <f>'Rep Ovh Bal'!AP48</f>
        <v>0</v>
      </c>
      <c r="AQ560" s="451">
        <f>'Rep Ovh Bal'!AQ48</f>
        <v>0</v>
      </c>
      <c r="AR560" s="451">
        <f>'Rep Ovh Bal'!AR48</f>
        <v>0</v>
      </c>
      <c r="AS560" s="451">
        <f>'Rep Ovh Bal'!AS48</f>
        <v>0</v>
      </c>
      <c r="AT560" s="451">
        <f>'Rep Ovh Bal'!AT48</f>
        <v>160</v>
      </c>
      <c r="AU560" s="1062">
        <f>'Rep Ovh Bal'!AU48</f>
        <v>160</v>
      </c>
      <c r="AV560" s="1063">
        <f>'Rep Ovh Bal'!AV48</f>
        <v>504</v>
      </c>
      <c r="AW560" s="1068"/>
      <c r="AX560" s="1065">
        <f>'Rep Ovh Bal'!AW48</f>
        <v>53.07</v>
      </c>
      <c r="AY560" s="1062">
        <f>'Rep Ovh Bal'!AX48</f>
        <v>369.3672</v>
      </c>
      <c r="AZ560" s="1068"/>
      <c r="BA560" s="1068"/>
      <c r="BB560" s="1068"/>
      <c r="BC560" s="1068"/>
      <c r="BD560" s="1068"/>
      <c r="BE560" s="1068"/>
      <c r="BF560" s="1065" t="str">
        <f>'Rep Ovh Bal'!BE48</f>
        <v/>
      </c>
      <c r="BG560" s="451" t="str">
        <f>'Rep Ovh Bal'!BH48</f>
        <v/>
      </c>
      <c r="BH560" s="451" t="str">
        <f>'Rep Ovh Bal'!BI48</f>
        <v/>
      </c>
      <c r="BI560" s="451" t="str">
        <f>'Rep Ovh Bal'!BJ48</f>
        <v/>
      </c>
      <c r="BJ560" s="451" t="str">
        <f>'Rep Ovh Bal'!BK48</f>
        <v/>
      </c>
      <c r="BK560" s="1062">
        <f>'Rep Ovh Bal'!AY48</f>
        <v>113765.0976</v>
      </c>
      <c r="BL560" s="1069">
        <f>'Rep Ovh Bal'!AY48</f>
        <v>113765.0976</v>
      </c>
      <c r="BM560" s="1068"/>
      <c r="BN560" s="1068"/>
      <c r="BO560" s="1068"/>
      <c r="BP560" s="451" t="str">
        <f>'Rep Ovh Bal'!BQ48</f>
        <v/>
      </c>
      <c r="BQ560" s="451" t="str">
        <f>'Rep Ovh Bal'!BR48</f>
        <v/>
      </c>
      <c r="BR560" s="451" t="str">
        <f>'Rep Ovh Bal'!BS48</f>
        <v/>
      </c>
      <c r="BS560" s="451" t="str">
        <f>'Rep Ovh Bal'!BT48</f>
        <v/>
      </c>
      <c r="BT560" s="451" t="str">
        <f>'Rep Ovh Bal'!BU48</f>
        <v/>
      </c>
      <c r="BU560" s="451" t="str">
        <f>'Rep Ovh Bal'!BV48</f>
        <v/>
      </c>
      <c r="BV560" s="451" t="str">
        <f>'Rep Ovh Bal'!BW48</f>
        <v/>
      </c>
      <c r="BW560" s="1062">
        <f>'Rep Ovh Bal'!AZ48</f>
        <v>13297.2192</v>
      </c>
      <c r="BX560" s="1069">
        <f>'Rep Ovh Bal'!AZ48</f>
        <v>13297.2192</v>
      </c>
      <c r="BY560" s="1068"/>
      <c r="BZ560" s="1068"/>
      <c r="CA560" s="451" t="str">
        <f>'Rep Ovh Bal'!CB48</f>
        <v/>
      </c>
      <c r="CB560" s="451" t="str">
        <f>'Rep Ovh Bal'!CC48</f>
        <v/>
      </c>
      <c r="CC560" s="451" t="str">
        <f>'Rep Ovh Bal'!CD48</f>
        <v/>
      </c>
      <c r="CD560" s="451" t="str">
        <f>'Rep Ovh Bal'!CE48</f>
        <v/>
      </c>
      <c r="CE560" s="451" t="str">
        <f>'Rep Ovh Bal'!CF48</f>
        <v/>
      </c>
      <c r="CF560" s="451" t="str">
        <f>'Rep Ovh Bal'!CG48</f>
        <v/>
      </c>
      <c r="CG560" s="451" t="str">
        <f>'Rep Ovh Bal'!CH48</f>
        <v/>
      </c>
      <c r="CH560" s="451" t="str">
        <f>'Rep Ovh Bal'!CI48</f>
        <v/>
      </c>
      <c r="CI560" s="1062">
        <f>'Rep Ovh Bal'!BA48</f>
        <v>59098.752</v>
      </c>
      <c r="CJ560" s="1062">
        <f>'Rep Ovh Bal'!BA48</f>
        <v>59098.752</v>
      </c>
      <c r="CK560" s="1062">
        <f>'Rep Ovh Bal'!BB48</f>
        <v>186161.0688</v>
      </c>
      <c r="CL560" s="1064" t="str">
        <f>'Rep Ovh Bal'!BC48</f>
        <v/>
      </c>
      <c r="CM560" s="451" t="str">
        <f>'Rep Ovh Bal'!CN48</f>
        <v/>
      </c>
      <c r="CN560" s="1065" t="str">
        <f>'Rep Ovh Bal'!BE44</f>
        <v/>
      </c>
      <c r="CO560" s="1062" t="str">
        <f>'Rep Ovh Bal'!BF44</f>
        <v/>
      </c>
      <c r="CP560" s="1060" t="str">
        <f>'Rep Ovh Bal'!BG44</f>
        <v/>
      </c>
    </row>
    <row r="561">
      <c r="A561" s="451" t="str">
        <f>'Rep Ovh Bal'!A49</f>
        <v>Repuestos mantenimientos mayores para estaciones y torres</v>
      </c>
      <c r="B561" s="451">
        <f>'Rep Ovh Bal'!B49</f>
        <v>2</v>
      </c>
      <c r="C561" s="451" t="str">
        <f>'Rep Ovh Bal'!C49</f>
        <v>Torres</v>
      </c>
      <c r="D561" s="451" t="str">
        <f>'Rep Ovh Bal'!D49</f>
        <v>OVH balancines TRM</v>
      </c>
      <c r="E561" s="451" t="str">
        <f>'Rep Ovh Bal'!E49</f>
        <v>Repuesto Mecánico</v>
      </c>
      <c r="F561" s="451" t="str">
        <f>'Rep Ovh Bal'!F49</f>
        <v>TDB</v>
      </c>
      <c r="G561" s="1025" t="str">
        <f>'Rep Ovh Bal'!G49</f>
        <v>39800</v>
      </c>
      <c r="H561" s="1061" t="str">
        <f>'Rep Ovh Bal'!H49</f>
        <v/>
      </c>
      <c r="I561" s="1061" t="str">
        <f>'Rep Ovh Bal'!I49</f>
        <v>10488001</v>
      </c>
      <c r="J561" s="1061" t="str">
        <f>'Rep Ovh Bal'!J49</f>
        <v>CASQUILLO PM 9080 DS  TIPO: KW SIN AGUJERO DE ENGRASE GLACIER</v>
      </c>
      <c r="K561" s="451" t="str">
        <f>'Rep Ovh Bal'!K49</f>
        <v>Pza</v>
      </c>
      <c r="L561" s="451">
        <f>'Rep Ovh Bal'!L49</f>
        <v>0</v>
      </c>
      <c r="M561" s="451">
        <f>'Rep Ovh Bal'!M49</f>
        <v>0</v>
      </c>
      <c r="N561" s="451">
        <f>'Rep Ovh Bal'!N49</f>
        <v>0</v>
      </c>
      <c r="O561" s="451">
        <f>'Rep Ovh Bal'!O49</f>
        <v>0</v>
      </c>
      <c r="P561" s="451">
        <f>'Rep Ovh Bal'!P49</f>
        <v>0</v>
      </c>
      <c r="Q561" s="451">
        <f>'Rep Ovh Bal'!Q49</f>
        <v>0</v>
      </c>
      <c r="R561" s="451">
        <f>'Rep Ovh Bal'!R49</f>
        <v>0</v>
      </c>
      <c r="S561" s="451">
        <f>'Rep Ovh Bal'!S49</f>
        <v>0</v>
      </c>
      <c r="T561" s="451">
        <f>'Rep Ovh Bal'!T49</f>
        <v>0</v>
      </c>
      <c r="U561" s="451">
        <f>'Rep Ovh Bal'!U49</f>
        <v>0</v>
      </c>
      <c r="V561" s="451">
        <f>'Rep Ovh Bal'!V49</f>
        <v>40</v>
      </c>
      <c r="W561" s="1062">
        <f>'Rep Ovh Bal'!W49</f>
        <v>40</v>
      </c>
      <c r="X561" s="451">
        <f>'Rep Ovh Bal'!X49</f>
        <v>0</v>
      </c>
      <c r="Y561" s="451">
        <f>'Rep Ovh Bal'!Y49</f>
        <v>0</v>
      </c>
      <c r="Z561" s="451">
        <f>'Rep Ovh Bal'!Z49</f>
        <v>0</v>
      </c>
      <c r="AA561" s="451">
        <f>'Rep Ovh Bal'!AA49</f>
        <v>0</v>
      </c>
      <c r="AB561" s="451">
        <f>'Rep Ovh Bal'!AB49</f>
        <v>0</v>
      </c>
      <c r="AC561" s="451">
        <f>'Rep Ovh Bal'!AC49</f>
        <v>0</v>
      </c>
      <c r="AD561" s="451">
        <f>'Rep Ovh Bal'!AD49</f>
        <v>0</v>
      </c>
      <c r="AE561" s="451">
        <f>'Rep Ovh Bal'!AE49</f>
        <v>0</v>
      </c>
      <c r="AF561" s="451">
        <f>'Rep Ovh Bal'!AF49</f>
        <v>0</v>
      </c>
      <c r="AG561" s="451">
        <f>'Rep Ovh Bal'!AG49</f>
        <v>0</v>
      </c>
      <c r="AH561" s="451">
        <f>'Rep Ovh Bal'!AH49</f>
        <v>32</v>
      </c>
      <c r="AI561" s="1062">
        <f>'Rep Ovh Bal'!AI49</f>
        <v>32</v>
      </c>
      <c r="AJ561" s="451">
        <f>'Rep Ovh Bal'!AJ49</f>
        <v>0</v>
      </c>
      <c r="AK561" s="451">
        <f>'Rep Ovh Bal'!AK49</f>
        <v>0</v>
      </c>
      <c r="AL561" s="451">
        <f>'Rep Ovh Bal'!AL49</f>
        <v>0</v>
      </c>
      <c r="AM561" s="451">
        <f>'Rep Ovh Bal'!AM49</f>
        <v>0</v>
      </c>
      <c r="AN561" s="451">
        <f>'Rep Ovh Bal'!AN49</f>
        <v>0</v>
      </c>
      <c r="AO561" s="451">
        <f>'Rep Ovh Bal'!AO49</f>
        <v>0</v>
      </c>
      <c r="AP561" s="451">
        <f>'Rep Ovh Bal'!AP49</f>
        <v>0</v>
      </c>
      <c r="AQ561" s="451">
        <f>'Rep Ovh Bal'!AQ49</f>
        <v>0</v>
      </c>
      <c r="AR561" s="451">
        <f>'Rep Ovh Bal'!AR49</f>
        <v>0</v>
      </c>
      <c r="AS561" s="451">
        <f>'Rep Ovh Bal'!AS49</f>
        <v>0</v>
      </c>
      <c r="AT561" s="451">
        <f>'Rep Ovh Bal'!AT49</f>
        <v>16</v>
      </c>
      <c r="AU561" s="1062">
        <f>'Rep Ovh Bal'!AU49</f>
        <v>16</v>
      </c>
      <c r="AV561" s="1063">
        <f>'Rep Ovh Bal'!AV49</f>
        <v>88</v>
      </c>
      <c r="AW561" s="1068"/>
      <c r="AX561" s="1065">
        <f>'Rep Ovh Bal'!AW49</f>
        <v>72.41</v>
      </c>
      <c r="AY561" s="1062">
        <f>'Rep Ovh Bal'!AX49</f>
        <v>503.9736</v>
      </c>
      <c r="AZ561" s="1068"/>
      <c r="BA561" s="1068"/>
      <c r="BB561" s="1068"/>
      <c r="BC561" s="1068"/>
      <c r="BD561" s="1068"/>
      <c r="BE561" s="1068"/>
      <c r="BF561" s="1065" t="str">
        <f>'Rep Ovh Bal'!BE49</f>
        <v/>
      </c>
      <c r="BG561" s="451" t="str">
        <f>'Rep Ovh Bal'!BH49</f>
        <v/>
      </c>
      <c r="BH561" s="451" t="str">
        <f>'Rep Ovh Bal'!BI49</f>
        <v/>
      </c>
      <c r="BI561" s="451" t="str">
        <f>'Rep Ovh Bal'!BJ49</f>
        <v/>
      </c>
      <c r="BJ561" s="451" t="str">
        <f>'Rep Ovh Bal'!BK49</f>
        <v/>
      </c>
      <c r="BK561" s="1062">
        <f>'Rep Ovh Bal'!AY49</f>
        <v>20158.944</v>
      </c>
      <c r="BL561" s="1069">
        <f>'Rep Ovh Bal'!AY49</f>
        <v>20158.944</v>
      </c>
      <c r="BM561" s="1068"/>
      <c r="BN561" s="1068"/>
      <c r="BO561" s="1068"/>
      <c r="BP561" s="451" t="str">
        <f>'Rep Ovh Bal'!BQ49</f>
        <v/>
      </c>
      <c r="BQ561" s="451" t="str">
        <f>'Rep Ovh Bal'!BR49</f>
        <v/>
      </c>
      <c r="BR561" s="451" t="str">
        <f>'Rep Ovh Bal'!BS49</f>
        <v/>
      </c>
      <c r="BS561" s="451" t="str">
        <f>'Rep Ovh Bal'!BT49</f>
        <v/>
      </c>
      <c r="BT561" s="451" t="str">
        <f>'Rep Ovh Bal'!BU49</f>
        <v/>
      </c>
      <c r="BU561" s="451" t="str">
        <f>'Rep Ovh Bal'!BV49</f>
        <v/>
      </c>
      <c r="BV561" s="451" t="str">
        <f>'Rep Ovh Bal'!BW49</f>
        <v/>
      </c>
      <c r="BW561" s="1062">
        <f>'Rep Ovh Bal'!AZ49</f>
        <v>16127.1552</v>
      </c>
      <c r="BX561" s="1069">
        <f>'Rep Ovh Bal'!AZ49</f>
        <v>16127.1552</v>
      </c>
      <c r="BY561" s="1068"/>
      <c r="BZ561" s="1068"/>
      <c r="CA561" s="451" t="str">
        <f>'Rep Ovh Bal'!CB49</f>
        <v/>
      </c>
      <c r="CB561" s="451" t="str">
        <f>'Rep Ovh Bal'!CC49</f>
        <v/>
      </c>
      <c r="CC561" s="451" t="str">
        <f>'Rep Ovh Bal'!CD49</f>
        <v/>
      </c>
      <c r="CD561" s="451" t="str">
        <f>'Rep Ovh Bal'!CE49</f>
        <v/>
      </c>
      <c r="CE561" s="451" t="str">
        <f>'Rep Ovh Bal'!CF49</f>
        <v/>
      </c>
      <c r="CF561" s="451" t="str">
        <f>'Rep Ovh Bal'!CG49</f>
        <v/>
      </c>
      <c r="CG561" s="451" t="str">
        <f>'Rep Ovh Bal'!CH49</f>
        <v/>
      </c>
      <c r="CH561" s="451" t="str">
        <f>'Rep Ovh Bal'!CI49</f>
        <v/>
      </c>
      <c r="CI561" s="1062">
        <f>'Rep Ovh Bal'!BA49</f>
        <v>8063.5776</v>
      </c>
      <c r="CJ561" s="1062">
        <f>'Rep Ovh Bal'!BA49</f>
        <v>8063.5776</v>
      </c>
      <c r="CK561" s="1062">
        <f>'Rep Ovh Bal'!BB49</f>
        <v>44349.6768</v>
      </c>
      <c r="CL561" s="1064" t="str">
        <f>'Rep Ovh Bal'!BC49</f>
        <v/>
      </c>
      <c r="CM561" s="451" t="str">
        <f>'Rep Ovh Bal'!CN49</f>
        <v/>
      </c>
      <c r="CN561" s="1065" t="str">
        <f>'Rep Ovh Bal'!BE45</f>
        <v/>
      </c>
      <c r="CO561" s="1062" t="str">
        <f>'Rep Ovh Bal'!BF45</f>
        <v/>
      </c>
      <c r="CP561" s="1060" t="str">
        <f>'Rep Ovh Bal'!BG45</f>
        <v/>
      </c>
    </row>
    <row r="562">
      <c r="A562" s="451" t="str">
        <f>'Rep Ovh Bal'!A50</f>
        <v>Repuestos mantenimientos mayores para estaciones y torres</v>
      </c>
      <c r="B562" s="451">
        <f>'Rep Ovh Bal'!B50</f>
        <v>2</v>
      </c>
      <c r="C562" s="451" t="str">
        <f>'Rep Ovh Bal'!C50</f>
        <v>Torres</v>
      </c>
      <c r="D562" s="451" t="str">
        <f>'Rep Ovh Bal'!D50</f>
        <v>OVH balancines TRM</v>
      </c>
      <c r="E562" s="451" t="str">
        <f>'Rep Ovh Bal'!E50</f>
        <v>Repuesto Mecánico</v>
      </c>
      <c r="F562" s="451" t="str">
        <f>'Rep Ovh Bal'!F50</f>
        <v>TDB</v>
      </c>
      <c r="G562" s="1025" t="str">
        <f>'Rep Ovh Bal'!G50</f>
        <v>39800</v>
      </c>
      <c r="H562" s="1061" t="str">
        <f>'Rep Ovh Bal'!H50</f>
        <v>2-01-00295</v>
      </c>
      <c r="I562" s="1061" t="str">
        <f>'Rep Ovh Bal'!I50</f>
        <v>10494137</v>
      </c>
      <c r="J562" s="1061" t="str">
        <f>'Rep Ovh Bal'!J50</f>
        <v>CASQUILLO PM 8580 DS   TIPO KW SIN AGUJ.DE ENGRASE    GLACIER</v>
      </c>
      <c r="K562" s="451" t="str">
        <f>'Rep Ovh Bal'!K50</f>
        <v>Pza</v>
      </c>
      <c r="L562" s="451">
        <f>'Rep Ovh Bal'!L50</f>
        <v>0</v>
      </c>
      <c r="M562" s="451">
        <f>'Rep Ovh Bal'!M50</f>
        <v>0</v>
      </c>
      <c r="N562" s="451">
        <f>'Rep Ovh Bal'!N50</f>
        <v>0</v>
      </c>
      <c r="O562" s="451">
        <f>'Rep Ovh Bal'!O50</f>
        <v>0</v>
      </c>
      <c r="P562" s="451">
        <f>'Rep Ovh Bal'!P50</f>
        <v>0</v>
      </c>
      <c r="Q562" s="451">
        <f>'Rep Ovh Bal'!Q50</f>
        <v>0</v>
      </c>
      <c r="R562" s="451">
        <f>'Rep Ovh Bal'!R50</f>
        <v>0</v>
      </c>
      <c r="S562" s="451">
        <f>'Rep Ovh Bal'!S50</f>
        <v>0</v>
      </c>
      <c r="T562" s="451">
        <f>'Rep Ovh Bal'!T50</f>
        <v>0</v>
      </c>
      <c r="U562" s="451">
        <f>'Rep Ovh Bal'!U50</f>
        <v>0</v>
      </c>
      <c r="V562" s="451">
        <f>'Rep Ovh Bal'!V50</f>
        <v>256</v>
      </c>
      <c r="W562" s="1062">
        <f>'Rep Ovh Bal'!W50</f>
        <v>256</v>
      </c>
      <c r="X562" s="451">
        <f>'Rep Ovh Bal'!X50</f>
        <v>0</v>
      </c>
      <c r="Y562" s="451">
        <f>'Rep Ovh Bal'!Y50</f>
        <v>0</v>
      </c>
      <c r="Z562" s="451">
        <f>'Rep Ovh Bal'!Z50</f>
        <v>0</v>
      </c>
      <c r="AA562" s="451">
        <f>'Rep Ovh Bal'!AA50</f>
        <v>0</v>
      </c>
      <c r="AB562" s="451">
        <f>'Rep Ovh Bal'!AB50</f>
        <v>0</v>
      </c>
      <c r="AC562" s="451">
        <f>'Rep Ovh Bal'!AC50</f>
        <v>0</v>
      </c>
      <c r="AD562" s="451">
        <f>'Rep Ovh Bal'!AD50</f>
        <v>0</v>
      </c>
      <c r="AE562" s="451">
        <f>'Rep Ovh Bal'!AE50</f>
        <v>0</v>
      </c>
      <c r="AF562" s="451">
        <f>'Rep Ovh Bal'!AF50</f>
        <v>0</v>
      </c>
      <c r="AG562" s="451">
        <f>'Rep Ovh Bal'!AG50</f>
        <v>0</v>
      </c>
      <c r="AH562" s="451">
        <f>'Rep Ovh Bal'!AH50</f>
        <v>324</v>
      </c>
      <c r="AI562" s="1062">
        <f>'Rep Ovh Bal'!AI50</f>
        <v>324</v>
      </c>
      <c r="AJ562" s="451">
        <f>'Rep Ovh Bal'!AJ50</f>
        <v>0</v>
      </c>
      <c r="AK562" s="451">
        <f>'Rep Ovh Bal'!AK50</f>
        <v>0</v>
      </c>
      <c r="AL562" s="451">
        <f>'Rep Ovh Bal'!AL50</f>
        <v>0</v>
      </c>
      <c r="AM562" s="451">
        <f>'Rep Ovh Bal'!AM50</f>
        <v>0</v>
      </c>
      <c r="AN562" s="451">
        <f>'Rep Ovh Bal'!AN50</f>
        <v>0</v>
      </c>
      <c r="AO562" s="451">
        <f>'Rep Ovh Bal'!AO50</f>
        <v>0</v>
      </c>
      <c r="AP562" s="451">
        <f>'Rep Ovh Bal'!AP50</f>
        <v>0</v>
      </c>
      <c r="AQ562" s="451">
        <f>'Rep Ovh Bal'!AQ50</f>
        <v>0</v>
      </c>
      <c r="AR562" s="451">
        <f>'Rep Ovh Bal'!AR50</f>
        <v>0</v>
      </c>
      <c r="AS562" s="451">
        <f>'Rep Ovh Bal'!AS50</f>
        <v>0</v>
      </c>
      <c r="AT562" s="451">
        <f>'Rep Ovh Bal'!AT50</f>
        <v>324</v>
      </c>
      <c r="AU562" s="1062">
        <f>'Rep Ovh Bal'!AU50</f>
        <v>324</v>
      </c>
      <c r="AV562" s="1063">
        <f>'Rep Ovh Bal'!AV50</f>
        <v>904</v>
      </c>
      <c r="AW562" s="1068"/>
      <c r="AX562" s="1065">
        <f>'Rep Ovh Bal'!AW50</f>
        <v>54.3</v>
      </c>
      <c r="AY562" s="1062">
        <f>'Rep Ovh Bal'!AX50</f>
        <v>377.928</v>
      </c>
      <c r="AZ562" s="1068"/>
      <c r="BA562" s="1068"/>
      <c r="BB562" s="1068"/>
      <c r="BC562" s="1068"/>
      <c r="BD562" s="1068"/>
      <c r="BE562" s="1068"/>
      <c r="BF562" s="1065" t="str">
        <f>'Rep Ovh Bal'!BE50</f>
        <v/>
      </c>
      <c r="BG562" s="451" t="str">
        <f>'Rep Ovh Bal'!BH50</f>
        <v/>
      </c>
      <c r="BH562" s="451" t="str">
        <f>'Rep Ovh Bal'!BI50</f>
        <v/>
      </c>
      <c r="BI562" s="451" t="str">
        <f>'Rep Ovh Bal'!BJ50</f>
        <v/>
      </c>
      <c r="BJ562" s="451" t="str">
        <f>'Rep Ovh Bal'!BK50</f>
        <v/>
      </c>
      <c r="BK562" s="1062">
        <f>'Rep Ovh Bal'!AY50</f>
        <v>96749.568</v>
      </c>
      <c r="BL562" s="1069">
        <f>'Rep Ovh Bal'!AY50</f>
        <v>96749.568</v>
      </c>
      <c r="BM562" s="1068"/>
      <c r="BN562" s="1068"/>
      <c r="BO562" s="1068"/>
      <c r="BP562" s="451" t="str">
        <f>'Rep Ovh Bal'!BQ50</f>
        <v/>
      </c>
      <c r="BQ562" s="451" t="str">
        <f>'Rep Ovh Bal'!BR50</f>
        <v/>
      </c>
      <c r="BR562" s="451" t="str">
        <f>'Rep Ovh Bal'!BS50</f>
        <v/>
      </c>
      <c r="BS562" s="451" t="str">
        <f>'Rep Ovh Bal'!BT50</f>
        <v/>
      </c>
      <c r="BT562" s="451" t="str">
        <f>'Rep Ovh Bal'!BU50</f>
        <v/>
      </c>
      <c r="BU562" s="451" t="str">
        <f>'Rep Ovh Bal'!BV50</f>
        <v/>
      </c>
      <c r="BV562" s="451" t="str">
        <f>'Rep Ovh Bal'!BW50</f>
        <v/>
      </c>
      <c r="BW562" s="1062">
        <f>'Rep Ovh Bal'!AZ50</f>
        <v>122448.672</v>
      </c>
      <c r="BX562" s="1069">
        <f>'Rep Ovh Bal'!AZ50</f>
        <v>122448.672</v>
      </c>
      <c r="BY562" s="1068"/>
      <c r="BZ562" s="1068"/>
      <c r="CA562" s="451" t="str">
        <f>'Rep Ovh Bal'!CB50</f>
        <v/>
      </c>
      <c r="CB562" s="451" t="str">
        <f>'Rep Ovh Bal'!CC50</f>
        <v/>
      </c>
      <c r="CC562" s="451" t="str">
        <f>'Rep Ovh Bal'!CD50</f>
        <v/>
      </c>
      <c r="CD562" s="451" t="str">
        <f>'Rep Ovh Bal'!CE50</f>
        <v/>
      </c>
      <c r="CE562" s="451" t="str">
        <f>'Rep Ovh Bal'!CF50</f>
        <v/>
      </c>
      <c r="CF562" s="451" t="str">
        <f>'Rep Ovh Bal'!CG50</f>
        <v/>
      </c>
      <c r="CG562" s="451" t="str">
        <f>'Rep Ovh Bal'!CH50</f>
        <v/>
      </c>
      <c r="CH562" s="451" t="str">
        <f>'Rep Ovh Bal'!CI50</f>
        <v/>
      </c>
      <c r="CI562" s="1062">
        <f>'Rep Ovh Bal'!BA50</f>
        <v>122448.672</v>
      </c>
      <c r="CJ562" s="1062">
        <f>'Rep Ovh Bal'!BA50</f>
        <v>122448.672</v>
      </c>
      <c r="CK562" s="1062">
        <f>'Rep Ovh Bal'!BB50</f>
        <v>341646.912</v>
      </c>
      <c r="CL562" s="1064" t="str">
        <f>'Rep Ovh Bal'!BC50</f>
        <v/>
      </c>
      <c r="CM562" s="451" t="str">
        <f>'Rep Ovh Bal'!CN50</f>
        <v/>
      </c>
      <c r="CN562" s="1065" t="str">
        <f>'Rep Ovh Bal'!BE46</f>
        <v/>
      </c>
      <c r="CO562" s="1062" t="str">
        <f>'Rep Ovh Bal'!BF46</f>
        <v/>
      </c>
      <c r="CP562" s="1060" t="str">
        <f>'Rep Ovh Bal'!BG46</f>
        <v/>
      </c>
    </row>
    <row r="563">
      <c r="A563" s="451" t="str">
        <f>'Rep Ovh Bal'!A51</f>
        <v>Repuestos mantenimientos mayores para estaciones y torres</v>
      </c>
      <c r="B563" s="451">
        <f>'Rep Ovh Bal'!B51</f>
        <v>2</v>
      </c>
      <c r="C563" s="451" t="str">
        <f>'Rep Ovh Bal'!C51</f>
        <v>Torres</v>
      </c>
      <c r="D563" s="451" t="str">
        <f>'Rep Ovh Bal'!D51</f>
        <v>OVH balancines TRM</v>
      </c>
      <c r="E563" s="451" t="str">
        <f>'Rep Ovh Bal'!E51</f>
        <v>Repuesto Mecánico</v>
      </c>
      <c r="F563" s="451" t="str">
        <f>'Rep Ovh Bal'!F51</f>
        <v>TDB</v>
      </c>
      <c r="G563" s="1025" t="str">
        <f>'Rep Ovh Bal'!G51</f>
        <v>39800</v>
      </c>
      <c r="H563" s="1061" t="str">
        <f>'Rep Ovh Bal'!H51</f>
        <v>2-01-00077</v>
      </c>
      <c r="I563" s="1061" t="str">
        <f>'Rep Ovh Bal'!I51</f>
        <v>10501989</v>
      </c>
      <c r="J563" s="1061" t="str">
        <f>'Rep Ovh Bal'!J51</f>
        <v>RRB DIN 625/1- 6310-2RS1-C3GLE VT210 (90% +/-5%)ROD.RAN.BOLAS</v>
      </c>
      <c r="K563" s="451" t="str">
        <f>'Rep Ovh Bal'!K51</f>
        <v>Pza</v>
      </c>
      <c r="L563" s="451">
        <f>'Rep Ovh Bal'!L51</f>
        <v>0</v>
      </c>
      <c r="M563" s="451">
        <f>'Rep Ovh Bal'!M51</f>
        <v>0</v>
      </c>
      <c r="N563" s="451">
        <f>'Rep Ovh Bal'!N51</f>
        <v>0</v>
      </c>
      <c r="O563" s="451">
        <f>'Rep Ovh Bal'!O51</f>
        <v>0</v>
      </c>
      <c r="P563" s="451">
        <f>'Rep Ovh Bal'!P51</f>
        <v>0</v>
      </c>
      <c r="Q563" s="451">
        <f>'Rep Ovh Bal'!Q51</f>
        <v>0</v>
      </c>
      <c r="R563" s="451">
        <f>'Rep Ovh Bal'!R51</f>
        <v>0</v>
      </c>
      <c r="S563" s="451">
        <f>'Rep Ovh Bal'!S51</f>
        <v>0</v>
      </c>
      <c r="T563" s="451">
        <f>'Rep Ovh Bal'!T51</f>
        <v>0</v>
      </c>
      <c r="U563" s="451">
        <f>'Rep Ovh Bal'!U51</f>
        <v>0</v>
      </c>
      <c r="V563" s="451">
        <f>'Rep Ovh Bal'!V51</f>
        <v>284</v>
      </c>
      <c r="W563" s="1062">
        <f>'Rep Ovh Bal'!W51</f>
        <v>284</v>
      </c>
      <c r="X563" s="451">
        <f>'Rep Ovh Bal'!X51</f>
        <v>0</v>
      </c>
      <c r="Y563" s="451">
        <f>'Rep Ovh Bal'!Y51</f>
        <v>0</v>
      </c>
      <c r="Z563" s="451">
        <f>'Rep Ovh Bal'!Z51</f>
        <v>0</v>
      </c>
      <c r="AA563" s="451">
        <f>'Rep Ovh Bal'!AA51</f>
        <v>0</v>
      </c>
      <c r="AB563" s="451">
        <f>'Rep Ovh Bal'!AB51</f>
        <v>0</v>
      </c>
      <c r="AC563" s="451">
        <f>'Rep Ovh Bal'!AC51</f>
        <v>0</v>
      </c>
      <c r="AD563" s="451">
        <f>'Rep Ovh Bal'!AD51</f>
        <v>0</v>
      </c>
      <c r="AE563" s="451">
        <f>'Rep Ovh Bal'!AE51</f>
        <v>0</v>
      </c>
      <c r="AF563" s="451">
        <f>'Rep Ovh Bal'!AF51</f>
        <v>0</v>
      </c>
      <c r="AG563" s="451">
        <f>'Rep Ovh Bal'!AG51</f>
        <v>0</v>
      </c>
      <c r="AH563" s="451">
        <f>'Rep Ovh Bal'!AH51</f>
        <v>260</v>
      </c>
      <c r="AI563" s="1062">
        <f>'Rep Ovh Bal'!AI51</f>
        <v>260</v>
      </c>
      <c r="AJ563" s="451">
        <f>'Rep Ovh Bal'!AJ51</f>
        <v>0</v>
      </c>
      <c r="AK563" s="451">
        <f>'Rep Ovh Bal'!AK51</f>
        <v>0</v>
      </c>
      <c r="AL563" s="451">
        <f>'Rep Ovh Bal'!AL51</f>
        <v>0</v>
      </c>
      <c r="AM563" s="451">
        <f>'Rep Ovh Bal'!AM51</f>
        <v>0</v>
      </c>
      <c r="AN563" s="451">
        <f>'Rep Ovh Bal'!AN51</f>
        <v>0</v>
      </c>
      <c r="AO563" s="451">
        <f>'Rep Ovh Bal'!AO51</f>
        <v>0</v>
      </c>
      <c r="AP563" s="451">
        <f>'Rep Ovh Bal'!AP51</f>
        <v>0</v>
      </c>
      <c r="AQ563" s="451">
        <f>'Rep Ovh Bal'!AQ51</f>
        <v>0</v>
      </c>
      <c r="AR563" s="451">
        <f>'Rep Ovh Bal'!AR51</f>
        <v>0</v>
      </c>
      <c r="AS563" s="451">
        <f>'Rep Ovh Bal'!AS51</f>
        <v>0</v>
      </c>
      <c r="AT563" s="451">
        <f>'Rep Ovh Bal'!AT51</f>
        <v>500</v>
      </c>
      <c r="AU563" s="1062">
        <f>'Rep Ovh Bal'!AU51</f>
        <v>500</v>
      </c>
      <c r="AV563" s="1063">
        <f>'Rep Ovh Bal'!AV51</f>
        <v>1044</v>
      </c>
      <c r="AW563" s="1068"/>
      <c r="AX563" s="1065">
        <f>'Rep Ovh Bal'!AW51</f>
        <v>62.07</v>
      </c>
      <c r="AY563" s="1062">
        <f>'Rep Ovh Bal'!AX51</f>
        <v>432.0072</v>
      </c>
      <c r="AZ563" s="1068"/>
      <c r="BA563" s="1068"/>
      <c r="BB563" s="1068"/>
      <c r="BC563" s="1068"/>
      <c r="BD563" s="1068"/>
      <c r="BE563" s="1068"/>
      <c r="BF563" s="1065" t="str">
        <f>'Rep Ovh Bal'!BE51</f>
        <v/>
      </c>
      <c r="BG563" s="451" t="str">
        <f>'Rep Ovh Bal'!BH51</f>
        <v/>
      </c>
      <c r="BH563" s="451" t="str">
        <f>'Rep Ovh Bal'!BI51</f>
        <v/>
      </c>
      <c r="BI563" s="451" t="str">
        <f>'Rep Ovh Bal'!BJ51</f>
        <v/>
      </c>
      <c r="BJ563" s="451" t="str">
        <f>'Rep Ovh Bal'!BK51</f>
        <v/>
      </c>
      <c r="BK563" s="1062">
        <f>'Rep Ovh Bal'!AY51</f>
        <v>122690.0448</v>
      </c>
      <c r="BL563" s="1069">
        <f>'Rep Ovh Bal'!AY51</f>
        <v>122690.0448</v>
      </c>
      <c r="BM563" s="1068"/>
      <c r="BN563" s="1068"/>
      <c r="BO563" s="1068"/>
      <c r="BP563" s="451" t="str">
        <f>'Rep Ovh Bal'!BQ51</f>
        <v/>
      </c>
      <c r="BQ563" s="451" t="str">
        <f>'Rep Ovh Bal'!BR51</f>
        <v/>
      </c>
      <c r="BR563" s="451" t="str">
        <f>'Rep Ovh Bal'!BS51</f>
        <v/>
      </c>
      <c r="BS563" s="451" t="str">
        <f>'Rep Ovh Bal'!BT51</f>
        <v/>
      </c>
      <c r="BT563" s="451" t="str">
        <f>'Rep Ovh Bal'!BU51</f>
        <v/>
      </c>
      <c r="BU563" s="451" t="str">
        <f>'Rep Ovh Bal'!BV51</f>
        <v/>
      </c>
      <c r="BV563" s="451" t="str">
        <f>'Rep Ovh Bal'!BW51</f>
        <v/>
      </c>
      <c r="BW563" s="1062">
        <f>'Rep Ovh Bal'!AZ51</f>
        <v>112321.872</v>
      </c>
      <c r="BX563" s="1069">
        <f>'Rep Ovh Bal'!AZ51</f>
        <v>112321.872</v>
      </c>
      <c r="BY563" s="1068"/>
      <c r="BZ563" s="1068"/>
      <c r="CA563" s="451" t="str">
        <f>'Rep Ovh Bal'!CB51</f>
        <v/>
      </c>
      <c r="CB563" s="451" t="str">
        <f>'Rep Ovh Bal'!CC51</f>
        <v/>
      </c>
      <c r="CC563" s="451" t="str">
        <f>'Rep Ovh Bal'!CD51</f>
        <v/>
      </c>
      <c r="CD563" s="451" t="str">
        <f>'Rep Ovh Bal'!CE51</f>
        <v/>
      </c>
      <c r="CE563" s="451" t="str">
        <f>'Rep Ovh Bal'!CF51</f>
        <v/>
      </c>
      <c r="CF563" s="451" t="str">
        <f>'Rep Ovh Bal'!CG51</f>
        <v/>
      </c>
      <c r="CG563" s="451" t="str">
        <f>'Rep Ovh Bal'!CH51</f>
        <v/>
      </c>
      <c r="CH563" s="451" t="str">
        <f>'Rep Ovh Bal'!CI51</f>
        <v/>
      </c>
      <c r="CI563" s="1062">
        <f>'Rep Ovh Bal'!BA51</f>
        <v>216003.6</v>
      </c>
      <c r="CJ563" s="1062">
        <f>'Rep Ovh Bal'!BA51</f>
        <v>216003.6</v>
      </c>
      <c r="CK563" s="1062">
        <f>'Rep Ovh Bal'!BB51</f>
        <v>451015.5168</v>
      </c>
      <c r="CL563" s="1064" t="str">
        <f>'Rep Ovh Bal'!BC51</f>
        <v/>
      </c>
      <c r="CM563" s="451" t="str">
        <f>'Rep Ovh Bal'!CN51</f>
        <v/>
      </c>
      <c r="CN563" s="1065" t="str">
        <f>'Rep Ovh Bal'!BE47</f>
        <v/>
      </c>
      <c r="CO563" s="1062" t="str">
        <f>'Rep Ovh Bal'!BF47</f>
        <v/>
      </c>
      <c r="CP563" s="1060" t="str">
        <f>'Rep Ovh Bal'!BG47</f>
        <v/>
      </c>
    </row>
    <row r="564">
      <c r="A564" s="451" t="str">
        <f>'Rep Ovh Bal'!A52</f>
        <v>Repuestos mantenimientos mayores para estaciones y torres</v>
      </c>
      <c r="B564" s="451">
        <f>'Rep Ovh Bal'!B52</f>
        <v>2</v>
      </c>
      <c r="C564" s="451" t="str">
        <f>'Rep Ovh Bal'!C52</f>
        <v>Torres</v>
      </c>
      <c r="D564" s="451" t="str">
        <f>'Rep Ovh Bal'!D52</f>
        <v>OVH balancines TRM</v>
      </c>
      <c r="E564" s="451" t="str">
        <f>'Rep Ovh Bal'!E52</f>
        <v>Repuesto Mecánico</v>
      </c>
      <c r="F564" s="451" t="str">
        <f>'Rep Ovh Bal'!F52</f>
        <v>TDB</v>
      </c>
      <c r="G564" s="1025" t="str">
        <f>'Rep Ovh Bal'!G52</f>
        <v>39800</v>
      </c>
      <c r="H564" s="1061" t="str">
        <f>'Rep Ovh Bal'!H52</f>
        <v>2-01-00084</v>
      </c>
      <c r="I564" s="1061" t="str">
        <f>'Rep Ovh Bal'!I52</f>
        <v>10501992</v>
      </c>
      <c r="J564" s="1061" t="str">
        <f>'Rep Ovh Bal'!J52</f>
        <v>RRB DIN 625/1- 6307-2RS1-C3GLE VT210 (90% +/-5%)ROD.RAN.BOLAS</v>
      </c>
      <c r="K564" s="451" t="str">
        <f>'Rep Ovh Bal'!K52</f>
        <v>Pza</v>
      </c>
      <c r="L564" s="451">
        <f>'Rep Ovh Bal'!L52</f>
        <v>0</v>
      </c>
      <c r="M564" s="451">
        <f>'Rep Ovh Bal'!M52</f>
        <v>0</v>
      </c>
      <c r="N564" s="451">
        <f>'Rep Ovh Bal'!N52</f>
        <v>0</v>
      </c>
      <c r="O564" s="451">
        <f>'Rep Ovh Bal'!O52</f>
        <v>0</v>
      </c>
      <c r="P564" s="451">
        <f>'Rep Ovh Bal'!P52</f>
        <v>0</v>
      </c>
      <c r="Q564" s="451">
        <f>'Rep Ovh Bal'!Q52</f>
        <v>0</v>
      </c>
      <c r="R564" s="451">
        <f>'Rep Ovh Bal'!R52</f>
        <v>0</v>
      </c>
      <c r="S564" s="451">
        <f>'Rep Ovh Bal'!S52</f>
        <v>0</v>
      </c>
      <c r="T564" s="451">
        <f>'Rep Ovh Bal'!T52</f>
        <v>0</v>
      </c>
      <c r="U564" s="451">
        <f>'Rep Ovh Bal'!U52</f>
        <v>0</v>
      </c>
      <c r="V564" s="1070">
        <f>'Rep Ovh Bal'!V52</f>
        <v>1016</v>
      </c>
      <c r="W564" s="1062">
        <f>'Rep Ovh Bal'!W52</f>
        <v>1016</v>
      </c>
      <c r="X564" s="451">
        <f>'Rep Ovh Bal'!X52</f>
        <v>0</v>
      </c>
      <c r="Y564" s="451">
        <f>'Rep Ovh Bal'!Y52</f>
        <v>0</v>
      </c>
      <c r="Z564" s="451">
        <f>'Rep Ovh Bal'!Z52</f>
        <v>0</v>
      </c>
      <c r="AA564" s="451">
        <f>'Rep Ovh Bal'!AA52</f>
        <v>0</v>
      </c>
      <c r="AB564" s="451">
        <f>'Rep Ovh Bal'!AB52</f>
        <v>0</v>
      </c>
      <c r="AC564" s="451">
        <f>'Rep Ovh Bal'!AC52</f>
        <v>0</v>
      </c>
      <c r="AD564" s="451">
        <f>'Rep Ovh Bal'!AD52</f>
        <v>0</v>
      </c>
      <c r="AE564" s="451">
        <f>'Rep Ovh Bal'!AE52</f>
        <v>0</v>
      </c>
      <c r="AF564" s="451">
        <f>'Rep Ovh Bal'!AF52</f>
        <v>0</v>
      </c>
      <c r="AG564" s="451">
        <f>'Rep Ovh Bal'!AG52</f>
        <v>0</v>
      </c>
      <c r="AH564" s="451">
        <f>'Rep Ovh Bal'!AH52</f>
        <v>192</v>
      </c>
      <c r="AI564" s="1062">
        <f>'Rep Ovh Bal'!AI52</f>
        <v>192</v>
      </c>
      <c r="AJ564" s="451">
        <f>'Rep Ovh Bal'!AJ52</f>
        <v>0</v>
      </c>
      <c r="AK564" s="451">
        <f>'Rep Ovh Bal'!AK52</f>
        <v>0</v>
      </c>
      <c r="AL564" s="451">
        <f>'Rep Ovh Bal'!AL52</f>
        <v>0</v>
      </c>
      <c r="AM564" s="451">
        <f>'Rep Ovh Bal'!AM52</f>
        <v>0</v>
      </c>
      <c r="AN564" s="451">
        <f>'Rep Ovh Bal'!AN52</f>
        <v>0</v>
      </c>
      <c r="AO564" s="451">
        <f>'Rep Ovh Bal'!AO52</f>
        <v>0</v>
      </c>
      <c r="AP564" s="451">
        <f>'Rep Ovh Bal'!AP52</f>
        <v>0</v>
      </c>
      <c r="AQ564" s="451">
        <f>'Rep Ovh Bal'!AQ52</f>
        <v>0</v>
      </c>
      <c r="AR564" s="451">
        <f>'Rep Ovh Bal'!AR52</f>
        <v>0</v>
      </c>
      <c r="AS564" s="451">
        <f>'Rep Ovh Bal'!AS52</f>
        <v>0</v>
      </c>
      <c r="AT564" s="451">
        <f>'Rep Ovh Bal'!AT52</f>
        <v>632</v>
      </c>
      <c r="AU564" s="1062">
        <f>'Rep Ovh Bal'!AU52</f>
        <v>632</v>
      </c>
      <c r="AV564" s="1063">
        <f>'Rep Ovh Bal'!AV52</f>
        <v>1840</v>
      </c>
      <c r="AW564" s="1068"/>
      <c r="AX564" s="1065">
        <f>'Rep Ovh Bal'!AW52</f>
        <v>28.61</v>
      </c>
      <c r="AY564" s="1062">
        <f>'Rep Ovh Bal'!AX52</f>
        <v>199.1256</v>
      </c>
      <c r="AZ564" s="1068"/>
      <c r="BA564" s="1068"/>
      <c r="BB564" s="1068"/>
      <c r="BC564" s="1068"/>
      <c r="BD564" s="1068"/>
      <c r="BE564" s="1068"/>
      <c r="BF564" s="1065" t="str">
        <f>'Rep Ovh Bal'!BE52</f>
        <v/>
      </c>
      <c r="BG564" s="451" t="str">
        <f>'Rep Ovh Bal'!BH52</f>
        <v/>
      </c>
      <c r="BH564" s="451" t="str">
        <f>'Rep Ovh Bal'!BI52</f>
        <v/>
      </c>
      <c r="BI564" s="451" t="str">
        <f>'Rep Ovh Bal'!BJ52</f>
        <v/>
      </c>
      <c r="BJ564" s="451" t="str">
        <f>'Rep Ovh Bal'!BK52</f>
        <v/>
      </c>
      <c r="BK564" s="1062">
        <f>'Rep Ovh Bal'!AY52</f>
        <v>202311.6096</v>
      </c>
      <c r="BL564" s="1069">
        <f>'Rep Ovh Bal'!AY52</f>
        <v>202311.6096</v>
      </c>
      <c r="BM564" s="1068"/>
      <c r="BN564" s="1068"/>
      <c r="BO564" s="1068"/>
      <c r="BP564" s="451" t="str">
        <f>'Rep Ovh Bal'!BQ52</f>
        <v/>
      </c>
      <c r="BQ564" s="451" t="str">
        <f>'Rep Ovh Bal'!BR52</f>
        <v/>
      </c>
      <c r="BR564" s="451" t="str">
        <f>'Rep Ovh Bal'!BS52</f>
        <v/>
      </c>
      <c r="BS564" s="451" t="str">
        <f>'Rep Ovh Bal'!BT52</f>
        <v/>
      </c>
      <c r="BT564" s="451" t="str">
        <f>'Rep Ovh Bal'!BU52</f>
        <v/>
      </c>
      <c r="BU564" s="451" t="str">
        <f>'Rep Ovh Bal'!BV52</f>
        <v/>
      </c>
      <c r="BV564" s="451" t="str">
        <f>'Rep Ovh Bal'!BW52</f>
        <v/>
      </c>
      <c r="BW564" s="1062">
        <f>'Rep Ovh Bal'!AZ52</f>
        <v>38232.1152</v>
      </c>
      <c r="BX564" s="1069">
        <f>'Rep Ovh Bal'!AZ52</f>
        <v>38232.1152</v>
      </c>
      <c r="BY564" s="1068"/>
      <c r="BZ564" s="1068"/>
      <c r="CA564" s="451" t="str">
        <f>'Rep Ovh Bal'!CB52</f>
        <v/>
      </c>
      <c r="CB564" s="451" t="str">
        <f>'Rep Ovh Bal'!CC52</f>
        <v/>
      </c>
      <c r="CC564" s="451" t="str">
        <f>'Rep Ovh Bal'!CD52</f>
        <v/>
      </c>
      <c r="CD564" s="451" t="str">
        <f>'Rep Ovh Bal'!CE52</f>
        <v/>
      </c>
      <c r="CE564" s="451" t="str">
        <f>'Rep Ovh Bal'!CF52</f>
        <v/>
      </c>
      <c r="CF564" s="451" t="str">
        <f>'Rep Ovh Bal'!CG52</f>
        <v/>
      </c>
      <c r="CG564" s="451" t="str">
        <f>'Rep Ovh Bal'!CH52</f>
        <v/>
      </c>
      <c r="CH564" s="451" t="str">
        <f>'Rep Ovh Bal'!CI52</f>
        <v/>
      </c>
      <c r="CI564" s="1062">
        <f>'Rep Ovh Bal'!BA52</f>
        <v>125847.3792</v>
      </c>
      <c r="CJ564" s="1062">
        <f>'Rep Ovh Bal'!BA52</f>
        <v>125847.3792</v>
      </c>
      <c r="CK564" s="1062">
        <f>'Rep Ovh Bal'!BB52</f>
        <v>366391.104</v>
      </c>
      <c r="CL564" s="1064" t="str">
        <f>'Rep Ovh Bal'!BC52</f>
        <v/>
      </c>
      <c r="CM564" s="451" t="str">
        <f>'Rep Ovh Bal'!CN52</f>
        <v/>
      </c>
      <c r="CN564" s="1065" t="str">
        <f>'Rep Ovh Bal'!BE48</f>
        <v/>
      </c>
      <c r="CO564" s="1062" t="str">
        <f>'Rep Ovh Bal'!BF48</f>
        <v/>
      </c>
      <c r="CP564" s="1060" t="str">
        <f>'Rep Ovh Bal'!BG48</f>
        <v/>
      </c>
    </row>
    <row r="565">
      <c r="A565" s="451" t="str">
        <f>'Rep Ovh Bal'!A53</f>
        <v>Repuestos mantenimientos mayores para estaciones y torres</v>
      </c>
      <c r="B565" s="451">
        <f>'Rep Ovh Bal'!B53</f>
        <v>2</v>
      </c>
      <c r="C565" s="451" t="str">
        <f>'Rep Ovh Bal'!C53</f>
        <v>Torres</v>
      </c>
      <c r="D565" s="451" t="str">
        <f>'Rep Ovh Bal'!D53</f>
        <v>OVH balancines TRM</v>
      </c>
      <c r="E565" s="451" t="str">
        <f>'Rep Ovh Bal'!E53</f>
        <v>Repuesto Mecánico</v>
      </c>
      <c r="F565" s="451" t="str">
        <f>'Rep Ovh Bal'!F53</f>
        <v>TDB</v>
      </c>
      <c r="G565" s="1025" t="str">
        <f>'Rep Ovh Bal'!G53</f>
        <v>39800</v>
      </c>
      <c r="H565" s="1061" t="str">
        <f>'Rep Ovh Bal'!H53</f>
        <v>2-01-00141</v>
      </c>
      <c r="I565" s="1061" t="str">
        <f>'Rep Ovh Bal'!I53</f>
        <v>10510857</v>
      </c>
      <c r="J565" s="1061" t="str">
        <f>'Rep Ovh Bal'!J53</f>
        <v>TORNILLO TENSILOCK CL.90 M16X35 T.CON DIENTE, RV.LAM.DE ZINC</v>
      </c>
      <c r="K565" s="451" t="str">
        <f>'Rep Ovh Bal'!K53</f>
        <v>Pza</v>
      </c>
      <c r="L565" s="451">
        <f>'Rep Ovh Bal'!L53</f>
        <v>0</v>
      </c>
      <c r="M565" s="451">
        <f>'Rep Ovh Bal'!M53</f>
        <v>0</v>
      </c>
      <c r="N565" s="451">
        <f>'Rep Ovh Bal'!N53</f>
        <v>0</v>
      </c>
      <c r="O565" s="451">
        <f>'Rep Ovh Bal'!O53</f>
        <v>0</v>
      </c>
      <c r="P565" s="451">
        <f>'Rep Ovh Bal'!P53</f>
        <v>0</v>
      </c>
      <c r="Q565" s="451">
        <f>'Rep Ovh Bal'!Q53</f>
        <v>0</v>
      </c>
      <c r="R565" s="451">
        <f>'Rep Ovh Bal'!R53</f>
        <v>0</v>
      </c>
      <c r="S565" s="451">
        <f>'Rep Ovh Bal'!S53</f>
        <v>0</v>
      </c>
      <c r="T565" s="451">
        <f>'Rep Ovh Bal'!T53</f>
        <v>0</v>
      </c>
      <c r="U565" s="451">
        <f>'Rep Ovh Bal'!U53</f>
        <v>0</v>
      </c>
      <c r="V565" s="451">
        <f>'Rep Ovh Bal'!V53</f>
        <v>384</v>
      </c>
      <c r="W565" s="1062">
        <f>'Rep Ovh Bal'!W53</f>
        <v>384</v>
      </c>
      <c r="X565" s="451">
        <f>'Rep Ovh Bal'!X53</f>
        <v>0</v>
      </c>
      <c r="Y565" s="451">
        <f>'Rep Ovh Bal'!Y53</f>
        <v>0</v>
      </c>
      <c r="Z565" s="451">
        <f>'Rep Ovh Bal'!Z53</f>
        <v>0</v>
      </c>
      <c r="AA565" s="451">
        <f>'Rep Ovh Bal'!AA53</f>
        <v>0</v>
      </c>
      <c r="AB565" s="451">
        <f>'Rep Ovh Bal'!AB53</f>
        <v>0</v>
      </c>
      <c r="AC565" s="451">
        <f>'Rep Ovh Bal'!AC53</f>
        <v>0</v>
      </c>
      <c r="AD565" s="451">
        <f>'Rep Ovh Bal'!AD53</f>
        <v>0</v>
      </c>
      <c r="AE565" s="451">
        <f>'Rep Ovh Bal'!AE53</f>
        <v>0</v>
      </c>
      <c r="AF565" s="451">
        <f>'Rep Ovh Bal'!AF53</f>
        <v>0</v>
      </c>
      <c r="AG565" s="451">
        <f>'Rep Ovh Bal'!AG53</f>
        <v>0</v>
      </c>
      <c r="AH565" s="451">
        <f>'Rep Ovh Bal'!AH53</f>
        <v>88</v>
      </c>
      <c r="AI565" s="1062">
        <f>'Rep Ovh Bal'!AI53</f>
        <v>88</v>
      </c>
      <c r="AJ565" s="451">
        <f>'Rep Ovh Bal'!AJ53</f>
        <v>0</v>
      </c>
      <c r="AK565" s="451">
        <f>'Rep Ovh Bal'!AK53</f>
        <v>0</v>
      </c>
      <c r="AL565" s="451">
        <f>'Rep Ovh Bal'!AL53</f>
        <v>0</v>
      </c>
      <c r="AM565" s="451">
        <f>'Rep Ovh Bal'!AM53</f>
        <v>0</v>
      </c>
      <c r="AN565" s="451">
        <f>'Rep Ovh Bal'!AN53</f>
        <v>0</v>
      </c>
      <c r="AO565" s="451">
        <f>'Rep Ovh Bal'!AO53</f>
        <v>0</v>
      </c>
      <c r="AP565" s="451">
        <f>'Rep Ovh Bal'!AP53</f>
        <v>0</v>
      </c>
      <c r="AQ565" s="451">
        <f>'Rep Ovh Bal'!AQ53</f>
        <v>0</v>
      </c>
      <c r="AR565" s="451">
        <f>'Rep Ovh Bal'!AR53</f>
        <v>0</v>
      </c>
      <c r="AS565" s="451">
        <f>'Rep Ovh Bal'!AS53</f>
        <v>0</v>
      </c>
      <c r="AT565" s="451">
        <f>'Rep Ovh Bal'!AT53</f>
        <v>280</v>
      </c>
      <c r="AU565" s="1062">
        <f>'Rep Ovh Bal'!AU53</f>
        <v>280</v>
      </c>
      <c r="AV565" s="1063">
        <f>'Rep Ovh Bal'!AV53</f>
        <v>752</v>
      </c>
      <c r="AW565" s="1068"/>
      <c r="AX565" s="1065">
        <f>'Rep Ovh Bal'!AW53</f>
        <v>3.42</v>
      </c>
      <c r="AY565" s="1062">
        <f>'Rep Ovh Bal'!AX53</f>
        <v>23.8032</v>
      </c>
      <c r="AZ565" s="1068"/>
      <c r="BA565" s="1068"/>
      <c r="BB565" s="1068"/>
      <c r="BC565" s="1068"/>
      <c r="BD565" s="1068"/>
      <c r="BE565" s="1068"/>
      <c r="BF565" s="1065" t="str">
        <f>'Rep Ovh Bal'!BE53</f>
        <v/>
      </c>
      <c r="BG565" s="451" t="str">
        <f>'Rep Ovh Bal'!BH53</f>
        <v/>
      </c>
      <c r="BH565" s="451" t="str">
        <f>'Rep Ovh Bal'!BI53</f>
        <v/>
      </c>
      <c r="BI565" s="451" t="str">
        <f>'Rep Ovh Bal'!BJ53</f>
        <v/>
      </c>
      <c r="BJ565" s="451" t="str">
        <f>'Rep Ovh Bal'!BK53</f>
        <v/>
      </c>
      <c r="BK565" s="1062">
        <f>'Rep Ovh Bal'!AY53</f>
        <v>9140.4288</v>
      </c>
      <c r="BL565" s="1069">
        <f>'Rep Ovh Bal'!AY53</f>
        <v>9140.4288</v>
      </c>
      <c r="BM565" s="1068"/>
      <c r="BN565" s="1068"/>
      <c r="BO565" s="1068"/>
      <c r="BP565" s="451" t="str">
        <f>'Rep Ovh Bal'!BQ53</f>
        <v/>
      </c>
      <c r="BQ565" s="451" t="str">
        <f>'Rep Ovh Bal'!BR53</f>
        <v/>
      </c>
      <c r="BR565" s="451" t="str">
        <f>'Rep Ovh Bal'!BS53</f>
        <v/>
      </c>
      <c r="BS565" s="451" t="str">
        <f>'Rep Ovh Bal'!BT53</f>
        <v/>
      </c>
      <c r="BT565" s="451" t="str">
        <f>'Rep Ovh Bal'!BU53</f>
        <v/>
      </c>
      <c r="BU565" s="451" t="str">
        <f>'Rep Ovh Bal'!BV53</f>
        <v/>
      </c>
      <c r="BV565" s="451" t="str">
        <f>'Rep Ovh Bal'!BW53</f>
        <v/>
      </c>
      <c r="BW565" s="1062">
        <f>'Rep Ovh Bal'!AZ53</f>
        <v>2094.6816</v>
      </c>
      <c r="BX565" s="1069">
        <f>'Rep Ovh Bal'!AZ53</f>
        <v>2094.6816</v>
      </c>
      <c r="BY565" s="1068"/>
      <c r="BZ565" s="1068"/>
      <c r="CA565" s="451" t="str">
        <f>'Rep Ovh Bal'!CB53</f>
        <v/>
      </c>
      <c r="CB565" s="451" t="str">
        <f>'Rep Ovh Bal'!CC53</f>
        <v/>
      </c>
      <c r="CC565" s="451" t="str">
        <f>'Rep Ovh Bal'!CD53</f>
        <v/>
      </c>
      <c r="CD565" s="451" t="str">
        <f>'Rep Ovh Bal'!CE53</f>
        <v/>
      </c>
      <c r="CE565" s="451" t="str">
        <f>'Rep Ovh Bal'!CF53</f>
        <v/>
      </c>
      <c r="CF565" s="451" t="str">
        <f>'Rep Ovh Bal'!CG53</f>
        <v/>
      </c>
      <c r="CG565" s="451" t="str">
        <f>'Rep Ovh Bal'!CH53</f>
        <v/>
      </c>
      <c r="CH565" s="451" t="str">
        <f>'Rep Ovh Bal'!CI53</f>
        <v/>
      </c>
      <c r="CI565" s="1062">
        <f>'Rep Ovh Bal'!BA53</f>
        <v>6664.896</v>
      </c>
      <c r="CJ565" s="1062">
        <f>'Rep Ovh Bal'!BA53</f>
        <v>6664.896</v>
      </c>
      <c r="CK565" s="1062">
        <f>'Rep Ovh Bal'!BB53</f>
        <v>17900.0064</v>
      </c>
      <c r="CL565" s="1064" t="str">
        <f>'Rep Ovh Bal'!BC53</f>
        <v/>
      </c>
      <c r="CM565" s="451" t="str">
        <f>'Rep Ovh Bal'!CN53</f>
        <v/>
      </c>
      <c r="CN565" s="1065" t="str">
        <f>'Rep Ovh Bal'!BE49</f>
        <v/>
      </c>
      <c r="CO565" s="1062" t="str">
        <f>'Rep Ovh Bal'!BF49</f>
        <v/>
      </c>
      <c r="CP565" s="1060" t="str">
        <f>'Rep Ovh Bal'!BG49</f>
        <v/>
      </c>
    </row>
    <row r="566">
      <c r="A566" s="451" t="str">
        <f>'Rep Ovh Bal'!A54</f>
        <v>Repuestos mantenimientos mayores para estaciones y torres</v>
      </c>
      <c r="B566" s="451">
        <f>'Rep Ovh Bal'!B54</f>
        <v>2</v>
      </c>
      <c r="C566" s="451" t="str">
        <f>'Rep Ovh Bal'!C54</f>
        <v>Torres</v>
      </c>
      <c r="D566" s="451" t="str">
        <f>'Rep Ovh Bal'!D54</f>
        <v>OVH balancines TRM</v>
      </c>
      <c r="E566" s="451" t="str">
        <f>'Rep Ovh Bal'!E54</f>
        <v>Repuesto Mecánico</v>
      </c>
      <c r="F566" s="451" t="str">
        <f>'Rep Ovh Bal'!F54</f>
        <v>TDB</v>
      </c>
      <c r="G566" s="1025" t="str">
        <f>'Rep Ovh Bal'!G54</f>
        <v>39800</v>
      </c>
      <c r="H566" s="1061" t="str">
        <f>'Rep Ovh Bal'!H54</f>
        <v>2-01-00509</v>
      </c>
      <c r="I566" s="1061" t="str">
        <f>'Rep Ovh Bal'!I54</f>
        <v>10531093</v>
      </c>
      <c r="J566" s="1061" t="str">
        <f>'Rep Ovh Bal'!J54</f>
        <v>BULÓN DIA. 20,0 LN 193 M16 P.BÁSCULA POLEA SENS.EN BRAZO OSC.</v>
      </c>
      <c r="K566" s="451" t="str">
        <f>'Rep Ovh Bal'!K54</f>
        <v>Pza</v>
      </c>
      <c r="L566" s="451">
        <f>'Rep Ovh Bal'!L54</f>
        <v>0</v>
      </c>
      <c r="M566" s="451">
        <f>'Rep Ovh Bal'!M54</f>
        <v>0</v>
      </c>
      <c r="N566" s="451">
        <f>'Rep Ovh Bal'!N54</f>
        <v>0</v>
      </c>
      <c r="O566" s="451">
        <f>'Rep Ovh Bal'!O54</f>
        <v>0</v>
      </c>
      <c r="P566" s="451">
        <f>'Rep Ovh Bal'!P54</f>
        <v>0</v>
      </c>
      <c r="Q566" s="451">
        <f>'Rep Ovh Bal'!Q54</f>
        <v>0</v>
      </c>
      <c r="R566" s="451">
        <f>'Rep Ovh Bal'!R54</f>
        <v>0</v>
      </c>
      <c r="S566" s="451">
        <f>'Rep Ovh Bal'!S54</f>
        <v>0</v>
      </c>
      <c r="T566" s="451">
        <f>'Rep Ovh Bal'!T54</f>
        <v>0</v>
      </c>
      <c r="U566" s="451">
        <f>'Rep Ovh Bal'!U54</f>
        <v>0</v>
      </c>
      <c r="V566" s="451">
        <f>'Rep Ovh Bal'!V54</f>
        <v>118</v>
      </c>
      <c r="W566" s="1062">
        <f>'Rep Ovh Bal'!W54</f>
        <v>118</v>
      </c>
      <c r="X566" s="451">
        <f>'Rep Ovh Bal'!X54</f>
        <v>0</v>
      </c>
      <c r="Y566" s="451">
        <f>'Rep Ovh Bal'!Y54</f>
        <v>0</v>
      </c>
      <c r="Z566" s="451">
        <f>'Rep Ovh Bal'!Z54</f>
        <v>0</v>
      </c>
      <c r="AA566" s="451">
        <f>'Rep Ovh Bal'!AA54</f>
        <v>0</v>
      </c>
      <c r="AB566" s="451">
        <f>'Rep Ovh Bal'!AB54</f>
        <v>0</v>
      </c>
      <c r="AC566" s="451">
        <f>'Rep Ovh Bal'!AC54</f>
        <v>0</v>
      </c>
      <c r="AD566" s="451">
        <f>'Rep Ovh Bal'!AD54</f>
        <v>0</v>
      </c>
      <c r="AE566" s="451">
        <f>'Rep Ovh Bal'!AE54</f>
        <v>0</v>
      </c>
      <c r="AF566" s="451">
        <f>'Rep Ovh Bal'!AF54</f>
        <v>0</v>
      </c>
      <c r="AG566" s="451">
        <f>'Rep Ovh Bal'!AG54</f>
        <v>0</v>
      </c>
      <c r="AH566" s="451">
        <f>'Rep Ovh Bal'!AH54</f>
        <v>12</v>
      </c>
      <c r="AI566" s="1062">
        <f>'Rep Ovh Bal'!AI54</f>
        <v>12</v>
      </c>
      <c r="AJ566" s="451">
        <f>'Rep Ovh Bal'!AJ54</f>
        <v>0</v>
      </c>
      <c r="AK566" s="451">
        <f>'Rep Ovh Bal'!AK54</f>
        <v>0</v>
      </c>
      <c r="AL566" s="451">
        <f>'Rep Ovh Bal'!AL54</f>
        <v>0</v>
      </c>
      <c r="AM566" s="451">
        <f>'Rep Ovh Bal'!AM54</f>
        <v>0</v>
      </c>
      <c r="AN566" s="451">
        <f>'Rep Ovh Bal'!AN54</f>
        <v>0</v>
      </c>
      <c r="AO566" s="451">
        <f>'Rep Ovh Bal'!AO54</f>
        <v>0</v>
      </c>
      <c r="AP566" s="451">
        <f>'Rep Ovh Bal'!AP54</f>
        <v>0</v>
      </c>
      <c r="AQ566" s="451">
        <f>'Rep Ovh Bal'!AQ54</f>
        <v>0</v>
      </c>
      <c r="AR566" s="451">
        <f>'Rep Ovh Bal'!AR54</f>
        <v>0</v>
      </c>
      <c r="AS566" s="451">
        <f>'Rep Ovh Bal'!AS54</f>
        <v>0</v>
      </c>
      <c r="AT566" s="451">
        <f>'Rep Ovh Bal'!AT54</f>
        <v>40</v>
      </c>
      <c r="AU566" s="1062">
        <f>'Rep Ovh Bal'!AU54</f>
        <v>40</v>
      </c>
      <c r="AV566" s="1063">
        <f>'Rep Ovh Bal'!AV54</f>
        <v>170</v>
      </c>
      <c r="AW566" s="1068"/>
      <c r="AX566" s="1065">
        <f>'Rep Ovh Bal'!AW54</f>
        <v>58.61</v>
      </c>
      <c r="AY566" s="1062">
        <f>'Rep Ovh Bal'!AX54</f>
        <v>407.9256</v>
      </c>
      <c r="AZ566" s="1068"/>
      <c r="BA566" s="1068"/>
      <c r="BB566" s="1068"/>
      <c r="BC566" s="1068"/>
      <c r="BD566" s="1068"/>
      <c r="BE566" s="1068"/>
      <c r="BF566" s="1065" t="str">
        <f>'Rep Ovh Bal'!BE54</f>
        <v/>
      </c>
      <c r="BG566" s="451" t="str">
        <f>'Rep Ovh Bal'!BH54</f>
        <v/>
      </c>
      <c r="BH566" s="451" t="str">
        <f>'Rep Ovh Bal'!BI54</f>
        <v/>
      </c>
      <c r="BI566" s="451" t="str">
        <f>'Rep Ovh Bal'!BJ54</f>
        <v/>
      </c>
      <c r="BJ566" s="451" t="str">
        <f>'Rep Ovh Bal'!BK54</f>
        <v/>
      </c>
      <c r="BK566" s="1062">
        <f>'Rep Ovh Bal'!AY54</f>
        <v>48135.2208</v>
      </c>
      <c r="BL566" s="1069">
        <f>'Rep Ovh Bal'!AY54</f>
        <v>48135.2208</v>
      </c>
      <c r="BM566" s="1068"/>
      <c r="BN566" s="1068"/>
      <c r="BO566" s="1068"/>
      <c r="BP566" s="451" t="str">
        <f>'Rep Ovh Bal'!BQ54</f>
        <v/>
      </c>
      <c r="BQ566" s="451" t="str">
        <f>'Rep Ovh Bal'!BR54</f>
        <v/>
      </c>
      <c r="BR566" s="451" t="str">
        <f>'Rep Ovh Bal'!BS54</f>
        <v/>
      </c>
      <c r="BS566" s="451" t="str">
        <f>'Rep Ovh Bal'!BT54</f>
        <v/>
      </c>
      <c r="BT566" s="451" t="str">
        <f>'Rep Ovh Bal'!BU54</f>
        <v/>
      </c>
      <c r="BU566" s="451" t="str">
        <f>'Rep Ovh Bal'!BV54</f>
        <v/>
      </c>
      <c r="BV566" s="451" t="str">
        <f>'Rep Ovh Bal'!BW54</f>
        <v/>
      </c>
      <c r="BW566" s="1062">
        <f>'Rep Ovh Bal'!AZ54</f>
        <v>4895.1072</v>
      </c>
      <c r="BX566" s="1069">
        <f>'Rep Ovh Bal'!AZ54</f>
        <v>4895.1072</v>
      </c>
      <c r="BY566" s="1068"/>
      <c r="BZ566" s="1068"/>
      <c r="CA566" s="451" t="str">
        <f>'Rep Ovh Bal'!CB54</f>
        <v/>
      </c>
      <c r="CB566" s="451" t="str">
        <f>'Rep Ovh Bal'!CC54</f>
        <v/>
      </c>
      <c r="CC566" s="451" t="str">
        <f>'Rep Ovh Bal'!CD54</f>
        <v/>
      </c>
      <c r="CD566" s="451" t="str">
        <f>'Rep Ovh Bal'!CE54</f>
        <v/>
      </c>
      <c r="CE566" s="451" t="str">
        <f>'Rep Ovh Bal'!CF54</f>
        <v/>
      </c>
      <c r="CF566" s="451" t="str">
        <f>'Rep Ovh Bal'!CG54</f>
        <v/>
      </c>
      <c r="CG566" s="451" t="str">
        <f>'Rep Ovh Bal'!CH54</f>
        <v/>
      </c>
      <c r="CH566" s="451" t="str">
        <f>'Rep Ovh Bal'!CI54</f>
        <v/>
      </c>
      <c r="CI566" s="1062">
        <f>'Rep Ovh Bal'!BA54</f>
        <v>16317.024</v>
      </c>
      <c r="CJ566" s="1062">
        <f>'Rep Ovh Bal'!BA54</f>
        <v>16317.024</v>
      </c>
      <c r="CK566" s="1062">
        <f>'Rep Ovh Bal'!BB54</f>
        <v>69347.352</v>
      </c>
      <c r="CL566" s="1064" t="str">
        <f>'Rep Ovh Bal'!BC54</f>
        <v/>
      </c>
      <c r="CM566" s="451" t="str">
        <f>'Rep Ovh Bal'!CN54</f>
        <v/>
      </c>
      <c r="CN566" s="1065" t="str">
        <f>'Rep Ovh Bal'!BE50</f>
        <v/>
      </c>
      <c r="CO566" s="1062" t="str">
        <f>'Rep Ovh Bal'!BF50</f>
        <v/>
      </c>
      <c r="CP566" s="1060" t="str">
        <f>'Rep Ovh Bal'!BG50</f>
        <v/>
      </c>
    </row>
    <row r="567">
      <c r="A567" s="451" t="str">
        <f>'Rep Ovh Bal'!A55</f>
        <v>Repuestos mantenimientos mayores para estaciones y torres</v>
      </c>
      <c r="B567" s="451">
        <f>'Rep Ovh Bal'!B55</f>
        <v>2</v>
      </c>
      <c r="C567" s="451" t="str">
        <f>'Rep Ovh Bal'!C55</f>
        <v>Torres</v>
      </c>
      <c r="D567" s="451" t="str">
        <f>'Rep Ovh Bal'!D55</f>
        <v>OVH balancines TRM</v>
      </c>
      <c r="E567" s="451" t="str">
        <f>'Rep Ovh Bal'!E55</f>
        <v>Repuesto Mecánico</v>
      </c>
      <c r="F567" s="451" t="str">
        <f>'Rep Ovh Bal'!F55</f>
        <v>TDB</v>
      </c>
      <c r="G567" s="1025" t="str">
        <f>'Rep Ovh Bal'!G55</f>
        <v>39800</v>
      </c>
      <c r="H567" s="1061" t="str">
        <f>'Rep Ovh Bal'!H55</f>
        <v/>
      </c>
      <c r="I567" s="1061" t="str">
        <f>'Rep Ovh Bal'!I55</f>
        <v>10535780</v>
      </c>
      <c r="J567" s="1061" t="str">
        <f>'Rep Ovh Bal'!J55</f>
        <v>TORNILLO DIN7984-8.8 M12X20, TORN.CIL., GALVAN.</v>
      </c>
      <c r="K567" s="451" t="str">
        <f>'Rep Ovh Bal'!K55</f>
        <v>Pza</v>
      </c>
      <c r="L567" s="451">
        <f>'Rep Ovh Bal'!L55</f>
        <v>0</v>
      </c>
      <c r="M567" s="451">
        <f>'Rep Ovh Bal'!M55</f>
        <v>0</v>
      </c>
      <c r="N567" s="451">
        <f>'Rep Ovh Bal'!N55</f>
        <v>0</v>
      </c>
      <c r="O567" s="451">
        <f>'Rep Ovh Bal'!O55</f>
        <v>0</v>
      </c>
      <c r="P567" s="451">
        <f>'Rep Ovh Bal'!P55</f>
        <v>0</v>
      </c>
      <c r="Q567" s="451">
        <f>'Rep Ovh Bal'!Q55</f>
        <v>0</v>
      </c>
      <c r="R567" s="451">
        <f>'Rep Ovh Bal'!R55</f>
        <v>0</v>
      </c>
      <c r="S567" s="451">
        <f>'Rep Ovh Bal'!S55</f>
        <v>0</v>
      </c>
      <c r="T567" s="451">
        <f>'Rep Ovh Bal'!T55</f>
        <v>0</v>
      </c>
      <c r="U567" s="451">
        <f>'Rep Ovh Bal'!U55</f>
        <v>0</v>
      </c>
      <c r="V567" s="451">
        <f>'Rep Ovh Bal'!V55</f>
        <v>304</v>
      </c>
      <c r="W567" s="1062">
        <f>'Rep Ovh Bal'!W55</f>
        <v>304</v>
      </c>
      <c r="X567" s="451">
        <f>'Rep Ovh Bal'!X55</f>
        <v>0</v>
      </c>
      <c r="Y567" s="451">
        <f>'Rep Ovh Bal'!Y55</f>
        <v>0</v>
      </c>
      <c r="Z567" s="451">
        <f>'Rep Ovh Bal'!Z55</f>
        <v>0</v>
      </c>
      <c r="AA567" s="451">
        <f>'Rep Ovh Bal'!AA55</f>
        <v>0</v>
      </c>
      <c r="AB567" s="451">
        <f>'Rep Ovh Bal'!AB55</f>
        <v>0</v>
      </c>
      <c r="AC567" s="451">
        <f>'Rep Ovh Bal'!AC55</f>
        <v>0</v>
      </c>
      <c r="AD567" s="451">
        <f>'Rep Ovh Bal'!AD55</f>
        <v>0</v>
      </c>
      <c r="AE567" s="451">
        <f>'Rep Ovh Bal'!AE55</f>
        <v>0</v>
      </c>
      <c r="AF567" s="451">
        <f>'Rep Ovh Bal'!AF55</f>
        <v>0</v>
      </c>
      <c r="AG567" s="451">
        <f>'Rep Ovh Bal'!AG55</f>
        <v>0</v>
      </c>
      <c r="AH567" s="451">
        <f>'Rep Ovh Bal'!AH55</f>
        <v>48</v>
      </c>
      <c r="AI567" s="1062">
        <f>'Rep Ovh Bal'!AI55</f>
        <v>48</v>
      </c>
      <c r="AJ567" s="451">
        <f>'Rep Ovh Bal'!AJ55</f>
        <v>0</v>
      </c>
      <c r="AK567" s="451">
        <f>'Rep Ovh Bal'!AK55</f>
        <v>0</v>
      </c>
      <c r="AL567" s="451">
        <f>'Rep Ovh Bal'!AL55</f>
        <v>0</v>
      </c>
      <c r="AM567" s="451">
        <f>'Rep Ovh Bal'!AM55</f>
        <v>0</v>
      </c>
      <c r="AN567" s="451">
        <f>'Rep Ovh Bal'!AN55</f>
        <v>0</v>
      </c>
      <c r="AO567" s="451">
        <f>'Rep Ovh Bal'!AO55</f>
        <v>0</v>
      </c>
      <c r="AP567" s="451">
        <f>'Rep Ovh Bal'!AP55</f>
        <v>0</v>
      </c>
      <c r="AQ567" s="451">
        <f>'Rep Ovh Bal'!AQ55</f>
        <v>0</v>
      </c>
      <c r="AR567" s="451">
        <f>'Rep Ovh Bal'!AR55</f>
        <v>0</v>
      </c>
      <c r="AS567" s="451">
        <f>'Rep Ovh Bal'!AS55</f>
        <v>0</v>
      </c>
      <c r="AT567" s="451">
        <f>'Rep Ovh Bal'!AT55</f>
        <v>160</v>
      </c>
      <c r="AU567" s="1062">
        <f>'Rep Ovh Bal'!AU55</f>
        <v>160</v>
      </c>
      <c r="AV567" s="1063">
        <f>'Rep Ovh Bal'!AV55</f>
        <v>512</v>
      </c>
      <c r="AW567" s="1068"/>
      <c r="AX567" s="1065">
        <f>'Rep Ovh Bal'!AW55</f>
        <v>0.65</v>
      </c>
      <c r="AY567" s="1062">
        <f>'Rep Ovh Bal'!AX55</f>
        <v>4.524</v>
      </c>
      <c r="AZ567" s="1068"/>
      <c r="BA567" s="1068"/>
      <c r="BB567" s="1068"/>
      <c r="BC567" s="1068"/>
      <c r="BD567" s="1068"/>
      <c r="BE567" s="1068"/>
      <c r="BF567" s="1065" t="str">
        <f>'Rep Ovh Bal'!BE55</f>
        <v/>
      </c>
      <c r="BG567" s="451" t="str">
        <f>'Rep Ovh Bal'!BH55</f>
        <v/>
      </c>
      <c r="BH567" s="451" t="str">
        <f>'Rep Ovh Bal'!BI55</f>
        <v/>
      </c>
      <c r="BI567" s="451" t="str">
        <f>'Rep Ovh Bal'!BJ55</f>
        <v/>
      </c>
      <c r="BJ567" s="451" t="str">
        <f>'Rep Ovh Bal'!BK55</f>
        <v/>
      </c>
      <c r="BK567" s="1062">
        <f>'Rep Ovh Bal'!AY55</f>
        <v>1375.296</v>
      </c>
      <c r="BL567" s="1069">
        <f>'Rep Ovh Bal'!AY55</f>
        <v>1375.296</v>
      </c>
      <c r="BM567" s="1068"/>
      <c r="BN567" s="1068"/>
      <c r="BO567" s="1068"/>
      <c r="BP567" s="451" t="str">
        <f>'Rep Ovh Bal'!BQ55</f>
        <v/>
      </c>
      <c r="BQ567" s="451" t="str">
        <f>'Rep Ovh Bal'!BR55</f>
        <v/>
      </c>
      <c r="BR567" s="451" t="str">
        <f>'Rep Ovh Bal'!BS55</f>
        <v/>
      </c>
      <c r="BS567" s="451" t="str">
        <f>'Rep Ovh Bal'!BT55</f>
        <v/>
      </c>
      <c r="BT567" s="451" t="str">
        <f>'Rep Ovh Bal'!BU55</f>
        <v/>
      </c>
      <c r="BU567" s="451" t="str">
        <f>'Rep Ovh Bal'!BV55</f>
        <v/>
      </c>
      <c r="BV567" s="451" t="str">
        <f>'Rep Ovh Bal'!BW55</f>
        <v/>
      </c>
      <c r="BW567" s="1062">
        <f>'Rep Ovh Bal'!AZ55</f>
        <v>217.152</v>
      </c>
      <c r="BX567" s="1069">
        <f>'Rep Ovh Bal'!AZ55</f>
        <v>217.152</v>
      </c>
      <c r="BY567" s="1068"/>
      <c r="BZ567" s="1068"/>
      <c r="CA567" s="451" t="str">
        <f>'Rep Ovh Bal'!CB55</f>
        <v/>
      </c>
      <c r="CB567" s="451" t="str">
        <f>'Rep Ovh Bal'!CC55</f>
        <v/>
      </c>
      <c r="CC567" s="451" t="str">
        <f>'Rep Ovh Bal'!CD55</f>
        <v/>
      </c>
      <c r="CD567" s="451" t="str">
        <f>'Rep Ovh Bal'!CE55</f>
        <v/>
      </c>
      <c r="CE567" s="451" t="str">
        <f>'Rep Ovh Bal'!CF55</f>
        <v/>
      </c>
      <c r="CF567" s="451" t="str">
        <f>'Rep Ovh Bal'!CG55</f>
        <v/>
      </c>
      <c r="CG567" s="451" t="str">
        <f>'Rep Ovh Bal'!CH55</f>
        <v/>
      </c>
      <c r="CH567" s="451" t="str">
        <f>'Rep Ovh Bal'!CI55</f>
        <v/>
      </c>
      <c r="CI567" s="1062">
        <f>'Rep Ovh Bal'!BA55</f>
        <v>723.84</v>
      </c>
      <c r="CJ567" s="1062">
        <f>'Rep Ovh Bal'!BA55</f>
        <v>723.84</v>
      </c>
      <c r="CK567" s="1062">
        <f>'Rep Ovh Bal'!BB55</f>
        <v>2316.288</v>
      </c>
      <c r="CL567" s="1064" t="str">
        <f>'Rep Ovh Bal'!BC55</f>
        <v/>
      </c>
      <c r="CM567" s="451" t="str">
        <f>'Rep Ovh Bal'!CN55</f>
        <v/>
      </c>
      <c r="CN567" s="1065" t="str">
        <f>'Rep Ovh Bal'!BE51</f>
        <v/>
      </c>
      <c r="CO567" s="1062" t="str">
        <f>'Rep Ovh Bal'!BF51</f>
        <v/>
      </c>
      <c r="CP567" s="1060" t="str">
        <f>'Rep Ovh Bal'!BG51</f>
        <v/>
      </c>
    </row>
    <row r="568">
      <c r="A568" s="451" t="str">
        <f>'Rep Ovh Bal'!A56</f>
        <v>Repuestos mantenimientos mayores para estaciones y torres</v>
      </c>
      <c r="B568" s="451">
        <f>'Rep Ovh Bal'!B56</f>
        <v>2</v>
      </c>
      <c r="C568" s="451" t="str">
        <f>'Rep Ovh Bal'!C56</f>
        <v>Torres</v>
      </c>
      <c r="D568" s="451" t="str">
        <f>'Rep Ovh Bal'!D56</f>
        <v>OVH balancines TRM</v>
      </c>
      <c r="E568" s="451" t="str">
        <f>'Rep Ovh Bal'!E56</f>
        <v>Repuesto Mecánico</v>
      </c>
      <c r="F568" s="451" t="str">
        <f>'Rep Ovh Bal'!F56</f>
        <v>TDB</v>
      </c>
      <c r="G568" s="1025" t="str">
        <f>'Rep Ovh Bal'!G56</f>
        <v>39800</v>
      </c>
      <c r="H568" s="1061" t="str">
        <f>'Rep Ovh Bal'!H56</f>
        <v>2-01-00263</v>
      </c>
      <c r="I568" s="1061" t="str">
        <f>'Rep Ovh Bal'!I56</f>
        <v>10538144</v>
      </c>
      <c r="J568" s="1061" t="str">
        <f>'Rep Ovh Bal'!J56</f>
        <v>ARAND.DIST. DIÁ.120/86 E=1,5 ARANDELA DISTANCIADOR</v>
      </c>
      <c r="K568" s="451" t="str">
        <f>'Rep Ovh Bal'!K56</f>
        <v>Pza</v>
      </c>
      <c r="L568" s="451">
        <f>'Rep Ovh Bal'!L56</f>
        <v>0</v>
      </c>
      <c r="M568" s="451">
        <f>'Rep Ovh Bal'!M56</f>
        <v>0</v>
      </c>
      <c r="N568" s="451">
        <f>'Rep Ovh Bal'!N56</f>
        <v>0</v>
      </c>
      <c r="O568" s="451">
        <f>'Rep Ovh Bal'!O56</f>
        <v>0</v>
      </c>
      <c r="P568" s="451">
        <f>'Rep Ovh Bal'!P56</f>
        <v>0</v>
      </c>
      <c r="Q568" s="451">
        <f>'Rep Ovh Bal'!Q56</f>
        <v>0</v>
      </c>
      <c r="R568" s="451">
        <f>'Rep Ovh Bal'!R56</f>
        <v>0</v>
      </c>
      <c r="S568" s="451">
        <f>'Rep Ovh Bal'!S56</f>
        <v>0</v>
      </c>
      <c r="T568" s="451">
        <f>'Rep Ovh Bal'!T56</f>
        <v>0</v>
      </c>
      <c r="U568" s="451">
        <f>'Rep Ovh Bal'!U56</f>
        <v>0</v>
      </c>
      <c r="V568" s="451">
        <f>'Rep Ovh Bal'!V56</f>
        <v>150</v>
      </c>
      <c r="W568" s="1062">
        <f>'Rep Ovh Bal'!W56</f>
        <v>150</v>
      </c>
      <c r="X568" s="451">
        <f>'Rep Ovh Bal'!X56</f>
        <v>0</v>
      </c>
      <c r="Y568" s="451">
        <f>'Rep Ovh Bal'!Y56</f>
        <v>0</v>
      </c>
      <c r="Z568" s="451">
        <f>'Rep Ovh Bal'!Z56</f>
        <v>0</v>
      </c>
      <c r="AA568" s="451">
        <f>'Rep Ovh Bal'!AA56</f>
        <v>0</v>
      </c>
      <c r="AB568" s="451">
        <f>'Rep Ovh Bal'!AB56</f>
        <v>0</v>
      </c>
      <c r="AC568" s="451">
        <f>'Rep Ovh Bal'!AC56</f>
        <v>0</v>
      </c>
      <c r="AD568" s="451">
        <f>'Rep Ovh Bal'!AD56</f>
        <v>0</v>
      </c>
      <c r="AE568" s="451">
        <f>'Rep Ovh Bal'!AE56</f>
        <v>0</v>
      </c>
      <c r="AF568" s="451">
        <f>'Rep Ovh Bal'!AF56</f>
        <v>0</v>
      </c>
      <c r="AG568" s="451">
        <f>'Rep Ovh Bal'!AG56</f>
        <v>0</v>
      </c>
      <c r="AH568" s="451">
        <f>'Rep Ovh Bal'!AH56</f>
        <v>0</v>
      </c>
      <c r="AI568" s="1062">
        <f>'Rep Ovh Bal'!AI56</f>
        <v>0</v>
      </c>
      <c r="AJ568" s="1064">
        <f>'Rep Ovh Bal'!AJ56</f>
        <v>0</v>
      </c>
      <c r="AK568" s="1064">
        <f>'Rep Ovh Bal'!AK56</f>
        <v>0</v>
      </c>
      <c r="AL568" s="1064">
        <f>'Rep Ovh Bal'!AL56</f>
        <v>0</v>
      </c>
      <c r="AM568" s="1064">
        <f>'Rep Ovh Bal'!AM56</f>
        <v>0</v>
      </c>
      <c r="AN568" s="1064">
        <f>'Rep Ovh Bal'!AN56</f>
        <v>0</v>
      </c>
      <c r="AO568" s="1064">
        <f>'Rep Ovh Bal'!AO56</f>
        <v>0</v>
      </c>
      <c r="AP568" s="1064">
        <f>'Rep Ovh Bal'!AP56</f>
        <v>0</v>
      </c>
      <c r="AQ568" s="1064">
        <f>'Rep Ovh Bal'!AQ56</f>
        <v>0</v>
      </c>
      <c r="AR568" s="1064">
        <f>'Rep Ovh Bal'!AR56</f>
        <v>0</v>
      </c>
      <c r="AS568" s="1064">
        <f>'Rep Ovh Bal'!AS56</f>
        <v>0</v>
      </c>
      <c r="AT568" s="451">
        <f>'Rep Ovh Bal'!AT56</f>
        <v>0</v>
      </c>
      <c r="AU568" s="1062">
        <f>'Rep Ovh Bal'!AU56</f>
        <v>0</v>
      </c>
      <c r="AV568" s="1063">
        <f>'Rep Ovh Bal'!AV56</f>
        <v>150</v>
      </c>
      <c r="AW568" s="1068"/>
      <c r="AX568" s="1065">
        <f>'Rep Ovh Bal'!AW56</f>
        <v>3.19</v>
      </c>
      <c r="AY568" s="1062">
        <f>'Rep Ovh Bal'!AX56</f>
        <v>22.2024</v>
      </c>
      <c r="AZ568" s="1068"/>
      <c r="BA568" s="1068"/>
      <c r="BB568" s="1068"/>
      <c r="BC568" s="1068"/>
      <c r="BD568" s="1068"/>
      <c r="BE568" s="1068"/>
      <c r="BF568" s="1065" t="str">
        <f>'Rep Ovh Bal'!BE56</f>
        <v/>
      </c>
      <c r="BG568" s="451" t="str">
        <f>'Rep Ovh Bal'!BH56</f>
        <v/>
      </c>
      <c r="BH568" s="451" t="str">
        <f>'Rep Ovh Bal'!BI56</f>
        <v/>
      </c>
      <c r="BI568" s="451" t="str">
        <f>'Rep Ovh Bal'!BJ56</f>
        <v/>
      </c>
      <c r="BJ568" s="451" t="str">
        <f>'Rep Ovh Bal'!BK56</f>
        <v/>
      </c>
      <c r="BK568" s="1062">
        <f>'Rep Ovh Bal'!AY56</f>
        <v>3330.36</v>
      </c>
      <c r="BL568" s="1069">
        <f>'Rep Ovh Bal'!AY56</f>
        <v>3330.36</v>
      </c>
      <c r="BM568" s="1068"/>
      <c r="BN568" s="1068"/>
      <c r="BO568" s="1068"/>
      <c r="BP568" s="451" t="str">
        <f>'Rep Ovh Bal'!BQ56</f>
        <v/>
      </c>
      <c r="BQ568" s="451" t="str">
        <f>'Rep Ovh Bal'!BR56</f>
        <v/>
      </c>
      <c r="BR568" s="451" t="str">
        <f>'Rep Ovh Bal'!BS56</f>
        <v/>
      </c>
      <c r="BS568" s="451" t="str">
        <f>'Rep Ovh Bal'!BT56</f>
        <v/>
      </c>
      <c r="BT568" s="451" t="str">
        <f>'Rep Ovh Bal'!BU56</f>
        <v/>
      </c>
      <c r="BU568" s="451" t="str">
        <f>'Rep Ovh Bal'!BV56</f>
        <v/>
      </c>
      <c r="BV568" s="451" t="str">
        <f>'Rep Ovh Bal'!BW56</f>
        <v/>
      </c>
      <c r="BW568" s="1062">
        <f>'Rep Ovh Bal'!AZ56</f>
        <v>0</v>
      </c>
      <c r="BX568" s="1069">
        <f>'Rep Ovh Bal'!AZ56</f>
        <v>0</v>
      </c>
      <c r="BY568" s="1068"/>
      <c r="BZ568" s="1068"/>
      <c r="CA568" s="451" t="str">
        <f>'Rep Ovh Bal'!CB56</f>
        <v/>
      </c>
      <c r="CB568" s="451" t="str">
        <f>'Rep Ovh Bal'!CC56</f>
        <v/>
      </c>
      <c r="CC568" s="451" t="str">
        <f>'Rep Ovh Bal'!CD56</f>
        <v/>
      </c>
      <c r="CD568" s="451" t="str">
        <f>'Rep Ovh Bal'!CE56</f>
        <v/>
      </c>
      <c r="CE568" s="451" t="str">
        <f>'Rep Ovh Bal'!CF56</f>
        <v/>
      </c>
      <c r="CF568" s="451" t="str">
        <f>'Rep Ovh Bal'!CG56</f>
        <v/>
      </c>
      <c r="CG568" s="451" t="str">
        <f>'Rep Ovh Bal'!CH56</f>
        <v/>
      </c>
      <c r="CH568" s="451" t="str">
        <f>'Rep Ovh Bal'!CI56</f>
        <v/>
      </c>
      <c r="CI568" s="1062">
        <f>'Rep Ovh Bal'!BA56</f>
        <v>0</v>
      </c>
      <c r="CJ568" s="1062">
        <f>'Rep Ovh Bal'!BA56</f>
        <v>0</v>
      </c>
      <c r="CK568" s="1062">
        <f>'Rep Ovh Bal'!BB56</f>
        <v>3330.36</v>
      </c>
      <c r="CL568" s="1064" t="str">
        <f>'Rep Ovh Bal'!BC56</f>
        <v/>
      </c>
      <c r="CM568" s="451" t="str">
        <f>'Rep Ovh Bal'!CN56</f>
        <v/>
      </c>
      <c r="CN568" s="1065" t="str">
        <f>'Rep Ovh Bal'!BE52</f>
        <v/>
      </c>
      <c r="CO568" s="1062" t="str">
        <f>'Rep Ovh Bal'!BF52</f>
        <v/>
      </c>
      <c r="CP568" s="1060" t="str">
        <f>'Rep Ovh Bal'!BG52</f>
        <v/>
      </c>
    </row>
    <row r="569">
      <c r="A569" s="451" t="str">
        <f>'Rep Ovh Bal'!A57</f>
        <v>Repuestos mantenimientos mayores para estaciones y torres</v>
      </c>
      <c r="B569" s="451">
        <f>'Rep Ovh Bal'!B57</f>
        <v>2</v>
      </c>
      <c r="C569" s="451" t="str">
        <f>'Rep Ovh Bal'!C57</f>
        <v>Torres</v>
      </c>
      <c r="D569" s="451" t="str">
        <f>'Rep Ovh Bal'!D57</f>
        <v>OVH balancines TRM</v>
      </c>
      <c r="E569" s="451" t="str">
        <f>'Rep Ovh Bal'!E57</f>
        <v>Repuesto Mecánico</v>
      </c>
      <c r="F569" s="451" t="str">
        <f>'Rep Ovh Bal'!F57</f>
        <v>TDB</v>
      </c>
      <c r="G569" s="1025" t="str">
        <f>'Rep Ovh Bal'!G57</f>
        <v>39800</v>
      </c>
      <c r="H569" s="1061" t="str">
        <f>'Rep Ovh Bal'!H57</f>
        <v>2-01-00013</v>
      </c>
      <c r="I569" s="1061" t="str">
        <f>'Rep Ovh Bal'!I57</f>
        <v>10539289</v>
      </c>
      <c r="J569" s="1061" t="str">
        <f>'Rep Ovh Bal'!J57</f>
        <v>GUARN. GOMA C 258X69/R30/CONCAV.P.POL.SENSOR (RPD EN CP SUJ.)</v>
      </c>
      <c r="K569" s="451" t="str">
        <f>'Rep Ovh Bal'!K57</f>
        <v>Pza</v>
      </c>
      <c r="L569" s="451">
        <f>'Rep Ovh Bal'!L57</f>
        <v>0</v>
      </c>
      <c r="M569" s="451">
        <f>'Rep Ovh Bal'!M57</f>
        <v>0</v>
      </c>
      <c r="N569" s="451">
        <f>'Rep Ovh Bal'!N57</f>
        <v>0</v>
      </c>
      <c r="O569" s="451">
        <f>'Rep Ovh Bal'!O57</f>
        <v>0</v>
      </c>
      <c r="P569" s="451">
        <f>'Rep Ovh Bal'!P57</f>
        <v>0</v>
      </c>
      <c r="Q569" s="451">
        <f>'Rep Ovh Bal'!Q57</f>
        <v>0</v>
      </c>
      <c r="R569" s="451">
        <f>'Rep Ovh Bal'!R57</f>
        <v>0</v>
      </c>
      <c r="S569" s="451">
        <f>'Rep Ovh Bal'!S57</f>
        <v>0</v>
      </c>
      <c r="T569" s="451">
        <f>'Rep Ovh Bal'!T57</f>
        <v>0</v>
      </c>
      <c r="U569" s="451">
        <f>'Rep Ovh Bal'!U57</f>
        <v>0</v>
      </c>
      <c r="V569" s="451">
        <f>'Rep Ovh Bal'!V57</f>
        <v>152</v>
      </c>
      <c r="W569" s="1062">
        <f>'Rep Ovh Bal'!W57</f>
        <v>152</v>
      </c>
      <c r="X569" s="451">
        <f>'Rep Ovh Bal'!X57</f>
        <v>0</v>
      </c>
      <c r="Y569" s="451">
        <f>'Rep Ovh Bal'!Y57</f>
        <v>0</v>
      </c>
      <c r="Z569" s="451">
        <f>'Rep Ovh Bal'!Z57</f>
        <v>0</v>
      </c>
      <c r="AA569" s="451">
        <f>'Rep Ovh Bal'!AA57</f>
        <v>0</v>
      </c>
      <c r="AB569" s="451">
        <f>'Rep Ovh Bal'!AB57</f>
        <v>0</v>
      </c>
      <c r="AC569" s="451">
        <f>'Rep Ovh Bal'!AC57</f>
        <v>0</v>
      </c>
      <c r="AD569" s="451">
        <f>'Rep Ovh Bal'!AD57</f>
        <v>0</v>
      </c>
      <c r="AE569" s="451">
        <f>'Rep Ovh Bal'!AE57</f>
        <v>0</v>
      </c>
      <c r="AF569" s="451">
        <f>'Rep Ovh Bal'!AF57</f>
        <v>0</v>
      </c>
      <c r="AG569" s="451">
        <f>'Rep Ovh Bal'!AG57</f>
        <v>0</v>
      </c>
      <c r="AH569" s="451">
        <f>'Rep Ovh Bal'!AH57</f>
        <v>24</v>
      </c>
      <c r="AI569" s="1062">
        <f>'Rep Ovh Bal'!AI57</f>
        <v>24</v>
      </c>
      <c r="AJ569" s="451">
        <f>'Rep Ovh Bal'!AJ57</f>
        <v>0</v>
      </c>
      <c r="AK569" s="451">
        <f>'Rep Ovh Bal'!AK57</f>
        <v>0</v>
      </c>
      <c r="AL569" s="451">
        <f>'Rep Ovh Bal'!AL57</f>
        <v>0</v>
      </c>
      <c r="AM569" s="451">
        <f>'Rep Ovh Bal'!AM57</f>
        <v>0</v>
      </c>
      <c r="AN569" s="451">
        <f>'Rep Ovh Bal'!AN57</f>
        <v>0</v>
      </c>
      <c r="AO569" s="451">
        <f>'Rep Ovh Bal'!AO57</f>
        <v>0</v>
      </c>
      <c r="AP569" s="451">
        <f>'Rep Ovh Bal'!AP57</f>
        <v>0</v>
      </c>
      <c r="AQ569" s="451">
        <f>'Rep Ovh Bal'!AQ57</f>
        <v>0</v>
      </c>
      <c r="AR569" s="451">
        <f>'Rep Ovh Bal'!AR57</f>
        <v>0</v>
      </c>
      <c r="AS569" s="451">
        <f>'Rep Ovh Bal'!AS57</f>
        <v>0</v>
      </c>
      <c r="AT569" s="451">
        <f>'Rep Ovh Bal'!AT57</f>
        <v>80</v>
      </c>
      <c r="AU569" s="1062">
        <f>'Rep Ovh Bal'!AU57</f>
        <v>80</v>
      </c>
      <c r="AV569" s="1063">
        <f>'Rep Ovh Bal'!AV57</f>
        <v>256</v>
      </c>
      <c r="AW569" s="1068"/>
      <c r="AX569" s="1065">
        <f>'Rep Ovh Bal'!AW57</f>
        <v>124.41</v>
      </c>
      <c r="AY569" s="1062">
        <f>'Rep Ovh Bal'!AX57</f>
        <v>865.8936</v>
      </c>
      <c r="AZ569" s="1068"/>
      <c r="BA569" s="1068"/>
      <c r="BB569" s="1068"/>
      <c r="BC569" s="1068"/>
      <c r="BD569" s="1068"/>
      <c r="BE569" s="1068"/>
      <c r="BF569" s="1065" t="str">
        <f>'Rep Ovh Bal'!BE57</f>
        <v/>
      </c>
      <c r="BG569" s="451" t="str">
        <f>'Rep Ovh Bal'!BH57</f>
        <v/>
      </c>
      <c r="BH569" s="451" t="str">
        <f>'Rep Ovh Bal'!BI57</f>
        <v/>
      </c>
      <c r="BI569" s="451" t="str">
        <f>'Rep Ovh Bal'!BJ57</f>
        <v/>
      </c>
      <c r="BJ569" s="451" t="str">
        <f>'Rep Ovh Bal'!BK57</f>
        <v/>
      </c>
      <c r="BK569" s="1062">
        <f>'Rep Ovh Bal'!AY57</f>
        <v>131615.8272</v>
      </c>
      <c r="BL569" s="1069">
        <f>'Rep Ovh Bal'!AY57</f>
        <v>131615.8272</v>
      </c>
      <c r="BM569" s="1068"/>
      <c r="BN569" s="1068"/>
      <c r="BO569" s="1068"/>
      <c r="BP569" s="451" t="str">
        <f>'Rep Ovh Bal'!BQ57</f>
        <v/>
      </c>
      <c r="BQ569" s="451" t="str">
        <f>'Rep Ovh Bal'!BR57</f>
        <v/>
      </c>
      <c r="BR569" s="451" t="str">
        <f>'Rep Ovh Bal'!BS57</f>
        <v/>
      </c>
      <c r="BS569" s="451" t="str">
        <f>'Rep Ovh Bal'!BT57</f>
        <v/>
      </c>
      <c r="BT569" s="451" t="str">
        <f>'Rep Ovh Bal'!BU57</f>
        <v/>
      </c>
      <c r="BU569" s="451" t="str">
        <f>'Rep Ovh Bal'!BV57</f>
        <v/>
      </c>
      <c r="BV569" s="451" t="str">
        <f>'Rep Ovh Bal'!BW57</f>
        <v/>
      </c>
      <c r="BW569" s="1062">
        <f>'Rep Ovh Bal'!AZ57</f>
        <v>20781.4464</v>
      </c>
      <c r="BX569" s="1069">
        <f>'Rep Ovh Bal'!AZ57</f>
        <v>20781.4464</v>
      </c>
      <c r="BY569" s="1068"/>
      <c r="BZ569" s="1068"/>
      <c r="CA569" s="451" t="str">
        <f>'Rep Ovh Bal'!CB57</f>
        <v/>
      </c>
      <c r="CB569" s="451" t="str">
        <f>'Rep Ovh Bal'!CC57</f>
        <v/>
      </c>
      <c r="CC569" s="451" t="str">
        <f>'Rep Ovh Bal'!CD57</f>
        <v/>
      </c>
      <c r="CD569" s="451" t="str">
        <f>'Rep Ovh Bal'!CE57</f>
        <v/>
      </c>
      <c r="CE569" s="451" t="str">
        <f>'Rep Ovh Bal'!CF57</f>
        <v/>
      </c>
      <c r="CF569" s="451" t="str">
        <f>'Rep Ovh Bal'!CG57</f>
        <v/>
      </c>
      <c r="CG569" s="451" t="str">
        <f>'Rep Ovh Bal'!CH57</f>
        <v/>
      </c>
      <c r="CH569" s="451" t="str">
        <f>'Rep Ovh Bal'!CI57</f>
        <v/>
      </c>
      <c r="CI569" s="1062">
        <f>'Rep Ovh Bal'!BA57</f>
        <v>69271.488</v>
      </c>
      <c r="CJ569" s="1062">
        <f>'Rep Ovh Bal'!BA57</f>
        <v>69271.488</v>
      </c>
      <c r="CK569" s="1062">
        <f>'Rep Ovh Bal'!BB57</f>
        <v>221668.7616</v>
      </c>
      <c r="CL569" s="1064" t="str">
        <f>'Rep Ovh Bal'!BC57</f>
        <v/>
      </c>
      <c r="CM569" s="451" t="str">
        <f>'Rep Ovh Bal'!CN57</f>
        <v/>
      </c>
      <c r="CN569" s="1065" t="str">
        <f>'Rep Ovh Bal'!BE53</f>
        <v/>
      </c>
      <c r="CO569" s="1062" t="str">
        <f>'Rep Ovh Bal'!BF53</f>
        <v/>
      </c>
      <c r="CP569" s="1060" t="str">
        <f>'Rep Ovh Bal'!BG53</f>
        <v/>
      </c>
    </row>
    <row r="570">
      <c r="A570" s="451" t="str">
        <f>'Rep Ovh Bal'!A58</f>
        <v>Repuestos mantenimientos mayores para estaciones y torres</v>
      </c>
      <c r="B570" s="451">
        <f>'Rep Ovh Bal'!B58</f>
        <v>2</v>
      </c>
      <c r="C570" s="451" t="str">
        <f>'Rep Ovh Bal'!C58</f>
        <v>Torres</v>
      </c>
      <c r="D570" s="451" t="str">
        <f>'Rep Ovh Bal'!D58</f>
        <v>OVH balancines TRM</v>
      </c>
      <c r="E570" s="451" t="str">
        <f>'Rep Ovh Bal'!E58</f>
        <v>Repuesto Mecánico</v>
      </c>
      <c r="F570" s="451" t="str">
        <f>'Rep Ovh Bal'!F58</f>
        <v>TDB</v>
      </c>
      <c r="G570" s="1025" t="str">
        <f>'Rep Ovh Bal'!G58</f>
        <v>39800</v>
      </c>
      <c r="H570" s="1061" t="str">
        <f>'Rep Ovh Bal'!H58</f>
        <v>2-01-00506</v>
      </c>
      <c r="I570" s="1061" t="str">
        <f>'Rep Ovh Bal'!I58</f>
        <v>10566988</v>
      </c>
      <c r="J570" s="1061" t="str">
        <f>'Rep Ovh Bal'!J58</f>
        <v>ARAND.DIST. DIA.110/75,5 E=1,5 ARANDELA DISTANCIADORA</v>
      </c>
      <c r="K570" s="451" t="str">
        <f>'Rep Ovh Bal'!K58</f>
        <v>Pza</v>
      </c>
      <c r="L570" s="451">
        <f>'Rep Ovh Bal'!L58</f>
        <v>0</v>
      </c>
      <c r="M570" s="451">
        <f>'Rep Ovh Bal'!M58</f>
        <v>0</v>
      </c>
      <c r="N570" s="451">
        <f>'Rep Ovh Bal'!N58</f>
        <v>0</v>
      </c>
      <c r="O570" s="451">
        <f>'Rep Ovh Bal'!O58</f>
        <v>0</v>
      </c>
      <c r="P570" s="451">
        <f>'Rep Ovh Bal'!P58</f>
        <v>0</v>
      </c>
      <c r="Q570" s="451">
        <f>'Rep Ovh Bal'!Q58</f>
        <v>0</v>
      </c>
      <c r="R570" s="451">
        <f>'Rep Ovh Bal'!R58</f>
        <v>0</v>
      </c>
      <c r="S570" s="451">
        <f>'Rep Ovh Bal'!S58</f>
        <v>0</v>
      </c>
      <c r="T570" s="451">
        <f>'Rep Ovh Bal'!T58</f>
        <v>0</v>
      </c>
      <c r="U570" s="451">
        <f>'Rep Ovh Bal'!U58</f>
        <v>0</v>
      </c>
      <c r="V570" s="451">
        <f>'Rep Ovh Bal'!V58</f>
        <v>80</v>
      </c>
      <c r="W570" s="1062">
        <f>'Rep Ovh Bal'!W58</f>
        <v>80</v>
      </c>
      <c r="X570" s="451">
        <f>'Rep Ovh Bal'!X58</f>
        <v>0</v>
      </c>
      <c r="Y570" s="451">
        <f>'Rep Ovh Bal'!Y58</f>
        <v>0</v>
      </c>
      <c r="Z570" s="451">
        <f>'Rep Ovh Bal'!Z58</f>
        <v>0</v>
      </c>
      <c r="AA570" s="451">
        <f>'Rep Ovh Bal'!AA58</f>
        <v>0</v>
      </c>
      <c r="AB570" s="451">
        <f>'Rep Ovh Bal'!AB58</f>
        <v>0</v>
      </c>
      <c r="AC570" s="451">
        <f>'Rep Ovh Bal'!AC58</f>
        <v>0</v>
      </c>
      <c r="AD570" s="451">
        <f>'Rep Ovh Bal'!AD58</f>
        <v>0</v>
      </c>
      <c r="AE570" s="451">
        <f>'Rep Ovh Bal'!AE58</f>
        <v>0</v>
      </c>
      <c r="AF570" s="451">
        <f>'Rep Ovh Bal'!AF58</f>
        <v>0</v>
      </c>
      <c r="AG570" s="451">
        <f>'Rep Ovh Bal'!AG58</f>
        <v>0</v>
      </c>
      <c r="AH570" s="451">
        <f>'Rep Ovh Bal'!AH58</f>
        <v>0</v>
      </c>
      <c r="AI570" s="1062">
        <f>'Rep Ovh Bal'!AI58</f>
        <v>0</v>
      </c>
      <c r="AJ570" s="451">
        <f>'Rep Ovh Bal'!AJ58</f>
        <v>0</v>
      </c>
      <c r="AK570" s="451">
        <f>'Rep Ovh Bal'!AK58</f>
        <v>0</v>
      </c>
      <c r="AL570" s="451">
        <f>'Rep Ovh Bal'!AL58</f>
        <v>0</v>
      </c>
      <c r="AM570" s="451">
        <f>'Rep Ovh Bal'!AM58</f>
        <v>0</v>
      </c>
      <c r="AN570" s="451">
        <f>'Rep Ovh Bal'!AN58</f>
        <v>0</v>
      </c>
      <c r="AO570" s="451">
        <f>'Rep Ovh Bal'!AO58</f>
        <v>0</v>
      </c>
      <c r="AP570" s="451">
        <f>'Rep Ovh Bal'!AP58</f>
        <v>0</v>
      </c>
      <c r="AQ570" s="451">
        <f>'Rep Ovh Bal'!AQ58</f>
        <v>0</v>
      </c>
      <c r="AR570" s="451">
        <f>'Rep Ovh Bal'!AR58</f>
        <v>0</v>
      </c>
      <c r="AS570" s="451">
        <f>'Rep Ovh Bal'!AS58</f>
        <v>0</v>
      </c>
      <c r="AT570" s="451">
        <f>'Rep Ovh Bal'!AT58</f>
        <v>0</v>
      </c>
      <c r="AU570" s="1062">
        <f>'Rep Ovh Bal'!AU58</f>
        <v>0</v>
      </c>
      <c r="AV570" s="1063">
        <f>'Rep Ovh Bal'!AV58</f>
        <v>80</v>
      </c>
      <c r="AW570" s="1068"/>
      <c r="AX570" s="1065">
        <f>'Rep Ovh Bal'!AW58</f>
        <v>2.96</v>
      </c>
      <c r="AY570" s="1062">
        <f>'Rep Ovh Bal'!AX58</f>
        <v>20.6016</v>
      </c>
      <c r="AZ570" s="1068"/>
      <c r="BA570" s="1068"/>
      <c r="BB570" s="1068"/>
      <c r="BC570" s="1068"/>
      <c r="BD570" s="1068"/>
      <c r="BE570" s="1068"/>
      <c r="BF570" s="1065" t="str">
        <f>'Rep Ovh Bal'!BE58</f>
        <v/>
      </c>
      <c r="BG570" s="451" t="str">
        <f>'Rep Ovh Bal'!BH58</f>
        <v/>
      </c>
      <c r="BH570" s="451" t="str">
        <f>'Rep Ovh Bal'!BI58</f>
        <v/>
      </c>
      <c r="BI570" s="451" t="str">
        <f>'Rep Ovh Bal'!BJ58</f>
        <v/>
      </c>
      <c r="BJ570" s="451" t="str">
        <f>'Rep Ovh Bal'!BK58</f>
        <v/>
      </c>
      <c r="BK570" s="1062">
        <f>'Rep Ovh Bal'!AY58</f>
        <v>1648.128</v>
      </c>
      <c r="BL570" s="1069">
        <f>'Rep Ovh Bal'!AY58</f>
        <v>1648.128</v>
      </c>
      <c r="BM570" s="1068"/>
      <c r="BN570" s="1068"/>
      <c r="BO570" s="1068"/>
      <c r="BP570" s="451" t="str">
        <f>'Rep Ovh Bal'!BQ58</f>
        <v/>
      </c>
      <c r="BQ570" s="451" t="str">
        <f>'Rep Ovh Bal'!BR58</f>
        <v/>
      </c>
      <c r="BR570" s="451" t="str">
        <f>'Rep Ovh Bal'!BS58</f>
        <v/>
      </c>
      <c r="BS570" s="451" t="str">
        <f>'Rep Ovh Bal'!BT58</f>
        <v/>
      </c>
      <c r="BT570" s="451" t="str">
        <f>'Rep Ovh Bal'!BU58</f>
        <v/>
      </c>
      <c r="BU570" s="451" t="str">
        <f>'Rep Ovh Bal'!BV58</f>
        <v/>
      </c>
      <c r="BV570" s="451" t="str">
        <f>'Rep Ovh Bal'!BW58</f>
        <v/>
      </c>
      <c r="BW570" s="1062">
        <f>'Rep Ovh Bal'!AZ58</f>
        <v>0</v>
      </c>
      <c r="BX570" s="1069">
        <f>'Rep Ovh Bal'!AZ58</f>
        <v>0</v>
      </c>
      <c r="BY570" s="1068"/>
      <c r="BZ570" s="1068"/>
      <c r="CA570" s="451" t="str">
        <f>'Rep Ovh Bal'!CB58</f>
        <v/>
      </c>
      <c r="CB570" s="451" t="str">
        <f>'Rep Ovh Bal'!CC58</f>
        <v/>
      </c>
      <c r="CC570" s="451" t="str">
        <f>'Rep Ovh Bal'!CD58</f>
        <v/>
      </c>
      <c r="CD570" s="451" t="str">
        <f>'Rep Ovh Bal'!CE58</f>
        <v/>
      </c>
      <c r="CE570" s="451" t="str">
        <f>'Rep Ovh Bal'!CF58</f>
        <v/>
      </c>
      <c r="CF570" s="451" t="str">
        <f>'Rep Ovh Bal'!CG58</f>
        <v/>
      </c>
      <c r="CG570" s="451" t="str">
        <f>'Rep Ovh Bal'!CH58</f>
        <v/>
      </c>
      <c r="CH570" s="451" t="str">
        <f>'Rep Ovh Bal'!CI58</f>
        <v/>
      </c>
      <c r="CI570" s="1062">
        <f>'Rep Ovh Bal'!BA58</f>
        <v>0</v>
      </c>
      <c r="CJ570" s="1062">
        <f>'Rep Ovh Bal'!BA58</f>
        <v>0</v>
      </c>
      <c r="CK570" s="1062">
        <f>'Rep Ovh Bal'!BB58</f>
        <v>1648.128</v>
      </c>
      <c r="CL570" s="1064" t="str">
        <f>'Rep Ovh Bal'!BC58</f>
        <v/>
      </c>
      <c r="CM570" s="451" t="str">
        <f>'Rep Ovh Bal'!CN58</f>
        <v/>
      </c>
      <c r="CN570" s="1065" t="str">
        <f>'Rep Ovh Bal'!BE54</f>
        <v/>
      </c>
      <c r="CO570" s="1062" t="str">
        <f>'Rep Ovh Bal'!BF54</f>
        <v/>
      </c>
      <c r="CP570" s="1060" t="str">
        <f>'Rep Ovh Bal'!BG54</f>
        <v/>
      </c>
    </row>
    <row r="571">
      <c r="A571" s="451" t="str">
        <f>'Rep Ovh Bal'!A59</f>
        <v>Repuestos mantenimientos mayores para estaciones y torres</v>
      </c>
      <c r="B571" s="451">
        <f>'Rep Ovh Bal'!B59</f>
        <v>2</v>
      </c>
      <c r="C571" s="451" t="str">
        <f>'Rep Ovh Bal'!C59</f>
        <v>Torres</v>
      </c>
      <c r="D571" s="451" t="str">
        <f>'Rep Ovh Bal'!D59</f>
        <v>OVH balancines TRM</v>
      </c>
      <c r="E571" s="451" t="str">
        <f>'Rep Ovh Bal'!E59</f>
        <v>Repuesto Mecánico</v>
      </c>
      <c r="F571" s="451" t="str">
        <f>'Rep Ovh Bal'!F59</f>
        <v>TDB</v>
      </c>
      <c r="G571" s="1025" t="str">
        <f>'Rep Ovh Bal'!G59</f>
        <v>39800</v>
      </c>
      <c r="H571" s="1061" t="str">
        <f>'Rep Ovh Bal'!H59</f>
        <v>2-01-00543</v>
      </c>
      <c r="I571" s="1061" t="str">
        <f>'Rep Ovh Bal'!I59</f>
        <v>10688217</v>
      </c>
      <c r="J571" s="1061" t="str">
        <f>'Rep Ovh Bal'!J59</f>
        <v>ARAND.DIST. DIA.80/56,0 E= 1,0 ARANDELA DISTANCIADORA</v>
      </c>
      <c r="K571" s="451" t="str">
        <f>'Rep Ovh Bal'!K59</f>
        <v>Pza</v>
      </c>
      <c r="L571" s="451">
        <f>'Rep Ovh Bal'!L59</f>
        <v>0</v>
      </c>
      <c r="M571" s="451">
        <f>'Rep Ovh Bal'!M59</f>
        <v>0</v>
      </c>
      <c r="N571" s="451">
        <f>'Rep Ovh Bal'!N59</f>
        <v>0</v>
      </c>
      <c r="O571" s="451">
        <f>'Rep Ovh Bal'!O59</f>
        <v>0</v>
      </c>
      <c r="P571" s="451">
        <f>'Rep Ovh Bal'!P59</f>
        <v>0</v>
      </c>
      <c r="Q571" s="451">
        <f>'Rep Ovh Bal'!Q59</f>
        <v>0</v>
      </c>
      <c r="R571" s="451">
        <f>'Rep Ovh Bal'!R59</f>
        <v>0</v>
      </c>
      <c r="S571" s="451">
        <f>'Rep Ovh Bal'!S59</f>
        <v>0</v>
      </c>
      <c r="T571" s="451">
        <f>'Rep Ovh Bal'!T59</f>
        <v>0</v>
      </c>
      <c r="U571" s="451">
        <f>'Rep Ovh Bal'!U59</f>
        <v>0</v>
      </c>
      <c r="V571" s="451">
        <f>'Rep Ovh Bal'!V59</f>
        <v>80</v>
      </c>
      <c r="W571" s="1062">
        <f>'Rep Ovh Bal'!W59</f>
        <v>80</v>
      </c>
      <c r="X571" s="451">
        <f>'Rep Ovh Bal'!X59</f>
        <v>0</v>
      </c>
      <c r="Y571" s="451">
        <f>'Rep Ovh Bal'!Y59</f>
        <v>0</v>
      </c>
      <c r="Z571" s="451">
        <f>'Rep Ovh Bal'!Z59</f>
        <v>0</v>
      </c>
      <c r="AA571" s="451">
        <f>'Rep Ovh Bal'!AA59</f>
        <v>0</v>
      </c>
      <c r="AB571" s="451">
        <f>'Rep Ovh Bal'!AB59</f>
        <v>0</v>
      </c>
      <c r="AC571" s="451">
        <f>'Rep Ovh Bal'!AC59</f>
        <v>0</v>
      </c>
      <c r="AD571" s="451">
        <f>'Rep Ovh Bal'!AD59</f>
        <v>0</v>
      </c>
      <c r="AE571" s="451">
        <f>'Rep Ovh Bal'!AE59</f>
        <v>0</v>
      </c>
      <c r="AF571" s="451">
        <f>'Rep Ovh Bal'!AF59</f>
        <v>0</v>
      </c>
      <c r="AG571" s="451">
        <f>'Rep Ovh Bal'!AG59</f>
        <v>0</v>
      </c>
      <c r="AH571" s="451">
        <f>'Rep Ovh Bal'!AH59</f>
        <v>0</v>
      </c>
      <c r="AI571" s="1062">
        <f>'Rep Ovh Bal'!AI59</f>
        <v>0</v>
      </c>
      <c r="AJ571" s="451">
        <f>'Rep Ovh Bal'!AJ59</f>
        <v>0</v>
      </c>
      <c r="AK571" s="451">
        <f>'Rep Ovh Bal'!AK59</f>
        <v>0</v>
      </c>
      <c r="AL571" s="451">
        <f>'Rep Ovh Bal'!AL59</f>
        <v>0</v>
      </c>
      <c r="AM571" s="451">
        <f>'Rep Ovh Bal'!AM59</f>
        <v>0</v>
      </c>
      <c r="AN571" s="451">
        <f>'Rep Ovh Bal'!AN59</f>
        <v>0</v>
      </c>
      <c r="AO571" s="451">
        <f>'Rep Ovh Bal'!AO59</f>
        <v>0</v>
      </c>
      <c r="AP571" s="451">
        <f>'Rep Ovh Bal'!AP59</f>
        <v>0</v>
      </c>
      <c r="AQ571" s="451">
        <f>'Rep Ovh Bal'!AQ59</f>
        <v>0</v>
      </c>
      <c r="AR571" s="451">
        <f>'Rep Ovh Bal'!AR59</f>
        <v>0</v>
      </c>
      <c r="AS571" s="451">
        <f>'Rep Ovh Bal'!AS59</f>
        <v>0</v>
      </c>
      <c r="AT571" s="451">
        <f>'Rep Ovh Bal'!AT59</f>
        <v>0</v>
      </c>
      <c r="AU571" s="1062">
        <f>'Rep Ovh Bal'!AU59</f>
        <v>0</v>
      </c>
      <c r="AV571" s="1063">
        <f>'Rep Ovh Bal'!AV59</f>
        <v>80</v>
      </c>
      <c r="AW571" s="1068"/>
      <c r="AX571" s="1065">
        <f>'Rep Ovh Bal'!AW59</f>
        <v>2.58</v>
      </c>
      <c r="AY571" s="1062">
        <f>'Rep Ovh Bal'!AX59</f>
        <v>17.9568</v>
      </c>
      <c r="AZ571" s="1068"/>
      <c r="BA571" s="1068"/>
      <c r="BB571" s="1068"/>
      <c r="BC571" s="1068"/>
      <c r="BD571" s="1068"/>
      <c r="BE571" s="1068"/>
      <c r="BF571" s="1065" t="str">
        <f>'Rep Ovh Bal'!BE59</f>
        <v/>
      </c>
      <c r="BG571" s="451" t="str">
        <f>'Rep Ovh Bal'!BH59</f>
        <v/>
      </c>
      <c r="BH571" s="451" t="str">
        <f>'Rep Ovh Bal'!BI59</f>
        <v/>
      </c>
      <c r="BI571" s="451" t="str">
        <f>'Rep Ovh Bal'!BJ59</f>
        <v/>
      </c>
      <c r="BJ571" s="451" t="str">
        <f>'Rep Ovh Bal'!BK59</f>
        <v/>
      </c>
      <c r="BK571" s="1062">
        <f>'Rep Ovh Bal'!AY59</f>
        <v>1436.544</v>
      </c>
      <c r="BL571" s="1069">
        <f>'Rep Ovh Bal'!AY59</f>
        <v>1436.544</v>
      </c>
      <c r="BM571" s="1068"/>
      <c r="BN571" s="1068"/>
      <c r="BO571" s="1068"/>
      <c r="BP571" s="451" t="str">
        <f>'Rep Ovh Bal'!BQ59</f>
        <v/>
      </c>
      <c r="BQ571" s="451" t="str">
        <f>'Rep Ovh Bal'!BR59</f>
        <v/>
      </c>
      <c r="BR571" s="451" t="str">
        <f>'Rep Ovh Bal'!BS59</f>
        <v/>
      </c>
      <c r="BS571" s="451" t="str">
        <f>'Rep Ovh Bal'!BT59</f>
        <v/>
      </c>
      <c r="BT571" s="451" t="str">
        <f>'Rep Ovh Bal'!BU59</f>
        <v/>
      </c>
      <c r="BU571" s="451" t="str">
        <f>'Rep Ovh Bal'!BV59</f>
        <v/>
      </c>
      <c r="BV571" s="451" t="str">
        <f>'Rep Ovh Bal'!BW59</f>
        <v/>
      </c>
      <c r="BW571" s="1062">
        <f>'Rep Ovh Bal'!AZ59</f>
        <v>0</v>
      </c>
      <c r="BX571" s="1069">
        <f>'Rep Ovh Bal'!AZ59</f>
        <v>0</v>
      </c>
      <c r="BY571" s="1068"/>
      <c r="BZ571" s="1068"/>
      <c r="CA571" s="451" t="str">
        <f>'Rep Ovh Bal'!CB59</f>
        <v/>
      </c>
      <c r="CB571" s="451" t="str">
        <f>'Rep Ovh Bal'!CC59</f>
        <v/>
      </c>
      <c r="CC571" s="451" t="str">
        <f>'Rep Ovh Bal'!CD59</f>
        <v/>
      </c>
      <c r="CD571" s="451" t="str">
        <f>'Rep Ovh Bal'!CE59</f>
        <v/>
      </c>
      <c r="CE571" s="451" t="str">
        <f>'Rep Ovh Bal'!CF59</f>
        <v/>
      </c>
      <c r="CF571" s="451" t="str">
        <f>'Rep Ovh Bal'!CG59</f>
        <v/>
      </c>
      <c r="CG571" s="451" t="str">
        <f>'Rep Ovh Bal'!CH59</f>
        <v/>
      </c>
      <c r="CH571" s="451" t="str">
        <f>'Rep Ovh Bal'!CI59</f>
        <v/>
      </c>
      <c r="CI571" s="1062">
        <f>'Rep Ovh Bal'!BA59</f>
        <v>0</v>
      </c>
      <c r="CJ571" s="1062">
        <f>'Rep Ovh Bal'!BA59</f>
        <v>0</v>
      </c>
      <c r="CK571" s="1062">
        <f>'Rep Ovh Bal'!BB59</f>
        <v>1436.544</v>
      </c>
      <c r="CL571" s="1064" t="str">
        <f>'Rep Ovh Bal'!BC59</f>
        <v/>
      </c>
      <c r="CM571" s="451" t="str">
        <f>'Rep Ovh Bal'!CN59</f>
        <v/>
      </c>
      <c r="CN571" s="1065" t="str">
        <f>'Rep Ovh Bal'!BE55</f>
        <v/>
      </c>
      <c r="CO571" s="1062" t="str">
        <f>'Rep Ovh Bal'!BF55</f>
        <v/>
      </c>
      <c r="CP571" s="1060" t="str">
        <f>'Rep Ovh Bal'!BG55</f>
        <v/>
      </c>
    </row>
    <row r="572">
      <c r="A572" s="451" t="str">
        <f>'Rep Ovh Bal'!A60</f>
        <v>Repuestos mantenimientos mayores para estaciones y torres</v>
      </c>
      <c r="B572" s="451">
        <f>'Rep Ovh Bal'!B60</f>
        <v>2</v>
      </c>
      <c r="C572" s="451" t="str">
        <f>'Rep Ovh Bal'!C60</f>
        <v>Torres</v>
      </c>
      <c r="D572" s="451" t="str">
        <f>'Rep Ovh Bal'!D60</f>
        <v>OVH balancines TRM</v>
      </c>
      <c r="E572" s="451" t="str">
        <f>'Rep Ovh Bal'!E60</f>
        <v>Repuesto Mecánico</v>
      </c>
      <c r="F572" s="451" t="str">
        <f>'Rep Ovh Bal'!F60</f>
        <v>TDB</v>
      </c>
      <c r="G572" s="1025" t="str">
        <f>'Rep Ovh Bal'!G60</f>
        <v>39800</v>
      </c>
      <c r="H572" s="1061" t="str">
        <f>'Rep Ovh Bal'!H60</f>
        <v>2-01-00510</v>
      </c>
      <c r="I572" s="1061" t="str">
        <f>'Rep Ovh Bal'!I60</f>
        <v>10693755</v>
      </c>
      <c r="J572" s="1061" t="str">
        <f>'Rep Ovh Bal'!J60</f>
        <v>ARAND.DIST.DIA.90 / 60,5 E=1,0 ARANDELA DISTANCIADORA</v>
      </c>
      <c r="K572" s="451" t="str">
        <f>'Rep Ovh Bal'!K60</f>
        <v>Pza</v>
      </c>
      <c r="L572" s="451">
        <f>'Rep Ovh Bal'!L60</f>
        <v>0</v>
      </c>
      <c r="M572" s="451">
        <f>'Rep Ovh Bal'!M60</f>
        <v>0</v>
      </c>
      <c r="N572" s="451">
        <f>'Rep Ovh Bal'!N60</f>
        <v>0</v>
      </c>
      <c r="O572" s="451">
        <f>'Rep Ovh Bal'!O60</f>
        <v>0</v>
      </c>
      <c r="P572" s="451">
        <f>'Rep Ovh Bal'!P60</f>
        <v>0</v>
      </c>
      <c r="Q572" s="451">
        <f>'Rep Ovh Bal'!Q60</f>
        <v>0</v>
      </c>
      <c r="R572" s="451">
        <f>'Rep Ovh Bal'!R60</f>
        <v>0</v>
      </c>
      <c r="S572" s="451">
        <f>'Rep Ovh Bal'!S60</f>
        <v>0</v>
      </c>
      <c r="T572" s="451">
        <f>'Rep Ovh Bal'!T60</f>
        <v>0</v>
      </c>
      <c r="U572" s="451">
        <f>'Rep Ovh Bal'!U60</f>
        <v>0</v>
      </c>
      <c r="V572" s="451">
        <f>'Rep Ovh Bal'!V60</f>
        <v>150</v>
      </c>
      <c r="W572" s="1062">
        <f>'Rep Ovh Bal'!W60</f>
        <v>150</v>
      </c>
      <c r="X572" s="451">
        <f>'Rep Ovh Bal'!X60</f>
        <v>0</v>
      </c>
      <c r="Y572" s="451">
        <f>'Rep Ovh Bal'!Y60</f>
        <v>0</v>
      </c>
      <c r="Z572" s="451">
        <f>'Rep Ovh Bal'!Z60</f>
        <v>0</v>
      </c>
      <c r="AA572" s="451">
        <f>'Rep Ovh Bal'!AA60</f>
        <v>0</v>
      </c>
      <c r="AB572" s="451">
        <f>'Rep Ovh Bal'!AB60</f>
        <v>0</v>
      </c>
      <c r="AC572" s="451">
        <f>'Rep Ovh Bal'!AC60</f>
        <v>0</v>
      </c>
      <c r="AD572" s="451">
        <f>'Rep Ovh Bal'!AD60</f>
        <v>0</v>
      </c>
      <c r="AE572" s="451">
        <f>'Rep Ovh Bal'!AE60</f>
        <v>0</v>
      </c>
      <c r="AF572" s="451">
        <f>'Rep Ovh Bal'!AF60</f>
        <v>0</v>
      </c>
      <c r="AG572" s="451">
        <f>'Rep Ovh Bal'!AG60</f>
        <v>0</v>
      </c>
      <c r="AH572" s="451">
        <f>'Rep Ovh Bal'!AH60</f>
        <v>0</v>
      </c>
      <c r="AI572" s="1062">
        <f>'Rep Ovh Bal'!AI60</f>
        <v>0</v>
      </c>
      <c r="AJ572" s="1064">
        <f>'Rep Ovh Bal'!AJ60</f>
        <v>0</v>
      </c>
      <c r="AK572" s="1064">
        <f>'Rep Ovh Bal'!AK60</f>
        <v>0</v>
      </c>
      <c r="AL572" s="1064">
        <f>'Rep Ovh Bal'!AL60</f>
        <v>0</v>
      </c>
      <c r="AM572" s="1064">
        <f>'Rep Ovh Bal'!AM60</f>
        <v>0</v>
      </c>
      <c r="AN572" s="1064">
        <f>'Rep Ovh Bal'!AN60</f>
        <v>0</v>
      </c>
      <c r="AO572" s="1064">
        <f>'Rep Ovh Bal'!AO60</f>
        <v>0</v>
      </c>
      <c r="AP572" s="1064">
        <f>'Rep Ovh Bal'!AP60</f>
        <v>0</v>
      </c>
      <c r="AQ572" s="1064">
        <f>'Rep Ovh Bal'!AQ60</f>
        <v>0</v>
      </c>
      <c r="AR572" s="1064">
        <f>'Rep Ovh Bal'!AR60</f>
        <v>0</v>
      </c>
      <c r="AS572" s="1064">
        <f>'Rep Ovh Bal'!AS60</f>
        <v>0</v>
      </c>
      <c r="AT572" s="451">
        <f>'Rep Ovh Bal'!AT60</f>
        <v>0</v>
      </c>
      <c r="AU572" s="1062">
        <f>'Rep Ovh Bal'!AU60</f>
        <v>0</v>
      </c>
      <c r="AV572" s="1063">
        <f>'Rep Ovh Bal'!AV60</f>
        <v>150</v>
      </c>
      <c r="AW572" s="1068"/>
      <c r="AX572" s="1065">
        <f>'Rep Ovh Bal'!AW60</f>
        <v>2.69</v>
      </c>
      <c r="AY572" s="1062">
        <f>'Rep Ovh Bal'!AX60</f>
        <v>18.7224</v>
      </c>
      <c r="AZ572" s="1068"/>
      <c r="BA572" s="1068"/>
      <c r="BB572" s="1068"/>
      <c r="BC572" s="1068"/>
      <c r="BD572" s="1068"/>
      <c r="BE572" s="1068"/>
      <c r="BF572" s="1065" t="str">
        <f>'Rep Ovh Bal'!BE60</f>
        <v/>
      </c>
      <c r="BG572" s="451" t="str">
        <f>'Rep Ovh Bal'!BH60</f>
        <v/>
      </c>
      <c r="BH572" s="451" t="str">
        <f>'Rep Ovh Bal'!BI60</f>
        <v/>
      </c>
      <c r="BI572" s="451" t="str">
        <f>'Rep Ovh Bal'!BJ60</f>
        <v/>
      </c>
      <c r="BJ572" s="451" t="str">
        <f>'Rep Ovh Bal'!BK60</f>
        <v/>
      </c>
      <c r="BK572" s="1062">
        <f>'Rep Ovh Bal'!AY60</f>
        <v>2808.36</v>
      </c>
      <c r="BL572" s="1069">
        <f>'Rep Ovh Bal'!AY60</f>
        <v>2808.36</v>
      </c>
      <c r="BM572" s="1068"/>
      <c r="BN572" s="1068"/>
      <c r="BO572" s="1068"/>
      <c r="BP572" s="451" t="str">
        <f>'Rep Ovh Bal'!BQ60</f>
        <v/>
      </c>
      <c r="BQ572" s="451" t="str">
        <f>'Rep Ovh Bal'!BR60</f>
        <v/>
      </c>
      <c r="BR572" s="451" t="str">
        <f>'Rep Ovh Bal'!BS60</f>
        <v/>
      </c>
      <c r="BS572" s="451" t="str">
        <f>'Rep Ovh Bal'!BT60</f>
        <v/>
      </c>
      <c r="BT572" s="451" t="str">
        <f>'Rep Ovh Bal'!BU60</f>
        <v/>
      </c>
      <c r="BU572" s="451" t="str">
        <f>'Rep Ovh Bal'!BV60</f>
        <v/>
      </c>
      <c r="BV572" s="451" t="str">
        <f>'Rep Ovh Bal'!BW60</f>
        <v/>
      </c>
      <c r="BW572" s="1062">
        <f>'Rep Ovh Bal'!AZ60</f>
        <v>0</v>
      </c>
      <c r="BX572" s="1069">
        <f>'Rep Ovh Bal'!AZ60</f>
        <v>0</v>
      </c>
      <c r="BY572" s="1068"/>
      <c r="BZ572" s="1068"/>
      <c r="CA572" s="451" t="str">
        <f>'Rep Ovh Bal'!CB60</f>
        <v/>
      </c>
      <c r="CB572" s="451" t="str">
        <f>'Rep Ovh Bal'!CC60</f>
        <v/>
      </c>
      <c r="CC572" s="451" t="str">
        <f>'Rep Ovh Bal'!CD60</f>
        <v/>
      </c>
      <c r="CD572" s="451" t="str">
        <f>'Rep Ovh Bal'!CE60</f>
        <v/>
      </c>
      <c r="CE572" s="451" t="str">
        <f>'Rep Ovh Bal'!CF60</f>
        <v/>
      </c>
      <c r="CF572" s="451" t="str">
        <f>'Rep Ovh Bal'!CG60</f>
        <v/>
      </c>
      <c r="CG572" s="451" t="str">
        <f>'Rep Ovh Bal'!CH60</f>
        <v/>
      </c>
      <c r="CH572" s="451" t="str">
        <f>'Rep Ovh Bal'!CI60</f>
        <v/>
      </c>
      <c r="CI572" s="1062">
        <f>'Rep Ovh Bal'!BA60</f>
        <v>0</v>
      </c>
      <c r="CJ572" s="1062">
        <f>'Rep Ovh Bal'!BA60</f>
        <v>0</v>
      </c>
      <c r="CK572" s="1062">
        <f>'Rep Ovh Bal'!BB60</f>
        <v>2808.36</v>
      </c>
      <c r="CL572" s="1064" t="str">
        <f>'Rep Ovh Bal'!BC60</f>
        <v/>
      </c>
      <c r="CM572" s="451" t="str">
        <f>'Rep Ovh Bal'!CN60</f>
        <v/>
      </c>
      <c r="CN572" s="1065" t="str">
        <f>'Rep Ovh Bal'!BE56</f>
        <v/>
      </c>
      <c r="CO572" s="1062" t="str">
        <f>'Rep Ovh Bal'!BF56</f>
        <v/>
      </c>
      <c r="CP572" s="1060" t="str">
        <f>'Rep Ovh Bal'!BG56</f>
        <v/>
      </c>
    </row>
    <row r="573">
      <c r="A573" s="451" t="str">
        <f>'Rep Ovh Bal'!A61</f>
        <v>Repuestos mantenimientos mayores para estaciones y torres</v>
      </c>
      <c r="B573" s="451">
        <f>'Rep Ovh Bal'!B61</f>
        <v>2</v>
      </c>
      <c r="C573" s="451" t="str">
        <f>'Rep Ovh Bal'!C61</f>
        <v>Torres</v>
      </c>
      <c r="D573" s="451" t="str">
        <f>'Rep Ovh Bal'!D61</f>
        <v>OVH balancines TRM</v>
      </c>
      <c r="E573" s="451" t="str">
        <f>'Rep Ovh Bal'!E61</f>
        <v>Repuesto Mecánico</v>
      </c>
      <c r="F573" s="451" t="str">
        <f>'Rep Ovh Bal'!F61</f>
        <v>TDB</v>
      </c>
      <c r="G573" s="1025" t="str">
        <f>'Rep Ovh Bal'!G61</f>
        <v>39800</v>
      </c>
      <c r="H573" s="1061" t="str">
        <f>'Rep Ovh Bal'!H61</f>
        <v>2-01-00147</v>
      </c>
      <c r="I573" s="1061" t="str">
        <f>'Rep Ovh Bal'!I61</f>
        <v>10693756</v>
      </c>
      <c r="J573" s="1061" t="str">
        <f>'Rep Ovh Bal'!J61</f>
        <v>ARAND.DIST.DIA.90 / 60,5 E=4,0 ARANDELA DISTANCIADORA</v>
      </c>
      <c r="K573" s="451" t="str">
        <f>'Rep Ovh Bal'!K61</f>
        <v>Pza</v>
      </c>
      <c r="L573" s="451">
        <f>'Rep Ovh Bal'!L61</f>
        <v>0</v>
      </c>
      <c r="M573" s="451">
        <f>'Rep Ovh Bal'!M61</f>
        <v>0</v>
      </c>
      <c r="N573" s="451">
        <f>'Rep Ovh Bal'!N61</f>
        <v>0</v>
      </c>
      <c r="O573" s="451">
        <f>'Rep Ovh Bal'!O61</f>
        <v>0</v>
      </c>
      <c r="P573" s="451">
        <f>'Rep Ovh Bal'!P61</f>
        <v>0</v>
      </c>
      <c r="Q573" s="451">
        <f>'Rep Ovh Bal'!Q61</f>
        <v>0</v>
      </c>
      <c r="R573" s="451">
        <f>'Rep Ovh Bal'!R61</f>
        <v>0</v>
      </c>
      <c r="S573" s="451">
        <f>'Rep Ovh Bal'!S61</f>
        <v>0</v>
      </c>
      <c r="T573" s="451">
        <f>'Rep Ovh Bal'!T61</f>
        <v>0</v>
      </c>
      <c r="U573" s="451">
        <f>'Rep Ovh Bal'!U61</f>
        <v>0</v>
      </c>
      <c r="V573" s="451">
        <f>'Rep Ovh Bal'!V61</f>
        <v>50</v>
      </c>
      <c r="W573" s="1062">
        <f>'Rep Ovh Bal'!W61</f>
        <v>50</v>
      </c>
      <c r="X573" s="451">
        <f>'Rep Ovh Bal'!X61</f>
        <v>0</v>
      </c>
      <c r="Y573" s="451">
        <f>'Rep Ovh Bal'!Y61</f>
        <v>0</v>
      </c>
      <c r="Z573" s="451">
        <f>'Rep Ovh Bal'!Z61</f>
        <v>0</v>
      </c>
      <c r="AA573" s="451">
        <f>'Rep Ovh Bal'!AA61</f>
        <v>0</v>
      </c>
      <c r="AB573" s="451">
        <f>'Rep Ovh Bal'!AB61</f>
        <v>0</v>
      </c>
      <c r="AC573" s="451">
        <f>'Rep Ovh Bal'!AC61</f>
        <v>0</v>
      </c>
      <c r="AD573" s="451">
        <f>'Rep Ovh Bal'!AD61</f>
        <v>0</v>
      </c>
      <c r="AE573" s="451">
        <f>'Rep Ovh Bal'!AE61</f>
        <v>0</v>
      </c>
      <c r="AF573" s="451">
        <f>'Rep Ovh Bal'!AF61</f>
        <v>0</v>
      </c>
      <c r="AG573" s="451">
        <f>'Rep Ovh Bal'!AG61</f>
        <v>0</v>
      </c>
      <c r="AH573" s="451">
        <f>'Rep Ovh Bal'!AH61</f>
        <v>0</v>
      </c>
      <c r="AI573" s="1062">
        <f>'Rep Ovh Bal'!AI61</f>
        <v>0</v>
      </c>
      <c r="AJ573" s="1064">
        <f>'Rep Ovh Bal'!AJ61</f>
        <v>0</v>
      </c>
      <c r="AK573" s="1064">
        <f>'Rep Ovh Bal'!AK61</f>
        <v>0</v>
      </c>
      <c r="AL573" s="1064">
        <f>'Rep Ovh Bal'!AL61</f>
        <v>0</v>
      </c>
      <c r="AM573" s="1064">
        <f>'Rep Ovh Bal'!AM61</f>
        <v>0</v>
      </c>
      <c r="AN573" s="1064">
        <f>'Rep Ovh Bal'!AN61</f>
        <v>0</v>
      </c>
      <c r="AO573" s="1064">
        <f>'Rep Ovh Bal'!AO61</f>
        <v>0</v>
      </c>
      <c r="AP573" s="1064">
        <f>'Rep Ovh Bal'!AP61</f>
        <v>0</v>
      </c>
      <c r="AQ573" s="1064">
        <f>'Rep Ovh Bal'!AQ61</f>
        <v>0</v>
      </c>
      <c r="AR573" s="1064">
        <f>'Rep Ovh Bal'!AR61</f>
        <v>0</v>
      </c>
      <c r="AS573" s="1064">
        <f>'Rep Ovh Bal'!AS61</f>
        <v>0</v>
      </c>
      <c r="AT573" s="451">
        <f>'Rep Ovh Bal'!AT61</f>
        <v>0</v>
      </c>
      <c r="AU573" s="1062">
        <f>'Rep Ovh Bal'!AU61</f>
        <v>0</v>
      </c>
      <c r="AV573" s="1063">
        <f>'Rep Ovh Bal'!AV61</f>
        <v>50</v>
      </c>
      <c r="AW573" s="1068"/>
      <c r="AX573" s="1065">
        <f>'Rep Ovh Bal'!AW61</f>
        <v>4.31</v>
      </c>
      <c r="AY573" s="1062">
        <f>'Rep Ovh Bal'!AX61</f>
        <v>29.9976</v>
      </c>
      <c r="AZ573" s="1068"/>
      <c r="BA573" s="1068"/>
      <c r="BB573" s="1068"/>
      <c r="BC573" s="1068"/>
      <c r="BD573" s="1068"/>
      <c r="BE573" s="1068"/>
      <c r="BF573" s="1065" t="str">
        <f>'Rep Ovh Bal'!BE61</f>
        <v/>
      </c>
      <c r="BG573" s="451" t="str">
        <f>'Rep Ovh Bal'!BH61</f>
        <v/>
      </c>
      <c r="BH573" s="451" t="str">
        <f>'Rep Ovh Bal'!BI61</f>
        <v/>
      </c>
      <c r="BI573" s="451" t="str">
        <f>'Rep Ovh Bal'!BJ61</f>
        <v/>
      </c>
      <c r="BJ573" s="451" t="str">
        <f>'Rep Ovh Bal'!BK61</f>
        <v/>
      </c>
      <c r="BK573" s="1062">
        <f>'Rep Ovh Bal'!AY61</f>
        <v>1499.88</v>
      </c>
      <c r="BL573" s="1069">
        <f>'Rep Ovh Bal'!AY61</f>
        <v>1499.88</v>
      </c>
      <c r="BM573" s="1068"/>
      <c r="BN573" s="1068"/>
      <c r="BO573" s="1068"/>
      <c r="BP573" s="451" t="str">
        <f>'Rep Ovh Bal'!BQ61</f>
        <v/>
      </c>
      <c r="BQ573" s="451" t="str">
        <f>'Rep Ovh Bal'!BR61</f>
        <v/>
      </c>
      <c r="BR573" s="451" t="str">
        <f>'Rep Ovh Bal'!BS61</f>
        <v/>
      </c>
      <c r="BS573" s="451" t="str">
        <f>'Rep Ovh Bal'!BT61</f>
        <v/>
      </c>
      <c r="BT573" s="451" t="str">
        <f>'Rep Ovh Bal'!BU61</f>
        <v/>
      </c>
      <c r="BU573" s="451" t="str">
        <f>'Rep Ovh Bal'!BV61</f>
        <v/>
      </c>
      <c r="BV573" s="451" t="str">
        <f>'Rep Ovh Bal'!BW61</f>
        <v/>
      </c>
      <c r="BW573" s="1062">
        <f>'Rep Ovh Bal'!AZ61</f>
        <v>0</v>
      </c>
      <c r="BX573" s="1069">
        <f>'Rep Ovh Bal'!AZ61</f>
        <v>0</v>
      </c>
      <c r="BY573" s="1068"/>
      <c r="BZ573" s="1068"/>
      <c r="CA573" s="451" t="str">
        <f>'Rep Ovh Bal'!CB61</f>
        <v/>
      </c>
      <c r="CB573" s="451" t="str">
        <f>'Rep Ovh Bal'!CC61</f>
        <v/>
      </c>
      <c r="CC573" s="451" t="str">
        <f>'Rep Ovh Bal'!CD61</f>
        <v/>
      </c>
      <c r="CD573" s="451" t="str">
        <f>'Rep Ovh Bal'!CE61</f>
        <v/>
      </c>
      <c r="CE573" s="451" t="str">
        <f>'Rep Ovh Bal'!CF61</f>
        <v/>
      </c>
      <c r="CF573" s="451" t="str">
        <f>'Rep Ovh Bal'!CG61</f>
        <v/>
      </c>
      <c r="CG573" s="451" t="str">
        <f>'Rep Ovh Bal'!CH61</f>
        <v/>
      </c>
      <c r="CH573" s="451" t="str">
        <f>'Rep Ovh Bal'!CI61</f>
        <v/>
      </c>
      <c r="CI573" s="1062">
        <f>'Rep Ovh Bal'!BA61</f>
        <v>0</v>
      </c>
      <c r="CJ573" s="1062">
        <f>'Rep Ovh Bal'!BA61</f>
        <v>0</v>
      </c>
      <c r="CK573" s="1062">
        <f>'Rep Ovh Bal'!BB61</f>
        <v>1499.88</v>
      </c>
      <c r="CL573" s="1064" t="str">
        <f>'Rep Ovh Bal'!BC61</f>
        <v/>
      </c>
      <c r="CM573" s="451" t="str">
        <f>'Rep Ovh Bal'!CN61</f>
        <v/>
      </c>
      <c r="CN573" s="1065" t="str">
        <f>'Rep Ovh Bal'!BE57</f>
        <v/>
      </c>
      <c r="CO573" s="1062" t="str">
        <f>'Rep Ovh Bal'!BF57</f>
        <v/>
      </c>
      <c r="CP573" s="1060" t="str">
        <f>'Rep Ovh Bal'!BG57</f>
        <v/>
      </c>
    </row>
    <row r="574">
      <c r="A574" s="451" t="str">
        <f>'Rep Ovh Bal'!A62</f>
        <v>Repuestos mantenimientos mayores para estaciones y torres</v>
      </c>
      <c r="B574" s="451">
        <f>'Rep Ovh Bal'!B62</f>
        <v>2</v>
      </c>
      <c r="C574" s="451" t="str">
        <f>'Rep Ovh Bal'!C62</f>
        <v>Torres</v>
      </c>
      <c r="D574" s="451" t="str">
        <f>'Rep Ovh Bal'!D62</f>
        <v>OVH balancines TRM</v>
      </c>
      <c r="E574" s="451" t="str">
        <f>'Rep Ovh Bal'!E62</f>
        <v>Repuesto Mecánico</v>
      </c>
      <c r="F574" s="451" t="str">
        <f>'Rep Ovh Bal'!F62</f>
        <v>TDB</v>
      </c>
      <c r="G574" s="1025" t="str">
        <f>'Rep Ovh Bal'!G62</f>
        <v>39800</v>
      </c>
      <c r="H574" s="1061" t="str">
        <f>'Rep Ovh Bal'!H62</f>
        <v>2-01-00264</v>
      </c>
      <c r="I574" s="1061" t="str">
        <f>'Rep Ovh Bal'!I62</f>
        <v>10752990</v>
      </c>
      <c r="J574" s="1061" t="str">
        <f>'Rep Ovh Bal'!J62</f>
        <v>NIPLE ENGRASE M10X1 H1 RES.RESF. NIPLE CÓNICO DE ENGRASE 0°</v>
      </c>
      <c r="K574" s="451" t="str">
        <f>'Rep Ovh Bal'!K62</f>
        <v>Pza</v>
      </c>
      <c r="L574" s="451">
        <f>'Rep Ovh Bal'!L62</f>
        <v>0</v>
      </c>
      <c r="M574" s="451">
        <f>'Rep Ovh Bal'!M62</f>
        <v>0</v>
      </c>
      <c r="N574" s="451">
        <f>'Rep Ovh Bal'!N62</f>
        <v>0</v>
      </c>
      <c r="O574" s="451">
        <f>'Rep Ovh Bal'!O62</f>
        <v>0</v>
      </c>
      <c r="P574" s="451">
        <f>'Rep Ovh Bal'!P62</f>
        <v>0</v>
      </c>
      <c r="Q574" s="451">
        <f>'Rep Ovh Bal'!Q62</f>
        <v>0</v>
      </c>
      <c r="R574" s="451">
        <f>'Rep Ovh Bal'!R62</f>
        <v>0</v>
      </c>
      <c r="S574" s="451">
        <f>'Rep Ovh Bal'!S62</f>
        <v>0</v>
      </c>
      <c r="T574" s="451">
        <f>'Rep Ovh Bal'!T62</f>
        <v>0</v>
      </c>
      <c r="U574" s="451">
        <f>'Rep Ovh Bal'!U62</f>
        <v>0</v>
      </c>
      <c r="V574" s="451">
        <f>'Rep Ovh Bal'!V62</f>
        <v>100</v>
      </c>
      <c r="W574" s="1062">
        <f>'Rep Ovh Bal'!W62</f>
        <v>100</v>
      </c>
      <c r="X574" s="451">
        <f>'Rep Ovh Bal'!X62</f>
        <v>0</v>
      </c>
      <c r="Y574" s="451">
        <f>'Rep Ovh Bal'!Y62</f>
        <v>0</v>
      </c>
      <c r="Z574" s="451">
        <f>'Rep Ovh Bal'!Z62</f>
        <v>0</v>
      </c>
      <c r="AA574" s="451">
        <f>'Rep Ovh Bal'!AA62</f>
        <v>0</v>
      </c>
      <c r="AB574" s="451">
        <f>'Rep Ovh Bal'!AB62</f>
        <v>0</v>
      </c>
      <c r="AC574" s="451">
        <f>'Rep Ovh Bal'!AC62</f>
        <v>0</v>
      </c>
      <c r="AD574" s="451">
        <f>'Rep Ovh Bal'!AD62</f>
        <v>0</v>
      </c>
      <c r="AE574" s="451">
        <f>'Rep Ovh Bal'!AE62</f>
        <v>0</v>
      </c>
      <c r="AF574" s="451">
        <f>'Rep Ovh Bal'!AF62</f>
        <v>0</v>
      </c>
      <c r="AG574" s="451">
        <f>'Rep Ovh Bal'!AG62</f>
        <v>0</v>
      </c>
      <c r="AH574" s="451">
        <f>'Rep Ovh Bal'!AH62</f>
        <v>0</v>
      </c>
      <c r="AI574" s="1062">
        <f>'Rep Ovh Bal'!AI62</f>
        <v>0</v>
      </c>
      <c r="AJ574" s="1064">
        <f>'Rep Ovh Bal'!AJ62</f>
        <v>0</v>
      </c>
      <c r="AK574" s="1064">
        <f>'Rep Ovh Bal'!AK62</f>
        <v>0</v>
      </c>
      <c r="AL574" s="1064">
        <f>'Rep Ovh Bal'!AL62</f>
        <v>0</v>
      </c>
      <c r="AM574" s="1064">
        <f>'Rep Ovh Bal'!AM62</f>
        <v>0</v>
      </c>
      <c r="AN574" s="1064">
        <f>'Rep Ovh Bal'!AN62</f>
        <v>0</v>
      </c>
      <c r="AO574" s="1064">
        <f>'Rep Ovh Bal'!AO62</f>
        <v>0</v>
      </c>
      <c r="AP574" s="1064">
        <f>'Rep Ovh Bal'!AP62</f>
        <v>0</v>
      </c>
      <c r="AQ574" s="1064">
        <f>'Rep Ovh Bal'!AQ62</f>
        <v>0</v>
      </c>
      <c r="AR574" s="1064">
        <f>'Rep Ovh Bal'!AR62</f>
        <v>0</v>
      </c>
      <c r="AS574" s="1064">
        <f>'Rep Ovh Bal'!AS62</f>
        <v>0</v>
      </c>
      <c r="AT574" s="451">
        <f>'Rep Ovh Bal'!AT62</f>
        <v>0</v>
      </c>
      <c r="AU574" s="1062">
        <f>'Rep Ovh Bal'!AU62</f>
        <v>0</v>
      </c>
      <c r="AV574" s="1063">
        <f>'Rep Ovh Bal'!AV62</f>
        <v>100</v>
      </c>
      <c r="AW574" s="1068"/>
      <c r="AX574" s="1065">
        <f>'Rep Ovh Bal'!AW62</f>
        <v>2.11</v>
      </c>
      <c r="AY574" s="1062">
        <f>'Rep Ovh Bal'!AX62</f>
        <v>14.6856</v>
      </c>
      <c r="AZ574" s="1068"/>
      <c r="BA574" s="1068"/>
      <c r="BB574" s="1068"/>
      <c r="BC574" s="1068"/>
      <c r="BD574" s="1068"/>
      <c r="BE574" s="1068"/>
      <c r="BF574" s="1065" t="str">
        <f>'Rep Ovh Bal'!BE62</f>
        <v/>
      </c>
      <c r="BG574" s="451" t="str">
        <f>'Rep Ovh Bal'!BH62</f>
        <v/>
      </c>
      <c r="BH574" s="451" t="str">
        <f>'Rep Ovh Bal'!BI62</f>
        <v/>
      </c>
      <c r="BI574" s="451" t="str">
        <f>'Rep Ovh Bal'!BJ62</f>
        <v/>
      </c>
      <c r="BJ574" s="451" t="str">
        <f>'Rep Ovh Bal'!BK62</f>
        <v/>
      </c>
      <c r="BK574" s="1062">
        <f>'Rep Ovh Bal'!AY62</f>
        <v>1468.56</v>
      </c>
      <c r="BL574" s="1069">
        <f>'Rep Ovh Bal'!AY62</f>
        <v>1468.56</v>
      </c>
      <c r="BM574" s="1068"/>
      <c r="BN574" s="1068"/>
      <c r="BO574" s="1068"/>
      <c r="BP574" s="451" t="str">
        <f>'Rep Ovh Bal'!BQ62</f>
        <v/>
      </c>
      <c r="BQ574" s="451" t="str">
        <f>'Rep Ovh Bal'!BR62</f>
        <v/>
      </c>
      <c r="BR574" s="451" t="str">
        <f>'Rep Ovh Bal'!BS62</f>
        <v/>
      </c>
      <c r="BS574" s="451" t="str">
        <f>'Rep Ovh Bal'!BT62</f>
        <v/>
      </c>
      <c r="BT574" s="451" t="str">
        <f>'Rep Ovh Bal'!BU62</f>
        <v/>
      </c>
      <c r="BU574" s="451" t="str">
        <f>'Rep Ovh Bal'!BV62</f>
        <v/>
      </c>
      <c r="BV574" s="451" t="str">
        <f>'Rep Ovh Bal'!BW62</f>
        <v/>
      </c>
      <c r="BW574" s="1062">
        <f>'Rep Ovh Bal'!AZ62</f>
        <v>0</v>
      </c>
      <c r="BX574" s="1069">
        <f>'Rep Ovh Bal'!AZ62</f>
        <v>0</v>
      </c>
      <c r="BY574" s="1068"/>
      <c r="BZ574" s="1068"/>
      <c r="CA574" s="451" t="str">
        <f>'Rep Ovh Bal'!CB62</f>
        <v/>
      </c>
      <c r="CB574" s="451" t="str">
        <f>'Rep Ovh Bal'!CC62</f>
        <v/>
      </c>
      <c r="CC574" s="451" t="str">
        <f>'Rep Ovh Bal'!CD62</f>
        <v/>
      </c>
      <c r="CD574" s="451" t="str">
        <f>'Rep Ovh Bal'!CE62</f>
        <v/>
      </c>
      <c r="CE574" s="451" t="str">
        <f>'Rep Ovh Bal'!CF62</f>
        <v/>
      </c>
      <c r="CF574" s="451" t="str">
        <f>'Rep Ovh Bal'!CG62</f>
        <v/>
      </c>
      <c r="CG574" s="451" t="str">
        <f>'Rep Ovh Bal'!CH62</f>
        <v/>
      </c>
      <c r="CH574" s="451" t="str">
        <f>'Rep Ovh Bal'!CI62</f>
        <v/>
      </c>
      <c r="CI574" s="1062">
        <f>'Rep Ovh Bal'!BA62</f>
        <v>0</v>
      </c>
      <c r="CJ574" s="1062">
        <f>'Rep Ovh Bal'!BA62</f>
        <v>0</v>
      </c>
      <c r="CK574" s="1062">
        <f>'Rep Ovh Bal'!BB62</f>
        <v>1468.56</v>
      </c>
      <c r="CL574" s="1064" t="str">
        <f>'Rep Ovh Bal'!BC62</f>
        <v/>
      </c>
      <c r="CM574" s="451" t="str">
        <f>'Rep Ovh Bal'!CN62</f>
        <v/>
      </c>
      <c r="CN574" s="1065" t="str">
        <f>'Rep Ovh Bal'!BE58</f>
        <v/>
      </c>
      <c r="CO574" s="1062" t="str">
        <f>'Rep Ovh Bal'!BF58</f>
        <v/>
      </c>
      <c r="CP574" s="1060" t="str">
        <f>'Rep Ovh Bal'!BG58</f>
        <v/>
      </c>
    </row>
    <row r="575">
      <c r="A575" s="451" t="str">
        <f>'Rep Ovh Bal'!A63</f>
        <v>Repuestos mantenimientos mayores para estaciones y torres</v>
      </c>
      <c r="B575" s="451">
        <f>'Rep Ovh Bal'!B63</f>
        <v>2</v>
      </c>
      <c r="C575" s="451" t="str">
        <f>'Rep Ovh Bal'!C63</f>
        <v>Torres</v>
      </c>
      <c r="D575" s="451" t="str">
        <f>'Rep Ovh Bal'!D63</f>
        <v>OVH balancines TRM</v>
      </c>
      <c r="E575" s="451" t="str">
        <f>'Rep Ovh Bal'!E63</f>
        <v>Repuesto Mecánico</v>
      </c>
      <c r="F575" s="451" t="str">
        <f>'Rep Ovh Bal'!F63</f>
        <v>TDB</v>
      </c>
      <c r="G575" s="1025" t="str">
        <f>'Rep Ovh Bal'!G63</f>
        <v>39800</v>
      </c>
      <c r="H575" s="1061" t="str">
        <f>'Rep Ovh Bal'!H63</f>
        <v>2-01-00050</v>
      </c>
      <c r="I575" s="1061" t="str">
        <f>'Rep Ovh Bal'!I63</f>
        <v>10796747</v>
      </c>
      <c r="J575" s="1061" t="str">
        <f>'Rep Ovh Bal'!J63</f>
        <v>TUERCA AUTOFIJ.  INLOC - 8 M20 C.ELEM.DE FIJAC. ~DIN934 GALV.</v>
      </c>
      <c r="K575" s="451" t="str">
        <f>'Rep Ovh Bal'!K63</f>
        <v>Pza</v>
      </c>
      <c r="L575" s="451">
        <f>'Rep Ovh Bal'!L63</f>
        <v>0</v>
      </c>
      <c r="M575" s="451">
        <f>'Rep Ovh Bal'!M63</f>
        <v>0</v>
      </c>
      <c r="N575" s="451">
        <f>'Rep Ovh Bal'!N63</f>
        <v>0</v>
      </c>
      <c r="O575" s="451">
        <f>'Rep Ovh Bal'!O63</f>
        <v>0</v>
      </c>
      <c r="P575" s="451">
        <f>'Rep Ovh Bal'!P63</f>
        <v>0</v>
      </c>
      <c r="Q575" s="451">
        <f>'Rep Ovh Bal'!Q63</f>
        <v>0</v>
      </c>
      <c r="R575" s="451">
        <f>'Rep Ovh Bal'!R63</f>
        <v>0</v>
      </c>
      <c r="S575" s="451">
        <f>'Rep Ovh Bal'!S63</f>
        <v>0</v>
      </c>
      <c r="T575" s="451">
        <f>'Rep Ovh Bal'!T63</f>
        <v>0</v>
      </c>
      <c r="U575" s="451">
        <f>'Rep Ovh Bal'!U63</f>
        <v>0</v>
      </c>
      <c r="V575" s="451">
        <f>'Rep Ovh Bal'!V63</f>
        <v>508</v>
      </c>
      <c r="W575" s="1062">
        <f>'Rep Ovh Bal'!W63</f>
        <v>508</v>
      </c>
      <c r="X575" s="451">
        <f>'Rep Ovh Bal'!X63</f>
        <v>0</v>
      </c>
      <c r="Y575" s="451">
        <f>'Rep Ovh Bal'!Y63</f>
        <v>0</v>
      </c>
      <c r="Z575" s="451">
        <f>'Rep Ovh Bal'!Z63</f>
        <v>0</v>
      </c>
      <c r="AA575" s="451">
        <f>'Rep Ovh Bal'!AA63</f>
        <v>0</v>
      </c>
      <c r="AB575" s="451">
        <f>'Rep Ovh Bal'!AB63</f>
        <v>0</v>
      </c>
      <c r="AC575" s="451">
        <f>'Rep Ovh Bal'!AC63</f>
        <v>0</v>
      </c>
      <c r="AD575" s="451">
        <f>'Rep Ovh Bal'!AD63</f>
        <v>0</v>
      </c>
      <c r="AE575" s="451">
        <f>'Rep Ovh Bal'!AE63</f>
        <v>0</v>
      </c>
      <c r="AF575" s="451">
        <f>'Rep Ovh Bal'!AF63</f>
        <v>0</v>
      </c>
      <c r="AG575" s="451">
        <f>'Rep Ovh Bal'!AG63</f>
        <v>0</v>
      </c>
      <c r="AH575" s="451">
        <f>'Rep Ovh Bal'!AH63</f>
        <v>120</v>
      </c>
      <c r="AI575" s="1062">
        <f>'Rep Ovh Bal'!AI63</f>
        <v>120</v>
      </c>
      <c r="AJ575" s="451">
        <f>'Rep Ovh Bal'!AJ63</f>
        <v>0</v>
      </c>
      <c r="AK575" s="451">
        <f>'Rep Ovh Bal'!AK63</f>
        <v>0</v>
      </c>
      <c r="AL575" s="451">
        <f>'Rep Ovh Bal'!AL63</f>
        <v>0</v>
      </c>
      <c r="AM575" s="451">
        <f>'Rep Ovh Bal'!AM63</f>
        <v>0</v>
      </c>
      <c r="AN575" s="451">
        <f>'Rep Ovh Bal'!AN63</f>
        <v>0</v>
      </c>
      <c r="AO575" s="451">
        <f>'Rep Ovh Bal'!AO63</f>
        <v>0</v>
      </c>
      <c r="AP575" s="451">
        <f>'Rep Ovh Bal'!AP63</f>
        <v>0</v>
      </c>
      <c r="AQ575" s="451">
        <f>'Rep Ovh Bal'!AQ63</f>
        <v>0</v>
      </c>
      <c r="AR575" s="451">
        <f>'Rep Ovh Bal'!AR63</f>
        <v>0</v>
      </c>
      <c r="AS575" s="451">
        <f>'Rep Ovh Bal'!AS63</f>
        <v>0</v>
      </c>
      <c r="AT575" s="451">
        <f>'Rep Ovh Bal'!AT63</f>
        <v>332</v>
      </c>
      <c r="AU575" s="1062">
        <f>'Rep Ovh Bal'!AU63</f>
        <v>332</v>
      </c>
      <c r="AV575" s="1063">
        <f>'Rep Ovh Bal'!AV63</f>
        <v>960</v>
      </c>
      <c r="AW575" s="1068"/>
      <c r="AX575" s="1065">
        <f>'Rep Ovh Bal'!AW63</f>
        <v>2.42</v>
      </c>
      <c r="AY575" s="1062">
        <f>'Rep Ovh Bal'!AX63</f>
        <v>16.8432</v>
      </c>
      <c r="AZ575" s="1068"/>
      <c r="BA575" s="1068"/>
      <c r="BB575" s="1068"/>
      <c r="BC575" s="1068"/>
      <c r="BD575" s="1068"/>
      <c r="BE575" s="1068"/>
      <c r="BF575" s="1065" t="str">
        <f>'Rep Ovh Bal'!BE63</f>
        <v/>
      </c>
      <c r="BG575" s="451" t="str">
        <f>'Rep Ovh Bal'!BH63</f>
        <v/>
      </c>
      <c r="BH575" s="451" t="str">
        <f>'Rep Ovh Bal'!BI63</f>
        <v/>
      </c>
      <c r="BI575" s="451" t="str">
        <f>'Rep Ovh Bal'!BJ63</f>
        <v/>
      </c>
      <c r="BJ575" s="451" t="str">
        <f>'Rep Ovh Bal'!BK63</f>
        <v/>
      </c>
      <c r="BK575" s="1062">
        <f>'Rep Ovh Bal'!AY63</f>
        <v>8556.3456</v>
      </c>
      <c r="BL575" s="1069">
        <f>'Rep Ovh Bal'!AY63</f>
        <v>8556.3456</v>
      </c>
      <c r="BM575" s="1068"/>
      <c r="BN575" s="1068"/>
      <c r="BO575" s="1068"/>
      <c r="BP575" s="451" t="str">
        <f>'Rep Ovh Bal'!BQ63</f>
        <v/>
      </c>
      <c r="BQ575" s="451" t="str">
        <f>'Rep Ovh Bal'!BR63</f>
        <v/>
      </c>
      <c r="BR575" s="451" t="str">
        <f>'Rep Ovh Bal'!BS63</f>
        <v/>
      </c>
      <c r="BS575" s="451" t="str">
        <f>'Rep Ovh Bal'!BT63</f>
        <v/>
      </c>
      <c r="BT575" s="451" t="str">
        <f>'Rep Ovh Bal'!BU63</f>
        <v/>
      </c>
      <c r="BU575" s="451" t="str">
        <f>'Rep Ovh Bal'!BV63</f>
        <v/>
      </c>
      <c r="BV575" s="451" t="str">
        <f>'Rep Ovh Bal'!BW63</f>
        <v/>
      </c>
      <c r="BW575" s="1062">
        <f>'Rep Ovh Bal'!AZ63</f>
        <v>2021.184</v>
      </c>
      <c r="BX575" s="1069">
        <f>'Rep Ovh Bal'!AZ63</f>
        <v>2021.184</v>
      </c>
      <c r="BY575" s="1068"/>
      <c r="BZ575" s="1068"/>
      <c r="CA575" s="451" t="str">
        <f>'Rep Ovh Bal'!CB63</f>
        <v/>
      </c>
      <c r="CB575" s="451" t="str">
        <f>'Rep Ovh Bal'!CC63</f>
        <v/>
      </c>
      <c r="CC575" s="451" t="str">
        <f>'Rep Ovh Bal'!CD63</f>
        <v/>
      </c>
      <c r="CD575" s="451" t="str">
        <f>'Rep Ovh Bal'!CE63</f>
        <v/>
      </c>
      <c r="CE575" s="451" t="str">
        <f>'Rep Ovh Bal'!CF63</f>
        <v/>
      </c>
      <c r="CF575" s="451" t="str">
        <f>'Rep Ovh Bal'!CG63</f>
        <v/>
      </c>
      <c r="CG575" s="451" t="str">
        <f>'Rep Ovh Bal'!CH63</f>
        <v/>
      </c>
      <c r="CH575" s="451" t="str">
        <f>'Rep Ovh Bal'!CI63</f>
        <v/>
      </c>
      <c r="CI575" s="1062">
        <f>'Rep Ovh Bal'!BA63</f>
        <v>5591.9424</v>
      </c>
      <c r="CJ575" s="1062">
        <f>'Rep Ovh Bal'!BA63</f>
        <v>5591.9424</v>
      </c>
      <c r="CK575" s="1062">
        <f>'Rep Ovh Bal'!BB63</f>
        <v>16169.472</v>
      </c>
      <c r="CL575" s="1064" t="str">
        <f>'Rep Ovh Bal'!BC63</f>
        <v/>
      </c>
      <c r="CM575" s="451" t="str">
        <f>'Rep Ovh Bal'!CN63</f>
        <v/>
      </c>
      <c r="CN575" s="1065" t="str">
        <f>'Rep Ovh Bal'!BE59</f>
        <v/>
      </c>
      <c r="CO575" s="1062" t="str">
        <f>'Rep Ovh Bal'!BF59</f>
        <v/>
      </c>
      <c r="CP575" s="1060" t="str">
        <f>'Rep Ovh Bal'!BG59</f>
        <v/>
      </c>
    </row>
    <row r="576">
      <c r="A576" s="451" t="str">
        <f>'Rep Ovh Bal'!A64</f>
        <v>Repuestos mantenimientos mayores para estaciones y torres</v>
      </c>
      <c r="B576" s="451">
        <f>'Rep Ovh Bal'!B64</f>
        <v>2</v>
      </c>
      <c r="C576" s="451" t="str">
        <f>'Rep Ovh Bal'!C64</f>
        <v>Torres</v>
      </c>
      <c r="D576" s="451" t="str">
        <f>'Rep Ovh Bal'!D64</f>
        <v>OVH balancines TRM</v>
      </c>
      <c r="E576" s="451" t="str">
        <f>'Rep Ovh Bal'!E64</f>
        <v>Repuesto Mecánico</v>
      </c>
      <c r="F576" s="451" t="str">
        <f>'Rep Ovh Bal'!F64</f>
        <v>TDB</v>
      </c>
      <c r="G576" s="1025" t="str">
        <f>'Rep Ovh Bal'!G64</f>
        <v>39800</v>
      </c>
      <c r="H576" s="1061" t="str">
        <f>'Rep Ovh Bal'!H64</f>
        <v>2-01-00570</v>
      </c>
      <c r="I576" s="1061" t="str">
        <f>'Rep Ovh Bal'!I64</f>
        <v>10834216</v>
      </c>
      <c r="J576" s="1061" t="str">
        <f>'Rep Ovh Bal'!J64</f>
        <v>ANILLO DIST. DIÁ.68/50 E=23,5 P. POLEA 501 GALV.+AMARILLO</v>
      </c>
      <c r="K576" s="451" t="str">
        <f>'Rep Ovh Bal'!K64</f>
        <v>Pza</v>
      </c>
      <c r="L576" s="451">
        <f>'Rep Ovh Bal'!L64</f>
        <v>0</v>
      </c>
      <c r="M576" s="451">
        <f>'Rep Ovh Bal'!M64</f>
        <v>0</v>
      </c>
      <c r="N576" s="451">
        <f>'Rep Ovh Bal'!N64</f>
        <v>0</v>
      </c>
      <c r="O576" s="451">
        <f>'Rep Ovh Bal'!O64</f>
        <v>0</v>
      </c>
      <c r="P576" s="451">
        <f>'Rep Ovh Bal'!P64</f>
        <v>0</v>
      </c>
      <c r="Q576" s="451">
        <f>'Rep Ovh Bal'!Q64</f>
        <v>0</v>
      </c>
      <c r="R576" s="451">
        <f>'Rep Ovh Bal'!R64</f>
        <v>0</v>
      </c>
      <c r="S576" s="451">
        <f>'Rep Ovh Bal'!S64</f>
        <v>0</v>
      </c>
      <c r="T576" s="451">
        <f>'Rep Ovh Bal'!T64</f>
        <v>0</v>
      </c>
      <c r="U576" s="451">
        <f>'Rep Ovh Bal'!U64</f>
        <v>0</v>
      </c>
      <c r="V576" s="451">
        <f>'Rep Ovh Bal'!V64</f>
        <v>30</v>
      </c>
      <c r="W576" s="1062">
        <f>'Rep Ovh Bal'!W64</f>
        <v>30</v>
      </c>
      <c r="X576" s="451">
        <f>'Rep Ovh Bal'!X64</f>
        <v>0</v>
      </c>
      <c r="Y576" s="451">
        <f>'Rep Ovh Bal'!Y64</f>
        <v>0</v>
      </c>
      <c r="Z576" s="451">
        <f>'Rep Ovh Bal'!Z64</f>
        <v>0</v>
      </c>
      <c r="AA576" s="451">
        <f>'Rep Ovh Bal'!AA64</f>
        <v>0</v>
      </c>
      <c r="AB576" s="451">
        <f>'Rep Ovh Bal'!AB64</f>
        <v>0</v>
      </c>
      <c r="AC576" s="451">
        <f>'Rep Ovh Bal'!AC64</f>
        <v>0</v>
      </c>
      <c r="AD576" s="451">
        <f>'Rep Ovh Bal'!AD64</f>
        <v>0</v>
      </c>
      <c r="AE576" s="451">
        <f>'Rep Ovh Bal'!AE64</f>
        <v>0</v>
      </c>
      <c r="AF576" s="451">
        <f>'Rep Ovh Bal'!AF64</f>
        <v>0</v>
      </c>
      <c r="AG576" s="451">
        <f>'Rep Ovh Bal'!AG64</f>
        <v>0</v>
      </c>
      <c r="AH576" s="451">
        <f>'Rep Ovh Bal'!AH64</f>
        <v>0</v>
      </c>
      <c r="AI576" s="1062">
        <f>'Rep Ovh Bal'!AI64</f>
        <v>0</v>
      </c>
      <c r="AJ576" s="1064">
        <f>'Rep Ovh Bal'!AJ64</f>
        <v>0</v>
      </c>
      <c r="AK576" s="1064">
        <f>'Rep Ovh Bal'!AK64</f>
        <v>0</v>
      </c>
      <c r="AL576" s="1064">
        <f>'Rep Ovh Bal'!AL64</f>
        <v>0</v>
      </c>
      <c r="AM576" s="1064">
        <f>'Rep Ovh Bal'!AM64</f>
        <v>0</v>
      </c>
      <c r="AN576" s="1064">
        <f>'Rep Ovh Bal'!AN64</f>
        <v>0</v>
      </c>
      <c r="AO576" s="1064">
        <f>'Rep Ovh Bal'!AO64</f>
        <v>0</v>
      </c>
      <c r="AP576" s="1064">
        <f>'Rep Ovh Bal'!AP64</f>
        <v>0</v>
      </c>
      <c r="AQ576" s="1064">
        <f>'Rep Ovh Bal'!AQ64</f>
        <v>0</v>
      </c>
      <c r="AR576" s="1064">
        <f>'Rep Ovh Bal'!AR64</f>
        <v>0</v>
      </c>
      <c r="AS576" s="1064">
        <f>'Rep Ovh Bal'!AS64</f>
        <v>0</v>
      </c>
      <c r="AT576" s="451">
        <f>'Rep Ovh Bal'!AT64</f>
        <v>0</v>
      </c>
      <c r="AU576" s="1062">
        <f>'Rep Ovh Bal'!AU64</f>
        <v>0</v>
      </c>
      <c r="AV576" s="1063">
        <f>'Rep Ovh Bal'!AV64</f>
        <v>30</v>
      </c>
      <c r="AW576" s="1068"/>
      <c r="AX576" s="1065">
        <f>'Rep Ovh Bal'!AW64</f>
        <v>17.88</v>
      </c>
      <c r="AY576" s="1062">
        <f>'Rep Ovh Bal'!AX64</f>
        <v>124.4448</v>
      </c>
      <c r="AZ576" s="1068"/>
      <c r="BA576" s="1068"/>
      <c r="BB576" s="1068"/>
      <c r="BC576" s="1068"/>
      <c r="BD576" s="1068"/>
      <c r="BE576" s="1068"/>
      <c r="BF576" s="1065" t="str">
        <f>'Rep Ovh Bal'!BE64</f>
        <v/>
      </c>
      <c r="BG576" s="451" t="str">
        <f>'Rep Ovh Bal'!BH64</f>
        <v/>
      </c>
      <c r="BH576" s="451" t="str">
        <f>'Rep Ovh Bal'!BI64</f>
        <v/>
      </c>
      <c r="BI576" s="451" t="str">
        <f>'Rep Ovh Bal'!BJ64</f>
        <v/>
      </c>
      <c r="BJ576" s="451" t="str">
        <f>'Rep Ovh Bal'!BK64</f>
        <v/>
      </c>
      <c r="BK576" s="1062">
        <f>'Rep Ovh Bal'!AY64</f>
        <v>3733.344</v>
      </c>
      <c r="BL576" s="1069">
        <f>'Rep Ovh Bal'!AY64</f>
        <v>3733.344</v>
      </c>
      <c r="BM576" s="1068"/>
      <c r="BN576" s="1068"/>
      <c r="BO576" s="1068"/>
      <c r="BP576" s="451" t="str">
        <f>'Rep Ovh Bal'!BQ64</f>
        <v/>
      </c>
      <c r="BQ576" s="451" t="str">
        <f>'Rep Ovh Bal'!BR64</f>
        <v/>
      </c>
      <c r="BR576" s="451" t="str">
        <f>'Rep Ovh Bal'!BS64</f>
        <v/>
      </c>
      <c r="BS576" s="451" t="str">
        <f>'Rep Ovh Bal'!BT64</f>
        <v/>
      </c>
      <c r="BT576" s="451" t="str">
        <f>'Rep Ovh Bal'!BU64</f>
        <v/>
      </c>
      <c r="BU576" s="451" t="str">
        <f>'Rep Ovh Bal'!BV64</f>
        <v/>
      </c>
      <c r="BV576" s="451" t="str">
        <f>'Rep Ovh Bal'!BW64</f>
        <v/>
      </c>
      <c r="BW576" s="1062">
        <f>'Rep Ovh Bal'!AZ64</f>
        <v>0</v>
      </c>
      <c r="BX576" s="1069">
        <f>'Rep Ovh Bal'!AZ64</f>
        <v>0</v>
      </c>
      <c r="BY576" s="1068"/>
      <c r="BZ576" s="1068"/>
      <c r="CA576" s="451" t="str">
        <f>'Rep Ovh Bal'!CB64</f>
        <v/>
      </c>
      <c r="CB576" s="451" t="str">
        <f>'Rep Ovh Bal'!CC64</f>
        <v/>
      </c>
      <c r="CC576" s="451" t="str">
        <f>'Rep Ovh Bal'!CD64</f>
        <v/>
      </c>
      <c r="CD576" s="451" t="str">
        <f>'Rep Ovh Bal'!CE64</f>
        <v/>
      </c>
      <c r="CE576" s="451" t="str">
        <f>'Rep Ovh Bal'!CF64</f>
        <v/>
      </c>
      <c r="CF576" s="451" t="str">
        <f>'Rep Ovh Bal'!CG64</f>
        <v/>
      </c>
      <c r="CG576" s="451" t="str">
        <f>'Rep Ovh Bal'!CH64</f>
        <v/>
      </c>
      <c r="CH576" s="451" t="str">
        <f>'Rep Ovh Bal'!CI64</f>
        <v/>
      </c>
      <c r="CI576" s="1062">
        <f>'Rep Ovh Bal'!BA64</f>
        <v>0</v>
      </c>
      <c r="CJ576" s="1062">
        <f>'Rep Ovh Bal'!BA64</f>
        <v>0</v>
      </c>
      <c r="CK576" s="1062">
        <f>'Rep Ovh Bal'!BB64</f>
        <v>3733.344</v>
      </c>
      <c r="CL576" s="1064" t="str">
        <f>'Rep Ovh Bal'!BC64</f>
        <v/>
      </c>
      <c r="CM576" s="451" t="str">
        <f>'Rep Ovh Bal'!CN64</f>
        <v/>
      </c>
      <c r="CN576" s="1065" t="str">
        <f>'Rep Ovh Bal'!BE60</f>
        <v/>
      </c>
      <c r="CO576" s="1062" t="str">
        <f>'Rep Ovh Bal'!BF60</f>
        <v/>
      </c>
      <c r="CP576" s="1060" t="str">
        <f>'Rep Ovh Bal'!BG60</f>
        <v/>
      </c>
    </row>
    <row r="577">
      <c r="A577" s="451" t="str">
        <f>'Rep Ovh Bal'!A65</f>
        <v>Repuestos mantenimientos mayores para estaciones y torres</v>
      </c>
      <c r="B577" s="451">
        <f>'Rep Ovh Bal'!B65</f>
        <v>2</v>
      </c>
      <c r="C577" s="451" t="str">
        <f>'Rep Ovh Bal'!C65</f>
        <v>Torres</v>
      </c>
      <c r="D577" s="451" t="str">
        <f>'Rep Ovh Bal'!D65</f>
        <v>OVH balancines TRM</v>
      </c>
      <c r="E577" s="451" t="str">
        <f>'Rep Ovh Bal'!E65</f>
        <v>Repuesto Mecánico</v>
      </c>
      <c r="F577" s="451" t="str">
        <f>'Rep Ovh Bal'!F65</f>
        <v>TDB</v>
      </c>
      <c r="G577" s="1025" t="str">
        <f>'Rep Ovh Bal'!G65</f>
        <v>39800</v>
      </c>
      <c r="H577" s="1061" t="str">
        <f>'Rep Ovh Bal'!H65</f>
        <v>2-01-00589</v>
      </c>
      <c r="I577" s="1061" t="str">
        <f>'Rep Ovh Bal'!I65</f>
        <v>10834428</v>
      </c>
      <c r="J577" s="1061" t="str">
        <f>'Rep Ovh Bal'!J65</f>
        <v>ANILLO DIST. DIÁ.57/35 E=18,5 P. POLEA 420C GALV.+AMARILLO</v>
      </c>
      <c r="K577" s="451" t="str">
        <f>'Rep Ovh Bal'!K65</f>
        <v>Pza</v>
      </c>
      <c r="L577" s="451">
        <f>'Rep Ovh Bal'!L65</f>
        <v>0</v>
      </c>
      <c r="M577" s="451">
        <f>'Rep Ovh Bal'!M65</f>
        <v>0</v>
      </c>
      <c r="N577" s="451">
        <f>'Rep Ovh Bal'!N65</f>
        <v>0</v>
      </c>
      <c r="O577" s="451">
        <f>'Rep Ovh Bal'!O65</f>
        <v>0</v>
      </c>
      <c r="P577" s="451">
        <f>'Rep Ovh Bal'!P65</f>
        <v>0</v>
      </c>
      <c r="Q577" s="451">
        <f>'Rep Ovh Bal'!Q65</f>
        <v>0</v>
      </c>
      <c r="R577" s="451">
        <f>'Rep Ovh Bal'!R65</f>
        <v>0</v>
      </c>
      <c r="S577" s="451">
        <f>'Rep Ovh Bal'!S65</f>
        <v>0</v>
      </c>
      <c r="T577" s="451">
        <f>'Rep Ovh Bal'!T65</f>
        <v>0</v>
      </c>
      <c r="U577" s="451">
        <f>'Rep Ovh Bal'!U65</f>
        <v>0</v>
      </c>
      <c r="V577" s="451">
        <f>'Rep Ovh Bal'!V65</f>
        <v>30</v>
      </c>
      <c r="W577" s="1062">
        <f>'Rep Ovh Bal'!W65</f>
        <v>30</v>
      </c>
      <c r="X577" s="451">
        <f>'Rep Ovh Bal'!X65</f>
        <v>0</v>
      </c>
      <c r="Y577" s="451">
        <f>'Rep Ovh Bal'!Y65</f>
        <v>0</v>
      </c>
      <c r="Z577" s="451">
        <f>'Rep Ovh Bal'!Z65</f>
        <v>0</v>
      </c>
      <c r="AA577" s="451">
        <f>'Rep Ovh Bal'!AA65</f>
        <v>0</v>
      </c>
      <c r="AB577" s="451">
        <f>'Rep Ovh Bal'!AB65</f>
        <v>0</v>
      </c>
      <c r="AC577" s="451">
        <f>'Rep Ovh Bal'!AC65</f>
        <v>0</v>
      </c>
      <c r="AD577" s="451">
        <f>'Rep Ovh Bal'!AD65</f>
        <v>0</v>
      </c>
      <c r="AE577" s="451">
        <f>'Rep Ovh Bal'!AE65</f>
        <v>0</v>
      </c>
      <c r="AF577" s="451">
        <f>'Rep Ovh Bal'!AF65</f>
        <v>0</v>
      </c>
      <c r="AG577" s="451">
        <f>'Rep Ovh Bal'!AG65</f>
        <v>0</v>
      </c>
      <c r="AH577" s="451">
        <f>'Rep Ovh Bal'!AH65</f>
        <v>0</v>
      </c>
      <c r="AI577" s="1062">
        <f>'Rep Ovh Bal'!AI65</f>
        <v>0</v>
      </c>
      <c r="AJ577" s="451">
        <f>'Rep Ovh Bal'!AJ65</f>
        <v>0</v>
      </c>
      <c r="AK577" s="451">
        <f>'Rep Ovh Bal'!AK65</f>
        <v>0</v>
      </c>
      <c r="AL577" s="451">
        <f>'Rep Ovh Bal'!AL65</f>
        <v>0</v>
      </c>
      <c r="AM577" s="451">
        <f>'Rep Ovh Bal'!AM65</f>
        <v>0</v>
      </c>
      <c r="AN577" s="451">
        <f>'Rep Ovh Bal'!AN65</f>
        <v>0</v>
      </c>
      <c r="AO577" s="451">
        <f>'Rep Ovh Bal'!AO65</f>
        <v>0</v>
      </c>
      <c r="AP577" s="451">
        <f>'Rep Ovh Bal'!AP65</f>
        <v>0</v>
      </c>
      <c r="AQ577" s="451">
        <f>'Rep Ovh Bal'!AQ65</f>
        <v>0</v>
      </c>
      <c r="AR577" s="451">
        <f>'Rep Ovh Bal'!AR65</f>
        <v>0</v>
      </c>
      <c r="AS577" s="451">
        <f>'Rep Ovh Bal'!AS65</f>
        <v>0</v>
      </c>
      <c r="AT577" s="451">
        <f>'Rep Ovh Bal'!AT65</f>
        <v>0</v>
      </c>
      <c r="AU577" s="1062">
        <f>'Rep Ovh Bal'!AU65</f>
        <v>0</v>
      </c>
      <c r="AV577" s="1063">
        <f>'Rep Ovh Bal'!AV65</f>
        <v>30</v>
      </c>
      <c r="AW577" s="1068"/>
      <c r="AX577" s="1065">
        <f>'Rep Ovh Bal'!AW65</f>
        <v>14.31</v>
      </c>
      <c r="AY577" s="1062">
        <f>'Rep Ovh Bal'!AX65</f>
        <v>99.5976</v>
      </c>
      <c r="AZ577" s="1068"/>
      <c r="BA577" s="1068"/>
      <c r="BB577" s="1068"/>
      <c r="BC577" s="1068"/>
      <c r="BD577" s="1068"/>
      <c r="BE577" s="1068"/>
      <c r="BF577" s="1065" t="str">
        <f>'Rep Ovh Bal'!BE65</f>
        <v/>
      </c>
      <c r="BG577" s="451" t="str">
        <f>'Rep Ovh Bal'!BH65</f>
        <v/>
      </c>
      <c r="BH577" s="451" t="str">
        <f>'Rep Ovh Bal'!BI65</f>
        <v/>
      </c>
      <c r="BI577" s="451" t="str">
        <f>'Rep Ovh Bal'!BJ65</f>
        <v/>
      </c>
      <c r="BJ577" s="451" t="str">
        <f>'Rep Ovh Bal'!BK65</f>
        <v/>
      </c>
      <c r="BK577" s="1062">
        <f>'Rep Ovh Bal'!AY65</f>
        <v>2987.928</v>
      </c>
      <c r="BL577" s="1069">
        <f>'Rep Ovh Bal'!AY65</f>
        <v>2987.928</v>
      </c>
      <c r="BM577" s="1068"/>
      <c r="BN577" s="1068"/>
      <c r="BO577" s="1068"/>
      <c r="BP577" s="451" t="str">
        <f>'Rep Ovh Bal'!BQ65</f>
        <v/>
      </c>
      <c r="BQ577" s="451" t="str">
        <f>'Rep Ovh Bal'!BR65</f>
        <v/>
      </c>
      <c r="BR577" s="451" t="str">
        <f>'Rep Ovh Bal'!BS65</f>
        <v/>
      </c>
      <c r="BS577" s="451" t="str">
        <f>'Rep Ovh Bal'!BT65</f>
        <v/>
      </c>
      <c r="BT577" s="451" t="str">
        <f>'Rep Ovh Bal'!BU65</f>
        <v/>
      </c>
      <c r="BU577" s="451" t="str">
        <f>'Rep Ovh Bal'!BV65</f>
        <v/>
      </c>
      <c r="BV577" s="451" t="str">
        <f>'Rep Ovh Bal'!BW65</f>
        <v/>
      </c>
      <c r="BW577" s="1062">
        <f>'Rep Ovh Bal'!AZ65</f>
        <v>0</v>
      </c>
      <c r="BX577" s="1069">
        <f>'Rep Ovh Bal'!AZ65</f>
        <v>0</v>
      </c>
      <c r="BY577" s="1068"/>
      <c r="BZ577" s="1068"/>
      <c r="CA577" s="451" t="str">
        <f>'Rep Ovh Bal'!CB65</f>
        <v/>
      </c>
      <c r="CB577" s="451" t="str">
        <f>'Rep Ovh Bal'!CC65</f>
        <v/>
      </c>
      <c r="CC577" s="451" t="str">
        <f>'Rep Ovh Bal'!CD65</f>
        <v/>
      </c>
      <c r="CD577" s="451" t="str">
        <f>'Rep Ovh Bal'!CE65</f>
        <v/>
      </c>
      <c r="CE577" s="451" t="str">
        <f>'Rep Ovh Bal'!CF65</f>
        <v/>
      </c>
      <c r="CF577" s="451" t="str">
        <f>'Rep Ovh Bal'!CG65</f>
        <v/>
      </c>
      <c r="CG577" s="451" t="str">
        <f>'Rep Ovh Bal'!CH65</f>
        <v/>
      </c>
      <c r="CH577" s="451" t="str">
        <f>'Rep Ovh Bal'!CI65</f>
        <v/>
      </c>
      <c r="CI577" s="1062">
        <f>'Rep Ovh Bal'!BA65</f>
        <v>0</v>
      </c>
      <c r="CJ577" s="1062">
        <f>'Rep Ovh Bal'!BA65</f>
        <v>0</v>
      </c>
      <c r="CK577" s="1062">
        <f>'Rep Ovh Bal'!BB65</f>
        <v>2987.928</v>
      </c>
      <c r="CL577" s="1064" t="str">
        <f>'Rep Ovh Bal'!BC65</f>
        <v/>
      </c>
      <c r="CM577" s="451" t="str">
        <f>'Rep Ovh Bal'!CN65</f>
        <v/>
      </c>
      <c r="CN577" s="1065" t="str">
        <f>'Rep Ovh Bal'!BE61</f>
        <v/>
      </c>
      <c r="CO577" s="1062" t="str">
        <f>'Rep Ovh Bal'!BF61</f>
        <v/>
      </c>
      <c r="CP577" s="1060" t="str">
        <f>'Rep Ovh Bal'!BG61</f>
        <v/>
      </c>
    </row>
    <row r="578">
      <c r="A578" s="451" t="str">
        <f>'Rep Ovh Bal'!A66</f>
        <v>Repuestos mantenimientos mayores para estaciones y torres</v>
      </c>
      <c r="B578" s="451">
        <f>'Rep Ovh Bal'!B66</f>
        <v>2</v>
      </c>
      <c r="C578" s="451" t="str">
        <f>'Rep Ovh Bal'!C66</f>
        <v>Torres</v>
      </c>
      <c r="D578" s="451" t="str">
        <f>'Rep Ovh Bal'!D66</f>
        <v>OVH balancines TRM</v>
      </c>
      <c r="E578" s="451" t="str">
        <f>'Rep Ovh Bal'!E66</f>
        <v>Repuesto Mecánico</v>
      </c>
      <c r="F578" s="451" t="str">
        <f>'Rep Ovh Bal'!F66</f>
        <v>TDB</v>
      </c>
      <c r="G578" s="1025" t="str">
        <f>'Rep Ovh Bal'!G66</f>
        <v>39800</v>
      </c>
      <c r="H578" s="1061" t="str">
        <f>'Rep Ovh Bal'!H66</f>
        <v>2-01-00294</v>
      </c>
      <c r="I578" s="1061" t="str">
        <f>'Rep Ovh Bal'!I66</f>
        <v>10870308</v>
      </c>
      <c r="J578" s="1061" t="str">
        <f>'Rep Ovh Bal'!J66</f>
        <v>POLEA        501C CL100 DIA525 C.LAMINILLAS EMP.,RRB ESP.,PAC</v>
      </c>
      <c r="K578" s="451" t="str">
        <f>'Rep Ovh Bal'!K66</f>
        <v>Pza</v>
      </c>
      <c r="L578" s="451">
        <f>'Rep Ovh Bal'!L66</f>
        <v>0</v>
      </c>
      <c r="M578" s="451">
        <f>'Rep Ovh Bal'!M66</f>
        <v>0</v>
      </c>
      <c r="N578" s="451">
        <f>'Rep Ovh Bal'!N66</f>
        <v>0</v>
      </c>
      <c r="O578" s="451">
        <f>'Rep Ovh Bal'!O66</f>
        <v>0</v>
      </c>
      <c r="P578" s="451">
        <f>'Rep Ovh Bal'!P66</f>
        <v>0</v>
      </c>
      <c r="Q578" s="451">
        <f>'Rep Ovh Bal'!Q66</f>
        <v>0</v>
      </c>
      <c r="R578" s="451">
        <f>'Rep Ovh Bal'!R66</f>
        <v>0</v>
      </c>
      <c r="S578" s="451">
        <f>'Rep Ovh Bal'!S66</f>
        <v>0</v>
      </c>
      <c r="T578" s="451">
        <f>'Rep Ovh Bal'!T66</f>
        <v>0</v>
      </c>
      <c r="U578" s="451">
        <f>'Rep Ovh Bal'!U66</f>
        <v>0</v>
      </c>
      <c r="V578" s="451">
        <f>'Rep Ovh Bal'!V66</f>
        <v>5</v>
      </c>
      <c r="W578" s="1062">
        <f>'Rep Ovh Bal'!W66</f>
        <v>5</v>
      </c>
      <c r="X578" s="451">
        <f>'Rep Ovh Bal'!X66</f>
        <v>0</v>
      </c>
      <c r="Y578" s="451">
        <f>'Rep Ovh Bal'!Y66</f>
        <v>0</v>
      </c>
      <c r="Z578" s="451">
        <f>'Rep Ovh Bal'!Z66</f>
        <v>0</v>
      </c>
      <c r="AA578" s="451">
        <f>'Rep Ovh Bal'!AA66</f>
        <v>0</v>
      </c>
      <c r="AB578" s="451">
        <f>'Rep Ovh Bal'!AB66</f>
        <v>0</v>
      </c>
      <c r="AC578" s="451">
        <f>'Rep Ovh Bal'!AC66</f>
        <v>0</v>
      </c>
      <c r="AD578" s="451">
        <f>'Rep Ovh Bal'!AD66</f>
        <v>0</v>
      </c>
      <c r="AE578" s="451">
        <f>'Rep Ovh Bal'!AE66</f>
        <v>0</v>
      </c>
      <c r="AF578" s="451">
        <f>'Rep Ovh Bal'!AF66</f>
        <v>0</v>
      </c>
      <c r="AG578" s="451">
        <f>'Rep Ovh Bal'!AG66</f>
        <v>0</v>
      </c>
      <c r="AH578" s="451">
        <f>'Rep Ovh Bal'!AH66</f>
        <v>0</v>
      </c>
      <c r="AI578" s="1062">
        <f>'Rep Ovh Bal'!AI66</f>
        <v>0</v>
      </c>
      <c r="AJ578" s="451">
        <f>'Rep Ovh Bal'!AJ66</f>
        <v>0</v>
      </c>
      <c r="AK578" s="451">
        <f>'Rep Ovh Bal'!AK66</f>
        <v>0</v>
      </c>
      <c r="AL578" s="451">
        <f>'Rep Ovh Bal'!AL66</f>
        <v>0</v>
      </c>
      <c r="AM578" s="451">
        <f>'Rep Ovh Bal'!AM66</f>
        <v>0</v>
      </c>
      <c r="AN578" s="451">
        <f>'Rep Ovh Bal'!AN66</f>
        <v>0</v>
      </c>
      <c r="AO578" s="451">
        <f>'Rep Ovh Bal'!AO66</f>
        <v>0</v>
      </c>
      <c r="AP578" s="451">
        <f>'Rep Ovh Bal'!AP66</f>
        <v>0</v>
      </c>
      <c r="AQ578" s="451">
        <f>'Rep Ovh Bal'!AQ66</f>
        <v>0</v>
      </c>
      <c r="AR578" s="451">
        <f>'Rep Ovh Bal'!AR66</f>
        <v>0</v>
      </c>
      <c r="AS578" s="451">
        <f>'Rep Ovh Bal'!AS66</f>
        <v>0</v>
      </c>
      <c r="AT578" s="451">
        <f>'Rep Ovh Bal'!AT66</f>
        <v>0</v>
      </c>
      <c r="AU578" s="1062">
        <f>'Rep Ovh Bal'!AU66</f>
        <v>0</v>
      </c>
      <c r="AV578" s="1063">
        <f>'Rep Ovh Bal'!AV66</f>
        <v>5</v>
      </c>
      <c r="AW578" s="1068"/>
      <c r="AX578" s="1065">
        <f>'Rep Ovh Bal'!AW66</f>
        <v>2251</v>
      </c>
      <c r="AY578" s="1062">
        <f>'Rep Ovh Bal'!AX66</f>
        <v>15666.96</v>
      </c>
      <c r="AZ578" s="1068"/>
      <c r="BA578" s="1068"/>
      <c r="BB578" s="1068"/>
      <c r="BC578" s="1068"/>
      <c r="BD578" s="1068"/>
      <c r="BE578" s="1068"/>
      <c r="BF578" s="1065" t="str">
        <f>'Rep Ovh Bal'!BE66</f>
        <v/>
      </c>
      <c r="BG578" s="451" t="str">
        <f>'Rep Ovh Bal'!BH66</f>
        <v/>
      </c>
      <c r="BH578" s="451" t="str">
        <f>'Rep Ovh Bal'!BI66</f>
        <v/>
      </c>
      <c r="BI578" s="451" t="str">
        <f>'Rep Ovh Bal'!BJ66</f>
        <v/>
      </c>
      <c r="BJ578" s="451" t="str">
        <f>'Rep Ovh Bal'!BK66</f>
        <v/>
      </c>
      <c r="BK578" s="1062">
        <f>'Rep Ovh Bal'!AY66</f>
        <v>78334.8</v>
      </c>
      <c r="BL578" s="1069">
        <f>'Rep Ovh Bal'!AY66</f>
        <v>78334.8</v>
      </c>
      <c r="BM578" s="1068"/>
      <c r="BN578" s="1068"/>
      <c r="BO578" s="1068"/>
      <c r="BP578" s="451" t="str">
        <f>'Rep Ovh Bal'!BQ66</f>
        <v/>
      </c>
      <c r="BQ578" s="451" t="str">
        <f>'Rep Ovh Bal'!BR66</f>
        <v/>
      </c>
      <c r="BR578" s="451" t="str">
        <f>'Rep Ovh Bal'!BS66</f>
        <v/>
      </c>
      <c r="BS578" s="451" t="str">
        <f>'Rep Ovh Bal'!BT66</f>
        <v/>
      </c>
      <c r="BT578" s="451" t="str">
        <f>'Rep Ovh Bal'!BU66</f>
        <v/>
      </c>
      <c r="BU578" s="451" t="str">
        <f>'Rep Ovh Bal'!BV66</f>
        <v/>
      </c>
      <c r="BV578" s="451" t="str">
        <f>'Rep Ovh Bal'!BW66</f>
        <v/>
      </c>
      <c r="BW578" s="1062">
        <f>'Rep Ovh Bal'!AZ66</f>
        <v>0</v>
      </c>
      <c r="BX578" s="1069">
        <f>'Rep Ovh Bal'!AZ66</f>
        <v>0</v>
      </c>
      <c r="BY578" s="1068"/>
      <c r="BZ578" s="1068"/>
      <c r="CA578" s="451" t="str">
        <f>'Rep Ovh Bal'!CB66</f>
        <v/>
      </c>
      <c r="CB578" s="451" t="str">
        <f>'Rep Ovh Bal'!CC66</f>
        <v/>
      </c>
      <c r="CC578" s="451" t="str">
        <f>'Rep Ovh Bal'!CD66</f>
        <v/>
      </c>
      <c r="CD578" s="451" t="str">
        <f>'Rep Ovh Bal'!CE66</f>
        <v/>
      </c>
      <c r="CE578" s="451" t="str">
        <f>'Rep Ovh Bal'!CF66</f>
        <v/>
      </c>
      <c r="CF578" s="451" t="str">
        <f>'Rep Ovh Bal'!CG66</f>
        <v/>
      </c>
      <c r="CG578" s="451" t="str">
        <f>'Rep Ovh Bal'!CH66</f>
        <v/>
      </c>
      <c r="CH578" s="451" t="str">
        <f>'Rep Ovh Bal'!CI66</f>
        <v/>
      </c>
      <c r="CI578" s="1062">
        <f>'Rep Ovh Bal'!BA66</f>
        <v>0</v>
      </c>
      <c r="CJ578" s="1062">
        <f>'Rep Ovh Bal'!BA66</f>
        <v>0</v>
      </c>
      <c r="CK578" s="1062">
        <f>'Rep Ovh Bal'!BB66</f>
        <v>78334.8</v>
      </c>
      <c r="CL578" s="1064" t="str">
        <f>'Rep Ovh Bal'!BC66</f>
        <v/>
      </c>
      <c r="CM578" s="451" t="str">
        <f>'Rep Ovh Bal'!CN66</f>
        <v/>
      </c>
      <c r="CN578" s="1065" t="str">
        <f>'Rep Ovh Bal'!BE62</f>
        <v/>
      </c>
      <c r="CO578" s="1062" t="str">
        <f>'Rep Ovh Bal'!BF62</f>
        <v/>
      </c>
      <c r="CP578" s="1060" t="str">
        <f>'Rep Ovh Bal'!BG62</f>
        <v/>
      </c>
    </row>
    <row r="579">
      <c r="A579" s="451" t="str">
        <f>'Rep Ovh Bal'!A67</f>
        <v>Repuestos mantenimientos mayores para estaciones y torres</v>
      </c>
      <c r="B579" s="451">
        <f>'Rep Ovh Bal'!B67</f>
        <v>2</v>
      </c>
      <c r="C579" s="451" t="str">
        <f>'Rep Ovh Bal'!C67</f>
        <v>Torres</v>
      </c>
      <c r="D579" s="451" t="str">
        <f>'Rep Ovh Bal'!D67</f>
        <v>OVH balancines TRM</v>
      </c>
      <c r="E579" s="451" t="str">
        <f>'Rep Ovh Bal'!E67</f>
        <v>Repuesto Mecánico</v>
      </c>
      <c r="F579" s="451" t="str">
        <f>'Rep Ovh Bal'!F67</f>
        <v>TDB</v>
      </c>
      <c r="G579" s="1025" t="str">
        <f>'Rep Ovh Bal'!G67</f>
        <v>39800</v>
      </c>
      <c r="H579" s="1061" t="str">
        <f>'Rep Ovh Bal'!H67</f>
        <v>2-01-00600</v>
      </c>
      <c r="I579" s="1061" t="str">
        <f>'Rep Ovh Bal'!I67</f>
        <v>10870719</v>
      </c>
      <c r="J579" s="1061" t="str">
        <f>'Rep Ovh Bal'!J67</f>
        <v>POLEA       420C LW 93 DIA.455 C.LAMINILLAS EMP.,RRB ESP.,PAC</v>
      </c>
      <c r="K579" s="451" t="str">
        <f>'Rep Ovh Bal'!K67</f>
        <v>Pza</v>
      </c>
      <c r="L579" s="451">
        <f>'Rep Ovh Bal'!L67</f>
        <v>0</v>
      </c>
      <c r="M579" s="451">
        <f>'Rep Ovh Bal'!M67</f>
        <v>0</v>
      </c>
      <c r="N579" s="451">
        <f>'Rep Ovh Bal'!N67</f>
        <v>0</v>
      </c>
      <c r="O579" s="451">
        <f>'Rep Ovh Bal'!O67</f>
        <v>0</v>
      </c>
      <c r="P579" s="451">
        <f>'Rep Ovh Bal'!P67</f>
        <v>0</v>
      </c>
      <c r="Q579" s="451">
        <f>'Rep Ovh Bal'!Q67</f>
        <v>0</v>
      </c>
      <c r="R579" s="451">
        <f>'Rep Ovh Bal'!R67</f>
        <v>0</v>
      </c>
      <c r="S579" s="451">
        <f>'Rep Ovh Bal'!S67</f>
        <v>0</v>
      </c>
      <c r="T579" s="451">
        <f>'Rep Ovh Bal'!T67</f>
        <v>0</v>
      </c>
      <c r="U579" s="451">
        <f>'Rep Ovh Bal'!U67</f>
        <v>0</v>
      </c>
      <c r="V579" s="451">
        <f>'Rep Ovh Bal'!V67</f>
        <v>6</v>
      </c>
      <c r="W579" s="1062">
        <f>'Rep Ovh Bal'!W67</f>
        <v>6</v>
      </c>
      <c r="X579" s="451">
        <f>'Rep Ovh Bal'!X67</f>
        <v>0</v>
      </c>
      <c r="Y579" s="451">
        <f>'Rep Ovh Bal'!Y67</f>
        <v>0</v>
      </c>
      <c r="Z579" s="451">
        <f>'Rep Ovh Bal'!Z67</f>
        <v>0</v>
      </c>
      <c r="AA579" s="451">
        <f>'Rep Ovh Bal'!AA67</f>
        <v>0</v>
      </c>
      <c r="AB579" s="451">
        <f>'Rep Ovh Bal'!AB67</f>
        <v>0</v>
      </c>
      <c r="AC579" s="451">
        <f>'Rep Ovh Bal'!AC67</f>
        <v>0</v>
      </c>
      <c r="AD579" s="451">
        <f>'Rep Ovh Bal'!AD67</f>
        <v>0</v>
      </c>
      <c r="AE579" s="451">
        <f>'Rep Ovh Bal'!AE67</f>
        <v>0</v>
      </c>
      <c r="AF579" s="451">
        <f>'Rep Ovh Bal'!AF67</f>
        <v>0</v>
      </c>
      <c r="AG579" s="451">
        <f>'Rep Ovh Bal'!AG67</f>
        <v>0</v>
      </c>
      <c r="AH579" s="451">
        <f>'Rep Ovh Bal'!AH67</f>
        <v>0</v>
      </c>
      <c r="AI579" s="1062">
        <f>'Rep Ovh Bal'!AI67</f>
        <v>0</v>
      </c>
      <c r="AJ579" s="451">
        <f>'Rep Ovh Bal'!AJ67</f>
        <v>0</v>
      </c>
      <c r="AK579" s="451">
        <f>'Rep Ovh Bal'!AK67</f>
        <v>0</v>
      </c>
      <c r="AL579" s="451">
        <f>'Rep Ovh Bal'!AL67</f>
        <v>0</v>
      </c>
      <c r="AM579" s="451">
        <f>'Rep Ovh Bal'!AM67</f>
        <v>0</v>
      </c>
      <c r="AN579" s="451">
        <f>'Rep Ovh Bal'!AN67</f>
        <v>0</v>
      </c>
      <c r="AO579" s="451">
        <f>'Rep Ovh Bal'!AO67</f>
        <v>0</v>
      </c>
      <c r="AP579" s="451">
        <f>'Rep Ovh Bal'!AP67</f>
        <v>0</v>
      </c>
      <c r="AQ579" s="451">
        <f>'Rep Ovh Bal'!AQ67</f>
        <v>0</v>
      </c>
      <c r="AR579" s="451">
        <f>'Rep Ovh Bal'!AR67</f>
        <v>0</v>
      </c>
      <c r="AS579" s="451">
        <f>'Rep Ovh Bal'!AS67</f>
        <v>0</v>
      </c>
      <c r="AT579" s="451">
        <f>'Rep Ovh Bal'!AT67</f>
        <v>0</v>
      </c>
      <c r="AU579" s="1062">
        <f>'Rep Ovh Bal'!AU67</f>
        <v>0</v>
      </c>
      <c r="AV579" s="1063">
        <f>'Rep Ovh Bal'!AV67</f>
        <v>6</v>
      </c>
      <c r="AW579" s="1068"/>
      <c r="AX579" s="1065">
        <f>'Rep Ovh Bal'!AW67</f>
        <v>1700.84</v>
      </c>
      <c r="AY579" s="1062">
        <f>'Rep Ovh Bal'!AX67</f>
        <v>11837.8464</v>
      </c>
      <c r="AZ579" s="1068"/>
      <c r="BA579" s="1068"/>
      <c r="BB579" s="1068"/>
      <c r="BC579" s="1068"/>
      <c r="BD579" s="1068"/>
      <c r="BE579" s="1068"/>
      <c r="BF579" s="1065" t="str">
        <f>'Rep Ovh Bal'!BE67</f>
        <v/>
      </c>
      <c r="BG579" s="451" t="str">
        <f>'Rep Ovh Bal'!BH67</f>
        <v/>
      </c>
      <c r="BH579" s="451" t="str">
        <f>'Rep Ovh Bal'!BI67</f>
        <v/>
      </c>
      <c r="BI579" s="451" t="str">
        <f>'Rep Ovh Bal'!BJ67</f>
        <v/>
      </c>
      <c r="BJ579" s="451" t="str">
        <f>'Rep Ovh Bal'!BK67</f>
        <v/>
      </c>
      <c r="BK579" s="1062">
        <f>'Rep Ovh Bal'!AY67</f>
        <v>71027.0784</v>
      </c>
      <c r="BL579" s="1069">
        <f>'Rep Ovh Bal'!AY67</f>
        <v>71027.0784</v>
      </c>
      <c r="BM579" s="1068"/>
      <c r="BN579" s="1068"/>
      <c r="BO579" s="1068"/>
      <c r="BP579" s="451" t="str">
        <f>'Rep Ovh Bal'!BQ67</f>
        <v/>
      </c>
      <c r="BQ579" s="451" t="str">
        <f>'Rep Ovh Bal'!BR67</f>
        <v/>
      </c>
      <c r="BR579" s="451" t="str">
        <f>'Rep Ovh Bal'!BS67</f>
        <v/>
      </c>
      <c r="BS579" s="451" t="str">
        <f>'Rep Ovh Bal'!BT67</f>
        <v/>
      </c>
      <c r="BT579" s="451" t="str">
        <f>'Rep Ovh Bal'!BU67</f>
        <v/>
      </c>
      <c r="BU579" s="451" t="str">
        <f>'Rep Ovh Bal'!BV67</f>
        <v/>
      </c>
      <c r="BV579" s="451" t="str">
        <f>'Rep Ovh Bal'!BW67</f>
        <v/>
      </c>
      <c r="BW579" s="1062">
        <f>'Rep Ovh Bal'!AZ67</f>
        <v>0</v>
      </c>
      <c r="BX579" s="1069">
        <f>'Rep Ovh Bal'!AZ67</f>
        <v>0</v>
      </c>
      <c r="BY579" s="1068"/>
      <c r="BZ579" s="1068"/>
      <c r="CA579" s="451" t="str">
        <f>'Rep Ovh Bal'!CB67</f>
        <v/>
      </c>
      <c r="CB579" s="451" t="str">
        <f>'Rep Ovh Bal'!CC67</f>
        <v/>
      </c>
      <c r="CC579" s="451" t="str">
        <f>'Rep Ovh Bal'!CD67</f>
        <v/>
      </c>
      <c r="CD579" s="451" t="str">
        <f>'Rep Ovh Bal'!CE67</f>
        <v/>
      </c>
      <c r="CE579" s="451" t="str">
        <f>'Rep Ovh Bal'!CF67</f>
        <v/>
      </c>
      <c r="CF579" s="451" t="str">
        <f>'Rep Ovh Bal'!CG67</f>
        <v/>
      </c>
      <c r="CG579" s="451" t="str">
        <f>'Rep Ovh Bal'!CH67</f>
        <v/>
      </c>
      <c r="CH579" s="451" t="str">
        <f>'Rep Ovh Bal'!CI67</f>
        <v/>
      </c>
      <c r="CI579" s="1062">
        <f>'Rep Ovh Bal'!BA67</f>
        <v>0</v>
      </c>
      <c r="CJ579" s="1062">
        <f>'Rep Ovh Bal'!BA67</f>
        <v>0</v>
      </c>
      <c r="CK579" s="1062">
        <f>'Rep Ovh Bal'!BB67</f>
        <v>71027.0784</v>
      </c>
      <c r="CL579" s="1064" t="str">
        <f>'Rep Ovh Bal'!BC67</f>
        <v/>
      </c>
      <c r="CM579" s="451" t="str">
        <f>'Rep Ovh Bal'!CN67</f>
        <v/>
      </c>
      <c r="CN579" s="1065" t="str">
        <f>'Rep Ovh Bal'!BE63</f>
        <v/>
      </c>
      <c r="CO579" s="1062" t="str">
        <f>'Rep Ovh Bal'!BF63</f>
        <v/>
      </c>
      <c r="CP579" s="1060" t="str">
        <f>'Rep Ovh Bal'!BG63</f>
        <v/>
      </c>
    </row>
    <row r="580">
      <c r="A580" s="451" t="str">
        <f>'Rep Ovh Bal'!A68</f>
        <v>Repuestos mantenimientos mayores para estaciones y torres</v>
      </c>
      <c r="B580" s="451">
        <f>'Rep Ovh Bal'!B68</f>
        <v>2</v>
      </c>
      <c r="C580" s="451" t="str">
        <f>'Rep Ovh Bal'!C68</f>
        <v>Torres</v>
      </c>
      <c r="D580" s="451" t="str">
        <f>'Rep Ovh Bal'!D68</f>
        <v>OVH balancines TRM</v>
      </c>
      <c r="E580" s="451" t="str">
        <f>'Rep Ovh Bal'!E68</f>
        <v>Repuesto Mecánico</v>
      </c>
      <c r="F580" s="451" t="str">
        <f>'Rep Ovh Bal'!F68</f>
        <v>TDB</v>
      </c>
      <c r="G580" s="1025" t="str">
        <f>'Rep Ovh Bal'!G68</f>
        <v>39800</v>
      </c>
      <c r="H580" s="1061" t="str">
        <f>'Rep Ovh Bal'!H68</f>
        <v>2-01-00044</v>
      </c>
      <c r="I580" s="1061" t="str">
        <f>'Rep Ovh Bal'!I68</f>
        <v>10871370</v>
      </c>
      <c r="J580" s="1061" t="str">
        <f>'Rep Ovh Bal'!J68</f>
        <v>ARANDELA OBTURAD.-Z010F 50X 80 DISEÑO ESPEC. DE LA SUPERFICIE</v>
      </c>
      <c r="K580" s="451" t="str">
        <f>'Rep Ovh Bal'!K68</f>
        <v>Pza</v>
      </c>
      <c r="L580" s="451">
        <f>'Rep Ovh Bal'!L68</f>
        <v>0</v>
      </c>
      <c r="M580" s="451">
        <f>'Rep Ovh Bal'!M68</f>
        <v>0</v>
      </c>
      <c r="N580" s="451">
        <f>'Rep Ovh Bal'!N68</f>
        <v>0</v>
      </c>
      <c r="O580" s="451">
        <f>'Rep Ovh Bal'!O68</f>
        <v>0</v>
      </c>
      <c r="P580" s="451">
        <f>'Rep Ovh Bal'!P68</f>
        <v>0</v>
      </c>
      <c r="Q580" s="451">
        <f>'Rep Ovh Bal'!Q68</f>
        <v>0</v>
      </c>
      <c r="R580" s="451">
        <f>'Rep Ovh Bal'!R68</f>
        <v>0</v>
      </c>
      <c r="S580" s="451">
        <f>'Rep Ovh Bal'!S68</f>
        <v>0</v>
      </c>
      <c r="T580" s="451">
        <f>'Rep Ovh Bal'!T68</f>
        <v>0</v>
      </c>
      <c r="U580" s="451">
        <f>'Rep Ovh Bal'!U68</f>
        <v>0</v>
      </c>
      <c r="V580" s="451">
        <f>'Rep Ovh Bal'!V68</f>
        <v>30</v>
      </c>
      <c r="W580" s="1062">
        <f>'Rep Ovh Bal'!W68</f>
        <v>30</v>
      </c>
      <c r="X580" s="451">
        <f>'Rep Ovh Bal'!X68</f>
        <v>0</v>
      </c>
      <c r="Y580" s="451">
        <f>'Rep Ovh Bal'!Y68</f>
        <v>0</v>
      </c>
      <c r="Z580" s="451">
        <f>'Rep Ovh Bal'!Z68</f>
        <v>0</v>
      </c>
      <c r="AA580" s="451">
        <f>'Rep Ovh Bal'!AA68</f>
        <v>0</v>
      </c>
      <c r="AB580" s="451">
        <f>'Rep Ovh Bal'!AB68</f>
        <v>0</v>
      </c>
      <c r="AC580" s="451">
        <f>'Rep Ovh Bal'!AC68</f>
        <v>0</v>
      </c>
      <c r="AD580" s="451">
        <f>'Rep Ovh Bal'!AD68</f>
        <v>0</v>
      </c>
      <c r="AE580" s="451">
        <f>'Rep Ovh Bal'!AE68</f>
        <v>0</v>
      </c>
      <c r="AF580" s="451">
        <f>'Rep Ovh Bal'!AF68</f>
        <v>0</v>
      </c>
      <c r="AG580" s="451">
        <f>'Rep Ovh Bal'!AG68</f>
        <v>0</v>
      </c>
      <c r="AH580" s="451">
        <f>'Rep Ovh Bal'!AH68</f>
        <v>0</v>
      </c>
      <c r="AI580" s="1062">
        <f>'Rep Ovh Bal'!AI68</f>
        <v>0</v>
      </c>
      <c r="AJ580" s="451">
        <f>'Rep Ovh Bal'!AJ68</f>
        <v>0</v>
      </c>
      <c r="AK580" s="451">
        <f>'Rep Ovh Bal'!AK68</f>
        <v>0</v>
      </c>
      <c r="AL580" s="451">
        <f>'Rep Ovh Bal'!AL68</f>
        <v>0</v>
      </c>
      <c r="AM580" s="451">
        <f>'Rep Ovh Bal'!AM68</f>
        <v>0</v>
      </c>
      <c r="AN580" s="451">
        <f>'Rep Ovh Bal'!AN68</f>
        <v>0</v>
      </c>
      <c r="AO580" s="451">
        <f>'Rep Ovh Bal'!AO68</f>
        <v>0</v>
      </c>
      <c r="AP580" s="451">
        <f>'Rep Ovh Bal'!AP68</f>
        <v>0</v>
      </c>
      <c r="AQ580" s="451">
        <f>'Rep Ovh Bal'!AQ68</f>
        <v>0</v>
      </c>
      <c r="AR580" s="451">
        <f>'Rep Ovh Bal'!AR68</f>
        <v>0</v>
      </c>
      <c r="AS580" s="451">
        <f>'Rep Ovh Bal'!AS68</f>
        <v>0</v>
      </c>
      <c r="AT580" s="451">
        <f>'Rep Ovh Bal'!AT68</f>
        <v>0</v>
      </c>
      <c r="AU580" s="1062">
        <f>'Rep Ovh Bal'!AU68</f>
        <v>0</v>
      </c>
      <c r="AV580" s="1063">
        <f>'Rep Ovh Bal'!AV68</f>
        <v>30</v>
      </c>
      <c r="AW580" s="1068"/>
      <c r="AX580" s="1065">
        <f>'Rep Ovh Bal'!AW68</f>
        <v>23</v>
      </c>
      <c r="AY580" s="1062">
        <f>'Rep Ovh Bal'!AX68</f>
        <v>160.08</v>
      </c>
      <c r="AZ580" s="1068"/>
      <c r="BA580" s="1068"/>
      <c r="BB580" s="1068"/>
      <c r="BC580" s="1068"/>
      <c r="BD580" s="1068"/>
      <c r="BE580" s="1068"/>
      <c r="BF580" s="1065" t="str">
        <f>'Rep Ovh Bal'!BE68</f>
        <v/>
      </c>
      <c r="BG580" s="451" t="str">
        <f>'Rep Ovh Bal'!BH68</f>
        <v/>
      </c>
      <c r="BH580" s="451" t="str">
        <f>'Rep Ovh Bal'!BI68</f>
        <v/>
      </c>
      <c r="BI580" s="451" t="str">
        <f>'Rep Ovh Bal'!BJ68</f>
        <v/>
      </c>
      <c r="BJ580" s="451" t="str">
        <f>'Rep Ovh Bal'!BK68</f>
        <v/>
      </c>
      <c r="BK580" s="1062">
        <f>'Rep Ovh Bal'!AY68</f>
        <v>4802.4</v>
      </c>
      <c r="BL580" s="1069">
        <f>'Rep Ovh Bal'!AY68</f>
        <v>4802.4</v>
      </c>
      <c r="BM580" s="1068"/>
      <c r="BN580" s="1068"/>
      <c r="BO580" s="1068"/>
      <c r="BP580" s="451" t="str">
        <f>'Rep Ovh Bal'!BQ68</f>
        <v/>
      </c>
      <c r="BQ580" s="451" t="str">
        <f>'Rep Ovh Bal'!BR68</f>
        <v/>
      </c>
      <c r="BR580" s="451" t="str">
        <f>'Rep Ovh Bal'!BS68</f>
        <v/>
      </c>
      <c r="BS580" s="451" t="str">
        <f>'Rep Ovh Bal'!BT68</f>
        <v/>
      </c>
      <c r="BT580" s="451" t="str">
        <f>'Rep Ovh Bal'!BU68</f>
        <v/>
      </c>
      <c r="BU580" s="451" t="str">
        <f>'Rep Ovh Bal'!BV68</f>
        <v/>
      </c>
      <c r="BV580" s="451" t="str">
        <f>'Rep Ovh Bal'!BW68</f>
        <v/>
      </c>
      <c r="BW580" s="1062">
        <f>'Rep Ovh Bal'!AZ68</f>
        <v>0</v>
      </c>
      <c r="BX580" s="1069">
        <f>'Rep Ovh Bal'!AZ68</f>
        <v>0</v>
      </c>
      <c r="BY580" s="1068"/>
      <c r="BZ580" s="1068"/>
      <c r="CA580" s="451" t="str">
        <f>'Rep Ovh Bal'!CB68</f>
        <v/>
      </c>
      <c r="CB580" s="451" t="str">
        <f>'Rep Ovh Bal'!CC68</f>
        <v/>
      </c>
      <c r="CC580" s="451" t="str">
        <f>'Rep Ovh Bal'!CD68</f>
        <v/>
      </c>
      <c r="CD580" s="451" t="str">
        <f>'Rep Ovh Bal'!CE68</f>
        <v/>
      </c>
      <c r="CE580" s="451" t="str">
        <f>'Rep Ovh Bal'!CF68</f>
        <v/>
      </c>
      <c r="CF580" s="451" t="str">
        <f>'Rep Ovh Bal'!CG68</f>
        <v/>
      </c>
      <c r="CG580" s="451" t="str">
        <f>'Rep Ovh Bal'!CH68</f>
        <v/>
      </c>
      <c r="CH580" s="451" t="str">
        <f>'Rep Ovh Bal'!CI68</f>
        <v/>
      </c>
      <c r="CI580" s="1062">
        <f>'Rep Ovh Bal'!BA68</f>
        <v>0</v>
      </c>
      <c r="CJ580" s="1062">
        <f>'Rep Ovh Bal'!BA68</f>
        <v>0</v>
      </c>
      <c r="CK580" s="1062">
        <f>'Rep Ovh Bal'!BB68</f>
        <v>4802.4</v>
      </c>
      <c r="CL580" s="1064" t="str">
        <f>'Rep Ovh Bal'!BC68</f>
        <v/>
      </c>
      <c r="CM580" s="451" t="str">
        <f>'Rep Ovh Bal'!CN68</f>
        <v/>
      </c>
      <c r="CN580" s="1065" t="str">
        <f>'Rep Ovh Bal'!BE64</f>
        <v/>
      </c>
      <c r="CO580" s="1062" t="str">
        <f>'Rep Ovh Bal'!BF64</f>
        <v/>
      </c>
      <c r="CP580" s="1060" t="str">
        <f>'Rep Ovh Bal'!BG64</f>
        <v/>
      </c>
    </row>
    <row r="581">
      <c r="A581" s="451" t="str">
        <f>'Rep Ovh Bal'!A69</f>
        <v>Repuestos mantenimientos mayores para estaciones y torres</v>
      </c>
      <c r="B581" s="451">
        <f>'Rep Ovh Bal'!B69</f>
        <v>2</v>
      </c>
      <c r="C581" s="451" t="str">
        <f>'Rep Ovh Bal'!C69</f>
        <v>Torres</v>
      </c>
      <c r="D581" s="451" t="str">
        <f>'Rep Ovh Bal'!D69</f>
        <v>OVH balancines TRM</v>
      </c>
      <c r="E581" s="451" t="str">
        <f>'Rep Ovh Bal'!E69</f>
        <v>Repuesto Mecánico</v>
      </c>
      <c r="F581" s="451" t="str">
        <f>'Rep Ovh Bal'!F69</f>
        <v>TDB</v>
      </c>
      <c r="G581" s="1025" t="str">
        <f>'Rep Ovh Bal'!G69</f>
        <v>39800</v>
      </c>
      <c r="H581" s="1061" t="str">
        <f>'Rep Ovh Bal'!H69</f>
        <v>2-01-00045</v>
      </c>
      <c r="I581" s="1061" t="str">
        <f>'Rep Ovh Bal'!I69</f>
        <v>10871377</v>
      </c>
      <c r="J581" s="1061" t="str">
        <f>'Rep Ovh Bal'!J69</f>
        <v>LAMINILLA EMPAQUE.Z212F 60X110 SUPERFICIE DE EJECUC.ESPECIAL</v>
      </c>
      <c r="K581" s="451" t="str">
        <f>'Rep Ovh Bal'!K69</f>
        <v>Pza</v>
      </c>
      <c r="L581" s="451">
        <f>'Rep Ovh Bal'!L69</f>
        <v>0</v>
      </c>
      <c r="M581" s="451">
        <f>'Rep Ovh Bal'!M69</f>
        <v>0</v>
      </c>
      <c r="N581" s="451">
        <f>'Rep Ovh Bal'!N69</f>
        <v>0</v>
      </c>
      <c r="O581" s="451">
        <f>'Rep Ovh Bal'!O69</f>
        <v>0</v>
      </c>
      <c r="P581" s="451">
        <f>'Rep Ovh Bal'!P69</f>
        <v>0</v>
      </c>
      <c r="Q581" s="451">
        <f>'Rep Ovh Bal'!Q69</f>
        <v>0</v>
      </c>
      <c r="R581" s="451">
        <f>'Rep Ovh Bal'!R69</f>
        <v>0</v>
      </c>
      <c r="S581" s="451">
        <f>'Rep Ovh Bal'!S69</f>
        <v>0</v>
      </c>
      <c r="T581" s="451">
        <f>'Rep Ovh Bal'!T69</f>
        <v>0</v>
      </c>
      <c r="U581" s="451">
        <f>'Rep Ovh Bal'!U69</f>
        <v>0</v>
      </c>
      <c r="V581" s="451">
        <f>'Rep Ovh Bal'!V69</f>
        <v>100</v>
      </c>
      <c r="W581" s="1062">
        <f>'Rep Ovh Bal'!W69</f>
        <v>100</v>
      </c>
      <c r="X581" s="451">
        <f>'Rep Ovh Bal'!X69</f>
        <v>0</v>
      </c>
      <c r="Y581" s="451">
        <f>'Rep Ovh Bal'!Y69</f>
        <v>0</v>
      </c>
      <c r="Z581" s="451">
        <f>'Rep Ovh Bal'!Z69</f>
        <v>0</v>
      </c>
      <c r="AA581" s="451">
        <f>'Rep Ovh Bal'!AA69</f>
        <v>0</v>
      </c>
      <c r="AB581" s="451">
        <f>'Rep Ovh Bal'!AB69</f>
        <v>0</v>
      </c>
      <c r="AC581" s="451">
        <f>'Rep Ovh Bal'!AC69</f>
        <v>0</v>
      </c>
      <c r="AD581" s="451">
        <f>'Rep Ovh Bal'!AD69</f>
        <v>0</v>
      </c>
      <c r="AE581" s="451">
        <f>'Rep Ovh Bal'!AE69</f>
        <v>0</v>
      </c>
      <c r="AF581" s="451">
        <f>'Rep Ovh Bal'!AF69</f>
        <v>0</v>
      </c>
      <c r="AG581" s="451">
        <f>'Rep Ovh Bal'!AG69</f>
        <v>0</v>
      </c>
      <c r="AH581" s="451">
        <f>'Rep Ovh Bal'!AH69</f>
        <v>0</v>
      </c>
      <c r="AI581" s="1062">
        <f>'Rep Ovh Bal'!AI69</f>
        <v>0</v>
      </c>
      <c r="AJ581" s="1064">
        <f>'Rep Ovh Bal'!AJ69</f>
        <v>0</v>
      </c>
      <c r="AK581" s="1064">
        <f>'Rep Ovh Bal'!AK69</f>
        <v>0</v>
      </c>
      <c r="AL581" s="1064">
        <f>'Rep Ovh Bal'!AL69</f>
        <v>0</v>
      </c>
      <c r="AM581" s="1064">
        <f>'Rep Ovh Bal'!AM69</f>
        <v>0</v>
      </c>
      <c r="AN581" s="1064">
        <f>'Rep Ovh Bal'!AN69</f>
        <v>0</v>
      </c>
      <c r="AO581" s="1064">
        <f>'Rep Ovh Bal'!AO69</f>
        <v>0</v>
      </c>
      <c r="AP581" s="1064">
        <f>'Rep Ovh Bal'!AP69</f>
        <v>0</v>
      </c>
      <c r="AQ581" s="1064">
        <f>'Rep Ovh Bal'!AQ69</f>
        <v>0</v>
      </c>
      <c r="AR581" s="1064">
        <f>'Rep Ovh Bal'!AR69</f>
        <v>0</v>
      </c>
      <c r="AS581" s="1064">
        <f>'Rep Ovh Bal'!AS69</f>
        <v>0</v>
      </c>
      <c r="AT581" s="451">
        <f>'Rep Ovh Bal'!AT69</f>
        <v>0</v>
      </c>
      <c r="AU581" s="1062">
        <f>'Rep Ovh Bal'!AU69</f>
        <v>0</v>
      </c>
      <c r="AV581" s="1063">
        <f>'Rep Ovh Bal'!AV69</f>
        <v>100</v>
      </c>
      <c r="AW581" s="1068"/>
      <c r="AX581" s="1065">
        <f>'Rep Ovh Bal'!AW69</f>
        <v>26.07</v>
      </c>
      <c r="AY581" s="1062">
        <f>'Rep Ovh Bal'!AX69</f>
        <v>181.4472</v>
      </c>
      <c r="AZ581" s="1068"/>
      <c r="BA581" s="1068"/>
      <c r="BB581" s="1068"/>
      <c r="BC581" s="1068"/>
      <c r="BD581" s="1068"/>
      <c r="BE581" s="1068"/>
      <c r="BF581" s="1065" t="str">
        <f>'Rep Ovh Bal'!BE69</f>
        <v/>
      </c>
      <c r="BG581" s="451" t="str">
        <f>'Rep Ovh Bal'!BH69</f>
        <v/>
      </c>
      <c r="BH581" s="451" t="str">
        <f>'Rep Ovh Bal'!BI69</f>
        <v/>
      </c>
      <c r="BI581" s="451" t="str">
        <f>'Rep Ovh Bal'!BJ69</f>
        <v/>
      </c>
      <c r="BJ581" s="451" t="str">
        <f>'Rep Ovh Bal'!BK69</f>
        <v/>
      </c>
      <c r="BK581" s="1062">
        <f>'Rep Ovh Bal'!AY69</f>
        <v>18144.72</v>
      </c>
      <c r="BL581" s="1069">
        <f>'Rep Ovh Bal'!AY69</f>
        <v>18144.72</v>
      </c>
      <c r="BM581" s="1068"/>
      <c r="BN581" s="1068"/>
      <c r="BO581" s="1068"/>
      <c r="BP581" s="451" t="str">
        <f>'Rep Ovh Bal'!BQ69</f>
        <v/>
      </c>
      <c r="BQ581" s="451" t="str">
        <f>'Rep Ovh Bal'!BR69</f>
        <v/>
      </c>
      <c r="BR581" s="451" t="str">
        <f>'Rep Ovh Bal'!BS69</f>
        <v/>
      </c>
      <c r="BS581" s="451" t="str">
        <f>'Rep Ovh Bal'!BT69</f>
        <v/>
      </c>
      <c r="BT581" s="451" t="str">
        <f>'Rep Ovh Bal'!BU69</f>
        <v/>
      </c>
      <c r="BU581" s="451" t="str">
        <f>'Rep Ovh Bal'!BV69</f>
        <v/>
      </c>
      <c r="BV581" s="451" t="str">
        <f>'Rep Ovh Bal'!BW69</f>
        <v/>
      </c>
      <c r="BW581" s="1062">
        <f>'Rep Ovh Bal'!AZ69</f>
        <v>0</v>
      </c>
      <c r="BX581" s="1069">
        <f>'Rep Ovh Bal'!AZ69</f>
        <v>0</v>
      </c>
      <c r="BY581" s="1068"/>
      <c r="BZ581" s="1068"/>
      <c r="CA581" s="451" t="str">
        <f>'Rep Ovh Bal'!CB69</f>
        <v/>
      </c>
      <c r="CB581" s="451" t="str">
        <f>'Rep Ovh Bal'!CC69</f>
        <v/>
      </c>
      <c r="CC581" s="451" t="str">
        <f>'Rep Ovh Bal'!CD69</f>
        <v/>
      </c>
      <c r="CD581" s="451" t="str">
        <f>'Rep Ovh Bal'!CE69</f>
        <v/>
      </c>
      <c r="CE581" s="451" t="str">
        <f>'Rep Ovh Bal'!CF69</f>
        <v/>
      </c>
      <c r="CF581" s="451" t="str">
        <f>'Rep Ovh Bal'!CG69</f>
        <v/>
      </c>
      <c r="CG581" s="451" t="str">
        <f>'Rep Ovh Bal'!CH69</f>
        <v/>
      </c>
      <c r="CH581" s="451" t="str">
        <f>'Rep Ovh Bal'!CI69</f>
        <v/>
      </c>
      <c r="CI581" s="1062">
        <f>'Rep Ovh Bal'!BA69</f>
        <v>0</v>
      </c>
      <c r="CJ581" s="1062">
        <f>'Rep Ovh Bal'!BA69</f>
        <v>0</v>
      </c>
      <c r="CK581" s="1062">
        <f>'Rep Ovh Bal'!BB69</f>
        <v>18144.72</v>
      </c>
      <c r="CL581" s="1064" t="str">
        <f>'Rep Ovh Bal'!BC69</f>
        <v/>
      </c>
      <c r="CM581" s="451" t="str">
        <f>'Rep Ovh Bal'!CN69</f>
        <v/>
      </c>
      <c r="CN581" s="1065" t="str">
        <f>'Rep Ovh Bal'!BE65</f>
        <v/>
      </c>
      <c r="CO581" s="1062" t="str">
        <f>'Rep Ovh Bal'!BF65</f>
        <v/>
      </c>
      <c r="CP581" s="1060" t="str">
        <f>'Rep Ovh Bal'!BG65</f>
        <v/>
      </c>
    </row>
    <row r="582">
      <c r="A582" s="451" t="str">
        <f>'Rep Ovh Bal'!A70</f>
        <v>Repuestos mantenimientos mayores para estaciones y torres</v>
      </c>
      <c r="B582" s="451">
        <f>'Rep Ovh Bal'!B70</f>
        <v>2</v>
      </c>
      <c r="C582" s="451" t="str">
        <f>'Rep Ovh Bal'!C70</f>
        <v>Torres</v>
      </c>
      <c r="D582" s="451" t="str">
        <f>'Rep Ovh Bal'!D70</f>
        <v>OVH balancines TRM</v>
      </c>
      <c r="E582" s="451" t="str">
        <f>'Rep Ovh Bal'!E70</f>
        <v>Repuesto Mecánico</v>
      </c>
      <c r="F582" s="451" t="str">
        <f>'Rep Ovh Bal'!F70</f>
        <v>TDB</v>
      </c>
      <c r="G582" s="1025" t="str">
        <f>'Rep Ovh Bal'!G70</f>
        <v>39800</v>
      </c>
      <c r="H582" s="1061" t="str">
        <f>'Rep Ovh Bal'!H70</f>
        <v>2-01-00511</v>
      </c>
      <c r="I582" s="1061" t="str">
        <f>'Rep Ovh Bal'!I70</f>
        <v>10871605</v>
      </c>
      <c r="J582" s="1061" t="str">
        <f>'Rep Ovh Bal'!J70</f>
        <v>ARANDELA ISO 7089 M24 300HV, FLZNNC-720H-L, REV.LAM.ZINC S.C.</v>
      </c>
      <c r="K582" s="451" t="str">
        <f>'Rep Ovh Bal'!K70</f>
        <v>Pza</v>
      </c>
      <c r="L582" s="451">
        <f>'Rep Ovh Bal'!L70</f>
        <v>0</v>
      </c>
      <c r="M582" s="451">
        <f>'Rep Ovh Bal'!M70</f>
        <v>0</v>
      </c>
      <c r="N582" s="451">
        <f>'Rep Ovh Bal'!N70</f>
        <v>0</v>
      </c>
      <c r="O582" s="451">
        <f>'Rep Ovh Bal'!O70</f>
        <v>0</v>
      </c>
      <c r="P582" s="451">
        <f>'Rep Ovh Bal'!P70</f>
        <v>0</v>
      </c>
      <c r="Q582" s="451">
        <f>'Rep Ovh Bal'!Q70</f>
        <v>0</v>
      </c>
      <c r="R582" s="451">
        <f>'Rep Ovh Bal'!R70</f>
        <v>0</v>
      </c>
      <c r="S582" s="451">
        <f>'Rep Ovh Bal'!S70</f>
        <v>0</v>
      </c>
      <c r="T582" s="451">
        <f>'Rep Ovh Bal'!T70</f>
        <v>0</v>
      </c>
      <c r="U582" s="451">
        <f>'Rep Ovh Bal'!U70</f>
        <v>0</v>
      </c>
      <c r="V582" s="451">
        <f>'Rep Ovh Bal'!V70</f>
        <v>0</v>
      </c>
      <c r="W582" s="1062">
        <f>'Rep Ovh Bal'!W70</f>
        <v>0</v>
      </c>
      <c r="X582" s="451">
        <f>'Rep Ovh Bal'!X70</f>
        <v>0</v>
      </c>
      <c r="Y582" s="451">
        <f>'Rep Ovh Bal'!Y70</f>
        <v>0</v>
      </c>
      <c r="Z582" s="451">
        <f>'Rep Ovh Bal'!Z70</f>
        <v>0</v>
      </c>
      <c r="AA582" s="451">
        <f>'Rep Ovh Bal'!AA70</f>
        <v>0</v>
      </c>
      <c r="AB582" s="451">
        <f>'Rep Ovh Bal'!AB70</f>
        <v>0</v>
      </c>
      <c r="AC582" s="451">
        <f>'Rep Ovh Bal'!AC70</f>
        <v>0</v>
      </c>
      <c r="AD582" s="451">
        <f>'Rep Ovh Bal'!AD70</f>
        <v>0</v>
      </c>
      <c r="AE582" s="451">
        <f>'Rep Ovh Bal'!AE70</f>
        <v>0</v>
      </c>
      <c r="AF582" s="451">
        <f>'Rep Ovh Bal'!AF70</f>
        <v>0</v>
      </c>
      <c r="AG582" s="451">
        <f>'Rep Ovh Bal'!AG70</f>
        <v>0</v>
      </c>
      <c r="AH582" s="451">
        <f>'Rep Ovh Bal'!AH70</f>
        <v>48</v>
      </c>
      <c r="AI582" s="1062">
        <f>'Rep Ovh Bal'!AI70</f>
        <v>48</v>
      </c>
      <c r="AJ582" s="451">
        <f>'Rep Ovh Bal'!AJ70</f>
        <v>0</v>
      </c>
      <c r="AK582" s="451">
        <f>'Rep Ovh Bal'!AK70</f>
        <v>0</v>
      </c>
      <c r="AL582" s="451">
        <f>'Rep Ovh Bal'!AL70</f>
        <v>0</v>
      </c>
      <c r="AM582" s="451">
        <f>'Rep Ovh Bal'!AM70</f>
        <v>0</v>
      </c>
      <c r="AN582" s="451">
        <f>'Rep Ovh Bal'!AN70</f>
        <v>0</v>
      </c>
      <c r="AO582" s="451">
        <f>'Rep Ovh Bal'!AO70</f>
        <v>0</v>
      </c>
      <c r="AP582" s="451">
        <f>'Rep Ovh Bal'!AP70</f>
        <v>0</v>
      </c>
      <c r="AQ582" s="451">
        <f>'Rep Ovh Bal'!AQ70</f>
        <v>0</v>
      </c>
      <c r="AR582" s="451">
        <f>'Rep Ovh Bal'!AR70</f>
        <v>0</v>
      </c>
      <c r="AS582" s="451">
        <f>'Rep Ovh Bal'!AS70</f>
        <v>0</v>
      </c>
      <c r="AT582" s="451">
        <f>'Rep Ovh Bal'!AT70</f>
        <v>48</v>
      </c>
      <c r="AU582" s="1062">
        <f>'Rep Ovh Bal'!AU70</f>
        <v>48</v>
      </c>
      <c r="AV582" s="1063">
        <f>'Rep Ovh Bal'!AV70</f>
        <v>96</v>
      </c>
      <c r="AW582" s="1068"/>
      <c r="AX582" s="1065">
        <f>'Rep Ovh Bal'!AW70</f>
        <v>1.31</v>
      </c>
      <c r="AY582" s="1062">
        <f>'Rep Ovh Bal'!AX70</f>
        <v>9.1176</v>
      </c>
      <c r="AZ582" s="1068"/>
      <c r="BA582" s="1068"/>
      <c r="BB582" s="1068"/>
      <c r="BC582" s="1068"/>
      <c r="BD582" s="1068"/>
      <c r="BE582" s="1068"/>
      <c r="BF582" s="1065" t="str">
        <f>'Rep Ovh Bal'!BE70</f>
        <v/>
      </c>
      <c r="BG582" s="451" t="str">
        <f>'Rep Ovh Bal'!BH70</f>
        <v/>
      </c>
      <c r="BH582" s="451" t="str">
        <f>'Rep Ovh Bal'!BI70</f>
        <v/>
      </c>
      <c r="BI582" s="451" t="str">
        <f>'Rep Ovh Bal'!BJ70</f>
        <v/>
      </c>
      <c r="BJ582" s="451" t="str">
        <f>'Rep Ovh Bal'!BK70</f>
        <v/>
      </c>
      <c r="BK582" s="1062">
        <f>'Rep Ovh Bal'!AY70</f>
        <v>0</v>
      </c>
      <c r="BL582" s="1069">
        <f>'Rep Ovh Bal'!AY70</f>
        <v>0</v>
      </c>
      <c r="BM582" s="1068"/>
      <c r="BN582" s="1068"/>
      <c r="BO582" s="1068"/>
      <c r="BP582" s="451" t="str">
        <f>'Rep Ovh Bal'!BQ70</f>
        <v/>
      </c>
      <c r="BQ582" s="451" t="str">
        <f>'Rep Ovh Bal'!BR70</f>
        <v/>
      </c>
      <c r="BR582" s="451" t="str">
        <f>'Rep Ovh Bal'!BS70</f>
        <v/>
      </c>
      <c r="BS582" s="451" t="str">
        <f>'Rep Ovh Bal'!BT70</f>
        <v/>
      </c>
      <c r="BT582" s="451" t="str">
        <f>'Rep Ovh Bal'!BU70</f>
        <v/>
      </c>
      <c r="BU582" s="451" t="str">
        <f>'Rep Ovh Bal'!BV70</f>
        <v/>
      </c>
      <c r="BV582" s="451" t="str">
        <f>'Rep Ovh Bal'!BW70</f>
        <v/>
      </c>
      <c r="BW582" s="1062">
        <f>'Rep Ovh Bal'!AZ70</f>
        <v>437.6448</v>
      </c>
      <c r="BX582" s="1069">
        <f>'Rep Ovh Bal'!AZ70</f>
        <v>437.6448</v>
      </c>
      <c r="BY582" s="1068"/>
      <c r="BZ582" s="1068"/>
      <c r="CA582" s="451" t="str">
        <f>'Rep Ovh Bal'!CB70</f>
        <v/>
      </c>
      <c r="CB582" s="451" t="str">
        <f>'Rep Ovh Bal'!CC70</f>
        <v/>
      </c>
      <c r="CC582" s="451" t="str">
        <f>'Rep Ovh Bal'!CD70</f>
        <v/>
      </c>
      <c r="CD582" s="451" t="str">
        <f>'Rep Ovh Bal'!CE70</f>
        <v/>
      </c>
      <c r="CE582" s="451" t="str">
        <f>'Rep Ovh Bal'!CF70</f>
        <v/>
      </c>
      <c r="CF582" s="451" t="str">
        <f>'Rep Ovh Bal'!CG70</f>
        <v/>
      </c>
      <c r="CG582" s="451" t="str">
        <f>'Rep Ovh Bal'!CH70</f>
        <v/>
      </c>
      <c r="CH582" s="451" t="str">
        <f>'Rep Ovh Bal'!CI70</f>
        <v/>
      </c>
      <c r="CI582" s="1062">
        <f>'Rep Ovh Bal'!BA70</f>
        <v>437.6448</v>
      </c>
      <c r="CJ582" s="1062">
        <f>'Rep Ovh Bal'!BA70</f>
        <v>437.6448</v>
      </c>
      <c r="CK582" s="1062">
        <f>'Rep Ovh Bal'!BB70</f>
        <v>875.2896</v>
      </c>
      <c r="CL582" s="1064" t="str">
        <f>'Rep Ovh Bal'!BC70</f>
        <v/>
      </c>
      <c r="CM582" s="451" t="str">
        <f>'Rep Ovh Bal'!CN70</f>
        <v/>
      </c>
      <c r="CN582" s="1065" t="str">
        <f>'Rep Ovh Bal'!BE66</f>
        <v/>
      </c>
      <c r="CO582" s="1062" t="str">
        <f>'Rep Ovh Bal'!BF66</f>
        <v/>
      </c>
      <c r="CP582" s="1060" t="str">
        <f>'Rep Ovh Bal'!BG66</f>
        <v/>
      </c>
    </row>
    <row r="583">
      <c r="A583" s="451" t="str">
        <f>'Rep Ovh Bal'!A71</f>
        <v>Repuestos mantenimientos mayores para estaciones y torres</v>
      </c>
      <c r="B583" s="451">
        <f>'Rep Ovh Bal'!B71</f>
        <v>2</v>
      </c>
      <c r="C583" s="451" t="str">
        <f>'Rep Ovh Bal'!C71</f>
        <v>Torres</v>
      </c>
      <c r="D583" s="451" t="str">
        <f>'Rep Ovh Bal'!D71</f>
        <v>OVH balancines TRM</v>
      </c>
      <c r="E583" s="451" t="str">
        <f>'Rep Ovh Bal'!E71</f>
        <v>Repuesto Mecánico</v>
      </c>
      <c r="F583" s="451" t="str">
        <f>'Rep Ovh Bal'!F71</f>
        <v>TDB</v>
      </c>
      <c r="G583" s="1025" t="str">
        <f>'Rep Ovh Bal'!G71</f>
        <v>39800</v>
      </c>
      <c r="H583" s="1061" t="str">
        <f>'Rep Ovh Bal'!H71</f>
        <v>1-01-00378</v>
      </c>
      <c r="I583" s="1061" t="str">
        <f>'Rep Ovh Bal'!I71</f>
        <v>10872696</v>
      </c>
      <c r="J583" s="1061" t="str">
        <f>'Rep Ovh Bal'!J71</f>
        <v>ARANDELA DIN 7349-17 300HV, FLZNNC-720H-L, REV.DE ZINC LAM.</v>
      </c>
      <c r="K583" s="451" t="str">
        <f>'Rep Ovh Bal'!K71</f>
        <v>Pza</v>
      </c>
      <c r="L583" s="451">
        <f>'Rep Ovh Bal'!L71</f>
        <v>0</v>
      </c>
      <c r="M583" s="451">
        <f>'Rep Ovh Bal'!M71</f>
        <v>0</v>
      </c>
      <c r="N583" s="451">
        <f>'Rep Ovh Bal'!N71</f>
        <v>0</v>
      </c>
      <c r="O583" s="451">
        <f>'Rep Ovh Bal'!O71</f>
        <v>0</v>
      </c>
      <c r="P583" s="451">
        <f>'Rep Ovh Bal'!P71</f>
        <v>0</v>
      </c>
      <c r="Q583" s="451">
        <f>'Rep Ovh Bal'!Q71</f>
        <v>0</v>
      </c>
      <c r="R583" s="451">
        <f>'Rep Ovh Bal'!R71</f>
        <v>0</v>
      </c>
      <c r="S583" s="451">
        <f>'Rep Ovh Bal'!S71</f>
        <v>0</v>
      </c>
      <c r="T583" s="451">
        <f>'Rep Ovh Bal'!T71</f>
        <v>0</v>
      </c>
      <c r="U583" s="451">
        <f>'Rep Ovh Bal'!U71</f>
        <v>0</v>
      </c>
      <c r="V583" s="451">
        <f>'Rep Ovh Bal'!V71</f>
        <v>42</v>
      </c>
      <c r="W583" s="1062">
        <f>'Rep Ovh Bal'!W71</f>
        <v>42</v>
      </c>
      <c r="X583" s="451">
        <f>'Rep Ovh Bal'!X71</f>
        <v>0</v>
      </c>
      <c r="Y583" s="451">
        <f>'Rep Ovh Bal'!Y71</f>
        <v>0</v>
      </c>
      <c r="Z583" s="451">
        <f>'Rep Ovh Bal'!Z71</f>
        <v>0</v>
      </c>
      <c r="AA583" s="451">
        <f>'Rep Ovh Bal'!AA71</f>
        <v>0</v>
      </c>
      <c r="AB583" s="451">
        <f>'Rep Ovh Bal'!AB71</f>
        <v>0</v>
      </c>
      <c r="AC583" s="451">
        <f>'Rep Ovh Bal'!AC71</f>
        <v>0</v>
      </c>
      <c r="AD583" s="451">
        <f>'Rep Ovh Bal'!AD71</f>
        <v>0</v>
      </c>
      <c r="AE583" s="451">
        <f>'Rep Ovh Bal'!AE71</f>
        <v>0</v>
      </c>
      <c r="AF583" s="451">
        <f>'Rep Ovh Bal'!AF71</f>
        <v>0</v>
      </c>
      <c r="AG583" s="451">
        <f>'Rep Ovh Bal'!AG71</f>
        <v>0</v>
      </c>
      <c r="AH583" s="451">
        <f>'Rep Ovh Bal'!AH71</f>
        <v>0</v>
      </c>
      <c r="AI583" s="1062">
        <f>'Rep Ovh Bal'!AI71</f>
        <v>0</v>
      </c>
      <c r="AJ583" s="451">
        <f>'Rep Ovh Bal'!AJ71</f>
        <v>0</v>
      </c>
      <c r="AK583" s="451">
        <f>'Rep Ovh Bal'!AK71</f>
        <v>0</v>
      </c>
      <c r="AL583" s="451">
        <f>'Rep Ovh Bal'!AL71</f>
        <v>0</v>
      </c>
      <c r="AM583" s="451">
        <f>'Rep Ovh Bal'!AM71</f>
        <v>0</v>
      </c>
      <c r="AN583" s="451">
        <f>'Rep Ovh Bal'!AN71</f>
        <v>0</v>
      </c>
      <c r="AO583" s="451">
        <f>'Rep Ovh Bal'!AO71</f>
        <v>0</v>
      </c>
      <c r="AP583" s="451">
        <f>'Rep Ovh Bal'!AP71</f>
        <v>0</v>
      </c>
      <c r="AQ583" s="451">
        <f>'Rep Ovh Bal'!AQ71</f>
        <v>0</v>
      </c>
      <c r="AR583" s="451">
        <f>'Rep Ovh Bal'!AR71</f>
        <v>0</v>
      </c>
      <c r="AS583" s="451">
        <f>'Rep Ovh Bal'!AS71</f>
        <v>0</v>
      </c>
      <c r="AT583" s="451">
        <f>'Rep Ovh Bal'!AT71</f>
        <v>0</v>
      </c>
      <c r="AU583" s="1062">
        <f>'Rep Ovh Bal'!AU71</f>
        <v>0</v>
      </c>
      <c r="AV583" s="1063">
        <f>'Rep Ovh Bal'!AV71</f>
        <v>42</v>
      </c>
      <c r="AW583" s="1068"/>
      <c r="AX583" s="1065">
        <f>'Rep Ovh Bal'!AW71</f>
        <v>1.89</v>
      </c>
      <c r="AY583" s="1062">
        <f>'Rep Ovh Bal'!AX71</f>
        <v>13.1544</v>
      </c>
      <c r="AZ583" s="1068"/>
      <c r="BA583" s="1068"/>
      <c r="BB583" s="1068"/>
      <c r="BC583" s="1068"/>
      <c r="BD583" s="1068"/>
      <c r="BE583" s="1068"/>
      <c r="BF583" s="1065" t="str">
        <f>'Rep Ovh Bal'!BE71</f>
        <v/>
      </c>
      <c r="BG583" s="451" t="str">
        <f>'Rep Ovh Bal'!BH71</f>
        <v/>
      </c>
      <c r="BH583" s="451" t="str">
        <f>'Rep Ovh Bal'!BI71</f>
        <v/>
      </c>
      <c r="BI583" s="451" t="str">
        <f>'Rep Ovh Bal'!BJ71</f>
        <v/>
      </c>
      <c r="BJ583" s="451" t="str">
        <f>'Rep Ovh Bal'!BK71</f>
        <v/>
      </c>
      <c r="BK583" s="1062">
        <f>'Rep Ovh Bal'!AY71</f>
        <v>552.4848</v>
      </c>
      <c r="BL583" s="1069">
        <f>'Rep Ovh Bal'!AY71</f>
        <v>552.4848</v>
      </c>
      <c r="BM583" s="1068"/>
      <c r="BN583" s="1068"/>
      <c r="BO583" s="1068"/>
      <c r="BP583" s="451" t="str">
        <f>'Rep Ovh Bal'!BQ71</f>
        <v/>
      </c>
      <c r="BQ583" s="451" t="str">
        <f>'Rep Ovh Bal'!BR71</f>
        <v/>
      </c>
      <c r="BR583" s="451" t="str">
        <f>'Rep Ovh Bal'!BS71</f>
        <v/>
      </c>
      <c r="BS583" s="451" t="str">
        <f>'Rep Ovh Bal'!BT71</f>
        <v/>
      </c>
      <c r="BT583" s="451" t="str">
        <f>'Rep Ovh Bal'!BU71</f>
        <v/>
      </c>
      <c r="BU583" s="451" t="str">
        <f>'Rep Ovh Bal'!BV71</f>
        <v/>
      </c>
      <c r="BV583" s="451" t="str">
        <f>'Rep Ovh Bal'!BW71</f>
        <v/>
      </c>
      <c r="BW583" s="1062">
        <f>'Rep Ovh Bal'!AZ71</f>
        <v>0</v>
      </c>
      <c r="BX583" s="1069">
        <f>'Rep Ovh Bal'!AZ71</f>
        <v>0</v>
      </c>
      <c r="BY583" s="1068"/>
      <c r="BZ583" s="1068"/>
      <c r="CA583" s="451" t="str">
        <f>'Rep Ovh Bal'!CB71</f>
        <v/>
      </c>
      <c r="CB583" s="451" t="str">
        <f>'Rep Ovh Bal'!CC71</f>
        <v/>
      </c>
      <c r="CC583" s="451" t="str">
        <f>'Rep Ovh Bal'!CD71</f>
        <v/>
      </c>
      <c r="CD583" s="451" t="str">
        <f>'Rep Ovh Bal'!CE71</f>
        <v/>
      </c>
      <c r="CE583" s="451" t="str">
        <f>'Rep Ovh Bal'!CF71</f>
        <v/>
      </c>
      <c r="CF583" s="451" t="str">
        <f>'Rep Ovh Bal'!CG71</f>
        <v/>
      </c>
      <c r="CG583" s="451" t="str">
        <f>'Rep Ovh Bal'!CH71</f>
        <v/>
      </c>
      <c r="CH583" s="451" t="str">
        <f>'Rep Ovh Bal'!CI71</f>
        <v/>
      </c>
      <c r="CI583" s="1062">
        <f>'Rep Ovh Bal'!BA71</f>
        <v>0</v>
      </c>
      <c r="CJ583" s="1062">
        <f>'Rep Ovh Bal'!BA71</f>
        <v>0</v>
      </c>
      <c r="CK583" s="1062">
        <f>'Rep Ovh Bal'!BB71</f>
        <v>552.4848</v>
      </c>
      <c r="CL583" s="1064" t="str">
        <f>'Rep Ovh Bal'!BC71</f>
        <v/>
      </c>
      <c r="CM583" s="451" t="str">
        <f>'Rep Ovh Bal'!CN71</f>
        <v/>
      </c>
      <c r="CN583" s="1065" t="str">
        <f>'Rep Ovh Bal'!BE67</f>
        <v/>
      </c>
      <c r="CO583" s="1062" t="str">
        <f>'Rep Ovh Bal'!BF67</f>
        <v/>
      </c>
      <c r="CP583" s="1060" t="str">
        <f>'Rep Ovh Bal'!BG67</f>
        <v/>
      </c>
    </row>
    <row r="584">
      <c r="A584" s="451" t="str">
        <f>'Rep Ovh Bal'!A72</f>
        <v>Repuestos mantenimientos mayores para estaciones y torres</v>
      </c>
      <c r="B584" s="451">
        <f>'Rep Ovh Bal'!B72</f>
        <v>2</v>
      </c>
      <c r="C584" s="451" t="str">
        <f>'Rep Ovh Bal'!C72</f>
        <v>Torres</v>
      </c>
      <c r="D584" s="451" t="str">
        <f>'Rep Ovh Bal'!D72</f>
        <v>OVH balancines TRM</v>
      </c>
      <c r="E584" s="451" t="str">
        <f>'Rep Ovh Bal'!E72</f>
        <v>Repuesto Mecánico</v>
      </c>
      <c r="F584" s="451" t="str">
        <f>'Rep Ovh Bal'!F72</f>
        <v>TDB</v>
      </c>
      <c r="G584" s="1025" t="str">
        <f>'Rep Ovh Bal'!G72</f>
        <v>39800</v>
      </c>
      <c r="H584" s="1061" t="str">
        <f>'Rep Ovh Bal'!H72</f>
        <v>2-01-00840</v>
      </c>
      <c r="I584" s="1061" t="str">
        <f>'Rep Ovh Bal'!I72</f>
        <v>10873673</v>
      </c>
      <c r="J584" s="1061" t="str">
        <f>'Rep Ovh Bal'!J72</f>
        <v>ARANDELA ISO 7089 M20 300HV, FLZNNC-720H-L, REV.L.ZINC SIN CH</v>
      </c>
      <c r="K584" s="451" t="str">
        <f>'Rep Ovh Bal'!K72</f>
        <v>Pza</v>
      </c>
      <c r="L584" s="451">
        <f>'Rep Ovh Bal'!L72</f>
        <v>0</v>
      </c>
      <c r="M584" s="451">
        <f>'Rep Ovh Bal'!M72</f>
        <v>0</v>
      </c>
      <c r="N584" s="451">
        <f>'Rep Ovh Bal'!N72</f>
        <v>0</v>
      </c>
      <c r="O584" s="451">
        <f>'Rep Ovh Bal'!O72</f>
        <v>0</v>
      </c>
      <c r="P584" s="451">
        <f>'Rep Ovh Bal'!P72</f>
        <v>0</v>
      </c>
      <c r="Q584" s="451">
        <f>'Rep Ovh Bal'!Q72</f>
        <v>0</v>
      </c>
      <c r="R584" s="451">
        <f>'Rep Ovh Bal'!R72</f>
        <v>0</v>
      </c>
      <c r="S584" s="451">
        <f>'Rep Ovh Bal'!S72</f>
        <v>0</v>
      </c>
      <c r="T584" s="451">
        <f>'Rep Ovh Bal'!T72</f>
        <v>0</v>
      </c>
      <c r="U584" s="451">
        <f>'Rep Ovh Bal'!U72</f>
        <v>0</v>
      </c>
      <c r="V584" s="451">
        <f>'Rep Ovh Bal'!V72</f>
        <v>30</v>
      </c>
      <c r="W584" s="1062">
        <f>'Rep Ovh Bal'!W72</f>
        <v>30</v>
      </c>
      <c r="X584" s="451">
        <f>'Rep Ovh Bal'!X72</f>
        <v>0</v>
      </c>
      <c r="Y584" s="451">
        <f>'Rep Ovh Bal'!Y72</f>
        <v>0</v>
      </c>
      <c r="Z584" s="451">
        <f>'Rep Ovh Bal'!Z72</f>
        <v>0</v>
      </c>
      <c r="AA584" s="451">
        <f>'Rep Ovh Bal'!AA72</f>
        <v>0</v>
      </c>
      <c r="AB584" s="451">
        <f>'Rep Ovh Bal'!AB72</f>
        <v>0</v>
      </c>
      <c r="AC584" s="451">
        <f>'Rep Ovh Bal'!AC72</f>
        <v>0</v>
      </c>
      <c r="AD584" s="451">
        <f>'Rep Ovh Bal'!AD72</f>
        <v>0</v>
      </c>
      <c r="AE584" s="451">
        <f>'Rep Ovh Bal'!AE72</f>
        <v>0</v>
      </c>
      <c r="AF584" s="451">
        <f>'Rep Ovh Bal'!AF72</f>
        <v>0</v>
      </c>
      <c r="AG584" s="451">
        <f>'Rep Ovh Bal'!AG72</f>
        <v>0</v>
      </c>
      <c r="AH584" s="451">
        <f>'Rep Ovh Bal'!AH72</f>
        <v>0</v>
      </c>
      <c r="AI584" s="1062">
        <f>'Rep Ovh Bal'!AI72</f>
        <v>0</v>
      </c>
      <c r="AJ584" s="451">
        <f>'Rep Ovh Bal'!AJ72</f>
        <v>0</v>
      </c>
      <c r="AK584" s="451">
        <f>'Rep Ovh Bal'!AK72</f>
        <v>0</v>
      </c>
      <c r="AL584" s="451">
        <f>'Rep Ovh Bal'!AL72</f>
        <v>0</v>
      </c>
      <c r="AM584" s="451">
        <f>'Rep Ovh Bal'!AM72</f>
        <v>0</v>
      </c>
      <c r="AN584" s="451">
        <f>'Rep Ovh Bal'!AN72</f>
        <v>0</v>
      </c>
      <c r="AO584" s="451">
        <f>'Rep Ovh Bal'!AO72</f>
        <v>0</v>
      </c>
      <c r="AP584" s="451">
        <f>'Rep Ovh Bal'!AP72</f>
        <v>0</v>
      </c>
      <c r="AQ584" s="451">
        <f>'Rep Ovh Bal'!AQ72</f>
        <v>0</v>
      </c>
      <c r="AR584" s="451">
        <f>'Rep Ovh Bal'!AR72</f>
        <v>0</v>
      </c>
      <c r="AS584" s="451">
        <f>'Rep Ovh Bal'!AS72</f>
        <v>0</v>
      </c>
      <c r="AT584" s="451">
        <f>'Rep Ovh Bal'!AT72</f>
        <v>0</v>
      </c>
      <c r="AU584" s="1062">
        <f>'Rep Ovh Bal'!AU72</f>
        <v>0</v>
      </c>
      <c r="AV584" s="1063">
        <f>'Rep Ovh Bal'!AV72</f>
        <v>30</v>
      </c>
      <c r="AW584" s="1068"/>
      <c r="AX584" s="1065">
        <f>'Rep Ovh Bal'!AW72</f>
        <v>0.65</v>
      </c>
      <c r="AY584" s="1062">
        <f>'Rep Ovh Bal'!AX72</f>
        <v>4.524</v>
      </c>
      <c r="AZ584" s="1068"/>
      <c r="BA584" s="1068"/>
      <c r="BB584" s="1068"/>
      <c r="BC584" s="1068"/>
      <c r="BD584" s="1068"/>
      <c r="BE584" s="1068"/>
      <c r="BF584" s="1065" t="str">
        <f>'Rep Ovh Bal'!BE72</f>
        <v/>
      </c>
      <c r="BG584" s="451" t="str">
        <f>'Rep Ovh Bal'!BH72</f>
        <v/>
      </c>
      <c r="BH584" s="451" t="str">
        <f>'Rep Ovh Bal'!BI72</f>
        <v/>
      </c>
      <c r="BI584" s="451" t="str">
        <f>'Rep Ovh Bal'!BJ72</f>
        <v/>
      </c>
      <c r="BJ584" s="451" t="str">
        <f>'Rep Ovh Bal'!BK72</f>
        <v/>
      </c>
      <c r="BK584" s="1062">
        <f>'Rep Ovh Bal'!AY72</f>
        <v>135.72</v>
      </c>
      <c r="BL584" s="1069">
        <f>'Rep Ovh Bal'!AY72</f>
        <v>135.72</v>
      </c>
      <c r="BM584" s="1068"/>
      <c r="BN584" s="1068"/>
      <c r="BO584" s="1068"/>
      <c r="BP584" s="451" t="str">
        <f>'Rep Ovh Bal'!BQ72</f>
        <v/>
      </c>
      <c r="BQ584" s="451" t="str">
        <f>'Rep Ovh Bal'!BR72</f>
        <v/>
      </c>
      <c r="BR584" s="451" t="str">
        <f>'Rep Ovh Bal'!BS72</f>
        <v/>
      </c>
      <c r="BS584" s="451" t="str">
        <f>'Rep Ovh Bal'!BT72</f>
        <v/>
      </c>
      <c r="BT584" s="451" t="str">
        <f>'Rep Ovh Bal'!BU72</f>
        <v/>
      </c>
      <c r="BU584" s="451" t="str">
        <f>'Rep Ovh Bal'!BV72</f>
        <v/>
      </c>
      <c r="BV584" s="451" t="str">
        <f>'Rep Ovh Bal'!BW72</f>
        <v/>
      </c>
      <c r="BW584" s="1062">
        <f>'Rep Ovh Bal'!AZ72</f>
        <v>0</v>
      </c>
      <c r="BX584" s="1069">
        <f>'Rep Ovh Bal'!AZ72</f>
        <v>0</v>
      </c>
      <c r="BY584" s="1068"/>
      <c r="BZ584" s="1068"/>
      <c r="CA584" s="451" t="str">
        <f>'Rep Ovh Bal'!CB72</f>
        <v/>
      </c>
      <c r="CB584" s="451" t="str">
        <f>'Rep Ovh Bal'!CC72</f>
        <v/>
      </c>
      <c r="CC584" s="451" t="str">
        <f>'Rep Ovh Bal'!CD72</f>
        <v/>
      </c>
      <c r="CD584" s="451" t="str">
        <f>'Rep Ovh Bal'!CE72</f>
        <v/>
      </c>
      <c r="CE584" s="451" t="str">
        <f>'Rep Ovh Bal'!CF72</f>
        <v/>
      </c>
      <c r="CF584" s="451" t="str">
        <f>'Rep Ovh Bal'!CG72</f>
        <v/>
      </c>
      <c r="CG584" s="451" t="str">
        <f>'Rep Ovh Bal'!CH72</f>
        <v/>
      </c>
      <c r="CH584" s="451" t="str">
        <f>'Rep Ovh Bal'!CI72</f>
        <v/>
      </c>
      <c r="CI584" s="1062">
        <f>'Rep Ovh Bal'!BA72</f>
        <v>0</v>
      </c>
      <c r="CJ584" s="1062">
        <f>'Rep Ovh Bal'!BA72</f>
        <v>0</v>
      </c>
      <c r="CK584" s="1062">
        <f>'Rep Ovh Bal'!BB72</f>
        <v>135.72</v>
      </c>
      <c r="CL584" s="1064" t="str">
        <f>'Rep Ovh Bal'!BC72</f>
        <v/>
      </c>
      <c r="CM584" s="451" t="str">
        <f>'Rep Ovh Bal'!CN72</f>
        <v/>
      </c>
      <c r="CN584" s="1065" t="str">
        <f>'Rep Ovh Bal'!BE68</f>
        <v/>
      </c>
      <c r="CO584" s="1062" t="str">
        <f>'Rep Ovh Bal'!BF68</f>
        <v/>
      </c>
      <c r="CP584" s="1060" t="str">
        <f>'Rep Ovh Bal'!BG68</f>
        <v/>
      </c>
    </row>
    <row r="585">
      <c r="A585" s="451" t="str">
        <f>'Rep Ovh Bal'!A73</f>
        <v>Repuestos mantenimientos mayores para estaciones y torres</v>
      </c>
      <c r="B585" s="451">
        <f>'Rep Ovh Bal'!B73</f>
        <v>2</v>
      </c>
      <c r="C585" s="451" t="str">
        <f>'Rep Ovh Bal'!C73</f>
        <v>Torres</v>
      </c>
      <c r="D585" s="451" t="str">
        <f>'Rep Ovh Bal'!D73</f>
        <v>OVH balancines TRM</v>
      </c>
      <c r="E585" s="451" t="str">
        <f>'Rep Ovh Bal'!E73</f>
        <v>Repuesto Mecánico</v>
      </c>
      <c r="F585" s="451" t="str">
        <f>'Rep Ovh Bal'!F73</f>
        <v>TDB</v>
      </c>
      <c r="G585" s="1025" t="str">
        <f>'Rep Ovh Bal'!G73</f>
        <v>39800</v>
      </c>
      <c r="H585" s="1061" t="str">
        <f>'Rep Ovh Bal'!H73</f>
        <v/>
      </c>
      <c r="I585" s="1061" t="str">
        <f>'Rep Ovh Bal'!I73</f>
        <v>10946774</v>
      </c>
      <c r="J585" s="1061" t="str">
        <f>'Rep Ovh Bal'!J73</f>
        <v>BALANCÍN DE 2 POL. TIPO C AC.60 DP=572 P. POLEA SENSOR 420C</v>
      </c>
      <c r="K585" s="451" t="str">
        <f>'Rep Ovh Bal'!K73</f>
        <v>Pza</v>
      </c>
      <c r="L585" s="451">
        <f>'Rep Ovh Bal'!L73</f>
        <v>0</v>
      </c>
      <c r="M585" s="451">
        <f>'Rep Ovh Bal'!M73</f>
        <v>0</v>
      </c>
      <c r="N585" s="451">
        <f>'Rep Ovh Bal'!N73</f>
        <v>0</v>
      </c>
      <c r="O585" s="451">
        <f>'Rep Ovh Bal'!O73</f>
        <v>0</v>
      </c>
      <c r="P585" s="451">
        <f>'Rep Ovh Bal'!P73</f>
        <v>0</v>
      </c>
      <c r="Q585" s="451">
        <f>'Rep Ovh Bal'!Q73</f>
        <v>0</v>
      </c>
      <c r="R585" s="451">
        <f>'Rep Ovh Bal'!R73</f>
        <v>0</v>
      </c>
      <c r="S585" s="451">
        <f>'Rep Ovh Bal'!S73</f>
        <v>0</v>
      </c>
      <c r="T585" s="451">
        <f>'Rep Ovh Bal'!T73</f>
        <v>0</v>
      </c>
      <c r="U585" s="451">
        <f>'Rep Ovh Bal'!U73</f>
        <v>0</v>
      </c>
      <c r="V585" s="451">
        <f>'Rep Ovh Bal'!V73</f>
        <v>6</v>
      </c>
      <c r="W585" s="1062">
        <f>'Rep Ovh Bal'!W73</f>
        <v>6</v>
      </c>
      <c r="X585" s="451">
        <f>'Rep Ovh Bal'!X73</f>
        <v>0</v>
      </c>
      <c r="Y585" s="451">
        <f>'Rep Ovh Bal'!Y73</f>
        <v>0</v>
      </c>
      <c r="Z585" s="451">
        <f>'Rep Ovh Bal'!Z73</f>
        <v>0</v>
      </c>
      <c r="AA585" s="451">
        <f>'Rep Ovh Bal'!AA73</f>
        <v>0</v>
      </c>
      <c r="AB585" s="451">
        <f>'Rep Ovh Bal'!AB73</f>
        <v>0</v>
      </c>
      <c r="AC585" s="451">
        <f>'Rep Ovh Bal'!AC73</f>
        <v>0</v>
      </c>
      <c r="AD585" s="451">
        <f>'Rep Ovh Bal'!AD73</f>
        <v>0</v>
      </c>
      <c r="AE585" s="451">
        <f>'Rep Ovh Bal'!AE73</f>
        <v>0</v>
      </c>
      <c r="AF585" s="451">
        <f>'Rep Ovh Bal'!AF73</f>
        <v>0</v>
      </c>
      <c r="AG585" s="451">
        <f>'Rep Ovh Bal'!AG73</f>
        <v>0</v>
      </c>
      <c r="AH585" s="451">
        <f>'Rep Ovh Bal'!AH73</f>
        <v>0</v>
      </c>
      <c r="AI585" s="1062">
        <f>'Rep Ovh Bal'!AI73</f>
        <v>0</v>
      </c>
      <c r="AJ585" s="451">
        <f>'Rep Ovh Bal'!AJ73</f>
        <v>0</v>
      </c>
      <c r="AK585" s="451">
        <f>'Rep Ovh Bal'!AK73</f>
        <v>0</v>
      </c>
      <c r="AL585" s="451">
        <f>'Rep Ovh Bal'!AL73</f>
        <v>0</v>
      </c>
      <c r="AM585" s="451">
        <f>'Rep Ovh Bal'!AM73</f>
        <v>0</v>
      </c>
      <c r="AN585" s="451">
        <f>'Rep Ovh Bal'!AN73</f>
        <v>0</v>
      </c>
      <c r="AO585" s="451">
        <f>'Rep Ovh Bal'!AO73</f>
        <v>0</v>
      </c>
      <c r="AP585" s="451">
        <f>'Rep Ovh Bal'!AP73</f>
        <v>0</v>
      </c>
      <c r="AQ585" s="451">
        <f>'Rep Ovh Bal'!AQ73</f>
        <v>0</v>
      </c>
      <c r="AR585" s="451">
        <f>'Rep Ovh Bal'!AR73</f>
        <v>0</v>
      </c>
      <c r="AS585" s="451">
        <f>'Rep Ovh Bal'!AS73</f>
        <v>0</v>
      </c>
      <c r="AT585" s="451">
        <f>'Rep Ovh Bal'!AT73</f>
        <v>0</v>
      </c>
      <c r="AU585" s="1062">
        <f>'Rep Ovh Bal'!AU73</f>
        <v>0</v>
      </c>
      <c r="AV585" s="1063">
        <f>'Rep Ovh Bal'!AV73</f>
        <v>6</v>
      </c>
      <c r="AW585" s="1068"/>
      <c r="AX585" s="1065">
        <f>'Rep Ovh Bal'!AW73</f>
        <v>547.19</v>
      </c>
      <c r="AY585" s="1062">
        <f>'Rep Ovh Bal'!AX73</f>
        <v>3808.4424</v>
      </c>
      <c r="AZ585" s="1068"/>
      <c r="BA585" s="1068"/>
      <c r="BB585" s="1068"/>
      <c r="BC585" s="1068"/>
      <c r="BD585" s="1068"/>
      <c r="BE585" s="1068"/>
      <c r="BF585" s="1065" t="str">
        <f>'Rep Ovh Bal'!BE73</f>
        <v/>
      </c>
      <c r="BG585" s="451" t="str">
        <f>'Rep Ovh Bal'!BH73</f>
        <v/>
      </c>
      <c r="BH585" s="451" t="str">
        <f>'Rep Ovh Bal'!BI73</f>
        <v/>
      </c>
      <c r="BI585" s="451" t="str">
        <f>'Rep Ovh Bal'!BJ73</f>
        <v/>
      </c>
      <c r="BJ585" s="451" t="str">
        <f>'Rep Ovh Bal'!BK73</f>
        <v/>
      </c>
      <c r="BK585" s="1062">
        <f>'Rep Ovh Bal'!AY73</f>
        <v>22850.6544</v>
      </c>
      <c r="BL585" s="1069">
        <f>'Rep Ovh Bal'!AY73</f>
        <v>22850.6544</v>
      </c>
      <c r="BM585" s="1068"/>
      <c r="BN585" s="1068"/>
      <c r="BO585" s="1068"/>
      <c r="BP585" s="451" t="str">
        <f>'Rep Ovh Bal'!BQ73</f>
        <v/>
      </c>
      <c r="BQ585" s="451" t="str">
        <f>'Rep Ovh Bal'!BR73</f>
        <v/>
      </c>
      <c r="BR585" s="451" t="str">
        <f>'Rep Ovh Bal'!BS73</f>
        <v/>
      </c>
      <c r="BS585" s="451" t="str">
        <f>'Rep Ovh Bal'!BT73</f>
        <v/>
      </c>
      <c r="BT585" s="451" t="str">
        <f>'Rep Ovh Bal'!BU73</f>
        <v/>
      </c>
      <c r="BU585" s="451" t="str">
        <f>'Rep Ovh Bal'!BV73</f>
        <v/>
      </c>
      <c r="BV585" s="451" t="str">
        <f>'Rep Ovh Bal'!BW73</f>
        <v/>
      </c>
      <c r="BW585" s="1062">
        <f>'Rep Ovh Bal'!AZ73</f>
        <v>0</v>
      </c>
      <c r="BX585" s="1069">
        <f>'Rep Ovh Bal'!AZ73</f>
        <v>0</v>
      </c>
      <c r="BY585" s="1068"/>
      <c r="BZ585" s="1068"/>
      <c r="CA585" s="451" t="str">
        <f>'Rep Ovh Bal'!CB73</f>
        <v/>
      </c>
      <c r="CB585" s="451" t="str">
        <f>'Rep Ovh Bal'!CC73</f>
        <v/>
      </c>
      <c r="CC585" s="451" t="str">
        <f>'Rep Ovh Bal'!CD73</f>
        <v/>
      </c>
      <c r="CD585" s="451" t="str">
        <f>'Rep Ovh Bal'!CE73</f>
        <v/>
      </c>
      <c r="CE585" s="451" t="str">
        <f>'Rep Ovh Bal'!CF73</f>
        <v/>
      </c>
      <c r="CF585" s="451" t="str">
        <f>'Rep Ovh Bal'!CG73</f>
        <v/>
      </c>
      <c r="CG585" s="451" t="str">
        <f>'Rep Ovh Bal'!CH73</f>
        <v/>
      </c>
      <c r="CH585" s="451" t="str">
        <f>'Rep Ovh Bal'!CI73</f>
        <v/>
      </c>
      <c r="CI585" s="1062">
        <f>'Rep Ovh Bal'!BA73</f>
        <v>0</v>
      </c>
      <c r="CJ585" s="1062">
        <f>'Rep Ovh Bal'!BA73</f>
        <v>0</v>
      </c>
      <c r="CK585" s="1062">
        <f>'Rep Ovh Bal'!BB73</f>
        <v>22850.6544</v>
      </c>
      <c r="CL585" s="1064" t="str">
        <f>'Rep Ovh Bal'!BC73</f>
        <v/>
      </c>
      <c r="CM585" s="451" t="str">
        <f>'Rep Ovh Bal'!CN73</f>
        <v/>
      </c>
      <c r="CN585" s="1065" t="str">
        <f>'Rep Ovh Bal'!BE69</f>
        <v/>
      </c>
      <c r="CO585" s="1062" t="str">
        <f>'Rep Ovh Bal'!BF69</f>
        <v/>
      </c>
      <c r="CP585" s="1060" t="str">
        <f>'Rep Ovh Bal'!BG69</f>
        <v/>
      </c>
    </row>
    <row r="586">
      <c r="A586" s="451" t="str">
        <f>'Rep Ovh Bal'!A74</f>
        <v>Repuestos mantenimientos mayores para estaciones y torres</v>
      </c>
      <c r="B586" s="451">
        <f>'Rep Ovh Bal'!B74</f>
        <v>2</v>
      </c>
      <c r="C586" s="451" t="str">
        <f>'Rep Ovh Bal'!C74</f>
        <v>Torres</v>
      </c>
      <c r="D586" s="451" t="str">
        <f>'Rep Ovh Bal'!D74</f>
        <v>OVH balancines TRM</v>
      </c>
      <c r="E586" s="451" t="str">
        <f>'Rep Ovh Bal'!E74</f>
        <v>Repuesto Mecánico</v>
      </c>
      <c r="F586" s="451" t="str">
        <f>'Rep Ovh Bal'!F74</f>
        <v>TDB</v>
      </c>
      <c r="G586" s="1025" t="str">
        <f>'Rep Ovh Bal'!G74</f>
        <v>39800</v>
      </c>
      <c r="H586" s="1061" t="str">
        <f>'Rep Ovh Bal'!H74</f>
        <v>1-01-00159</v>
      </c>
      <c r="I586" s="1061" t="str">
        <f>'Rep Ovh Bal'!I74</f>
        <v>11136880</v>
      </c>
      <c r="J586" s="1061" t="str">
        <f>'Rep Ovh Bal'!J74</f>
        <v>TUERCA HEXAG. ISO 4032-8 M16 GIC</v>
      </c>
      <c r="K586" s="451" t="str">
        <f>'Rep Ovh Bal'!K74</f>
        <v>Pza</v>
      </c>
      <c r="L586" s="451">
        <f>'Rep Ovh Bal'!L74</f>
        <v>0</v>
      </c>
      <c r="M586" s="451">
        <f>'Rep Ovh Bal'!M74</f>
        <v>0</v>
      </c>
      <c r="N586" s="451">
        <f>'Rep Ovh Bal'!N74</f>
        <v>0</v>
      </c>
      <c r="O586" s="451">
        <f>'Rep Ovh Bal'!O74</f>
        <v>0</v>
      </c>
      <c r="P586" s="451">
        <f>'Rep Ovh Bal'!P74</f>
        <v>0</v>
      </c>
      <c r="Q586" s="451">
        <f>'Rep Ovh Bal'!Q74</f>
        <v>0</v>
      </c>
      <c r="R586" s="451">
        <f>'Rep Ovh Bal'!R74</f>
        <v>0</v>
      </c>
      <c r="S586" s="451">
        <f>'Rep Ovh Bal'!S74</f>
        <v>0</v>
      </c>
      <c r="T586" s="451">
        <f>'Rep Ovh Bal'!T74</f>
        <v>0</v>
      </c>
      <c r="U586" s="451">
        <f>'Rep Ovh Bal'!U74</f>
        <v>0</v>
      </c>
      <c r="V586" s="451">
        <f>'Rep Ovh Bal'!V74</f>
        <v>30</v>
      </c>
      <c r="W586" s="1062">
        <f>'Rep Ovh Bal'!W74</f>
        <v>30</v>
      </c>
      <c r="X586" s="451">
        <f>'Rep Ovh Bal'!X74</f>
        <v>0</v>
      </c>
      <c r="Y586" s="451">
        <f>'Rep Ovh Bal'!Y74</f>
        <v>0</v>
      </c>
      <c r="Z586" s="451">
        <f>'Rep Ovh Bal'!Z74</f>
        <v>0</v>
      </c>
      <c r="AA586" s="451">
        <f>'Rep Ovh Bal'!AA74</f>
        <v>0</v>
      </c>
      <c r="AB586" s="451">
        <f>'Rep Ovh Bal'!AB74</f>
        <v>0</v>
      </c>
      <c r="AC586" s="451">
        <f>'Rep Ovh Bal'!AC74</f>
        <v>0</v>
      </c>
      <c r="AD586" s="451">
        <f>'Rep Ovh Bal'!AD74</f>
        <v>0</v>
      </c>
      <c r="AE586" s="451">
        <f>'Rep Ovh Bal'!AE74</f>
        <v>0</v>
      </c>
      <c r="AF586" s="451">
        <f>'Rep Ovh Bal'!AF74</f>
        <v>0</v>
      </c>
      <c r="AG586" s="451">
        <f>'Rep Ovh Bal'!AG74</f>
        <v>0</v>
      </c>
      <c r="AH586" s="451">
        <f>'Rep Ovh Bal'!AH74</f>
        <v>0</v>
      </c>
      <c r="AI586" s="1062">
        <f>'Rep Ovh Bal'!AI74</f>
        <v>0</v>
      </c>
      <c r="AJ586" s="451">
        <f>'Rep Ovh Bal'!AJ74</f>
        <v>0</v>
      </c>
      <c r="AK586" s="451">
        <f>'Rep Ovh Bal'!AK74</f>
        <v>0</v>
      </c>
      <c r="AL586" s="451">
        <f>'Rep Ovh Bal'!AL74</f>
        <v>0</v>
      </c>
      <c r="AM586" s="451">
        <f>'Rep Ovh Bal'!AM74</f>
        <v>0</v>
      </c>
      <c r="AN586" s="451">
        <f>'Rep Ovh Bal'!AN74</f>
        <v>0</v>
      </c>
      <c r="AO586" s="451">
        <f>'Rep Ovh Bal'!AO74</f>
        <v>0</v>
      </c>
      <c r="AP586" s="451">
        <f>'Rep Ovh Bal'!AP74</f>
        <v>0</v>
      </c>
      <c r="AQ586" s="451">
        <f>'Rep Ovh Bal'!AQ74</f>
        <v>0</v>
      </c>
      <c r="AR586" s="451">
        <f>'Rep Ovh Bal'!AR74</f>
        <v>0</v>
      </c>
      <c r="AS586" s="451">
        <f>'Rep Ovh Bal'!AS74</f>
        <v>0</v>
      </c>
      <c r="AT586" s="451">
        <f>'Rep Ovh Bal'!AT74</f>
        <v>0</v>
      </c>
      <c r="AU586" s="1062">
        <f>'Rep Ovh Bal'!AU74</f>
        <v>0</v>
      </c>
      <c r="AV586" s="1063">
        <f>'Rep Ovh Bal'!AV74</f>
        <v>30</v>
      </c>
      <c r="AW586" s="1068"/>
      <c r="AX586" s="1065">
        <f>'Rep Ovh Bal'!AW74</f>
        <v>1.31</v>
      </c>
      <c r="AY586" s="1062">
        <f>'Rep Ovh Bal'!AX74</f>
        <v>9.1176</v>
      </c>
      <c r="AZ586" s="1068"/>
      <c r="BA586" s="1068"/>
      <c r="BB586" s="1068"/>
      <c r="BC586" s="1068"/>
      <c r="BD586" s="1068"/>
      <c r="BE586" s="1068"/>
      <c r="BF586" s="1065" t="str">
        <f>'Rep Ovh Bal'!BE74</f>
        <v/>
      </c>
      <c r="BG586" s="451" t="str">
        <f>'Rep Ovh Bal'!BH74</f>
        <v/>
      </c>
      <c r="BH586" s="451" t="str">
        <f>'Rep Ovh Bal'!BI74</f>
        <v/>
      </c>
      <c r="BI586" s="451" t="str">
        <f>'Rep Ovh Bal'!BJ74</f>
        <v/>
      </c>
      <c r="BJ586" s="451" t="str">
        <f>'Rep Ovh Bal'!BK74</f>
        <v/>
      </c>
      <c r="BK586" s="1062">
        <f>'Rep Ovh Bal'!AY74</f>
        <v>273.528</v>
      </c>
      <c r="BL586" s="1069">
        <f>'Rep Ovh Bal'!AY74</f>
        <v>273.528</v>
      </c>
      <c r="BM586" s="1068"/>
      <c r="BN586" s="1068"/>
      <c r="BO586" s="1068"/>
      <c r="BP586" s="451" t="str">
        <f>'Rep Ovh Bal'!BQ74</f>
        <v/>
      </c>
      <c r="BQ586" s="451" t="str">
        <f>'Rep Ovh Bal'!BR74</f>
        <v/>
      </c>
      <c r="BR586" s="451" t="str">
        <f>'Rep Ovh Bal'!BS74</f>
        <v/>
      </c>
      <c r="BS586" s="451" t="str">
        <f>'Rep Ovh Bal'!BT74</f>
        <v/>
      </c>
      <c r="BT586" s="451" t="str">
        <f>'Rep Ovh Bal'!BU74</f>
        <v/>
      </c>
      <c r="BU586" s="451" t="str">
        <f>'Rep Ovh Bal'!BV74</f>
        <v/>
      </c>
      <c r="BV586" s="451" t="str">
        <f>'Rep Ovh Bal'!BW74</f>
        <v/>
      </c>
      <c r="BW586" s="1062">
        <f>'Rep Ovh Bal'!AZ74</f>
        <v>0</v>
      </c>
      <c r="BX586" s="1069">
        <f>'Rep Ovh Bal'!AZ74</f>
        <v>0</v>
      </c>
      <c r="BY586" s="1068"/>
      <c r="BZ586" s="1068"/>
      <c r="CA586" s="451" t="str">
        <f>'Rep Ovh Bal'!CB74</f>
        <v/>
      </c>
      <c r="CB586" s="451" t="str">
        <f>'Rep Ovh Bal'!CC74</f>
        <v/>
      </c>
      <c r="CC586" s="451" t="str">
        <f>'Rep Ovh Bal'!CD74</f>
        <v/>
      </c>
      <c r="CD586" s="451" t="str">
        <f>'Rep Ovh Bal'!CE74</f>
        <v/>
      </c>
      <c r="CE586" s="451" t="str">
        <f>'Rep Ovh Bal'!CF74</f>
        <v/>
      </c>
      <c r="CF586" s="451" t="str">
        <f>'Rep Ovh Bal'!CG74</f>
        <v/>
      </c>
      <c r="CG586" s="451" t="str">
        <f>'Rep Ovh Bal'!CH74</f>
        <v/>
      </c>
      <c r="CH586" s="451" t="str">
        <f>'Rep Ovh Bal'!CI74</f>
        <v/>
      </c>
      <c r="CI586" s="1062">
        <f>'Rep Ovh Bal'!BA74</f>
        <v>0</v>
      </c>
      <c r="CJ586" s="1062">
        <f>'Rep Ovh Bal'!BA74</f>
        <v>0</v>
      </c>
      <c r="CK586" s="1062">
        <f>'Rep Ovh Bal'!BB74</f>
        <v>273.528</v>
      </c>
      <c r="CL586" s="1064" t="str">
        <f>'Rep Ovh Bal'!BC74</f>
        <v/>
      </c>
      <c r="CM586" s="451" t="str">
        <f>'Rep Ovh Bal'!CN74</f>
        <v/>
      </c>
      <c r="CN586" s="1065" t="str">
        <f>'Rep Ovh Bal'!BE70</f>
        <v/>
      </c>
      <c r="CO586" s="1062" t="str">
        <f>'Rep Ovh Bal'!BF70</f>
        <v/>
      </c>
      <c r="CP586" s="1060" t="str">
        <f>'Rep Ovh Bal'!BG70</f>
        <v/>
      </c>
    </row>
    <row r="587">
      <c r="A587" s="451" t="str">
        <f>'Rep Ovh Bal'!A75</f>
        <v>Repuestos mantenimientos mayores para estaciones y torres</v>
      </c>
      <c r="B587" s="451">
        <f>'Rep Ovh Bal'!B75</f>
        <v>2</v>
      </c>
      <c r="C587" s="451" t="str">
        <f>'Rep Ovh Bal'!C75</f>
        <v>Torres</v>
      </c>
      <c r="D587" s="451" t="str">
        <f>'Rep Ovh Bal'!D75</f>
        <v>OVH balancines TRM</v>
      </c>
      <c r="E587" s="451" t="str">
        <f>'Rep Ovh Bal'!E75</f>
        <v>Repuesto Mecánico</v>
      </c>
      <c r="F587" s="451" t="str">
        <f>'Rep Ovh Bal'!F75</f>
        <v>TDB</v>
      </c>
      <c r="G587" s="1025" t="str">
        <f>'Rep Ovh Bal'!G75</f>
        <v>39800</v>
      </c>
      <c r="H587" s="1061" t="str">
        <f>'Rep Ovh Bal'!H75</f>
        <v>2-01-00512</v>
      </c>
      <c r="I587" s="1061" t="str">
        <f>'Rep Ovh Bal'!I75</f>
        <v>11136923</v>
      </c>
      <c r="J587" s="1061" t="str">
        <f>'Rep Ovh Bal'!J75</f>
        <v>TUERCA HEXAG. ISO 4032-8 M24 GIC</v>
      </c>
      <c r="K587" s="451" t="str">
        <f>'Rep Ovh Bal'!K75</f>
        <v>Pza</v>
      </c>
      <c r="L587" s="451">
        <f>'Rep Ovh Bal'!L75</f>
        <v>0</v>
      </c>
      <c r="M587" s="451">
        <f>'Rep Ovh Bal'!M75</f>
        <v>0</v>
      </c>
      <c r="N587" s="451">
        <f>'Rep Ovh Bal'!N75</f>
        <v>0</v>
      </c>
      <c r="O587" s="451">
        <f>'Rep Ovh Bal'!O75</f>
        <v>0</v>
      </c>
      <c r="P587" s="451">
        <f>'Rep Ovh Bal'!P75</f>
        <v>0</v>
      </c>
      <c r="Q587" s="451">
        <f>'Rep Ovh Bal'!Q75</f>
        <v>0</v>
      </c>
      <c r="R587" s="451">
        <f>'Rep Ovh Bal'!R75</f>
        <v>0</v>
      </c>
      <c r="S587" s="451">
        <f>'Rep Ovh Bal'!S75</f>
        <v>0</v>
      </c>
      <c r="T587" s="451">
        <f>'Rep Ovh Bal'!T75</f>
        <v>0</v>
      </c>
      <c r="U587" s="451">
        <f>'Rep Ovh Bal'!U75</f>
        <v>0</v>
      </c>
      <c r="V587" s="451">
        <f>'Rep Ovh Bal'!V75</f>
        <v>120</v>
      </c>
      <c r="W587" s="1062">
        <f>'Rep Ovh Bal'!W75</f>
        <v>120</v>
      </c>
      <c r="X587" s="451">
        <f>'Rep Ovh Bal'!X75</f>
        <v>0</v>
      </c>
      <c r="Y587" s="451">
        <f>'Rep Ovh Bal'!Y75</f>
        <v>0</v>
      </c>
      <c r="Z587" s="451">
        <f>'Rep Ovh Bal'!Z75</f>
        <v>0</v>
      </c>
      <c r="AA587" s="451">
        <f>'Rep Ovh Bal'!AA75</f>
        <v>0</v>
      </c>
      <c r="AB587" s="451">
        <f>'Rep Ovh Bal'!AB75</f>
        <v>0</v>
      </c>
      <c r="AC587" s="451">
        <f>'Rep Ovh Bal'!AC75</f>
        <v>0</v>
      </c>
      <c r="AD587" s="451">
        <f>'Rep Ovh Bal'!AD75</f>
        <v>0</v>
      </c>
      <c r="AE587" s="451">
        <f>'Rep Ovh Bal'!AE75</f>
        <v>0</v>
      </c>
      <c r="AF587" s="451">
        <f>'Rep Ovh Bal'!AF75</f>
        <v>0</v>
      </c>
      <c r="AG587" s="451">
        <f>'Rep Ovh Bal'!AG75</f>
        <v>0</v>
      </c>
      <c r="AH587" s="451">
        <f>'Rep Ovh Bal'!AH75</f>
        <v>288</v>
      </c>
      <c r="AI587" s="1062">
        <f>'Rep Ovh Bal'!AI75</f>
        <v>288</v>
      </c>
      <c r="AJ587" s="451">
        <f>'Rep Ovh Bal'!AJ75</f>
        <v>0</v>
      </c>
      <c r="AK587" s="451">
        <f>'Rep Ovh Bal'!AK75</f>
        <v>0</v>
      </c>
      <c r="AL587" s="451">
        <f>'Rep Ovh Bal'!AL75</f>
        <v>0</v>
      </c>
      <c r="AM587" s="451">
        <f>'Rep Ovh Bal'!AM75</f>
        <v>0</v>
      </c>
      <c r="AN587" s="451">
        <f>'Rep Ovh Bal'!AN75</f>
        <v>0</v>
      </c>
      <c r="AO587" s="451">
        <f>'Rep Ovh Bal'!AO75</f>
        <v>0</v>
      </c>
      <c r="AP587" s="451">
        <f>'Rep Ovh Bal'!AP75</f>
        <v>0</v>
      </c>
      <c r="AQ587" s="451">
        <f>'Rep Ovh Bal'!AQ75</f>
        <v>0</v>
      </c>
      <c r="AR587" s="451">
        <f>'Rep Ovh Bal'!AR75</f>
        <v>0</v>
      </c>
      <c r="AS587" s="451">
        <f>'Rep Ovh Bal'!AS75</f>
        <v>0</v>
      </c>
      <c r="AT587" s="451">
        <f>'Rep Ovh Bal'!AT75</f>
        <v>112</v>
      </c>
      <c r="AU587" s="1062">
        <f>'Rep Ovh Bal'!AU75</f>
        <v>112</v>
      </c>
      <c r="AV587" s="1063">
        <f>'Rep Ovh Bal'!AV75</f>
        <v>520</v>
      </c>
      <c r="AW587" s="1068"/>
      <c r="AX587" s="1065">
        <f>'Rep Ovh Bal'!AW75</f>
        <v>5.61</v>
      </c>
      <c r="AY587" s="1062">
        <f>'Rep Ovh Bal'!AX75</f>
        <v>39.0456</v>
      </c>
      <c r="AZ587" s="1068"/>
      <c r="BA587" s="1068"/>
      <c r="BB587" s="1068"/>
      <c r="BC587" s="1068"/>
      <c r="BD587" s="1068"/>
      <c r="BE587" s="1068"/>
      <c r="BF587" s="1065" t="str">
        <f>'Rep Ovh Bal'!BE75</f>
        <v/>
      </c>
      <c r="BG587" s="451" t="str">
        <f>'Rep Ovh Bal'!BH75</f>
        <v/>
      </c>
      <c r="BH587" s="451" t="str">
        <f>'Rep Ovh Bal'!BI75</f>
        <v/>
      </c>
      <c r="BI587" s="451" t="str">
        <f>'Rep Ovh Bal'!BJ75</f>
        <v/>
      </c>
      <c r="BJ587" s="451" t="str">
        <f>'Rep Ovh Bal'!BK75</f>
        <v/>
      </c>
      <c r="BK587" s="1062">
        <f>'Rep Ovh Bal'!AY75</f>
        <v>4685.472</v>
      </c>
      <c r="BL587" s="1069">
        <f>'Rep Ovh Bal'!AY75</f>
        <v>4685.472</v>
      </c>
      <c r="BM587" s="1068"/>
      <c r="BN587" s="1068"/>
      <c r="BO587" s="1068"/>
      <c r="BP587" s="451" t="str">
        <f>'Rep Ovh Bal'!BQ75</f>
        <v/>
      </c>
      <c r="BQ587" s="451" t="str">
        <f>'Rep Ovh Bal'!BR75</f>
        <v/>
      </c>
      <c r="BR587" s="451" t="str">
        <f>'Rep Ovh Bal'!BS75</f>
        <v/>
      </c>
      <c r="BS587" s="451" t="str">
        <f>'Rep Ovh Bal'!BT75</f>
        <v/>
      </c>
      <c r="BT587" s="451" t="str">
        <f>'Rep Ovh Bal'!BU75</f>
        <v/>
      </c>
      <c r="BU587" s="451" t="str">
        <f>'Rep Ovh Bal'!BV75</f>
        <v/>
      </c>
      <c r="BV587" s="451" t="str">
        <f>'Rep Ovh Bal'!BW75</f>
        <v/>
      </c>
      <c r="BW587" s="1062">
        <f>'Rep Ovh Bal'!AZ75</f>
        <v>11245.1328</v>
      </c>
      <c r="BX587" s="1069">
        <f>'Rep Ovh Bal'!AZ75</f>
        <v>11245.1328</v>
      </c>
      <c r="BY587" s="1068"/>
      <c r="BZ587" s="1068"/>
      <c r="CA587" s="451" t="str">
        <f>'Rep Ovh Bal'!CB75</f>
        <v/>
      </c>
      <c r="CB587" s="451" t="str">
        <f>'Rep Ovh Bal'!CC75</f>
        <v/>
      </c>
      <c r="CC587" s="451" t="str">
        <f>'Rep Ovh Bal'!CD75</f>
        <v/>
      </c>
      <c r="CD587" s="451" t="str">
        <f>'Rep Ovh Bal'!CE75</f>
        <v/>
      </c>
      <c r="CE587" s="451" t="str">
        <f>'Rep Ovh Bal'!CF75</f>
        <v/>
      </c>
      <c r="CF587" s="451" t="str">
        <f>'Rep Ovh Bal'!CG75</f>
        <v/>
      </c>
      <c r="CG587" s="451" t="str">
        <f>'Rep Ovh Bal'!CH75</f>
        <v/>
      </c>
      <c r="CH587" s="451" t="str">
        <f>'Rep Ovh Bal'!CI75</f>
        <v/>
      </c>
      <c r="CI587" s="1062">
        <f>'Rep Ovh Bal'!BA75</f>
        <v>4373.1072</v>
      </c>
      <c r="CJ587" s="1062">
        <f>'Rep Ovh Bal'!BA75</f>
        <v>4373.1072</v>
      </c>
      <c r="CK587" s="1062">
        <f>'Rep Ovh Bal'!BB75</f>
        <v>20303.712</v>
      </c>
      <c r="CL587" s="1064" t="str">
        <f>'Rep Ovh Bal'!BC75</f>
        <v/>
      </c>
      <c r="CM587" s="451" t="str">
        <f>'Rep Ovh Bal'!CN75</f>
        <v/>
      </c>
      <c r="CN587" s="1065" t="str">
        <f>'Rep Ovh Bal'!BE71</f>
        <v/>
      </c>
      <c r="CO587" s="1062" t="str">
        <f>'Rep Ovh Bal'!BF71</f>
        <v/>
      </c>
      <c r="CP587" s="1060" t="str">
        <f>'Rep Ovh Bal'!BG71</f>
        <v/>
      </c>
    </row>
    <row r="588">
      <c r="A588" s="451" t="str">
        <f>'Rep Ovh Bal'!A76</f>
        <v>Repuestos mantenimientos mayores para estaciones y torres</v>
      </c>
      <c r="B588" s="451">
        <f>'Rep Ovh Bal'!B76</f>
        <v>2</v>
      </c>
      <c r="C588" s="451" t="str">
        <f>'Rep Ovh Bal'!C76</f>
        <v>Torres</v>
      </c>
      <c r="D588" s="451" t="str">
        <f>'Rep Ovh Bal'!D76</f>
        <v>OVH balancines TRM</v>
      </c>
      <c r="E588" s="451" t="str">
        <f>'Rep Ovh Bal'!E76</f>
        <v>Repuesto Mecánico</v>
      </c>
      <c r="F588" s="451" t="str">
        <f>'Rep Ovh Bal'!F76</f>
        <v>TDB</v>
      </c>
      <c r="G588" s="1025" t="str">
        <f>'Rep Ovh Bal'!G76</f>
        <v>39800</v>
      </c>
      <c r="H588" s="1061" t="str">
        <f>'Rep Ovh Bal'!H76</f>
        <v>2-01-00574</v>
      </c>
      <c r="I588" s="1061" t="str">
        <f>'Rep Ovh Bal'!I76</f>
        <v>11136925</v>
      </c>
      <c r="J588" s="1061" t="str">
        <f>'Rep Ovh Bal'!J76</f>
        <v>TUERCA HEXAG. ISO 4032-8 M27 GIC</v>
      </c>
      <c r="K588" s="451" t="str">
        <f>'Rep Ovh Bal'!K76</f>
        <v>Pza</v>
      </c>
      <c r="L588" s="451">
        <f>'Rep Ovh Bal'!L76</f>
        <v>0</v>
      </c>
      <c r="M588" s="451">
        <f>'Rep Ovh Bal'!M76</f>
        <v>0</v>
      </c>
      <c r="N588" s="451">
        <f>'Rep Ovh Bal'!N76</f>
        <v>0</v>
      </c>
      <c r="O588" s="451">
        <f>'Rep Ovh Bal'!O76</f>
        <v>0</v>
      </c>
      <c r="P588" s="451">
        <f>'Rep Ovh Bal'!P76</f>
        <v>0</v>
      </c>
      <c r="Q588" s="451">
        <f>'Rep Ovh Bal'!Q76</f>
        <v>0</v>
      </c>
      <c r="R588" s="451">
        <f>'Rep Ovh Bal'!R76</f>
        <v>0</v>
      </c>
      <c r="S588" s="451">
        <f>'Rep Ovh Bal'!S76</f>
        <v>0</v>
      </c>
      <c r="T588" s="451">
        <f>'Rep Ovh Bal'!T76</f>
        <v>0</v>
      </c>
      <c r="U588" s="451">
        <f>'Rep Ovh Bal'!U76</f>
        <v>0</v>
      </c>
      <c r="V588" s="451">
        <f>'Rep Ovh Bal'!V76</f>
        <v>588</v>
      </c>
      <c r="W588" s="1062">
        <f>'Rep Ovh Bal'!W76</f>
        <v>588</v>
      </c>
      <c r="X588" s="451">
        <f>'Rep Ovh Bal'!X76</f>
        <v>0</v>
      </c>
      <c r="Y588" s="451">
        <f>'Rep Ovh Bal'!Y76</f>
        <v>0</v>
      </c>
      <c r="Z588" s="451">
        <f>'Rep Ovh Bal'!Z76</f>
        <v>0</v>
      </c>
      <c r="AA588" s="451">
        <f>'Rep Ovh Bal'!AA76</f>
        <v>0</v>
      </c>
      <c r="AB588" s="451">
        <f>'Rep Ovh Bal'!AB76</f>
        <v>0</v>
      </c>
      <c r="AC588" s="451">
        <f>'Rep Ovh Bal'!AC76</f>
        <v>0</v>
      </c>
      <c r="AD588" s="451">
        <f>'Rep Ovh Bal'!AD76</f>
        <v>0</v>
      </c>
      <c r="AE588" s="451">
        <f>'Rep Ovh Bal'!AE76</f>
        <v>0</v>
      </c>
      <c r="AF588" s="451">
        <f>'Rep Ovh Bal'!AF76</f>
        <v>0</v>
      </c>
      <c r="AG588" s="451">
        <f>'Rep Ovh Bal'!AG76</f>
        <v>0</v>
      </c>
      <c r="AH588" s="451">
        <f>'Rep Ovh Bal'!AH76</f>
        <v>768</v>
      </c>
      <c r="AI588" s="1062">
        <f>'Rep Ovh Bal'!AI76</f>
        <v>768</v>
      </c>
      <c r="AJ588" s="451">
        <f>'Rep Ovh Bal'!AJ76</f>
        <v>0</v>
      </c>
      <c r="AK588" s="451">
        <f>'Rep Ovh Bal'!AK76</f>
        <v>0</v>
      </c>
      <c r="AL588" s="451">
        <f>'Rep Ovh Bal'!AL76</f>
        <v>0</v>
      </c>
      <c r="AM588" s="451">
        <f>'Rep Ovh Bal'!AM76</f>
        <v>0</v>
      </c>
      <c r="AN588" s="451">
        <f>'Rep Ovh Bal'!AN76</f>
        <v>0</v>
      </c>
      <c r="AO588" s="451">
        <f>'Rep Ovh Bal'!AO76</f>
        <v>0</v>
      </c>
      <c r="AP588" s="451">
        <f>'Rep Ovh Bal'!AP76</f>
        <v>0</v>
      </c>
      <c r="AQ588" s="451">
        <f>'Rep Ovh Bal'!AQ76</f>
        <v>0</v>
      </c>
      <c r="AR588" s="451">
        <f>'Rep Ovh Bal'!AR76</f>
        <v>0</v>
      </c>
      <c r="AS588" s="451">
        <f>'Rep Ovh Bal'!AS76</f>
        <v>0</v>
      </c>
      <c r="AT588" s="451">
        <f>'Rep Ovh Bal'!AT76</f>
        <v>864</v>
      </c>
      <c r="AU588" s="1062">
        <f>'Rep Ovh Bal'!AU76</f>
        <v>864</v>
      </c>
      <c r="AV588" s="1063">
        <f>'Rep Ovh Bal'!AV76</f>
        <v>2220</v>
      </c>
      <c r="AW588" s="1068"/>
      <c r="AX588" s="1065">
        <f>'Rep Ovh Bal'!AW76</f>
        <v>7.69</v>
      </c>
      <c r="AY588" s="1062">
        <f>'Rep Ovh Bal'!AX76</f>
        <v>53.5224</v>
      </c>
      <c r="AZ588" s="1068"/>
      <c r="BA588" s="1068"/>
      <c r="BB588" s="1068"/>
      <c r="BC588" s="1068"/>
      <c r="BD588" s="1068"/>
      <c r="BE588" s="1068"/>
      <c r="BF588" s="1065" t="str">
        <f>'Rep Ovh Bal'!BE76</f>
        <v/>
      </c>
      <c r="BG588" s="451" t="str">
        <f>'Rep Ovh Bal'!BH76</f>
        <v/>
      </c>
      <c r="BH588" s="451" t="str">
        <f>'Rep Ovh Bal'!BI76</f>
        <v/>
      </c>
      <c r="BI588" s="451" t="str">
        <f>'Rep Ovh Bal'!BJ76</f>
        <v/>
      </c>
      <c r="BJ588" s="451" t="str">
        <f>'Rep Ovh Bal'!BK76</f>
        <v/>
      </c>
      <c r="BK588" s="1062">
        <f>'Rep Ovh Bal'!AY76</f>
        <v>31471.1712</v>
      </c>
      <c r="BL588" s="1069">
        <f>'Rep Ovh Bal'!AY76</f>
        <v>31471.1712</v>
      </c>
      <c r="BM588" s="1068"/>
      <c r="BN588" s="1068"/>
      <c r="BO588" s="1068"/>
      <c r="BP588" s="451" t="str">
        <f>'Rep Ovh Bal'!BQ76</f>
        <v/>
      </c>
      <c r="BQ588" s="451" t="str">
        <f>'Rep Ovh Bal'!BR76</f>
        <v/>
      </c>
      <c r="BR588" s="451" t="str">
        <f>'Rep Ovh Bal'!BS76</f>
        <v/>
      </c>
      <c r="BS588" s="451" t="str">
        <f>'Rep Ovh Bal'!BT76</f>
        <v/>
      </c>
      <c r="BT588" s="451" t="str">
        <f>'Rep Ovh Bal'!BU76</f>
        <v/>
      </c>
      <c r="BU588" s="451" t="str">
        <f>'Rep Ovh Bal'!BV76</f>
        <v/>
      </c>
      <c r="BV588" s="451" t="str">
        <f>'Rep Ovh Bal'!BW76</f>
        <v/>
      </c>
      <c r="BW588" s="1062">
        <f>'Rep Ovh Bal'!AZ76</f>
        <v>41105.2032</v>
      </c>
      <c r="BX588" s="1069">
        <f>'Rep Ovh Bal'!AZ76</f>
        <v>41105.2032</v>
      </c>
      <c r="BY588" s="1068"/>
      <c r="BZ588" s="1068"/>
      <c r="CA588" s="451" t="str">
        <f>'Rep Ovh Bal'!CB76</f>
        <v/>
      </c>
      <c r="CB588" s="451" t="str">
        <f>'Rep Ovh Bal'!CC76</f>
        <v/>
      </c>
      <c r="CC588" s="451" t="str">
        <f>'Rep Ovh Bal'!CD76</f>
        <v/>
      </c>
      <c r="CD588" s="451" t="str">
        <f>'Rep Ovh Bal'!CE76</f>
        <v/>
      </c>
      <c r="CE588" s="451" t="str">
        <f>'Rep Ovh Bal'!CF76</f>
        <v/>
      </c>
      <c r="CF588" s="451" t="str">
        <f>'Rep Ovh Bal'!CG76</f>
        <v/>
      </c>
      <c r="CG588" s="451" t="str">
        <f>'Rep Ovh Bal'!CH76</f>
        <v/>
      </c>
      <c r="CH588" s="451" t="str">
        <f>'Rep Ovh Bal'!CI76</f>
        <v/>
      </c>
      <c r="CI588" s="1062">
        <f>'Rep Ovh Bal'!BA76</f>
        <v>46243.3536</v>
      </c>
      <c r="CJ588" s="1062">
        <f>'Rep Ovh Bal'!BA76</f>
        <v>46243.3536</v>
      </c>
      <c r="CK588" s="1062">
        <f>'Rep Ovh Bal'!BB76</f>
        <v>118819.728</v>
      </c>
      <c r="CL588" s="1064" t="str">
        <f>'Rep Ovh Bal'!BC76</f>
        <v/>
      </c>
      <c r="CM588" s="451" t="str">
        <f>'Rep Ovh Bal'!CN76</f>
        <v/>
      </c>
      <c r="CN588" s="1065" t="str">
        <f>'Rep Ovh Bal'!BE72</f>
        <v/>
      </c>
      <c r="CO588" s="1062" t="str">
        <f>'Rep Ovh Bal'!BF72</f>
        <v/>
      </c>
      <c r="CP588" s="1060" t="str">
        <f>'Rep Ovh Bal'!BG72</f>
        <v/>
      </c>
    </row>
    <row r="589">
      <c r="A589" s="451" t="str">
        <f>'Rep Ovh Bal'!A77</f>
        <v>Repuestos mantenimientos mayores para estaciones y torres</v>
      </c>
      <c r="B589" s="451">
        <f>'Rep Ovh Bal'!B77</f>
        <v>2</v>
      </c>
      <c r="C589" s="451" t="str">
        <f>'Rep Ovh Bal'!C77</f>
        <v>Torres</v>
      </c>
      <c r="D589" s="451" t="str">
        <f>'Rep Ovh Bal'!D77</f>
        <v>OVH balancines TRM</v>
      </c>
      <c r="E589" s="451" t="str">
        <f>'Rep Ovh Bal'!E77</f>
        <v>Repuesto Mecánico</v>
      </c>
      <c r="F589" s="451" t="str">
        <f>'Rep Ovh Bal'!F77</f>
        <v>TDB</v>
      </c>
      <c r="G589" s="1025" t="str">
        <f>'Rep Ovh Bal'!G77</f>
        <v>39800</v>
      </c>
      <c r="H589" s="1061" t="str">
        <f>'Rep Ovh Bal'!H77</f>
        <v>2-01-00148</v>
      </c>
      <c r="I589" s="1061" t="str">
        <f>'Rep Ovh Bal'!I77</f>
        <v>11136966</v>
      </c>
      <c r="J589" s="1061" t="str">
        <f>'Rep Ovh Bal'!J77</f>
        <v>TORNILLO DIN931-8.8U M16X65, GIC, TORN.HEX., GIC (ISO 4014)</v>
      </c>
      <c r="K589" s="451" t="str">
        <f>'Rep Ovh Bal'!K77</f>
        <v>Pza</v>
      </c>
      <c r="L589" s="451">
        <f>'Rep Ovh Bal'!L77</f>
        <v>0</v>
      </c>
      <c r="M589" s="451">
        <f>'Rep Ovh Bal'!M77</f>
        <v>0</v>
      </c>
      <c r="N589" s="451">
        <f>'Rep Ovh Bal'!N77</f>
        <v>0</v>
      </c>
      <c r="O589" s="451">
        <f>'Rep Ovh Bal'!O77</f>
        <v>0</v>
      </c>
      <c r="P589" s="451">
        <f>'Rep Ovh Bal'!P77</f>
        <v>0</v>
      </c>
      <c r="Q589" s="451">
        <f>'Rep Ovh Bal'!Q77</f>
        <v>0</v>
      </c>
      <c r="R589" s="451">
        <f>'Rep Ovh Bal'!R77</f>
        <v>0</v>
      </c>
      <c r="S589" s="451">
        <f>'Rep Ovh Bal'!S77</f>
        <v>0</v>
      </c>
      <c r="T589" s="451">
        <f>'Rep Ovh Bal'!T77</f>
        <v>0</v>
      </c>
      <c r="U589" s="451">
        <f>'Rep Ovh Bal'!U77</f>
        <v>0</v>
      </c>
      <c r="V589" s="451">
        <f>'Rep Ovh Bal'!V77</f>
        <v>328</v>
      </c>
      <c r="W589" s="1062">
        <f>'Rep Ovh Bal'!W77</f>
        <v>328</v>
      </c>
      <c r="X589" s="451">
        <f>'Rep Ovh Bal'!X77</f>
        <v>0</v>
      </c>
      <c r="Y589" s="451">
        <f>'Rep Ovh Bal'!Y77</f>
        <v>0</v>
      </c>
      <c r="Z589" s="451">
        <f>'Rep Ovh Bal'!Z77</f>
        <v>0</v>
      </c>
      <c r="AA589" s="451">
        <f>'Rep Ovh Bal'!AA77</f>
        <v>0</v>
      </c>
      <c r="AB589" s="451">
        <f>'Rep Ovh Bal'!AB77</f>
        <v>0</v>
      </c>
      <c r="AC589" s="451">
        <f>'Rep Ovh Bal'!AC77</f>
        <v>0</v>
      </c>
      <c r="AD589" s="451">
        <f>'Rep Ovh Bal'!AD77</f>
        <v>0</v>
      </c>
      <c r="AE589" s="451">
        <f>'Rep Ovh Bal'!AE77</f>
        <v>0</v>
      </c>
      <c r="AF589" s="451">
        <f>'Rep Ovh Bal'!AF77</f>
        <v>0</v>
      </c>
      <c r="AG589" s="451">
        <f>'Rep Ovh Bal'!AG77</f>
        <v>0</v>
      </c>
      <c r="AH589" s="451">
        <f>'Rep Ovh Bal'!AH77</f>
        <v>272</v>
      </c>
      <c r="AI589" s="1062">
        <f>'Rep Ovh Bal'!AI77</f>
        <v>272</v>
      </c>
      <c r="AJ589" s="451">
        <f>'Rep Ovh Bal'!AJ77</f>
        <v>0</v>
      </c>
      <c r="AK589" s="451">
        <f>'Rep Ovh Bal'!AK77</f>
        <v>0</v>
      </c>
      <c r="AL589" s="451">
        <f>'Rep Ovh Bal'!AL77</f>
        <v>0</v>
      </c>
      <c r="AM589" s="451">
        <f>'Rep Ovh Bal'!AM77</f>
        <v>0</v>
      </c>
      <c r="AN589" s="451">
        <f>'Rep Ovh Bal'!AN77</f>
        <v>0</v>
      </c>
      <c r="AO589" s="451">
        <f>'Rep Ovh Bal'!AO77</f>
        <v>0</v>
      </c>
      <c r="AP589" s="451">
        <f>'Rep Ovh Bal'!AP77</f>
        <v>0</v>
      </c>
      <c r="AQ589" s="451">
        <f>'Rep Ovh Bal'!AQ77</f>
        <v>0</v>
      </c>
      <c r="AR589" s="451">
        <f>'Rep Ovh Bal'!AR77</f>
        <v>0</v>
      </c>
      <c r="AS589" s="451">
        <f>'Rep Ovh Bal'!AS77</f>
        <v>0</v>
      </c>
      <c r="AT589" s="451">
        <f>'Rep Ovh Bal'!AT77</f>
        <v>348</v>
      </c>
      <c r="AU589" s="1062">
        <f>'Rep Ovh Bal'!AU77</f>
        <v>348</v>
      </c>
      <c r="AV589" s="1063">
        <f>'Rep Ovh Bal'!AV77</f>
        <v>948</v>
      </c>
      <c r="AW589" s="1068"/>
      <c r="AX589" s="1065">
        <f>'Rep Ovh Bal'!AW77</f>
        <v>3</v>
      </c>
      <c r="AY589" s="1062">
        <f>'Rep Ovh Bal'!AX77</f>
        <v>20.88</v>
      </c>
      <c r="AZ589" s="1068"/>
      <c r="BA589" s="1068"/>
      <c r="BB589" s="1068"/>
      <c r="BC589" s="1068"/>
      <c r="BD589" s="1068"/>
      <c r="BE589" s="1068"/>
      <c r="BF589" s="1065" t="str">
        <f>'Rep Ovh Bal'!BE77</f>
        <v/>
      </c>
      <c r="BG589" s="451" t="str">
        <f>'Rep Ovh Bal'!BH77</f>
        <v/>
      </c>
      <c r="BH589" s="451" t="str">
        <f>'Rep Ovh Bal'!BI77</f>
        <v/>
      </c>
      <c r="BI589" s="451" t="str">
        <f>'Rep Ovh Bal'!BJ77</f>
        <v/>
      </c>
      <c r="BJ589" s="451" t="str">
        <f>'Rep Ovh Bal'!BK77</f>
        <v/>
      </c>
      <c r="BK589" s="1062">
        <f>'Rep Ovh Bal'!AY77</f>
        <v>6848.64</v>
      </c>
      <c r="BL589" s="1069">
        <f>'Rep Ovh Bal'!AY77</f>
        <v>6848.64</v>
      </c>
      <c r="BM589" s="1068"/>
      <c r="BN589" s="1068"/>
      <c r="BO589" s="1068"/>
      <c r="BP589" s="451" t="str">
        <f>'Rep Ovh Bal'!BQ77</f>
        <v/>
      </c>
      <c r="BQ589" s="451" t="str">
        <f>'Rep Ovh Bal'!BR77</f>
        <v/>
      </c>
      <c r="BR589" s="451" t="str">
        <f>'Rep Ovh Bal'!BS77</f>
        <v/>
      </c>
      <c r="BS589" s="451" t="str">
        <f>'Rep Ovh Bal'!BT77</f>
        <v/>
      </c>
      <c r="BT589" s="451" t="str">
        <f>'Rep Ovh Bal'!BU77</f>
        <v/>
      </c>
      <c r="BU589" s="451" t="str">
        <f>'Rep Ovh Bal'!BV77</f>
        <v/>
      </c>
      <c r="BV589" s="451" t="str">
        <f>'Rep Ovh Bal'!BW77</f>
        <v/>
      </c>
      <c r="BW589" s="1062">
        <f>'Rep Ovh Bal'!AZ77</f>
        <v>5679.36</v>
      </c>
      <c r="BX589" s="1069">
        <f>'Rep Ovh Bal'!AZ77</f>
        <v>5679.36</v>
      </c>
      <c r="BY589" s="1068"/>
      <c r="BZ589" s="1068"/>
      <c r="CA589" s="451" t="str">
        <f>'Rep Ovh Bal'!CB77</f>
        <v/>
      </c>
      <c r="CB589" s="451" t="str">
        <f>'Rep Ovh Bal'!CC77</f>
        <v/>
      </c>
      <c r="CC589" s="451" t="str">
        <f>'Rep Ovh Bal'!CD77</f>
        <v/>
      </c>
      <c r="CD589" s="451" t="str">
        <f>'Rep Ovh Bal'!CE77</f>
        <v/>
      </c>
      <c r="CE589" s="451" t="str">
        <f>'Rep Ovh Bal'!CF77</f>
        <v/>
      </c>
      <c r="CF589" s="451" t="str">
        <f>'Rep Ovh Bal'!CG77</f>
        <v/>
      </c>
      <c r="CG589" s="451" t="str">
        <f>'Rep Ovh Bal'!CH77</f>
        <v/>
      </c>
      <c r="CH589" s="451" t="str">
        <f>'Rep Ovh Bal'!CI77</f>
        <v/>
      </c>
      <c r="CI589" s="1062">
        <f>'Rep Ovh Bal'!BA77</f>
        <v>7266.24</v>
      </c>
      <c r="CJ589" s="1062">
        <f>'Rep Ovh Bal'!BA77</f>
        <v>7266.24</v>
      </c>
      <c r="CK589" s="1062">
        <f>'Rep Ovh Bal'!BB77</f>
        <v>19794.24</v>
      </c>
      <c r="CL589" s="1064" t="str">
        <f>'Rep Ovh Bal'!BC77</f>
        <v/>
      </c>
      <c r="CM589" s="451" t="str">
        <f>'Rep Ovh Bal'!CN77</f>
        <v/>
      </c>
      <c r="CN589" s="1065" t="str">
        <f>'Rep Ovh Bal'!BE73</f>
        <v/>
      </c>
      <c r="CO589" s="1062" t="str">
        <f>'Rep Ovh Bal'!BF73</f>
        <v/>
      </c>
      <c r="CP589" s="1060" t="str">
        <f>'Rep Ovh Bal'!BG73</f>
        <v/>
      </c>
    </row>
    <row r="590">
      <c r="A590" s="451" t="str">
        <f>'Rep Ovh Bal'!A78</f>
        <v>Repuestos mantenimientos mayores para estaciones y torres</v>
      </c>
      <c r="B590" s="451">
        <f>'Rep Ovh Bal'!B78</f>
        <v>2</v>
      </c>
      <c r="C590" s="451" t="str">
        <f>'Rep Ovh Bal'!C78</f>
        <v>Torres</v>
      </c>
      <c r="D590" s="451" t="str">
        <f>'Rep Ovh Bal'!D78</f>
        <v>OVH balancines TRM</v>
      </c>
      <c r="E590" s="451" t="str">
        <f>'Rep Ovh Bal'!E78</f>
        <v>Repuesto Mecánico</v>
      </c>
      <c r="F590" s="451" t="str">
        <f>'Rep Ovh Bal'!F78</f>
        <v>TDB</v>
      </c>
      <c r="G590" s="1025" t="str">
        <f>'Rep Ovh Bal'!G78</f>
        <v>39800</v>
      </c>
      <c r="H590" s="1061" t="str">
        <f>'Rep Ovh Bal'!H78</f>
        <v/>
      </c>
      <c r="I590" s="1061" t="str">
        <f>'Rep Ovh Bal'!I78</f>
        <v>11137005</v>
      </c>
      <c r="J590" s="1061" t="str">
        <f>'Rep Ovh Bal'!J78</f>
        <v>TORNILLO DIN933-8.8U M12X45 GIC, TORN.HEX., GIC (ISO 4017)</v>
      </c>
      <c r="K590" s="451" t="str">
        <f>'Rep Ovh Bal'!K78</f>
        <v>Pza</v>
      </c>
      <c r="L590" s="451">
        <f>'Rep Ovh Bal'!L78</f>
        <v>0</v>
      </c>
      <c r="M590" s="451">
        <f>'Rep Ovh Bal'!M78</f>
        <v>0</v>
      </c>
      <c r="N590" s="451">
        <f>'Rep Ovh Bal'!N78</f>
        <v>0</v>
      </c>
      <c r="O590" s="451">
        <f>'Rep Ovh Bal'!O78</f>
        <v>0</v>
      </c>
      <c r="P590" s="451">
        <f>'Rep Ovh Bal'!P78</f>
        <v>0</v>
      </c>
      <c r="Q590" s="451">
        <f>'Rep Ovh Bal'!Q78</f>
        <v>0</v>
      </c>
      <c r="R590" s="451">
        <f>'Rep Ovh Bal'!R78</f>
        <v>0</v>
      </c>
      <c r="S590" s="451">
        <f>'Rep Ovh Bal'!S78</f>
        <v>0</v>
      </c>
      <c r="T590" s="451">
        <f>'Rep Ovh Bal'!T78</f>
        <v>0</v>
      </c>
      <c r="U590" s="451">
        <f>'Rep Ovh Bal'!U78</f>
        <v>0</v>
      </c>
      <c r="V590" s="451">
        <f>'Rep Ovh Bal'!V78</f>
        <v>48</v>
      </c>
      <c r="W590" s="1062">
        <f>'Rep Ovh Bal'!W78</f>
        <v>48</v>
      </c>
      <c r="X590" s="451">
        <f>'Rep Ovh Bal'!X78</f>
        <v>0</v>
      </c>
      <c r="Y590" s="451">
        <f>'Rep Ovh Bal'!Y78</f>
        <v>0</v>
      </c>
      <c r="Z590" s="451">
        <f>'Rep Ovh Bal'!Z78</f>
        <v>0</v>
      </c>
      <c r="AA590" s="451">
        <f>'Rep Ovh Bal'!AA78</f>
        <v>0</v>
      </c>
      <c r="AB590" s="451">
        <f>'Rep Ovh Bal'!AB78</f>
        <v>0</v>
      </c>
      <c r="AC590" s="451">
        <f>'Rep Ovh Bal'!AC78</f>
        <v>0</v>
      </c>
      <c r="AD590" s="451">
        <f>'Rep Ovh Bal'!AD78</f>
        <v>0</v>
      </c>
      <c r="AE590" s="451">
        <f>'Rep Ovh Bal'!AE78</f>
        <v>0</v>
      </c>
      <c r="AF590" s="451">
        <f>'Rep Ovh Bal'!AF78</f>
        <v>0</v>
      </c>
      <c r="AG590" s="451">
        <f>'Rep Ovh Bal'!AG78</f>
        <v>0</v>
      </c>
      <c r="AH590" s="451">
        <f>'Rep Ovh Bal'!AH78</f>
        <v>68</v>
      </c>
      <c r="AI590" s="1062">
        <f>'Rep Ovh Bal'!AI78</f>
        <v>68</v>
      </c>
      <c r="AJ590" s="451">
        <f>'Rep Ovh Bal'!AJ78</f>
        <v>0</v>
      </c>
      <c r="AK590" s="451">
        <f>'Rep Ovh Bal'!AK78</f>
        <v>0</v>
      </c>
      <c r="AL590" s="451">
        <f>'Rep Ovh Bal'!AL78</f>
        <v>0</v>
      </c>
      <c r="AM590" s="451">
        <f>'Rep Ovh Bal'!AM78</f>
        <v>0</v>
      </c>
      <c r="AN590" s="451">
        <f>'Rep Ovh Bal'!AN78</f>
        <v>0</v>
      </c>
      <c r="AO590" s="451">
        <f>'Rep Ovh Bal'!AO78</f>
        <v>0</v>
      </c>
      <c r="AP590" s="451">
        <f>'Rep Ovh Bal'!AP78</f>
        <v>0</v>
      </c>
      <c r="AQ590" s="451">
        <f>'Rep Ovh Bal'!AQ78</f>
        <v>0</v>
      </c>
      <c r="AR590" s="451">
        <f>'Rep Ovh Bal'!AR78</f>
        <v>0</v>
      </c>
      <c r="AS590" s="451">
        <f>'Rep Ovh Bal'!AS78</f>
        <v>0</v>
      </c>
      <c r="AT590" s="451">
        <f>'Rep Ovh Bal'!AT78</f>
        <v>136</v>
      </c>
      <c r="AU590" s="1062">
        <f>'Rep Ovh Bal'!AU78</f>
        <v>136</v>
      </c>
      <c r="AV590" s="1063">
        <f>'Rep Ovh Bal'!AV78</f>
        <v>252</v>
      </c>
      <c r="AW590" s="1068"/>
      <c r="AX590" s="1065">
        <f>'Rep Ovh Bal'!AW78</f>
        <v>1.54</v>
      </c>
      <c r="AY590" s="1062">
        <f>'Rep Ovh Bal'!AX78</f>
        <v>10.7184</v>
      </c>
      <c r="AZ590" s="1068"/>
      <c r="BA590" s="1068"/>
      <c r="BB590" s="1068"/>
      <c r="BC590" s="1068"/>
      <c r="BD590" s="1068"/>
      <c r="BE590" s="1068"/>
      <c r="BF590" s="1065" t="str">
        <f>'Rep Ovh Bal'!BE78</f>
        <v/>
      </c>
      <c r="BG590" s="451" t="str">
        <f>'Rep Ovh Bal'!BH78</f>
        <v/>
      </c>
      <c r="BH590" s="451" t="str">
        <f>'Rep Ovh Bal'!BI78</f>
        <v/>
      </c>
      <c r="BI590" s="451" t="str">
        <f>'Rep Ovh Bal'!BJ78</f>
        <v/>
      </c>
      <c r="BJ590" s="451" t="str">
        <f>'Rep Ovh Bal'!BK78</f>
        <v/>
      </c>
      <c r="BK590" s="1062">
        <f>'Rep Ovh Bal'!AY78</f>
        <v>514.4832</v>
      </c>
      <c r="BL590" s="1069">
        <f>'Rep Ovh Bal'!AY78</f>
        <v>514.4832</v>
      </c>
      <c r="BM590" s="1068"/>
      <c r="BN590" s="1068"/>
      <c r="BO590" s="1068"/>
      <c r="BP590" s="451" t="str">
        <f>'Rep Ovh Bal'!BQ78</f>
        <v/>
      </c>
      <c r="BQ590" s="451" t="str">
        <f>'Rep Ovh Bal'!BR78</f>
        <v/>
      </c>
      <c r="BR590" s="451" t="str">
        <f>'Rep Ovh Bal'!BS78</f>
        <v/>
      </c>
      <c r="BS590" s="451" t="str">
        <f>'Rep Ovh Bal'!BT78</f>
        <v/>
      </c>
      <c r="BT590" s="451" t="str">
        <f>'Rep Ovh Bal'!BU78</f>
        <v/>
      </c>
      <c r="BU590" s="451" t="str">
        <f>'Rep Ovh Bal'!BV78</f>
        <v/>
      </c>
      <c r="BV590" s="451" t="str">
        <f>'Rep Ovh Bal'!BW78</f>
        <v/>
      </c>
      <c r="BW590" s="1062">
        <f>'Rep Ovh Bal'!AZ78</f>
        <v>728.8512</v>
      </c>
      <c r="BX590" s="1069">
        <f>'Rep Ovh Bal'!AZ78</f>
        <v>728.8512</v>
      </c>
      <c r="BY590" s="1068"/>
      <c r="BZ590" s="1068"/>
      <c r="CA590" s="451" t="str">
        <f>'Rep Ovh Bal'!CB78</f>
        <v/>
      </c>
      <c r="CB590" s="451" t="str">
        <f>'Rep Ovh Bal'!CC78</f>
        <v/>
      </c>
      <c r="CC590" s="451" t="str">
        <f>'Rep Ovh Bal'!CD78</f>
        <v/>
      </c>
      <c r="CD590" s="451" t="str">
        <f>'Rep Ovh Bal'!CE78</f>
        <v/>
      </c>
      <c r="CE590" s="451" t="str">
        <f>'Rep Ovh Bal'!CF78</f>
        <v/>
      </c>
      <c r="CF590" s="451" t="str">
        <f>'Rep Ovh Bal'!CG78</f>
        <v/>
      </c>
      <c r="CG590" s="451" t="str">
        <f>'Rep Ovh Bal'!CH78</f>
        <v/>
      </c>
      <c r="CH590" s="451" t="str">
        <f>'Rep Ovh Bal'!CI78</f>
        <v/>
      </c>
      <c r="CI590" s="1062">
        <f>'Rep Ovh Bal'!BA78</f>
        <v>1457.7024</v>
      </c>
      <c r="CJ590" s="1062">
        <f>'Rep Ovh Bal'!BA78</f>
        <v>1457.7024</v>
      </c>
      <c r="CK590" s="1062">
        <f>'Rep Ovh Bal'!BB78</f>
        <v>2701.0368</v>
      </c>
      <c r="CL590" s="1064" t="str">
        <f>'Rep Ovh Bal'!BC78</f>
        <v/>
      </c>
      <c r="CM590" s="451" t="str">
        <f>'Rep Ovh Bal'!CN78</f>
        <v/>
      </c>
      <c r="CN590" s="1065" t="str">
        <f>'Rep Ovh Bal'!BE74</f>
        <v/>
      </c>
      <c r="CO590" s="1062" t="str">
        <f>'Rep Ovh Bal'!BF74</f>
        <v/>
      </c>
      <c r="CP590" s="1060" t="str">
        <f>'Rep Ovh Bal'!BG74</f>
        <v/>
      </c>
    </row>
    <row r="591">
      <c r="A591" s="451" t="str">
        <f>'Rep Ovh Bal'!A79</f>
        <v>Repuestos mantenimientos mayores para estaciones y torres</v>
      </c>
      <c r="B591" s="451">
        <f>'Rep Ovh Bal'!B79</f>
        <v>2</v>
      </c>
      <c r="C591" s="451" t="str">
        <f>'Rep Ovh Bal'!C79</f>
        <v>Torres</v>
      </c>
      <c r="D591" s="451" t="str">
        <f>'Rep Ovh Bal'!D79</f>
        <v>OVH balancines TRM</v>
      </c>
      <c r="E591" s="451" t="str">
        <f>'Rep Ovh Bal'!E79</f>
        <v>Repuesto Mecánico</v>
      </c>
      <c r="F591" s="451" t="str">
        <f>'Rep Ovh Bal'!F79</f>
        <v>TDB</v>
      </c>
      <c r="G591" s="1025" t="str">
        <f>'Rep Ovh Bal'!G79</f>
        <v>39800</v>
      </c>
      <c r="H591" s="1061" t="str">
        <f>'Rep Ovh Bal'!H79</f>
        <v>2-01-00941</v>
      </c>
      <c r="I591" s="1061" t="str">
        <f>'Rep Ovh Bal'!I79</f>
        <v>11137015</v>
      </c>
      <c r="J591" s="1061" t="str">
        <f>'Rep Ovh Bal'!J79</f>
        <v>TORNILLO ISO 4017-8.8 M16X45 GIC TORN. HEXAG.</v>
      </c>
      <c r="K591" s="451" t="str">
        <f>'Rep Ovh Bal'!K79</f>
        <v>Pza</v>
      </c>
      <c r="L591" s="451">
        <f>'Rep Ovh Bal'!L79</f>
        <v>0</v>
      </c>
      <c r="M591" s="451">
        <f>'Rep Ovh Bal'!M79</f>
        <v>0</v>
      </c>
      <c r="N591" s="451">
        <f>'Rep Ovh Bal'!N79</f>
        <v>0</v>
      </c>
      <c r="O591" s="451">
        <f>'Rep Ovh Bal'!O79</f>
        <v>0</v>
      </c>
      <c r="P591" s="451">
        <f>'Rep Ovh Bal'!P79</f>
        <v>0</v>
      </c>
      <c r="Q591" s="451">
        <f>'Rep Ovh Bal'!Q79</f>
        <v>0</v>
      </c>
      <c r="R591" s="451">
        <f>'Rep Ovh Bal'!R79</f>
        <v>0</v>
      </c>
      <c r="S591" s="451">
        <f>'Rep Ovh Bal'!S79</f>
        <v>0</v>
      </c>
      <c r="T591" s="451">
        <f>'Rep Ovh Bal'!T79</f>
        <v>0</v>
      </c>
      <c r="U591" s="451">
        <f>'Rep Ovh Bal'!U79</f>
        <v>0</v>
      </c>
      <c r="V591" s="451">
        <f>'Rep Ovh Bal'!V79</f>
        <v>240</v>
      </c>
      <c r="W591" s="1062">
        <f>'Rep Ovh Bal'!W79</f>
        <v>240</v>
      </c>
      <c r="X591" s="451">
        <f>'Rep Ovh Bal'!X79</f>
        <v>0</v>
      </c>
      <c r="Y591" s="451">
        <f>'Rep Ovh Bal'!Y79</f>
        <v>0</v>
      </c>
      <c r="Z591" s="451">
        <f>'Rep Ovh Bal'!Z79</f>
        <v>0</v>
      </c>
      <c r="AA591" s="451">
        <f>'Rep Ovh Bal'!AA79</f>
        <v>0</v>
      </c>
      <c r="AB591" s="451">
        <f>'Rep Ovh Bal'!AB79</f>
        <v>0</v>
      </c>
      <c r="AC591" s="451">
        <f>'Rep Ovh Bal'!AC79</f>
        <v>0</v>
      </c>
      <c r="AD591" s="451">
        <f>'Rep Ovh Bal'!AD79</f>
        <v>0</v>
      </c>
      <c r="AE591" s="451">
        <f>'Rep Ovh Bal'!AE79</f>
        <v>0</v>
      </c>
      <c r="AF591" s="451">
        <f>'Rep Ovh Bal'!AF79</f>
        <v>0</v>
      </c>
      <c r="AG591" s="451">
        <f>'Rep Ovh Bal'!AG79</f>
        <v>0</v>
      </c>
      <c r="AH591" s="451">
        <f>'Rep Ovh Bal'!AH79</f>
        <v>120</v>
      </c>
      <c r="AI591" s="1062">
        <f>'Rep Ovh Bal'!AI79</f>
        <v>120</v>
      </c>
      <c r="AJ591" s="451">
        <f>'Rep Ovh Bal'!AJ79</f>
        <v>0</v>
      </c>
      <c r="AK591" s="451">
        <f>'Rep Ovh Bal'!AK79</f>
        <v>0</v>
      </c>
      <c r="AL591" s="451">
        <f>'Rep Ovh Bal'!AL79</f>
        <v>0</v>
      </c>
      <c r="AM591" s="451">
        <f>'Rep Ovh Bal'!AM79</f>
        <v>0</v>
      </c>
      <c r="AN591" s="451">
        <f>'Rep Ovh Bal'!AN79</f>
        <v>0</v>
      </c>
      <c r="AO591" s="451">
        <f>'Rep Ovh Bal'!AO79</f>
        <v>0</v>
      </c>
      <c r="AP591" s="451">
        <f>'Rep Ovh Bal'!AP79</f>
        <v>0</v>
      </c>
      <c r="AQ591" s="451">
        <f>'Rep Ovh Bal'!AQ79</f>
        <v>0</v>
      </c>
      <c r="AR591" s="451">
        <f>'Rep Ovh Bal'!AR79</f>
        <v>0</v>
      </c>
      <c r="AS591" s="451">
        <f>'Rep Ovh Bal'!AS79</f>
        <v>0</v>
      </c>
      <c r="AT591" s="451">
        <f>'Rep Ovh Bal'!AT79</f>
        <v>172</v>
      </c>
      <c r="AU591" s="1062">
        <f>'Rep Ovh Bal'!AU79</f>
        <v>172</v>
      </c>
      <c r="AV591" s="1063">
        <f>'Rep Ovh Bal'!AV79</f>
        <v>532</v>
      </c>
      <c r="AW591" s="1068"/>
      <c r="AX591" s="1065">
        <f>'Rep Ovh Bal'!AW79</f>
        <v>2.19</v>
      </c>
      <c r="AY591" s="1062">
        <f>'Rep Ovh Bal'!AX79</f>
        <v>15.2424</v>
      </c>
      <c r="AZ591" s="1068"/>
      <c r="BA591" s="1068"/>
      <c r="BB591" s="1068"/>
      <c r="BC591" s="1068"/>
      <c r="BD591" s="1068"/>
      <c r="BE591" s="1068"/>
      <c r="BF591" s="1065" t="str">
        <f>'Rep Ovh Bal'!BE79</f>
        <v/>
      </c>
      <c r="BG591" s="451" t="str">
        <f>'Rep Ovh Bal'!BH79</f>
        <v/>
      </c>
      <c r="BH591" s="451" t="str">
        <f>'Rep Ovh Bal'!BI79</f>
        <v/>
      </c>
      <c r="BI591" s="451" t="str">
        <f>'Rep Ovh Bal'!BJ79</f>
        <v/>
      </c>
      <c r="BJ591" s="451" t="str">
        <f>'Rep Ovh Bal'!BK79</f>
        <v/>
      </c>
      <c r="BK591" s="1062">
        <f>'Rep Ovh Bal'!AY79</f>
        <v>3658.176</v>
      </c>
      <c r="BL591" s="1069">
        <f>'Rep Ovh Bal'!AY79</f>
        <v>3658.176</v>
      </c>
      <c r="BM591" s="1068"/>
      <c r="BN591" s="1068"/>
      <c r="BO591" s="1068"/>
      <c r="BP591" s="451" t="str">
        <f>'Rep Ovh Bal'!BQ79</f>
        <v/>
      </c>
      <c r="BQ591" s="451" t="str">
        <f>'Rep Ovh Bal'!BR79</f>
        <v/>
      </c>
      <c r="BR591" s="451" t="str">
        <f>'Rep Ovh Bal'!BS79</f>
        <v/>
      </c>
      <c r="BS591" s="451" t="str">
        <f>'Rep Ovh Bal'!BT79</f>
        <v/>
      </c>
      <c r="BT591" s="451" t="str">
        <f>'Rep Ovh Bal'!BU79</f>
        <v/>
      </c>
      <c r="BU591" s="451" t="str">
        <f>'Rep Ovh Bal'!BV79</f>
        <v/>
      </c>
      <c r="BV591" s="451" t="str">
        <f>'Rep Ovh Bal'!BW79</f>
        <v/>
      </c>
      <c r="BW591" s="1062">
        <f>'Rep Ovh Bal'!AZ79</f>
        <v>1829.088</v>
      </c>
      <c r="BX591" s="1069">
        <f>'Rep Ovh Bal'!AZ79</f>
        <v>1829.088</v>
      </c>
      <c r="BY591" s="1068"/>
      <c r="BZ591" s="1068"/>
      <c r="CA591" s="451" t="str">
        <f>'Rep Ovh Bal'!CB79</f>
        <v/>
      </c>
      <c r="CB591" s="451" t="str">
        <f>'Rep Ovh Bal'!CC79</f>
        <v/>
      </c>
      <c r="CC591" s="451" t="str">
        <f>'Rep Ovh Bal'!CD79</f>
        <v/>
      </c>
      <c r="CD591" s="451" t="str">
        <f>'Rep Ovh Bal'!CE79</f>
        <v/>
      </c>
      <c r="CE591" s="451" t="str">
        <f>'Rep Ovh Bal'!CF79</f>
        <v/>
      </c>
      <c r="CF591" s="451" t="str">
        <f>'Rep Ovh Bal'!CG79</f>
        <v/>
      </c>
      <c r="CG591" s="451" t="str">
        <f>'Rep Ovh Bal'!CH79</f>
        <v/>
      </c>
      <c r="CH591" s="451" t="str">
        <f>'Rep Ovh Bal'!CI79</f>
        <v/>
      </c>
      <c r="CI591" s="1062">
        <f>'Rep Ovh Bal'!BA79</f>
        <v>2621.6928</v>
      </c>
      <c r="CJ591" s="1062">
        <f>'Rep Ovh Bal'!BA79</f>
        <v>2621.6928</v>
      </c>
      <c r="CK591" s="1062">
        <f>'Rep Ovh Bal'!BB79</f>
        <v>8108.9568</v>
      </c>
      <c r="CL591" s="1064" t="str">
        <f>'Rep Ovh Bal'!BC79</f>
        <v/>
      </c>
      <c r="CM591" s="451" t="str">
        <f>'Rep Ovh Bal'!CN79</f>
        <v/>
      </c>
      <c r="CN591" s="1065" t="str">
        <f>'Rep Ovh Bal'!BE75</f>
        <v/>
      </c>
      <c r="CO591" s="1062" t="str">
        <f>'Rep Ovh Bal'!BF75</f>
        <v/>
      </c>
      <c r="CP591" s="1060" t="str">
        <f>'Rep Ovh Bal'!BG75</f>
        <v/>
      </c>
    </row>
    <row r="592">
      <c r="A592" s="451" t="str">
        <f>'Rep Ovh Bal'!A80</f>
        <v>Repuestos mantenimientos mayores para estaciones y torres</v>
      </c>
      <c r="B592" s="451">
        <f>'Rep Ovh Bal'!B80</f>
        <v>2</v>
      </c>
      <c r="C592" s="451" t="str">
        <f>'Rep Ovh Bal'!C80</f>
        <v>Torres</v>
      </c>
      <c r="D592" s="451" t="str">
        <f>'Rep Ovh Bal'!D80</f>
        <v>OVH balancines TRM</v>
      </c>
      <c r="E592" s="451" t="str">
        <f>'Rep Ovh Bal'!E80</f>
        <v>Repuesto Eléctrico</v>
      </c>
      <c r="F592" s="451" t="str">
        <f>'Rep Ovh Bal'!F80</f>
        <v>TDB</v>
      </c>
      <c r="G592" s="1025" t="str">
        <f>'Rep Ovh Bal'!G80</f>
        <v>39700</v>
      </c>
      <c r="H592" s="1061" t="str">
        <f>'Rep Ovh Bal'!H80</f>
        <v/>
      </c>
      <c r="I592" s="1061" t="str">
        <f>'Rep Ovh Bal'!I80</f>
        <v>11163460</v>
      </c>
      <c r="J592" s="1061" t="str">
        <f>'Rep Ovh Bal'!J80</f>
        <v>CONECTADOR ENCHUF. 2,5-6,0MM2 PV-C3M-S 2,5-6 (-)</v>
      </c>
      <c r="K592" s="451" t="str">
        <f>'Rep Ovh Bal'!K80</f>
        <v>Pza</v>
      </c>
      <c r="L592" s="451">
        <f>'Rep Ovh Bal'!L80</f>
        <v>0</v>
      </c>
      <c r="M592" s="451">
        <f>'Rep Ovh Bal'!M80</f>
        <v>0</v>
      </c>
      <c r="N592" s="451">
        <f>'Rep Ovh Bal'!N80</f>
        <v>0</v>
      </c>
      <c r="O592" s="451">
        <f>'Rep Ovh Bal'!O80</f>
        <v>0</v>
      </c>
      <c r="P592" s="451">
        <f>'Rep Ovh Bal'!P80</f>
        <v>0</v>
      </c>
      <c r="Q592" s="451">
        <f>'Rep Ovh Bal'!Q80</f>
        <v>0</v>
      </c>
      <c r="R592" s="451">
        <f>'Rep Ovh Bal'!R80</f>
        <v>0</v>
      </c>
      <c r="S592" s="451">
        <f>'Rep Ovh Bal'!S80</f>
        <v>0</v>
      </c>
      <c r="T592" s="451">
        <f>'Rep Ovh Bal'!T80</f>
        <v>0</v>
      </c>
      <c r="U592" s="451">
        <f>'Rep Ovh Bal'!U80</f>
        <v>0</v>
      </c>
      <c r="V592" s="451">
        <f>'Rep Ovh Bal'!V80</f>
        <v>300</v>
      </c>
      <c r="W592" s="1062">
        <f>'Rep Ovh Bal'!W80</f>
        <v>300</v>
      </c>
      <c r="X592" s="451">
        <f>'Rep Ovh Bal'!X80</f>
        <v>0</v>
      </c>
      <c r="Y592" s="451">
        <f>'Rep Ovh Bal'!Y80</f>
        <v>0</v>
      </c>
      <c r="Z592" s="451">
        <f>'Rep Ovh Bal'!Z80</f>
        <v>0</v>
      </c>
      <c r="AA592" s="451">
        <f>'Rep Ovh Bal'!AA80</f>
        <v>0</v>
      </c>
      <c r="AB592" s="451">
        <f>'Rep Ovh Bal'!AB80</f>
        <v>0</v>
      </c>
      <c r="AC592" s="451">
        <f>'Rep Ovh Bal'!AC80</f>
        <v>0</v>
      </c>
      <c r="AD592" s="451">
        <f>'Rep Ovh Bal'!AD80</f>
        <v>0</v>
      </c>
      <c r="AE592" s="451">
        <f>'Rep Ovh Bal'!AE80</f>
        <v>0</v>
      </c>
      <c r="AF592" s="451">
        <f>'Rep Ovh Bal'!AF80</f>
        <v>0</v>
      </c>
      <c r="AG592" s="451">
        <f>'Rep Ovh Bal'!AG80</f>
        <v>0</v>
      </c>
      <c r="AH592" s="451">
        <f>'Rep Ovh Bal'!AH80</f>
        <v>0</v>
      </c>
      <c r="AI592" s="1062">
        <f>'Rep Ovh Bal'!AI80</f>
        <v>0</v>
      </c>
      <c r="AJ592" s="451">
        <f>'Rep Ovh Bal'!AJ80</f>
        <v>0</v>
      </c>
      <c r="AK592" s="451">
        <f>'Rep Ovh Bal'!AK80</f>
        <v>0</v>
      </c>
      <c r="AL592" s="451">
        <f>'Rep Ovh Bal'!AL80</f>
        <v>0</v>
      </c>
      <c r="AM592" s="451">
        <f>'Rep Ovh Bal'!AM80</f>
        <v>0</v>
      </c>
      <c r="AN592" s="451">
        <f>'Rep Ovh Bal'!AN80</f>
        <v>0</v>
      </c>
      <c r="AO592" s="451">
        <f>'Rep Ovh Bal'!AO80</f>
        <v>0</v>
      </c>
      <c r="AP592" s="451">
        <f>'Rep Ovh Bal'!AP80</f>
        <v>0</v>
      </c>
      <c r="AQ592" s="451">
        <f>'Rep Ovh Bal'!AQ80</f>
        <v>0</v>
      </c>
      <c r="AR592" s="451">
        <f>'Rep Ovh Bal'!AR80</f>
        <v>0</v>
      </c>
      <c r="AS592" s="451">
        <f>'Rep Ovh Bal'!AS80</f>
        <v>0</v>
      </c>
      <c r="AT592" s="451">
        <f>'Rep Ovh Bal'!AT80</f>
        <v>0</v>
      </c>
      <c r="AU592" s="1062">
        <f>'Rep Ovh Bal'!AU80</f>
        <v>0</v>
      </c>
      <c r="AV592" s="1063">
        <f>'Rep Ovh Bal'!AV80</f>
        <v>300</v>
      </c>
      <c r="AW592" s="1068"/>
      <c r="AX592" s="1065">
        <f>'Rep Ovh Bal'!AW80</f>
        <v>8.84</v>
      </c>
      <c r="AY592" s="1062">
        <f>'Rep Ovh Bal'!AX80</f>
        <v>61.5264</v>
      </c>
      <c r="AZ592" s="1068"/>
      <c r="BA592" s="1068"/>
      <c r="BB592" s="1068"/>
      <c r="BC592" s="1068"/>
      <c r="BD592" s="1068"/>
      <c r="BE592" s="1068"/>
      <c r="BF592" s="1065" t="str">
        <f>'Rep Ovh Bal'!BE80</f>
        <v/>
      </c>
      <c r="BG592" s="451" t="str">
        <f>'Rep Ovh Bal'!BH80</f>
        <v/>
      </c>
      <c r="BH592" s="451" t="str">
        <f>'Rep Ovh Bal'!BI80</f>
        <v/>
      </c>
      <c r="BI592" s="451" t="str">
        <f>'Rep Ovh Bal'!BJ80</f>
        <v/>
      </c>
      <c r="BJ592" s="451" t="str">
        <f>'Rep Ovh Bal'!BK80</f>
        <v/>
      </c>
      <c r="BK592" s="1062">
        <f>'Rep Ovh Bal'!AY80</f>
        <v>18457.92</v>
      </c>
      <c r="BL592" s="1069">
        <f>'Rep Ovh Bal'!AY80</f>
        <v>18457.92</v>
      </c>
      <c r="BM592" s="1068"/>
      <c r="BN592" s="1068"/>
      <c r="BO592" s="1068"/>
      <c r="BP592" s="451" t="str">
        <f>'Rep Ovh Bal'!BQ80</f>
        <v/>
      </c>
      <c r="BQ592" s="451" t="str">
        <f>'Rep Ovh Bal'!BR80</f>
        <v/>
      </c>
      <c r="BR592" s="451" t="str">
        <f>'Rep Ovh Bal'!BS80</f>
        <v/>
      </c>
      <c r="BS592" s="451" t="str">
        <f>'Rep Ovh Bal'!BT80</f>
        <v/>
      </c>
      <c r="BT592" s="451" t="str">
        <f>'Rep Ovh Bal'!BU80</f>
        <v/>
      </c>
      <c r="BU592" s="451" t="str">
        <f>'Rep Ovh Bal'!BV80</f>
        <v/>
      </c>
      <c r="BV592" s="451" t="str">
        <f>'Rep Ovh Bal'!BW80</f>
        <v/>
      </c>
      <c r="BW592" s="1062">
        <f>'Rep Ovh Bal'!AZ80</f>
        <v>0</v>
      </c>
      <c r="BX592" s="1069">
        <f>'Rep Ovh Bal'!AZ80</f>
        <v>0</v>
      </c>
      <c r="BY592" s="1068"/>
      <c r="BZ592" s="1068"/>
      <c r="CA592" s="451" t="str">
        <f>'Rep Ovh Bal'!CB80</f>
        <v/>
      </c>
      <c r="CB592" s="451" t="str">
        <f>'Rep Ovh Bal'!CC80</f>
        <v/>
      </c>
      <c r="CC592" s="451" t="str">
        <f>'Rep Ovh Bal'!CD80</f>
        <v/>
      </c>
      <c r="CD592" s="451" t="str">
        <f>'Rep Ovh Bal'!CE80</f>
        <v/>
      </c>
      <c r="CE592" s="451" t="str">
        <f>'Rep Ovh Bal'!CF80</f>
        <v/>
      </c>
      <c r="CF592" s="451" t="str">
        <f>'Rep Ovh Bal'!CG80</f>
        <v/>
      </c>
      <c r="CG592" s="451" t="str">
        <f>'Rep Ovh Bal'!CH80</f>
        <v/>
      </c>
      <c r="CH592" s="451" t="str">
        <f>'Rep Ovh Bal'!CI80</f>
        <v/>
      </c>
      <c r="CI592" s="1062">
        <f>'Rep Ovh Bal'!BA80</f>
        <v>0</v>
      </c>
      <c r="CJ592" s="1062">
        <f>'Rep Ovh Bal'!BA80</f>
        <v>0</v>
      </c>
      <c r="CK592" s="1062">
        <f>'Rep Ovh Bal'!BB80</f>
        <v>18457.92</v>
      </c>
      <c r="CL592" s="1064" t="str">
        <f>'Rep Ovh Bal'!BC80</f>
        <v/>
      </c>
      <c r="CM592" s="451" t="str">
        <f>'Rep Ovh Bal'!CN80</f>
        <v/>
      </c>
      <c r="CN592" s="1065" t="str">
        <f>'Rep Ovh Bal'!BE76</f>
        <v/>
      </c>
      <c r="CO592" s="1062" t="str">
        <f>'Rep Ovh Bal'!BF76</f>
        <v/>
      </c>
      <c r="CP592" s="1060" t="str">
        <f>'Rep Ovh Bal'!BG76</f>
        <v/>
      </c>
    </row>
    <row r="593">
      <c r="A593" s="451" t="str">
        <f>'Rep Ovh Bal'!A81</f>
        <v>Repuestos mantenimientos mayores para estaciones y torres</v>
      </c>
      <c r="B593" s="451">
        <f>'Rep Ovh Bal'!B81</f>
        <v>2</v>
      </c>
      <c r="C593" s="451" t="str">
        <f>'Rep Ovh Bal'!C81</f>
        <v>Torres</v>
      </c>
      <c r="D593" s="451" t="str">
        <f>'Rep Ovh Bal'!D81</f>
        <v>OVH balancines TRM</v>
      </c>
      <c r="E593" s="451" t="str">
        <f>'Rep Ovh Bal'!E81</f>
        <v>Repuesto Mecánico</v>
      </c>
      <c r="F593" s="451" t="str">
        <f>'Rep Ovh Bal'!F81</f>
        <v>TDB</v>
      </c>
      <c r="G593" s="1025" t="str">
        <f>'Rep Ovh Bal'!G81</f>
        <v>39800</v>
      </c>
      <c r="H593" s="1061" t="str">
        <f>'Rep Ovh Bal'!H81</f>
        <v>2-01-00514</v>
      </c>
      <c r="I593" s="1061" t="str">
        <f>'Rep Ovh Bal'!I81</f>
        <v>11185338</v>
      </c>
      <c r="J593" s="1061" t="str">
        <f>'Rep Ovh Bal'!J81</f>
        <v>TORNILLO ISO 4014-8.8U M27X500 ESP. FVZ TORN.HEX. GALV.INM.CA</v>
      </c>
      <c r="K593" s="451" t="str">
        <f>'Rep Ovh Bal'!K81</f>
        <v>Pza</v>
      </c>
      <c r="L593" s="451">
        <f>'Rep Ovh Bal'!L81</f>
        <v>0</v>
      </c>
      <c r="M593" s="451">
        <f>'Rep Ovh Bal'!M81</f>
        <v>0</v>
      </c>
      <c r="N593" s="451">
        <f>'Rep Ovh Bal'!N81</f>
        <v>0</v>
      </c>
      <c r="O593" s="451">
        <f>'Rep Ovh Bal'!O81</f>
        <v>0</v>
      </c>
      <c r="P593" s="451">
        <f>'Rep Ovh Bal'!P81</f>
        <v>0</v>
      </c>
      <c r="Q593" s="451">
        <f>'Rep Ovh Bal'!Q81</f>
        <v>0</v>
      </c>
      <c r="R593" s="451">
        <f>'Rep Ovh Bal'!R81</f>
        <v>0</v>
      </c>
      <c r="S593" s="451">
        <f>'Rep Ovh Bal'!S81</f>
        <v>0</v>
      </c>
      <c r="T593" s="451">
        <f>'Rep Ovh Bal'!T81</f>
        <v>0</v>
      </c>
      <c r="U593" s="451">
        <f>'Rep Ovh Bal'!U81</f>
        <v>0</v>
      </c>
      <c r="V593" s="451">
        <f>'Rep Ovh Bal'!V81</f>
        <v>360</v>
      </c>
      <c r="W593" s="1062">
        <f>'Rep Ovh Bal'!W81</f>
        <v>360</v>
      </c>
      <c r="X593" s="451">
        <f>'Rep Ovh Bal'!X81</f>
        <v>0</v>
      </c>
      <c r="Y593" s="451">
        <f>'Rep Ovh Bal'!Y81</f>
        <v>0</v>
      </c>
      <c r="Z593" s="451">
        <f>'Rep Ovh Bal'!Z81</f>
        <v>0</v>
      </c>
      <c r="AA593" s="451">
        <f>'Rep Ovh Bal'!AA81</f>
        <v>0</v>
      </c>
      <c r="AB593" s="451">
        <f>'Rep Ovh Bal'!AB81</f>
        <v>0</v>
      </c>
      <c r="AC593" s="451">
        <f>'Rep Ovh Bal'!AC81</f>
        <v>0</v>
      </c>
      <c r="AD593" s="451">
        <f>'Rep Ovh Bal'!AD81</f>
        <v>0</v>
      </c>
      <c r="AE593" s="451">
        <f>'Rep Ovh Bal'!AE81</f>
        <v>0</v>
      </c>
      <c r="AF593" s="451">
        <f>'Rep Ovh Bal'!AF81</f>
        <v>0</v>
      </c>
      <c r="AG593" s="451">
        <f>'Rep Ovh Bal'!AG81</f>
        <v>0</v>
      </c>
      <c r="AH593" s="451">
        <f>'Rep Ovh Bal'!AH81</f>
        <v>462</v>
      </c>
      <c r="AI593" s="1062">
        <f>'Rep Ovh Bal'!AI81</f>
        <v>462</v>
      </c>
      <c r="AJ593" s="451">
        <f>'Rep Ovh Bal'!AJ81</f>
        <v>0</v>
      </c>
      <c r="AK593" s="451">
        <f>'Rep Ovh Bal'!AK81</f>
        <v>0</v>
      </c>
      <c r="AL593" s="451">
        <f>'Rep Ovh Bal'!AL81</f>
        <v>0</v>
      </c>
      <c r="AM593" s="451">
        <f>'Rep Ovh Bal'!AM81</f>
        <v>0</v>
      </c>
      <c r="AN593" s="451">
        <f>'Rep Ovh Bal'!AN81</f>
        <v>0</v>
      </c>
      <c r="AO593" s="451">
        <f>'Rep Ovh Bal'!AO81</f>
        <v>0</v>
      </c>
      <c r="AP593" s="451">
        <f>'Rep Ovh Bal'!AP81</f>
        <v>0</v>
      </c>
      <c r="AQ593" s="451">
        <f>'Rep Ovh Bal'!AQ81</f>
        <v>0</v>
      </c>
      <c r="AR593" s="451">
        <f>'Rep Ovh Bal'!AR81</f>
        <v>0</v>
      </c>
      <c r="AS593" s="451">
        <f>'Rep Ovh Bal'!AS81</f>
        <v>0</v>
      </c>
      <c r="AT593" s="451">
        <f>'Rep Ovh Bal'!AT81</f>
        <v>396</v>
      </c>
      <c r="AU593" s="1062">
        <f>'Rep Ovh Bal'!AU81</f>
        <v>396</v>
      </c>
      <c r="AV593" s="1063">
        <f>'Rep Ovh Bal'!AV81</f>
        <v>1218</v>
      </c>
      <c r="AW593" s="1068"/>
      <c r="AX593" s="1065">
        <f>'Rep Ovh Bal'!AW81</f>
        <v>60.15</v>
      </c>
      <c r="AY593" s="1062">
        <f>'Rep Ovh Bal'!AX81</f>
        <v>418.644</v>
      </c>
      <c r="AZ593" s="1068"/>
      <c r="BA593" s="1068"/>
      <c r="BB593" s="1068"/>
      <c r="BC593" s="1068"/>
      <c r="BD593" s="1068"/>
      <c r="BE593" s="1068"/>
      <c r="BF593" s="1065" t="str">
        <f>'Rep Ovh Bal'!BE81</f>
        <v/>
      </c>
      <c r="BG593" s="451" t="str">
        <f>'Rep Ovh Bal'!BH81</f>
        <v/>
      </c>
      <c r="BH593" s="451" t="str">
        <f>'Rep Ovh Bal'!BI81</f>
        <v/>
      </c>
      <c r="BI593" s="451" t="str">
        <f>'Rep Ovh Bal'!BJ81</f>
        <v/>
      </c>
      <c r="BJ593" s="451" t="str">
        <f>'Rep Ovh Bal'!BK81</f>
        <v/>
      </c>
      <c r="BK593" s="1062">
        <f>'Rep Ovh Bal'!AY81</f>
        <v>150711.84</v>
      </c>
      <c r="BL593" s="1069">
        <f>'Rep Ovh Bal'!AY81</f>
        <v>150711.84</v>
      </c>
      <c r="BM593" s="1068"/>
      <c r="BN593" s="1068"/>
      <c r="BO593" s="1068"/>
      <c r="BP593" s="451" t="str">
        <f>'Rep Ovh Bal'!BQ81</f>
        <v/>
      </c>
      <c r="BQ593" s="451" t="str">
        <f>'Rep Ovh Bal'!BR81</f>
        <v/>
      </c>
      <c r="BR593" s="451" t="str">
        <f>'Rep Ovh Bal'!BS81</f>
        <v/>
      </c>
      <c r="BS593" s="451" t="str">
        <f>'Rep Ovh Bal'!BT81</f>
        <v/>
      </c>
      <c r="BT593" s="451" t="str">
        <f>'Rep Ovh Bal'!BU81</f>
        <v/>
      </c>
      <c r="BU593" s="451" t="str">
        <f>'Rep Ovh Bal'!BV81</f>
        <v/>
      </c>
      <c r="BV593" s="451" t="str">
        <f>'Rep Ovh Bal'!BW81</f>
        <v/>
      </c>
      <c r="BW593" s="1062">
        <f>'Rep Ovh Bal'!AZ81</f>
        <v>193413.528</v>
      </c>
      <c r="BX593" s="1069">
        <f>'Rep Ovh Bal'!AZ81</f>
        <v>193413.528</v>
      </c>
      <c r="BY593" s="1068"/>
      <c r="BZ593" s="1068"/>
      <c r="CA593" s="451" t="str">
        <f>'Rep Ovh Bal'!CB81</f>
        <v/>
      </c>
      <c r="CB593" s="451" t="str">
        <f>'Rep Ovh Bal'!CC81</f>
        <v/>
      </c>
      <c r="CC593" s="451" t="str">
        <f>'Rep Ovh Bal'!CD81</f>
        <v/>
      </c>
      <c r="CD593" s="451" t="str">
        <f>'Rep Ovh Bal'!CE81</f>
        <v/>
      </c>
      <c r="CE593" s="451" t="str">
        <f>'Rep Ovh Bal'!CF81</f>
        <v/>
      </c>
      <c r="CF593" s="451" t="str">
        <f>'Rep Ovh Bal'!CG81</f>
        <v/>
      </c>
      <c r="CG593" s="451" t="str">
        <f>'Rep Ovh Bal'!CH81</f>
        <v/>
      </c>
      <c r="CH593" s="451" t="str">
        <f>'Rep Ovh Bal'!CI81</f>
        <v/>
      </c>
      <c r="CI593" s="1062">
        <f>'Rep Ovh Bal'!BA81</f>
        <v>165783.024</v>
      </c>
      <c r="CJ593" s="1062">
        <f>'Rep Ovh Bal'!BA81</f>
        <v>165783.024</v>
      </c>
      <c r="CK593" s="1062">
        <f>'Rep Ovh Bal'!BB81</f>
        <v>509908.392</v>
      </c>
      <c r="CL593" s="1064" t="str">
        <f>'Rep Ovh Bal'!BC81</f>
        <v/>
      </c>
      <c r="CM593" s="451" t="str">
        <f>'Rep Ovh Bal'!CN81</f>
        <v/>
      </c>
      <c r="CN593" s="1065" t="str">
        <f>'Rep Ovh Bal'!BE77</f>
        <v/>
      </c>
      <c r="CO593" s="1062" t="str">
        <f>'Rep Ovh Bal'!BF77</f>
        <v/>
      </c>
      <c r="CP593" s="1060" t="str">
        <f>'Rep Ovh Bal'!BG77</f>
        <v/>
      </c>
    </row>
    <row r="594">
      <c r="A594" s="451" t="str">
        <f>'Rep Ovh Bal'!A82</f>
        <v>Repuestos mantenimientos mayores para estaciones y torres</v>
      </c>
      <c r="B594" s="451">
        <f>'Rep Ovh Bal'!B82</f>
        <v>2</v>
      </c>
      <c r="C594" s="451" t="str">
        <f>'Rep Ovh Bal'!C82</f>
        <v>Torres</v>
      </c>
      <c r="D594" s="451" t="str">
        <f>'Rep Ovh Bal'!D82</f>
        <v>OVH balancines TRM</v>
      </c>
      <c r="E594" s="451" t="str">
        <f>'Rep Ovh Bal'!E82</f>
        <v>Repuesto Mecánico</v>
      </c>
      <c r="F594" s="451" t="str">
        <f>'Rep Ovh Bal'!F82</f>
        <v>TDB</v>
      </c>
      <c r="G594" s="1025" t="str">
        <f>'Rep Ovh Bal'!G82</f>
        <v>39800</v>
      </c>
      <c r="H594" s="1061" t="str">
        <f>'Rep Ovh Bal'!H82</f>
        <v>2-01-00515</v>
      </c>
      <c r="I594" s="1061" t="str">
        <f>'Rep Ovh Bal'!I82</f>
        <v>11185341</v>
      </c>
      <c r="J594" s="1061" t="str">
        <f>'Rep Ovh Bal'!J82</f>
        <v>TORNILLO ISO 4014-8.8U M27X580 ESP. FVZ TORN.HEX. GALV.INM.CA</v>
      </c>
      <c r="K594" s="451" t="str">
        <f>'Rep Ovh Bal'!K82</f>
        <v>Pza</v>
      </c>
      <c r="L594" s="451">
        <f>'Rep Ovh Bal'!L82</f>
        <v>0</v>
      </c>
      <c r="M594" s="451">
        <f>'Rep Ovh Bal'!M82</f>
        <v>0</v>
      </c>
      <c r="N594" s="451">
        <f>'Rep Ovh Bal'!N82</f>
        <v>0</v>
      </c>
      <c r="O594" s="451">
        <f>'Rep Ovh Bal'!O82</f>
        <v>0</v>
      </c>
      <c r="P594" s="451">
        <f>'Rep Ovh Bal'!P82</f>
        <v>0</v>
      </c>
      <c r="Q594" s="451">
        <f>'Rep Ovh Bal'!Q82</f>
        <v>0</v>
      </c>
      <c r="R594" s="451">
        <f>'Rep Ovh Bal'!R82</f>
        <v>0</v>
      </c>
      <c r="S594" s="451">
        <f>'Rep Ovh Bal'!S82</f>
        <v>0</v>
      </c>
      <c r="T594" s="451">
        <f>'Rep Ovh Bal'!T82</f>
        <v>0</v>
      </c>
      <c r="U594" s="451">
        <f>'Rep Ovh Bal'!U82</f>
        <v>0</v>
      </c>
      <c r="V594" s="451">
        <f>'Rep Ovh Bal'!V82</f>
        <v>48</v>
      </c>
      <c r="W594" s="1062">
        <f>'Rep Ovh Bal'!W82</f>
        <v>48</v>
      </c>
      <c r="X594" s="451">
        <f>'Rep Ovh Bal'!X82</f>
        <v>0</v>
      </c>
      <c r="Y594" s="451">
        <f>'Rep Ovh Bal'!Y82</f>
        <v>0</v>
      </c>
      <c r="Z594" s="451">
        <f>'Rep Ovh Bal'!Z82</f>
        <v>0</v>
      </c>
      <c r="AA594" s="451">
        <f>'Rep Ovh Bal'!AA82</f>
        <v>0</v>
      </c>
      <c r="AB594" s="451">
        <f>'Rep Ovh Bal'!AB82</f>
        <v>0</v>
      </c>
      <c r="AC594" s="451">
        <f>'Rep Ovh Bal'!AC82</f>
        <v>0</v>
      </c>
      <c r="AD594" s="451">
        <f>'Rep Ovh Bal'!AD82</f>
        <v>0</v>
      </c>
      <c r="AE594" s="451">
        <f>'Rep Ovh Bal'!AE82</f>
        <v>0</v>
      </c>
      <c r="AF594" s="451">
        <f>'Rep Ovh Bal'!AF82</f>
        <v>0</v>
      </c>
      <c r="AG594" s="451">
        <f>'Rep Ovh Bal'!AG82</f>
        <v>0</v>
      </c>
      <c r="AH594" s="451">
        <f>'Rep Ovh Bal'!AH82</f>
        <v>120</v>
      </c>
      <c r="AI594" s="1062">
        <f>'Rep Ovh Bal'!AI82</f>
        <v>120</v>
      </c>
      <c r="AJ594" s="451">
        <f>'Rep Ovh Bal'!AJ82</f>
        <v>0</v>
      </c>
      <c r="AK594" s="451">
        <f>'Rep Ovh Bal'!AK82</f>
        <v>0</v>
      </c>
      <c r="AL594" s="451">
        <f>'Rep Ovh Bal'!AL82</f>
        <v>0</v>
      </c>
      <c r="AM594" s="451">
        <f>'Rep Ovh Bal'!AM82</f>
        <v>0</v>
      </c>
      <c r="AN594" s="451">
        <f>'Rep Ovh Bal'!AN82</f>
        <v>0</v>
      </c>
      <c r="AO594" s="451">
        <f>'Rep Ovh Bal'!AO82</f>
        <v>0</v>
      </c>
      <c r="AP594" s="451">
        <f>'Rep Ovh Bal'!AP82</f>
        <v>0</v>
      </c>
      <c r="AQ594" s="451">
        <f>'Rep Ovh Bal'!AQ82</f>
        <v>0</v>
      </c>
      <c r="AR594" s="451">
        <f>'Rep Ovh Bal'!AR82</f>
        <v>0</v>
      </c>
      <c r="AS594" s="451">
        <f>'Rep Ovh Bal'!AS82</f>
        <v>0</v>
      </c>
      <c r="AT594" s="451">
        <f>'Rep Ovh Bal'!AT82</f>
        <v>84</v>
      </c>
      <c r="AU594" s="1062">
        <f>'Rep Ovh Bal'!AU82</f>
        <v>84</v>
      </c>
      <c r="AV594" s="1063">
        <f>'Rep Ovh Bal'!AV82</f>
        <v>252</v>
      </c>
      <c r="AW594" s="1068"/>
      <c r="AX594" s="1065">
        <f>'Rep Ovh Bal'!AW82</f>
        <v>91.03</v>
      </c>
      <c r="AY594" s="1062">
        <f>'Rep Ovh Bal'!AX82</f>
        <v>633.5688</v>
      </c>
      <c r="AZ594" s="1068"/>
      <c r="BA594" s="1068"/>
      <c r="BB594" s="1068"/>
      <c r="BC594" s="1068"/>
      <c r="BD594" s="1068"/>
      <c r="BE594" s="1068"/>
      <c r="BF594" s="1065" t="str">
        <f>'Rep Ovh Bal'!BE82</f>
        <v/>
      </c>
      <c r="BG594" s="451" t="str">
        <f>'Rep Ovh Bal'!BH82</f>
        <v/>
      </c>
      <c r="BH594" s="451" t="str">
        <f>'Rep Ovh Bal'!BI82</f>
        <v/>
      </c>
      <c r="BI594" s="451" t="str">
        <f>'Rep Ovh Bal'!BJ82</f>
        <v/>
      </c>
      <c r="BJ594" s="451" t="str">
        <f>'Rep Ovh Bal'!BK82</f>
        <v/>
      </c>
      <c r="BK594" s="1062">
        <f>'Rep Ovh Bal'!AY82</f>
        <v>30411.3024</v>
      </c>
      <c r="BL594" s="1069">
        <f>'Rep Ovh Bal'!AY82</f>
        <v>30411.3024</v>
      </c>
      <c r="BM594" s="1068"/>
      <c r="BN594" s="1068"/>
      <c r="BO594" s="1068"/>
      <c r="BP594" s="451" t="str">
        <f>'Rep Ovh Bal'!BQ82</f>
        <v/>
      </c>
      <c r="BQ594" s="451" t="str">
        <f>'Rep Ovh Bal'!BR82</f>
        <v/>
      </c>
      <c r="BR594" s="451" t="str">
        <f>'Rep Ovh Bal'!BS82</f>
        <v/>
      </c>
      <c r="BS594" s="451" t="str">
        <f>'Rep Ovh Bal'!BT82</f>
        <v/>
      </c>
      <c r="BT594" s="451" t="str">
        <f>'Rep Ovh Bal'!BU82</f>
        <v/>
      </c>
      <c r="BU594" s="451" t="str">
        <f>'Rep Ovh Bal'!BV82</f>
        <v/>
      </c>
      <c r="BV594" s="451" t="str">
        <f>'Rep Ovh Bal'!BW82</f>
        <v/>
      </c>
      <c r="BW594" s="1062">
        <f>'Rep Ovh Bal'!AZ82</f>
        <v>76028.256</v>
      </c>
      <c r="BX594" s="1069">
        <f>'Rep Ovh Bal'!AZ82</f>
        <v>76028.256</v>
      </c>
      <c r="BY594" s="1068"/>
      <c r="BZ594" s="1068"/>
      <c r="CA594" s="451" t="str">
        <f>'Rep Ovh Bal'!CB82</f>
        <v/>
      </c>
      <c r="CB594" s="451" t="str">
        <f>'Rep Ovh Bal'!CC82</f>
        <v/>
      </c>
      <c r="CC594" s="451" t="str">
        <f>'Rep Ovh Bal'!CD82</f>
        <v/>
      </c>
      <c r="CD594" s="451" t="str">
        <f>'Rep Ovh Bal'!CE82</f>
        <v/>
      </c>
      <c r="CE594" s="451" t="str">
        <f>'Rep Ovh Bal'!CF82</f>
        <v/>
      </c>
      <c r="CF594" s="451" t="str">
        <f>'Rep Ovh Bal'!CG82</f>
        <v/>
      </c>
      <c r="CG594" s="451" t="str">
        <f>'Rep Ovh Bal'!CH82</f>
        <v/>
      </c>
      <c r="CH594" s="451" t="str">
        <f>'Rep Ovh Bal'!CI82</f>
        <v/>
      </c>
      <c r="CI594" s="1062">
        <f>'Rep Ovh Bal'!BA82</f>
        <v>53219.7792</v>
      </c>
      <c r="CJ594" s="1062">
        <f>'Rep Ovh Bal'!BA82</f>
        <v>53219.7792</v>
      </c>
      <c r="CK594" s="1062">
        <f>'Rep Ovh Bal'!BB82</f>
        <v>159659.3376</v>
      </c>
      <c r="CL594" s="1064" t="str">
        <f>'Rep Ovh Bal'!BC82</f>
        <v/>
      </c>
      <c r="CM594" s="451" t="str">
        <f>'Rep Ovh Bal'!CN82</f>
        <v/>
      </c>
      <c r="CN594" s="1065" t="str">
        <f>'Rep Ovh Bal'!BE78</f>
        <v/>
      </c>
      <c r="CO594" s="1062" t="str">
        <f>'Rep Ovh Bal'!BF78</f>
        <v/>
      </c>
      <c r="CP594" s="1060" t="str">
        <f>'Rep Ovh Bal'!BG78</f>
        <v/>
      </c>
    </row>
    <row r="595">
      <c r="A595" s="451" t="str">
        <f>'Rep Ovh Bal'!A83</f>
        <v>Repuestos mantenimientos mayores para estaciones y torres</v>
      </c>
      <c r="B595" s="451">
        <f>'Rep Ovh Bal'!B83</f>
        <v>2</v>
      </c>
      <c r="C595" s="451" t="str">
        <f>'Rep Ovh Bal'!C83</f>
        <v>Torres</v>
      </c>
      <c r="D595" s="451" t="str">
        <f>'Rep Ovh Bal'!D83</f>
        <v>OVH balancines TRM</v>
      </c>
      <c r="E595" s="451" t="str">
        <f>'Rep Ovh Bal'!E83</f>
        <v>Repuesto Mecánico</v>
      </c>
      <c r="F595" s="451" t="str">
        <f>'Rep Ovh Bal'!F83</f>
        <v>TDB</v>
      </c>
      <c r="G595" s="1025" t="str">
        <f>'Rep Ovh Bal'!G83</f>
        <v>39800</v>
      </c>
      <c r="H595" s="1061" t="str">
        <f>'Rep Ovh Bal'!H83</f>
        <v>2-01-00516</v>
      </c>
      <c r="I595" s="1061" t="str">
        <f>'Rep Ovh Bal'!I83</f>
        <v>11185351</v>
      </c>
      <c r="J595" s="1061" t="str">
        <f>'Rep Ovh Bal'!J83</f>
        <v>TORNILLO ISO 4017-8.8U M16X75 GIC TORN. HEXAG.</v>
      </c>
      <c r="K595" s="451" t="str">
        <f>'Rep Ovh Bal'!K83</f>
        <v>Pza</v>
      </c>
      <c r="L595" s="451">
        <f>'Rep Ovh Bal'!L83</f>
        <v>0</v>
      </c>
      <c r="M595" s="451">
        <f>'Rep Ovh Bal'!M83</f>
        <v>0</v>
      </c>
      <c r="N595" s="451">
        <f>'Rep Ovh Bal'!N83</f>
        <v>0</v>
      </c>
      <c r="O595" s="451">
        <f>'Rep Ovh Bal'!O83</f>
        <v>0</v>
      </c>
      <c r="P595" s="451">
        <f>'Rep Ovh Bal'!P83</f>
        <v>0</v>
      </c>
      <c r="Q595" s="451">
        <f>'Rep Ovh Bal'!Q83</f>
        <v>0</v>
      </c>
      <c r="R595" s="451">
        <f>'Rep Ovh Bal'!R83</f>
        <v>0</v>
      </c>
      <c r="S595" s="451">
        <f>'Rep Ovh Bal'!S83</f>
        <v>0</v>
      </c>
      <c r="T595" s="451">
        <f>'Rep Ovh Bal'!T83</f>
        <v>0</v>
      </c>
      <c r="U595" s="451">
        <f>'Rep Ovh Bal'!U83</f>
        <v>0</v>
      </c>
      <c r="V595" s="451">
        <f>'Rep Ovh Bal'!V83</f>
        <v>80</v>
      </c>
      <c r="W595" s="1062">
        <f>'Rep Ovh Bal'!W83</f>
        <v>80</v>
      </c>
      <c r="X595" s="451">
        <f>'Rep Ovh Bal'!X83</f>
        <v>0</v>
      </c>
      <c r="Y595" s="451">
        <f>'Rep Ovh Bal'!Y83</f>
        <v>0</v>
      </c>
      <c r="Z595" s="451">
        <f>'Rep Ovh Bal'!Z83</f>
        <v>0</v>
      </c>
      <c r="AA595" s="451">
        <f>'Rep Ovh Bal'!AA83</f>
        <v>0</v>
      </c>
      <c r="AB595" s="451">
        <f>'Rep Ovh Bal'!AB83</f>
        <v>0</v>
      </c>
      <c r="AC595" s="451">
        <f>'Rep Ovh Bal'!AC83</f>
        <v>0</v>
      </c>
      <c r="AD595" s="451">
        <f>'Rep Ovh Bal'!AD83</f>
        <v>0</v>
      </c>
      <c r="AE595" s="451">
        <f>'Rep Ovh Bal'!AE83</f>
        <v>0</v>
      </c>
      <c r="AF595" s="451">
        <f>'Rep Ovh Bal'!AF83</f>
        <v>0</v>
      </c>
      <c r="AG595" s="451">
        <f>'Rep Ovh Bal'!AG83</f>
        <v>0</v>
      </c>
      <c r="AH595" s="451">
        <f>'Rep Ovh Bal'!AH83</f>
        <v>0</v>
      </c>
      <c r="AI595" s="1062">
        <f>'Rep Ovh Bal'!AI83</f>
        <v>0</v>
      </c>
      <c r="AJ595" s="451">
        <f>'Rep Ovh Bal'!AJ83</f>
        <v>0</v>
      </c>
      <c r="AK595" s="451">
        <f>'Rep Ovh Bal'!AK83</f>
        <v>0</v>
      </c>
      <c r="AL595" s="451">
        <f>'Rep Ovh Bal'!AL83</f>
        <v>0</v>
      </c>
      <c r="AM595" s="451">
        <f>'Rep Ovh Bal'!AM83</f>
        <v>0</v>
      </c>
      <c r="AN595" s="451">
        <f>'Rep Ovh Bal'!AN83</f>
        <v>0</v>
      </c>
      <c r="AO595" s="451">
        <f>'Rep Ovh Bal'!AO83</f>
        <v>0</v>
      </c>
      <c r="AP595" s="451">
        <f>'Rep Ovh Bal'!AP83</f>
        <v>0</v>
      </c>
      <c r="AQ595" s="451">
        <f>'Rep Ovh Bal'!AQ83</f>
        <v>0</v>
      </c>
      <c r="AR595" s="451">
        <f>'Rep Ovh Bal'!AR83</f>
        <v>0</v>
      </c>
      <c r="AS595" s="451">
        <f>'Rep Ovh Bal'!AS83</f>
        <v>0</v>
      </c>
      <c r="AT595" s="451">
        <f>'Rep Ovh Bal'!AT83</f>
        <v>0</v>
      </c>
      <c r="AU595" s="1062">
        <f>'Rep Ovh Bal'!AU83</f>
        <v>0</v>
      </c>
      <c r="AV595" s="1063">
        <f>'Rep Ovh Bal'!AV83</f>
        <v>80</v>
      </c>
      <c r="AW595" s="1068"/>
      <c r="AX595" s="1065">
        <f>'Rep Ovh Bal'!AW83</f>
        <v>1.96</v>
      </c>
      <c r="AY595" s="1062">
        <f>'Rep Ovh Bal'!AX83</f>
        <v>13.6416</v>
      </c>
      <c r="AZ595" s="1068"/>
      <c r="BA595" s="1068"/>
      <c r="BB595" s="1068"/>
      <c r="BC595" s="1068"/>
      <c r="BD595" s="1068"/>
      <c r="BE595" s="1068"/>
      <c r="BF595" s="1065" t="str">
        <f>'Rep Ovh Bal'!BE83</f>
        <v/>
      </c>
      <c r="BG595" s="451" t="str">
        <f>'Rep Ovh Bal'!BH83</f>
        <v/>
      </c>
      <c r="BH595" s="451" t="str">
        <f>'Rep Ovh Bal'!BI83</f>
        <v/>
      </c>
      <c r="BI595" s="451" t="str">
        <f>'Rep Ovh Bal'!BJ83</f>
        <v/>
      </c>
      <c r="BJ595" s="451" t="str">
        <f>'Rep Ovh Bal'!BK83</f>
        <v/>
      </c>
      <c r="BK595" s="1062">
        <f>'Rep Ovh Bal'!AY83</f>
        <v>1091.328</v>
      </c>
      <c r="BL595" s="1069">
        <f>'Rep Ovh Bal'!AY83</f>
        <v>1091.328</v>
      </c>
      <c r="BM595" s="1068"/>
      <c r="BN595" s="1068"/>
      <c r="BO595" s="1068"/>
      <c r="BP595" s="451" t="str">
        <f>'Rep Ovh Bal'!BQ83</f>
        <v/>
      </c>
      <c r="BQ595" s="451" t="str">
        <f>'Rep Ovh Bal'!BR83</f>
        <v/>
      </c>
      <c r="BR595" s="451" t="str">
        <f>'Rep Ovh Bal'!BS83</f>
        <v/>
      </c>
      <c r="BS595" s="451" t="str">
        <f>'Rep Ovh Bal'!BT83</f>
        <v/>
      </c>
      <c r="BT595" s="451" t="str">
        <f>'Rep Ovh Bal'!BU83</f>
        <v/>
      </c>
      <c r="BU595" s="451" t="str">
        <f>'Rep Ovh Bal'!BV83</f>
        <v/>
      </c>
      <c r="BV595" s="451" t="str">
        <f>'Rep Ovh Bal'!BW83</f>
        <v/>
      </c>
      <c r="BW595" s="1062">
        <f>'Rep Ovh Bal'!AZ83</f>
        <v>0</v>
      </c>
      <c r="BX595" s="1069">
        <f>'Rep Ovh Bal'!AZ83</f>
        <v>0</v>
      </c>
      <c r="BY595" s="1068"/>
      <c r="BZ595" s="1068"/>
      <c r="CA595" s="451" t="str">
        <f>'Rep Ovh Bal'!CB83</f>
        <v/>
      </c>
      <c r="CB595" s="451" t="str">
        <f>'Rep Ovh Bal'!CC83</f>
        <v/>
      </c>
      <c r="CC595" s="451" t="str">
        <f>'Rep Ovh Bal'!CD83</f>
        <v/>
      </c>
      <c r="CD595" s="451" t="str">
        <f>'Rep Ovh Bal'!CE83</f>
        <v/>
      </c>
      <c r="CE595" s="451" t="str">
        <f>'Rep Ovh Bal'!CF83</f>
        <v/>
      </c>
      <c r="CF595" s="451" t="str">
        <f>'Rep Ovh Bal'!CG83</f>
        <v/>
      </c>
      <c r="CG595" s="451" t="str">
        <f>'Rep Ovh Bal'!CH83</f>
        <v/>
      </c>
      <c r="CH595" s="451" t="str">
        <f>'Rep Ovh Bal'!CI83</f>
        <v/>
      </c>
      <c r="CI595" s="1062">
        <f>'Rep Ovh Bal'!BA83</f>
        <v>0</v>
      </c>
      <c r="CJ595" s="1062">
        <f>'Rep Ovh Bal'!BA83</f>
        <v>0</v>
      </c>
      <c r="CK595" s="1062">
        <f>'Rep Ovh Bal'!BB83</f>
        <v>1091.328</v>
      </c>
      <c r="CL595" s="1064" t="str">
        <f>'Rep Ovh Bal'!BC83</f>
        <v/>
      </c>
      <c r="CM595" s="451" t="str">
        <f>'Rep Ovh Bal'!CN83</f>
        <v/>
      </c>
      <c r="CN595" s="1065" t="str">
        <f>'Rep Ovh Bal'!BE79</f>
        <v/>
      </c>
      <c r="CO595" s="1062" t="str">
        <f>'Rep Ovh Bal'!BF79</f>
        <v/>
      </c>
      <c r="CP595" s="1060" t="str">
        <f>'Rep Ovh Bal'!BG79</f>
        <v/>
      </c>
    </row>
    <row r="596">
      <c r="A596" s="451" t="str">
        <f>'Rep Ovh Bal'!A84</f>
        <v>Repuestos mantenimientos mayores para estaciones y torres</v>
      </c>
      <c r="B596" s="451">
        <f>'Rep Ovh Bal'!B84</f>
        <v>2</v>
      </c>
      <c r="C596" s="451" t="str">
        <f>'Rep Ovh Bal'!C84</f>
        <v>Torres</v>
      </c>
      <c r="D596" s="451" t="str">
        <f>'Rep Ovh Bal'!D84</f>
        <v>OVH balancines TRM</v>
      </c>
      <c r="E596" s="451" t="str">
        <f>'Rep Ovh Bal'!E84</f>
        <v>Repuesto Mecánico</v>
      </c>
      <c r="F596" s="451" t="str">
        <f>'Rep Ovh Bal'!F84</f>
        <v>TDB</v>
      </c>
      <c r="G596" s="1025" t="str">
        <f>'Rep Ovh Bal'!G84</f>
        <v>39800</v>
      </c>
      <c r="H596" s="1061" t="str">
        <f>'Rep Ovh Bal'!H84</f>
        <v/>
      </c>
      <c r="I596" s="1061" t="str">
        <f>'Rep Ovh Bal'!I84</f>
        <v>11316799</v>
      </c>
      <c r="J596" s="1061" t="str">
        <f>'Rep Ovh Bal'!J84</f>
        <v>TORNILLO ISO 4014-8.8U M24X470 FVZ TORN.HEX. GALV.INM.CALIEN.</v>
      </c>
      <c r="K596" s="451" t="str">
        <f>'Rep Ovh Bal'!K84</f>
        <v>Pza</v>
      </c>
      <c r="L596" s="451">
        <f>'Rep Ovh Bal'!L84</f>
        <v>0</v>
      </c>
      <c r="M596" s="451">
        <f>'Rep Ovh Bal'!M84</f>
        <v>0</v>
      </c>
      <c r="N596" s="451">
        <f>'Rep Ovh Bal'!N84</f>
        <v>0</v>
      </c>
      <c r="O596" s="451">
        <f>'Rep Ovh Bal'!O84</f>
        <v>0</v>
      </c>
      <c r="P596" s="451">
        <f>'Rep Ovh Bal'!P84</f>
        <v>0</v>
      </c>
      <c r="Q596" s="451">
        <f>'Rep Ovh Bal'!Q84</f>
        <v>0</v>
      </c>
      <c r="R596" s="451">
        <f>'Rep Ovh Bal'!R84</f>
        <v>0</v>
      </c>
      <c r="S596" s="451">
        <f>'Rep Ovh Bal'!S84</f>
        <v>0</v>
      </c>
      <c r="T596" s="451">
        <f>'Rep Ovh Bal'!T84</f>
        <v>0</v>
      </c>
      <c r="U596" s="451">
        <f>'Rep Ovh Bal'!U84</f>
        <v>0</v>
      </c>
      <c r="V596" s="451">
        <f>'Rep Ovh Bal'!V84</f>
        <v>48</v>
      </c>
      <c r="W596" s="1062">
        <f>'Rep Ovh Bal'!W84</f>
        <v>48</v>
      </c>
      <c r="X596" s="451">
        <f>'Rep Ovh Bal'!X84</f>
        <v>0</v>
      </c>
      <c r="Y596" s="451">
        <f>'Rep Ovh Bal'!Y84</f>
        <v>0</v>
      </c>
      <c r="Z596" s="451">
        <f>'Rep Ovh Bal'!Z84</f>
        <v>0</v>
      </c>
      <c r="AA596" s="451">
        <f>'Rep Ovh Bal'!AA84</f>
        <v>0</v>
      </c>
      <c r="AB596" s="451">
        <f>'Rep Ovh Bal'!AB84</f>
        <v>0</v>
      </c>
      <c r="AC596" s="451">
        <f>'Rep Ovh Bal'!AC84</f>
        <v>0</v>
      </c>
      <c r="AD596" s="451">
        <f>'Rep Ovh Bal'!AD84</f>
        <v>0</v>
      </c>
      <c r="AE596" s="451">
        <f>'Rep Ovh Bal'!AE84</f>
        <v>0</v>
      </c>
      <c r="AF596" s="451">
        <f>'Rep Ovh Bal'!AF84</f>
        <v>0</v>
      </c>
      <c r="AG596" s="451">
        <f>'Rep Ovh Bal'!AG84</f>
        <v>0</v>
      </c>
      <c r="AH596" s="451">
        <f>'Rep Ovh Bal'!AH84</f>
        <v>144</v>
      </c>
      <c r="AI596" s="1062">
        <f>'Rep Ovh Bal'!AI84</f>
        <v>144</v>
      </c>
      <c r="AJ596" s="451">
        <f>'Rep Ovh Bal'!AJ84</f>
        <v>0</v>
      </c>
      <c r="AK596" s="451">
        <f>'Rep Ovh Bal'!AK84</f>
        <v>0</v>
      </c>
      <c r="AL596" s="451">
        <f>'Rep Ovh Bal'!AL84</f>
        <v>0</v>
      </c>
      <c r="AM596" s="451">
        <f>'Rep Ovh Bal'!AM84</f>
        <v>0</v>
      </c>
      <c r="AN596" s="451">
        <f>'Rep Ovh Bal'!AN84</f>
        <v>0</v>
      </c>
      <c r="AO596" s="451">
        <f>'Rep Ovh Bal'!AO84</f>
        <v>0</v>
      </c>
      <c r="AP596" s="451">
        <f>'Rep Ovh Bal'!AP84</f>
        <v>0</v>
      </c>
      <c r="AQ596" s="451">
        <f>'Rep Ovh Bal'!AQ84</f>
        <v>0</v>
      </c>
      <c r="AR596" s="451">
        <f>'Rep Ovh Bal'!AR84</f>
        <v>0</v>
      </c>
      <c r="AS596" s="451">
        <f>'Rep Ovh Bal'!AS84</f>
        <v>0</v>
      </c>
      <c r="AT596" s="451">
        <f>'Rep Ovh Bal'!AT84</f>
        <v>72</v>
      </c>
      <c r="AU596" s="1062">
        <f>'Rep Ovh Bal'!AU84</f>
        <v>72</v>
      </c>
      <c r="AV596" s="1063">
        <f>'Rep Ovh Bal'!AV84</f>
        <v>264</v>
      </c>
      <c r="AW596" s="1068"/>
      <c r="AX596" s="1065">
        <f>'Rep Ovh Bal'!AW84</f>
        <v>26.11</v>
      </c>
      <c r="AY596" s="1062">
        <f>'Rep Ovh Bal'!AX84</f>
        <v>181.7256</v>
      </c>
      <c r="AZ596" s="1068"/>
      <c r="BA596" s="1068"/>
      <c r="BB596" s="1068"/>
      <c r="BC596" s="1068"/>
      <c r="BD596" s="1068"/>
      <c r="BE596" s="1068"/>
      <c r="BF596" s="1065" t="str">
        <f>'Rep Ovh Bal'!BE84</f>
        <v/>
      </c>
      <c r="BG596" s="451" t="str">
        <f>'Rep Ovh Bal'!BH84</f>
        <v/>
      </c>
      <c r="BH596" s="451" t="str">
        <f>'Rep Ovh Bal'!BI84</f>
        <v/>
      </c>
      <c r="BI596" s="451" t="str">
        <f>'Rep Ovh Bal'!BJ84</f>
        <v/>
      </c>
      <c r="BJ596" s="451" t="str">
        <f>'Rep Ovh Bal'!BK84</f>
        <v/>
      </c>
      <c r="BK596" s="1062">
        <f>'Rep Ovh Bal'!AY84</f>
        <v>8722.8288</v>
      </c>
      <c r="BL596" s="1069">
        <f>'Rep Ovh Bal'!AY84</f>
        <v>8722.8288</v>
      </c>
      <c r="BM596" s="1068"/>
      <c r="BN596" s="1068"/>
      <c r="BO596" s="1068"/>
      <c r="BP596" s="451" t="str">
        <f>'Rep Ovh Bal'!BQ84</f>
        <v/>
      </c>
      <c r="BQ596" s="451" t="str">
        <f>'Rep Ovh Bal'!BR84</f>
        <v/>
      </c>
      <c r="BR596" s="451" t="str">
        <f>'Rep Ovh Bal'!BS84</f>
        <v/>
      </c>
      <c r="BS596" s="451" t="str">
        <f>'Rep Ovh Bal'!BT84</f>
        <v/>
      </c>
      <c r="BT596" s="451" t="str">
        <f>'Rep Ovh Bal'!BU84</f>
        <v/>
      </c>
      <c r="BU596" s="451" t="str">
        <f>'Rep Ovh Bal'!BV84</f>
        <v/>
      </c>
      <c r="BV596" s="451" t="str">
        <f>'Rep Ovh Bal'!BW84</f>
        <v/>
      </c>
      <c r="BW596" s="1062">
        <f>'Rep Ovh Bal'!AZ84</f>
        <v>26168.4864</v>
      </c>
      <c r="BX596" s="1069">
        <f>'Rep Ovh Bal'!AZ84</f>
        <v>26168.4864</v>
      </c>
      <c r="BY596" s="1068"/>
      <c r="BZ596" s="1068"/>
      <c r="CA596" s="451" t="str">
        <f>'Rep Ovh Bal'!CB84</f>
        <v/>
      </c>
      <c r="CB596" s="451" t="str">
        <f>'Rep Ovh Bal'!CC84</f>
        <v/>
      </c>
      <c r="CC596" s="451" t="str">
        <f>'Rep Ovh Bal'!CD84</f>
        <v/>
      </c>
      <c r="CD596" s="451" t="str">
        <f>'Rep Ovh Bal'!CE84</f>
        <v/>
      </c>
      <c r="CE596" s="451" t="str">
        <f>'Rep Ovh Bal'!CF84</f>
        <v/>
      </c>
      <c r="CF596" s="451" t="str">
        <f>'Rep Ovh Bal'!CG84</f>
        <v/>
      </c>
      <c r="CG596" s="451" t="str">
        <f>'Rep Ovh Bal'!CH84</f>
        <v/>
      </c>
      <c r="CH596" s="451" t="str">
        <f>'Rep Ovh Bal'!CI84</f>
        <v/>
      </c>
      <c r="CI596" s="1062">
        <f>'Rep Ovh Bal'!BA84</f>
        <v>13084.2432</v>
      </c>
      <c r="CJ596" s="1062">
        <f>'Rep Ovh Bal'!BA84</f>
        <v>13084.2432</v>
      </c>
      <c r="CK596" s="1062">
        <f>'Rep Ovh Bal'!BB84</f>
        <v>47975.5584</v>
      </c>
      <c r="CL596" s="1064" t="str">
        <f>'Rep Ovh Bal'!BC84</f>
        <v/>
      </c>
      <c r="CM596" s="451" t="str">
        <f>'Rep Ovh Bal'!CN84</f>
        <v/>
      </c>
      <c r="CN596" s="1065" t="str">
        <f>'Rep Ovh Bal'!BE80</f>
        <v/>
      </c>
      <c r="CO596" s="1062" t="str">
        <f>'Rep Ovh Bal'!BF80</f>
        <v/>
      </c>
      <c r="CP596" s="1060" t="str">
        <f>'Rep Ovh Bal'!BG80</f>
        <v/>
      </c>
    </row>
    <row r="597">
      <c r="A597" s="451" t="str">
        <f>'Rep Ovh Bal'!A85</f>
        <v>Repuestos mantenimientos mayores para estaciones y torres</v>
      </c>
      <c r="B597" s="451">
        <f>'Rep Ovh Bal'!B85</f>
        <v>2</v>
      </c>
      <c r="C597" s="451" t="str">
        <f>'Rep Ovh Bal'!C85</f>
        <v>Torres</v>
      </c>
      <c r="D597" s="451" t="str">
        <f>'Rep Ovh Bal'!D85</f>
        <v>OVH balancines TRM</v>
      </c>
      <c r="E597" s="451" t="str">
        <f>'Rep Ovh Bal'!E85</f>
        <v>Repuesto Mecánico</v>
      </c>
      <c r="F597" s="451" t="str">
        <f>'Rep Ovh Bal'!F85</f>
        <v>TDB</v>
      </c>
      <c r="G597" s="1025" t="str">
        <f>'Rep Ovh Bal'!G85</f>
        <v>39800</v>
      </c>
      <c r="H597" s="1061" t="str">
        <f>'Rep Ovh Bal'!H85</f>
        <v>2-01-00520</v>
      </c>
      <c r="I597" s="1061" t="str">
        <f>'Rep Ovh Bal'!I85</f>
        <v>11424367</v>
      </c>
      <c r="J597" s="1061" t="str">
        <f>'Rep Ovh Bal'!J85</f>
        <v>ARANDELA ISO 7089 M27 300HV, FLZNNC-720H-L, REV.L.ZN SIN BIS.</v>
      </c>
      <c r="K597" s="451" t="str">
        <f>'Rep Ovh Bal'!K85</f>
        <v>Pza</v>
      </c>
      <c r="L597" s="451">
        <f>'Rep Ovh Bal'!L85</f>
        <v>0</v>
      </c>
      <c r="M597" s="451">
        <f>'Rep Ovh Bal'!M85</f>
        <v>0</v>
      </c>
      <c r="N597" s="451">
        <f>'Rep Ovh Bal'!N85</f>
        <v>0</v>
      </c>
      <c r="O597" s="451">
        <f>'Rep Ovh Bal'!O85</f>
        <v>0</v>
      </c>
      <c r="P597" s="451">
        <f>'Rep Ovh Bal'!P85</f>
        <v>0</v>
      </c>
      <c r="Q597" s="451">
        <f>'Rep Ovh Bal'!Q85</f>
        <v>0</v>
      </c>
      <c r="R597" s="451">
        <f>'Rep Ovh Bal'!R85</f>
        <v>0</v>
      </c>
      <c r="S597" s="451">
        <f>'Rep Ovh Bal'!S85</f>
        <v>0</v>
      </c>
      <c r="T597" s="451">
        <f>'Rep Ovh Bal'!T85</f>
        <v>0</v>
      </c>
      <c r="U597" s="451">
        <f>'Rep Ovh Bal'!U85</f>
        <v>0</v>
      </c>
      <c r="V597" s="451">
        <f>'Rep Ovh Bal'!V85</f>
        <v>228</v>
      </c>
      <c r="W597" s="1062">
        <f>'Rep Ovh Bal'!W85</f>
        <v>228</v>
      </c>
      <c r="X597" s="451">
        <f>'Rep Ovh Bal'!X85</f>
        <v>0</v>
      </c>
      <c r="Y597" s="451">
        <f>'Rep Ovh Bal'!Y85</f>
        <v>0</v>
      </c>
      <c r="Z597" s="451">
        <f>'Rep Ovh Bal'!Z85</f>
        <v>0</v>
      </c>
      <c r="AA597" s="451">
        <f>'Rep Ovh Bal'!AA85</f>
        <v>0</v>
      </c>
      <c r="AB597" s="451">
        <f>'Rep Ovh Bal'!AB85</f>
        <v>0</v>
      </c>
      <c r="AC597" s="451">
        <f>'Rep Ovh Bal'!AC85</f>
        <v>0</v>
      </c>
      <c r="AD597" s="451">
        <f>'Rep Ovh Bal'!AD85</f>
        <v>0</v>
      </c>
      <c r="AE597" s="451">
        <f>'Rep Ovh Bal'!AE85</f>
        <v>0</v>
      </c>
      <c r="AF597" s="451">
        <f>'Rep Ovh Bal'!AF85</f>
        <v>0</v>
      </c>
      <c r="AG597" s="451">
        <f>'Rep Ovh Bal'!AG85</f>
        <v>0</v>
      </c>
      <c r="AH597" s="451">
        <f>'Rep Ovh Bal'!AH85</f>
        <v>0</v>
      </c>
      <c r="AI597" s="1062">
        <f>'Rep Ovh Bal'!AI85</f>
        <v>0</v>
      </c>
      <c r="AJ597" s="451">
        <f>'Rep Ovh Bal'!AJ85</f>
        <v>0</v>
      </c>
      <c r="AK597" s="451">
        <f>'Rep Ovh Bal'!AK85</f>
        <v>0</v>
      </c>
      <c r="AL597" s="451">
        <f>'Rep Ovh Bal'!AL85</f>
        <v>0</v>
      </c>
      <c r="AM597" s="451">
        <f>'Rep Ovh Bal'!AM85</f>
        <v>0</v>
      </c>
      <c r="AN597" s="451">
        <f>'Rep Ovh Bal'!AN85</f>
        <v>0</v>
      </c>
      <c r="AO597" s="451">
        <f>'Rep Ovh Bal'!AO85</f>
        <v>0</v>
      </c>
      <c r="AP597" s="451">
        <f>'Rep Ovh Bal'!AP85</f>
        <v>0</v>
      </c>
      <c r="AQ597" s="451">
        <f>'Rep Ovh Bal'!AQ85</f>
        <v>0</v>
      </c>
      <c r="AR597" s="451">
        <f>'Rep Ovh Bal'!AR85</f>
        <v>0</v>
      </c>
      <c r="AS597" s="451">
        <f>'Rep Ovh Bal'!AS85</f>
        <v>0</v>
      </c>
      <c r="AT597" s="451">
        <f>'Rep Ovh Bal'!AT85</f>
        <v>96</v>
      </c>
      <c r="AU597" s="1062">
        <f>'Rep Ovh Bal'!AU85</f>
        <v>96</v>
      </c>
      <c r="AV597" s="1063">
        <f>'Rep Ovh Bal'!AV85</f>
        <v>324</v>
      </c>
      <c r="AW597" s="1068"/>
      <c r="AX597" s="1065">
        <f>'Rep Ovh Bal'!AW85</f>
        <v>1.69</v>
      </c>
      <c r="AY597" s="1062">
        <f>'Rep Ovh Bal'!AX85</f>
        <v>11.7624</v>
      </c>
      <c r="AZ597" s="1068"/>
      <c r="BA597" s="1068"/>
      <c r="BB597" s="1068"/>
      <c r="BC597" s="1068"/>
      <c r="BD597" s="1068"/>
      <c r="BE597" s="1068"/>
      <c r="BF597" s="1065" t="str">
        <f>'Rep Ovh Bal'!BE85</f>
        <v/>
      </c>
      <c r="BG597" s="451" t="str">
        <f>'Rep Ovh Bal'!BH85</f>
        <v/>
      </c>
      <c r="BH597" s="451" t="str">
        <f>'Rep Ovh Bal'!BI85</f>
        <v/>
      </c>
      <c r="BI597" s="451" t="str">
        <f>'Rep Ovh Bal'!BJ85</f>
        <v/>
      </c>
      <c r="BJ597" s="451" t="str">
        <f>'Rep Ovh Bal'!BK85</f>
        <v/>
      </c>
      <c r="BK597" s="1062">
        <f>'Rep Ovh Bal'!AY85</f>
        <v>2681.8272</v>
      </c>
      <c r="BL597" s="1069">
        <f>'Rep Ovh Bal'!AY85</f>
        <v>2681.8272</v>
      </c>
      <c r="BM597" s="1068"/>
      <c r="BN597" s="1068"/>
      <c r="BO597" s="1068"/>
      <c r="BP597" s="451" t="str">
        <f>'Rep Ovh Bal'!BQ85</f>
        <v/>
      </c>
      <c r="BQ597" s="451" t="str">
        <f>'Rep Ovh Bal'!BR85</f>
        <v/>
      </c>
      <c r="BR597" s="451" t="str">
        <f>'Rep Ovh Bal'!BS85</f>
        <v/>
      </c>
      <c r="BS597" s="451" t="str">
        <f>'Rep Ovh Bal'!BT85</f>
        <v/>
      </c>
      <c r="BT597" s="451" t="str">
        <f>'Rep Ovh Bal'!BU85</f>
        <v/>
      </c>
      <c r="BU597" s="451" t="str">
        <f>'Rep Ovh Bal'!BV85</f>
        <v/>
      </c>
      <c r="BV597" s="451" t="str">
        <f>'Rep Ovh Bal'!BW85</f>
        <v/>
      </c>
      <c r="BW597" s="1062">
        <f>'Rep Ovh Bal'!AZ85</f>
        <v>0</v>
      </c>
      <c r="BX597" s="1069">
        <f>'Rep Ovh Bal'!AZ85</f>
        <v>0</v>
      </c>
      <c r="BY597" s="1068"/>
      <c r="BZ597" s="1068"/>
      <c r="CA597" s="451" t="str">
        <f>'Rep Ovh Bal'!CB85</f>
        <v/>
      </c>
      <c r="CB597" s="451" t="str">
        <f>'Rep Ovh Bal'!CC85</f>
        <v/>
      </c>
      <c r="CC597" s="451" t="str">
        <f>'Rep Ovh Bal'!CD85</f>
        <v/>
      </c>
      <c r="CD597" s="451" t="str">
        <f>'Rep Ovh Bal'!CE85</f>
        <v/>
      </c>
      <c r="CE597" s="451" t="str">
        <f>'Rep Ovh Bal'!CF85</f>
        <v/>
      </c>
      <c r="CF597" s="451" t="str">
        <f>'Rep Ovh Bal'!CG85</f>
        <v/>
      </c>
      <c r="CG597" s="451" t="str">
        <f>'Rep Ovh Bal'!CH85</f>
        <v/>
      </c>
      <c r="CH597" s="451" t="str">
        <f>'Rep Ovh Bal'!CI85</f>
        <v/>
      </c>
      <c r="CI597" s="1062">
        <f>'Rep Ovh Bal'!BA85</f>
        <v>1129.1904</v>
      </c>
      <c r="CJ597" s="1062">
        <f>'Rep Ovh Bal'!BA85</f>
        <v>1129.1904</v>
      </c>
      <c r="CK597" s="1062">
        <f>'Rep Ovh Bal'!BB85</f>
        <v>3811.0176</v>
      </c>
      <c r="CL597" s="1064" t="str">
        <f>'Rep Ovh Bal'!BC85</f>
        <v/>
      </c>
      <c r="CM597" s="451" t="str">
        <f>'Rep Ovh Bal'!CN85</f>
        <v/>
      </c>
      <c r="CN597" s="1065" t="str">
        <f>'Rep Ovh Bal'!BE81</f>
        <v/>
      </c>
      <c r="CO597" s="1062" t="str">
        <f>'Rep Ovh Bal'!BF81</f>
        <v/>
      </c>
      <c r="CP597" s="1060" t="str">
        <f>'Rep Ovh Bal'!BG81</f>
        <v/>
      </c>
    </row>
    <row r="598">
      <c r="A598" s="451" t="str">
        <f>'Rep Ovh Bal'!A86</f>
        <v>Repuestos mantenimientos mayores para estaciones y torres</v>
      </c>
      <c r="B598" s="451">
        <f>'Rep Ovh Bal'!B86</f>
        <v>2</v>
      </c>
      <c r="C598" s="451" t="str">
        <f>'Rep Ovh Bal'!C86</f>
        <v>Torres</v>
      </c>
      <c r="D598" s="451" t="str">
        <f>'Rep Ovh Bal'!D86</f>
        <v>OVH balancines TRM</v>
      </c>
      <c r="E598" s="451" t="str">
        <f>'Rep Ovh Bal'!E86</f>
        <v>Repuesto Mecánico</v>
      </c>
      <c r="F598" s="451" t="str">
        <f>'Rep Ovh Bal'!F86</f>
        <v>TDB</v>
      </c>
      <c r="G598" s="1025" t="str">
        <f>'Rep Ovh Bal'!G86</f>
        <v>39800</v>
      </c>
      <c r="H598" s="1061" t="str">
        <f>'Rep Ovh Bal'!H86</f>
        <v>2-01-00523</v>
      </c>
      <c r="I598" s="1061" t="str">
        <f>'Rep Ovh Bal'!I86</f>
        <v>11424994</v>
      </c>
      <c r="J598" s="1061" t="str">
        <f>'Rep Ovh Bal'!J86</f>
        <v>ARANDELA DIN 7349-31 300HSFG, FLZNNC-720H-L, R.L.ZN SIN BISEL</v>
      </c>
      <c r="K598" s="451" t="str">
        <f>'Rep Ovh Bal'!K86</f>
        <v>Pza</v>
      </c>
      <c r="L598" s="451">
        <f>'Rep Ovh Bal'!L86</f>
        <v>0</v>
      </c>
      <c r="M598" s="451">
        <f>'Rep Ovh Bal'!M86</f>
        <v>0</v>
      </c>
      <c r="N598" s="451">
        <f>'Rep Ovh Bal'!N86</f>
        <v>0</v>
      </c>
      <c r="O598" s="451">
        <f>'Rep Ovh Bal'!O86</f>
        <v>0</v>
      </c>
      <c r="P598" s="451">
        <f>'Rep Ovh Bal'!P86</f>
        <v>0</v>
      </c>
      <c r="Q598" s="451">
        <f>'Rep Ovh Bal'!Q86</f>
        <v>0</v>
      </c>
      <c r="R598" s="451">
        <f>'Rep Ovh Bal'!R86</f>
        <v>0</v>
      </c>
      <c r="S598" s="451">
        <f>'Rep Ovh Bal'!S86</f>
        <v>0</v>
      </c>
      <c r="T598" s="451">
        <f>'Rep Ovh Bal'!T86</f>
        <v>0</v>
      </c>
      <c r="U598" s="451">
        <f>'Rep Ovh Bal'!U86</f>
        <v>0</v>
      </c>
      <c r="V598" s="451">
        <f>'Rep Ovh Bal'!V86</f>
        <v>86</v>
      </c>
      <c r="W598" s="1062">
        <f>'Rep Ovh Bal'!W86</f>
        <v>86</v>
      </c>
      <c r="X598" s="451">
        <f>'Rep Ovh Bal'!X86</f>
        <v>0</v>
      </c>
      <c r="Y598" s="451">
        <f>'Rep Ovh Bal'!Y86</f>
        <v>0</v>
      </c>
      <c r="Z598" s="451">
        <f>'Rep Ovh Bal'!Z86</f>
        <v>0</v>
      </c>
      <c r="AA598" s="451">
        <f>'Rep Ovh Bal'!AA86</f>
        <v>0</v>
      </c>
      <c r="AB598" s="451">
        <f>'Rep Ovh Bal'!AB86</f>
        <v>0</v>
      </c>
      <c r="AC598" s="451">
        <f>'Rep Ovh Bal'!AC86</f>
        <v>0</v>
      </c>
      <c r="AD598" s="451">
        <f>'Rep Ovh Bal'!AD86</f>
        <v>0</v>
      </c>
      <c r="AE598" s="451">
        <f>'Rep Ovh Bal'!AE86</f>
        <v>0</v>
      </c>
      <c r="AF598" s="451">
        <f>'Rep Ovh Bal'!AF86</f>
        <v>0</v>
      </c>
      <c r="AG598" s="451">
        <f>'Rep Ovh Bal'!AG86</f>
        <v>0</v>
      </c>
      <c r="AH598" s="451">
        <f>'Rep Ovh Bal'!AH86</f>
        <v>10</v>
      </c>
      <c r="AI598" s="1062">
        <f>'Rep Ovh Bal'!AI86</f>
        <v>10</v>
      </c>
      <c r="AJ598" s="451">
        <f>'Rep Ovh Bal'!AJ86</f>
        <v>0</v>
      </c>
      <c r="AK598" s="451">
        <f>'Rep Ovh Bal'!AK86</f>
        <v>0</v>
      </c>
      <c r="AL598" s="451">
        <f>'Rep Ovh Bal'!AL86</f>
        <v>0</v>
      </c>
      <c r="AM598" s="451">
        <f>'Rep Ovh Bal'!AM86</f>
        <v>0</v>
      </c>
      <c r="AN598" s="451">
        <f>'Rep Ovh Bal'!AN86</f>
        <v>0</v>
      </c>
      <c r="AO598" s="451">
        <f>'Rep Ovh Bal'!AO86</f>
        <v>0</v>
      </c>
      <c r="AP598" s="451">
        <f>'Rep Ovh Bal'!AP86</f>
        <v>0</v>
      </c>
      <c r="AQ598" s="451">
        <f>'Rep Ovh Bal'!AQ86</f>
        <v>0</v>
      </c>
      <c r="AR598" s="451">
        <f>'Rep Ovh Bal'!AR86</f>
        <v>0</v>
      </c>
      <c r="AS598" s="451">
        <f>'Rep Ovh Bal'!AS86</f>
        <v>0</v>
      </c>
      <c r="AT598" s="451">
        <f>'Rep Ovh Bal'!AT86</f>
        <v>16</v>
      </c>
      <c r="AU598" s="1062">
        <f>'Rep Ovh Bal'!AU86</f>
        <v>16</v>
      </c>
      <c r="AV598" s="1063">
        <f>'Rep Ovh Bal'!AV86</f>
        <v>112</v>
      </c>
      <c r="AW598" s="1068"/>
      <c r="AX598" s="1065">
        <f>'Rep Ovh Bal'!AW86</f>
        <v>7.31</v>
      </c>
      <c r="AY598" s="1062">
        <f>'Rep Ovh Bal'!AX86</f>
        <v>50.8776</v>
      </c>
      <c r="AZ598" s="1068"/>
      <c r="BA598" s="1068"/>
      <c r="BB598" s="1068"/>
      <c r="BC598" s="1068"/>
      <c r="BD598" s="1068"/>
      <c r="BE598" s="1068"/>
      <c r="BF598" s="1065" t="str">
        <f>'Rep Ovh Bal'!BE86</f>
        <v/>
      </c>
      <c r="BG598" s="451" t="str">
        <f>'Rep Ovh Bal'!BH86</f>
        <v/>
      </c>
      <c r="BH598" s="451" t="str">
        <f>'Rep Ovh Bal'!BI86</f>
        <v/>
      </c>
      <c r="BI598" s="451" t="str">
        <f>'Rep Ovh Bal'!BJ86</f>
        <v/>
      </c>
      <c r="BJ598" s="451" t="str">
        <f>'Rep Ovh Bal'!BK86</f>
        <v/>
      </c>
      <c r="BK598" s="1062">
        <f>'Rep Ovh Bal'!AY86</f>
        <v>4375.4736</v>
      </c>
      <c r="BL598" s="1069">
        <f>'Rep Ovh Bal'!AY86</f>
        <v>4375.4736</v>
      </c>
      <c r="BM598" s="1068"/>
      <c r="BN598" s="1068"/>
      <c r="BO598" s="1068"/>
      <c r="BP598" s="451" t="str">
        <f>'Rep Ovh Bal'!BQ86</f>
        <v/>
      </c>
      <c r="BQ598" s="451" t="str">
        <f>'Rep Ovh Bal'!BR86</f>
        <v/>
      </c>
      <c r="BR598" s="451" t="str">
        <f>'Rep Ovh Bal'!BS86</f>
        <v/>
      </c>
      <c r="BS598" s="451" t="str">
        <f>'Rep Ovh Bal'!BT86</f>
        <v/>
      </c>
      <c r="BT598" s="451" t="str">
        <f>'Rep Ovh Bal'!BU86</f>
        <v/>
      </c>
      <c r="BU598" s="451" t="str">
        <f>'Rep Ovh Bal'!BV86</f>
        <v/>
      </c>
      <c r="BV598" s="451" t="str">
        <f>'Rep Ovh Bal'!BW86</f>
        <v/>
      </c>
      <c r="BW598" s="1062">
        <f>'Rep Ovh Bal'!AZ86</f>
        <v>508.776</v>
      </c>
      <c r="BX598" s="1069">
        <f>'Rep Ovh Bal'!AZ86</f>
        <v>508.776</v>
      </c>
      <c r="BY598" s="1068"/>
      <c r="BZ598" s="1068"/>
      <c r="CA598" s="451" t="str">
        <f>'Rep Ovh Bal'!CB86</f>
        <v/>
      </c>
      <c r="CB598" s="451" t="str">
        <f>'Rep Ovh Bal'!CC86</f>
        <v/>
      </c>
      <c r="CC598" s="451" t="str">
        <f>'Rep Ovh Bal'!CD86</f>
        <v/>
      </c>
      <c r="CD598" s="451" t="str">
        <f>'Rep Ovh Bal'!CE86</f>
        <v/>
      </c>
      <c r="CE598" s="451" t="str">
        <f>'Rep Ovh Bal'!CF86</f>
        <v/>
      </c>
      <c r="CF598" s="451" t="str">
        <f>'Rep Ovh Bal'!CG86</f>
        <v/>
      </c>
      <c r="CG598" s="451" t="str">
        <f>'Rep Ovh Bal'!CH86</f>
        <v/>
      </c>
      <c r="CH598" s="451" t="str">
        <f>'Rep Ovh Bal'!CI86</f>
        <v/>
      </c>
      <c r="CI598" s="1062">
        <f>'Rep Ovh Bal'!BA86</f>
        <v>814.0416</v>
      </c>
      <c r="CJ598" s="1062">
        <f>'Rep Ovh Bal'!BA86</f>
        <v>814.0416</v>
      </c>
      <c r="CK598" s="1062">
        <f>'Rep Ovh Bal'!BB86</f>
        <v>5698.2912</v>
      </c>
      <c r="CL598" s="1064" t="str">
        <f>'Rep Ovh Bal'!BC86</f>
        <v/>
      </c>
      <c r="CM598" s="451" t="str">
        <f>'Rep Ovh Bal'!CN86</f>
        <v/>
      </c>
      <c r="CN598" s="1065" t="str">
        <f>'Rep Ovh Bal'!BE82</f>
        <v/>
      </c>
      <c r="CO598" s="1062" t="str">
        <f>'Rep Ovh Bal'!BF82</f>
        <v/>
      </c>
      <c r="CP598" s="1060" t="str">
        <f>'Rep Ovh Bal'!BG82</f>
        <v/>
      </c>
    </row>
    <row r="599">
      <c r="A599" s="451" t="str">
        <f>'Rep Ovh Bal'!A87</f>
        <v>Repuestos mantenimientos mayores para estaciones y torres</v>
      </c>
      <c r="B599" s="451">
        <f>'Rep Ovh Bal'!B87</f>
        <v>2</v>
      </c>
      <c r="C599" s="451" t="str">
        <f>'Rep Ovh Bal'!C87</f>
        <v>Torres</v>
      </c>
      <c r="D599" s="451" t="str">
        <f>'Rep Ovh Bal'!D87</f>
        <v>OVH balancines TRM</v>
      </c>
      <c r="E599" s="451" t="str">
        <f>'Rep Ovh Bal'!E87</f>
        <v>Repuesto Mecánico</v>
      </c>
      <c r="F599" s="451" t="str">
        <f>'Rep Ovh Bal'!F87</f>
        <v>TDB</v>
      </c>
      <c r="G599" s="1061" t="str">
        <f>'Rep Ovh Bal'!G87</f>
        <v>39800</v>
      </c>
      <c r="H599" s="1061" t="str">
        <f>'Rep Ovh Bal'!H87</f>
        <v>2-01-00501</v>
      </c>
      <c r="I599" s="1061" t="str">
        <f>'Rep Ovh Bal'!I87</f>
        <v>11430217</v>
      </c>
      <c r="J599" s="1061" t="str">
        <f>'Rep Ovh Bal'!J87</f>
        <v>BULÓN DIÁ 40H8 L=222, COJINETE P. BRAZO GIR. 4P/2PG CP 420C</v>
      </c>
      <c r="K599" s="451" t="str">
        <f>'Rep Ovh Bal'!K87</f>
        <v>Pza</v>
      </c>
      <c r="L599" s="451">
        <f>'Rep Ovh Bal'!L87</f>
        <v>0</v>
      </c>
      <c r="M599" s="451">
        <f>'Rep Ovh Bal'!M87</f>
        <v>0</v>
      </c>
      <c r="N599" s="451">
        <f>'Rep Ovh Bal'!N87</f>
        <v>0</v>
      </c>
      <c r="O599" s="451">
        <f>'Rep Ovh Bal'!O87</f>
        <v>0</v>
      </c>
      <c r="P599" s="451">
        <f>'Rep Ovh Bal'!P87</f>
        <v>0</v>
      </c>
      <c r="Q599" s="451">
        <f>'Rep Ovh Bal'!Q87</f>
        <v>0</v>
      </c>
      <c r="R599" s="451">
        <f>'Rep Ovh Bal'!R87</f>
        <v>0</v>
      </c>
      <c r="S599" s="451">
        <f>'Rep Ovh Bal'!S87</f>
        <v>0</v>
      </c>
      <c r="T599" s="451">
        <f>'Rep Ovh Bal'!T87</f>
        <v>0</v>
      </c>
      <c r="U599" s="451">
        <f>'Rep Ovh Bal'!U87</f>
        <v>0</v>
      </c>
      <c r="V599" s="451">
        <f>'Rep Ovh Bal'!V87</f>
        <v>152</v>
      </c>
      <c r="W599" s="1062">
        <f>'Rep Ovh Bal'!W87</f>
        <v>152</v>
      </c>
      <c r="X599" s="451">
        <f>'Rep Ovh Bal'!X87</f>
        <v>0</v>
      </c>
      <c r="Y599" s="451">
        <f>'Rep Ovh Bal'!Y87</f>
        <v>0</v>
      </c>
      <c r="Z599" s="451">
        <f>'Rep Ovh Bal'!Z87</f>
        <v>0</v>
      </c>
      <c r="AA599" s="451">
        <f>'Rep Ovh Bal'!AA87</f>
        <v>0</v>
      </c>
      <c r="AB599" s="451">
        <f>'Rep Ovh Bal'!AB87</f>
        <v>0</v>
      </c>
      <c r="AC599" s="451">
        <f>'Rep Ovh Bal'!AC87</f>
        <v>0</v>
      </c>
      <c r="AD599" s="451">
        <f>'Rep Ovh Bal'!AD87</f>
        <v>0</v>
      </c>
      <c r="AE599" s="451">
        <f>'Rep Ovh Bal'!AE87</f>
        <v>0</v>
      </c>
      <c r="AF599" s="451">
        <f>'Rep Ovh Bal'!AF87</f>
        <v>0</v>
      </c>
      <c r="AG599" s="451">
        <f>'Rep Ovh Bal'!AG87</f>
        <v>0</v>
      </c>
      <c r="AH599" s="451">
        <f>'Rep Ovh Bal'!AH87</f>
        <v>24</v>
      </c>
      <c r="AI599" s="1062">
        <f>'Rep Ovh Bal'!AI87</f>
        <v>24</v>
      </c>
      <c r="AJ599" s="451">
        <f>'Rep Ovh Bal'!AJ87</f>
        <v>0</v>
      </c>
      <c r="AK599" s="451">
        <f>'Rep Ovh Bal'!AK87</f>
        <v>0</v>
      </c>
      <c r="AL599" s="451">
        <f>'Rep Ovh Bal'!AL87</f>
        <v>0</v>
      </c>
      <c r="AM599" s="451">
        <f>'Rep Ovh Bal'!AM87</f>
        <v>0</v>
      </c>
      <c r="AN599" s="451">
        <f>'Rep Ovh Bal'!AN87</f>
        <v>0</v>
      </c>
      <c r="AO599" s="451">
        <f>'Rep Ovh Bal'!AO87</f>
        <v>0</v>
      </c>
      <c r="AP599" s="451">
        <f>'Rep Ovh Bal'!AP87</f>
        <v>0</v>
      </c>
      <c r="AQ599" s="451">
        <f>'Rep Ovh Bal'!AQ87</f>
        <v>0</v>
      </c>
      <c r="AR599" s="451">
        <f>'Rep Ovh Bal'!AR87</f>
        <v>0</v>
      </c>
      <c r="AS599" s="451">
        <f>'Rep Ovh Bal'!AS87</f>
        <v>0</v>
      </c>
      <c r="AT599" s="451">
        <f>'Rep Ovh Bal'!AT87</f>
        <v>80</v>
      </c>
      <c r="AU599" s="1062">
        <f>'Rep Ovh Bal'!AU87</f>
        <v>80</v>
      </c>
      <c r="AV599" s="1063">
        <f>'Rep Ovh Bal'!AV87</f>
        <v>256</v>
      </c>
      <c r="AW599" s="1068"/>
      <c r="AX599" s="1065">
        <f>'Rep Ovh Bal'!AW87</f>
        <v>132.02</v>
      </c>
      <c r="AY599" s="1062">
        <f>'Rep Ovh Bal'!AX87</f>
        <v>918.8592</v>
      </c>
      <c r="AZ599" s="1068"/>
      <c r="BA599" s="1068"/>
      <c r="BB599" s="1068"/>
      <c r="BC599" s="1068"/>
      <c r="BD599" s="1068"/>
      <c r="BE599" s="1068"/>
      <c r="BF599" s="1065" t="str">
        <f>'Rep Ovh Bal'!BE87</f>
        <v/>
      </c>
      <c r="BG599" s="451" t="str">
        <f>'Rep Ovh Bal'!BH87</f>
        <v/>
      </c>
      <c r="BH599" s="451" t="str">
        <f>'Rep Ovh Bal'!BI87</f>
        <v/>
      </c>
      <c r="BI599" s="451" t="str">
        <f>'Rep Ovh Bal'!BJ87</f>
        <v/>
      </c>
      <c r="BJ599" s="451" t="str">
        <f>'Rep Ovh Bal'!BK87</f>
        <v/>
      </c>
      <c r="BK599" s="1062">
        <f>'Rep Ovh Bal'!AY87</f>
        <v>139666.5984</v>
      </c>
      <c r="BL599" s="1069">
        <f>'Rep Ovh Bal'!AY87</f>
        <v>139666.5984</v>
      </c>
      <c r="BM599" s="1068"/>
      <c r="BN599" s="1068"/>
      <c r="BO599" s="1068"/>
      <c r="BP599" s="451" t="str">
        <f>'Rep Ovh Bal'!BQ87</f>
        <v/>
      </c>
      <c r="BQ599" s="451" t="str">
        <f>'Rep Ovh Bal'!BR87</f>
        <v/>
      </c>
      <c r="BR599" s="451" t="str">
        <f>'Rep Ovh Bal'!BS87</f>
        <v/>
      </c>
      <c r="BS599" s="451" t="str">
        <f>'Rep Ovh Bal'!BT87</f>
        <v/>
      </c>
      <c r="BT599" s="451" t="str">
        <f>'Rep Ovh Bal'!BU87</f>
        <v/>
      </c>
      <c r="BU599" s="451" t="str">
        <f>'Rep Ovh Bal'!BV87</f>
        <v/>
      </c>
      <c r="BV599" s="451" t="str">
        <f>'Rep Ovh Bal'!BW87</f>
        <v/>
      </c>
      <c r="BW599" s="1062">
        <f>'Rep Ovh Bal'!AZ87</f>
        <v>22052.6208</v>
      </c>
      <c r="BX599" s="1069">
        <f>'Rep Ovh Bal'!AZ87</f>
        <v>22052.6208</v>
      </c>
      <c r="BY599" s="1068"/>
      <c r="BZ599" s="1068"/>
      <c r="CA599" s="451" t="str">
        <f>'Rep Ovh Bal'!CB87</f>
        <v/>
      </c>
      <c r="CB599" s="451" t="str">
        <f>'Rep Ovh Bal'!CC87</f>
        <v/>
      </c>
      <c r="CC599" s="451" t="str">
        <f>'Rep Ovh Bal'!CD87</f>
        <v/>
      </c>
      <c r="CD599" s="451" t="str">
        <f>'Rep Ovh Bal'!CE87</f>
        <v/>
      </c>
      <c r="CE599" s="451" t="str">
        <f>'Rep Ovh Bal'!CF87</f>
        <v/>
      </c>
      <c r="CF599" s="451" t="str">
        <f>'Rep Ovh Bal'!CG87</f>
        <v/>
      </c>
      <c r="CG599" s="451" t="str">
        <f>'Rep Ovh Bal'!CH87</f>
        <v/>
      </c>
      <c r="CH599" s="451" t="str">
        <f>'Rep Ovh Bal'!CI87</f>
        <v/>
      </c>
      <c r="CI599" s="1062">
        <f>'Rep Ovh Bal'!BA87</f>
        <v>73508.736</v>
      </c>
      <c r="CJ599" s="1062">
        <f>'Rep Ovh Bal'!BA87</f>
        <v>73508.736</v>
      </c>
      <c r="CK599" s="1062">
        <f>'Rep Ovh Bal'!BB87</f>
        <v>235227.9552</v>
      </c>
      <c r="CL599" s="1064" t="str">
        <f>'Rep Ovh Bal'!BC87</f>
        <v/>
      </c>
      <c r="CM599" s="451" t="str">
        <f>'Rep Ovh Bal'!CN87</f>
        <v/>
      </c>
      <c r="CN599" s="1065" t="str">
        <f>'Rep Ovh Bal'!BE83</f>
        <v/>
      </c>
      <c r="CO599" s="1062" t="str">
        <f>'Rep Ovh Bal'!BF83</f>
        <v/>
      </c>
      <c r="CP599" s="1060" t="str">
        <f>'Rep Ovh Bal'!BG83</f>
        <v/>
      </c>
    </row>
    <row r="600">
      <c r="A600" s="451" t="str">
        <f>'Rep Ovh Bal'!A88</f>
        <v>Repuestos mantenimientos mayores para estaciones y torres</v>
      </c>
      <c r="B600" s="451">
        <f>'Rep Ovh Bal'!B88</f>
        <v>2</v>
      </c>
      <c r="C600" s="451" t="str">
        <f>'Rep Ovh Bal'!C88</f>
        <v>Torres</v>
      </c>
      <c r="D600" s="451" t="str">
        <f>'Rep Ovh Bal'!D88</f>
        <v>OVH balancines TRM</v>
      </c>
      <c r="E600" s="451" t="str">
        <f>'Rep Ovh Bal'!E88</f>
        <v>Repuesto Mecánico</v>
      </c>
      <c r="F600" s="451" t="str">
        <f>'Rep Ovh Bal'!F88</f>
        <v>TDB</v>
      </c>
      <c r="G600" s="1061" t="str">
        <f>'Rep Ovh Bal'!G88</f>
        <v>39800</v>
      </c>
      <c r="H600" s="1061" t="str">
        <f>'Rep Ovh Bal'!H88</f>
        <v>2-01-00499</v>
      </c>
      <c r="I600" s="1061" t="str">
        <f>'Rep Ovh Bal'!I88</f>
        <v>11430340</v>
      </c>
      <c r="J600" s="1061" t="str">
        <f>'Rep Ovh Bal'!J88</f>
        <v>TUBO DIST. DIÁ=30/20.2 L=126, P. BÁSCULA P. SENS. EN BRAZO GI</v>
      </c>
      <c r="K600" s="451" t="str">
        <f>'Rep Ovh Bal'!K88</f>
        <v>Pza</v>
      </c>
      <c r="L600" s="451">
        <f>'Rep Ovh Bal'!L88</f>
        <v>0</v>
      </c>
      <c r="M600" s="451">
        <f>'Rep Ovh Bal'!M88</f>
        <v>0</v>
      </c>
      <c r="N600" s="451">
        <f>'Rep Ovh Bal'!N88</f>
        <v>0</v>
      </c>
      <c r="O600" s="451">
        <f>'Rep Ovh Bal'!O88</f>
        <v>0</v>
      </c>
      <c r="P600" s="451">
        <f>'Rep Ovh Bal'!P88</f>
        <v>0</v>
      </c>
      <c r="Q600" s="451">
        <f>'Rep Ovh Bal'!Q88</f>
        <v>0</v>
      </c>
      <c r="R600" s="451">
        <f>'Rep Ovh Bal'!R88</f>
        <v>0</v>
      </c>
      <c r="S600" s="451">
        <f>'Rep Ovh Bal'!S88</f>
        <v>0</v>
      </c>
      <c r="T600" s="451">
        <f>'Rep Ovh Bal'!T88</f>
        <v>0</v>
      </c>
      <c r="U600" s="451">
        <f>'Rep Ovh Bal'!U88</f>
        <v>0</v>
      </c>
      <c r="V600" s="451">
        <f>'Rep Ovh Bal'!V88</f>
        <v>118</v>
      </c>
      <c r="W600" s="1062">
        <f>'Rep Ovh Bal'!W88</f>
        <v>118</v>
      </c>
      <c r="X600" s="451">
        <f>'Rep Ovh Bal'!X88</f>
        <v>0</v>
      </c>
      <c r="Y600" s="451">
        <f>'Rep Ovh Bal'!Y88</f>
        <v>0</v>
      </c>
      <c r="Z600" s="451">
        <f>'Rep Ovh Bal'!Z88</f>
        <v>0</v>
      </c>
      <c r="AA600" s="451">
        <f>'Rep Ovh Bal'!AA88</f>
        <v>0</v>
      </c>
      <c r="AB600" s="451">
        <f>'Rep Ovh Bal'!AB88</f>
        <v>0</v>
      </c>
      <c r="AC600" s="451">
        <f>'Rep Ovh Bal'!AC88</f>
        <v>0</v>
      </c>
      <c r="AD600" s="451">
        <f>'Rep Ovh Bal'!AD88</f>
        <v>0</v>
      </c>
      <c r="AE600" s="451">
        <f>'Rep Ovh Bal'!AE88</f>
        <v>0</v>
      </c>
      <c r="AF600" s="451">
        <f>'Rep Ovh Bal'!AF88</f>
        <v>0</v>
      </c>
      <c r="AG600" s="451">
        <f>'Rep Ovh Bal'!AG88</f>
        <v>0</v>
      </c>
      <c r="AH600" s="451">
        <f>'Rep Ovh Bal'!AH88</f>
        <v>12</v>
      </c>
      <c r="AI600" s="1062">
        <f>'Rep Ovh Bal'!AI88</f>
        <v>12</v>
      </c>
      <c r="AJ600" s="451">
        <f>'Rep Ovh Bal'!AJ88</f>
        <v>0</v>
      </c>
      <c r="AK600" s="451">
        <f>'Rep Ovh Bal'!AK88</f>
        <v>0</v>
      </c>
      <c r="AL600" s="451">
        <f>'Rep Ovh Bal'!AL88</f>
        <v>0</v>
      </c>
      <c r="AM600" s="451">
        <f>'Rep Ovh Bal'!AM88</f>
        <v>0</v>
      </c>
      <c r="AN600" s="451">
        <f>'Rep Ovh Bal'!AN88</f>
        <v>0</v>
      </c>
      <c r="AO600" s="451">
        <f>'Rep Ovh Bal'!AO88</f>
        <v>0</v>
      </c>
      <c r="AP600" s="451">
        <f>'Rep Ovh Bal'!AP88</f>
        <v>0</v>
      </c>
      <c r="AQ600" s="451">
        <f>'Rep Ovh Bal'!AQ88</f>
        <v>0</v>
      </c>
      <c r="AR600" s="451">
        <f>'Rep Ovh Bal'!AR88</f>
        <v>0</v>
      </c>
      <c r="AS600" s="451">
        <f>'Rep Ovh Bal'!AS88</f>
        <v>0</v>
      </c>
      <c r="AT600" s="451">
        <f>'Rep Ovh Bal'!AT88</f>
        <v>40</v>
      </c>
      <c r="AU600" s="1062">
        <f>'Rep Ovh Bal'!AU88</f>
        <v>40</v>
      </c>
      <c r="AV600" s="1063">
        <f>'Rep Ovh Bal'!AV88</f>
        <v>170</v>
      </c>
      <c r="AW600" s="1068"/>
      <c r="AX600" s="1065">
        <f>'Rep Ovh Bal'!AW88</f>
        <v>70.99</v>
      </c>
      <c r="AY600" s="1062">
        <f>'Rep Ovh Bal'!AX88</f>
        <v>494.0904</v>
      </c>
      <c r="AZ600" s="1068"/>
      <c r="BA600" s="1068"/>
      <c r="BB600" s="1068"/>
      <c r="BC600" s="1068"/>
      <c r="BD600" s="1068"/>
      <c r="BE600" s="1068"/>
      <c r="BF600" s="1065" t="str">
        <f>'Rep Ovh Bal'!BE88</f>
        <v/>
      </c>
      <c r="BG600" s="451" t="str">
        <f>'Rep Ovh Bal'!BH88</f>
        <v/>
      </c>
      <c r="BH600" s="451" t="str">
        <f>'Rep Ovh Bal'!BI88</f>
        <v/>
      </c>
      <c r="BI600" s="451" t="str">
        <f>'Rep Ovh Bal'!BJ88</f>
        <v/>
      </c>
      <c r="BJ600" s="451" t="str">
        <f>'Rep Ovh Bal'!BK88</f>
        <v/>
      </c>
      <c r="BK600" s="1062">
        <f>'Rep Ovh Bal'!AY88</f>
        <v>58302.6672</v>
      </c>
      <c r="BL600" s="1069">
        <f>'Rep Ovh Bal'!AY88</f>
        <v>58302.6672</v>
      </c>
      <c r="BM600" s="1068"/>
      <c r="BN600" s="1068"/>
      <c r="BO600" s="1068"/>
      <c r="BP600" s="451" t="str">
        <f>'Rep Ovh Bal'!BQ88</f>
        <v/>
      </c>
      <c r="BQ600" s="451" t="str">
        <f>'Rep Ovh Bal'!BR88</f>
        <v/>
      </c>
      <c r="BR600" s="451" t="str">
        <f>'Rep Ovh Bal'!BS88</f>
        <v/>
      </c>
      <c r="BS600" s="451" t="str">
        <f>'Rep Ovh Bal'!BT88</f>
        <v/>
      </c>
      <c r="BT600" s="451" t="str">
        <f>'Rep Ovh Bal'!BU88</f>
        <v/>
      </c>
      <c r="BU600" s="451" t="str">
        <f>'Rep Ovh Bal'!BV88</f>
        <v/>
      </c>
      <c r="BV600" s="451" t="str">
        <f>'Rep Ovh Bal'!BW88</f>
        <v/>
      </c>
      <c r="BW600" s="1062">
        <f>'Rep Ovh Bal'!AZ88</f>
        <v>5929.0848</v>
      </c>
      <c r="BX600" s="1069">
        <f>'Rep Ovh Bal'!AZ88</f>
        <v>5929.0848</v>
      </c>
      <c r="BY600" s="1068"/>
      <c r="BZ600" s="1068"/>
      <c r="CA600" s="451" t="str">
        <f>'Rep Ovh Bal'!CB88</f>
        <v/>
      </c>
      <c r="CB600" s="451" t="str">
        <f>'Rep Ovh Bal'!CC88</f>
        <v/>
      </c>
      <c r="CC600" s="451" t="str">
        <f>'Rep Ovh Bal'!CD88</f>
        <v/>
      </c>
      <c r="CD600" s="451" t="str">
        <f>'Rep Ovh Bal'!CE88</f>
        <v/>
      </c>
      <c r="CE600" s="451" t="str">
        <f>'Rep Ovh Bal'!CF88</f>
        <v/>
      </c>
      <c r="CF600" s="451" t="str">
        <f>'Rep Ovh Bal'!CG88</f>
        <v/>
      </c>
      <c r="CG600" s="451" t="str">
        <f>'Rep Ovh Bal'!CH88</f>
        <v/>
      </c>
      <c r="CH600" s="451" t="str">
        <f>'Rep Ovh Bal'!CI88</f>
        <v/>
      </c>
      <c r="CI600" s="1062">
        <f>'Rep Ovh Bal'!BA88</f>
        <v>19763.616</v>
      </c>
      <c r="CJ600" s="1062">
        <f>'Rep Ovh Bal'!BA88</f>
        <v>19763.616</v>
      </c>
      <c r="CK600" s="1062">
        <f>'Rep Ovh Bal'!BB88</f>
        <v>83995.368</v>
      </c>
      <c r="CL600" s="1064" t="str">
        <f>'Rep Ovh Bal'!BC88</f>
        <v/>
      </c>
      <c r="CM600" s="451" t="str">
        <f>'Rep Ovh Bal'!CN88</f>
        <v/>
      </c>
      <c r="CN600" s="1065" t="str">
        <f>'Rep Ovh Bal'!BE84</f>
        <v/>
      </c>
      <c r="CO600" s="1062" t="str">
        <f>'Rep Ovh Bal'!BF84</f>
        <v/>
      </c>
      <c r="CP600" s="1060" t="str">
        <f>'Rep Ovh Bal'!BG84</f>
        <v/>
      </c>
    </row>
    <row r="601">
      <c r="A601" s="451" t="str">
        <f>'Rep Ovh Bal'!A89</f>
        <v>Repuestos mantenimientos mayores para estaciones y torres</v>
      </c>
      <c r="B601" s="451">
        <f>'Rep Ovh Bal'!B89</f>
        <v>2</v>
      </c>
      <c r="C601" s="451" t="str">
        <f>'Rep Ovh Bal'!C89</f>
        <v>Torres</v>
      </c>
      <c r="D601" s="451" t="str">
        <f>'Rep Ovh Bal'!D89</f>
        <v>OVH balancines TRM</v>
      </c>
      <c r="E601" s="451" t="str">
        <f>'Rep Ovh Bal'!E89</f>
        <v>Repuesto Mecánico</v>
      </c>
      <c r="F601" s="451" t="str">
        <f>'Rep Ovh Bal'!F89</f>
        <v>TDB</v>
      </c>
      <c r="G601" s="1061" t="str">
        <f>'Rep Ovh Bal'!G89</f>
        <v>39800</v>
      </c>
      <c r="H601" s="1061" t="str">
        <f>'Rep Ovh Bal'!H89</f>
        <v>2-01-00498</v>
      </c>
      <c r="I601" s="1061" t="str">
        <f>'Rep Ovh Bal'!I89</f>
        <v>11430347</v>
      </c>
      <c r="J601" s="1061" t="str">
        <f>'Rep Ovh Bal'!J89</f>
        <v>TUBO DISTANCIADOR DIÁ.60/50,2 L=245</v>
      </c>
      <c r="K601" s="451" t="str">
        <f>'Rep Ovh Bal'!K89</f>
        <v>Pza</v>
      </c>
      <c r="L601" s="451">
        <f>'Rep Ovh Bal'!L89</f>
        <v>0</v>
      </c>
      <c r="M601" s="451">
        <f>'Rep Ovh Bal'!M89</f>
        <v>0</v>
      </c>
      <c r="N601" s="451">
        <f>'Rep Ovh Bal'!N89</f>
        <v>0</v>
      </c>
      <c r="O601" s="451">
        <f>'Rep Ovh Bal'!O89</f>
        <v>0</v>
      </c>
      <c r="P601" s="451">
        <f>'Rep Ovh Bal'!P89</f>
        <v>0</v>
      </c>
      <c r="Q601" s="451">
        <f>'Rep Ovh Bal'!Q89</f>
        <v>0</v>
      </c>
      <c r="R601" s="451">
        <f>'Rep Ovh Bal'!R89</f>
        <v>0</v>
      </c>
      <c r="S601" s="451">
        <f>'Rep Ovh Bal'!S89</f>
        <v>0</v>
      </c>
      <c r="T601" s="451">
        <f>'Rep Ovh Bal'!T89</f>
        <v>0</v>
      </c>
      <c r="U601" s="451">
        <f>'Rep Ovh Bal'!U89</f>
        <v>0</v>
      </c>
      <c r="V601" s="451">
        <f>'Rep Ovh Bal'!V89</f>
        <v>112</v>
      </c>
      <c r="W601" s="1062">
        <f>'Rep Ovh Bal'!W89</f>
        <v>112</v>
      </c>
      <c r="X601" s="451">
        <f>'Rep Ovh Bal'!X89</f>
        <v>0</v>
      </c>
      <c r="Y601" s="451">
        <f>'Rep Ovh Bal'!Y89</f>
        <v>0</v>
      </c>
      <c r="Z601" s="451">
        <f>'Rep Ovh Bal'!Z89</f>
        <v>0</v>
      </c>
      <c r="AA601" s="451">
        <f>'Rep Ovh Bal'!AA89</f>
        <v>0</v>
      </c>
      <c r="AB601" s="451">
        <f>'Rep Ovh Bal'!AB89</f>
        <v>0</v>
      </c>
      <c r="AC601" s="451">
        <f>'Rep Ovh Bal'!AC89</f>
        <v>0</v>
      </c>
      <c r="AD601" s="451">
        <f>'Rep Ovh Bal'!AD89</f>
        <v>0</v>
      </c>
      <c r="AE601" s="451">
        <f>'Rep Ovh Bal'!AE89</f>
        <v>0</v>
      </c>
      <c r="AF601" s="451">
        <f>'Rep Ovh Bal'!AF89</f>
        <v>0</v>
      </c>
      <c r="AG601" s="451">
        <f>'Rep Ovh Bal'!AG89</f>
        <v>0</v>
      </c>
      <c r="AH601" s="451">
        <f>'Rep Ovh Bal'!AH89</f>
        <v>236</v>
      </c>
      <c r="AI601" s="1062">
        <f>'Rep Ovh Bal'!AI89</f>
        <v>236</v>
      </c>
      <c r="AJ601" s="451">
        <f>'Rep Ovh Bal'!AJ89</f>
        <v>0</v>
      </c>
      <c r="AK601" s="451">
        <f>'Rep Ovh Bal'!AK89</f>
        <v>0</v>
      </c>
      <c r="AL601" s="451">
        <f>'Rep Ovh Bal'!AL89</f>
        <v>0</v>
      </c>
      <c r="AM601" s="451">
        <f>'Rep Ovh Bal'!AM89</f>
        <v>0</v>
      </c>
      <c r="AN601" s="451">
        <f>'Rep Ovh Bal'!AN89</f>
        <v>0</v>
      </c>
      <c r="AO601" s="451">
        <f>'Rep Ovh Bal'!AO89</f>
        <v>0</v>
      </c>
      <c r="AP601" s="451">
        <f>'Rep Ovh Bal'!AP89</f>
        <v>0</v>
      </c>
      <c r="AQ601" s="451">
        <f>'Rep Ovh Bal'!AQ89</f>
        <v>0</v>
      </c>
      <c r="AR601" s="451">
        <f>'Rep Ovh Bal'!AR89</f>
        <v>0</v>
      </c>
      <c r="AS601" s="451">
        <f>'Rep Ovh Bal'!AS89</f>
        <v>0</v>
      </c>
      <c r="AT601" s="451">
        <f>'Rep Ovh Bal'!AT89</f>
        <v>224</v>
      </c>
      <c r="AU601" s="1062">
        <f>'Rep Ovh Bal'!AU89</f>
        <v>224</v>
      </c>
      <c r="AV601" s="1063">
        <f>'Rep Ovh Bal'!AV89</f>
        <v>572</v>
      </c>
      <c r="AW601" s="1068"/>
      <c r="AX601" s="1065">
        <f>'Rep Ovh Bal'!AW89</f>
        <v>107.64</v>
      </c>
      <c r="AY601" s="1062">
        <f>'Rep Ovh Bal'!AX89</f>
        <v>749.1744</v>
      </c>
      <c r="AZ601" s="1068"/>
      <c r="BA601" s="1068"/>
      <c r="BB601" s="1068"/>
      <c r="BC601" s="1068"/>
      <c r="BD601" s="1068"/>
      <c r="BE601" s="1068"/>
      <c r="BF601" s="1065" t="str">
        <f>'Rep Ovh Bal'!BE89</f>
        <v/>
      </c>
      <c r="BG601" s="451" t="str">
        <f>'Rep Ovh Bal'!BH89</f>
        <v/>
      </c>
      <c r="BH601" s="451" t="str">
        <f>'Rep Ovh Bal'!BI89</f>
        <v/>
      </c>
      <c r="BI601" s="451" t="str">
        <f>'Rep Ovh Bal'!BJ89</f>
        <v/>
      </c>
      <c r="BJ601" s="451" t="str">
        <f>'Rep Ovh Bal'!BK89</f>
        <v/>
      </c>
      <c r="BK601" s="1062">
        <f>'Rep Ovh Bal'!AY89</f>
        <v>83907.5328</v>
      </c>
      <c r="BL601" s="1069">
        <f>'Rep Ovh Bal'!AY89</f>
        <v>83907.5328</v>
      </c>
      <c r="BM601" s="1068"/>
      <c r="BN601" s="1068"/>
      <c r="BO601" s="1068"/>
      <c r="BP601" s="451" t="str">
        <f>'Rep Ovh Bal'!BQ89</f>
        <v/>
      </c>
      <c r="BQ601" s="451" t="str">
        <f>'Rep Ovh Bal'!BR89</f>
        <v/>
      </c>
      <c r="BR601" s="451" t="str">
        <f>'Rep Ovh Bal'!BS89</f>
        <v/>
      </c>
      <c r="BS601" s="451" t="str">
        <f>'Rep Ovh Bal'!BT89</f>
        <v/>
      </c>
      <c r="BT601" s="451" t="str">
        <f>'Rep Ovh Bal'!BU89</f>
        <v/>
      </c>
      <c r="BU601" s="451" t="str">
        <f>'Rep Ovh Bal'!BV89</f>
        <v/>
      </c>
      <c r="BV601" s="451" t="str">
        <f>'Rep Ovh Bal'!BW89</f>
        <v/>
      </c>
      <c r="BW601" s="1062">
        <f>'Rep Ovh Bal'!AZ89</f>
        <v>176805.1584</v>
      </c>
      <c r="BX601" s="1069">
        <f>'Rep Ovh Bal'!AZ89</f>
        <v>176805.1584</v>
      </c>
      <c r="BY601" s="1068"/>
      <c r="BZ601" s="1068"/>
      <c r="CA601" s="451" t="str">
        <f>'Rep Ovh Bal'!CB89</f>
        <v/>
      </c>
      <c r="CB601" s="451" t="str">
        <f>'Rep Ovh Bal'!CC89</f>
        <v/>
      </c>
      <c r="CC601" s="451" t="str">
        <f>'Rep Ovh Bal'!CD89</f>
        <v/>
      </c>
      <c r="CD601" s="451" t="str">
        <f>'Rep Ovh Bal'!CE89</f>
        <v/>
      </c>
      <c r="CE601" s="451" t="str">
        <f>'Rep Ovh Bal'!CF89</f>
        <v/>
      </c>
      <c r="CF601" s="451" t="str">
        <f>'Rep Ovh Bal'!CG89</f>
        <v/>
      </c>
      <c r="CG601" s="451" t="str">
        <f>'Rep Ovh Bal'!CH89</f>
        <v/>
      </c>
      <c r="CH601" s="451" t="str">
        <f>'Rep Ovh Bal'!CI89</f>
        <v/>
      </c>
      <c r="CI601" s="1062">
        <f>'Rep Ovh Bal'!BA89</f>
        <v>167815.0656</v>
      </c>
      <c r="CJ601" s="1062">
        <f>'Rep Ovh Bal'!BA89</f>
        <v>167815.0656</v>
      </c>
      <c r="CK601" s="1062">
        <f>'Rep Ovh Bal'!BB89</f>
        <v>428527.7568</v>
      </c>
      <c r="CL601" s="1064" t="str">
        <f>'Rep Ovh Bal'!BC89</f>
        <v/>
      </c>
      <c r="CM601" s="451" t="str">
        <f>'Rep Ovh Bal'!CN89</f>
        <v/>
      </c>
      <c r="CN601" s="1065" t="str">
        <f>'Rep Ovh Bal'!BE85</f>
        <v/>
      </c>
      <c r="CO601" s="1062" t="str">
        <f>'Rep Ovh Bal'!BF85</f>
        <v/>
      </c>
      <c r="CP601" s="1060" t="str">
        <f>'Rep Ovh Bal'!BG85</f>
        <v/>
      </c>
    </row>
    <row r="602">
      <c r="A602" s="451" t="str">
        <f>'Rep Ovh Bal'!A90</f>
        <v>Repuestos mantenimientos mayores para estaciones y torres</v>
      </c>
      <c r="B602" s="451">
        <f>'Rep Ovh Bal'!B90</f>
        <v>2</v>
      </c>
      <c r="C602" s="451" t="str">
        <f>'Rep Ovh Bal'!C90</f>
        <v>Torres</v>
      </c>
      <c r="D602" s="451" t="str">
        <f>'Rep Ovh Bal'!D90</f>
        <v>OVH balancines TRM</v>
      </c>
      <c r="E602" s="451" t="str">
        <f>'Rep Ovh Bal'!E90</f>
        <v>Repuesto Mecánico</v>
      </c>
      <c r="F602" s="451" t="str">
        <f>'Rep Ovh Bal'!F90</f>
        <v>TDB</v>
      </c>
      <c r="G602" s="1061" t="str">
        <f>'Rep Ovh Bal'!G90</f>
        <v>39800</v>
      </c>
      <c r="H602" s="1061" t="str">
        <f>'Rep Ovh Bal'!H90</f>
        <v>2-01-00674</v>
      </c>
      <c r="I602" s="1061" t="str">
        <f>'Rep Ovh Bal'!I90</f>
        <v>11430348</v>
      </c>
      <c r="J602" s="1061" t="str">
        <f>'Rep Ovh Bal'!J90</f>
        <v>TUBO DIST. DIÁ 35/25 L=140, TUBO DIST. P. POLEA 420C</v>
      </c>
      <c r="K602" s="451" t="str">
        <f>'Rep Ovh Bal'!K90</f>
        <v>Pza</v>
      </c>
      <c r="L602" s="451">
        <f>'Rep Ovh Bal'!L90</f>
        <v>0</v>
      </c>
      <c r="M602" s="451">
        <f>'Rep Ovh Bal'!M90</f>
        <v>0</v>
      </c>
      <c r="N602" s="451">
        <f>'Rep Ovh Bal'!N90</f>
        <v>0</v>
      </c>
      <c r="O602" s="451">
        <f>'Rep Ovh Bal'!O90</f>
        <v>0</v>
      </c>
      <c r="P602" s="451">
        <f>'Rep Ovh Bal'!P90</f>
        <v>0</v>
      </c>
      <c r="Q602" s="451">
        <f>'Rep Ovh Bal'!Q90</f>
        <v>0</v>
      </c>
      <c r="R602" s="451">
        <f>'Rep Ovh Bal'!R90</f>
        <v>0</v>
      </c>
      <c r="S602" s="451">
        <f>'Rep Ovh Bal'!S90</f>
        <v>0</v>
      </c>
      <c r="T602" s="451">
        <f>'Rep Ovh Bal'!T90</f>
        <v>0</v>
      </c>
      <c r="U602" s="451">
        <f>'Rep Ovh Bal'!U90</f>
        <v>0</v>
      </c>
      <c r="V602" s="451">
        <f>'Rep Ovh Bal'!V90</f>
        <v>30</v>
      </c>
      <c r="W602" s="1062">
        <f>'Rep Ovh Bal'!W90</f>
        <v>30</v>
      </c>
      <c r="X602" s="451">
        <f>'Rep Ovh Bal'!X90</f>
        <v>0</v>
      </c>
      <c r="Y602" s="451">
        <f>'Rep Ovh Bal'!Y90</f>
        <v>0</v>
      </c>
      <c r="Z602" s="451">
        <f>'Rep Ovh Bal'!Z90</f>
        <v>0</v>
      </c>
      <c r="AA602" s="451">
        <f>'Rep Ovh Bal'!AA90</f>
        <v>0</v>
      </c>
      <c r="AB602" s="451">
        <f>'Rep Ovh Bal'!AB90</f>
        <v>0</v>
      </c>
      <c r="AC602" s="451">
        <f>'Rep Ovh Bal'!AC90</f>
        <v>0</v>
      </c>
      <c r="AD602" s="451">
        <f>'Rep Ovh Bal'!AD90</f>
        <v>0</v>
      </c>
      <c r="AE602" s="451">
        <f>'Rep Ovh Bal'!AE90</f>
        <v>0</v>
      </c>
      <c r="AF602" s="451">
        <f>'Rep Ovh Bal'!AF90</f>
        <v>0</v>
      </c>
      <c r="AG602" s="451">
        <f>'Rep Ovh Bal'!AG90</f>
        <v>0</v>
      </c>
      <c r="AH602" s="451">
        <f>'Rep Ovh Bal'!AH90</f>
        <v>0</v>
      </c>
      <c r="AI602" s="1062">
        <f>'Rep Ovh Bal'!AI90</f>
        <v>0</v>
      </c>
      <c r="AJ602" s="451">
        <f>'Rep Ovh Bal'!AJ90</f>
        <v>0</v>
      </c>
      <c r="AK602" s="451">
        <f>'Rep Ovh Bal'!AK90</f>
        <v>0</v>
      </c>
      <c r="AL602" s="451">
        <f>'Rep Ovh Bal'!AL90</f>
        <v>0</v>
      </c>
      <c r="AM602" s="451">
        <f>'Rep Ovh Bal'!AM90</f>
        <v>0</v>
      </c>
      <c r="AN602" s="451">
        <f>'Rep Ovh Bal'!AN90</f>
        <v>0</v>
      </c>
      <c r="AO602" s="451">
        <f>'Rep Ovh Bal'!AO90</f>
        <v>0</v>
      </c>
      <c r="AP602" s="451">
        <f>'Rep Ovh Bal'!AP90</f>
        <v>0</v>
      </c>
      <c r="AQ602" s="451">
        <f>'Rep Ovh Bal'!AQ90</f>
        <v>0</v>
      </c>
      <c r="AR602" s="451">
        <f>'Rep Ovh Bal'!AR90</f>
        <v>0</v>
      </c>
      <c r="AS602" s="451">
        <f>'Rep Ovh Bal'!AS90</f>
        <v>0</v>
      </c>
      <c r="AT602" s="451">
        <f>'Rep Ovh Bal'!AT90</f>
        <v>0</v>
      </c>
      <c r="AU602" s="1062">
        <f>'Rep Ovh Bal'!AU90</f>
        <v>0</v>
      </c>
      <c r="AV602" s="1063">
        <f>'Rep Ovh Bal'!AV90</f>
        <v>30</v>
      </c>
      <c r="AW602" s="1068"/>
      <c r="AX602" s="1065">
        <f>'Rep Ovh Bal'!AW90</f>
        <v>50.92</v>
      </c>
      <c r="AY602" s="1062">
        <f>'Rep Ovh Bal'!AX90</f>
        <v>354.4032</v>
      </c>
      <c r="AZ602" s="1068"/>
      <c r="BA602" s="1068"/>
      <c r="BB602" s="1068"/>
      <c r="BC602" s="1068"/>
      <c r="BD602" s="1068"/>
      <c r="BE602" s="1068"/>
      <c r="BF602" s="1065" t="str">
        <f>'Rep Ovh Bal'!BE90</f>
        <v/>
      </c>
      <c r="BG602" s="451" t="str">
        <f>'Rep Ovh Bal'!BH90</f>
        <v/>
      </c>
      <c r="BH602" s="451" t="str">
        <f>'Rep Ovh Bal'!BI90</f>
        <v/>
      </c>
      <c r="BI602" s="451" t="str">
        <f>'Rep Ovh Bal'!BJ90</f>
        <v/>
      </c>
      <c r="BJ602" s="451" t="str">
        <f>'Rep Ovh Bal'!BK90</f>
        <v/>
      </c>
      <c r="BK602" s="1062">
        <f>'Rep Ovh Bal'!AY90</f>
        <v>10632.096</v>
      </c>
      <c r="BL602" s="1069">
        <f>'Rep Ovh Bal'!AY90</f>
        <v>10632.096</v>
      </c>
      <c r="BM602" s="1068"/>
      <c r="BN602" s="1068"/>
      <c r="BO602" s="1068"/>
      <c r="BP602" s="451" t="str">
        <f>'Rep Ovh Bal'!BQ90</f>
        <v/>
      </c>
      <c r="BQ602" s="451" t="str">
        <f>'Rep Ovh Bal'!BR90</f>
        <v/>
      </c>
      <c r="BR602" s="451" t="str">
        <f>'Rep Ovh Bal'!BS90</f>
        <v/>
      </c>
      <c r="BS602" s="451" t="str">
        <f>'Rep Ovh Bal'!BT90</f>
        <v/>
      </c>
      <c r="BT602" s="451" t="str">
        <f>'Rep Ovh Bal'!BU90</f>
        <v/>
      </c>
      <c r="BU602" s="451" t="str">
        <f>'Rep Ovh Bal'!BV90</f>
        <v/>
      </c>
      <c r="BV602" s="451" t="str">
        <f>'Rep Ovh Bal'!BW90</f>
        <v/>
      </c>
      <c r="BW602" s="1062">
        <f>'Rep Ovh Bal'!AZ90</f>
        <v>0</v>
      </c>
      <c r="BX602" s="1069">
        <f>'Rep Ovh Bal'!AZ90</f>
        <v>0</v>
      </c>
      <c r="BY602" s="1068"/>
      <c r="BZ602" s="1068"/>
      <c r="CA602" s="451" t="str">
        <f>'Rep Ovh Bal'!CB90</f>
        <v/>
      </c>
      <c r="CB602" s="451" t="str">
        <f>'Rep Ovh Bal'!CC90</f>
        <v/>
      </c>
      <c r="CC602" s="451" t="str">
        <f>'Rep Ovh Bal'!CD90</f>
        <v/>
      </c>
      <c r="CD602" s="451" t="str">
        <f>'Rep Ovh Bal'!CE90</f>
        <v/>
      </c>
      <c r="CE602" s="451" t="str">
        <f>'Rep Ovh Bal'!CF90</f>
        <v/>
      </c>
      <c r="CF602" s="451" t="str">
        <f>'Rep Ovh Bal'!CG90</f>
        <v/>
      </c>
      <c r="CG602" s="451" t="str">
        <f>'Rep Ovh Bal'!CH90</f>
        <v/>
      </c>
      <c r="CH602" s="451" t="str">
        <f>'Rep Ovh Bal'!CI90</f>
        <v/>
      </c>
      <c r="CI602" s="1062">
        <f>'Rep Ovh Bal'!BA90</f>
        <v>0</v>
      </c>
      <c r="CJ602" s="1062">
        <f>'Rep Ovh Bal'!BA90</f>
        <v>0</v>
      </c>
      <c r="CK602" s="1062">
        <f>'Rep Ovh Bal'!BB90</f>
        <v>10632.096</v>
      </c>
      <c r="CL602" s="1064" t="str">
        <f>'Rep Ovh Bal'!BC90</f>
        <v/>
      </c>
      <c r="CM602" s="451" t="str">
        <f>'Rep Ovh Bal'!CN90</f>
        <v/>
      </c>
      <c r="CN602" s="1065" t="str">
        <f>'Rep Ovh Bal'!BE86</f>
        <v/>
      </c>
      <c r="CO602" s="1062" t="str">
        <f>'Rep Ovh Bal'!BF86</f>
        <v/>
      </c>
      <c r="CP602" s="1060" t="str">
        <f>'Rep Ovh Bal'!BG86</f>
        <v/>
      </c>
    </row>
    <row r="603">
      <c r="A603" s="451" t="str">
        <f>'Rep Ovh Bal'!A91</f>
        <v>Repuestos mantenimientos mayores para estaciones y torres</v>
      </c>
      <c r="B603" s="451">
        <f>'Rep Ovh Bal'!B91</f>
        <v>2</v>
      </c>
      <c r="C603" s="451" t="str">
        <f>'Rep Ovh Bal'!C91</f>
        <v>Torres</v>
      </c>
      <c r="D603" s="451" t="str">
        <f>'Rep Ovh Bal'!D91</f>
        <v>OVH balancines TRM</v>
      </c>
      <c r="E603" s="451" t="str">
        <f>'Rep Ovh Bal'!E91</f>
        <v>Repuesto Mecánico</v>
      </c>
      <c r="F603" s="451" t="str">
        <f>'Rep Ovh Bal'!F91</f>
        <v>TDB</v>
      </c>
      <c r="G603" s="1061" t="str">
        <f>'Rep Ovh Bal'!G91</f>
        <v>39800</v>
      </c>
      <c r="H603" s="1061" t="str">
        <f>'Rep Ovh Bal'!H91</f>
        <v>2-01-00497</v>
      </c>
      <c r="I603" s="1061" t="str">
        <f>'Rep Ovh Bal'!I91</f>
        <v>11430350</v>
      </c>
      <c r="J603" s="1061" t="str">
        <f>'Rep Ovh Bal'!J91</f>
        <v>TUBO DISTANCIADOR DIÁ.55/40,2 L=220</v>
      </c>
      <c r="K603" s="451" t="str">
        <f>'Rep Ovh Bal'!K91</f>
        <v>Pza</v>
      </c>
      <c r="L603" s="451">
        <f>'Rep Ovh Bal'!L91</f>
        <v>0</v>
      </c>
      <c r="M603" s="451">
        <f>'Rep Ovh Bal'!M91</f>
        <v>0</v>
      </c>
      <c r="N603" s="451">
        <f>'Rep Ovh Bal'!N91</f>
        <v>0</v>
      </c>
      <c r="O603" s="451">
        <f>'Rep Ovh Bal'!O91</f>
        <v>0</v>
      </c>
      <c r="P603" s="451">
        <f>'Rep Ovh Bal'!P91</f>
        <v>0</v>
      </c>
      <c r="Q603" s="451">
        <f>'Rep Ovh Bal'!Q91</f>
        <v>0</v>
      </c>
      <c r="R603" s="451">
        <f>'Rep Ovh Bal'!R91</f>
        <v>0</v>
      </c>
      <c r="S603" s="451">
        <f>'Rep Ovh Bal'!S91</f>
        <v>0</v>
      </c>
      <c r="T603" s="451">
        <f>'Rep Ovh Bal'!T91</f>
        <v>0</v>
      </c>
      <c r="U603" s="451">
        <f>'Rep Ovh Bal'!U91</f>
        <v>0</v>
      </c>
      <c r="V603" s="451">
        <f>'Rep Ovh Bal'!V91</f>
        <v>216</v>
      </c>
      <c r="W603" s="1062">
        <f>'Rep Ovh Bal'!W91</f>
        <v>216</v>
      </c>
      <c r="X603" s="451">
        <f>'Rep Ovh Bal'!X91</f>
        <v>0</v>
      </c>
      <c r="Y603" s="451">
        <f>'Rep Ovh Bal'!Y91</f>
        <v>0</v>
      </c>
      <c r="Z603" s="451">
        <f>'Rep Ovh Bal'!Z91</f>
        <v>0</v>
      </c>
      <c r="AA603" s="451">
        <f>'Rep Ovh Bal'!AA91</f>
        <v>0</v>
      </c>
      <c r="AB603" s="451">
        <f>'Rep Ovh Bal'!AB91</f>
        <v>0</v>
      </c>
      <c r="AC603" s="451">
        <f>'Rep Ovh Bal'!AC91</f>
        <v>0</v>
      </c>
      <c r="AD603" s="451">
        <f>'Rep Ovh Bal'!AD91</f>
        <v>0</v>
      </c>
      <c r="AE603" s="451">
        <f>'Rep Ovh Bal'!AE91</f>
        <v>0</v>
      </c>
      <c r="AF603" s="451">
        <f>'Rep Ovh Bal'!AF91</f>
        <v>0</v>
      </c>
      <c r="AG603" s="451">
        <f>'Rep Ovh Bal'!AG91</f>
        <v>0</v>
      </c>
      <c r="AH603" s="451">
        <f>'Rep Ovh Bal'!AH91</f>
        <v>48</v>
      </c>
      <c r="AI603" s="1062">
        <f>'Rep Ovh Bal'!AI91</f>
        <v>48</v>
      </c>
      <c r="AJ603" s="451">
        <f>'Rep Ovh Bal'!AJ91</f>
        <v>0</v>
      </c>
      <c r="AK603" s="451">
        <f>'Rep Ovh Bal'!AK91</f>
        <v>0</v>
      </c>
      <c r="AL603" s="451">
        <f>'Rep Ovh Bal'!AL91</f>
        <v>0</v>
      </c>
      <c r="AM603" s="451">
        <f>'Rep Ovh Bal'!AM91</f>
        <v>0</v>
      </c>
      <c r="AN603" s="451">
        <f>'Rep Ovh Bal'!AN91</f>
        <v>0</v>
      </c>
      <c r="AO603" s="451">
        <f>'Rep Ovh Bal'!AO91</f>
        <v>0</v>
      </c>
      <c r="AP603" s="451">
        <f>'Rep Ovh Bal'!AP91</f>
        <v>0</v>
      </c>
      <c r="AQ603" s="451">
        <f>'Rep Ovh Bal'!AQ91</f>
        <v>0</v>
      </c>
      <c r="AR603" s="451">
        <f>'Rep Ovh Bal'!AR91</f>
        <v>0</v>
      </c>
      <c r="AS603" s="451">
        <f>'Rep Ovh Bal'!AS91</f>
        <v>0</v>
      </c>
      <c r="AT603" s="451">
        <f>'Rep Ovh Bal'!AT91</f>
        <v>140</v>
      </c>
      <c r="AU603" s="1062">
        <f>'Rep Ovh Bal'!AU91</f>
        <v>140</v>
      </c>
      <c r="AV603" s="1063">
        <f>'Rep Ovh Bal'!AV91</f>
        <v>404</v>
      </c>
      <c r="AW603" s="1068"/>
      <c r="AX603" s="1065">
        <f>'Rep Ovh Bal'!AW91</f>
        <v>115.48</v>
      </c>
      <c r="AY603" s="1062">
        <f>'Rep Ovh Bal'!AX91</f>
        <v>803.7408</v>
      </c>
      <c r="AZ603" s="1068"/>
      <c r="BA603" s="1068"/>
      <c r="BB603" s="1068"/>
      <c r="BC603" s="1068"/>
      <c r="BD603" s="1068"/>
      <c r="BE603" s="1068"/>
      <c r="BF603" s="1065" t="str">
        <f>'Rep Ovh Bal'!BE91</f>
        <v/>
      </c>
      <c r="BG603" s="451" t="str">
        <f>'Rep Ovh Bal'!BH91</f>
        <v/>
      </c>
      <c r="BH603" s="451" t="str">
        <f>'Rep Ovh Bal'!BI91</f>
        <v/>
      </c>
      <c r="BI603" s="451" t="str">
        <f>'Rep Ovh Bal'!BJ91</f>
        <v/>
      </c>
      <c r="BJ603" s="451" t="str">
        <f>'Rep Ovh Bal'!BK91</f>
        <v/>
      </c>
      <c r="BK603" s="1062">
        <f>'Rep Ovh Bal'!AY91</f>
        <v>173608.0128</v>
      </c>
      <c r="BL603" s="1069">
        <f>'Rep Ovh Bal'!AY91</f>
        <v>173608.0128</v>
      </c>
      <c r="BM603" s="1068"/>
      <c r="BN603" s="1068"/>
      <c r="BO603" s="1068"/>
      <c r="BP603" s="451" t="str">
        <f>'Rep Ovh Bal'!BQ91</f>
        <v/>
      </c>
      <c r="BQ603" s="451" t="str">
        <f>'Rep Ovh Bal'!BR91</f>
        <v/>
      </c>
      <c r="BR603" s="451" t="str">
        <f>'Rep Ovh Bal'!BS91</f>
        <v/>
      </c>
      <c r="BS603" s="451" t="str">
        <f>'Rep Ovh Bal'!BT91</f>
        <v/>
      </c>
      <c r="BT603" s="451" t="str">
        <f>'Rep Ovh Bal'!BU91</f>
        <v/>
      </c>
      <c r="BU603" s="451" t="str">
        <f>'Rep Ovh Bal'!BV91</f>
        <v/>
      </c>
      <c r="BV603" s="451" t="str">
        <f>'Rep Ovh Bal'!BW91</f>
        <v/>
      </c>
      <c r="BW603" s="1062">
        <f>'Rep Ovh Bal'!AZ91</f>
        <v>38579.5584</v>
      </c>
      <c r="BX603" s="1069">
        <f>'Rep Ovh Bal'!AZ91</f>
        <v>38579.5584</v>
      </c>
      <c r="BY603" s="1068"/>
      <c r="BZ603" s="1068"/>
      <c r="CA603" s="451" t="str">
        <f>'Rep Ovh Bal'!CB91</f>
        <v/>
      </c>
      <c r="CB603" s="451" t="str">
        <f>'Rep Ovh Bal'!CC91</f>
        <v/>
      </c>
      <c r="CC603" s="451" t="str">
        <f>'Rep Ovh Bal'!CD91</f>
        <v/>
      </c>
      <c r="CD603" s="451" t="str">
        <f>'Rep Ovh Bal'!CE91</f>
        <v/>
      </c>
      <c r="CE603" s="451" t="str">
        <f>'Rep Ovh Bal'!CF91</f>
        <v/>
      </c>
      <c r="CF603" s="451" t="str">
        <f>'Rep Ovh Bal'!CG91</f>
        <v/>
      </c>
      <c r="CG603" s="451" t="str">
        <f>'Rep Ovh Bal'!CH91</f>
        <v/>
      </c>
      <c r="CH603" s="451" t="str">
        <f>'Rep Ovh Bal'!CI91</f>
        <v/>
      </c>
      <c r="CI603" s="1062">
        <f>'Rep Ovh Bal'!BA91</f>
        <v>112523.712</v>
      </c>
      <c r="CJ603" s="1062">
        <f>'Rep Ovh Bal'!BA91</f>
        <v>112523.712</v>
      </c>
      <c r="CK603" s="1062">
        <f>'Rep Ovh Bal'!BB91</f>
        <v>324711.2832</v>
      </c>
      <c r="CL603" s="1064" t="str">
        <f>'Rep Ovh Bal'!BC91</f>
        <v/>
      </c>
      <c r="CM603" s="451" t="str">
        <f>'Rep Ovh Bal'!CN91</f>
        <v/>
      </c>
      <c r="CN603" s="1065" t="str">
        <f>'Rep Ovh Bal'!BE87</f>
        <v/>
      </c>
      <c r="CO603" s="1062" t="str">
        <f>'Rep Ovh Bal'!BF87</f>
        <v/>
      </c>
      <c r="CP603" s="1060" t="str">
        <f>'Rep Ovh Bal'!BG87</f>
        <v/>
      </c>
    </row>
    <row r="604">
      <c r="A604" s="451" t="str">
        <f>'Rep Ovh Bal'!A92</f>
        <v>Repuestos mantenimientos mayores para estaciones y torres</v>
      </c>
      <c r="B604" s="451">
        <f>'Rep Ovh Bal'!B92</f>
        <v>2</v>
      </c>
      <c r="C604" s="451" t="str">
        <f>'Rep Ovh Bal'!C92</f>
        <v>Torres</v>
      </c>
      <c r="D604" s="451" t="str">
        <f>'Rep Ovh Bal'!D92</f>
        <v>OVH balancines TRM</v>
      </c>
      <c r="E604" s="451" t="str">
        <f>'Rep Ovh Bal'!E92</f>
        <v>Repuesto Mecánico</v>
      </c>
      <c r="F604" s="451" t="str">
        <f>'Rep Ovh Bal'!F92</f>
        <v>TDB</v>
      </c>
      <c r="G604" s="1061" t="str">
        <f>'Rep Ovh Bal'!G92</f>
        <v>39800</v>
      </c>
      <c r="H604" s="1061" t="str">
        <f>'Rep Ovh Bal'!H92</f>
        <v>2-01-00571</v>
      </c>
      <c r="I604" s="1061" t="str">
        <f>'Rep Ovh Bal'!I92</f>
        <v>11430351</v>
      </c>
      <c r="J604" s="1061" t="str">
        <f>'Rep Ovh Bal'!J92</f>
        <v>CASQUILLO DIST. DIÁ50/30 L=160</v>
      </c>
      <c r="K604" s="451" t="str">
        <f>'Rep Ovh Bal'!K92</f>
        <v>Pza</v>
      </c>
      <c r="L604" s="451">
        <f>'Rep Ovh Bal'!L92</f>
        <v>0</v>
      </c>
      <c r="M604" s="451">
        <f>'Rep Ovh Bal'!M92</f>
        <v>0</v>
      </c>
      <c r="N604" s="451">
        <f>'Rep Ovh Bal'!N92</f>
        <v>0</v>
      </c>
      <c r="O604" s="451">
        <f>'Rep Ovh Bal'!O92</f>
        <v>0</v>
      </c>
      <c r="P604" s="451">
        <f>'Rep Ovh Bal'!P92</f>
        <v>0</v>
      </c>
      <c r="Q604" s="451">
        <f>'Rep Ovh Bal'!Q92</f>
        <v>0</v>
      </c>
      <c r="R604" s="451">
        <f>'Rep Ovh Bal'!R92</f>
        <v>0</v>
      </c>
      <c r="S604" s="451">
        <f>'Rep Ovh Bal'!S92</f>
        <v>0</v>
      </c>
      <c r="T604" s="451">
        <f>'Rep Ovh Bal'!T92</f>
        <v>0</v>
      </c>
      <c r="U604" s="451">
        <f>'Rep Ovh Bal'!U92</f>
        <v>0</v>
      </c>
      <c r="V604" s="451">
        <f>'Rep Ovh Bal'!V92</f>
        <v>40</v>
      </c>
      <c r="W604" s="1062">
        <f>'Rep Ovh Bal'!W92</f>
        <v>40</v>
      </c>
      <c r="X604" s="451">
        <f>'Rep Ovh Bal'!X92</f>
        <v>0</v>
      </c>
      <c r="Y604" s="451">
        <f>'Rep Ovh Bal'!Y92</f>
        <v>0</v>
      </c>
      <c r="Z604" s="451">
        <f>'Rep Ovh Bal'!Z92</f>
        <v>0</v>
      </c>
      <c r="AA604" s="451">
        <f>'Rep Ovh Bal'!AA92</f>
        <v>0</v>
      </c>
      <c r="AB604" s="451">
        <f>'Rep Ovh Bal'!AB92</f>
        <v>0</v>
      </c>
      <c r="AC604" s="451">
        <f>'Rep Ovh Bal'!AC92</f>
        <v>0</v>
      </c>
      <c r="AD604" s="451">
        <f>'Rep Ovh Bal'!AD92</f>
        <v>0</v>
      </c>
      <c r="AE604" s="451">
        <f>'Rep Ovh Bal'!AE92</f>
        <v>0</v>
      </c>
      <c r="AF604" s="451">
        <f>'Rep Ovh Bal'!AF92</f>
        <v>0</v>
      </c>
      <c r="AG604" s="451">
        <f>'Rep Ovh Bal'!AG92</f>
        <v>0</v>
      </c>
      <c r="AH604" s="451">
        <f>'Rep Ovh Bal'!AH92</f>
        <v>60</v>
      </c>
      <c r="AI604" s="1062">
        <f>'Rep Ovh Bal'!AI92</f>
        <v>60</v>
      </c>
      <c r="AJ604" s="451">
        <f>'Rep Ovh Bal'!AJ92</f>
        <v>0</v>
      </c>
      <c r="AK604" s="451">
        <f>'Rep Ovh Bal'!AK92</f>
        <v>0</v>
      </c>
      <c r="AL604" s="451">
        <f>'Rep Ovh Bal'!AL92</f>
        <v>0</v>
      </c>
      <c r="AM604" s="451">
        <f>'Rep Ovh Bal'!AM92</f>
        <v>0</v>
      </c>
      <c r="AN604" s="451">
        <f>'Rep Ovh Bal'!AN92</f>
        <v>0</v>
      </c>
      <c r="AO604" s="451">
        <f>'Rep Ovh Bal'!AO92</f>
        <v>0</v>
      </c>
      <c r="AP604" s="451">
        <f>'Rep Ovh Bal'!AP92</f>
        <v>0</v>
      </c>
      <c r="AQ604" s="451">
        <f>'Rep Ovh Bal'!AQ92</f>
        <v>0</v>
      </c>
      <c r="AR604" s="451">
        <f>'Rep Ovh Bal'!AR92</f>
        <v>0</v>
      </c>
      <c r="AS604" s="451">
        <f>'Rep Ovh Bal'!AS92</f>
        <v>0</v>
      </c>
      <c r="AT604" s="451">
        <f>'Rep Ovh Bal'!AT92</f>
        <v>42</v>
      </c>
      <c r="AU604" s="1062">
        <f>'Rep Ovh Bal'!AU92</f>
        <v>42</v>
      </c>
      <c r="AV604" s="1063">
        <f>'Rep Ovh Bal'!AV92</f>
        <v>142</v>
      </c>
      <c r="AW604" s="1068"/>
      <c r="AX604" s="1065">
        <f>'Rep Ovh Bal'!AW92</f>
        <v>79.33</v>
      </c>
      <c r="AY604" s="1062">
        <f>'Rep Ovh Bal'!AX92</f>
        <v>552.1368</v>
      </c>
      <c r="AZ604" s="1068"/>
      <c r="BA604" s="1068"/>
      <c r="BB604" s="1068"/>
      <c r="BC604" s="1068"/>
      <c r="BD604" s="1068"/>
      <c r="BE604" s="1068"/>
      <c r="BF604" s="1065" t="str">
        <f>'Rep Ovh Bal'!BE92</f>
        <v/>
      </c>
      <c r="BG604" s="451" t="str">
        <f>'Rep Ovh Bal'!BH92</f>
        <v/>
      </c>
      <c r="BH604" s="451" t="str">
        <f>'Rep Ovh Bal'!BI92</f>
        <v/>
      </c>
      <c r="BI604" s="451" t="str">
        <f>'Rep Ovh Bal'!BJ92</f>
        <v/>
      </c>
      <c r="BJ604" s="451" t="str">
        <f>'Rep Ovh Bal'!BK92</f>
        <v/>
      </c>
      <c r="BK604" s="1062">
        <f>'Rep Ovh Bal'!AY92</f>
        <v>22085.472</v>
      </c>
      <c r="BL604" s="1069">
        <f>'Rep Ovh Bal'!AY92</f>
        <v>22085.472</v>
      </c>
      <c r="BM604" s="1068"/>
      <c r="BN604" s="1068"/>
      <c r="BO604" s="1068"/>
      <c r="BP604" s="451" t="str">
        <f>'Rep Ovh Bal'!BQ92</f>
        <v/>
      </c>
      <c r="BQ604" s="451" t="str">
        <f>'Rep Ovh Bal'!BR92</f>
        <v/>
      </c>
      <c r="BR604" s="451" t="str">
        <f>'Rep Ovh Bal'!BS92</f>
        <v/>
      </c>
      <c r="BS604" s="451" t="str">
        <f>'Rep Ovh Bal'!BT92</f>
        <v/>
      </c>
      <c r="BT604" s="451" t="str">
        <f>'Rep Ovh Bal'!BU92</f>
        <v/>
      </c>
      <c r="BU604" s="451" t="str">
        <f>'Rep Ovh Bal'!BV92</f>
        <v/>
      </c>
      <c r="BV604" s="451" t="str">
        <f>'Rep Ovh Bal'!BW92</f>
        <v/>
      </c>
      <c r="BW604" s="1062">
        <f>'Rep Ovh Bal'!AZ92</f>
        <v>33128.208</v>
      </c>
      <c r="BX604" s="1069">
        <f>'Rep Ovh Bal'!AZ92</f>
        <v>33128.208</v>
      </c>
      <c r="BY604" s="1068"/>
      <c r="BZ604" s="1068"/>
      <c r="CA604" s="451" t="str">
        <f>'Rep Ovh Bal'!CB92</f>
        <v/>
      </c>
      <c r="CB604" s="451" t="str">
        <f>'Rep Ovh Bal'!CC92</f>
        <v/>
      </c>
      <c r="CC604" s="451" t="str">
        <f>'Rep Ovh Bal'!CD92</f>
        <v/>
      </c>
      <c r="CD604" s="451" t="str">
        <f>'Rep Ovh Bal'!CE92</f>
        <v/>
      </c>
      <c r="CE604" s="451" t="str">
        <f>'Rep Ovh Bal'!CF92</f>
        <v/>
      </c>
      <c r="CF604" s="451" t="str">
        <f>'Rep Ovh Bal'!CG92</f>
        <v/>
      </c>
      <c r="CG604" s="451" t="str">
        <f>'Rep Ovh Bal'!CH92</f>
        <v/>
      </c>
      <c r="CH604" s="451" t="str">
        <f>'Rep Ovh Bal'!CI92</f>
        <v/>
      </c>
      <c r="CI604" s="1062">
        <f>'Rep Ovh Bal'!BA92</f>
        <v>23189.7456</v>
      </c>
      <c r="CJ604" s="1062">
        <f>'Rep Ovh Bal'!BA92</f>
        <v>23189.7456</v>
      </c>
      <c r="CK604" s="1062">
        <f>'Rep Ovh Bal'!BB92</f>
        <v>78403.4256</v>
      </c>
      <c r="CL604" s="1064" t="str">
        <f>'Rep Ovh Bal'!BC92</f>
        <v/>
      </c>
      <c r="CM604" s="451" t="str">
        <f>'Rep Ovh Bal'!CN92</f>
        <v/>
      </c>
      <c r="CN604" s="1065" t="str">
        <f>'Rep Ovh Bal'!BE88</f>
        <v/>
      </c>
      <c r="CO604" s="1062" t="str">
        <f>'Rep Ovh Bal'!BF88</f>
        <v/>
      </c>
      <c r="CP604" s="1060" t="str">
        <f>'Rep Ovh Bal'!BG88</f>
        <v/>
      </c>
    </row>
    <row r="605">
      <c r="A605" s="451" t="str">
        <f>'Rep Ovh Bal'!A93</f>
        <v>Repuestos mantenimientos mayores para estaciones y torres</v>
      </c>
      <c r="B605" s="451">
        <f>'Rep Ovh Bal'!B93</f>
        <v>2</v>
      </c>
      <c r="C605" s="451" t="str">
        <f>'Rep Ovh Bal'!C93</f>
        <v>Torres</v>
      </c>
      <c r="D605" s="451" t="str">
        <f>'Rep Ovh Bal'!D93</f>
        <v>OVH balancines TRM</v>
      </c>
      <c r="E605" s="451" t="str">
        <f>'Rep Ovh Bal'!E93</f>
        <v>Repuesto Mecánico</v>
      </c>
      <c r="F605" s="451" t="str">
        <f>'Rep Ovh Bal'!F93</f>
        <v>TDB</v>
      </c>
      <c r="G605" s="1061" t="str">
        <f>'Rep Ovh Bal'!G93</f>
        <v>39800</v>
      </c>
      <c r="H605" s="1061" t="str">
        <f>'Rep Ovh Bal'!H93</f>
        <v/>
      </c>
      <c r="I605" s="1061" t="str">
        <f>'Rep Ovh Bal'!I93</f>
        <v>11446176</v>
      </c>
      <c r="J605" s="1061" t="str">
        <f>'Rep Ovh Bal'!J93</f>
        <v>SOPORTE DE EJE P. DIÁ 55 Y DIÁ 75 AJUSTABLE PROT.CONTRA TORS.</v>
      </c>
      <c r="K605" s="451" t="str">
        <f>'Rep Ovh Bal'!K93</f>
        <v>Pza</v>
      </c>
      <c r="L605" s="451">
        <f>'Rep Ovh Bal'!L93</f>
        <v>0</v>
      </c>
      <c r="M605" s="451">
        <f>'Rep Ovh Bal'!M93</f>
        <v>0</v>
      </c>
      <c r="N605" s="451">
        <f>'Rep Ovh Bal'!N93</f>
        <v>0</v>
      </c>
      <c r="O605" s="451">
        <f>'Rep Ovh Bal'!O93</f>
        <v>0</v>
      </c>
      <c r="P605" s="451">
        <f>'Rep Ovh Bal'!P93</f>
        <v>0</v>
      </c>
      <c r="Q605" s="451">
        <f>'Rep Ovh Bal'!Q93</f>
        <v>0</v>
      </c>
      <c r="R605" s="451">
        <f>'Rep Ovh Bal'!R93</f>
        <v>0</v>
      </c>
      <c r="S605" s="451">
        <f>'Rep Ovh Bal'!S93</f>
        <v>0</v>
      </c>
      <c r="T605" s="451">
        <f>'Rep Ovh Bal'!T93</f>
        <v>0</v>
      </c>
      <c r="U605" s="451">
        <f>'Rep Ovh Bal'!U93</f>
        <v>0</v>
      </c>
      <c r="V605" s="451">
        <f>'Rep Ovh Bal'!V93</f>
        <v>80</v>
      </c>
      <c r="W605" s="1062">
        <f>'Rep Ovh Bal'!W93</f>
        <v>80</v>
      </c>
      <c r="X605" s="451">
        <f>'Rep Ovh Bal'!X93</f>
        <v>0</v>
      </c>
      <c r="Y605" s="451">
        <f>'Rep Ovh Bal'!Y93</f>
        <v>0</v>
      </c>
      <c r="Z605" s="451">
        <f>'Rep Ovh Bal'!Z93</f>
        <v>0</v>
      </c>
      <c r="AA605" s="451">
        <f>'Rep Ovh Bal'!AA93</f>
        <v>0</v>
      </c>
      <c r="AB605" s="451">
        <f>'Rep Ovh Bal'!AB93</f>
        <v>0</v>
      </c>
      <c r="AC605" s="451">
        <f>'Rep Ovh Bal'!AC93</f>
        <v>0</v>
      </c>
      <c r="AD605" s="451">
        <f>'Rep Ovh Bal'!AD93</f>
        <v>0</v>
      </c>
      <c r="AE605" s="451">
        <f>'Rep Ovh Bal'!AE93</f>
        <v>0</v>
      </c>
      <c r="AF605" s="451">
        <f>'Rep Ovh Bal'!AF93</f>
        <v>0</v>
      </c>
      <c r="AG605" s="451">
        <f>'Rep Ovh Bal'!AG93</f>
        <v>0</v>
      </c>
      <c r="AH605" s="451">
        <f>'Rep Ovh Bal'!AH93</f>
        <v>0</v>
      </c>
      <c r="AI605" s="1062">
        <f>'Rep Ovh Bal'!AI93</f>
        <v>0</v>
      </c>
      <c r="AJ605" s="451">
        <f>'Rep Ovh Bal'!AJ93</f>
        <v>0</v>
      </c>
      <c r="AK605" s="451">
        <f>'Rep Ovh Bal'!AK93</f>
        <v>0</v>
      </c>
      <c r="AL605" s="451">
        <f>'Rep Ovh Bal'!AL93</f>
        <v>0</v>
      </c>
      <c r="AM605" s="451">
        <f>'Rep Ovh Bal'!AM93</f>
        <v>0</v>
      </c>
      <c r="AN605" s="451">
        <f>'Rep Ovh Bal'!AN93</f>
        <v>0</v>
      </c>
      <c r="AO605" s="451">
        <f>'Rep Ovh Bal'!AO93</f>
        <v>0</v>
      </c>
      <c r="AP605" s="451">
        <f>'Rep Ovh Bal'!AP93</f>
        <v>0</v>
      </c>
      <c r="AQ605" s="451">
        <f>'Rep Ovh Bal'!AQ93</f>
        <v>0</v>
      </c>
      <c r="AR605" s="451">
        <f>'Rep Ovh Bal'!AR93</f>
        <v>0</v>
      </c>
      <c r="AS605" s="451">
        <f>'Rep Ovh Bal'!AS93</f>
        <v>0</v>
      </c>
      <c r="AT605" s="451">
        <f>'Rep Ovh Bal'!AT93</f>
        <v>0</v>
      </c>
      <c r="AU605" s="1062">
        <f>'Rep Ovh Bal'!AU93</f>
        <v>0</v>
      </c>
      <c r="AV605" s="1063">
        <f>'Rep Ovh Bal'!AV93</f>
        <v>80</v>
      </c>
      <c r="AW605" s="1068"/>
      <c r="AX605" s="1065">
        <f>'Rep Ovh Bal'!AW93</f>
        <v>22.8</v>
      </c>
      <c r="AY605" s="1062">
        <f>'Rep Ovh Bal'!AX93</f>
        <v>158.688</v>
      </c>
      <c r="AZ605" s="1068"/>
      <c r="BA605" s="1068"/>
      <c r="BB605" s="1068"/>
      <c r="BC605" s="1068"/>
      <c r="BD605" s="1068"/>
      <c r="BE605" s="1068"/>
      <c r="BF605" s="1065" t="str">
        <f>'Rep Ovh Bal'!BE93</f>
        <v/>
      </c>
      <c r="BG605" s="451" t="str">
        <f>'Rep Ovh Bal'!BH93</f>
        <v/>
      </c>
      <c r="BH605" s="451" t="str">
        <f>'Rep Ovh Bal'!BI93</f>
        <v/>
      </c>
      <c r="BI605" s="451" t="str">
        <f>'Rep Ovh Bal'!BJ93</f>
        <v/>
      </c>
      <c r="BJ605" s="451" t="str">
        <f>'Rep Ovh Bal'!BK93</f>
        <v/>
      </c>
      <c r="BK605" s="1062">
        <f>'Rep Ovh Bal'!AY93</f>
        <v>12695.04</v>
      </c>
      <c r="BL605" s="1069">
        <f>'Rep Ovh Bal'!AY93</f>
        <v>12695.04</v>
      </c>
      <c r="BM605" s="1068"/>
      <c r="BN605" s="1068"/>
      <c r="BO605" s="1068"/>
      <c r="BP605" s="451" t="str">
        <f>'Rep Ovh Bal'!BQ93</f>
        <v/>
      </c>
      <c r="BQ605" s="451" t="str">
        <f>'Rep Ovh Bal'!BR93</f>
        <v/>
      </c>
      <c r="BR605" s="451" t="str">
        <f>'Rep Ovh Bal'!BS93</f>
        <v/>
      </c>
      <c r="BS605" s="451" t="str">
        <f>'Rep Ovh Bal'!BT93</f>
        <v/>
      </c>
      <c r="BT605" s="451" t="str">
        <f>'Rep Ovh Bal'!BU93</f>
        <v/>
      </c>
      <c r="BU605" s="451" t="str">
        <f>'Rep Ovh Bal'!BV93</f>
        <v/>
      </c>
      <c r="BV605" s="451" t="str">
        <f>'Rep Ovh Bal'!BW93</f>
        <v/>
      </c>
      <c r="BW605" s="1062">
        <f>'Rep Ovh Bal'!AZ93</f>
        <v>0</v>
      </c>
      <c r="BX605" s="1069">
        <f>'Rep Ovh Bal'!AZ93</f>
        <v>0</v>
      </c>
      <c r="BY605" s="1068"/>
      <c r="BZ605" s="1068"/>
      <c r="CA605" s="451" t="str">
        <f>'Rep Ovh Bal'!CB93</f>
        <v/>
      </c>
      <c r="CB605" s="451" t="str">
        <f>'Rep Ovh Bal'!CC93</f>
        <v/>
      </c>
      <c r="CC605" s="451" t="str">
        <f>'Rep Ovh Bal'!CD93</f>
        <v/>
      </c>
      <c r="CD605" s="451" t="str">
        <f>'Rep Ovh Bal'!CE93</f>
        <v/>
      </c>
      <c r="CE605" s="451" t="str">
        <f>'Rep Ovh Bal'!CF93</f>
        <v/>
      </c>
      <c r="CF605" s="451" t="str">
        <f>'Rep Ovh Bal'!CG93</f>
        <v/>
      </c>
      <c r="CG605" s="451" t="str">
        <f>'Rep Ovh Bal'!CH93</f>
        <v/>
      </c>
      <c r="CH605" s="451" t="str">
        <f>'Rep Ovh Bal'!CI93</f>
        <v/>
      </c>
      <c r="CI605" s="1062">
        <f>'Rep Ovh Bal'!BA93</f>
        <v>0</v>
      </c>
      <c r="CJ605" s="1062">
        <f>'Rep Ovh Bal'!BA93</f>
        <v>0</v>
      </c>
      <c r="CK605" s="1062">
        <f>'Rep Ovh Bal'!BB93</f>
        <v>12695.04</v>
      </c>
      <c r="CL605" s="1064" t="str">
        <f>'Rep Ovh Bal'!BC93</f>
        <v/>
      </c>
      <c r="CM605" s="451" t="str">
        <f>'Rep Ovh Bal'!CN93</f>
        <v/>
      </c>
      <c r="CN605" s="1065" t="str">
        <f>'Rep Ovh Bal'!BE89</f>
        <v/>
      </c>
      <c r="CO605" s="1062" t="str">
        <f>'Rep Ovh Bal'!BF89</f>
        <v/>
      </c>
      <c r="CP605" s="1060" t="str">
        <f>'Rep Ovh Bal'!BG89</f>
        <v/>
      </c>
    </row>
    <row r="606">
      <c r="A606" s="451" t="str">
        <f>'Rep Ovh Bal'!A94</f>
        <v>Repuestos mantenimientos mayores para estaciones y torres</v>
      </c>
      <c r="B606" s="451">
        <f>'Rep Ovh Bal'!B94</f>
        <v>2</v>
      </c>
      <c r="C606" s="451" t="str">
        <f>'Rep Ovh Bal'!C94</f>
        <v>Torres</v>
      </c>
      <c r="D606" s="451" t="str">
        <f>'Rep Ovh Bal'!D94</f>
        <v>OVH balancines TRM</v>
      </c>
      <c r="E606" s="451" t="str">
        <f>'Rep Ovh Bal'!E94</f>
        <v>Repuesto Mecánico</v>
      </c>
      <c r="F606" s="451" t="str">
        <f>'Rep Ovh Bal'!F94</f>
        <v>TDB</v>
      </c>
      <c r="G606" s="1025" t="str">
        <f>'Rep Ovh Bal'!G94</f>
        <v>39800</v>
      </c>
      <c r="H606" s="1061" t="str">
        <f>'Rep Ovh Bal'!H94</f>
        <v/>
      </c>
      <c r="I606" s="1061" t="str">
        <f>'Rep Ovh Bal'!I94</f>
        <v>11452546</v>
      </c>
      <c r="J606" s="1061" t="str">
        <f>'Rep Ovh Bal'!J94</f>
        <v>SOPORTE DE EJE P. DIÁ.75       PROT. CONTRA PÉRDIDA</v>
      </c>
      <c r="K606" s="451" t="str">
        <f>'Rep Ovh Bal'!K94</f>
        <v>Pza</v>
      </c>
      <c r="L606" s="451">
        <f>'Rep Ovh Bal'!L94</f>
        <v>0</v>
      </c>
      <c r="M606" s="451">
        <f>'Rep Ovh Bal'!M94</f>
        <v>0</v>
      </c>
      <c r="N606" s="451">
        <f>'Rep Ovh Bal'!N94</f>
        <v>0</v>
      </c>
      <c r="O606" s="451">
        <f>'Rep Ovh Bal'!O94</f>
        <v>0</v>
      </c>
      <c r="P606" s="451">
        <f>'Rep Ovh Bal'!P94</f>
        <v>0</v>
      </c>
      <c r="Q606" s="451">
        <f>'Rep Ovh Bal'!Q94</f>
        <v>0</v>
      </c>
      <c r="R606" s="451">
        <f>'Rep Ovh Bal'!R94</f>
        <v>0</v>
      </c>
      <c r="S606" s="451">
        <f>'Rep Ovh Bal'!S94</f>
        <v>0</v>
      </c>
      <c r="T606" s="451">
        <f>'Rep Ovh Bal'!T94</f>
        <v>0</v>
      </c>
      <c r="U606" s="451">
        <f>'Rep Ovh Bal'!U94</f>
        <v>0</v>
      </c>
      <c r="V606" s="451">
        <f>'Rep Ovh Bal'!V94</f>
        <v>80</v>
      </c>
      <c r="W606" s="1062">
        <f>'Rep Ovh Bal'!W94</f>
        <v>80</v>
      </c>
      <c r="X606" s="451">
        <f>'Rep Ovh Bal'!X94</f>
        <v>0</v>
      </c>
      <c r="Y606" s="451">
        <f>'Rep Ovh Bal'!Y94</f>
        <v>0</v>
      </c>
      <c r="Z606" s="451">
        <f>'Rep Ovh Bal'!Z94</f>
        <v>0</v>
      </c>
      <c r="AA606" s="451">
        <f>'Rep Ovh Bal'!AA94</f>
        <v>0</v>
      </c>
      <c r="AB606" s="451">
        <f>'Rep Ovh Bal'!AB94</f>
        <v>0</v>
      </c>
      <c r="AC606" s="451">
        <f>'Rep Ovh Bal'!AC94</f>
        <v>0</v>
      </c>
      <c r="AD606" s="451">
        <f>'Rep Ovh Bal'!AD94</f>
        <v>0</v>
      </c>
      <c r="AE606" s="451">
        <f>'Rep Ovh Bal'!AE94</f>
        <v>0</v>
      </c>
      <c r="AF606" s="451">
        <f>'Rep Ovh Bal'!AF94</f>
        <v>0</v>
      </c>
      <c r="AG606" s="451">
        <f>'Rep Ovh Bal'!AG94</f>
        <v>0</v>
      </c>
      <c r="AH606" s="451">
        <f>'Rep Ovh Bal'!AH94</f>
        <v>0</v>
      </c>
      <c r="AI606" s="1062">
        <f>'Rep Ovh Bal'!AI94</f>
        <v>0</v>
      </c>
      <c r="AJ606" s="451">
        <f>'Rep Ovh Bal'!AJ94</f>
        <v>0</v>
      </c>
      <c r="AK606" s="451">
        <f>'Rep Ovh Bal'!AK94</f>
        <v>0</v>
      </c>
      <c r="AL606" s="451">
        <f>'Rep Ovh Bal'!AL94</f>
        <v>0</v>
      </c>
      <c r="AM606" s="451">
        <f>'Rep Ovh Bal'!AM94</f>
        <v>0</v>
      </c>
      <c r="AN606" s="451">
        <f>'Rep Ovh Bal'!AN94</f>
        <v>0</v>
      </c>
      <c r="AO606" s="451">
        <f>'Rep Ovh Bal'!AO94</f>
        <v>0</v>
      </c>
      <c r="AP606" s="451">
        <f>'Rep Ovh Bal'!AP94</f>
        <v>0</v>
      </c>
      <c r="AQ606" s="451">
        <f>'Rep Ovh Bal'!AQ94</f>
        <v>0</v>
      </c>
      <c r="AR606" s="451">
        <f>'Rep Ovh Bal'!AR94</f>
        <v>0</v>
      </c>
      <c r="AS606" s="451">
        <f>'Rep Ovh Bal'!AS94</f>
        <v>0</v>
      </c>
      <c r="AT606" s="451">
        <f>'Rep Ovh Bal'!AT94</f>
        <v>0</v>
      </c>
      <c r="AU606" s="1062">
        <f>'Rep Ovh Bal'!AU94</f>
        <v>0</v>
      </c>
      <c r="AV606" s="1063">
        <f>'Rep Ovh Bal'!AV94</f>
        <v>80</v>
      </c>
      <c r="AW606" s="1068"/>
      <c r="AX606" s="1065">
        <f>'Rep Ovh Bal'!AW94</f>
        <v>24.27</v>
      </c>
      <c r="AY606" s="1062">
        <f>'Rep Ovh Bal'!AX94</f>
        <v>168.9192</v>
      </c>
      <c r="AZ606" s="1068"/>
      <c r="BA606" s="1068"/>
      <c r="BB606" s="1068"/>
      <c r="BC606" s="1068"/>
      <c r="BD606" s="1068"/>
      <c r="BE606" s="1068"/>
      <c r="BF606" s="1065" t="str">
        <f>'Rep Ovh Bal'!BE94</f>
        <v/>
      </c>
      <c r="BG606" s="451" t="str">
        <f>'Rep Ovh Bal'!BH94</f>
        <v/>
      </c>
      <c r="BH606" s="451" t="str">
        <f>'Rep Ovh Bal'!BI94</f>
        <v/>
      </c>
      <c r="BI606" s="451" t="str">
        <f>'Rep Ovh Bal'!BJ94</f>
        <v/>
      </c>
      <c r="BJ606" s="451" t="str">
        <f>'Rep Ovh Bal'!BK94</f>
        <v/>
      </c>
      <c r="BK606" s="1062">
        <f>'Rep Ovh Bal'!AY94</f>
        <v>13513.536</v>
      </c>
      <c r="BL606" s="1069">
        <f>'Rep Ovh Bal'!AY94</f>
        <v>13513.536</v>
      </c>
      <c r="BM606" s="1068"/>
      <c r="BN606" s="1068"/>
      <c r="BO606" s="1068"/>
      <c r="BP606" s="451" t="str">
        <f>'Rep Ovh Bal'!BQ94</f>
        <v/>
      </c>
      <c r="BQ606" s="451" t="str">
        <f>'Rep Ovh Bal'!BR94</f>
        <v/>
      </c>
      <c r="BR606" s="451" t="str">
        <f>'Rep Ovh Bal'!BS94</f>
        <v/>
      </c>
      <c r="BS606" s="451" t="str">
        <f>'Rep Ovh Bal'!BT94</f>
        <v/>
      </c>
      <c r="BT606" s="451" t="str">
        <f>'Rep Ovh Bal'!BU94</f>
        <v/>
      </c>
      <c r="BU606" s="451" t="str">
        <f>'Rep Ovh Bal'!BV94</f>
        <v/>
      </c>
      <c r="BV606" s="451" t="str">
        <f>'Rep Ovh Bal'!BW94</f>
        <v/>
      </c>
      <c r="BW606" s="1062">
        <f>'Rep Ovh Bal'!AZ94</f>
        <v>0</v>
      </c>
      <c r="BX606" s="1069">
        <f>'Rep Ovh Bal'!AZ94</f>
        <v>0</v>
      </c>
      <c r="BY606" s="1068"/>
      <c r="BZ606" s="1068"/>
      <c r="CA606" s="451" t="str">
        <f>'Rep Ovh Bal'!CB94</f>
        <v/>
      </c>
      <c r="CB606" s="451" t="str">
        <f>'Rep Ovh Bal'!CC94</f>
        <v/>
      </c>
      <c r="CC606" s="451" t="str">
        <f>'Rep Ovh Bal'!CD94</f>
        <v/>
      </c>
      <c r="CD606" s="451" t="str">
        <f>'Rep Ovh Bal'!CE94</f>
        <v/>
      </c>
      <c r="CE606" s="451" t="str">
        <f>'Rep Ovh Bal'!CF94</f>
        <v/>
      </c>
      <c r="CF606" s="451" t="str">
        <f>'Rep Ovh Bal'!CG94</f>
        <v/>
      </c>
      <c r="CG606" s="451" t="str">
        <f>'Rep Ovh Bal'!CH94</f>
        <v/>
      </c>
      <c r="CH606" s="451" t="str">
        <f>'Rep Ovh Bal'!CI94</f>
        <v/>
      </c>
      <c r="CI606" s="1062">
        <f>'Rep Ovh Bal'!BA94</f>
        <v>0</v>
      </c>
      <c r="CJ606" s="1062">
        <f>'Rep Ovh Bal'!BA94</f>
        <v>0</v>
      </c>
      <c r="CK606" s="1062">
        <f>'Rep Ovh Bal'!BB94</f>
        <v>13513.536</v>
      </c>
      <c r="CL606" s="1064" t="str">
        <f>'Rep Ovh Bal'!BC94</f>
        <v/>
      </c>
      <c r="CM606" s="451" t="str">
        <f>'Rep Ovh Bal'!CN94</f>
        <v/>
      </c>
      <c r="CN606" s="1065" t="str">
        <f>'Rep Ovh Bal'!BE90</f>
        <v/>
      </c>
      <c r="CO606" s="1062" t="str">
        <f>'Rep Ovh Bal'!BF90</f>
        <v/>
      </c>
      <c r="CP606" s="1060" t="str">
        <f>'Rep Ovh Bal'!BG90</f>
        <v/>
      </c>
    </row>
    <row r="607">
      <c r="A607" s="451" t="str">
        <f>'Rep Ovh Bal'!A95</f>
        <v>Repuestos mantenimientos mayores para estaciones y torres</v>
      </c>
      <c r="B607" s="451">
        <f>'Rep Ovh Bal'!B95</f>
        <v>2</v>
      </c>
      <c r="C607" s="451" t="str">
        <f>'Rep Ovh Bal'!C95</f>
        <v>Torres</v>
      </c>
      <c r="D607" s="451" t="str">
        <f>'Rep Ovh Bal'!D95</f>
        <v>OVH balancines TRM</v>
      </c>
      <c r="E607" s="451" t="str">
        <f>'Rep Ovh Bal'!E95</f>
        <v>Repuesto Mecánico</v>
      </c>
      <c r="F607" s="451" t="str">
        <f>'Rep Ovh Bal'!F95</f>
        <v>TDB</v>
      </c>
      <c r="G607" s="1025" t="str">
        <f>'Rep Ovh Bal'!G95</f>
        <v>39800</v>
      </c>
      <c r="H607" s="1061" t="str">
        <f>'Rep Ovh Bal'!H95</f>
        <v>2-01-00843</v>
      </c>
      <c r="I607" s="1061" t="str">
        <f>'Rep Ovh Bal'!I95</f>
        <v>11544852</v>
      </c>
      <c r="J607" s="1061" t="str">
        <f>'Rep Ovh Bal'!J95</f>
        <v>BULÓN DIÁ 60H8 NL=761 M30 P. CP 2P EN ARMAZÓN 6P 501C</v>
      </c>
      <c r="K607" s="451" t="str">
        <f>'Rep Ovh Bal'!K95</f>
        <v>Pza</v>
      </c>
      <c r="L607" s="451">
        <f>'Rep Ovh Bal'!L95</f>
        <v>0</v>
      </c>
      <c r="M607" s="451">
        <f>'Rep Ovh Bal'!M95</f>
        <v>0</v>
      </c>
      <c r="N607" s="451">
        <f>'Rep Ovh Bal'!N95</f>
        <v>0</v>
      </c>
      <c r="O607" s="451">
        <f>'Rep Ovh Bal'!O95</f>
        <v>0</v>
      </c>
      <c r="P607" s="451">
        <f>'Rep Ovh Bal'!P95</f>
        <v>0</v>
      </c>
      <c r="Q607" s="451">
        <f>'Rep Ovh Bal'!Q95</f>
        <v>0</v>
      </c>
      <c r="R607" s="451">
        <f>'Rep Ovh Bal'!R95</f>
        <v>0</v>
      </c>
      <c r="S607" s="451">
        <f>'Rep Ovh Bal'!S95</f>
        <v>0</v>
      </c>
      <c r="T607" s="451">
        <f>'Rep Ovh Bal'!T95</f>
        <v>0</v>
      </c>
      <c r="U607" s="451">
        <f>'Rep Ovh Bal'!U95</f>
        <v>0</v>
      </c>
      <c r="V607" s="451">
        <f>'Rep Ovh Bal'!V95</f>
        <v>28</v>
      </c>
      <c r="W607" s="1062">
        <f>'Rep Ovh Bal'!W95</f>
        <v>28</v>
      </c>
      <c r="X607" s="451">
        <f>'Rep Ovh Bal'!X95</f>
        <v>0</v>
      </c>
      <c r="Y607" s="451">
        <f>'Rep Ovh Bal'!Y95</f>
        <v>0</v>
      </c>
      <c r="Z607" s="451">
        <f>'Rep Ovh Bal'!Z95</f>
        <v>0</v>
      </c>
      <c r="AA607" s="451">
        <f>'Rep Ovh Bal'!AA95</f>
        <v>0</v>
      </c>
      <c r="AB607" s="451">
        <f>'Rep Ovh Bal'!AB95</f>
        <v>0</v>
      </c>
      <c r="AC607" s="451">
        <f>'Rep Ovh Bal'!AC95</f>
        <v>0</v>
      </c>
      <c r="AD607" s="451">
        <f>'Rep Ovh Bal'!AD95</f>
        <v>0</v>
      </c>
      <c r="AE607" s="451">
        <f>'Rep Ovh Bal'!AE95</f>
        <v>0</v>
      </c>
      <c r="AF607" s="451">
        <f>'Rep Ovh Bal'!AF95</f>
        <v>0</v>
      </c>
      <c r="AG607" s="451">
        <f>'Rep Ovh Bal'!AG95</f>
        <v>0</v>
      </c>
      <c r="AH607" s="451">
        <f>'Rep Ovh Bal'!AH95</f>
        <v>58</v>
      </c>
      <c r="AI607" s="1062">
        <f>'Rep Ovh Bal'!AI95</f>
        <v>58</v>
      </c>
      <c r="AJ607" s="451">
        <f>'Rep Ovh Bal'!AJ95</f>
        <v>0</v>
      </c>
      <c r="AK607" s="451">
        <f>'Rep Ovh Bal'!AK95</f>
        <v>0</v>
      </c>
      <c r="AL607" s="451">
        <f>'Rep Ovh Bal'!AL95</f>
        <v>0</v>
      </c>
      <c r="AM607" s="451">
        <f>'Rep Ovh Bal'!AM95</f>
        <v>0</v>
      </c>
      <c r="AN607" s="451">
        <f>'Rep Ovh Bal'!AN95</f>
        <v>0</v>
      </c>
      <c r="AO607" s="451">
        <f>'Rep Ovh Bal'!AO95</f>
        <v>0</v>
      </c>
      <c r="AP607" s="451">
        <f>'Rep Ovh Bal'!AP95</f>
        <v>0</v>
      </c>
      <c r="AQ607" s="451">
        <f>'Rep Ovh Bal'!AQ95</f>
        <v>0</v>
      </c>
      <c r="AR607" s="451">
        <f>'Rep Ovh Bal'!AR95</f>
        <v>0</v>
      </c>
      <c r="AS607" s="451">
        <f>'Rep Ovh Bal'!AS95</f>
        <v>0</v>
      </c>
      <c r="AT607" s="451">
        <f>'Rep Ovh Bal'!AT95</f>
        <v>42</v>
      </c>
      <c r="AU607" s="1062">
        <f>'Rep Ovh Bal'!AU95</f>
        <v>42</v>
      </c>
      <c r="AV607" s="1063">
        <f>'Rep Ovh Bal'!AV95</f>
        <v>128</v>
      </c>
      <c r="AW607" s="1068"/>
      <c r="AX607" s="1065">
        <f>'Rep Ovh Bal'!AW95</f>
        <v>663.33</v>
      </c>
      <c r="AY607" s="1062">
        <f>'Rep Ovh Bal'!AX95</f>
        <v>4616.7768</v>
      </c>
      <c r="AZ607" s="1068"/>
      <c r="BA607" s="1068"/>
      <c r="BB607" s="1068"/>
      <c r="BC607" s="1068"/>
      <c r="BD607" s="1068"/>
      <c r="BE607" s="1068"/>
      <c r="BF607" s="1065" t="str">
        <f>'Rep Ovh Bal'!BE95</f>
        <v/>
      </c>
      <c r="BG607" s="451" t="str">
        <f>'Rep Ovh Bal'!BH95</f>
        <v/>
      </c>
      <c r="BH607" s="451" t="str">
        <f>'Rep Ovh Bal'!BI95</f>
        <v/>
      </c>
      <c r="BI607" s="451" t="str">
        <f>'Rep Ovh Bal'!BJ95</f>
        <v/>
      </c>
      <c r="BJ607" s="451" t="str">
        <f>'Rep Ovh Bal'!BK95</f>
        <v/>
      </c>
      <c r="BK607" s="1062">
        <f>'Rep Ovh Bal'!AY95</f>
        <v>129269.7504</v>
      </c>
      <c r="BL607" s="1069">
        <f>'Rep Ovh Bal'!AY95</f>
        <v>129269.7504</v>
      </c>
      <c r="BM607" s="1068"/>
      <c r="BN607" s="1068"/>
      <c r="BO607" s="1068"/>
      <c r="BP607" s="451" t="str">
        <f>'Rep Ovh Bal'!BQ95</f>
        <v/>
      </c>
      <c r="BQ607" s="451" t="str">
        <f>'Rep Ovh Bal'!BR95</f>
        <v/>
      </c>
      <c r="BR607" s="451" t="str">
        <f>'Rep Ovh Bal'!BS95</f>
        <v/>
      </c>
      <c r="BS607" s="451" t="str">
        <f>'Rep Ovh Bal'!BT95</f>
        <v/>
      </c>
      <c r="BT607" s="451" t="str">
        <f>'Rep Ovh Bal'!BU95</f>
        <v/>
      </c>
      <c r="BU607" s="451" t="str">
        <f>'Rep Ovh Bal'!BV95</f>
        <v/>
      </c>
      <c r="BV607" s="451" t="str">
        <f>'Rep Ovh Bal'!BW95</f>
        <v/>
      </c>
      <c r="BW607" s="1062">
        <f>'Rep Ovh Bal'!AZ95</f>
        <v>267773.0544</v>
      </c>
      <c r="BX607" s="1069">
        <f>'Rep Ovh Bal'!AZ95</f>
        <v>267773.0544</v>
      </c>
      <c r="BY607" s="1068"/>
      <c r="BZ607" s="1068"/>
      <c r="CA607" s="451" t="str">
        <f>'Rep Ovh Bal'!CB95</f>
        <v/>
      </c>
      <c r="CB607" s="451" t="str">
        <f>'Rep Ovh Bal'!CC95</f>
        <v/>
      </c>
      <c r="CC607" s="451" t="str">
        <f>'Rep Ovh Bal'!CD95</f>
        <v/>
      </c>
      <c r="CD607" s="451" t="str">
        <f>'Rep Ovh Bal'!CE95</f>
        <v/>
      </c>
      <c r="CE607" s="451" t="str">
        <f>'Rep Ovh Bal'!CF95</f>
        <v/>
      </c>
      <c r="CF607" s="451" t="str">
        <f>'Rep Ovh Bal'!CG95</f>
        <v/>
      </c>
      <c r="CG607" s="451" t="str">
        <f>'Rep Ovh Bal'!CH95</f>
        <v/>
      </c>
      <c r="CH607" s="451" t="str">
        <f>'Rep Ovh Bal'!CI95</f>
        <v/>
      </c>
      <c r="CI607" s="1062">
        <f>'Rep Ovh Bal'!BA95</f>
        <v>193904.6256</v>
      </c>
      <c r="CJ607" s="1062">
        <f>'Rep Ovh Bal'!BA95</f>
        <v>193904.6256</v>
      </c>
      <c r="CK607" s="1062">
        <f>'Rep Ovh Bal'!BB95</f>
        <v>590947.4304</v>
      </c>
      <c r="CL607" s="1064" t="str">
        <f>'Rep Ovh Bal'!BC95</f>
        <v/>
      </c>
      <c r="CM607" s="451" t="str">
        <f>'Rep Ovh Bal'!CN95</f>
        <v/>
      </c>
      <c r="CN607" s="1065" t="str">
        <f>'Rep Ovh Bal'!BE91</f>
        <v/>
      </c>
      <c r="CO607" s="1062" t="str">
        <f>'Rep Ovh Bal'!BF91</f>
        <v/>
      </c>
      <c r="CP607" s="1060" t="str">
        <f>'Rep Ovh Bal'!BG91</f>
        <v/>
      </c>
    </row>
    <row r="608">
      <c r="A608" s="451" t="str">
        <f>'Rep Ovh Bal'!A96</f>
        <v>Repuestos mantenimientos mayores para estaciones y torres</v>
      </c>
      <c r="B608" s="451">
        <f>'Rep Ovh Bal'!B96</f>
        <v>2</v>
      </c>
      <c r="C608" s="451" t="str">
        <f>'Rep Ovh Bal'!C96</f>
        <v>Torres</v>
      </c>
      <c r="D608" s="451" t="str">
        <f>'Rep Ovh Bal'!D96</f>
        <v>OVH balancines TRM</v>
      </c>
      <c r="E608" s="451" t="str">
        <f>'Rep Ovh Bal'!E96</f>
        <v>Repuesto Mecánico</v>
      </c>
      <c r="F608" s="451" t="str">
        <f>'Rep Ovh Bal'!F96</f>
        <v>TDB</v>
      </c>
      <c r="G608" s="1025" t="str">
        <f>'Rep Ovh Bal'!G96</f>
        <v>39800</v>
      </c>
      <c r="H608" s="1061" t="str">
        <f>'Rep Ovh Bal'!H96</f>
        <v>2-01-00977</v>
      </c>
      <c r="I608" s="1061" t="str">
        <f>'Rep Ovh Bal'!I96</f>
        <v>11544869</v>
      </c>
      <c r="J608" s="1061" t="str">
        <f>'Rep Ovh Bal'!J96</f>
        <v>EJE DIÁ85H8 LN=798 M16 AGP P. BAL. 4 POL. EN CONOSLA 501C</v>
      </c>
      <c r="K608" s="451" t="str">
        <f>'Rep Ovh Bal'!K96</f>
        <v>Pza</v>
      </c>
      <c r="L608" s="451">
        <f>'Rep Ovh Bal'!L96</f>
        <v>0</v>
      </c>
      <c r="M608" s="451">
        <f>'Rep Ovh Bal'!M96</f>
        <v>0</v>
      </c>
      <c r="N608" s="451">
        <f>'Rep Ovh Bal'!N96</f>
        <v>0</v>
      </c>
      <c r="O608" s="451">
        <f>'Rep Ovh Bal'!O96</f>
        <v>0</v>
      </c>
      <c r="P608" s="451">
        <f>'Rep Ovh Bal'!P96</f>
        <v>0</v>
      </c>
      <c r="Q608" s="451">
        <f>'Rep Ovh Bal'!Q96</f>
        <v>0</v>
      </c>
      <c r="R608" s="451">
        <f>'Rep Ovh Bal'!R96</f>
        <v>0</v>
      </c>
      <c r="S608" s="451">
        <f>'Rep Ovh Bal'!S96</f>
        <v>0</v>
      </c>
      <c r="T608" s="451">
        <f>'Rep Ovh Bal'!T96</f>
        <v>0</v>
      </c>
      <c r="U608" s="451">
        <f>'Rep Ovh Bal'!U96</f>
        <v>0</v>
      </c>
      <c r="V608" s="451">
        <f>'Rep Ovh Bal'!V96</f>
        <v>8</v>
      </c>
      <c r="W608" s="1062">
        <f>'Rep Ovh Bal'!W96</f>
        <v>8</v>
      </c>
      <c r="X608" s="451">
        <f>'Rep Ovh Bal'!X96</f>
        <v>0</v>
      </c>
      <c r="Y608" s="451">
        <f>'Rep Ovh Bal'!Y96</f>
        <v>0</v>
      </c>
      <c r="Z608" s="451">
        <f>'Rep Ovh Bal'!Z96</f>
        <v>0</v>
      </c>
      <c r="AA608" s="451">
        <f>'Rep Ovh Bal'!AA96</f>
        <v>0</v>
      </c>
      <c r="AB608" s="451">
        <f>'Rep Ovh Bal'!AB96</f>
        <v>0</v>
      </c>
      <c r="AC608" s="451">
        <f>'Rep Ovh Bal'!AC96</f>
        <v>0</v>
      </c>
      <c r="AD608" s="451">
        <f>'Rep Ovh Bal'!AD96</f>
        <v>0</v>
      </c>
      <c r="AE608" s="451">
        <f>'Rep Ovh Bal'!AE96</f>
        <v>0</v>
      </c>
      <c r="AF608" s="451">
        <f>'Rep Ovh Bal'!AF96</f>
        <v>0</v>
      </c>
      <c r="AG608" s="451">
        <f>'Rep Ovh Bal'!AG96</f>
        <v>0</v>
      </c>
      <c r="AH608" s="451">
        <f>'Rep Ovh Bal'!AH96</f>
        <v>18</v>
      </c>
      <c r="AI608" s="1062">
        <f>'Rep Ovh Bal'!AI96</f>
        <v>18</v>
      </c>
      <c r="AJ608" s="451">
        <f>'Rep Ovh Bal'!AJ96</f>
        <v>0</v>
      </c>
      <c r="AK608" s="451">
        <f>'Rep Ovh Bal'!AK96</f>
        <v>0</v>
      </c>
      <c r="AL608" s="451">
        <f>'Rep Ovh Bal'!AL96</f>
        <v>0</v>
      </c>
      <c r="AM608" s="451">
        <f>'Rep Ovh Bal'!AM96</f>
        <v>0</v>
      </c>
      <c r="AN608" s="451">
        <f>'Rep Ovh Bal'!AN96</f>
        <v>0</v>
      </c>
      <c r="AO608" s="451">
        <f>'Rep Ovh Bal'!AO96</f>
        <v>0</v>
      </c>
      <c r="AP608" s="451">
        <f>'Rep Ovh Bal'!AP96</f>
        <v>0</v>
      </c>
      <c r="AQ608" s="451">
        <f>'Rep Ovh Bal'!AQ96</f>
        <v>0</v>
      </c>
      <c r="AR608" s="451">
        <f>'Rep Ovh Bal'!AR96</f>
        <v>0</v>
      </c>
      <c r="AS608" s="451">
        <f>'Rep Ovh Bal'!AS96</f>
        <v>0</v>
      </c>
      <c r="AT608" s="451">
        <f>'Rep Ovh Bal'!AT96</f>
        <v>6</v>
      </c>
      <c r="AU608" s="1062">
        <f>'Rep Ovh Bal'!AU96</f>
        <v>6</v>
      </c>
      <c r="AV608" s="1063">
        <f>'Rep Ovh Bal'!AV96</f>
        <v>32</v>
      </c>
      <c r="AW608" s="1068"/>
      <c r="AX608" s="1065">
        <f>'Rep Ovh Bal'!AW96</f>
        <v>1116.96</v>
      </c>
      <c r="AY608" s="1062">
        <f>'Rep Ovh Bal'!AX96</f>
        <v>7774.0416</v>
      </c>
      <c r="AZ608" s="1068"/>
      <c r="BA608" s="1068"/>
      <c r="BB608" s="1068"/>
      <c r="BC608" s="1068"/>
      <c r="BD608" s="1068"/>
      <c r="BE608" s="1068"/>
      <c r="BF608" s="1065" t="str">
        <f>'Rep Ovh Bal'!BE96</f>
        <v/>
      </c>
      <c r="BG608" s="451" t="str">
        <f>'Rep Ovh Bal'!BH96</f>
        <v/>
      </c>
      <c r="BH608" s="451" t="str">
        <f>'Rep Ovh Bal'!BI96</f>
        <v/>
      </c>
      <c r="BI608" s="451" t="str">
        <f>'Rep Ovh Bal'!BJ96</f>
        <v/>
      </c>
      <c r="BJ608" s="451" t="str">
        <f>'Rep Ovh Bal'!BK96</f>
        <v/>
      </c>
      <c r="BK608" s="1062">
        <f>'Rep Ovh Bal'!AY96</f>
        <v>62192.3328</v>
      </c>
      <c r="BL608" s="1069">
        <f>'Rep Ovh Bal'!AY96</f>
        <v>62192.3328</v>
      </c>
      <c r="BM608" s="1068"/>
      <c r="BN608" s="1068"/>
      <c r="BO608" s="1068"/>
      <c r="BP608" s="451" t="str">
        <f>'Rep Ovh Bal'!BQ96</f>
        <v/>
      </c>
      <c r="BQ608" s="451" t="str">
        <f>'Rep Ovh Bal'!BR96</f>
        <v/>
      </c>
      <c r="BR608" s="451" t="str">
        <f>'Rep Ovh Bal'!BS96</f>
        <v/>
      </c>
      <c r="BS608" s="451" t="str">
        <f>'Rep Ovh Bal'!BT96</f>
        <v/>
      </c>
      <c r="BT608" s="451" t="str">
        <f>'Rep Ovh Bal'!BU96</f>
        <v/>
      </c>
      <c r="BU608" s="451" t="str">
        <f>'Rep Ovh Bal'!BV96</f>
        <v/>
      </c>
      <c r="BV608" s="451" t="str">
        <f>'Rep Ovh Bal'!BW96</f>
        <v/>
      </c>
      <c r="BW608" s="1062">
        <f>'Rep Ovh Bal'!AZ96</f>
        <v>139932.7488</v>
      </c>
      <c r="BX608" s="1069">
        <f>'Rep Ovh Bal'!AZ96</f>
        <v>139932.7488</v>
      </c>
      <c r="BY608" s="1068"/>
      <c r="BZ608" s="1068"/>
      <c r="CA608" s="451" t="str">
        <f>'Rep Ovh Bal'!CB96</f>
        <v/>
      </c>
      <c r="CB608" s="451" t="str">
        <f>'Rep Ovh Bal'!CC96</f>
        <v/>
      </c>
      <c r="CC608" s="451" t="str">
        <f>'Rep Ovh Bal'!CD96</f>
        <v/>
      </c>
      <c r="CD608" s="451" t="str">
        <f>'Rep Ovh Bal'!CE96</f>
        <v/>
      </c>
      <c r="CE608" s="451" t="str">
        <f>'Rep Ovh Bal'!CF96</f>
        <v/>
      </c>
      <c r="CF608" s="451" t="str">
        <f>'Rep Ovh Bal'!CG96</f>
        <v/>
      </c>
      <c r="CG608" s="451" t="str">
        <f>'Rep Ovh Bal'!CH96</f>
        <v/>
      </c>
      <c r="CH608" s="451" t="str">
        <f>'Rep Ovh Bal'!CI96</f>
        <v/>
      </c>
      <c r="CI608" s="1062">
        <f>'Rep Ovh Bal'!BA96</f>
        <v>46644.2496</v>
      </c>
      <c r="CJ608" s="1062">
        <f>'Rep Ovh Bal'!BA96</f>
        <v>46644.2496</v>
      </c>
      <c r="CK608" s="1062">
        <f>'Rep Ovh Bal'!BB96</f>
        <v>248769.3312</v>
      </c>
      <c r="CL608" s="1064" t="str">
        <f>'Rep Ovh Bal'!BC96</f>
        <v/>
      </c>
      <c r="CM608" s="451" t="str">
        <f>'Rep Ovh Bal'!CN96</f>
        <v/>
      </c>
      <c r="CN608" s="1065" t="str">
        <f>'Rep Ovh Bal'!BE92</f>
        <v/>
      </c>
      <c r="CO608" s="1062" t="str">
        <f>'Rep Ovh Bal'!BF92</f>
        <v/>
      </c>
      <c r="CP608" s="1060" t="str">
        <f>'Rep Ovh Bal'!BG92</f>
        <v/>
      </c>
    </row>
    <row r="609">
      <c r="A609" s="451" t="str">
        <f>'Rep Ovh Bal'!A97</f>
        <v>Repuestos mantenimientos mayores para estaciones y torres</v>
      </c>
      <c r="B609" s="451">
        <f>'Rep Ovh Bal'!B97</f>
        <v>2</v>
      </c>
      <c r="C609" s="451" t="str">
        <f>'Rep Ovh Bal'!C97</f>
        <v>Torres</v>
      </c>
      <c r="D609" s="451" t="str">
        <f>'Rep Ovh Bal'!D97</f>
        <v>OVH balancines TRM</v>
      </c>
      <c r="E609" s="451" t="str">
        <f>'Rep Ovh Bal'!E97</f>
        <v>Repuesto Mecánico</v>
      </c>
      <c r="F609" s="451" t="str">
        <f>'Rep Ovh Bal'!F97</f>
        <v>TDB</v>
      </c>
      <c r="G609" s="1025" t="str">
        <f>'Rep Ovh Bal'!G97</f>
        <v>39800</v>
      </c>
      <c r="H609" s="1061" t="str">
        <f>'Rep Ovh Bal'!H97</f>
        <v>2-01-00846</v>
      </c>
      <c r="I609" s="1061" t="str">
        <f>'Rep Ovh Bal'!I97</f>
        <v>11544933</v>
      </c>
      <c r="J609" s="1061" t="str">
        <f>'Rep Ovh Bal'!J97</f>
        <v>BULÓN DIÁ 85H8 NL=684 M16 ROS P. CP 4P EN ARM. 6/8P 501C</v>
      </c>
      <c r="K609" s="451" t="str">
        <f>'Rep Ovh Bal'!K97</f>
        <v>Pza</v>
      </c>
      <c r="L609" s="451">
        <f>'Rep Ovh Bal'!L97</f>
        <v>0</v>
      </c>
      <c r="M609" s="451">
        <f>'Rep Ovh Bal'!M97</f>
        <v>0</v>
      </c>
      <c r="N609" s="451">
        <f>'Rep Ovh Bal'!N97</f>
        <v>0</v>
      </c>
      <c r="O609" s="451">
        <f>'Rep Ovh Bal'!O97</f>
        <v>0</v>
      </c>
      <c r="P609" s="451">
        <f>'Rep Ovh Bal'!P97</f>
        <v>0</v>
      </c>
      <c r="Q609" s="451">
        <f>'Rep Ovh Bal'!Q97</f>
        <v>0</v>
      </c>
      <c r="R609" s="451">
        <f>'Rep Ovh Bal'!R97</f>
        <v>0</v>
      </c>
      <c r="S609" s="451">
        <f>'Rep Ovh Bal'!S97</f>
        <v>0</v>
      </c>
      <c r="T609" s="451">
        <f>'Rep Ovh Bal'!T97</f>
        <v>0</v>
      </c>
      <c r="U609" s="451">
        <f>'Rep Ovh Bal'!U97</f>
        <v>0</v>
      </c>
      <c r="V609" s="451">
        <f>'Rep Ovh Bal'!V97</f>
        <v>48</v>
      </c>
      <c r="W609" s="1062">
        <f>'Rep Ovh Bal'!W97</f>
        <v>48</v>
      </c>
      <c r="X609" s="451">
        <f>'Rep Ovh Bal'!X97</f>
        <v>0</v>
      </c>
      <c r="Y609" s="451">
        <f>'Rep Ovh Bal'!Y97</f>
        <v>0</v>
      </c>
      <c r="Z609" s="451">
        <f>'Rep Ovh Bal'!Z97</f>
        <v>0</v>
      </c>
      <c r="AA609" s="451">
        <f>'Rep Ovh Bal'!AA97</f>
        <v>0</v>
      </c>
      <c r="AB609" s="451">
        <f>'Rep Ovh Bal'!AB97</f>
        <v>0</v>
      </c>
      <c r="AC609" s="451">
        <f>'Rep Ovh Bal'!AC97</f>
        <v>0</v>
      </c>
      <c r="AD609" s="451">
        <f>'Rep Ovh Bal'!AD97</f>
        <v>0</v>
      </c>
      <c r="AE609" s="451">
        <f>'Rep Ovh Bal'!AE97</f>
        <v>0</v>
      </c>
      <c r="AF609" s="451">
        <f>'Rep Ovh Bal'!AF97</f>
        <v>0</v>
      </c>
      <c r="AG609" s="451">
        <f>'Rep Ovh Bal'!AG97</f>
        <v>0</v>
      </c>
      <c r="AH609" s="451">
        <f>'Rep Ovh Bal'!AH97</f>
        <v>68</v>
      </c>
      <c r="AI609" s="1062">
        <f>'Rep Ovh Bal'!AI97</f>
        <v>68</v>
      </c>
      <c r="AJ609" s="451">
        <f>'Rep Ovh Bal'!AJ97</f>
        <v>0</v>
      </c>
      <c r="AK609" s="451">
        <f>'Rep Ovh Bal'!AK97</f>
        <v>0</v>
      </c>
      <c r="AL609" s="451">
        <f>'Rep Ovh Bal'!AL97</f>
        <v>0</v>
      </c>
      <c r="AM609" s="451">
        <f>'Rep Ovh Bal'!AM97</f>
        <v>0</v>
      </c>
      <c r="AN609" s="451">
        <f>'Rep Ovh Bal'!AN97</f>
        <v>0</v>
      </c>
      <c r="AO609" s="451">
        <f>'Rep Ovh Bal'!AO97</f>
        <v>0</v>
      </c>
      <c r="AP609" s="451">
        <f>'Rep Ovh Bal'!AP97</f>
        <v>0</v>
      </c>
      <c r="AQ609" s="451">
        <f>'Rep Ovh Bal'!AQ97</f>
        <v>0</v>
      </c>
      <c r="AR609" s="451">
        <f>'Rep Ovh Bal'!AR97</f>
        <v>0</v>
      </c>
      <c r="AS609" s="451">
        <f>'Rep Ovh Bal'!AS97</f>
        <v>0</v>
      </c>
      <c r="AT609" s="451">
        <f>'Rep Ovh Bal'!AT97</f>
        <v>46</v>
      </c>
      <c r="AU609" s="1062">
        <f>'Rep Ovh Bal'!AU97</f>
        <v>46</v>
      </c>
      <c r="AV609" s="1063">
        <f>'Rep Ovh Bal'!AV97</f>
        <v>162</v>
      </c>
      <c r="AW609" s="1068"/>
      <c r="AX609" s="1065">
        <f>'Rep Ovh Bal'!AW97</f>
        <v>985.59</v>
      </c>
      <c r="AY609" s="1062">
        <f>'Rep Ovh Bal'!AX97</f>
        <v>6859.7064</v>
      </c>
      <c r="AZ609" s="1068"/>
      <c r="BA609" s="1068"/>
      <c r="BB609" s="1068"/>
      <c r="BC609" s="1068"/>
      <c r="BD609" s="1068"/>
      <c r="BE609" s="1068"/>
      <c r="BF609" s="1065" t="str">
        <f>'Rep Ovh Bal'!BE97</f>
        <v/>
      </c>
      <c r="BG609" s="451" t="str">
        <f>'Rep Ovh Bal'!BH97</f>
        <v/>
      </c>
      <c r="BH609" s="451" t="str">
        <f>'Rep Ovh Bal'!BI97</f>
        <v/>
      </c>
      <c r="BI609" s="451" t="str">
        <f>'Rep Ovh Bal'!BJ97</f>
        <v/>
      </c>
      <c r="BJ609" s="451" t="str">
        <f>'Rep Ovh Bal'!BK97</f>
        <v/>
      </c>
      <c r="BK609" s="1062">
        <f>'Rep Ovh Bal'!AY97</f>
        <v>329265.9072</v>
      </c>
      <c r="BL609" s="1069">
        <f>'Rep Ovh Bal'!AY97</f>
        <v>329265.9072</v>
      </c>
      <c r="BM609" s="1068"/>
      <c r="BN609" s="1068"/>
      <c r="BO609" s="1068"/>
      <c r="BP609" s="451" t="str">
        <f>'Rep Ovh Bal'!BQ97</f>
        <v/>
      </c>
      <c r="BQ609" s="451" t="str">
        <f>'Rep Ovh Bal'!BR97</f>
        <v/>
      </c>
      <c r="BR609" s="451" t="str">
        <f>'Rep Ovh Bal'!BS97</f>
        <v/>
      </c>
      <c r="BS609" s="451" t="str">
        <f>'Rep Ovh Bal'!BT97</f>
        <v/>
      </c>
      <c r="BT609" s="451" t="str">
        <f>'Rep Ovh Bal'!BU97</f>
        <v/>
      </c>
      <c r="BU609" s="451" t="str">
        <f>'Rep Ovh Bal'!BV97</f>
        <v/>
      </c>
      <c r="BV609" s="451" t="str">
        <f>'Rep Ovh Bal'!BW97</f>
        <v/>
      </c>
      <c r="BW609" s="1062">
        <f>'Rep Ovh Bal'!AZ97</f>
        <v>466460.0352</v>
      </c>
      <c r="BX609" s="1069">
        <f>'Rep Ovh Bal'!AZ97</f>
        <v>466460.0352</v>
      </c>
      <c r="BY609" s="1068"/>
      <c r="BZ609" s="1068"/>
      <c r="CA609" s="451" t="str">
        <f>'Rep Ovh Bal'!CB97</f>
        <v/>
      </c>
      <c r="CB609" s="451" t="str">
        <f>'Rep Ovh Bal'!CC97</f>
        <v/>
      </c>
      <c r="CC609" s="451" t="str">
        <f>'Rep Ovh Bal'!CD97</f>
        <v/>
      </c>
      <c r="CD609" s="451" t="str">
        <f>'Rep Ovh Bal'!CE97</f>
        <v/>
      </c>
      <c r="CE609" s="451" t="str">
        <f>'Rep Ovh Bal'!CF97</f>
        <v/>
      </c>
      <c r="CF609" s="451" t="str">
        <f>'Rep Ovh Bal'!CG97</f>
        <v/>
      </c>
      <c r="CG609" s="451" t="str">
        <f>'Rep Ovh Bal'!CH97</f>
        <v/>
      </c>
      <c r="CH609" s="451" t="str">
        <f>'Rep Ovh Bal'!CI97</f>
        <v/>
      </c>
      <c r="CI609" s="1062">
        <f>'Rep Ovh Bal'!BA97</f>
        <v>315546.4944</v>
      </c>
      <c r="CJ609" s="1062">
        <f>'Rep Ovh Bal'!BA97</f>
        <v>315546.4944</v>
      </c>
      <c r="CK609" s="1062">
        <f>'Rep Ovh Bal'!BB97</f>
        <v>1111272.437</v>
      </c>
      <c r="CL609" s="1064" t="str">
        <f>'Rep Ovh Bal'!BC97</f>
        <v/>
      </c>
      <c r="CM609" s="451" t="str">
        <f>'Rep Ovh Bal'!CN97</f>
        <v/>
      </c>
      <c r="CN609" s="1065" t="str">
        <f>'Rep Ovh Bal'!BE93</f>
        <v/>
      </c>
      <c r="CO609" s="1062" t="str">
        <f>'Rep Ovh Bal'!BF93</f>
        <v/>
      </c>
      <c r="CP609" s="1060" t="str">
        <f>'Rep Ovh Bal'!BG93</f>
        <v/>
      </c>
    </row>
    <row r="610">
      <c r="A610" s="451" t="str">
        <f>'Rep Ovh Bal'!A98</f>
        <v>Repuestos mantenimientos mayores para estaciones y torres</v>
      </c>
      <c r="B610" s="451">
        <f>'Rep Ovh Bal'!B98</f>
        <v>2</v>
      </c>
      <c r="C610" s="451" t="str">
        <f>'Rep Ovh Bal'!C98</f>
        <v>Torres</v>
      </c>
      <c r="D610" s="451" t="str">
        <f>'Rep Ovh Bal'!D98</f>
        <v>OVH balancines TRM</v>
      </c>
      <c r="E610" s="451" t="str">
        <f>'Rep Ovh Bal'!E98</f>
        <v>Repuesto Mecánico</v>
      </c>
      <c r="F610" s="451" t="str">
        <f>'Rep Ovh Bal'!F98</f>
        <v>TDB</v>
      </c>
      <c r="G610" s="1025" t="str">
        <f>'Rep Ovh Bal'!G98</f>
        <v>39800</v>
      </c>
      <c r="H610" s="1061" t="str">
        <f>'Rep Ovh Bal'!H98</f>
        <v>2-01-00848</v>
      </c>
      <c r="I610" s="1061" t="str">
        <f>'Rep Ovh Bal'!I98</f>
        <v>11544947</v>
      </c>
      <c r="J610" s="1061" t="str">
        <f>'Rep Ovh Bal'!J98</f>
        <v>BULÓN DIÁ 85H8 LN=478 P. APOYO CP 6 Y 8 TIPO 501C</v>
      </c>
      <c r="K610" s="451" t="str">
        <f>'Rep Ovh Bal'!K98</f>
        <v>Pza</v>
      </c>
      <c r="L610" s="451">
        <f>'Rep Ovh Bal'!L98</f>
        <v>0</v>
      </c>
      <c r="M610" s="451">
        <f>'Rep Ovh Bal'!M98</f>
        <v>0</v>
      </c>
      <c r="N610" s="451">
        <f>'Rep Ovh Bal'!N98</f>
        <v>0</v>
      </c>
      <c r="O610" s="451">
        <f>'Rep Ovh Bal'!O98</f>
        <v>0</v>
      </c>
      <c r="P610" s="451">
        <f>'Rep Ovh Bal'!P98</f>
        <v>0</v>
      </c>
      <c r="Q610" s="451">
        <f>'Rep Ovh Bal'!Q98</f>
        <v>0</v>
      </c>
      <c r="R610" s="451">
        <f>'Rep Ovh Bal'!R98</f>
        <v>0</v>
      </c>
      <c r="S610" s="451">
        <f>'Rep Ovh Bal'!S98</f>
        <v>0</v>
      </c>
      <c r="T610" s="451">
        <f>'Rep Ovh Bal'!T98</f>
        <v>0</v>
      </c>
      <c r="U610" s="451">
        <f>'Rep Ovh Bal'!U98</f>
        <v>0</v>
      </c>
      <c r="V610" s="451">
        <f>'Rep Ovh Bal'!V98</f>
        <v>24</v>
      </c>
      <c r="W610" s="1062">
        <f>'Rep Ovh Bal'!W98</f>
        <v>24</v>
      </c>
      <c r="X610" s="451">
        <f>'Rep Ovh Bal'!X98</f>
        <v>0</v>
      </c>
      <c r="Y610" s="451">
        <f>'Rep Ovh Bal'!Y98</f>
        <v>0</v>
      </c>
      <c r="Z610" s="451">
        <f>'Rep Ovh Bal'!Z98</f>
        <v>0</v>
      </c>
      <c r="AA610" s="451">
        <f>'Rep Ovh Bal'!AA98</f>
        <v>0</v>
      </c>
      <c r="AB610" s="451">
        <f>'Rep Ovh Bal'!AB98</f>
        <v>0</v>
      </c>
      <c r="AC610" s="451">
        <f>'Rep Ovh Bal'!AC98</f>
        <v>0</v>
      </c>
      <c r="AD610" s="451">
        <f>'Rep Ovh Bal'!AD98</f>
        <v>0</v>
      </c>
      <c r="AE610" s="451">
        <f>'Rep Ovh Bal'!AE98</f>
        <v>0</v>
      </c>
      <c r="AF610" s="451">
        <f>'Rep Ovh Bal'!AF98</f>
        <v>0</v>
      </c>
      <c r="AG610" s="451">
        <f>'Rep Ovh Bal'!AG98</f>
        <v>0</v>
      </c>
      <c r="AH610" s="451">
        <f>'Rep Ovh Bal'!AH98</f>
        <v>42</v>
      </c>
      <c r="AI610" s="1062">
        <f>'Rep Ovh Bal'!AI98</f>
        <v>42</v>
      </c>
      <c r="AJ610" s="451">
        <f>'Rep Ovh Bal'!AJ98</f>
        <v>0</v>
      </c>
      <c r="AK610" s="451">
        <f>'Rep Ovh Bal'!AK98</f>
        <v>0</v>
      </c>
      <c r="AL610" s="451">
        <f>'Rep Ovh Bal'!AL98</f>
        <v>0</v>
      </c>
      <c r="AM610" s="451">
        <f>'Rep Ovh Bal'!AM98</f>
        <v>0</v>
      </c>
      <c r="AN610" s="451">
        <f>'Rep Ovh Bal'!AN98</f>
        <v>0</v>
      </c>
      <c r="AO610" s="451">
        <f>'Rep Ovh Bal'!AO98</f>
        <v>0</v>
      </c>
      <c r="AP610" s="451">
        <f>'Rep Ovh Bal'!AP98</f>
        <v>0</v>
      </c>
      <c r="AQ610" s="451">
        <f>'Rep Ovh Bal'!AQ98</f>
        <v>0</v>
      </c>
      <c r="AR610" s="451">
        <f>'Rep Ovh Bal'!AR98</f>
        <v>0</v>
      </c>
      <c r="AS610" s="451">
        <f>'Rep Ovh Bal'!AS98</f>
        <v>0</v>
      </c>
      <c r="AT610" s="451">
        <f>'Rep Ovh Bal'!AT98</f>
        <v>26</v>
      </c>
      <c r="AU610" s="1062">
        <f>'Rep Ovh Bal'!AU98</f>
        <v>26</v>
      </c>
      <c r="AV610" s="1063">
        <f>'Rep Ovh Bal'!AV98</f>
        <v>92</v>
      </c>
      <c r="AW610" s="1068"/>
      <c r="AX610" s="1065">
        <f>'Rep Ovh Bal'!AW98</f>
        <v>763.82</v>
      </c>
      <c r="AY610" s="1062">
        <f>'Rep Ovh Bal'!AX98</f>
        <v>5316.1872</v>
      </c>
      <c r="AZ610" s="1068"/>
      <c r="BA610" s="1068"/>
      <c r="BB610" s="1068"/>
      <c r="BC610" s="1068"/>
      <c r="BD610" s="1068"/>
      <c r="BE610" s="1068"/>
      <c r="BF610" s="1065" t="str">
        <f>'Rep Ovh Bal'!BE98</f>
        <v/>
      </c>
      <c r="BG610" s="451" t="str">
        <f>'Rep Ovh Bal'!BH98</f>
        <v/>
      </c>
      <c r="BH610" s="451" t="str">
        <f>'Rep Ovh Bal'!BI98</f>
        <v/>
      </c>
      <c r="BI610" s="451" t="str">
        <f>'Rep Ovh Bal'!BJ98</f>
        <v/>
      </c>
      <c r="BJ610" s="451" t="str">
        <f>'Rep Ovh Bal'!BK98</f>
        <v/>
      </c>
      <c r="BK610" s="1062">
        <f>'Rep Ovh Bal'!AY98</f>
        <v>127588.4928</v>
      </c>
      <c r="BL610" s="1069">
        <f>'Rep Ovh Bal'!AY98</f>
        <v>127588.4928</v>
      </c>
      <c r="BM610" s="1068"/>
      <c r="BN610" s="1068"/>
      <c r="BO610" s="1068"/>
      <c r="BP610" s="451" t="str">
        <f>'Rep Ovh Bal'!BQ98</f>
        <v/>
      </c>
      <c r="BQ610" s="451" t="str">
        <f>'Rep Ovh Bal'!BR98</f>
        <v/>
      </c>
      <c r="BR610" s="451" t="str">
        <f>'Rep Ovh Bal'!BS98</f>
        <v/>
      </c>
      <c r="BS610" s="451" t="str">
        <f>'Rep Ovh Bal'!BT98</f>
        <v/>
      </c>
      <c r="BT610" s="451" t="str">
        <f>'Rep Ovh Bal'!BU98</f>
        <v/>
      </c>
      <c r="BU610" s="451" t="str">
        <f>'Rep Ovh Bal'!BV98</f>
        <v/>
      </c>
      <c r="BV610" s="451" t="str">
        <f>'Rep Ovh Bal'!BW98</f>
        <v/>
      </c>
      <c r="BW610" s="1062">
        <f>'Rep Ovh Bal'!AZ98</f>
        <v>223279.8624</v>
      </c>
      <c r="BX610" s="1069">
        <f>'Rep Ovh Bal'!AZ98</f>
        <v>223279.8624</v>
      </c>
      <c r="BY610" s="1068"/>
      <c r="BZ610" s="1068"/>
      <c r="CA610" s="451" t="str">
        <f>'Rep Ovh Bal'!CB98</f>
        <v/>
      </c>
      <c r="CB610" s="451" t="str">
        <f>'Rep Ovh Bal'!CC98</f>
        <v/>
      </c>
      <c r="CC610" s="451" t="str">
        <f>'Rep Ovh Bal'!CD98</f>
        <v/>
      </c>
      <c r="CD610" s="451" t="str">
        <f>'Rep Ovh Bal'!CE98</f>
        <v/>
      </c>
      <c r="CE610" s="451" t="str">
        <f>'Rep Ovh Bal'!CF98</f>
        <v/>
      </c>
      <c r="CF610" s="451" t="str">
        <f>'Rep Ovh Bal'!CG98</f>
        <v/>
      </c>
      <c r="CG610" s="451" t="str">
        <f>'Rep Ovh Bal'!CH98</f>
        <v/>
      </c>
      <c r="CH610" s="451" t="str">
        <f>'Rep Ovh Bal'!CI98</f>
        <v/>
      </c>
      <c r="CI610" s="1062">
        <f>'Rep Ovh Bal'!BA98</f>
        <v>138220.8672</v>
      </c>
      <c r="CJ610" s="1062">
        <f>'Rep Ovh Bal'!BA98</f>
        <v>138220.8672</v>
      </c>
      <c r="CK610" s="1062">
        <f>'Rep Ovh Bal'!BB98</f>
        <v>489089.2224</v>
      </c>
      <c r="CL610" s="1064" t="str">
        <f>'Rep Ovh Bal'!BC98</f>
        <v/>
      </c>
      <c r="CM610" s="451" t="str">
        <f>'Rep Ovh Bal'!CN98</f>
        <v/>
      </c>
      <c r="CN610" s="1065" t="str">
        <f>'Rep Ovh Bal'!BE94</f>
        <v/>
      </c>
      <c r="CO610" s="1062" t="str">
        <f>'Rep Ovh Bal'!BF94</f>
        <v/>
      </c>
      <c r="CP610" s="1060" t="str">
        <f>'Rep Ovh Bal'!BG94</f>
        <v/>
      </c>
    </row>
    <row r="611">
      <c r="A611" s="451" t="str">
        <f>'Rep Ovh Bal'!A99</f>
        <v>Repuestos mantenimientos mayores para estaciones y torres</v>
      </c>
      <c r="B611" s="451">
        <f>'Rep Ovh Bal'!B99</f>
        <v>2</v>
      </c>
      <c r="C611" s="451" t="str">
        <f>'Rep Ovh Bal'!C99</f>
        <v>Torres</v>
      </c>
      <c r="D611" s="451" t="str">
        <f>'Rep Ovh Bal'!D99</f>
        <v>OVH balancines TRM</v>
      </c>
      <c r="E611" s="451" t="str">
        <f>'Rep Ovh Bal'!E99</f>
        <v>Repuesto Mecánico</v>
      </c>
      <c r="F611" s="451" t="str">
        <f>'Rep Ovh Bal'!F99</f>
        <v>TDB</v>
      </c>
      <c r="G611" s="1025" t="str">
        <f>'Rep Ovh Bal'!G99</f>
        <v>39800</v>
      </c>
      <c r="H611" s="1061" t="str">
        <f>'Rep Ovh Bal'!H99</f>
        <v>2-01-00850</v>
      </c>
      <c r="I611" s="1061" t="str">
        <f>'Rep Ovh Bal'!I99</f>
        <v>11544948</v>
      </c>
      <c r="J611" s="1061" t="str">
        <f>'Rep Ovh Bal'!J99</f>
        <v>EJE DIÁ85H8 LN=457 P. APOYO 6 U 8 POL. 501C</v>
      </c>
      <c r="K611" s="451" t="str">
        <f>'Rep Ovh Bal'!K99</f>
        <v>Pza</v>
      </c>
      <c r="L611" s="451">
        <f>'Rep Ovh Bal'!L99</f>
        <v>0</v>
      </c>
      <c r="M611" s="451">
        <f>'Rep Ovh Bal'!M99</f>
        <v>0</v>
      </c>
      <c r="N611" s="451">
        <f>'Rep Ovh Bal'!N99</f>
        <v>0</v>
      </c>
      <c r="O611" s="451">
        <f>'Rep Ovh Bal'!O99</f>
        <v>0</v>
      </c>
      <c r="P611" s="451">
        <f>'Rep Ovh Bal'!P99</f>
        <v>0</v>
      </c>
      <c r="Q611" s="451">
        <f>'Rep Ovh Bal'!Q99</f>
        <v>0</v>
      </c>
      <c r="R611" s="451">
        <f>'Rep Ovh Bal'!R99</f>
        <v>0</v>
      </c>
      <c r="S611" s="451">
        <f>'Rep Ovh Bal'!S99</f>
        <v>0</v>
      </c>
      <c r="T611" s="451">
        <f>'Rep Ovh Bal'!T99</f>
        <v>0</v>
      </c>
      <c r="U611" s="451">
        <f>'Rep Ovh Bal'!U99</f>
        <v>0</v>
      </c>
      <c r="V611" s="451">
        <f>'Rep Ovh Bal'!V99</f>
        <v>14</v>
      </c>
      <c r="W611" s="1062">
        <f>'Rep Ovh Bal'!W99</f>
        <v>14</v>
      </c>
      <c r="X611" s="451">
        <f>'Rep Ovh Bal'!X99</f>
        <v>0</v>
      </c>
      <c r="Y611" s="451">
        <f>'Rep Ovh Bal'!Y99</f>
        <v>0</v>
      </c>
      <c r="Z611" s="451">
        <f>'Rep Ovh Bal'!Z99</f>
        <v>0</v>
      </c>
      <c r="AA611" s="451">
        <f>'Rep Ovh Bal'!AA99</f>
        <v>0</v>
      </c>
      <c r="AB611" s="451">
        <f>'Rep Ovh Bal'!AB99</f>
        <v>0</v>
      </c>
      <c r="AC611" s="451">
        <f>'Rep Ovh Bal'!AC99</f>
        <v>0</v>
      </c>
      <c r="AD611" s="451">
        <f>'Rep Ovh Bal'!AD99</f>
        <v>0</v>
      </c>
      <c r="AE611" s="451">
        <f>'Rep Ovh Bal'!AE99</f>
        <v>0</v>
      </c>
      <c r="AF611" s="451">
        <f>'Rep Ovh Bal'!AF99</f>
        <v>0</v>
      </c>
      <c r="AG611" s="451">
        <f>'Rep Ovh Bal'!AG99</f>
        <v>0</v>
      </c>
      <c r="AH611" s="451">
        <f>'Rep Ovh Bal'!AH99</f>
        <v>18</v>
      </c>
      <c r="AI611" s="1062">
        <f>'Rep Ovh Bal'!AI99</f>
        <v>18</v>
      </c>
      <c r="AJ611" s="451">
        <f>'Rep Ovh Bal'!AJ99</f>
        <v>0</v>
      </c>
      <c r="AK611" s="451">
        <f>'Rep Ovh Bal'!AK99</f>
        <v>0</v>
      </c>
      <c r="AL611" s="451">
        <f>'Rep Ovh Bal'!AL99</f>
        <v>0</v>
      </c>
      <c r="AM611" s="451">
        <f>'Rep Ovh Bal'!AM99</f>
        <v>0</v>
      </c>
      <c r="AN611" s="451">
        <f>'Rep Ovh Bal'!AN99</f>
        <v>0</v>
      </c>
      <c r="AO611" s="451">
        <f>'Rep Ovh Bal'!AO99</f>
        <v>0</v>
      </c>
      <c r="AP611" s="451">
        <f>'Rep Ovh Bal'!AP99</f>
        <v>0</v>
      </c>
      <c r="AQ611" s="451">
        <f>'Rep Ovh Bal'!AQ99</f>
        <v>0</v>
      </c>
      <c r="AR611" s="451">
        <f>'Rep Ovh Bal'!AR99</f>
        <v>0</v>
      </c>
      <c r="AS611" s="451">
        <f>'Rep Ovh Bal'!AS99</f>
        <v>0</v>
      </c>
      <c r="AT611" s="451">
        <f>'Rep Ovh Bal'!AT99</f>
        <v>32</v>
      </c>
      <c r="AU611" s="1062">
        <f>'Rep Ovh Bal'!AU99</f>
        <v>32</v>
      </c>
      <c r="AV611" s="1063">
        <f>'Rep Ovh Bal'!AV99</f>
        <v>64</v>
      </c>
      <c r="AW611" s="1068"/>
      <c r="AX611" s="1065">
        <f>'Rep Ovh Bal'!AW99</f>
        <v>728.67</v>
      </c>
      <c r="AY611" s="1062">
        <f>'Rep Ovh Bal'!AX99</f>
        <v>5071.5432</v>
      </c>
      <c r="AZ611" s="1068"/>
      <c r="BA611" s="1068"/>
      <c r="BB611" s="1068"/>
      <c r="BC611" s="1068"/>
      <c r="BD611" s="1068"/>
      <c r="BE611" s="1068"/>
      <c r="BF611" s="1065" t="str">
        <f>'Rep Ovh Bal'!BE99</f>
        <v/>
      </c>
      <c r="BG611" s="451" t="str">
        <f>'Rep Ovh Bal'!BH99</f>
        <v/>
      </c>
      <c r="BH611" s="451" t="str">
        <f>'Rep Ovh Bal'!BI99</f>
        <v/>
      </c>
      <c r="BI611" s="451" t="str">
        <f>'Rep Ovh Bal'!BJ99</f>
        <v/>
      </c>
      <c r="BJ611" s="451" t="str">
        <f>'Rep Ovh Bal'!BK99</f>
        <v/>
      </c>
      <c r="BK611" s="1062">
        <f>'Rep Ovh Bal'!AY99</f>
        <v>71001.6048</v>
      </c>
      <c r="BL611" s="1069">
        <f>'Rep Ovh Bal'!AY99</f>
        <v>71001.6048</v>
      </c>
      <c r="BM611" s="1068"/>
      <c r="BN611" s="1068"/>
      <c r="BO611" s="1068"/>
      <c r="BP611" s="451" t="str">
        <f>'Rep Ovh Bal'!BQ99</f>
        <v/>
      </c>
      <c r="BQ611" s="451" t="str">
        <f>'Rep Ovh Bal'!BR99</f>
        <v/>
      </c>
      <c r="BR611" s="451" t="str">
        <f>'Rep Ovh Bal'!BS99</f>
        <v/>
      </c>
      <c r="BS611" s="451" t="str">
        <f>'Rep Ovh Bal'!BT99</f>
        <v/>
      </c>
      <c r="BT611" s="451" t="str">
        <f>'Rep Ovh Bal'!BU99</f>
        <v/>
      </c>
      <c r="BU611" s="451" t="str">
        <f>'Rep Ovh Bal'!BV99</f>
        <v/>
      </c>
      <c r="BV611" s="451" t="str">
        <f>'Rep Ovh Bal'!BW99</f>
        <v/>
      </c>
      <c r="BW611" s="1062">
        <f>'Rep Ovh Bal'!AZ99</f>
        <v>91287.7776</v>
      </c>
      <c r="BX611" s="1069">
        <f>'Rep Ovh Bal'!AZ99</f>
        <v>91287.7776</v>
      </c>
      <c r="BY611" s="1068"/>
      <c r="BZ611" s="1068"/>
      <c r="CA611" s="451" t="str">
        <f>'Rep Ovh Bal'!CB99</f>
        <v/>
      </c>
      <c r="CB611" s="451" t="str">
        <f>'Rep Ovh Bal'!CC99</f>
        <v/>
      </c>
      <c r="CC611" s="451" t="str">
        <f>'Rep Ovh Bal'!CD99</f>
        <v/>
      </c>
      <c r="CD611" s="451" t="str">
        <f>'Rep Ovh Bal'!CE99</f>
        <v/>
      </c>
      <c r="CE611" s="451" t="str">
        <f>'Rep Ovh Bal'!CF99</f>
        <v/>
      </c>
      <c r="CF611" s="451" t="str">
        <f>'Rep Ovh Bal'!CG99</f>
        <v/>
      </c>
      <c r="CG611" s="451" t="str">
        <f>'Rep Ovh Bal'!CH99</f>
        <v/>
      </c>
      <c r="CH611" s="451" t="str">
        <f>'Rep Ovh Bal'!CI99</f>
        <v/>
      </c>
      <c r="CI611" s="1062">
        <f>'Rep Ovh Bal'!BA99</f>
        <v>162289.3824</v>
      </c>
      <c r="CJ611" s="1062">
        <f>'Rep Ovh Bal'!BA99</f>
        <v>162289.3824</v>
      </c>
      <c r="CK611" s="1062">
        <f>'Rep Ovh Bal'!BB99</f>
        <v>324578.7648</v>
      </c>
      <c r="CL611" s="1064" t="str">
        <f>'Rep Ovh Bal'!BC99</f>
        <v/>
      </c>
      <c r="CM611" s="451" t="str">
        <f>'Rep Ovh Bal'!CN99</f>
        <v/>
      </c>
      <c r="CN611" s="1065" t="str">
        <f>'Rep Ovh Bal'!BE95</f>
        <v/>
      </c>
      <c r="CO611" s="1062" t="str">
        <f>'Rep Ovh Bal'!BF95</f>
        <v/>
      </c>
      <c r="CP611" s="1060" t="str">
        <f>'Rep Ovh Bal'!BG95</f>
        <v/>
      </c>
    </row>
    <row r="612">
      <c r="A612" s="451" t="str">
        <f>'Rep Ovh Bal'!A100</f>
        <v>Repuestos mantenimientos mayores para estaciones y torres</v>
      </c>
      <c r="B612" s="451">
        <f>'Rep Ovh Bal'!B100</f>
        <v>2</v>
      </c>
      <c r="C612" s="451" t="str">
        <f>'Rep Ovh Bal'!C100</f>
        <v>Torres</v>
      </c>
      <c r="D612" s="451" t="str">
        <f>'Rep Ovh Bal'!D100</f>
        <v>OVH balancines TRM</v>
      </c>
      <c r="E612" s="451" t="str">
        <f>'Rep Ovh Bal'!E100</f>
        <v>Repuesto Mecánico</v>
      </c>
      <c r="F612" s="451" t="str">
        <f>'Rep Ovh Bal'!F100</f>
        <v>TDB</v>
      </c>
      <c r="G612" s="1025" t="str">
        <f>'Rep Ovh Bal'!G100</f>
        <v>39800</v>
      </c>
      <c r="H612" s="1061" t="str">
        <f>'Rep Ovh Bal'!H100</f>
        <v/>
      </c>
      <c r="I612" s="1061" t="str">
        <f>'Rep Ovh Bal'!I100</f>
        <v>11544995</v>
      </c>
      <c r="J612" s="1061" t="str">
        <f>'Rep Ovh Bal'!J100</f>
        <v>EJE DIÁ55H8 LN 653 M24 P. C. DE 2 POL. EN ARM. 6 POL. 420C</v>
      </c>
      <c r="K612" s="451" t="str">
        <f>'Rep Ovh Bal'!K100</f>
        <v>Pza</v>
      </c>
      <c r="L612" s="451">
        <f>'Rep Ovh Bal'!L100</f>
        <v>0</v>
      </c>
      <c r="M612" s="451">
        <f>'Rep Ovh Bal'!M100</f>
        <v>0</v>
      </c>
      <c r="N612" s="451">
        <f>'Rep Ovh Bal'!N100</f>
        <v>0</v>
      </c>
      <c r="O612" s="451">
        <f>'Rep Ovh Bal'!O100</f>
        <v>0</v>
      </c>
      <c r="P612" s="451">
        <f>'Rep Ovh Bal'!P100</f>
        <v>0</v>
      </c>
      <c r="Q612" s="451">
        <f>'Rep Ovh Bal'!Q100</f>
        <v>0</v>
      </c>
      <c r="R612" s="451">
        <f>'Rep Ovh Bal'!R100</f>
        <v>0</v>
      </c>
      <c r="S612" s="451">
        <f>'Rep Ovh Bal'!S100</f>
        <v>0</v>
      </c>
      <c r="T612" s="451">
        <f>'Rep Ovh Bal'!T100</f>
        <v>0</v>
      </c>
      <c r="U612" s="451">
        <f>'Rep Ovh Bal'!U100</f>
        <v>0</v>
      </c>
      <c r="V612" s="451">
        <f>'Rep Ovh Bal'!V100</f>
        <v>32</v>
      </c>
      <c r="W612" s="1062">
        <f>'Rep Ovh Bal'!W100</f>
        <v>32</v>
      </c>
      <c r="X612" s="451">
        <f>'Rep Ovh Bal'!X100</f>
        <v>0</v>
      </c>
      <c r="Y612" s="451">
        <f>'Rep Ovh Bal'!Y100</f>
        <v>0</v>
      </c>
      <c r="Z612" s="451">
        <f>'Rep Ovh Bal'!Z100</f>
        <v>0</v>
      </c>
      <c r="AA612" s="451">
        <f>'Rep Ovh Bal'!AA100</f>
        <v>0</v>
      </c>
      <c r="AB612" s="451">
        <f>'Rep Ovh Bal'!AB100</f>
        <v>0</v>
      </c>
      <c r="AC612" s="451">
        <f>'Rep Ovh Bal'!AC100</f>
        <v>0</v>
      </c>
      <c r="AD612" s="451">
        <f>'Rep Ovh Bal'!AD100</f>
        <v>0</v>
      </c>
      <c r="AE612" s="451">
        <f>'Rep Ovh Bal'!AE100</f>
        <v>0</v>
      </c>
      <c r="AF612" s="451">
        <f>'Rep Ovh Bal'!AF100</f>
        <v>0</v>
      </c>
      <c r="AG612" s="451">
        <f>'Rep Ovh Bal'!AG100</f>
        <v>0</v>
      </c>
      <c r="AH612" s="451">
        <f>'Rep Ovh Bal'!AH100</f>
        <v>0</v>
      </c>
      <c r="AI612" s="1062">
        <f>'Rep Ovh Bal'!AI100</f>
        <v>0</v>
      </c>
      <c r="AJ612" s="451">
        <f>'Rep Ovh Bal'!AJ100</f>
        <v>0</v>
      </c>
      <c r="AK612" s="451">
        <f>'Rep Ovh Bal'!AK100</f>
        <v>0</v>
      </c>
      <c r="AL612" s="451">
        <f>'Rep Ovh Bal'!AL100</f>
        <v>0</v>
      </c>
      <c r="AM612" s="451">
        <f>'Rep Ovh Bal'!AM100</f>
        <v>0</v>
      </c>
      <c r="AN612" s="451">
        <f>'Rep Ovh Bal'!AN100</f>
        <v>0</v>
      </c>
      <c r="AO612" s="451">
        <f>'Rep Ovh Bal'!AO100</f>
        <v>0</v>
      </c>
      <c r="AP612" s="451">
        <f>'Rep Ovh Bal'!AP100</f>
        <v>0</v>
      </c>
      <c r="AQ612" s="451">
        <f>'Rep Ovh Bal'!AQ100</f>
        <v>0</v>
      </c>
      <c r="AR612" s="451">
        <f>'Rep Ovh Bal'!AR100</f>
        <v>0</v>
      </c>
      <c r="AS612" s="451">
        <f>'Rep Ovh Bal'!AS100</f>
        <v>0</v>
      </c>
      <c r="AT612" s="451">
        <f>'Rep Ovh Bal'!AT100</f>
        <v>18</v>
      </c>
      <c r="AU612" s="1062">
        <f>'Rep Ovh Bal'!AU100</f>
        <v>18</v>
      </c>
      <c r="AV612" s="1063">
        <f>'Rep Ovh Bal'!AV100</f>
        <v>50</v>
      </c>
      <c r="AW612" s="1068"/>
      <c r="AX612" s="1065">
        <f>'Rep Ovh Bal'!AW100</f>
        <v>549.81</v>
      </c>
      <c r="AY612" s="1062">
        <f>'Rep Ovh Bal'!AX100</f>
        <v>3826.6776</v>
      </c>
      <c r="AZ612" s="1068"/>
      <c r="BA612" s="1068"/>
      <c r="BB612" s="1068"/>
      <c r="BC612" s="1068"/>
      <c r="BD612" s="1068"/>
      <c r="BE612" s="1068"/>
      <c r="BF612" s="1065" t="str">
        <f>'Rep Ovh Bal'!BE100</f>
        <v/>
      </c>
      <c r="BG612" s="451" t="str">
        <f>'Rep Ovh Bal'!BH100</f>
        <v/>
      </c>
      <c r="BH612" s="451" t="str">
        <f>'Rep Ovh Bal'!BI100</f>
        <v/>
      </c>
      <c r="BI612" s="451" t="str">
        <f>'Rep Ovh Bal'!BJ100</f>
        <v/>
      </c>
      <c r="BJ612" s="451" t="str">
        <f>'Rep Ovh Bal'!BK100</f>
        <v/>
      </c>
      <c r="BK612" s="1062">
        <f>'Rep Ovh Bal'!AY100</f>
        <v>122453.6832</v>
      </c>
      <c r="BL612" s="1069">
        <f>'Rep Ovh Bal'!AY100</f>
        <v>122453.6832</v>
      </c>
      <c r="BM612" s="1068"/>
      <c r="BN612" s="1068"/>
      <c r="BO612" s="1068"/>
      <c r="BP612" s="451" t="str">
        <f>'Rep Ovh Bal'!BQ100</f>
        <v/>
      </c>
      <c r="BQ612" s="451" t="str">
        <f>'Rep Ovh Bal'!BR100</f>
        <v/>
      </c>
      <c r="BR612" s="451" t="str">
        <f>'Rep Ovh Bal'!BS100</f>
        <v/>
      </c>
      <c r="BS612" s="451" t="str">
        <f>'Rep Ovh Bal'!BT100</f>
        <v/>
      </c>
      <c r="BT612" s="451" t="str">
        <f>'Rep Ovh Bal'!BU100</f>
        <v/>
      </c>
      <c r="BU612" s="451" t="str">
        <f>'Rep Ovh Bal'!BV100</f>
        <v/>
      </c>
      <c r="BV612" s="451" t="str">
        <f>'Rep Ovh Bal'!BW100</f>
        <v/>
      </c>
      <c r="BW612" s="1062">
        <f>'Rep Ovh Bal'!AZ100</f>
        <v>0</v>
      </c>
      <c r="BX612" s="1069">
        <f>'Rep Ovh Bal'!AZ100</f>
        <v>0</v>
      </c>
      <c r="BY612" s="1068"/>
      <c r="BZ612" s="1068"/>
      <c r="CA612" s="451" t="str">
        <f>'Rep Ovh Bal'!CB100</f>
        <v/>
      </c>
      <c r="CB612" s="451" t="str">
        <f>'Rep Ovh Bal'!CC100</f>
        <v/>
      </c>
      <c r="CC612" s="451" t="str">
        <f>'Rep Ovh Bal'!CD100</f>
        <v/>
      </c>
      <c r="CD612" s="451" t="str">
        <f>'Rep Ovh Bal'!CE100</f>
        <v/>
      </c>
      <c r="CE612" s="451" t="str">
        <f>'Rep Ovh Bal'!CF100</f>
        <v/>
      </c>
      <c r="CF612" s="451" t="str">
        <f>'Rep Ovh Bal'!CG100</f>
        <v/>
      </c>
      <c r="CG612" s="451" t="str">
        <f>'Rep Ovh Bal'!CH100</f>
        <v/>
      </c>
      <c r="CH612" s="451" t="str">
        <f>'Rep Ovh Bal'!CI100</f>
        <v/>
      </c>
      <c r="CI612" s="1062">
        <f>'Rep Ovh Bal'!BA100</f>
        <v>68880.1968</v>
      </c>
      <c r="CJ612" s="1062">
        <f>'Rep Ovh Bal'!BA100</f>
        <v>68880.1968</v>
      </c>
      <c r="CK612" s="1062">
        <f>'Rep Ovh Bal'!BB100</f>
        <v>191333.88</v>
      </c>
      <c r="CL612" s="1064" t="str">
        <f>'Rep Ovh Bal'!BC100</f>
        <v/>
      </c>
      <c r="CM612" s="451" t="str">
        <f>'Rep Ovh Bal'!CN100</f>
        <v/>
      </c>
      <c r="CN612" s="1065" t="str">
        <f>'Rep Ovh Bal'!BE96</f>
        <v/>
      </c>
      <c r="CO612" s="1062" t="str">
        <f>'Rep Ovh Bal'!BF96</f>
        <v/>
      </c>
      <c r="CP612" s="1060" t="str">
        <f>'Rep Ovh Bal'!BG96</f>
        <v/>
      </c>
    </row>
    <row r="613">
      <c r="A613" s="451" t="str">
        <f>'Rep Ovh Bal'!A101</f>
        <v>Repuestos mantenimientos mayores para estaciones y torres</v>
      </c>
      <c r="B613" s="451">
        <f>'Rep Ovh Bal'!B101</f>
        <v>2</v>
      </c>
      <c r="C613" s="451" t="str">
        <f>'Rep Ovh Bal'!C101</f>
        <v>Torres</v>
      </c>
      <c r="D613" s="451" t="str">
        <f>'Rep Ovh Bal'!D101</f>
        <v>OVH balancines TRM</v>
      </c>
      <c r="E613" s="451" t="str">
        <f>'Rep Ovh Bal'!E101</f>
        <v>Repuesto Mecánico</v>
      </c>
      <c r="F613" s="451" t="str">
        <f>'Rep Ovh Bal'!F101</f>
        <v>TDB</v>
      </c>
      <c r="G613" s="1025" t="str">
        <f>'Rep Ovh Bal'!G101</f>
        <v>39800</v>
      </c>
      <c r="H613" s="1061" t="str">
        <f>'Rep Ovh Bal'!H101</f>
        <v>2-01-00851</v>
      </c>
      <c r="I613" s="1061" t="str">
        <f>'Rep Ovh Bal'!I101</f>
        <v>11544996</v>
      </c>
      <c r="J613" s="1061" t="str">
        <f>'Rep Ovh Bal'!J101</f>
        <v>BULÓN DIÁ 100H8 LN 691 P. APOYO 10 Y 12 P. TIPO 501C</v>
      </c>
      <c r="K613" s="451" t="str">
        <f>'Rep Ovh Bal'!K101</f>
        <v>Pza</v>
      </c>
      <c r="L613" s="451">
        <f>'Rep Ovh Bal'!L101</f>
        <v>0</v>
      </c>
      <c r="M613" s="451">
        <f>'Rep Ovh Bal'!M101</f>
        <v>0</v>
      </c>
      <c r="N613" s="451">
        <f>'Rep Ovh Bal'!N101</f>
        <v>0</v>
      </c>
      <c r="O613" s="451">
        <f>'Rep Ovh Bal'!O101</f>
        <v>0</v>
      </c>
      <c r="P613" s="451">
        <f>'Rep Ovh Bal'!P101</f>
        <v>0</v>
      </c>
      <c r="Q613" s="451">
        <f>'Rep Ovh Bal'!Q101</f>
        <v>0</v>
      </c>
      <c r="R613" s="451">
        <f>'Rep Ovh Bal'!R101</f>
        <v>0</v>
      </c>
      <c r="S613" s="451">
        <f>'Rep Ovh Bal'!S101</f>
        <v>0</v>
      </c>
      <c r="T613" s="451">
        <f>'Rep Ovh Bal'!T101</f>
        <v>0</v>
      </c>
      <c r="U613" s="451">
        <f>'Rep Ovh Bal'!U101</f>
        <v>0</v>
      </c>
      <c r="V613" s="451">
        <f>'Rep Ovh Bal'!V101</f>
        <v>20</v>
      </c>
      <c r="W613" s="1062">
        <f>'Rep Ovh Bal'!W101</f>
        <v>20</v>
      </c>
      <c r="X613" s="451">
        <f>'Rep Ovh Bal'!X101</f>
        <v>0</v>
      </c>
      <c r="Y613" s="451">
        <f>'Rep Ovh Bal'!Y101</f>
        <v>0</v>
      </c>
      <c r="Z613" s="451">
        <f>'Rep Ovh Bal'!Z101</f>
        <v>0</v>
      </c>
      <c r="AA613" s="451">
        <f>'Rep Ovh Bal'!AA101</f>
        <v>0</v>
      </c>
      <c r="AB613" s="451">
        <f>'Rep Ovh Bal'!AB101</f>
        <v>0</v>
      </c>
      <c r="AC613" s="451">
        <f>'Rep Ovh Bal'!AC101</f>
        <v>0</v>
      </c>
      <c r="AD613" s="451">
        <f>'Rep Ovh Bal'!AD101</f>
        <v>0</v>
      </c>
      <c r="AE613" s="451">
        <f>'Rep Ovh Bal'!AE101</f>
        <v>0</v>
      </c>
      <c r="AF613" s="451">
        <f>'Rep Ovh Bal'!AF101</f>
        <v>0</v>
      </c>
      <c r="AG613" s="451">
        <f>'Rep Ovh Bal'!AG101</f>
        <v>0</v>
      </c>
      <c r="AH613" s="451">
        <f>'Rep Ovh Bal'!AH101</f>
        <v>40</v>
      </c>
      <c r="AI613" s="1062">
        <f>'Rep Ovh Bal'!AI101</f>
        <v>40</v>
      </c>
      <c r="AJ613" s="451">
        <f>'Rep Ovh Bal'!AJ101</f>
        <v>0</v>
      </c>
      <c r="AK613" s="451">
        <f>'Rep Ovh Bal'!AK101</f>
        <v>0</v>
      </c>
      <c r="AL613" s="451">
        <f>'Rep Ovh Bal'!AL101</f>
        <v>0</v>
      </c>
      <c r="AM613" s="451">
        <f>'Rep Ovh Bal'!AM101</f>
        <v>0</v>
      </c>
      <c r="AN613" s="451">
        <f>'Rep Ovh Bal'!AN101</f>
        <v>0</v>
      </c>
      <c r="AO613" s="451">
        <f>'Rep Ovh Bal'!AO101</f>
        <v>0</v>
      </c>
      <c r="AP613" s="451">
        <f>'Rep Ovh Bal'!AP101</f>
        <v>0</v>
      </c>
      <c r="AQ613" s="451">
        <f>'Rep Ovh Bal'!AQ101</f>
        <v>0</v>
      </c>
      <c r="AR613" s="451">
        <f>'Rep Ovh Bal'!AR101</f>
        <v>0</v>
      </c>
      <c r="AS613" s="451">
        <f>'Rep Ovh Bal'!AS101</f>
        <v>0</v>
      </c>
      <c r="AT613" s="451">
        <f>'Rep Ovh Bal'!AT101</f>
        <v>26</v>
      </c>
      <c r="AU613" s="1062">
        <f>'Rep Ovh Bal'!AU101</f>
        <v>26</v>
      </c>
      <c r="AV613" s="1063">
        <f>'Rep Ovh Bal'!AV101</f>
        <v>86</v>
      </c>
      <c r="AW613" s="1068"/>
      <c r="AX613" s="1065">
        <f>'Rep Ovh Bal'!AW101</f>
        <v>1470.72</v>
      </c>
      <c r="AY613" s="1062">
        <f>'Rep Ovh Bal'!AX101</f>
        <v>10236.2112</v>
      </c>
      <c r="AZ613" s="1068"/>
      <c r="BA613" s="1068"/>
      <c r="BB613" s="1068"/>
      <c r="BC613" s="1068"/>
      <c r="BD613" s="1068"/>
      <c r="BE613" s="1068"/>
      <c r="BF613" s="1065" t="str">
        <f>'Rep Ovh Bal'!BE101</f>
        <v/>
      </c>
      <c r="BG613" s="451" t="str">
        <f>'Rep Ovh Bal'!BH101</f>
        <v/>
      </c>
      <c r="BH613" s="451" t="str">
        <f>'Rep Ovh Bal'!BI101</f>
        <v/>
      </c>
      <c r="BI613" s="451" t="str">
        <f>'Rep Ovh Bal'!BJ101</f>
        <v/>
      </c>
      <c r="BJ613" s="451" t="str">
        <f>'Rep Ovh Bal'!BK101</f>
        <v/>
      </c>
      <c r="BK613" s="1062">
        <f>'Rep Ovh Bal'!AY101</f>
        <v>204724.224</v>
      </c>
      <c r="BL613" s="1069">
        <f>'Rep Ovh Bal'!AY101</f>
        <v>204724.224</v>
      </c>
      <c r="BM613" s="1068"/>
      <c r="BN613" s="1068"/>
      <c r="BO613" s="1068"/>
      <c r="BP613" s="451" t="str">
        <f>'Rep Ovh Bal'!BQ101</f>
        <v/>
      </c>
      <c r="BQ613" s="451" t="str">
        <f>'Rep Ovh Bal'!BR101</f>
        <v/>
      </c>
      <c r="BR613" s="451" t="str">
        <f>'Rep Ovh Bal'!BS101</f>
        <v/>
      </c>
      <c r="BS613" s="451" t="str">
        <f>'Rep Ovh Bal'!BT101</f>
        <v/>
      </c>
      <c r="BT613" s="451" t="str">
        <f>'Rep Ovh Bal'!BU101</f>
        <v/>
      </c>
      <c r="BU613" s="451" t="str">
        <f>'Rep Ovh Bal'!BV101</f>
        <v/>
      </c>
      <c r="BV613" s="451" t="str">
        <f>'Rep Ovh Bal'!BW101</f>
        <v/>
      </c>
      <c r="BW613" s="1062">
        <f>'Rep Ovh Bal'!AZ101</f>
        <v>409448.448</v>
      </c>
      <c r="BX613" s="1069">
        <f>'Rep Ovh Bal'!AZ101</f>
        <v>409448.448</v>
      </c>
      <c r="BY613" s="1068"/>
      <c r="BZ613" s="1068"/>
      <c r="CA613" s="451" t="str">
        <f>'Rep Ovh Bal'!CB101</f>
        <v/>
      </c>
      <c r="CB613" s="451" t="str">
        <f>'Rep Ovh Bal'!CC101</f>
        <v/>
      </c>
      <c r="CC613" s="451" t="str">
        <f>'Rep Ovh Bal'!CD101</f>
        <v/>
      </c>
      <c r="CD613" s="451" t="str">
        <f>'Rep Ovh Bal'!CE101</f>
        <v/>
      </c>
      <c r="CE613" s="451" t="str">
        <f>'Rep Ovh Bal'!CF101</f>
        <v/>
      </c>
      <c r="CF613" s="451" t="str">
        <f>'Rep Ovh Bal'!CG101</f>
        <v/>
      </c>
      <c r="CG613" s="451" t="str">
        <f>'Rep Ovh Bal'!CH101</f>
        <v/>
      </c>
      <c r="CH613" s="451" t="str">
        <f>'Rep Ovh Bal'!CI101</f>
        <v/>
      </c>
      <c r="CI613" s="1062">
        <f>'Rep Ovh Bal'!BA101</f>
        <v>266141.4912</v>
      </c>
      <c r="CJ613" s="1062">
        <f>'Rep Ovh Bal'!BA101</f>
        <v>266141.4912</v>
      </c>
      <c r="CK613" s="1062">
        <f>'Rep Ovh Bal'!BB101</f>
        <v>880314.1632</v>
      </c>
      <c r="CL613" s="1064" t="str">
        <f>'Rep Ovh Bal'!BC101</f>
        <v/>
      </c>
      <c r="CM613" s="451" t="str">
        <f>'Rep Ovh Bal'!CN101</f>
        <v/>
      </c>
      <c r="CN613" s="1065" t="str">
        <f>'Rep Ovh Bal'!BE97</f>
        <v/>
      </c>
      <c r="CO613" s="1062" t="str">
        <f>'Rep Ovh Bal'!BF97</f>
        <v/>
      </c>
      <c r="CP613" s="1060" t="str">
        <f>'Rep Ovh Bal'!BG97</f>
        <v/>
      </c>
    </row>
    <row r="614">
      <c r="A614" s="451" t="str">
        <f>'Rep Ovh Bal'!A102</f>
        <v>Repuestos mantenimientos mayores para estaciones y torres</v>
      </c>
      <c r="B614" s="451">
        <f>'Rep Ovh Bal'!B102</f>
        <v>2</v>
      </c>
      <c r="C614" s="451" t="str">
        <f>'Rep Ovh Bal'!C102</f>
        <v>Torres</v>
      </c>
      <c r="D614" s="451" t="str">
        <f>'Rep Ovh Bal'!D102</f>
        <v>OVH balancines TRM</v>
      </c>
      <c r="E614" s="451" t="str">
        <f>'Rep Ovh Bal'!E102</f>
        <v>Repuesto Mecánico</v>
      </c>
      <c r="F614" s="451" t="str">
        <f>'Rep Ovh Bal'!F102</f>
        <v>TDB</v>
      </c>
      <c r="G614" s="1025" t="str">
        <f>'Rep Ovh Bal'!G102</f>
        <v>39800</v>
      </c>
      <c r="H614" s="1061" t="str">
        <f>'Rep Ovh Bal'!H102</f>
        <v>2-01-00992</v>
      </c>
      <c r="I614" s="1061" t="str">
        <f>'Rep Ovh Bal'!I102</f>
        <v>11545032</v>
      </c>
      <c r="J614" s="1061" t="str">
        <f>'Rep Ovh Bal'!J102</f>
        <v>EJE DIÁ75H8 LN 585 M16 AGP P. C. 4 POL. EN ARM 6/8 ARM. 420C</v>
      </c>
      <c r="K614" s="451" t="str">
        <f>'Rep Ovh Bal'!K102</f>
        <v>Pza</v>
      </c>
      <c r="L614" s="451">
        <f>'Rep Ovh Bal'!L102</f>
        <v>0</v>
      </c>
      <c r="M614" s="451">
        <f>'Rep Ovh Bal'!M102</f>
        <v>0</v>
      </c>
      <c r="N614" s="451">
        <f>'Rep Ovh Bal'!N102</f>
        <v>0</v>
      </c>
      <c r="O614" s="451">
        <f>'Rep Ovh Bal'!O102</f>
        <v>0</v>
      </c>
      <c r="P614" s="451">
        <f>'Rep Ovh Bal'!P102</f>
        <v>0</v>
      </c>
      <c r="Q614" s="451">
        <f>'Rep Ovh Bal'!Q102</f>
        <v>0</v>
      </c>
      <c r="R614" s="451">
        <f>'Rep Ovh Bal'!R102</f>
        <v>0</v>
      </c>
      <c r="S614" s="451">
        <f>'Rep Ovh Bal'!S102</f>
        <v>0</v>
      </c>
      <c r="T614" s="451">
        <f>'Rep Ovh Bal'!T102</f>
        <v>0</v>
      </c>
      <c r="U614" s="451">
        <f>'Rep Ovh Bal'!U102</f>
        <v>0</v>
      </c>
      <c r="V614" s="451">
        <f>'Rep Ovh Bal'!V102</f>
        <v>108</v>
      </c>
      <c r="W614" s="1062">
        <f>'Rep Ovh Bal'!W102</f>
        <v>108</v>
      </c>
      <c r="X614" s="451">
        <f>'Rep Ovh Bal'!X102</f>
        <v>0</v>
      </c>
      <c r="Y614" s="451">
        <f>'Rep Ovh Bal'!Y102</f>
        <v>0</v>
      </c>
      <c r="Z614" s="451">
        <f>'Rep Ovh Bal'!Z102</f>
        <v>0</v>
      </c>
      <c r="AA614" s="451">
        <f>'Rep Ovh Bal'!AA102</f>
        <v>0</v>
      </c>
      <c r="AB614" s="451">
        <f>'Rep Ovh Bal'!AB102</f>
        <v>0</v>
      </c>
      <c r="AC614" s="451">
        <f>'Rep Ovh Bal'!AC102</f>
        <v>0</v>
      </c>
      <c r="AD614" s="451">
        <f>'Rep Ovh Bal'!AD102</f>
        <v>0</v>
      </c>
      <c r="AE614" s="451">
        <f>'Rep Ovh Bal'!AE102</f>
        <v>0</v>
      </c>
      <c r="AF614" s="451">
        <f>'Rep Ovh Bal'!AF102</f>
        <v>0</v>
      </c>
      <c r="AG614" s="451">
        <f>'Rep Ovh Bal'!AG102</f>
        <v>0</v>
      </c>
      <c r="AH614" s="451">
        <f>'Rep Ovh Bal'!AH102</f>
        <v>12</v>
      </c>
      <c r="AI614" s="1062">
        <f>'Rep Ovh Bal'!AI102</f>
        <v>12</v>
      </c>
      <c r="AJ614" s="451">
        <f>'Rep Ovh Bal'!AJ102</f>
        <v>0</v>
      </c>
      <c r="AK614" s="451">
        <f>'Rep Ovh Bal'!AK102</f>
        <v>0</v>
      </c>
      <c r="AL614" s="451">
        <f>'Rep Ovh Bal'!AL102</f>
        <v>0</v>
      </c>
      <c r="AM614" s="451">
        <f>'Rep Ovh Bal'!AM102</f>
        <v>0</v>
      </c>
      <c r="AN614" s="451">
        <f>'Rep Ovh Bal'!AN102</f>
        <v>0</v>
      </c>
      <c r="AO614" s="451">
        <f>'Rep Ovh Bal'!AO102</f>
        <v>0</v>
      </c>
      <c r="AP614" s="451">
        <f>'Rep Ovh Bal'!AP102</f>
        <v>0</v>
      </c>
      <c r="AQ614" s="451">
        <f>'Rep Ovh Bal'!AQ102</f>
        <v>0</v>
      </c>
      <c r="AR614" s="451">
        <f>'Rep Ovh Bal'!AR102</f>
        <v>0</v>
      </c>
      <c r="AS614" s="451">
        <f>'Rep Ovh Bal'!AS102</f>
        <v>0</v>
      </c>
      <c r="AT614" s="451">
        <f>'Rep Ovh Bal'!AT102</f>
        <v>54</v>
      </c>
      <c r="AU614" s="1062">
        <f>'Rep Ovh Bal'!AU102</f>
        <v>54</v>
      </c>
      <c r="AV614" s="1063">
        <f>'Rep Ovh Bal'!AV102</f>
        <v>174</v>
      </c>
      <c r="AW614" s="1068"/>
      <c r="AX614" s="1065">
        <f>'Rep Ovh Bal'!AW102</f>
        <v>718.44</v>
      </c>
      <c r="AY614" s="1062">
        <f>'Rep Ovh Bal'!AX102</f>
        <v>5000.3424</v>
      </c>
      <c r="AZ614" s="1068"/>
      <c r="BA614" s="1068"/>
      <c r="BB614" s="1068"/>
      <c r="BC614" s="1068"/>
      <c r="BD614" s="1068"/>
      <c r="BE614" s="1068"/>
      <c r="BF614" s="1065" t="str">
        <f>'Rep Ovh Bal'!BE102</f>
        <v/>
      </c>
      <c r="BG614" s="451" t="str">
        <f>'Rep Ovh Bal'!BH102</f>
        <v/>
      </c>
      <c r="BH614" s="451" t="str">
        <f>'Rep Ovh Bal'!BI102</f>
        <v/>
      </c>
      <c r="BI614" s="451" t="str">
        <f>'Rep Ovh Bal'!BJ102</f>
        <v/>
      </c>
      <c r="BJ614" s="451" t="str">
        <f>'Rep Ovh Bal'!BK102</f>
        <v/>
      </c>
      <c r="BK614" s="1062">
        <f>'Rep Ovh Bal'!AY102</f>
        <v>540036.9792</v>
      </c>
      <c r="BL614" s="1069">
        <f>'Rep Ovh Bal'!AY102</f>
        <v>540036.9792</v>
      </c>
      <c r="BM614" s="1068"/>
      <c r="BN614" s="1068"/>
      <c r="BO614" s="1068"/>
      <c r="BP614" s="451" t="str">
        <f>'Rep Ovh Bal'!BQ102</f>
        <v/>
      </c>
      <c r="BQ614" s="451" t="str">
        <f>'Rep Ovh Bal'!BR102</f>
        <v/>
      </c>
      <c r="BR614" s="451" t="str">
        <f>'Rep Ovh Bal'!BS102</f>
        <v/>
      </c>
      <c r="BS614" s="451" t="str">
        <f>'Rep Ovh Bal'!BT102</f>
        <v/>
      </c>
      <c r="BT614" s="451" t="str">
        <f>'Rep Ovh Bal'!BU102</f>
        <v/>
      </c>
      <c r="BU614" s="451" t="str">
        <f>'Rep Ovh Bal'!BV102</f>
        <v/>
      </c>
      <c r="BV614" s="451" t="str">
        <f>'Rep Ovh Bal'!BW102</f>
        <v/>
      </c>
      <c r="BW614" s="1062">
        <f>'Rep Ovh Bal'!AZ102</f>
        <v>60004.1088</v>
      </c>
      <c r="BX614" s="1069">
        <f>'Rep Ovh Bal'!AZ102</f>
        <v>60004.1088</v>
      </c>
      <c r="BY614" s="1068"/>
      <c r="BZ614" s="1068"/>
      <c r="CA614" s="451" t="str">
        <f>'Rep Ovh Bal'!CB102</f>
        <v/>
      </c>
      <c r="CB614" s="451" t="str">
        <f>'Rep Ovh Bal'!CC102</f>
        <v/>
      </c>
      <c r="CC614" s="451" t="str">
        <f>'Rep Ovh Bal'!CD102</f>
        <v/>
      </c>
      <c r="CD614" s="451" t="str">
        <f>'Rep Ovh Bal'!CE102</f>
        <v/>
      </c>
      <c r="CE614" s="451" t="str">
        <f>'Rep Ovh Bal'!CF102</f>
        <v/>
      </c>
      <c r="CF614" s="451" t="str">
        <f>'Rep Ovh Bal'!CG102</f>
        <v/>
      </c>
      <c r="CG614" s="451" t="str">
        <f>'Rep Ovh Bal'!CH102</f>
        <v/>
      </c>
      <c r="CH614" s="451" t="str">
        <f>'Rep Ovh Bal'!CI102</f>
        <v/>
      </c>
      <c r="CI614" s="1062">
        <f>'Rep Ovh Bal'!BA102</f>
        <v>270018.4896</v>
      </c>
      <c r="CJ614" s="1062">
        <f>'Rep Ovh Bal'!BA102</f>
        <v>270018.4896</v>
      </c>
      <c r="CK614" s="1062">
        <f>'Rep Ovh Bal'!BB102</f>
        <v>870059.5776</v>
      </c>
      <c r="CL614" s="1064" t="str">
        <f>'Rep Ovh Bal'!BC102</f>
        <v/>
      </c>
      <c r="CM614" s="451" t="str">
        <f>'Rep Ovh Bal'!CN102</f>
        <v/>
      </c>
      <c r="CN614" s="1065" t="str">
        <f>'Rep Ovh Bal'!BE98</f>
        <v/>
      </c>
      <c r="CO614" s="1062" t="str">
        <f>'Rep Ovh Bal'!BF98</f>
        <v/>
      </c>
      <c r="CP614" s="1060" t="str">
        <f>'Rep Ovh Bal'!BG98</f>
        <v/>
      </c>
    </row>
    <row r="615">
      <c r="A615" s="451" t="str">
        <f>'Rep Ovh Bal'!A103</f>
        <v>Repuestos mantenimientos mayores para estaciones y torres</v>
      </c>
      <c r="B615" s="451">
        <f>'Rep Ovh Bal'!B103</f>
        <v>2</v>
      </c>
      <c r="C615" s="451" t="str">
        <f>'Rep Ovh Bal'!C103</f>
        <v>Torres</v>
      </c>
      <c r="D615" s="451" t="str">
        <f>'Rep Ovh Bal'!D103</f>
        <v>OVH balancines TRM</v>
      </c>
      <c r="E615" s="451" t="str">
        <f>'Rep Ovh Bal'!E103</f>
        <v>Repuesto Mecánico</v>
      </c>
      <c r="F615" s="451" t="str">
        <f>'Rep Ovh Bal'!F103</f>
        <v>TDB</v>
      </c>
      <c r="G615" s="1025" t="str">
        <f>'Rep Ovh Bal'!G103</f>
        <v>39800</v>
      </c>
      <c r="H615" s="1061" t="str">
        <f>'Rep Ovh Bal'!H103</f>
        <v>2-01-00945</v>
      </c>
      <c r="I615" s="1061" t="str">
        <f>'Rep Ovh Bal'!I103</f>
        <v>11545033</v>
      </c>
      <c r="J615" s="1061" t="str">
        <f>'Rep Ovh Bal'!J103</f>
        <v>BULÓN DIÁ 75H8 LN 407 P. APOYO 6 Y 8 POL. TIPO 420C</v>
      </c>
      <c r="K615" s="451" t="str">
        <f>'Rep Ovh Bal'!K103</f>
        <v>Pza</v>
      </c>
      <c r="L615" s="451">
        <f>'Rep Ovh Bal'!L103</f>
        <v>0</v>
      </c>
      <c r="M615" s="451">
        <f>'Rep Ovh Bal'!M103</f>
        <v>0</v>
      </c>
      <c r="N615" s="451">
        <f>'Rep Ovh Bal'!N103</f>
        <v>0</v>
      </c>
      <c r="O615" s="451">
        <f>'Rep Ovh Bal'!O103</f>
        <v>0</v>
      </c>
      <c r="P615" s="451">
        <f>'Rep Ovh Bal'!P103</f>
        <v>0</v>
      </c>
      <c r="Q615" s="451">
        <f>'Rep Ovh Bal'!Q103</f>
        <v>0</v>
      </c>
      <c r="R615" s="451">
        <f>'Rep Ovh Bal'!R103</f>
        <v>0</v>
      </c>
      <c r="S615" s="451">
        <f>'Rep Ovh Bal'!S103</f>
        <v>0</v>
      </c>
      <c r="T615" s="451">
        <f>'Rep Ovh Bal'!T103</f>
        <v>0</v>
      </c>
      <c r="U615" s="451">
        <f>'Rep Ovh Bal'!U103</f>
        <v>0</v>
      </c>
      <c r="V615" s="451">
        <f>'Rep Ovh Bal'!V103</f>
        <v>70</v>
      </c>
      <c r="W615" s="1062">
        <f>'Rep Ovh Bal'!W103</f>
        <v>70</v>
      </c>
      <c r="X615" s="451">
        <f>'Rep Ovh Bal'!X103</f>
        <v>0</v>
      </c>
      <c r="Y615" s="451">
        <f>'Rep Ovh Bal'!Y103</f>
        <v>0</v>
      </c>
      <c r="Z615" s="451">
        <f>'Rep Ovh Bal'!Z103</f>
        <v>0</v>
      </c>
      <c r="AA615" s="451">
        <f>'Rep Ovh Bal'!AA103</f>
        <v>0</v>
      </c>
      <c r="AB615" s="451">
        <f>'Rep Ovh Bal'!AB103</f>
        <v>0</v>
      </c>
      <c r="AC615" s="451">
        <f>'Rep Ovh Bal'!AC103</f>
        <v>0</v>
      </c>
      <c r="AD615" s="451">
        <f>'Rep Ovh Bal'!AD103</f>
        <v>0</v>
      </c>
      <c r="AE615" s="451">
        <f>'Rep Ovh Bal'!AE103</f>
        <v>0</v>
      </c>
      <c r="AF615" s="451">
        <f>'Rep Ovh Bal'!AF103</f>
        <v>0</v>
      </c>
      <c r="AG615" s="451">
        <f>'Rep Ovh Bal'!AG103</f>
        <v>0</v>
      </c>
      <c r="AH615" s="451">
        <f>'Rep Ovh Bal'!AH103</f>
        <v>6</v>
      </c>
      <c r="AI615" s="1062">
        <f>'Rep Ovh Bal'!AI103</f>
        <v>6</v>
      </c>
      <c r="AJ615" s="451">
        <f>'Rep Ovh Bal'!AJ103</f>
        <v>0</v>
      </c>
      <c r="AK615" s="451">
        <f>'Rep Ovh Bal'!AK103</f>
        <v>0</v>
      </c>
      <c r="AL615" s="451">
        <f>'Rep Ovh Bal'!AL103</f>
        <v>0</v>
      </c>
      <c r="AM615" s="451">
        <f>'Rep Ovh Bal'!AM103</f>
        <v>0</v>
      </c>
      <c r="AN615" s="451">
        <f>'Rep Ovh Bal'!AN103</f>
        <v>0</v>
      </c>
      <c r="AO615" s="451">
        <f>'Rep Ovh Bal'!AO103</f>
        <v>0</v>
      </c>
      <c r="AP615" s="451">
        <f>'Rep Ovh Bal'!AP103</f>
        <v>0</v>
      </c>
      <c r="AQ615" s="451">
        <f>'Rep Ovh Bal'!AQ103</f>
        <v>0</v>
      </c>
      <c r="AR615" s="451">
        <f>'Rep Ovh Bal'!AR103</f>
        <v>0</v>
      </c>
      <c r="AS615" s="451">
        <f>'Rep Ovh Bal'!AS103</f>
        <v>0</v>
      </c>
      <c r="AT615" s="451">
        <f>'Rep Ovh Bal'!AT103</f>
        <v>38</v>
      </c>
      <c r="AU615" s="1062">
        <f>'Rep Ovh Bal'!AU103</f>
        <v>38</v>
      </c>
      <c r="AV615" s="1063">
        <f>'Rep Ovh Bal'!AV103</f>
        <v>114</v>
      </c>
      <c r="AW615" s="1068"/>
      <c r="AX615" s="1065">
        <f>'Rep Ovh Bal'!AW103</f>
        <v>605.49</v>
      </c>
      <c r="AY615" s="1062">
        <f>'Rep Ovh Bal'!AX103</f>
        <v>4214.2104</v>
      </c>
      <c r="AZ615" s="1068"/>
      <c r="BA615" s="1068"/>
      <c r="BB615" s="1068"/>
      <c r="BC615" s="1068"/>
      <c r="BD615" s="1068"/>
      <c r="BE615" s="1068"/>
      <c r="BF615" s="1065" t="str">
        <f>'Rep Ovh Bal'!BE103</f>
        <v/>
      </c>
      <c r="BG615" s="451" t="str">
        <f>'Rep Ovh Bal'!BH103</f>
        <v/>
      </c>
      <c r="BH615" s="451" t="str">
        <f>'Rep Ovh Bal'!BI103</f>
        <v/>
      </c>
      <c r="BI615" s="451" t="str">
        <f>'Rep Ovh Bal'!BJ103</f>
        <v/>
      </c>
      <c r="BJ615" s="451" t="str">
        <f>'Rep Ovh Bal'!BK103</f>
        <v/>
      </c>
      <c r="BK615" s="1062">
        <f>'Rep Ovh Bal'!AY103</f>
        <v>294994.728</v>
      </c>
      <c r="BL615" s="1069">
        <f>'Rep Ovh Bal'!AY103</f>
        <v>294994.728</v>
      </c>
      <c r="BM615" s="1068"/>
      <c r="BN615" s="1068"/>
      <c r="BO615" s="1068"/>
      <c r="BP615" s="451" t="str">
        <f>'Rep Ovh Bal'!BQ103</f>
        <v/>
      </c>
      <c r="BQ615" s="451" t="str">
        <f>'Rep Ovh Bal'!BR103</f>
        <v/>
      </c>
      <c r="BR615" s="451" t="str">
        <f>'Rep Ovh Bal'!BS103</f>
        <v/>
      </c>
      <c r="BS615" s="451" t="str">
        <f>'Rep Ovh Bal'!BT103</f>
        <v/>
      </c>
      <c r="BT615" s="451" t="str">
        <f>'Rep Ovh Bal'!BU103</f>
        <v/>
      </c>
      <c r="BU615" s="451" t="str">
        <f>'Rep Ovh Bal'!BV103</f>
        <v/>
      </c>
      <c r="BV615" s="451" t="str">
        <f>'Rep Ovh Bal'!BW103</f>
        <v/>
      </c>
      <c r="BW615" s="1062">
        <f>'Rep Ovh Bal'!AZ103</f>
        <v>25285.2624</v>
      </c>
      <c r="BX615" s="1069">
        <f>'Rep Ovh Bal'!AZ103</f>
        <v>25285.2624</v>
      </c>
      <c r="BY615" s="1068"/>
      <c r="BZ615" s="1068"/>
      <c r="CA615" s="451" t="str">
        <f>'Rep Ovh Bal'!CB103</f>
        <v/>
      </c>
      <c r="CB615" s="451" t="str">
        <f>'Rep Ovh Bal'!CC103</f>
        <v/>
      </c>
      <c r="CC615" s="451" t="str">
        <f>'Rep Ovh Bal'!CD103</f>
        <v/>
      </c>
      <c r="CD615" s="451" t="str">
        <f>'Rep Ovh Bal'!CE103</f>
        <v/>
      </c>
      <c r="CE615" s="451" t="str">
        <f>'Rep Ovh Bal'!CF103</f>
        <v/>
      </c>
      <c r="CF615" s="451" t="str">
        <f>'Rep Ovh Bal'!CG103</f>
        <v/>
      </c>
      <c r="CG615" s="451" t="str">
        <f>'Rep Ovh Bal'!CH103</f>
        <v/>
      </c>
      <c r="CH615" s="451" t="str">
        <f>'Rep Ovh Bal'!CI103</f>
        <v/>
      </c>
      <c r="CI615" s="1062">
        <f>'Rep Ovh Bal'!BA103</f>
        <v>160139.9952</v>
      </c>
      <c r="CJ615" s="1062">
        <f>'Rep Ovh Bal'!BA103</f>
        <v>160139.9952</v>
      </c>
      <c r="CK615" s="1062">
        <f>'Rep Ovh Bal'!BB103</f>
        <v>480419.9856</v>
      </c>
      <c r="CL615" s="1064" t="str">
        <f>'Rep Ovh Bal'!BC103</f>
        <v/>
      </c>
      <c r="CM615" s="451" t="str">
        <f>'Rep Ovh Bal'!CN103</f>
        <v/>
      </c>
      <c r="CN615" s="1065" t="str">
        <f>'Rep Ovh Bal'!BE99</f>
        <v/>
      </c>
      <c r="CO615" s="1062" t="str">
        <f>'Rep Ovh Bal'!BF99</f>
        <v/>
      </c>
      <c r="CP615" s="1060" t="str">
        <f>'Rep Ovh Bal'!BG99</f>
        <v/>
      </c>
    </row>
    <row r="616">
      <c r="A616" s="451" t="str">
        <f>'Rep Ovh Bal'!A104</f>
        <v>Repuestos mantenimientos mayores para estaciones y torres</v>
      </c>
      <c r="B616" s="451">
        <f>'Rep Ovh Bal'!B104</f>
        <v>2</v>
      </c>
      <c r="C616" s="451" t="str">
        <f>'Rep Ovh Bal'!C104</f>
        <v>Torres</v>
      </c>
      <c r="D616" s="451" t="str">
        <f>'Rep Ovh Bal'!D104</f>
        <v>OVH balancines TRM</v>
      </c>
      <c r="E616" s="451" t="str">
        <f>'Rep Ovh Bal'!E104</f>
        <v>Repuesto Mecánico</v>
      </c>
      <c r="F616" s="451" t="str">
        <f>'Rep Ovh Bal'!F104</f>
        <v>TDB</v>
      </c>
      <c r="G616" s="1025" t="str">
        <f>'Rep Ovh Bal'!G104</f>
        <v>39800</v>
      </c>
      <c r="H616" s="1061" t="str">
        <f>'Rep Ovh Bal'!H104</f>
        <v>2-01-00852</v>
      </c>
      <c r="I616" s="1061" t="str">
        <f>'Rep Ovh Bal'!I104</f>
        <v>11545040</v>
      </c>
      <c r="J616" s="1061" t="str">
        <f>'Rep Ovh Bal'!J104</f>
        <v>EJE DIÁ90H8 LN 581 P. APOYO 10-16 POL. 420C</v>
      </c>
      <c r="K616" s="451" t="str">
        <f>'Rep Ovh Bal'!K104</f>
        <v>Pza</v>
      </c>
      <c r="L616" s="451">
        <f>'Rep Ovh Bal'!L104</f>
        <v>0</v>
      </c>
      <c r="M616" s="451">
        <f>'Rep Ovh Bal'!M104</f>
        <v>0</v>
      </c>
      <c r="N616" s="451">
        <f>'Rep Ovh Bal'!N104</f>
        <v>0</v>
      </c>
      <c r="O616" s="451">
        <f>'Rep Ovh Bal'!O104</f>
        <v>0</v>
      </c>
      <c r="P616" s="451">
        <f>'Rep Ovh Bal'!P104</f>
        <v>0</v>
      </c>
      <c r="Q616" s="451">
        <f>'Rep Ovh Bal'!Q104</f>
        <v>0</v>
      </c>
      <c r="R616" s="451">
        <f>'Rep Ovh Bal'!R104</f>
        <v>0</v>
      </c>
      <c r="S616" s="451">
        <f>'Rep Ovh Bal'!S104</f>
        <v>0</v>
      </c>
      <c r="T616" s="451">
        <f>'Rep Ovh Bal'!T104</f>
        <v>0</v>
      </c>
      <c r="U616" s="451">
        <f>'Rep Ovh Bal'!U104</f>
        <v>0</v>
      </c>
      <c r="V616" s="451">
        <f>'Rep Ovh Bal'!V104</f>
        <v>38</v>
      </c>
      <c r="W616" s="1062">
        <f>'Rep Ovh Bal'!W104</f>
        <v>38</v>
      </c>
      <c r="X616" s="451">
        <f>'Rep Ovh Bal'!X104</f>
        <v>0</v>
      </c>
      <c r="Y616" s="451">
        <f>'Rep Ovh Bal'!Y104</f>
        <v>0</v>
      </c>
      <c r="Z616" s="451">
        <f>'Rep Ovh Bal'!Z104</f>
        <v>0</v>
      </c>
      <c r="AA616" s="451">
        <f>'Rep Ovh Bal'!AA104</f>
        <v>0</v>
      </c>
      <c r="AB616" s="451">
        <f>'Rep Ovh Bal'!AB104</f>
        <v>0</v>
      </c>
      <c r="AC616" s="451">
        <f>'Rep Ovh Bal'!AC104</f>
        <v>0</v>
      </c>
      <c r="AD616" s="451">
        <f>'Rep Ovh Bal'!AD104</f>
        <v>0</v>
      </c>
      <c r="AE616" s="451">
        <f>'Rep Ovh Bal'!AE104</f>
        <v>0</v>
      </c>
      <c r="AF616" s="451">
        <f>'Rep Ovh Bal'!AF104</f>
        <v>0</v>
      </c>
      <c r="AG616" s="451">
        <f>'Rep Ovh Bal'!AG104</f>
        <v>0</v>
      </c>
      <c r="AH616" s="451">
        <f>'Rep Ovh Bal'!AH104</f>
        <v>0</v>
      </c>
      <c r="AI616" s="1062">
        <f>'Rep Ovh Bal'!AI104</f>
        <v>0</v>
      </c>
      <c r="AJ616" s="451">
        <f>'Rep Ovh Bal'!AJ104</f>
        <v>0</v>
      </c>
      <c r="AK616" s="451">
        <f>'Rep Ovh Bal'!AK104</f>
        <v>0</v>
      </c>
      <c r="AL616" s="451">
        <f>'Rep Ovh Bal'!AL104</f>
        <v>0</v>
      </c>
      <c r="AM616" s="451">
        <f>'Rep Ovh Bal'!AM104</f>
        <v>0</v>
      </c>
      <c r="AN616" s="451">
        <f>'Rep Ovh Bal'!AN104</f>
        <v>0</v>
      </c>
      <c r="AO616" s="451">
        <f>'Rep Ovh Bal'!AO104</f>
        <v>0</v>
      </c>
      <c r="AP616" s="451">
        <f>'Rep Ovh Bal'!AP104</f>
        <v>0</v>
      </c>
      <c r="AQ616" s="451">
        <f>'Rep Ovh Bal'!AQ104</f>
        <v>0</v>
      </c>
      <c r="AR616" s="451">
        <f>'Rep Ovh Bal'!AR104</f>
        <v>0</v>
      </c>
      <c r="AS616" s="451">
        <f>'Rep Ovh Bal'!AS104</f>
        <v>0</v>
      </c>
      <c r="AT616" s="451">
        <f>'Rep Ovh Bal'!AT104</f>
        <v>16</v>
      </c>
      <c r="AU616" s="1062">
        <f>'Rep Ovh Bal'!AU104</f>
        <v>16</v>
      </c>
      <c r="AV616" s="1063">
        <f>'Rep Ovh Bal'!AV104</f>
        <v>54</v>
      </c>
      <c r="AW616" s="1068"/>
      <c r="AX616" s="1065">
        <f>'Rep Ovh Bal'!AW104</f>
        <v>922.87</v>
      </c>
      <c r="AY616" s="1062">
        <f>'Rep Ovh Bal'!AX104</f>
        <v>6423.1752</v>
      </c>
      <c r="AZ616" s="1068"/>
      <c r="BA616" s="1068"/>
      <c r="BB616" s="1068"/>
      <c r="BC616" s="1068"/>
      <c r="BD616" s="1068"/>
      <c r="BE616" s="1068"/>
      <c r="BF616" s="1065" t="str">
        <f>'Rep Ovh Bal'!BE104</f>
        <v/>
      </c>
      <c r="BG616" s="451" t="str">
        <f>'Rep Ovh Bal'!BH104</f>
        <v/>
      </c>
      <c r="BH616" s="451" t="str">
        <f>'Rep Ovh Bal'!BI104</f>
        <v/>
      </c>
      <c r="BI616" s="451" t="str">
        <f>'Rep Ovh Bal'!BJ104</f>
        <v/>
      </c>
      <c r="BJ616" s="451" t="str">
        <f>'Rep Ovh Bal'!BK104</f>
        <v/>
      </c>
      <c r="BK616" s="1062">
        <f>'Rep Ovh Bal'!AY104</f>
        <v>244080.6576</v>
      </c>
      <c r="BL616" s="1069">
        <f>'Rep Ovh Bal'!AY104</f>
        <v>244080.6576</v>
      </c>
      <c r="BM616" s="1068"/>
      <c r="BN616" s="1068"/>
      <c r="BO616" s="1068"/>
      <c r="BP616" s="451" t="str">
        <f>'Rep Ovh Bal'!BQ104</f>
        <v/>
      </c>
      <c r="BQ616" s="451" t="str">
        <f>'Rep Ovh Bal'!BR104</f>
        <v/>
      </c>
      <c r="BR616" s="451" t="str">
        <f>'Rep Ovh Bal'!BS104</f>
        <v/>
      </c>
      <c r="BS616" s="451" t="str">
        <f>'Rep Ovh Bal'!BT104</f>
        <v/>
      </c>
      <c r="BT616" s="451" t="str">
        <f>'Rep Ovh Bal'!BU104</f>
        <v/>
      </c>
      <c r="BU616" s="451" t="str">
        <f>'Rep Ovh Bal'!BV104</f>
        <v/>
      </c>
      <c r="BV616" s="451" t="str">
        <f>'Rep Ovh Bal'!BW104</f>
        <v/>
      </c>
      <c r="BW616" s="1062">
        <f>'Rep Ovh Bal'!AZ104</f>
        <v>0</v>
      </c>
      <c r="BX616" s="1069">
        <f>'Rep Ovh Bal'!AZ104</f>
        <v>0</v>
      </c>
      <c r="BY616" s="1068"/>
      <c r="BZ616" s="1068"/>
      <c r="CA616" s="451" t="str">
        <f>'Rep Ovh Bal'!CB104</f>
        <v/>
      </c>
      <c r="CB616" s="451" t="str">
        <f>'Rep Ovh Bal'!CC104</f>
        <v/>
      </c>
      <c r="CC616" s="451" t="str">
        <f>'Rep Ovh Bal'!CD104</f>
        <v/>
      </c>
      <c r="CD616" s="451" t="str">
        <f>'Rep Ovh Bal'!CE104</f>
        <v/>
      </c>
      <c r="CE616" s="451" t="str">
        <f>'Rep Ovh Bal'!CF104</f>
        <v/>
      </c>
      <c r="CF616" s="451" t="str">
        <f>'Rep Ovh Bal'!CG104</f>
        <v/>
      </c>
      <c r="CG616" s="451" t="str">
        <f>'Rep Ovh Bal'!CH104</f>
        <v/>
      </c>
      <c r="CH616" s="451" t="str">
        <f>'Rep Ovh Bal'!CI104</f>
        <v/>
      </c>
      <c r="CI616" s="1062">
        <f>'Rep Ovh Bal'!BA104</f>
        <v>102770.8032</v>
      </c>
      <c r="CJ616" s="1062">
        <f>'Rep Ovh Bal'!BA104</f>
        <v>102770.8032</v>
      </c>
      <c r="CK616" s="1062">
        <f>'Rep Ovh Bal'!BB104</f>
        <v>346851.4608</v>
      </c>
      <c r="CL616" s="1064" t="str">
        <f>'Rep Ovh Bal'!BC104</f>
        <v/>
      </c>
      <c r="CM616" s="451" t="str">
        <f>'Rep Ovh Bal'!CN104</f>
        <v/>
      </c>
      <c r="CN616" s="1065" t="str">
        <f>'Rep Ovh Bal'!BE100</f>
        <v/>
      </c>
      <c r="CO616" s="1062" t="str">
        <f>'Rep Ovh Bal'!BF100</f>
        <v/>
      </c>
      <c r="CP616" s="1060" t="str">
        <f>'Rep Ovh Bal'!BG100</f>
        <v/>
      </c>
    </row>
    <row r="617">
      <c r="A617" s="451" t="str">
        <f>'Rep Ovh Bal'!A105</f>
        <v>Repuestos mantenimientos mayores para estaciones y torres</v>
      </c>
      <c r="B617" s="451">
        <f>'Rep Ovh Bal'!B105</f>
        <v>2</v>
      </c>
      <c r="C617" s="451" t="str">
        <f>'Rep Ovh Bal'!C105</f>
        <v>Torres</v>
      </c>
      <c r="D617" s="451" t="str">
        <f>'Rep Ovh Bal'!D105</f>
        <v>OVH balancines TRM</v>
      </c>
      <c r="E617" s="451" t="str">
        <f>'Rep Ovh Bal'!E105</f>
        <v>Repuesto Mecánico</v>
      </c>
      <c r="F617" s="451" t="str">
        <f>'Rep Ovh Bal'!F105</f>
        <v>TDB</v>
      </c>
      <c r="G617" s="1025" t="str">
        <f>'Rep Ovh Bal'!G105</f>
        <v>39800</v>
      </c>
      <c r="H617" s="1061" t="str">
        <f>'Rep Ovh Bal'!H105</f>
        <v>2-01-00854</v>
      </c>
      <c r="I617" s="1061" t="str">
        <f>'Rep Ovh Bal'!I105</f>
        <v>11545051</v>
      </c>
      <c r="J617" s="1061" t="str">
        <f>'Rep Ovh Bal'!J105</f>
        <v>BULÓN DIÁ 55H8 LN 334 P. BRAZO GIRATORIO EN 4P/4S CP 420C</v>
      </c>
      <c r="K617" s="451" t="str">
        <f>'Rep Ovh Bal'!K105</f>
        <v>Pza</v>
      </c>
      <c r="L617" s="451">
        <f>'Rep Ovh Bal'!L105</f>
        <v>0</v>
      </c>
      <c r="M617" s="451">
        <f>'Rep Ovh Bal'!M105</f>
        <v>0</v>
      </c>
      <c r="N617" s="451">
        <f>'Rep Ovh Bal'!N105</f>
        <v>0</v>
      </c>
      <c r="O617" s="451">
        <f>'Rep Ovh Bal'!O105</f>
        <v>0</v>
      </c>
      <c r="P617" s="451">
        <f>'Rep Ovh Bal'!P105</f>
        <v>0</v>
      </c>
      <c r="Q617" s="451">
        <f>'Rep Ovh Bal'!Q105</f>
        <v>0</v>
      </c>
      <c r="R617" s="451">
        <f>'Rep Ovh Bal'!R105</f>
        <v>0</v>
      </c>
      <c r="S617" s="451">
        <f>'Rep Ovh Bal'!S105</f>
        <v>0</v>
      </c>
      <c r="T617" s="451">
        <f>'Rep Ovh Bal'!T105</f>
        <v>0</v>
      </c>
      <c r="U617" s="451">
        <f>'Rep Ovh Bal'!U105</f>
        <v>0</v>
      </c>
      <c r="V617" s="451">
        <f>'Rep Ovh Bal'!V105</f>
        <v>0</v>
      </c>
      <c r="W617" s="1062">
        <f>'Rep Ovh Bal'!W105</f>
        <v>0</v>
      </c>
      <c r="X617" s="451">
        <f>'Rep Ovh Bal'!X105</f>
        <v>0</v>
      </c>
      <c r="Y617" s="451">
        <f>'Rep Ovh Bal'!Y105</f>
        <v>0</v>
      </c>
      <c r="Z617" s="451">
        <f>'Rep Ovh Bal'!Z105</f>
        <v>0</v>
      </c>
      <c r="AA617" s="451">
        <f>'Rep Ovh Bal'!AA105</f>
        <v>0</v>
      </c>
      <c r="AB617" s="451">
        <f>'Rep Ovh Bal'!AB105</f>
        <v>0</v>
      </c>
      <c r="AC617" s="451">
        <f>'Rep Ovh Bal'!AC105</f>
        <v>0</v>
      </c>
      <c r="AD617" s="451">
        <f>'Rep Ovh Bal'!AD105</f>
        <v>0</v>
      </c>
      <c r="AE617" s="451">
        <f>'Rep Ovh Bal'!AE105</f>
        <v>0</v>
      </c>
      <c r="AF617" s="451">
        <f>'Rep Ovh Bal'!AF105</f>
        <v>0</v>
      </c>
      <c r="AG617" s="451">
        <f>'Rep Ovh Bal'!AG105</f>
        <v>0</v>
      </c>
      <c r="AH617" s="451">
        <f>'Rep Ovh Bal'!AH105</f>
        <v>24</v>
      </c>
      <c r="AI617" s="1062">
        <f>'Rep Ovh Bal'!AI105</f>
        <v>24</v>
      </c>
      <c r="AJ617" s="451">
        <f>'Rep Ovh Bal'!AJ105</f>
        <v>0</v>
      </c>
      <c r="AK617" s="451">
        <f>'Rep Ovh Bal'!AK105</f>
        <v>0</v>
      </c>
      <c r="AL617" s="451">
        <f>'Rep Ovh Bal'!AL105</f>
        <v>0</v>
      </c>
      <c r="AM617" s="451">
        <f>'Rep Ovh Bal'!AM105</f>
        <v>0</v>
      </c>
      <c r="AN617" s="451">
        <f>'Rep Ovh Bal'!AN105</f>
        <v>0</v>
      </c>
      <c r="AO617" s="451">
        <f>'Rep Ovh Bal'!AO105</f>
        <v>0</v>
      </c>
      <c r="AP617" s="451">
        <f>'Rep Ovh Bal'!AP105</f>
        <v>0</v>
      </c>
      <c r="AQ617" s="451">
        <f>'Rep Ovh Bal'!AQ105</f>
        <v>0</v>
      </c>
      <c r="AR617" s="451">
        <f>'Rep Ovh Bal'!AR105</f>
        <v>0</v>
      </c>
      <c r="AS617" s="451">
        <f>'Rep Ovh Bal'!AS105</f>
        <v>0</v>
      </c>
      <c r="AT617" s="451">
        <f>'Rep Ovh Bal'!AT105</f>
        <v>32</v>
      </c>
      <c r="AU617" s="1062">
        <f>'Rep Ovh Bal'!AU105</f>
        <v>32</v>
      </c>
      <c r="AV617" s="1063">
        <f>'Rep Ovh Bal'!AV105</f>
        <v>56</v>
      </c>
      <c r="AW617" s="1068"/>
      <c r="AX617" s="1065">
        <f>'Rep Ovh Bal'!AW105</f>
        <v>267.89</v>
      </c>
      <c r="AY617" s="1062">
        <f>'Rep Ovh Bal'!AX105</f>
        <v>1864.5144</v>
      </c>
      <c r="AZ617" s="1068"/>
      <c r="BA617" s="1068"/>
      <c r="BB617" s="1068"/>
      <c r="BC617" s="1068"/>
      <c r="BD617" s="1068"/>
      <c r="BE617" s="1068"/>
      <c r="BF617" s="1065" t="str">
        <f>'Rep Ovh Bal'!BE105</f>
        <v/>
      </c>
      <c r="BG617" s="451" t="str">
        <f>'Rep Ovh Bal'!BH105</f>
        <v/>
      </c>
      <c r="BH617" s="451" t="str">
        <f>'Rep Ovh Bal'!BI105</f>
        <v/>
      </c>
      <c r="BI617" s="451" t="str">
        <f>'Rep Ovh Bal'!BJ105</f>
        <v/>
      </c>
      <c r="BJ617" s="451" t="str">
        <f>'Rep Ovh Bal'!BK105</f>
        <v/>
      </c>
      <c r="BK617" s="1062">
        <f>'Rep Ovh Bal'!AY105</f>
        <v>0</v>
      </c>
      <c r="BL617" s="1069">
        <f>'Rep Ovh Bal'!AY105</f>
        <v>0</v>
      </c>
      <c r="BM617" s="1068"/>
      <c r="BN617" s="1068"/>
      <c r="BO617" s="1068"/>
      <c r="BP617" s="451" t="str">
        <f>'Rep Ovh Bal'!BQ105</f>
        <v/>
      </c>
      <c r="BQ617" s="451" t="str">
        <f>'Rep Ovh Bal'!BR105</f>
        <v/>
      </c>
      <c r="BR617" s="451" t="str">
        <f>'Rep Ovh Bal'!BS105</f>
        <v/>
      </c>
      <c r="BS617" s="451" t="str">
        <f>'Rep Ovh Bal'!BT105</f>
        <v/>
      </c>
      <c r="BT617" s="451" t="str">
        <f>'Rep Ovh Bal'!BU105</f>
        <v/>
      </c>
      <c r="BU617" s="451" t="str">
        <f>'Rep Ovh Bal'!BV105</f>
        <v/>
      </c>
      <c r="BV617" s="451" t="str">
        <f>'Rep Ovh Bal'!BW105</f>
        <v/>
      </c>
      <c r="BW617" s="1062">
        <f>'Rep Ovh Bal'!AZ105</f>
        <v>44748.3456</v>
      </c>
      <c r="BX617" s="1069">
        <f>'Rep Ovh Bal'!AZ105</f>
        <v>44748.3456</v>
      </c>
      <c r="BY617" s="1068"/>
      <c r="BZ617" s="1068"/>
      <c r="CA617" s="451" t="str">
        <f>'Rep Ovh Bal'!CB105</f>
        <v/>
      </c>
      <c r="CB617" s="451" t="str">
        <f>'Rep Ovh Bal'!CC105</f>
        <v/>
      </c>
      <c r="CC617" s="451" t="str">
        <f>'Rep Ovh Bal'!CD105</f>
        <v/>
      </c>
      <c r="CD617" s="451" t="str">
        <f>'Rep Ovh Bal'!CE105</f>
        <v/>
      </c>
      <c r="CE617" s="451" t="str">
        <f>'Rep Ovh Bal'!CF105</f>
        <v/>
      </c>
      <c r="CF617" s="451" t="str">
        <f>'Rep Ovh Bal'!CG105</f>
        <v/>
      </c>
      <c r="CG617" s="451" t="str">
        <f>'Rep Ovh Bal'!CH105</f>
        <v/>
      </c>
      <c r="CH617" s="451" t="str">
        <f>'Rep Ovh Bal'!CI105</f>
        <v/>
      </c>
      <c r="CI617" s="1062">
        <f>'Rep Ovh Bal'!BA105</f>
        <v>59664.4608</v>
      </c>
      <c r="CJ617" s="1062">
        <f>'Rep Ovh Bal'!BA105</f>
        <v>59664.4608</v>
      </c>
      <c r="CK617" s="1062">
        <f>'Rep Ovh Bal'!BB105</f>
        <v>104412.8064</v>
      </c>
      <c r="CL617" s="1064" t="str">
        <f>'Rep Ovh Bal'!BC105</f>
        <v/>
      </c>
      <c r="CM617" s="451" t="str">
        <f>'Rep Ovh Bal'!CN105</f>
        <v/>
      </c>
      <c r="CN617" s="1065" t="str">
        <f>'Rep Ovh Bal'!BE101</f>
        <v/>
      </c>
      <c r="CO617" s="1062" t="str">
        <f>'Rep Ovh Bal'!BF101</f>
        <v/>
      </c>
      <c r="CP617" s="1060" t="str">
        <f>'Rep Ovh Bal'!BG101</f>
        <v/>
      </c>
    </row>
    <row r="618">
      <c r="A618" s="451" t="str">
        <f>'Rep Ovh Bal'!A106</f>
        <v>Repuestos mantenimientos mayores para estaciones y torres</v>
      </c>
      <c r="B618" s="451">
        <f>'Rep Ovh Bal'!B106</f>
        <v>2</v>
      </c>
      <c r="C618" s="451" t="str">
        <f>'Rep Ovh Bal'!C106</f>
        <v>Torres</v>
      </c>
      <c r="D618" s="451" t="str">
        <f>'Rep Ovh Bal'!D106</f>
        <v>OVH balancines TRM</v>
      </c>
      <c r="E618" s="451" t="str">
        <f>'Rep Ovh Bal'!E106</f>
        <v>Repuesto Mecánico</v>
      </c>
      <c r="F618" s="451" t="str">
        <f>'Rep Ovh Bal'!F106</f>
        <v>TDB</v>
      </c>
      <c r="G618" s="1025" t="str">
        <f>'Rep Ovh Bal'!G106</f>
        <v>39800</v>
      </c>
      <c r="H618" s="1061" t="str">
        <f>'Rep Ovh Bal'!H106</f>
        <v>2-01-00946</v>
      </c>
      <c r="I618" s="1061" t="str">
        <f>'Rep Ovh Bal'!I106</f>
        <v>11545052</v>
      </c>
      <c r="J618" s="1061" t="str">
        <f>'Rep Ovh Bal'!J106</f>
        <v>EJE DIÁ.90H8 LN=541, P. APOYO P. CP 4P/4S TIPO 420C</v>
      </c>
      <c r="K618" s="451" t="str">
        <f>'Rep Ovh Bal'!K106</f>
        <v>Pza</v>
      </c>
      <c r="L618" s="451">
        <f>'Rep Ovh Bal'!L106</f>
        <v>0</v>
      </c>
      <c r="M618" s="451">
        <f>'Rep Ovh Bal'!M106</f>
        <v>0</v>
      </c>
      <c r="N618" s="451">
        <f>'Rep Ovh Bal'!N106</f>
        <v>0</v>
      </c>
      <c r="O618" s="451">
        <f>'Rep Ovh Bal'!O106</f>
        <v>0</v>
      </c>
      <c r="P618" s="451">
        <f>'Rep Ovh Bal'!P106</f>
        <v>0</v>
      </c>
      <c r="Q618" s="451">
        <f>'Rep Ovh Bal'!Q106</f>
        <v>0</v>
      </c>
      <c r="R618" s="451">
        <f>'Rep Ovh Bal'!R106</f>
        <v>0</v>
      </c>
      <c r="S618" s="451">
        <f>'Rep Ovh Bal'!S106</f>
        <v>0</v>
      </c>
      <c r="T618" s="451">
        <f>'Rep Ovh Bal'!T106</f>
        <v>0</v>
      </c>
      <c r="U618" s="451">
        <f>'Rep Ovh Bal'!U106</f>
        <v>0</v>
      </c>
      <c r="V618" s="451">
        <f>'Rep Ovh Bal'!V106</f>
        <v>0</v>
      </c>
      <c r="W618" s="1062">
        <f>'Rep Ovh Bal'!W106</f>
        <v>0</v>
      </c>
      <c r="X618" s="451">
        <f>'Rep Ovh Bal'!X106</f>
        <v>0</v>
      </c>
      <c r="Y618" s="451">
        <f>'Rep Ovh Bal'!Y106</f>
        <v>0</v>
      </c>
      <c r="Z618" s="451">
        <f>'Rep Ovh Bal'!Z106</f>
        <v>0</v>
      </c>
      <c r="AA618" s="451">
        <f>'Rep Ovh Bal'!AA106</f>
        <v>0</v>
      </c>
      <c r="AB618" s="451">
        <f>'Rep Ovh Bal'!AB106</f>
        <v>0</v>
      </c>
      <c r="AC618" s="451">
        <f>'Rep Ovh Bal'!AC106</f>
        <v>0</v>
      </c>
      <c r="AD618" s="451">
        <f>'Rep Ovh Bal'!AD106</f>
        <v>0</v>
      </c>
      <c r="AE618" s="451">
        <f>'Rep Ovh Bal'!AE106</f>
        <v>0</v>
      </c>
      <c r="AF618" s="451">
        <f>'Rep Ovh Bal'!AF106</f>
        <v>0</v>
      </c>
      <c r="AG618" s="451">
        <f>'Rep Ovh Bal'!AG106</f>
        <v>0</v>
      </c>
      <c r="AH618" s="451">
        <f>'Rep Ovh Bal'!AH106</f>
        <v>6</v>
      </c>
      <c r="AI618" s="1062">
        <f>'Rep Ovh Bal'!AI106</f>
        <v>6</v>
      </c>
      <c r="AJ618" s="451">
        <f>'Rep Ovh Bal'!AJ106</f>
        <v>0</v>
      </c>
      <c r="AK618" s="451">
        <f>'Rep Ovh Bal'!AK106</f>
        <v>0</v>
      </c>
      <c r="AL618" s="451">
        <f>'Rep Ovh Bal'!AL106</f>
        <v>0</v>
      </c>
      <c r="AM618" s="451">
        <f>'Rep Ovh Bal'!AM106</f>
        <v>0</v>
      </c>
      <c r="AN618" s="451">
        <f>'Rep Ovh Bal'!AN106</f>
        <v>0</v>
      </c>
      <c r="AO618" s="451">
        <f>'Rep Ovh Bal'!AO106</f>
        <v>0</v>
      </c>
      <c r="AP618" s="451">
        <f>'Rep Ovh Bal'!AP106</f>
        <v>0</v>
      </c>
      <c r="AQ618" s="451">
        <f>'Rep Ovh Bal'!AQ106</f>
        <v>0</v>
      </c>
      <c r="AR618" s="451">
        <f>'Rep Ovh Bal'!AR106</f>
        <v>0</v>
      </c>
      <c r="AS618" s="451">
        <f>'Rep Ovh Bal'!AS106</f>
        <v>0</v>
      </c>
      <c r="AT618" s="451">
        <f>'Rep Ovh Bal'!AT106</f>
        <v>4</v>
      </c>
      <c r="AU618" s="1062">
        <f>'Rep Ovh Bal'!AU106</f>
        <v>4</v>
      </c>
      <c r="AV618" s="1063">
        <f>'Rep Ovh Bal'!AV106</f>
        <v>10</v>
      </c>
      <c r="AW618" s="1068"/>
      <c r="AX618" s="1065">
        <f>'Rep Ovh Bal'!AW106</f>
        <v>881.38</v>
      </c>
      <c r="AY618" s="1062">
        <f>'Rep Ovh Bal'!AX106</f>
        <v>6134.4048</v>
      </c>
      <c r="AZ618" s="1068"/>
      <c r="BA618" s="1068"/>
      <c r="BB618" s="1068"/>
      <c r="BC618" s="1068"/>
      <c r="BD618" s="1068"/>
      <c r="BE618" s="1068"/>
      <c r="BF618" s="1065" t="str">
        <f>'Rep Ovh Bal'!BE106</f>
        <v/>
      </c>
      <c r="BG618" s="451" t="str">
        <f>'Rep Ovh Bal'!BH106</f>
        <v/>
      </c>
      <c r="BH618" s="451" t="str">
        <f>'Rep Ovh Bal'!BI106</f>
        <v/>
      </c>
      <c r="BI618" s="451" t="str">
        <f>'Rep Ovh Bal'!BJ106</f>
        <v/>
      </c>
      <c r="BJ618" s="451" t="str">
        <f>'Rep Ovh Bal'!BK106</f>
        <v/>
      </c>
      <c r="BK618" s="1062">
        <f>'Rep Ovh Bal'!AY106</f>
        <v>0</v>
      </c>
      <c r="BL618" s="1069">
        <f>'Rep Ovh Bal'!AY106</f>
        <v>0</v>
      </c>
      <c r="BM618" s="1068"/>
      <c r="BN618" s="1068"/>
      <c r="BO618" s="1068"/>
      <c r="BP618" s="451" t="str">
        <f>'Rep Ovh Bal'!BQ106</f>
        <v/>
      </c>
      <c r="BQ618" s="451" t="str">
        <f>'Rep Ovh Bal'!BR106</f>
        <v/>
      </c>
      <c r="BR618" s="451" t="str">
        <f>'Rep Ovh Bal'!BS106</f>
        <v/>
      </c>
      <c r="BS618" s="451" t="str">
        <f>'Rep Ovh Bal'!BT106</f>
        <v/>
      </c>
      <c r="BT618" s="451" t="str">
        <f>'Rep Ovh Bal'!BU106</f>
        <v/>
      </c>
      <c r="BU618" s="451" t="str">
        <f>'Rep Ovh Bal'!BV106</f>
        <v/>
      </c>
      <c r="BV618" s="451" t="str">
        <f>'Rep Ovh Bal'!BW106</f>
        <v/>
      </c>
      <c r="BW618" s="1062">
        <f>'Rep Ovh Bal'!AZ106</f>
        <v>36806.4288</v>
      </c>
      <c r="BX618" s="1069">
        <f>'Rep Ovh Bal'!AZ106</f>
        <v>36806.4288</v>
      </c>
      <c r="BY618" s="1068"/>
      <c r="BZ618" s="1068"/>
      <c r="CA618" s="451" t="str">
        <f>'Rep Ovh Bal'!CB106</f>
        <v/>
      </c>
      <c r="CB618" s="451" t="str">
        <f>'Rep Ovh Bal'!CC106</f>
        <v/>
      </c>
      <c r="CC618" s="451" t="str">
        <f>'Rep Ovh Bal'!CD106</f>
        <v/>
      </c>
      <c r="CD618" s="451" t="str">
        <f>'Rep Ovh Bal'!CE106</f>
        <v/>
      </c>
      <c r="CE618" s="451" t="str">
        <f>'Rep Ovh Bal'!CF106</f>
        <v/>
      </c>
      <c r="CF618" s="451" t="str">
        <f>'Rep Ovh Bal'!CG106</f>
        <v/>
      </c>
      <c r="CG618" s="451" t="str">
        <f>'Rep Ovh Bal'!CH106</f>
        <v/>
      </c>
      <c r="CH618" s="451" t="str">
        <f>'Rep Ovh Bal'!CI106</f>
        <v/>
      </c>
      <c r="CI618" s="1062">
        <f>'Rep Ovh Bal'!BA106</f>
        <v>24537.6192</v>
      </c>
      <c r="CJ618" s="1062">
        <f>'Rep Ovh Bal'!BA106</f>
        <v>24537.6192</v>
      </c>
      <c r="CK618" s="1062">
        <f>'Rep Ovh Bal'!BB106</f>
        <v>61344.048</v>
      </c>
      <c r="CL618" s="1064" t="str">
        <f>'Rep Ovh Bal'!BC106</f>
        <v/>
      </c>
      <c r="CM618" s="451" t="str">
        <f>'Rep Ovh Bal'!CN106</f>
        <v/>
      </c>
      <c r="CN618" s="1065" t="str">
        <f>'Rep Ovh Bal'!BE102</f>
        <v/>
      </c>
      <c r="CO618" s="1062" t="str">
        <f>'Rep Ovh Bal'!BF102</f>
        <v/>
      </c>
      <c r="CP618" s="1060" t="str">
        <f>'Rep Ovh Bal'!BG102</f>
        <v/>
      </c>
    </row>
    <row r="619">
      <c r="A619" s="451" t="str">
        <f>'Rep Ovh Bal'!A107</f>
        <v>Repuestos mantenimientos mayores para estaciones y torres</v>
      </c>
      <c r="B619" s="451">
        <f>'Rep Ovh Bal'!B107</f>
        <v>2</v>
      </c>
      <c r="C619" s="451" t="str">
        <f>'Rep Ovh Bal'!C107</f>
        <v>Torres</v>
      </c>
      <c r="D619" s="451" t="str">
        <f>'Rep Ovh Bal'!D107</f>
        <v>OVH balancines TRM</v>
      </c>
      <c r="E619" s="451" t="str">
        <f>'Rep Ovh Bal'!E107</f>
        <v>Repuesto Mecánico</v>
      </c>
      <c r="F619" s="451" t="str">
        <f>'Rep Ovh Bal'!F107</f>
        <v>TDB</v>
      </c>
      <c r="G619" s="1025" t="str">
        <f>'Rep Ovh Bal'!G107</f>
        <v>39800</v>
      </c>
      <c r="H619" s="1061" t="str">
        <f>'Rep Ovh Bal'!H107</f>
        <v/>
      </c>
      <c r="I619" s="1061" t="str">
        <f>'Rep Ovh Bal'!I107</f>
        <v>11545062</v>
      </c>
      <c r="J619" s="1061" t="str">
        <f>'Rep Ovh Bal'!J107</f>
        <v>BULÓN DIÁ 90H8 LN 441    420C SOPORTE 4P/4S EN ARMAZÓN 8P/8S</v>
      </c>
      <c r="K619" s="451" t="str">
        <f>'Rep Ovh Bal'!K107</f>
        <v>Pza</v>
      </c>
      <c r="L619" s="451">
        <f>'Rep Ovh Bal'!L107</f>
        <v>0</v>
      </c>
      <c r="M619" s="451">
        <f>'Rep Ovh Bal'!M107</f>
        <v>0</v>
      </c>
      <c r="N619" s="451">
        <f>'Rep Ovh Bal'!N107</f>
        <v>0</v>
      </c>
      <c r="O619" s="451">
        <f>'Rep Ovh Bal'!O107</f>
        <v>0</v>
      </c>
      <c r="P619" s="451">
        <f>'Rep Ovh Bal'!P107</f>
        <v>0</v>
      </c>
      <c r="Q619" s="451">
        <f>'Rep Ovh Bal'!Q107</f>
        <v>0</v>
      </c>
      <c r="R619" s="451">
        <f>'Rep Ovh Bal'!R107</f>
        <v>0</v>
      </c>
      <c r="S619" s="451">
        <f>'Rep Ovh Bal'!S107</f>
        <v>0</v>
      </c>
      <c r="T619" s="451">
        <f>'Rep Ovh Bal'!T107</f>
        <v>0</v>
      </c>
      <c r="U619" s="451">
        <f>'Rep Ovh Bal'!U107</f>
        <v>0</v>
      </c>
      <c r="V619" s="451">
        <f>'Rep Ovh Bal'!V107</f>
        <v>0</v>
      </c>
      <c r="W619" s="1062">
        <f>'Rep Ovh Bal'!W107</f>
        <v>0</v>
      </c>
      <c r="X619" s="451">
        <f>'Rep Ovh Bal'!X107</f>
        <v>0</v>
      </c>
      <c r="Y619" s="451">
        <f>'Rep Ovh Bal'!Y107</f>
        <v>0</v>
      </c>
      <c r="Z619" s="451">
        <f>'Rep Ovh Bal'!Z107</f>
        <v>0</v>
      </c>
      <c r="AA619" s="451">
        <f>'Rep Ovh Bal'!AA107</f>
        <v>0</v>
      </c>
      <c r="AB619" s="451">
        <f>'Rep Ovh Bal'!AB107</f>
        <v>0</v>
      </c>
      <c r="AC619" s="451">
        <f>'Rep Ovh Bal'!AC107</f>
        <v>0</v>
      </c>
      <c r="AD619" s="451">
        <f>'Rep Ovh Bal'!AD107</f>
        <v>0</v>
      </c>
      <c r="AE619" s="451">
        <f>'Rep Ovh Bal'!AE107</f>
        <v>0</v>
      </c>
      <c r="AF619" s="451">
        <f>'Rep Ovh Bal'!AF107</f>
        <v>0</v>
      </c>
      <c r="AG619" s="451">
        <f>'Rep Ovh Bal'!AG107</f>
        <v>0</v>
      </c>
      <c r="AH619" s="451">
        <f>'Rep Ovh Bal'!AH107</f>
        <v>0</v>
      </c>
      <c r="AI619" s="1062">
        <f>'Rep Ovh Bal'!AI107</f>
        <v>0</v>
      </c>
      <c r="AJ619" s="451">
        <f>'Rep Ovh Bal'!AJ107</f>
        <v>0</v>
      </c>
      <c r="AK619" s="451">
        <f>'Rep Ovh Bal'!AK107</f>
        <v>0</v>
      </c>
      <c r="AL619" s="451">
        <f>'Rep Ovh Bal'!AL107</f>
        <v>0</v>
      </c>
      <c r="AM619" s="451">
        <f>'Rep Ovh Bal'!AM107</f>
        <v>0</v>
      </c>
      <c r="AN619" s="451">
        <f>'Rep Ovh Bal'!AN107</f>
        <v>0</v>
      </c>
      <c r="AO619" s="451">
        <f>'Rep Ovh Bal'!AO107</f>
        <v>0</v>
      </c>
      <c r="AP619" s="451">
        <f>'Rep Ovh Bal'!AP107</f>
        <v>0</v>
      </c>
      <c r="AQ619" s="451">
        <f>'Rep Ovh Bal'!AQ107</f>
        <v>0</v>
      </c>
      <c r="AR619" s="451">
        <f>'Rep Ovh Bal'!AR107</f>
        <v>0</v>
      </c>
      <c r="AS619" s="451">
        <f>'Rep Ovh Bal'!AS107</f>
        <v>0</v>
      </c>
      <c r="AT619" s="451">
        <f>'Rep Ovh Bal'!AT107</f>
        <v>12</v>
      </c>
      <c r="AU619" s="1062">
        <f>'Rep Ovh Bal'!AU107</f>
        <v>12</v>
      </c>
      <c r="AV619" s="1063">
        <f>'Rep Ovh Bal'!AV107</f>
        <v>12</v>
      </c>
      <c r="AW619" s="1068"/>
      <c r="AX619" s="1065">
        <f>'Rep Ovh Bal'!AW107</f>
        <v>762.51</v>
      </c>
      <c r="AY619" s="1062">
        <f>'Rep Ovh Bal'!AX107</f>
        <v>5307.0696</v>
      </c>
      <c r="AZ619" s="1068"/>
      <c r="BA619" s="1068"/>
      <c r="BB619" s="1068"/>
      <c r="BC619" s="1068"/>
      <c r="BD619" s="1068"/>
      <c r="BE619" s="1068"/>
      <c r="BF619" s="1065" t="str">
        <f>'Rep Ovh Bal'!BE107</f>
        <v/>
      </c>
      <c r="BG619" s="451" t="str">
        <f>'Rep Ovh Bal'!BH107</f>
        <v/>
      </c>
      <c r="BH619" s="451" t="str">
        <f>'Rep Ovh Bal'!BI107</f>
        <v/>
      </c>
      <c r="BI619" s="451" t="str">
        <f>'Rep Ovh Bal'!BJ107</f>
        <v/>
      </c>
      <c r="BJ619" s="451" t="str">
        <f>'Rep Ovh Bal'!BK107</f>
        <v/>
      </c>
      <c r="BK619" s="1062">
        <f>'Rep Ovh Bal'!AY107</f>
        <v>0</v>
      </c>
      <c r="BL619" s="1069">
        <f>'Rep Ovh Bal'!AY107</f>
        <v>0</v>
      </c>
      <c r="BM619" s="1068"/>
      <c r="BN619" s="1068"/>
      <c r="BO619" s="1068"/>
      <c r="BP619" s="451" t="str">
        <f>'Rep Ovh Bal'!BQ107</f>
        <v/>
      </c>
      <c r="BQ619" s="451" t="str">
        <f>'Rep Ovh Bal'!BR107</f>
        <v/>
      </c>
      <c r="BR619" s="451" t="str">
        <f>'Rep Ovh Bal'!BS107</f>
        <v/>
      </c>
      <c r="BS619" s="451" t="str">
        <f>'Rep Ovh Bal'!BT107</f>
        <v/>
      </c>
      <c r="BT619" s="451" t="str">
        <f>'Rep Ovh Bal'!BU107</f>
        <v/>
      </c>
      <c r="BU619" s="451" t="str">
        <f>'Rep Ovh Bal'!BV107</f>
        <v/>
      </c>
      <c r="BV619" s="451" t="str">
        <f>'Rep Ovh Bal'!BW107</f>
        <v/>
      </c>
      <c r="BW619" s="1062">
        <f>'Rep Ovh Bal'!AZ107</f>
        <v>0</v>
      </c>
      <c r="BX619" s="1069">
        <f>'Rep Ovh Bal'!AZ107</f>
        <v>0</v>
      </c>
      <c r="BY619" s="1068"/>
      <c r="BZ619" s="1068"/>
      <c r="CA619" s="451" t="str">
        <f>'Rep Ovh Bal'!CB107</f>
        <v/>
      </c>
      <c r="CB619" s="451" t="str">
        <f>'Rep Ovh Bal'!CC107</f>
        <v/>
      </c>
      <c r="CC619" s="451" t="str">
        <f>'Rep Ovh Bal'!CD107</f>
        <v/>
      </c>
      <c r="CD619" s="451" t="str">
        <f>'Rep Ovh Bal'!CE107</f>
        <v/>
      </c>
      <c r="CE619" s="451" t="str">
        <f>'Rep Ovh Bal'!CF107</f>
        <v/>
      </c>
      <c r="CF619" s="451" t="str">
        <f>'Rep Ovh Bal'!CG107</f>
        <v/>
      </c>
      <c r="CG619" s="451" t="str">
        <f>'Rep Ovh Bal'!CH107</f>
        <v/>
      </c>
      <c r="CH619" s="451" t="str">
        <f>'Rep Ovh Bal'!CI107</f>
        <v/>
      </c>
      <c r="CI619" s="1062">
        <f>'Rep Ovh Bal'!BA107</f>
        <v>63684.8352</v>
      </c>
      <c r="CJ619" s="1062">
        <f>'Rep Ovh Bal'!BA107</f>
        <v>63684.8352</v>
      </c>
      <c r="CK619" s="1062">
        <f>'Rep Ovh Bal'!BB107</f>
        <v>63684.8352</v>
      </c>
      <c r="CL619" s="1064" t="str">
        <f>'Rep Ovh Bal'!BC107</f>
        <v/>
      </c>
      <c r="CM619" s="451" t="str">
        <f>'Rep Ovh Bal'!CN107</f>
        <v/>
      </c>
      <c r="CN619" s="1065" t="str">
        <f>'Rep Ovh Bal'!BE103</f>
        <v/>
      </c>
      <c r="CO619" s="1062" t="str">
        <f>'Rep Ovh Bal'!BF103</f>
        <v/>
      </c>
      <c r="CP619" s="1060" t="str">
        <f>'Rep Ovh Bal'!BG103</f>
        <v/>
      </c>
    </row>
    <row r="620">
      <c r="A620" s="451" t="str">
        <f>'Rep Ovh Bal'!A108</f>
        <v>Repuestos mantenimientos mayores para estaciones y torres</v>
      </c>
      <c r="B620" s="451">
        <f>'Rep Ovh Bal'!B108</f>
        <v>2</v>
      </c>
      <c r="C620" s="451" t="str">
        <f>'Rep Ovh Bal'!C108</f>
        <v>Torres</v>
      </c>
      <c r="D620" s="451" t="str">
        <f>'Rep Ovh Bal'!D108</f>
        <v>OVH balancines TRM</v>
      </c>
      <c r="E620" s="451" t="str">
        <f>'Rep Ovh Bal'!E108</f>
        <v>Repuesto Mecánico</v>
      </c>
      <c r="F620" s="451" t="str">
        <f>'Rep Ovh Bal'!F108</f>
        <v>TDB</v>
      </c>
      <c r="G620" s="1025" t="str">
        <f>'Rep Ovh Bal'!G108</f>
        <v>39800</v>
      </c>
      <c r="H620" s="1061" t="str">
        <f>'Rep Ovh Bal'!H108</f>
        <v>2-01-01265</v>
      </c>
      <c r="I620" s="1061" t="str">
        <f>'Rep Ovh Bal'!I108</f>
        <v>11805532</v>
      </c>
      <c r="J620" s="1061" t="str">
        <f>'Rep Ovh Bal'!J108</f>
        <v>AMORTIGUADOR TURING 316 975 Nº PEDIDO: 81 4901 003 608</v>
      </c>
      <c r="K620" s="451" t="str">
        <f>'Rep Ovh Bal'!K108</f>
        <v>Pza</v>
      </c>
      <c r="L620" s="451">
        <f>'Rep Ovh Bal'!L108</f>
        <v>0</v>
      </c>
      <c r="M620" s="451">
        <f>'Rep Ovh Bal'!M108</f>
        <v>0</v>
      </c>
      <c r="N620" s="451">
        <f>'Rep Ovh Bal'!N108</f>
        <v>0</v>
      </c>
      <c r="O620" s="451">
        <f>'Rep Ovh Bal'!O108</f>
        <v>0</v>
      </c>
      <c r="P620" s="451">
        <f>'Rep Ovh Bal'!P108</f>
        <v>0</v>
      </c>
      <c r="Q620" s="451">
        <f>'Rep Ovh Bal'!Q108</f>
        <v>0</v>
      </c>
      <c r="R620" s="451">
        <f>'Rep Ovh Bal'!R108</f>
        <v>0</v>
      </c>
      <c r="S620" s="451">
        <f>'Rep Ovh Bal'!S108</f>
        <v>0</v>
      </c>
      <c r="T620" s="451">
        <f>'Rep Ovh Bal'!T108</f>
        <v>0</v>
      </c>
      <c r="U620" s="451">
        <f>'Rep Ovh Bal'!U108</f>
        <v>0</v>
      </c>
      <c r="V620" s="451">
        <f>'Rep Ovh Bal'!V108</f>
        <v>50</v>
      </c>
      <c r="W620" s="1062">
        <f>'Rep Ovh Bal'!W108</f>
        <v>50</v>
      </c>
      <c r="X620" s="451">
        <f>'Rep Ovh Bal'!X108</f>
        <v>0</v>
      </c>
      <c r="Y620" s="451">
        <f>'Rep Ovh Bal'!Y108</f>
        <v>0</v>
      </c>
      <c r="Z620" s="451">
        <f>'Rep Ovh Bal'!Z108</f>
        <v>0</v>
      </c>
      <c r="AA620" s="451">
        <f>'Rep Ovh Bal'!AA108</f>
        <v>0</v>
      </c>
      <c r="AB620" s="451">
        <f>'Rep Ovh Bal'!AB108</f>
        <v>0</v>
      </c>
      <c r="AC620" s="451">
        <f>'Rep Ovh Bal'!AC108</f>
        <v>0</v>
      </c>
      <c r="AD620" s="451">
        <f>'Rep Ovh Bal'!AD108</f>
        <v>0</v>
      </c>
      <c r="AE620" s="451">
        <f>'Rep Ovh Bal'!AE108</f>
        <v>0</v>
      </c>
      <c r="AF620" s="451">
        <f>'Rep Ovh Bal'!AF108</f>
        <v>0</v>
      </c>
      <c r="AG620" s="451">
        <f>'Rep Ovh Bal'!AG108</f>
        <v>0</v>
      </c>
      <c r="AH620" s="451">
        <f>'Rep Ovh Bal'!AH108</f>
        <v>0</v>
      </c>
      <c r="AI620" s="1062">
        <f>'Rep Ovh Bal'!AI108</f>
        <v>50</v>
      </c>
      <c r="AJ620" s="451">
        <f>'Rep Ovh Bal'!AJ108</f>
        <v>0</v>
      </c>
      <c r="AK620" s="451">
        <f>'Rep Ovh Bal'!AK108</f>
        <v>0</v>
      </c>
      <c r="AL620" s="451">
        <f>'Rep Ovh Bal'!AL108</f>
        <v>0</v>
      </c>
      <c r="AM620" s="451">
        <f>'Rep Ovh Bal'!AM108</f>
        <v>0</v>
      </c>
      <c r="AN620" s="451">
        <f>'Rep Ovh Bal'!AN108</f>
        <v>0</v>
      </c>
      <c r="AO620" s="451">
        <f>'Rep Ovh Bal'!AO108</f>
        <v>0</v>
      </c>
      <c r="AP620" s="451">
        <f>'Rep Ovh Bal'!AP108</f>
        <v>0</v>
      </c>
      <c r="AQ620" s="451">
        <f>'Rep Ovh Bal'!AQ108</f>
        <v>0</v>
      </c>
      <c r="AR620" s="451">
        <f>'Rep Ovh Bal'!AR108</f>
        <v>0</v>
      </c>
      <c r="AS620" s="451">
        <f>'Rep Ovh Bal'!AS108</f>
        <v>0</v>
      </c>
      <c r="AT620" s="451">
        <f>'Rep Ovh Bal'!AT108</f>
        <v>0</v>
      </c>
      <c r="AU620" s="1062">
        <f>'Rep Ovh Bal'!AU108</f>
        <v>50</v>
      </c>
      <c r="AV620" s="1063">
        <f>'Rep Ovh Bal'!AV108</f>
        <v>150</v>
      </c>
      <c r="AW620" s="1068"/>
      <c r="AX620" s="1065">
        <f>'Rep Ovh Bal'!AW108</f>
        <v>325.03</v>
      </c>
      <c r="AY620" s="1062">
        <f>'Rep Ovh Bal'!AX108</f>
        <v>2262.2088</v>
      </c>
      <c r="AZ620" s="1068"/>
      <c r="BA620" s="1068"/>
      <c r="BB620" s="1068"/>
      <c r="BC620" s="1068"/>
      <c r="BD620" s="1068"/>
      <c r="BE620" s="1068"/>
      <c r="BF620" s="1065" t="str">
        <f>'Rep Ovh Bal'!BE108</f>
        <v/>
      </c>
      <c r="BG620" s="451" t="str">
        <f>'Rep Ovh Bal'!BH108</f>
        <v/>
      </c>
      <c r="BH620" s="451" t="str">
        <f>'Rep Ovh Bal'!BI108</f>
        <v/>
      </c>
      <c r="BI620" s="451" t="str">
        <f>'Rep Ovh Bal'!BJ108</f>
        <v/>
      </c>
      <c r="BJ620" s="451" t="str">
        <f>'Rep Ovh Bal'!BK108</f>
        <v/>
      </c>
      <c r="BK620" s="1062">
        <f>'Rep Ovh Bal'!AY108</f>
        <v>113110.44</v>
      </c>
      <c r="BL620" s="1069">
        <f>'Rep Ovh Bal'!AY108</f>
        <v>113110.44</v>
      </c>
      <c r="BM620" s="1068"/>
      <c r="BN620" s="1068"/>
      <c r="BO620" s="1068"/>
      <c r="BP620" s="451" t="str">
        <f>'Rep Ovh Bal'!BQ108</f>
        <v/>
      </c>
      <c r="BQ620" s="451" t="str">
        <f>'Rep Ovh Bal'!BR108</f>
        <v/>
      </c>
      <c r="BR620" s="451" t="str">
        <f>'Rep Ovh Bal'!BS108</f>
        <v/>
      </c>
      <c r="BS620" s="451" t="str">
        <f>'Rep Ovh Bal'!BT108</f>
        <v/>
      </c>
      <c r="BT620" s="451" t="str">
        <f>'Rep Ovh Bal'!BU108</f>
        <v/>
      </c>
      <c r="BU620" s="451" t="str">
        <f>'Rep Ovh Bal'!BV108</f>
        <v/>
      </c>
      <c r="BV620" s="451" t="str">
        <f>'Rep Ovh Bal'!BW108</f>
        <v/>
      </c>
      <c r="BW620" s="1062">
        <f>'Rep Ovh Bal'!AZ108</f>
        <v>113110.44</v>
      </c>
      <c r="BX620" s="1069">
        <f>'Rep Ovh Bal'!AZ108</f>
        <v>113110.44</v>
      </c>
      <c r="BY620" s="1068"/>
      <c r="BZ620" s="1068"/>
      <c r="CA620" s="451" t="str">
        <f>'Rep Ovh Bal'!CB108</f>
        <v/>
      </c>
      <c r="CB620" s="451" t="str">
        <f>'Rep Ovh Bal'!CC108</f>
        <v/>
      </c>
      <c r="CC620" s="451" t="str">
        <f>'Rep Ovh Bal'!CD108</f>
        <v/>
      </c>
      <c r="CD620" s="451" t="str">
        <f>'Rep Ovh Bal'!CE108</f>
        <v/>
      </c>
      <c r="CE620" s="451" t="str">
        <f>'Rep Ovh Bal'!CF108</f>
        <v/>
      </c>
      <c r="CF620" s="451" t="str">
        <f>'Rep Ovh Bal'!CG108</f>
        <v/>
      </c>
      <c r="CG620" s="451" t="str">
        <f>'Rep Ovh Bal'!CH108</f>
        <v/>
      </c>
      <c r="CH620" s="451" t="str">
        <f>'Rep Ovh Bal'!CI108</f>
        <v/>
      </c>
      <c r="CI620" s="1062">
        <f>'Rep Ovh Bal'!BA108</f>
        <v>113110.44</v>
      </c>
      <c r="CJ620" s="1062">
        <f>'Rep Ovh Bal'!BA108</f>
        <v>113110.44</v>
      </c>
      <c r="CK620" s="1062">
        <f>'Rep Ovh Bal'!BB108</f>
        <v>339331.32</v>
      </c>
      <c r="CL620" s="1064" t="str">
        <f>'Rep Ovh Bal'!BC108</f>
        <v/>
      </c>
      <c r="CM620" s="451" t="str">
        <f>'Rep Ovh Bal'!CN108</f>
        <v/>
      </c>
      <c r="CN620" s="1065" t="str">
        <f>'Rep Ovh Bal'!BE104</f>
        <v/>
      </c>
      <c r="CO620" s="1062" t="str">
        <f>'Rep Ovh Bal'!BF104</f>
        <v/>
      </c>
      <c r="CP620" s="1060" t="str">
        <f>'Rep Ovh Bal'!BG104</f>
        <v/>
      </c>
    </row>
    <row r="621">
      <c r="A621" s="451" t="str">
        <f>'Rep Ovh Bal'!A109</f>
        <v>Repuestos mantenimientos mayores para estaciones y torres</v>
      </c>
      <c r="B621" s="451">
        <f>'Rep Ovh Bal'!B109</f>
        <v>2</v>
      </c>
      <c r="C621" s="451" t="str">
        <f>'Rep Ovh Bal'!C109</f>
        <v>Estaciones</v>
      </c>
      <c r="D621" s="451" t="str">
        <f>'Rep Ovh Bal'!D109</f>
        <v>OVH Bombas de reductores principales</v>
      </c>
      <c r="E621" s="451" t="str">
        <f>'Rep Ovh Bal'!E109</f>
        <v>Repuesto Mecánico</v>
      </c>
      <c r="F621" s="451" t="str">
        <f>'Rep Ovh Bal'!F109</f>
        <v>TDB</v>
      </c>
      <c r="G621" s="1025" t="str">
        <f>'Rep Ovh Bal'!G109</f>
        <v>39800</v>
      </c>
      <c r="H621" s="1061" t="str">
        <f>'Rep Ovh Bal'!H109</f>
        <v/>
      </c>
      <c r="I621" s="1061" t="str">
        <f>'Rep Ovh Bal'!I109</f>
        <v>11404324</v>
      </c>
      <c r="J621" s="1061" t="str">
        <f>'Rep Ovh Bal'!J109</f>
        <v>JUEGO DE MANTENIMIENTO P. BOMBA KRAL  K55-118   KRAL</v>
      </c>
      <c r="K621" s="451" t="str">
        <f>'Rep Ovh Bal'!K109</f>
        <v>Pza</v>
      </c>
      <c r="L621" s="451" t="str">
        <f>'Rep Ovh Bal'!L109</f>
        <v/>
      </c>
      <c r="M621" s="451" t="str">
        <f>'Rep Ovh Bal'!M109</f>
        <v/>
      </c>
      <c r="N621" s="451" t="str">
        <f>'Rep Ovh Bal'!N109</f>
        <v/>
      </c>
      <c r="O621" s="451" t="str">
        <f>'Rep Ovh Bal'!O109</f>
        <v/>
      </c>
      <c r="P621" s="451" t="str">
        <f>'Rep Ovh Bal'!P109</f>
        <v/>
      </c>
      <c r="Q621" s="451" t="str">
        <f>'Rep Ovh Bal'!Q109</f>
        <v/>
      </c>
      <c r="R621" s="451" t="str">
        <f>'Rep Ovh Bal'!R109</f>
        <v/>
      </c>
      <c r="S621" s="451" t="str">
        <f>'Rep Ovh Bal'!S109</f>
        <v/>
      </c>
      <c r="T621" s="451" t="str">
        <f>'Rep Ovh Bal'!T109</f>
        <v/>
      </c>
      <c r="U621" s="451" t="str">
        <f>'Rep Ovh Bal'!U109</f>
        <v/>
      </c>
      <c r="V621" s="451">
        <f>'Rep Ovh Bal'!V109</f>
        <v>4</v>
      </c>
      <c r="W621" s="1062">
        <f>'Rep Ovh Bal'!W109</f>
        <v>1</v>
      </c>
      <c r="X621" s="451" t="str">
        <f>'Rep Ovh Bal'!X109</f>
        <v/>
      </c>
      <c r="Y621" s="451" t="str">
        <f>'Rep Ovh Bal'!Y109</f>
        <v/>
      </c>
      <c r="Z621" s="451" t="str">
        <f>'Rep Ovh Bal'!Z109</f>
        <v/>
      </c>
      <c r="AA621" s="451" t="str">
        <f>'Rep Ovh Bal'!AA109</f>
        <v/>
      </c>
      <c r="AB621" s="451" t="str">
        <f>'Rep Ovh Bal'!AB109</f>
        <v/>
      </c>
      <c r="AC621" s="451" t="str">
        <f>'Rep Ovh Bal'!AC109</f>
        <v/>
      </c>
      <c r="AD621" s="451" t="str">
        <f>'Rep Ovh Bal'!AD109</f>
        <v/>
      </c>
      <c r="AE621" s="451" t="str">
        <f>'Rep Ovh Bal'!AE109</f>
        <v/>
      </c>
      <c r="AF621" s="451" t="str">
        <f>'Rep Ovh Bal'!AF109</f>
        <v/>
      </c>
      <c r="AG621" s="451" t="str">
        <f>'Rep Ovh Bal'!AG109</f>
        <v/>
      </c>
      <c r="AH621" s="451">
        <f>'Rep Ovh Bal'!AH109</f>
        <v>4</v>
      </c>
      <c r="AI621" s="1062">
        <f>'Rep Ovh Bal'!AI109</f>
        <v>0</v>
      </c>
      <c r="AJ621" s="451" t="str">
        <f>'Rep Ovh Bal'!AJ109</f>
        <v/>
      </c>
      <c r="AK621" s="451" t="str">
        <f>'Rep Ovh Bal'!AK109</f>
        <v/>
      </c>
      <c r="AL621" s="451" t="str">
        <f>'Rep Ovh Bal'!AL109</f>
        <v/>
      </c>
      <c r="AM621" s="451" t="str">
        <f>'Rep Ovh Bal'!AM109</f>
        <v/>
      </c>
      <c r="AN621" s="451" t="str">
        <f>'Rep Ovh Bal'!AN109</f>
        <v/>
      </c>
      <c r="AO621" s="451" t="str">
        <f>'Rep Ovh Bal'!AO109</f>
        <v/>
      </c>
      <c r="AP621" s="451" t="str">
        <f>'Rep Ovh Bal'!AP109</f>
        <v/>
      </c>
      <c r="AQ621" s="451" t="str">
        <f>'Rep Ovh Bal'!AQ109</f>
        <v/>
      </c>
      <c r="AR621" s="451" t="str">
        <f>'Rep Ovh Bal'!AR109</f>
        <v/>
      </c>
      <c r="AS621" s="451" t="str">
        <f>'Rep Ovh Bal'!AS109</f>
        <v/>
      </c>
      <c r="AT621" s="451">
        <f>'Rep Ovh Bal'!AT109</f>
        <v>4</v>
      </c>
      <c r="AU621" s="1062">
        <f>'Rep Ovh Bal'!AU109</f>
        <v>0</v>
      </c>
      <c r="AV621" s="1063">
        <f>'Rep Ovh Bal'!AV109</f>
        <v>1</v>
      </c>
      <c r="AW621" s="1068"/>
      <c r="AX621" s="1065">
        <f>'Rep Ovh Bal'!AW109</f>
        <v>1713.84</v>
      </c>
      <c r="AY621" s="1062">
        <f>'Rep Ovh Bal'!AX109</f>
        <v>11928.3264</v>
      </c>
      <c r="AZ621" s="1068"/>
      <c r="BA621" s="1068"/>
      <c r="BB621" s="1068"/>
      <c r="BC621" s="1068"/>
      <c r="BD621" s="1068"/>
      <c r="BE621" s="1068"/>
      <c r="BF621" s="1065" t="str">
        <f>'Rep Ovh Bal'!BE109</f>
        <v/>
      </c>
      <c r="BG621" s="451" t="str">
        <f>'Rep Ovh Bal'!BH109</f>
        <v/>
      </c>
      <c r="BH621" s="451" t="str">
        <f>'Rep Ovh Bal'!BI109</f>
        <v/>
      </c>
      <c r="BI621" s="451" t="str">
        <f>'Rep Ovh Bal'!BJ109</f>
        <v/>
      </c>
      <c r="BJ621" s="451" t="str">
        <f>'Rep Ovh Bal'!BK109</f>
        <v/>
      </c>
      <c r="BK621" s="1062">
        <f>'Rep Ovh Bal'!AY109</f>
        <v>11928.3264</v>
      </c>
      <c r="BL621" s="1069">
        <f>'Rep Ovh Bal'!AY109</f>
        <v>11928.3264</v>
      </c>
      <c r="BM621" s="1068"/>
      <c r="BN621" s="1068"/>
      <c r="BO621" s="1068"/>
      <c r="BP621" s="451" t="str">
        <f>'Rep Ovh Bal'!BQ109</f>
        <v/>
      </c>
      <c r="BQ621" s="451" t="str">
        <f>'Rep Ovh Bal'!BR109</f>
        <v/>
      </c>
      <c r="BR621" s="451" t="str">
        <f>'Rep Ovh Bal'!BS109</f>
        <v/>
      </c>
      <c r="BS621" s="451" t="str">
        <f>'Rep Ovh Bal'!BT109</f>
        <v/>
      </c>
      <c r="BT621" s="451" t="str">
        <f>'Rep Ovh Bal'!BU109</f>
        <v/>
      </c>
      <c r="BU621" s="451" t="str">
        <f>'Rep Ovh Bal'!BV109</f>
        <v/>
      </c>
      <c r="BV621" s="451" t="str">
        <f>'Rep Ovh Bal'!BW109</f>
        <v/>
      </c>
      <c r="BW621" s="1062">
        <f>'Rep Ovh Bal'!AZ109</f>
        <v>0</v>
      </c>
      <c r="BX621" s="1069">
        <f>'Rep Ovh Bal'!AZ109</f>
        <v>0</v>
      </c>
      <c r="BY621" s="1068"/>
      <c r="BZ621" s="1068"/>
      <c r="CA621" s="451" t="str">
        <f>'Rep Ovh Bal'!CB109</f>
        <v/>
      </c>
      <c r="CB621" s="451" t="str">
        <f>'Rep Ovh Bal'!CC109</f>
        <v/>
      </c>
      <c r="CC621" s="451" t="str">
        <f>'Rep Ovh Bal'!CD109</f>
        <v/>
      </c>
      <c r="CD621" s="451" t="str">
        <f>'Rep Ovh Bal'!CE109</f>
        <v/>
      </c>
      <c r="CE621" s="451" t="str">
        <f>'Rep Ovh Bal'!CF109</f>
        <v/>
      </c>
      <c r="CF621" s="451" t="str">
        <f>'Rep Ovh Bal'!CG109</f>
        <v/>
      </c>
      <c r="CG621" s="451" t="str">
        <f>'Rep Ovh Bal'!CH109</f>
        <v/>
      </c>
      <c r="CH621" s="451" t="str">
        <f>'Rep Ovh Bal'!CI109</f>
        <v/>
      </c>
      <c r="CI621" s="1062">
        <f>'Rep Ovh Bal'!BA109</f>
        <v>0</v>
      </c>
      <c r="CJ621" s="1062">
        <f>'Rep Ovh Bal'!BA109</f>
        <v>0</v>
      </c>
      <c r="CK621" s="1062">
        <f>'Rep Ovh Bal'!BB109</f>
        <v>11928.3264</v>
      </c>
      <c r="CL621" s="1064" t="str">
        <f>'Rep Ovh Bal'!BC109</f>
        <v/>
      </c>
      <c r="CM621" s="451" t="str">
        <f>'Rep Ovh Bal'!CN109</f>
        <v/>
      </c>
      <c r="CN621" s="1065" t="str">
        <f>'Rep Ovh Bal'!BE105</f>
        <v/>
      </c>
      <c r="CO621" s="1062" t="str">
        <f>'Rep Ovh Bal'!BF105</f>
        <v/>
      </c>
      <c r="CP621" s="1060" t="str">
        <f>'Rep Ovh Bal'!BG105</f>
        <v/>
      </c>
    </row>
    <row r="622">
      <c r="A622" s="451" t="str">
        <f>'Rep Ovh Bal'!A110</f>
        <v>Repuestos mantenimientos mayores para estaciones y torres</v>
      </c>
      <c r="B622" s="451">
        <f>'Rep Ovh Bal'!B110</f>
        <v>2</v>
      </c>
      <c r="C622" s="451" t="str">
        <f>'Rep Ovh Bal'!C110</f>
        <v>Estaciones</v>
      </c>
      <c r="D622" s="451" t="str">
        <f>'Rep Ovh Bal'!D110</f>
        <v>OVH Bombas de reductores principales</v>
      </c>
      <c r="E622" s="451" t="str">
        <f>'Rep Ovh Bal'!E110</f>
        <v>Repuesto Mecánico</v>
      </c>
      <c r="F622" s="451" t="str">
        <f>'Rep Ovh Bal'!F110</f>
        <v>TDB</v>
      </c>
      <c r="G622" s="1025" t="str">
        <f>'Rep Ovh Bal'!G110</f>
        <v>39800</v>
      </c>
      <c r="H622" s="1061" t="str">
        <f>'Rep Ovh Bal'!H110</f>
        <v>2-01-00880</v>
      </c>
      <c r="I622" s="1061" t="str">
        <f>'Rep Ovh Bal'!I110</f>
        <v>11539659</v>
      </c>
      <c r="J622" s="1061" t="str">
        <f>'Rep Ovh Bal'!J110</f>
        <v>SET DE MANTENIMIENTO P. BOMBA KRAL K 5-20</v>
      </c>
      <c r="K622" s="451" t="str">
        <f>'Rep Ovh Bal'!K110</f>
        <v>Pza</v>
      </c>
      <c r="L622" s="451" t="str">
        <f>'Rep Ovh Bal'!L110</f>
        <v/>
      </c>
      <c r="M622" s="451" t="str">
        <f>'Rep Ovh Bal'!M110</f>
        <v/>
      </c>
      <c r="N622" s="451" t="str">
        <f>'Rep Ovh Bal'!N110</f>
        <v/>
      </c>
      <c r="O622" s="451" t="str">
        <f>'Rep Ovh Bal'!O110</f>
        <v/>
      </c>
      <c r="P622" s="451" t="str">
        <f>'Rep Ovh Bal'!P110</f>
        <v/>
      </c>
      <c r="Q622" s="451" t="str">
        <f>'Rep Ovh Bal'!Q110</f>
        <v/>
      </c>
      <c r="R622" s="451" t="str">
        <f>'Rep Ovh Bal'!R110</f>
        <v/>
      </c>
      <c r="S622" s="451" t="str">
        <f>'Rep Ovh Bal'!S110</f>
        <v/>
      </c>
      <c r="T622" s="451" t="str">
        <f>'Rep Ovh Bal'!T110</f>
        <v/>
      </c>
      <c r="U622" s="451" t="str">
        <f>'Rep Ovh Bal'!U110</f>
        <v/>
      </c>
      <c r="V622" s="451">
        <f>'Rep Ovh Bal'!V110</f>
        <v>5</v>
      </c>
      <c r="W622" s="1062">
        <f>'Rep Ovh Bal'!W110</f>
        <v>0</v>
      </c>
      <c r="X622" s="451" t="str">
        <f>'Rep Ovh Bal'!X110</f>
        <v/>
      </c>
      <c r="Y622" s="451" t="str">
        <f>'Rep Ovh Bal'!Y110</f>
        <v/>
      </c>
      <c r="Z622" s="451" t="str">
        <f>'Rep Ovh Bal'!Z110</f>
        <v/>
      </c>
      <c r="AA622" s="451" t="str">
        <f>'Rep Ovh Bal'!AA110</f>
        <v/>
      </c>
      <c r="AB622" s="451" t="str">
        <f>'Rep Ovh Bal'!AB110</f>
        <v/>
      </c>
      <c r="AC622" s="451" t="str">
        <f>'Rep Ovh Bal'!AC110</f>
        <v/>
      </c>
      <c r="AD622" s="451" t="str">
        <f>'Rep Ovh Bal'!AD110</f>
        <v/>
      </c>
      <c r="AE622" s="451" t="str">
        <f>'Rep Ovh Bal'!AE110</f>
        <v/>
      </c>
      <c r="AF622" s="451" t="str">
        <f>'Rep Ovh Bal'!AF110</f>
        <v/>
      </c>
      <c r="AG622" s="451" t="str">
        <f>'Rep Ovh Bal'!AG110</f>
        <v/>
      </c>
      <c r="AH622" s="451">
        <f>'Rep Ovh Bal'!AH110</f>
        <v>5</v>
      </c>
      <c r="AI622" s="1062">
        <f>'Rep Ovh Bal'!AI110</f>
        <v>0</v>
      </c>
      <c r="AJ622" s="451" t="str">
        <f>'Rep Ovh Bal'!AJ110</f>
        <v/>
      </c>
      <c r="AK622" s="451" t="str">
        <f>'Rep Ovh Bal'!AK110</f>
        <v/>
      </c>
      <c r="AL622" s="451" t="str">
        <f>'Rep Ovh Bal'!AL110</f>
        <v/>
      </c>
      <c r="AM622" s="451" t="str">
        <f>'Rep Ovh Bal'!AM110</f>
        <v/>
      </c>
      <c r="AN622" s="451" t="str">
        <f>'Rep Ovh Bal'!AN110</f>
        <v/>
      </c>
      <c r="AO622" s="451" t="str">
        <f>'Rep Ovh Bal'!AO110</f>
        <v/>
      </c>
      <c r="AP622" s="451" t="str">
        <f>'Rep Ovh Bal'!AP110</f>
        <v/>
      </c>
      <c r="AQ622" s="451" t="str">
        <f>'Rep Ovh Bal'!AQ110</f>
        <v/>
      </c>
      <c r="AR622" s="451" t="str">
        <f>'Rep Ovh Bal'!AR110</f>
        <v/>
      </c>
      <c r="AS622" s="451" t="str">
        <f>'Rep Ovh Bal'!AS110</f>
        <v/>
      </c>
      <c r="AT622" s="451">
        <f>'Rep Ovh Bal'!AT110</f>
        <v>5</v>
      </c>
      <c r="AU622" s="1062">
        <f>'Rep Ovh Bal'!AU110</f>
        <v>0</v>
      </c>
      <c r="AV622" s="1063">
        <f>'Rep Ovh Bal'!AV110</f>
        <v>0</v>
      </c>
      <c r="AW622" s="1068"/>
      <c r="AX622" s="1065">
        <f>'Rep Ovh Bal'!AW110</f>
        <v>1200.64</v>
      </c>
      <c r="AY622" s="1062">
        <f>'Rep Ovh Bal'!AX110</f>
        <v>8356.4544</v>
      </c>
      <c r="AZ622" s="1068"/>
      <c r="BA622" s="1068"/>
      <c r="BB622" s="1068"/>
      <c r="BC622" s="1068"/>
      <c r="BD622" s="1068"/>
      <c r="BE622" s="1068"/>
      <c r="BF622" s="1065" t="str">
        <f>'Rep Ovh Bal'!BE110</f>
        <v/>
      </c>
      <c r="BG622" s="451" t="str">
        <f>'Rep Ovh Bal'!BH110</f>
        <v/>
      </c>
      <c r="BH622" s="451" t="str">
        <f>'Rep Ovh Bal'!BI110</f>
        <v/>
      </c>
      <c r="BI622" s="451" t="str">
        <f>'Rep Ovh Bal'!BJ110</f>
        <v/>
      </c>
      <c r="BJ622" s="451" t="str">
        <f>'Rep Ovh Bal'!BK110</f>
        <v/>
      </c>
      <c r="BK622" s="1062">
        <f>'Rep Ovh Bal'!AY110</f>
        <v>0</v>
      </c>
      <c r="BL622" s="1069">
        <f>'Rep Ovh Bal'!AY110</f>
        <v>0</v>
      </c>
      <c r="BM622" s="1068"/>
      <c r="BN622" s="1068"/>
      <c r="BO622" s="1068"/>
      <c r="BP622" s="451" t="str">
        <f>'Rep Ovh Bal'!BQ110</f>
        <v/>
      </c>
      <c r="BQ622" s="451" t="str">
        <f>'Rep Ovh Bal'!BR110</f>
        <v/>
      </c>
      <c r="BR622" s="451" t="str">
        <f>'Rep Ovh Bal'!BS110</f>
        <v/>
      </c>
      <c r="BS622" s="451" t="str">
        <f>'Rep Ovh Bal'!BT110</f>
        <v/>
      </c>
      <c r="BT622" s="451" t="str">
        <f>'Rep Ovh Bal'!BU110</f>
        <v/>
      </c>
      <c r="BU622" s="451" t="str">
        <f>'Rep Ovh Bal'!BV110</f>
        <v/>
      </c>
      <c r="BV622" s="451" t="str">
        <f>'Rep Ovh Bal'!BW110</f>
        <v/>
      </c>
      <c r="BW622" s="1062">
        <f>'Rep Ovh Bal'!AZ110</f>
        <v>0</v>
      </c>
      <c r="BX622" s="1069">
        <f>'Rep Ovh Bal'!AZ110</f>
        <v>0</v>
      </c>
      <c r="BY622" s="1068"/>
      <c r="BZ622" s="1068"/>
      <c r="CA622" s="451" t="str">
        <f>'Rep Ovh Bal'!CB110</f>
        <v/>
      </c>
      <c r="CB622" s="451" t="str">
        <f>'Rep Ovh Bal'!CC110</f>
        <v/>
      </c>
      <c r="CC622" s="451" t="str">
        <f>'Rep Ovh Bal'!CD110</f>
        <v/>
      </c>
      <c r="CD622" s="451" t="str">
        <f>'Rep Ovh Bal'!CE110</f>
        <v/>
      </c>
      <c r="CE622" s="451" t="str">
        <f>'Rep Ovh Bal'!CF110</f>
        <v/>
      </c>
      <c r="CF622" s="451" t="str">
        <f>'Rep Ovh Bal'!CG110</f>
        <v/>
      </c>
      <c r="CG622" s="451" t="str">
        <f>'Rep Ovh Bal'!CH110</f>
        <v/>
      </c>
      <c r="CH622" s="451" t="str">
        <f>'Rep Ovh Bal'!CI110</f>
        <v/>
      </c>
      <c r="CI622" s="1062">
        <f>'Rep Ovh Bal'!BA110</f>
        <v>0</v>
      </c>
      <c r="CJ622" s="1062">
        <f>'Rep Ovh Bal'!BA110</f>
        <v>0</v>
      </c>
      <c r="CK622" s="1062">
        <f>'Rep Ovh Bal'!BB110</f>
        <v>0</v>
      </c>
      <c r="CL622" s="1064" t="str">
        <f>'Rep Ovh Bal'!BC110</f>
        <v/>
      </c>
      <c r="CM622" s="451" t="str">
        <f>'Rep Ovh Bal'!CN110</f>
        <v/>
      </c>
      <c r="CN622" s="1065" t="str">
        <f>'Rep Ovh Bal'!BE106</f>
        <v/>
      </c>
      <c r="CO622" s="1062" t="str">
        <f>'Rep Ovh Bal'!BF106</f>
        <v/>
      </c>
      <c r="CP622" s="1060" t="str">
        <f>'Rep Ovh Bal'!BG106</f>
        <v/>
      </c>
    </row>
    <row r="623">
      <c r="A623" s="451" t="str">
        <f>'Rep Ovh Bal'!A111</f>
        <v>Repuestos mantenimientos mayores para estaciones y torres</v>
      </c>
      <c r="B623" s="451">
        <f>'Rep Ovh Bal'!B111</f>
        <v>2</v>
      </c>
      <c r="C623" s="451" t="str">
        <f>'Rep Ovh Bal'!C111</f>
        <v>Estaciones</v>
      </c>
      <c r="D623" s="451" t="str">
        <f>'Rep Ovh Bal'!D111</f>
        <v>OVH Frenos de Servicio</v>
      </c>
      <c r="E623" s="451" t="str">
        <f>'Rep Ovh Bal'!E111</f>
        <v>Repuesto Mecánico</v>
      </c>
      <c r="F623" s="451" t="str">
        <f>'Rep Ovh Bal'!F111</f>
        <v>TDB</v>
      </c>
      <c r="G623" s="1025" t="str">
        <f>'Rep Ovh Bal'!G111</f>
        <v>39800</v>
      </c>
      <c r="H623" s="1061" t="str">
        <f>'Rep Ovh Bal'!H111</f>
        <v/>
      </c>
      <c r="I623" s="1061" t="str">
        <f>'Rep Ovh Bal'!I111</f>
        <v>10514554</v>
      </c>
      <c r="J623" s="1061" t="str">
        <f>'Rep Ovh Bal'!J111</f>
        <v>ÉMBOLO COMPLETO DIÁ.70/63</v>
      </c>
      <c r="K623" s="451" t="str">
        <f>'Rep Ovh Bal'!K111</f>
        <v>Pza</v>
      </c>
      <c r="L623" s="451" t="str">
        <f>'Rep Ovh Bal'!L111</f>
        <v/>
      </c>
      <c r="M623" s="451" t="str">
        <f>'Rep Ovh Bal'!M111</f>
        <v/>
      </c>
      <c r="N623" s="451" t="str">
        <f>'Rep Ovh Bal'!N111</f>
        <v/>
      </c>
      <c r="O623" s="451" t="str">
        <f>'Rep Ovh Bal'!O111</f>
        <v/>
      </c>
      <c r="P623" s="451" t="str">
        <f>'Rep Ovh Bal'!P111</f>
        <v/>
      </c>
      <c r="Q623" s="451" t="str">
        <f>'Rep Ovh Bal'!Q111</f>
        <v/>
      </c>
      <c r="R623" s="451" t="str">
        <f>'Rep Ovh Bal'!R111</f>
        <v/>
      </c>
      <c r="S623" s="451" t="str">
        <f>'Rep Ovh Bal'!S111</f>
        <v/>
      </c>
      <c r="T623" s="451" t="str">
        <f>'Rep Ovh Bal'!T111</f>
        <v/>
      </c>
      <c r="U623" s="451" t="str">
        <f>'Rep Ovh Bal'!U111</f>
        <v/>
      </c>
      <c r="V623" s="451">
        <f>'Rep Ovh Bal'!V111</f>
        <v>2</v>
      </c>
      <c r="W623" s="1062">
        <f>'Rep Ovh Bal'!W111</f>
        <v>2</v>
      </c>
      <c r="X623" s="451" t="str">
        <f>'Rep Ovh Bal'!X111</f>
        <v/>
      </c>
      <c r="Y623" s="451" t="str">
        <f>'Rep Ovh Bal'!Y111</f>
        <v/>
      </c>
      <c r="Z623" s="451" t="str">
        <f>'Rep Ovh Bal'!Z111</f>
        <v/>
      </c>
      <c r="AA623" s="451" t="str">
        <f>'Rep Ovh Bal'!AA111</f>
        <v/>
      </c>
      <c r="AB623" s="451" t="str">
        <f>'Rep Ovh Bal'!AB111</f>
        <v/>
      </c>
      <c r="AC623" s="451" t="str">
        <f>'Rep Ovh Bal'!AC111</f>
        <v/>
      </c>
      <c r="AD623" s="451" t="str">
        <f>'Rep Ovh Bal'!AD111</f>
        <v/>
      </c>
      <c r="AE623" s="451" t="str">
        <f>'Rep Ovh Bal'!AE111</f>
        <v/>
      </c>
      <c r="AF623" s="451" t="str">
        <f>'Rep Ovh Bal'!AF111</f>
        <v/>
      </c>
      <c r="AG623" s="451" t="str">
        <f>'Rep Ovh Bal'!AG111</f>
        <v/>
      </c>
      <c r="AH623" s="451">
        <f>'Rep Ovh Bal'!AH111</f>
        <v>2</v>
      </c>
      <c r="AI623" s="1062">
        <f>'Rep Ovh Bal'!AI111</f>
        <v>2</v>
      </c>
      <c r="AJ623" s="451" t="str">
        <f>'Rep Ovh Bal'!AJ111</f>
        <v/>
      </c>
      <c r="AK623" s="451" t="str">
        <f>'Rep Ovh Bal'!AK111</f>
        <v/>
      </c>
      <c r="AL623" s="451" t="str">
        <f>'Rep Ovh Bal'!AL111</f>
        <v/>
      </c>
      <c r="AM623" s="451" t="str">
        <f>'Rep Ovh Bal'!AM111</f>
        <v/>
      </c>
      <c r="AN623" s="451" t="str">
        <f>'Rep Ovh Bal'!AN111</f>
        <v/>
      </c>
      <c r="AO623" s="451" t="str">
        <f>'Rep Ovh Bal'!AO111</f>
        <v/>
      </c>
      <c r="AP623" s="451" t="str">
        <f>'Rep Ovh Bal'!AP111</f>
        <v/>
      </c>
      <c r="AQ623" s="451" t="str">
        <f>'Rep Ovh Bal'!AQ111</f>
        <v/>
      </c>
      <c r="AR623" s="451" t="str">
        <f>'Rep Ovh Bal'!AR111</f>
        <v/>
      </c>
      <c r="AS623" s="451" t="str">
        <f>'Rep Ovh Bal'!AS111</f>
        <v/>
      </c>
      <c r="AT623" s="451">
        <f>'Rep Ovh Bal'!AT111</f>
        <v>2</v>
      </c>
      <c r="AU623" s="1062">
        <f>'Rep Ovh Bal'!AU111</f>
        <v>2</v>
      </c>
      <c r="AV623" s="1063">
        <f>'Rep Ovh Bal'!AV111</f>
        <v>6</v>
      </c>
      <c r="AW623" s="1068"/>
      <c r="AX623" s="1065">
        <f>'Rep Ovh Bal'!AW111</f>
        <v>1401.81</v>
      </c>
      <c r="AY623" s="1062">
        <f>'Rep Ovh Bal'!AX111</f>
        <v>9756.5976</v>
      </c>
      <c r="AZ623" s="1068"/>
      <c r="BA623" s="1068"/>
      <c r="BB623" s="1068"/>
      <c r="BC623" s="1068"/>
      <c r="BD623" s="1068"/>
      <c r="BE623" s="1068"/>
      <c r="BF623" s="1065" t="str">
        <f>'Rep Ovh Bal'!BE111</f>
        <v/>
      </c>
      <c r="BG623" s="451" t="str">
        <f>'Rep Ovh Bal'!BH111</f>
        <v/>
      </c>
      <c r="BH623" s="451" t="str">
        <f>'Rep Ovh Bal'!BI111</f>
        <v/>
      </c>
      <c r="BI623" s="451" t="str">
        <f>'Rep Ovh Bal'!BJ111</f>
        <v/>
      </c>
      <c r="BJ623" s="451" t="str">
        <f>'Rep Ovh Bal'!BK111</f>
        <v/>
      </c>
      <c r="BK623" s="1062">
        <f>'Rep Ovh Bal'!AY111</f>
        <v>19513.1952</v>
      </c>
      <c r="BL623" s="1069">
        <f>'Rep Ovh Bal'!AY111</f>
        <v>19513.1952</v>
      </c>
      <c r="BM623" s="1068"/>
      <c r="BN623" s="1068"/>
      <c r="BO623" s="1068"/>
      <c r="BP623" s="451" t="str">
        <f>'Rep Ovh Bal'!BQ111</f>
        <v/>
      </c>
      <c r="BQ623" s="451" t="str">
        <f>'Rep Ovh Bal'!BR111</f>
        <v/>
      </c>
      <c r="BR623" s="451" t="str">
        <f>'Rep Ovh Bal'!BS111</f>
        <v/>
      </c>
      <c r="BS623" s="451" t="str">
        <f>'Rep Ovh Bal'!BT111</f>
        <v/>
      </c>
      <c r="BT623" s="451" t="str">
        <f>'Rep Ovh Bal'!BU111</f>
        <v/>
      </c>
      <c r="BU623" s="451" t="str">
        <f>'Rep Ovh Bal'!BV111</f>
        <v/>
      </c>
      <c r="BV623" s="451" t="str">
        <f>'Rep Ovh Bal'!BW111</f>
        <v/>
      </c>
      <c r="BW623" s="1062">
        <f>'Rep Ovh Bal'!AZ111</f>
        <v>19513.1952</v>
      </c>
      <c r="BX623" s="1069">
        <f>'Rep Ovh Bal'!AZ111</f>
        <v>19513.1952</v>
      </c>
      <c r="BY623" s="1068"/>
      <c r="BZ623" s="1068"/>
      <c r="CA623" s="451" t="str">
        <f>'Rep Ovh Bal'!CB111</f>
        <v/>
      </c>
      <c r="CB623" s="451" t="str">
        <f>'Rep Ovh Bal'!CC111</f>
        <v/>
      </c>
      <c r="CC623" s="451" t="str">
        <f>'Rep Ovh Bal'!CD111</f>
        <v/>
      </c>
      <c r="CD623" s="451" t="str">
        <f>'Rep Ovh Bal'!CE111</f>
        <v/>
      </c>
      <c r="CE623" s="451" t="str">
        <f>'Rep Ovh Bal'!CF111</f>
        <v/>
      </c>
      <c r="CF623" s="451" t="str">
        <f>'Rep Ovh Bal'!CG111</f>
        <v/>
      </c>
      <c r="CG623" s="451" t="str">
        <f>'Rep Ovh Bal'!CH111</f>
        <v/>
      </c>
      <c r="CH623" s="451" t="str">
        <f>'Rep Ovh Bal'!CI111</f>
        <v/>
      </c>
      <c r="CI623" s="1062">
        <f>'Rep Ovh Bal'!BA111</f>
        <v>19513.1952</v>
      </c>
      <c r="CJ623" s="1062">
        <f>'Rep Ovh Bal'!BA111</f>
        <v>19513.1952</v>
      </c>
      <c r="CK623" s="1062">
        <f>'Rep Ovh Bal'!BB111</f>
        <v>58539.5856</v>
      </c>
      <c r="CL623" s="1064" t="str">
        <f>'Rep Ovh Bal'!BC111</f>
        <v/>
      </c>
      <c r="CM623" s="451" t="str">
        <f>'Rep Ovh Bal'!CN111</f>
        <v/>
      </c>
      <c r="CN623" s="1065" t="str">
        <f>'Rep Ovh Bal'!BE107</f>
        <v/>
      </c>
      <c r="CO623" s="1062" t="str">
        <f>'Rep Ovh Bal'!BF107</f>
        <v/>
      </c>
      <c r="CP623" s="1060" t="str">
        <f>'Rep Ovh Bal'!BG107</f>
        <v/>
      </c>
    </row>
    <row r="624">
      <c r="A624" s="451" t="str">
        <f>'Rep Ovh Bal'!A112</f>
        <v>Repuestos mantenimientos mayores para estaciones y torres</v>
      </c>
      <c r="B624" s="451">
        <f>'Rep Ovh Bal'!B112</f>
        <v>2</v>
      </c>
      <c r="C624" s="451" t="str">
        <f>'Rep Ovh Bal'!C112</f>
        <v>Estaciones</v>
      </c>
      <c r="D624" s="451" t="str">
        <f>'Rep Ovh Bal'!D112</f>
        <v>OVH Frenos de Servicio</v>
      </c>
      <c r="E624" s="451" t="str">
        <f>'Rep Ovh Bal'!E112</f>
        <v>Repuesto Mecánico</v>
      </c>
      <c r="F624" s="451" t="str">
        <f>'Rep Ovh Bal'!F112</f>
        <v>TDB</v>
      </c>
      <c r="G624" s="1025" t="str">
        <f>'Rep Ovh Bal'!G112</f>
        <v>39800</v>
      </c>
      <c r="H624" s="1061" t="str">
        <f>'Rep Ovh Bal'!H112</f>
        <v>2-01-01014</v>
      </c>
      <c r="I624" s="1061" t="str">
        <f>'Rep Ovh Bal'!I112</f>
        <v>10514556</v>
      </c>
      <c r="J624" s="1061" t="str">
        <f>'Rep Ovh Bal'!J112</f>
        <v>PISTON COMPLETO DIA.75 / 63    </v>
      </c>
      <c r="K624" s="451" t="str">
        <f>'Rep Ovh Bal'!K112</f>
        <v>Pza</v>
      </c>
      <c r="L624" s="451" t="str">
        <f>'Rep Ovh Bal'!L112</f>
        <v/>
      </c>
      <c r="M624" s="451" t="str">
        <f>'Rep Ovh Bal'!M112</f>
        <v/>
      </c>
      <c r="N624" s="451" t="str">
        <f>'Rep Ovh Bal'!N112</f>
        <v/>
      </c>
      <c r="O624" s="451" t="str">
        <f>'Rep Ovh Bal'!O112</f>
        <v/>
      </c>
      <c r="P624" s="451" t="str">
        <f>'Rep Ovh Bal'!P112</f>
        <v/>
      </c>
      <c r="Q624" s="451" t="str">
        <f>'Rep Ovh Bal'!Q112</f>
        <v/>
      </c>
      <c r="R624" s="451" t="str">
        <f>'Rep Ovh Bal'!R112</f>
        <v/>
      </c>
      <c r="S624" s="451" t="str">
        <f>'Rep Ovh Bal'!S112</f>
        <v/>
      </c>
      <c r="T624" s="451" t="str">
        <f>'Rep Ovh Bal'!T112</f>
        <v/>
      </c>
      <c r="U624" s="451" t="str">
        <f>'Rep Ovh Bal'!U112</f>
        <v/>
      </c>
      <c r="V624" s="451">
        <f>'Rep Ovh Bal'!V112</f>
        <v>2</v>
      </c>
      <c r="W624" s="1062">
        <f>'Rep Ovh Bal'!W112</f>
        <v>2</v>
      </c>
      <c r="X624" s="451" t="str">
        <f>'Rep Ovh Bal'!X112</f>
        <v/>
      </c>
      <c r="Y624" s="451" t="str">
        <f>'Rep Ovh Bal'!Y112</f>
        <v/>
      </c>
      <c r="Z624" s="451" t="str">
        <f>'Rep Ovh Bal'!Z112</f>
        <v/>
      </c>
      <c r="AA624" s="451" t="str">
        <f>'Rep Ovh Bal'!AA112</f>
        <v/>
      </c>
      <c r="AB624" s="451" t="str">
        <f>'Rep Ovh Bal'!AB112</f>
        <v/>
      </c>
      <c r="AC624" s="451" t="str">
        <f>'Rep Ovh Bal'!AC112</f>
        <v/>
      </c>
      <c r="AD624" s="451" t="str">
        <f>'Rep Ovh Bal'!AD112</f>
        <v/>
      </c>
      <c r="AE624" s="451" t="str">
        <f>'Rep Ovh Bal'!AE112</f>
        <v/>
      </c>
      <c r="AF624" s="451" t="str">
        <f>'Rep Ovh Bal'!AF112</f>
        <v/>
      </c>
      <c r="AG624" s="451" t="str">
        <f>'Rep Ovh Bal'!AG112</f>
        <v/>
      </c>
      <c r="AH624" s="451">
        <f>'Rep Ovh Bal'!AH112</f>
        <v>2</v>
      </c>
      <c r="AI624" s="1062">
        <f>'Rep Ovh Bal'!AI112</f>
        <v>2</v>
      </c>
      <c r="AJ624" s="451" t="str">
        <f>'Rep Ovh Bal'!AJ112</f>
        <v/>
      </c>
      <c r="AK624" s="451" t="str">
        <f>'Rep Ovh Bal'!AK112</f>
        <v/>
      </c>
      <c r="AL624" s="451" t="str">
        <f>'Rep Ovh Bal'!AL112</f>
        <v/>
      </c>
      <c r="AM624" s="451" t="str">
        <f>'Rep Ovh Bal'!AM112</f>
        <v/>
      </c>
      <c r="AN624" s="451" t="str">
        <f>'Rep Ovh Bal'!AN112</f>
        <v/>
      </c>
      <c r="AO624" s="451" t="str">
        <f>'Rep Ovh Bal'!AO112</f>
        <v/>
      </c>
      <c r="AP624" s="451" t="str">
        <f>'Rep Ovh Bal'!AP112</f>
        <v/>
      </c>
      <c r="AQ624" s="451" t="str">
        <f>'Rep Ovh Bal'!AQ112</f>
        <v/>
      </c>
      <c r="AR624" s="451" t="str">
        <f>'Rep Ovh Bal'!AR112</f>
        <v/>
      </c>
      <c r="AS624" s="451" t="str">
        <f>'Rep Ovh Bal'!AS112</f>
        <v/>
      </c>
      <c r="AT624" s="451">
        <f>'Rep Ovh Bal'!AT112</f>
        <v>2</v>
      </c>
      <c r="AU624" s="1062">
        <f>'Rep Ovh Bal'!AU112</f>
        <v>2</v>
      </c>
      <c r="AV624" s="1063">
        <f>'Rep Ovh Bal'!AV112</f>
        <v>6</v>
      </c>
      <c r="AW624" s="1068"/>
      <c r="AX624" s="1065">
        <f>'Rep Ovh Bal'!AW112</f>
        <v>1426.88</v>
      </c>
      <c r="AY624" s="1062">
        <f>'Rep Ovh Bal'!AX112</f>
        <v>9931.0848</v>
      </c>
      <c r="AZ624" s="1068"/>
      <c r="BA624" s="1068"/>
      <c r="BB624" s="1068"/>
      <c r="BC624" s="1068"/>
      <c r="BD624" s="1068"/>
      <c r="BE624" s="1068"/>
      <c r="BF624" s="1065" t="str">
        <f>'Rep Ovh Bal'!BE112</f>
        <v/>
      </c>
      <c r="BG624" s="451" t="str">
        <f>'Rep Ovh Bal'!BH112</f>
        <v/>
      </c>
      <c r="BH624" s="451" t="str">
        <f>'Rep Ovh Bal'!BI112</f>
        <v/>
      </c>
      <c r="BI624" s="451" t="str">
        <f>'Rep Ovh Bal'!BJ112</f>
        <v/>
      </c>
      <c r="BJ624" s="451" t="str">
        <f>'Rep Ovh Bal'!BK112</f>
        <v/>
      </c>
      <c r="BK624" s="1062">
        <f>'Rep Ovh Bal'!AY112</f>
        <v>19862.1696</v>
      </c>
      <c r="BL624" s="1069">
        <f>'Rep Ovh Bal'!AY112</f>
        <v>19862.1696</v>
      </c>
      <c r="BM624" s="1068"/>
      <c r="BN624" s="1068"/>
      <c r="BO624" s="1068"/>
      <c r="BP624" s="451" t="str">
        <f>'Rep Ovh Bal'!BQ112</f>
        <v/>
      </c>
      <c r="BQ624" s="451" t="str">
        <f>'Rep Ovh Bal'!BR112</f>
        <v/>
      </c>
      <c r="BR624" s="451" t="str">
        <f>'Rep Ovh Bal'!BS112</f>
        <v/>
      </c>
      <c r="BS624" s="451" t="str">
        <f>'Rep Ovh Bal'!BT112</f>
        <v/>
      </c>
      <c r="BT624" s="451" t="str">
        <f>'Rep Ovh Bal'!BU112</f>
        <v/>
      </c>
      <c r="BU624" s="451" t="str">
        <f>'Rep Ovh Bal'!BV112</f>
        <v/>
      </c>
      <c r="BV624" s="451" t="str">
        <f>'Rep Ovh Bal'!BW112</f>
        <v/>
      </c>
      <c r="BW624" s="1062">
        <f>'Rep Ovh Bal'!AZ112</f>
        <v>19862.1696</v>
      </c>
      <c r="BX624" s="1069">
        <f>'Rep Ovh Bal'!AZ112</f>
        <v>19862.1696</v>
      </c>
      <c r="BY624" s="1068"/>
      <c r="BZ624" s="1068"/>
      <c r="CA624" s="451" t="str">
        <f>'Rep Ovh Bal'!CB112</f>
        <v/>
      </c>
      <c r="CB624" s="451" t="str">
        <f>'Rep Ovh Bal'!CC112</f>
        <v/>
      </c>
      <c r="CC624" s="451" t="str">
        <f>'Rep Ovh Bal'!CD112</f>
        <v/>
      </c>
      <c r="CD624" s="451" t="str">
        <f>'Rep Ovh Bal'!CE112</f>
        <v/>
      </c>
      <c r="CE624" s="451" t="str">
        <f>'Rep Ovh Bal'!CF112</f>
        <v/>
      </c>
      <c r="CF624" s="451" t="str">
        <f>'Rep Ovh Bal'!CG112</f>
        <v/>
      </c>
      <c r="CG624" s="451" t="str">
        <f>'Rep Ovh Bal'!CH112</f>
        <v/>
      </c>
      <c r="CH624" s="451" t="str">
        <f>'Rep Ovh Bal'!CI112</f>
        <v/>
      </c>
      <c r="CI624" s="1062">
        <f>'Rep Ovh Bal'!BA112</f>
        <v>19862.1696</v>
      </c>
      <c r="CJ624" s="1062">
        <f>'Rep Ovh Bal'!BA112</f>
        <v>19862.1696</v>
      </c>
      <c r="CK624" s="1062">
        <f>'Rep Ovh Bal'!BB112</f>
        <v>59586.5088</v>
      </c>
      <c r="CL624" s="1064" t="str">
        <f>'Rep Ovh Bal'!BC112</f>
        <v/>
      </c>
      <c r="CM624" s="451" t="str">
        <f>'Rep Ovh Bal'!CN112</f>
        <v/>
      </c>
      <c r="CN624" s="1065" t="str">
        <f>'Rep Ovh Bal'!BE108</f>
        <v/>
      </c>
      <c r="CO624" s="1062" t="str">
        <f>'Rep Ovh Bal'!BF108</f>
        <v/>
      </c>
      <c r="CP624" s="1060" t="str">
        <f>'Rep Ovh Bal'!BG108</f>
        <v/>
      </c>
    </row>
    <row r="625">
      <c r="A625" s="451"/>
      <c r="B625" s="451"/>
      <c r="C625" s="451"/>
      <c r="D625" s="451"/>
      <c r="E625" s="451"/>
      <c r="F625" s="451"/>
      <c r="G625" s="1061"/>
      <c r="H625" s="451"/>
      <c r="I625" s="1061"/>
      <c r="J625" s="1061"/>
      <c r="K625" s="451"/>
      <c r="L625" s="451"/>
      <c r="M625" s="1068"/>
      <c r="N625" s="1068"/>
      <c r="O625" s="1068"/>
      <c r="P625" s="1068"/>
      <c r="Q625" s="1068"/>
      <c r="R625" s="1068"/>
      <c r="S625" s="1068"/>
      <c r="T625" s="1068"/>
      <c r="U625" s="1068"/>
      <c r="V625" s="1068"/>
      <c r="W625" s="451"/>
      <c r="X625" s="1068"/>
      <c r="Y625" s="1068"/>
      <c r="Z625" s="1068"/>
      <c r="AA625" s="1068"/>
      <c r="AB625" s="1068"/>
      <c r="AC625" s="1068"/>
      <c r="AD625" s="1068"/>
      <c r="AE625" s="1068"/>
      <c r="AF625" s="1068"/>
      <c r="AG625" s="451"/>
      <c r="AH625" s="451"/>
      <c r="AI625" s="451"/>
      <c r="AJ625" s="1068"/>
      <c r="AK625" s="1068"/>
      <c r="AL625" s="1068"/>
      <c r="AM625" s="1068"/>
      <c r="AN625" s="1068"/>
      <c r="AO625" s="1068"/>
      <c r="AP625" s="1068"/>
      <c r="AQ625" s="1068"/>
      <c r="AR625" s="451"/>
      <c r="AS625" s="451"/>
      <c r="AT625" s="451"/>
      <c r="AU625" s="451"/>
      <c r="AV625" s="1063"/>
      <c r="AW625" s="1068"/>
      <c r="AX625" s="451"/>
      <c r="AY625" s="451"/>
      <c r="AZ625" s="1068"/>
      <c r="BA625" s="1068"/>
      <c r="BB625" s="1068"/>
      <c r="BC625" s="1068"/>
      <c r="BD625" s="451"/>
      <c r="BE625" s="451"/>
      <c r="BF625" s="451"/>
      <c r="BG625" s="451"/>
      <c r="BH625" s="451"/>
      <c r="BI625" s="451"/>
      <c r="BJ625" s="451"/>
      <c r="BK625" s="451"/>
      <c r="BL625" s="451"/>
      <c r="BM625" s="451"/>
      <c r="BN625" s="451"/>
      <c r="BO625" s="451"/>
      <c r="BP625" s="451"/>
      <c r="BQ625" s="451"/>
      <c r="BR625" s="451"/>
      <c r="BS625" s="451"/>
      <c r="BT625" s="451"/>
      <c r="BU625" s="451"/>
      <c r="BV625" s="451"/>
      <c r="BW625" s="451"/>
      <c r="BX625" s="451"/>
      <c r="BY625" s="451"/>
      <c r="BZ625" s="451"/>
      <c r="CA625" s="451"/>
      <c r="CB625" s="451"/>
      <c r="CC625" s="451"/>
      <c r="CD625" s="451"/>
      <c r="CE625" s="451"/>
      <c r="CF625" s="451"/>
      <c r="CG625" s="451"/>
      <c r="CH625" s="451"/>
      <c r="CI625" s="451"/>
      <c r="CJ625" s="451"/>
      <c r="CK625" s="451"/>
      <c r="CL625" s="451"/>
      <c r="CM625" s="451"/>
      <c r="CN625" s="1065" t="str">
        <f>'Rep Ovh Bal'!BE109</f>
        <v/>
      </c>
      <c r="CO625" s="1062" t="str">
        <f>'Rep Ovh Bal'!BF109</f>
        <v/>
      </c>
      <c r="CP625" s="1060" t="str">
        <f>'Rep Ovh Bal'!BG109</f>
        <v/>
      </c>
    </row>
    <row r="626">
      <c r="A626" s="451" t="str">
        <f>'Pinzas Plateada'!A33</f>
        <v>Repuestos cambio de mordazas</v>
      </c>
      <c r="B626" s="451">
        <f>'Pinzas Plateada'!B33</f>
        <v>2</v>
      </c>
      <c r="C626" s="451" t="str">
        <f>'Pinzas Plateada'!C33</f>
        <v>Vehiculo</v>
      </c>
      <c r="D626" s="451" t="str">
        <f>'Pinzas Plateada'!D33</f>
        <v>Cambio de mordazas</v>
      </c>
      <c r="E626" s="451" t="str">
        <f>'Pinzas Plateada'!E33</f>
        <v>Repuesto Mecánico</v>
      </c>
      <c r="F626" s="451" t="str">
        <f>'Pinzas Plateada'!F33</f>
        <v>TDB</v>
      </c>
      <c r="G626" s="1025" t="str">
        <f>'Pinzas Plateada'!G33</f>
        <v>39800</v>
      </c>
      <c r="H626" s="451" t="str">
        <f>'Pinzas Plateada'!H33</f>
        <v/>
      </c>
      <c r="I626" s="1061" t="str">
        <f>'Pinzas Plateada'!I33</f>
        <v>10487943</v>
      </c>
      <c r="J626" s="1061" t="str">
        <f>'Pinzas Plateada'!J33</f>
        <v>MANDÍBULA MÓVIL A108-C  DIA.50 MECAN.CANAL DEL CABLE Ø44-56MM</v>
      </c>
      <c r="K626" s="451" t="str">
        <f>'Pinzas Plateada'!K33</f>
        <v>Pza</v>
      </c>
      <c r="L626" s="451"/>
      <c r="M626" s="1068"/>
      <c r="N626" s="1068"/>
      <c r="O626" s="1068"/>
      <c r="P626" s="1068"/>
      <c r="Q626" s="1068"/>
      <c r="R626" s="1068"/>
      <c r="S626" s="1068"/>
      <c r="T626" s="1068"/>
      <c r="U626" s="1068"/>
      <c r="V626" s="1068"/>
      <c r="W626" s="451" t="str">
        <f>'Pinzas Plateada'!M33</f>
        <v/>
      </c>
      <c r="X626" s="1068"/>
      <c r="Y626" s="1068"/>
      <c r="Z626" s="1068"/>
      <c r="AA626" s="1068"/>
      <c r="AB626" s="1068"/>
      <c r="AC626" s="1068"/>
      <c r="AD626" s="1068"/>
      <c r="AE626" s="1068"/>
      <c r="AF626" s="1068"/>
      <c r="AG626" s="451" t="str">
        <f>'Pinzas Plateada'!AG33</f>
        <v/>
      </c>
      <c r="AH626" s="451" t="str">
        <f>'Pinzas Plateada'!AH33</f>
        <v/>
      </c>
      <c r="AI626" s="451"/>
      <c r="AJ626" s="1068"/>
      <c r="AK626" s="1068"/>
      <c r="AL626" s="1068"/>
      <c r="AM626" s="1068"/>
      <c r="AN626" s="1068"/>
      <c r="AO626" s="1068"/>
      <c r="AP626" s="1068"/>
      <c r="AQ626" s="1068"/>
      <c r="AR626" s="451" t="str">
        <f>'Pinzas Plateada'!AR33</f>
        <v/>
      </c>
      <c r="AS626" s="451" t="str">
        <f>'Pinzas Plateada'!AS33</f>
        <v/>
      </c>
      <c r="AT626" s="451" t="str">
        <f>'Pinzas Plateada'!AT33</f>
        <v/>
      </c>
      <c r="AU626" s="451">
        <f>'Pinzas Plateada'!O33</f>
        <v>71</v>
      </c>
      <c r="AV626" s="1063">
        <f>'Pinzas Plateada'!P33</f>
        <v>71</v>
      </c>
      <c r="AW626" s="1068"/>
      <c r="AX626" s="1065">
        <f>'Pinzas Plateada'!Q33</f>
        <v>2507.54</v>
      </c>
      <c r="AY626" s="1062">
        <f>'Pinzas Plateada'!R33</f>
        <v>17452.4784</v>
      </c>
      <c r="AZ626" s="1068"/>
      <c r="BA626" s="1068"/>
      <c r="BB626" s="1068"/>
      <c r="BC626" s="1068"/>
      <c r="BD626" s="451" t="str">
        <f>'Pinzas Plateada'!BD33</f>
        <v/>
      </c>
      <c r="BE626" s="451" t="str">
        <f>'Pinzas Plateada'!BE33</f>
        <v/>
      </c>
      <c r="BF626" s="451" t="str">
        <f>'Pinzas Plateada'!BF33</f>
        <v/>
      </c>
      <c r="BG626" s="451" t="str">
        <f>'Pinzas Plateada'!BG33</f>
        <v/>
      </c>
      <c r="BH626" s="451" t="str">
        <f>'Pinzas Plateada'!BH33</f>
        <v/>
      </c>
      <c r="BI626" s="451" t="str">
        <f>'Pinzas Plateada'!BI33</f>
        <v/>
      </c>
      <c r="BJ626" s="451" t="str">
        <f>'Pinzas Plateada'!BJ33</f>
        <v/>
      </c>
      <c r="BK626" s="451" t="str">
        <f>'Pinzas Plateada'!BK33</f>
        <v/>
      </c>
      <c r="BL626" s="451" t="str">
        <f>'Pinzas Plateada'!BL33</f>
        <v/>
      </c>
      <c r="BM626" s="451" t="str">
        <f>'Pinzas Plateada'!BM33</f>
        <v/>
      </c>
      <c r="BN626" s="451" t="str">
        <f>'Pinzas Plateada'!BN33</f>
        <v/>
      </c>
      <c r="BO626" s="451" t="str">
        <f>'Pinzas Plateada'!BO33</f>
        <v/>
      </c>
      <c r="BP626" s="451" t="str">
        <f>'Pinzas Plateada'!BP33</f>
        <v/>
      </c>
      <c r="BQ626" s="451" t="str">
        <f>'Pinzas Plateada'!BQ33</f>
        <v/>
      </c>
      <c r="BR626" s="451" t="str">
        <f>'Pinzas Plateada'!BR33</f>
        <v/>
      </c>
      <c r="BS626" s="451" t="str">
        <f>'Pinzas Plateada'!BS33</f>
        <v/>
      </c>
      <c r="BT626" s="451" t="str">
        <f>'Pinzas Plateada'!BT33</f>
        <v/>
      </c>
      <c r="BU626" s="451" t="str">
        <f>'Pinzas Plateada'!BU33</f>
        <v/>
      </c>
      <c r="BV626" s="451" t="str">
        <f>'Pinzas Plateada'!BV33</f>
        <v/>
      </c>
      <c r="BW626" s="451" t="str">
        <f>'Pinzas Plateada'!BW33</f>
        <v/>
      </c>
      <c r="BX626" s="451" t="str">
        <f>'Pinzas Plateada'!BX33</f>
        <v/>
      </c>
      <c r="BY626" s="451" t="str">
        <f>'Pinzas Plateada'!BY33</f>
        <v/>
      </c>
      <c r="BZ626" s="1064">
        <f>'Pinzas Plateada'!S33</f>
        <v>1239125.966</v>
      </c>
      <c r="CA626" s="451" t="str">
        <f>'Pinzas Plateada'!CA33</f>
        <v/>
      </c>
      <c r="CB626" s="451" t="str">
        <f>'Pinzas Plateada'!CB33</f>
        <v/>
      </c>
      <c r="CC626" s="451" t="str">
        <f>'Pinzas Plateada'!CC33</f>
        <v/>
      </c>
      <c r="CD626" s="451" t="str">
        <f>'Pinzas Plateada'!CD33</f>
        <v/>
      </c>
      <c r="CE626" s="451" t="str">
        <f>'Pinzas Plateada'!CE33</f>
        <v/>
      </c>
      <c r="CF626" s="451" t="str">
        <f>'Pinzas Plateada'!CF33</f>
        <v/>
      </c>
      <c r="CG626" s="451" t="str">
        <f>'Pinzas Plateada'!CG33</f>
        <v/>
      </c>
      <c r="CH626" s="451" t="str">
        <f>'Pinzas Plateada'!CH33</f>
        <v/>
      </c>
      <c r="CI626" s="451" t="str">
        <f>'Pinzas Plateada'!CI33</f>
        <v/>
      </c>
      <c r="CJ626" s="1064">
        <f>'Pinzas Plateada'!S33</f>
        <v>1239125.966</v>
      </c>
      <c r="CK626" s="1064">
        <f>'Pinzas Plateada'!S33</f>
        <v>1239125.966</v>
      </c>
      <c r="CL626" s="451" t="str">
        <f>'Pinzas Plateada'!T33</f>
        <v>Linea Plateada</v>
      </c>
      <c r="CM626" s="451" t="str">
        <f>'Pinzas Plateada'!U33</f>
        <v>Para Plateada 2026 al 60%</v>
      </c>
      <c r="CN626" s="1065" t="str">
        <f>'Rep Ovh Bal'!BE110</f>
        <v/>
      </c>
      <c r="CO626" s="1062" t="str">
        <f>'Rep Ovh Bal'!BF110</f>
        <v/>
      </c>
      <c r="CP626" s="1060" t="str">
        <f>'Rep Ovh Bal'!BG110</f>
        <v/>
      </c>
    </row>
    <row r="627">
      <c r="A627" s="451" t="str">
        <f>'Pinzas Plateada'!A34</f>
        <v>Repuestos cambio de mordazas</v>
      </c>
      <c r="B627" s="451">
        <f>'Pinzas Plateada'!B34</f>
        <v>2</v>
      </c>
      <c r="C627" s="451" t="str">
        <f>'Pinzas Plateada'!C34</f>
        <v>Vehiculo</v>
      </c>
      <c r="D627" s="451" t="str">
        <f>'Pinzas Plateada'!D34</f>
        <v>Cambio de mordazas</v>
      </c>
      <c r="E627" s="451" t="str">
        <f>'Pinzas Plateada'!E34</f>
        <v>Repuesto Mecánico</v>
      </c>
      <c r="F627" s="451" t="str">
        <f>'Pinzas Plateada'!F34</f>
        <v>TDB</v>
      </c>
      <c r="G627" s="1025" t="str">
        <f>'Pinzas Plateada'!G34</f>
        <v>39800</v>
      </c>
      <c r="H627" s="451" t="str">
        <f>'Pinzas Plateada'!H34</f>
        <v/>
      </c>
      <c r="I627" s="1061" t="str">
        <f>'Pinzas Plateada'!I34</f>
        <v>10487922</v>
      </c>
      <c r="J627" s="1061" t="str">
        <f>'Pinzas Plateada'!J34</f>
        <v>MANDÍBULA FIJA   A108-C DIA.50 MECAN.CANAL DEL CABLE Ø44-56MM</v>
      </c>
      <c r="K627" s="451" t="str">
        <f>'Pinzas Plateada'!K34</f>
        <v>Pza</v>
      </c>
      <c r="L627" s="451"/>
      <c r="M627" s="1068"/>
      <c r="N627" s="1068"/>
      <c r="O627" s="1068"/>
      <c r="P627" s="1068"/>
      <c r="Q627" s="1068"/>
      <c r="R627" s="1068"/>
      <c r="S627" s="1068"/>
      <c r="T627" s="1068"/>
      <c r="U627" s="1068"/>
      <c r="V627" s="1068"/>
      <c r="W627" s="451" t="str">
        <f>'Pinzas Plateada'!M34</f>
        <v/>
      </c>
      <c r="X627" s="1068"/>
      <c r="Y627" s="1068"/>
      <c r="Z627" s="1068"/>
      <c r="AA627" s="1068"/>
      <c r="AB627" s="1068"/>
      <c r="AC627" s="1068"/>
      <c r="AD627" s="1068"/>
      <c r="AE627" s="1068"/>
      <c r="AF627" s="1068"/>
      <c r="AG627" s="451" t="str">
        <f>'Pinzas Plateada'!AG34</f>
        <v/>
      </c>
      <c r="AH627" s="451" t="str">
        <f>'Pinzas Plateada'!AH34</f>
        <v/>
      </c>
      <c r="AI627" s="451"/>
      <c r="AJ627" s="1068"/>
      <c r="AK627" s="1068"/>
      <c r="AL627" s="1068"/>
      <c r="AM627" s="1068"/>
      <c r="AN627" s="1068"/>
      <c r="AO627" s="1068"/>
      <c r="AP627" s="1068"/>
      <c r="AQ627" s="1068"/>
      <c r="AR627" s="451" t="str">
        <f>'Pinzas Plateada'!AR34</f>
        <v/>
      </c>
      <c r="AS627" s="451" t="str">
        <f>'Pinzas Plateada'!AS34</f>
        <v/>
      </c>
      <c r="AT627" s="451" t="str">
        <f>'Pinzas Plateada'!AT34</f>
        <v/>
      </c>
      <c r="AU627" s="451">
        <f>'Pinzas Plateada'!O34</f>
        <v>71</v>
      </c>
      <c r="AV627" s="1063">
        <f>'Pinzas Plateada'!P34</f>
        <v>71</v>
      </c>
      <c r="AW627" s="1068"/>
      <c r="AX627" s="1065">
        <f>'Pinzas Plateada'!Q34</f>
        <v>4601.21</v>
      </c>
      <c r="AY627" s="1062">
        <f>'Pinzas Plateada'!R34</f>
        <v>32024.4216</v>
      </c>
      <c r="AZ627" s="1068"/>
      <c r="BA627" s="1068"/>
      <c r="BB627" s="1068"/>
      <c r="BC627" s="1068"/>
      <c r="BD627" s="451" t="str">
        <f>'Pinzas Plateada'!BD34</f>
        <v/>
      </c>
      <c r="BE627" s="451" t="str">
        <f>'Pinzas Plateada'!BE34</f>
        <v/>
      </c>
      <c r="BF627" s="451" t="str">
        <f>'Pinzas Plateada'!BF34</f>
        <v/>
      </c>
      <c r="BG627" s="451" t="str">
        <f>'Pinzas Plateada'!BG34</f>
        <v/>
      </c>
      <c r="BH627" s="451" t="str">
        <f>'Pinzas Plateada'!BH34</f>
        <v/>
      </c>
      <c r="BI627" s="451" t="str">
        <f>'Pinzas Plateada'!BI34</f>
        <v/>
      </c>
      <c r="BJ627" s="451" t="str">
        <f>'Pinzas Plateada'!BJ34</f>
        <v/>
      </c>
      <c r="BK627" s="451" t="str">
        <f>'Pinzas Plateada'!BK34</f>
        <v/>
      </c>
      <c r="BL627" s="451" t="str">
        <f>'Pinzas Plateada'!BL34</f>
        <v/>
      </c>
      <c r="BM627" s="451" t="str">
        <f>'Pinzas Plateada'!BM34</f>
        <v/>
      </c>
      <c r="BN627" s="451" t="str">
        <f>'Pinzas Plateada'!BN34</f>
        <v/>
      </c>
      <c r="BO627" s="451" t="str">
        <f>'Pinzas Plateada'!BO34</f>
        <v/>
      </c>
      <c r="BP627" s="451" t="str">
        <f>'Pinzas Plateada'!BP34</f>
        <v/>
      </c>
      <c r="BQ627" s="451" t="str">
        <f>'Pinzas Plateada'!BQ34</f>
        <v/>
      </c>
      <c r="BR627" s="451" t="str">
        <f>'Pinzas Plateada'!BR34</f>
        <v/>
      </c>
      <c r="BS627" s="451" t="str">
        <f>'Pinzas Plateada'!BS34</f>
        <v/>
      </c>
      <c r="BT627" s="451" t="str">
        <f>'Pinzas Plateada'!BT34</f>
        <v/>
      </c>
      <c r="BU627" s="451" t="str">
        <f>'Pinzas Plateada'!BU34</f>
        <v/>
      </c>
      <c r="BV627" s="451" t="str">
        <f>'Pinzas Plateada'!BV34</f>
        <v/>
      </c>
      <c r="BW627" s="451" t="str">
        <f>'Pinzas Plateada'!BW34</f>
        <v/>
      </c>
      <c r="BX627" s="451" t="str">
        <f>'Pinzas Plateada'!BX34</f>
        <v/>
      </c>
      <c r="BY627" s="451" t="str">
        <f>'Pinzas Plateada'!BY34</f>
        <v/>
      </c>
      <c r="BZ627" s="1064">
        <f>'Pinzas Plateada'!S34</f>
        <v>2273733.934</v>
      </c>
      <c r="CA627" s="451" t="str">
        <f>'Pinzas Plateada'!CA34</f>
        <v/>
      </c>
      <c r="CB627" s="451" t="str">
        <f>'Pinzas Plateada'!CB34</f>
        <v/>
      </c>
      <c r="CC627" s="451" t="str">
        <f>'Pinzas Plateada'!CC34</f>
        <v/>
      </c>
      <c r="CD627" s="451" t="str">
        <f>'Pinzas Plateada'!CD34</f>
        <v/>
      </c>
      <c r="CE627" s="451" t="str">
        <f>'Pinzas Plateada'!CE34</f>
        <v/>
      </c>
      <c r="CF627" s="451" t="str">
        <f>'Pinzas Plateada'!CF34</f>
        <v/>
      </c>
      <c r="CG627" s="451" t="str">
        <f>'Pinzas Plateada'!CG34</f>
        <v/>
      </c>
      <c r="CH627" s="451" t="str">
        <f>'Pinzas Plateada'!CH34</f>
        <v/>
      </c>
      <c r="CI627" s="451" t="str">
        <f>'Pinzas Plateada'!CI34</f>
        <v/>
      </c>
      <c r="CJ627" s="1064">
        <f>'Pinzas Plateada'!S34</f>
        <v>2273733.934</v>
      </c>
      <c r="CK627" s="1064">
        <f>'Pinzas Plateada'!S34</f>
        <v>2273733.934</v>
      </c>
      <c r="CL627" s="451" t="str">
        <f>'Pinzas Plateada'!T34</f>
        <v>Linea Plateada</v>
      </c>
      <c r="CM627" s="451" t="str">
        <f>'Pinzas Plateada'!U34</f>
        <v>Para Plateada 2026 al 60%</v>
      </c>
      <c r="CN627" s="1065" t="str">
        <f>'Rep Ovh Bal'!BE111</f>
        <v/>
      </c>
      <c r="CO627" s="1062" t="str">
        <f>'Rep Ovh Bal'!BF111</f>
        <v/>
      </c>
      <c r="CP627" s="1060" t="str">
        <f>'Rep Ovh Bal'!BG111</f>
        <v/>
      </c>
    </row>
    <row r="628">
      <c r="A628" s="451"/>
      <c r="B628" s="451"/>
      <c r="C628" s="1068"/>
      <c r="D628" s="1068"/>
      <c r="E628" s="451"/>
      <c r="F628" s="451"/>
      <c r="G628" s="1061"/>
      <c r="H628" s="1068"/>
      <c r="I628" s="451"/>
      <c r="J628" s="451"/>
      <c r="K628" s="451"/>
      <c r="L628" s="1068"/>
      <c r="M628" s="1068"/>
      <c r="N628" s="1068"/>
      <c r="O628" s="1068"/>
      <c r="P628" s="1068"/>
      <c r="Q628" s="1068"/>
      <c r="R628" s="1068"/>
      <c r="S628" s="1068"/>
      <c r="T628" s="1068"/>
      <c r="U628" s="451"/>
      <c r="V628" s="1068"/>
      <c r="W628" s="451"/>
      <c r="X628" s="1068"/>
      <c r="Y628" s="1068"/>
      <c r="Z628" s="1068"/>
      <c r="AA628" s="1068"/>
      <c r="AB628" s="1068"/>
      <c r="AC628" s="1068"/>
      <c r="AD628" s="1068"/>
      <c r="AE628" s="1068"/>
      <c r="AF628" s="1068"/>
      <c r="AG628" s="451"/>
      <c r="AH628" s="451"/>
      <c r="AI628" s="451"/>
      <c r="AJ628" s="1068"/>
      <c r="AK628" s="1068"/>
      <c r="AL628" s="1068"/>
      <c r="AM628" s="1068"/>
      <c r="AN628" s="1068"/>
      <c r="AO628" s="1068"/>
      <c r="AP628" s="1068"/>
      <c r="AQ628" s="1068"/>
      <c r="AR628" s="451"/>
      <c r="AS628" s="451"/>
      <c r="AT628" s="451"/>
      <c r="AU628" s="451"/>
      <c r="AV628" s="1063"/>
      <c r="AW628" s="1068"/>
      <c r="AX628" s="1063"/>
      <c r="AY628" s="451"/>
      <c r="AZ628" s="1068"/>
      <c r="BA628" s="1063"/>
      <c r="BB628" s="1063"/>
      <c r="BC628" s="412"/>
      <c r="BD628" s="1063"/>
      <c r="BE628" s="1063"/>
      <c r="BF628" s="1063"/>
      <c r="BG628" s="1063"/>
      <c r="BH628" s="1063"/>
      <c r="BI628" s="1063"/>
      <c r="BJ628" s="1063"/>
      <c r="BK628" s="1063"/>
      <c r="BL628" s="1063"/>
      <c r="BM628" s="1063"/>
      <c r="BN628" s="1063"/>
      <c r="BO628" s="1063"/>
      <c r="BP628" s="1063"/>
      <c r="BQ628" s="1063"/>
      <c r="BR628" s="1063"/>
      <c r="BS628" s="1063"/>
      <c r="BT628" s="1063"/>
      <c r="BU628" s="1063"/>
      <c r="BV628" s="1063"/>
      <c r="BW628" s="1063"/>
      <c r="BX628" s="1063"/>
      <c r="BY628" s="1063"/>
      <c r="BZ628" s="1063"/>
      <c r="CA628" s="1063"/>
      <c r="CB628" s="1063"/>
      <c r="CC628" s="1063"/>
      <c r="CD628" s="1063"/>
      <c r="CE628" s="1063"/>
      <c r="CF628" s="1063"/>
      <c r="CG628" s="1063"/>
      <c r="CH628" s="1063"/>
      <c r="CI628" s="1063"/>
      <c r="CJ628" s="1063"/>
      <c r="CK628" s="1063"/>
      <c r="CL628" s="1063"/>
      <c r="CM628" s="1063"/>
      <c r="CN628" s="1065" t="str">
        <f>'Rep Ovh Bal'!BE112</f>
        <v/>
      </c>
      <c r="CO628" s="1062" t="str">
        <f>'Rep Ovh Bal'!BF112</f>
        <v/>
      </c>
      <c r="CP628" s="1060">
        <f>'Rep Ovh Bal'!BG112</f>
        <v>0</v>
      </c>
    </row>
    <row r="629">
      <c r="A629" s="451" t="str">
        <f>Lubricantes!A3</f>
        <v>Lubricantes</v>
      </c>
      <c r="B629" s="451">
        <f>Lubricantes!B3</f>
        <v>13</v>
      </c>
      <c r="C629" s="1068"/>
      <c r="D629" s="1068"/>
      <c r="E629" s="451" t="s">
        <v>3028</v>
      </c>
      <c r="F629" s="451" t="str">
        <f>Lubricantes!F3</f>
        <v>LOCAL</v>
      </c>
      <c r="G629" s="451">
        <v>34110.0</v>
      </c>
      <c r="H629" s="1068"/>
      <c r="I629" s="1061" t="str">
        <f>Lubricantes!C3</f>
        <v>3-02-00033</v>
      </c>
      <c r="J629" s="451" t="str">
        <f>Lubricantes!D3</f>
        <v>GRASA ROJA 
 MOBILITCH 460 SHC - VOLANTES Y  
(COMPRA LOCAL 2023)  </v>
      </c>
      <c r="K629" s="451" t="str">
        <f>Lubricantes!H3</f>
        <v>Balde</v>
      </c>
      <c r="L629" s="1068"/>
      <c r="M629" s="1068"/>
      <c r="N629" s="1068"/>
      <c r="O629" s="1068"/>
      <c r="P629" s="1068"/>
      <c r="Q629" s="1068"/>
      <c r="R629" s="1068"/>
      <c r="S629" s="1068"/>
      <c r="T629" s="1068"/>
      <c r="U629" s="451" t="str">
        <f>Lubricantes!U3</f>
        <v/>
      </c>
      <c r="V629" s="1068"/>
      <c r="W629" s="1067">
        <f>Lubricantes!K3</f>
        <v>19</v>
      </c>
      <c r="X629" s="1068"/>
      <c r="Y629" s="1068"/>
      <c r="Z629" s="1068"/>
      <c r="AA629" s="1068"/>
      <c r="AB629" s="1068"/>
      <c r="AC629" s="1068"/>
      <c r="AD629" s="1068"/>
      <c r="AE629" s="1068"/>
      <c r="AF629" s="1068"/>
      <c r="AG629" s="451"/>
      <c r="AH629" s="451"/>
      <c r="AI629" s="1067">
        <f>Lubricantes!L3</f>
        <v>19</v>
      </c>
      <c r="AJ629" s="1068"/>
      <c r="AK629" s="1068"/>
      <c r="AL629" s="1068"/>
      <c r="AM629" s="1068"/>
      <c r="AN629" s="1068"/>
      <c r="AO629" s="1068"/>
      <c r="AP629" s="1068"/>
      <c r="AQ629" s="1068"/>
      <c r="AR629" s="451"/>
      <c r="AS629" s="451"/>
      <c r="AT629" s="451"/>
      <c r="AU629" s="1067">
        <f>Lubricantes!M3</f>
        <v>19</v>
      </c>
      <c r="AV629" s="1063">
        <f>Lubricantes!N3</f>
        <v>57</v>
      </c>
      <c r="AW629" s="1068"/>
      <c r="AX629" s="1063" t="str">
        <f>Lubricantes!U3</f>
        <v/>
      </c>
      <c r="AY629" s="1062">
        <f>Lubricantes!J3</f>
        <v>4715</v>
      </c>
      <c r="AZ629" s="1068"/>
      <c r="BA629" s="1068"/>
      <c r="BB629" s="1068"/>
      <c r="BC629" s="1068"/>
      <c r="BD629" s="451"/>
      <c r="BE629" s="451"/>
      <c r="BF629" s="451"/>
      <c r="BG629" s="451"/>
      <c r="BH629" s="451"/>
      <c r="BI629" s="451"/>
      <c r="BJ629" s="451"/>
      <c r="BK629" s="451"/>
      <c r="BL629" s="1062">
        <f>Lubricantes!O3</f>
        <v>89585</v>
      </c>
      <c r="BM629" s="1068"/>
      <c r="BN629" s="1068"/>
      <c r="BO629" s="1068"/>
      <c r="BP629" s="1068"/>
      <c r="BQ629" s="1068"/>
      <c r="BR629" s="1068"/>
      <c r="BS629" s="1068"/>
      <c r="BT629" s="451"/>
      <c r="BU629" s="451"/>
      <c r="BV629" s="451"/>
      <c r="BW629" s="451"/>
      <c r="BX629" s="1062">
        <f>Lubricantes!P3</f>
        <v>89585</v>
      </c>
      <c r="BY629" s="1068"/>
      <c r="BZ629" s="1068"/>
      <c r="CA629" s="1068"/>
      <c r="CB629" s="1068"/>
      <c r="CC629" s="451"/>
      <c r="CD629" s="451"/>
      <c r="CE629" s="451"/>
      <c r="CF629" s="451"/>
      <c r="CG629" s="451"/>
      <c r="CH629" s="451"/>
      <c r="CI629" s="451"/>
      <c r="CJ629" s="1062">
        <f>Lubricantes!Q3</f>
        <v>89585</v>
      </c>
      <c r="CK629" s="1062">
        <f>Lubricantes!R3</f>
        <v>268755</v>
      </c>
      <c r="CL629" s="451" t="str">
        <f>Lubricantes!S3</f>
        <v/>
      </c>
      <c r="CM629" s="451" t="str">
        <f>Lubricantes!T3</f>
        <v/>
      </c>
      <c r="CN629" s="451"/>
      <c r="CO629" s="451"/>
      <c r="CP629" s="451"/>
    </row>
    <row r="630">
      <c r="A630" s="451" t="str">
        <f>Lubricantes!A4</f>
        <v>Lubricantes</v>
      </c>
      <c r="B630" s="451">
        <f>Lubricantes!B4</f>
        <v>14</v>
      </c>
      <c r="C630" s="1068"/>
      <c r="D630" s="1068"/>
      <c r="E630" s="451" t="s">
        <v>3028</v>
      </c>
      <c r="F630" s="451" t="str">
        <f>Lubricantes!F4</f>
        <v>LOCAL</v>
      </c>
      <c r="G630" s="451">
        <v>34110.0</v>
      </c>
      <c r="H630" s="1068"/>
      <c r="I630" s="1061" t="str">
        <f>Lubricantes!C4</f>
        <v>3-02-00001</v>
      </c>
      <c r="J630" s="451" t="str">
        <f>Lubricantes!D4</f>
        <v>GRASA BLANCA
INTERLFON LT 2 - PINZAS DE CABINAS 
(COMPRA LOCAL 2023)  </v>
      </c>
      <c r="K630" s="451" t="str">
        <f>Lubricantes!H4</f>
        <v>Pza</v>
      </c>
      <c r="L630" s="1068"/>
      <c r="M630" s="1068"/>
      <c r="N630" s="1068"/>
      <c r="O630" s="1068"/>
      <c r="P630" s="1068"/>
      <c r="Q630" s="1068"/>
      <c r="R630" s="1068"/>
      <c r="S630" s="1068"/>
      <c r="T630" s="1068"/>
      <c r="U630" s="451" t="str">
        <f>Lubricantes!U4</f>
        <v/>
      </c>
      <c r="V630" s="1068"/>
      <c r="W630" s="1067">
        <f>Lubricantes!K4</f>
        <v>704.715</v>
      </c>
      <c r="X630" s="1068"/>
      <c r="Y630" s="1068"/>
      <c r="Z630" s="1068"/>
      <c r="AA630" s="1068"/>
      <c r="AB630" s="1068"/>
      <c r="AC630" s="1068"/>
      <c r="AD630" s="1068"/>
      <c r="AE630" s="1068"/>
      <c r="AF630" s="1068"/>
      <c r="AG630" s="451"/>
      <c r="AH630" s="451"/>
      <c r="AI630" s="1067">
        <f>Lubricantes!L4</f>
        <v>804.715</v>
      </c>
      <c r="AJ630" s="1068"/>
      <c r="AK630" s="1068"/>
      <c r="AL630" s="1068"/>
      <c r="AM630" s="1068"/>
      <c r="AN630" s="1068"/>
      <c r="AO630" s="1068"/>
      <c r="AP630" s="1068"/>
      <c r="AQ630" s="1068"/>
      <c r="AR630" s="451"/>
      <c r="AS630" s="451"/>
      <c r="AT630" s="451"/>
      <c r="AU630" s="1067">
        <f>Lubricantes!M4</f>
        <v>804.715</v>
      </c>
      <c r="AV630" s="1063">
        <f>Lubricantes!N4</f>
        <v>2314.145</v>
      </c>
      <c r="AW630" s="1068"/>
      <c r="AX630" s="1063" t="str">
        <f>Lubricantes!U4</f>
        <v/>
      </c>
      <c r="AY630" s="1062">
        <f>Lubricantes!J4</f>
        <v>489.45</v>
      </c>
      <c r="AZ630" s="1068"/>
      <c r="BA630" s="1068"/>
      <c r="BB630" s="1068"/>
      <c r="BC630" s="1068"/>
      <c r="BD630" s="451"/>
      <c r="BE630" s="451"/>
      <c r="BF630" s="451"/>
      <c r="BG630" s="451"/>
      <c r="BH630" s="451"/>
      <c r="BI630" s="451"/>
      <c r="BJ630" s="451"/>
      <c r="BK630" s="451"/>
      <c r="BL630" s="1062">
        <f>Lubricantes!O4</f>
        <v>344922.7568</v>
      </c>
      <c r="BM630" s="1068"/>
      <c r="BN630" s="1068"/>
      <c r="BO630" s="1068"/>
      <c r="BP630" s="1068"/>
      <c r="BQ630" s="1068"/>
      <c r="BR630" s="1068"/>
      <c r="BS630" s="1068"/>
      <c r="BT630" s="451"/>
      <c r="BU630" s="451"/>
      <c r="BV630" s="451"/>
      <c r="BW630" s="451"/>
      <c r="BX630" s="1062">
        <f>Lubricantes!P4</f>
        <v>393867.7568</v>
      </c>
      <c r="BY630" s="1068"/>
      <c r="BZ630" s="1068"/>
      <c r="CA630" s="1068"/>
      <c r="CB630" s="1068"/>
      <c r="CC630" s="451"/>
      <c r="CD630" s="451"/>
      <c r="CE630" s="451"/>
      <c r="CF630" s="451"/>
      <c r="CG630" s="451"/>
      <c r="CH630" s="451"/>
      <c r="CI630" s="451"/>
      <c r="CJ630" s="1062">
        <f>Lubricantes!Q4</f>
        <v>393867.7568</v>
      </c>
      <c r="CK630" s="1062">
        <f>Lubricantes!R4</f>
        <v>1132658.27</v>
      </c>
      <c r="CL630" s="451" t="str">
        <f>Lubricantes!S4</f>
        <v/>
      </c>
      <c r="CM630" s="1067" t="str">
        <f>Lubricantes!T4</f>
        <v>146 almcaen</v>
      </c>
      <c r="CN630" s="451" t="str">
        <f>'Pinzas Plateada'!V33</f>
        <v/>
      </c>
      <c r="CO630" s="451" t="str">
        <f>'Pinzas Plateada'!W33</f>
        <v/>
      </c>
      <c r="CP630" s="451"/>
    </row>
    <row r="631">
      <c r="A631" s="451" t="str">
        <f>Lubricantes!A5</f>
        <v>Lubricantes</v>
      </c>
      <c r="B631" s="451">
        <f>Lubricantes!B5</f>
        <v>13</v>
      </c>
      <c r="C631" s="1068"/>
      <c r="D631" s="1068"/>
      <c r="E631" s="451" t="s">
        <v>3028</v>
      </c>
      <c r="F631" s="451" t="str">
        <f>Lubricantes!F5</f>
        <v>LOCAL</v>
      </c>
      <c r="G631" s="451">
        <v>34110.0</v>
      </c>
      <c r="H631" s="1068"/>
      <c r="I631" s="1061" t="str">
        <f>Lubricantes!C5</f>
        <v>3-02-00002</v>
      </c>
      <c r="J631" s="451" t="str">
        <f>Lubricantes!D5</f>
        <v>GRASA AZUL 
XHP222 - MOBIL - CABINAS - BALANCINES - RODAMIENTOS 
(COMPRA LOCAL 2023)  </v>
      </c>
      <c r="K631" s="451" t="str">
        <f>Lubricantes!H5</f>
        <v>Balde</v>
      </c>
      <c r="L631" s="1068"/>
      <c r="M631" s="1068"/>
      <c r="N631" s="1068"/>
      <c r="O631" s="1068"/>
      <c r="P631" s="1068"/>
      <c r="Q631" s="1068"/>
      <c r="R631" s="1068"/>
      <c r="S631" s="1068"/>
      <c r="T631" s="1068"/>
      <c r="U631" s="451" t="str">
        <f>Lubricantes!U5</f>
        <v/>
      </c>
      <c r="V631" s="1068"/>
      <c r="W631" s="1067">
        <f>Lubricantes!K5</f>
        <v>160</v>
      </c>
      <c r="X631" s="1068"/>
      <c r="Y631" s="1068"/>
      <c r="Z631" s="1068"/>
      <c r="AA631" s="1068"/>
      <c r="AB631" s="1068"/>
      <c r="AC631" s="1068"/>
      <c r="AD631" s="1068"/>
      <c r="AE631" s="1068"/>
      <c r="AF631" s="1068"/>
      <c r="AG631" s="451"/>
      <c r="AH631" s="451"/>
      <c r="AI631" s="1067">
        <f>Lubricantes!L5</f>
        <v>179.5035</v>
      </c>
      <c r="AJ631" s="1068"/>
      <c r="AK631" s="1068"/>
      <c r="AL631" s="1068"/>
      <c r="AM631" s="1068"/>
      <c r="AN631" s="1068"/>
      <c r="AO631" s="1068"/>
      <c r="AP631" s="1068"/>
      <c r="AQ631" s="1068"/>
      <c r="AR631" s="451"/>
      <c r="AS631" s="451"/>
      <c r="AT631" s="451"/>
      <c r="AU631" s="1067">
        <f>Lubricantes!M5</f>
        <v>179.5035</v>
      </c>
      <c r="AV631" s="1063">
        <f>Lubricantes!N5</f>
        <v>519.007</v>
      </c>
      <c r="AW631" s="1068"/>
      <c r="AX631" s="1063" t="str">
        <f>Lubricantes!U5</f>
        <v/>
      </c>
      <c r="AY631" s="1062">
        <f>Lubricantes!J5</f>
        <v>2885</v>
      </c>
      <c r="AZ631" s="1068"/>
      <c r="BA631" s="1068"/>
      <c r="BB631" s="1068"/>
      <c r="BC631" s="1068"/>
      <c r="BD631" s="451"/>
      <c r="BE631" s="451"/>
      <c r="BF631" s="451"/>
      <c r="BG631" s="451"/>
      <c r="BH631" s="451"/>
      <c r="BI631" s="451"/>
      <c r="BJ631" s="451"/>
      <c r="BK631" s="451"/>
      <c r="BL631" s="1062">
        <f>Lubricantes!O5</f>
        <v>461600</v>
      </c>
      <c r="BM631" s="1068"/>
      <c r="BN631" s="1068"/>
      <c r="BO631" s="1068"/>
      <c r="BP631" s="1068"/>
      <c r="BQ631" s="1068"/>
      <c r="BR631" s="1068"/>
      <c r="BS631" s="1068"/>
      <c r="BT631" s="451"/>
      <c r="BU631" s="451"/>
      <c r="BV631" s="451"/>
      <c r="BW631" s="451"/>
      <c r="BX631" s="1062">
        <f>Lubricantes!P5</f>
        <v>517867.5975</v>
      </c>
      <c r="BY631" s="1068"/>
      <c r="BZ631" s="1068"/>
      <c r="CA631" s="1068"/>
      <c r="CB631" s="1068"/>
      <c r="CC631" s="451"/>
      <c r="CD631" s="451"/>
      <c r="CE631" s="451"/>
      <c r="CF631" s="451"/>
      <c r="CG631" s="451"/>
      <c r="CH631" s="451"/>
      <c r="CI631" s="451"/>
      <c r="CJ631" s="1062">
        <f>Lubricantes!Q5</f>
        <v>517867.5975</v>
      </c>
      <c r="CK631" s="1062">
        <f>Lubricantes!R5</f>
        <v>1497335.195</v>
      </c>
      <c r="CL631" s="451" t="str">
        <f>Lubricantes!S5</f>
        <v/>
      </c>
      <c r="CM631" s="1067" t="str">
        <f>Lubricantes!T5</f>
        <v>Se considera segun lo conversado con TRM. Ya se coordino con TRM.
70% asignar a lineas.
30% almacenar.
27 baldes almacen</v>
      </c>
      <c r="CN631" s="451" t="str">
        <f>'Pinzas Plateada'!V34</f>
        <v/>
      </c>
      <c r="CO631" s="451" t="str">
        <f>'Pinzas Plateada'!W34</f>
        <v/>
      </c>
      <c r="CP631" s="451"/>
    </row>
    <row r="632">
      <c r="A632" s="451" t="str">
        <f>Lubricantes!A6</f>
        <v>Lubricantes Especiales</v>
      </c>
      <c r="B632" s="451">
        <f>Lubricantes!B6</f>
        <v>2</v>
      </c>
      <c r="C632" s="1068"/>
      <c r="D632" s="1068"/>
      <c r="E632" s="451" t="s">
        <v>3028</v>
      </c>
      <c r="F632" s="451" t="str">
        <f>Lubricantes!F6</f>
        <v>TDB</v>
      </c>
      <c r="G632" s="451">
        <v>34110.0</v>
      </c>
      <c r="H632" s="1068"/>
      <c r="I632" s="1061" t="str">
        <f>Lubricantes!C6</f>
        <v>10072704</v>
      </c>
      <c r="J632" s="451" t="str">
        <f>Lubricantes!D6</f>
        <v> ISO FLEX NBU 15 - Kluber 
GRASA PARA PERNOS DE SUSPENCIÓN </v>
      </c>
      <c r="K632" s="451" t="str">
        <f>Lubricantes!H6</f>
        <v>Pza</v>
      </c>
      <c r="L632" s="1068"/>
      <c r="M632" s="1068"/>
      <c r="N632" s="1068"/>
      <c r="O632" s="1068"/>
      <c r="P632" s="1068"/>
      <c r="Q632" s="1068"/>
      <c r="R632" s="1068"/>
      <c r="S632" s="1068"/>
      <c r="T632" s="1068"/>
      <c r="U632" s="451"/>
      <c r="V632" s="1068"/>
      <c r="W632" s="1067">
        <f>Lubricantes!K6</f>
        <v>17</v>
      </c>
      <c r="X632" s="1068"/>
      <c r="Y632" s="1068"/>
      <c r="Z632" s="1068"/>
      <c r="AA632" s="1068"/>
      <c r="AB632" s="1068"/>
      <c r="AC632" s="1068"/>
      <c r="AD632" s="1068"/>
      <c r="AE632" s="1068"/>
      <c r="AF632" s="1068"/>
      <c r="AG632" s="451"/>
      <c r="AH632" s="451"/>
      <c r="AI632" s="1067">
        <f>Lubricantes!L6</f>
        <v>20</v>
      </c>
      <c r="AJ632" s="1068"/>
      <c r="AK632" s="1068"/>
      <c r="AL632" s="1068"/>
      <c r="AM632" s="1068"/>
      <c r="AN632" s="1068"/>
      <c r="AO632" s="1068"/>
      <c r="AP632" s="1068"/>
      <c r="AQ632" s="1068"/>
      <c r="AR632" s="451"/>
      <c r="AS632" s="451"/>
      <c r="AT632" s="451"/>
      <c r="AU632" s="1067">
        <f>Lubricantes!M6</f>
        <v>20</v>
      </c>
      <c r="AV632" s="1063">
        <f>Lubricantes!N6</f>
        <v>57</v>
      </c>
      <c r="AW632" s="1068"/>
      <c r="AX632" s="1063">
        <f>Lubricantes!U6</f>
        <v>922.95</v>
      </c>
      <c r="AY632" s="1062">
        <f>Lubricantes!J6</f>
        <v>6423.732</v>
      </c>
      <c r="AZ632" s="1068"/>
      <c r="BA632" s="1068"/>
      <c r="BB632" s="1068"/>
      <c r="BC632" s="1071"/>
      <c r="BD632" s="451"/>
      <c r="BE632" s="451"/>
      <c r="BF632" s="451"/>
      <c r="BG632" s="451"/>
      <c r="BH632" s="451"/>
      <c r="BI632" s="451"/>
      <c r="BJ632" s="451"/>
      <c r="BK632" s="451"/>
      <c r="BL632" s="1062">
        <f>Lubricantes!O6</f>
        <v>109203.444</v>
      </c>
      <c r="BM632" s="1068"/>
      <c r="BN632" s="1068"/>
      <c r="BO632" s="1068"/>
      <c r="BP632" s="1068"/>
      <c r="BQ632" s="1068"/>
      <c r="BR632" s="1068"/>
      <c r="BS632" s="1068"/>
      <c r="BT632" s="451"/>
      <c r="BU632" s="451"/>
      <c r="BV632" s="451"/>
      <c r="BW632" s="451"/>
      <c r="BX632" s="1062">
        <f>Lubricantes!P6</f>
        <v>128474.64</v>
      </c>
      <c r="BY632" s="1068"/>
      <c r="BZ632" s="1068"/>
      <c r="CA632" s="1068"/>
      <c r="CB632" s="1068"/>
      <c r="CC632" s="451"/>
      <c r="CD632" s="451"/>
      <c r="CE632" s="451"/>
      <c r="CF632" s="451"/>
      <c r="CG632" s="451"/>
      <c r="CH632" s="451"/>
      <c r="CI632" s="451"/>
      <c r="CJ632" s="1062">
        <f>Lubricantes!Q6</f>
        <v>128474.64</v>
      </c>
      <c r="CK632" s="1062">
        <f>Lubricantes!R6</f>
        <v>366152.724</v>
      </c>
      <c r="CL632" s="451" t="str">
        <f>Lubricantes!S6</f>
        <v/>
      </c>
      <c r="CM632" s="1067" t="str">
        <f>Lubricantes!T6</f>
        <v>3Kg en almacen</v>
      </c>
      <c r="CN632" s="1063"/>
      <c r="CO632" s="1063"/>
      <c r="CP632" s="1063"/>
    </row>
    <row r="633">
      <c r="A633" s="451" t="str">
        <f>Lubricantes!A7</f>
        <v>Lubricantes Especiales</v>
      </c>
      <c r="B633" s="451">
        <f>Lubricantes!B7</f>
        <v>2</v>
      </c>
      <c r="C633" s="1068"/>
      <c r="D633" s="1068"/>
      <c r="E633" s="451" t="s">
        <v>3028</v>
      </c>
      <c r="F633" s="451" t="str">
        <f>Lubricantes!F7</f>
        <v>TDB</v>
      </c>
      <c r="G633" s="451">
        <v>34110.0</v>
      </c>
      <c r="H633" s="1068"/>
      <c r="I633" s="1061" t="str">
        <f>Lubricantes!C7</f>
        <v>10498861</v>
      </c>
      <c r="J633" s="451" t="str">
        <f>Lubricantes!D7</f>
        <v>UNISILKON GLK112 
GRASA LUBRICANTE - CABLE METFLEX </v>
      </c>
      <c r="K633" s="451" t="str">
        <f>Lubricantes!H7</f>
        <v>Pza</v>
      </c>
      <c r="L633" s="1068"/>
      <c r="M633" s="1068"/>
      <c r="N633" s="1068"/>
      <c r="O633" s="1068"/>
      <c r="P633" s="1068"/>
      <c r="Q633" s="1068"/>
      <c r="R633" s="1068"/>
      <c r="S633" s="1068"/>
      <c r="T633" s="1068"/>
      <c r="U633" s="451"/>
      <c r="V633" s="1068"/>
      <c r="W633" s="1067">
        <f>Lubricantes!K7</f>
        <v>25</v>
      </c>
      <c r="X633" s="1068"/>
      <c r="Y633" s="1068"/>
      <c r="Z633" s="1068"/>
      <c r="AA633" s="1068"/>
      <c r="AB633" s="1068"/>
      <c r="AC633" s="1068"/>
      <c r="AD633" s="1068"/>
      <c r="AE633" s="1068"/>
      <c r="AF633" s="1068"/>
      <c r="AG633" s="451"/>
      <c r="AH633" s="451"/>
      <c r="AI633" s="1067">
        <f>Lubricantes!L7</f>
        <v>25</v>
      </c>
      <c r="AJ633" s="1068"/>
      <c r="AK633" s="1068"/>
      <c r="AL633" s="1068"/>
      <c r="AM633" s="1068"/>
      <c r="AN633" s="1068"/>
      <c r="AO633" s="1068"/>
      <c r="AP633" s="1068"/>
      <c r="AQ633" s="1068"/>
      <c r="AR633" s="451"/>
      <c r="AS633" s="451"/>
      <c r="AT633" s="451"/>
      <c r="AU633" s="1067">
        <f>Lubricantes!M7</f>
        <v>25</v>
      </c>
      <c r="AV633" s="1063">
        <f>Lubricantes!N7</f>
        <v>75</v>
      </c>
      <c r="AW633" s="1068"/>
      <c r="AX633" s="1063">
        <f>Lubricantes!U7</f>
        <v>640.53</v>
      </c>
      <c r="AY633" s="1062">
        <f>Lubricantes!J7</f>
        <v>4458.0888</v>
      </c>
      <c r="AZ633" s="1068"/>
      <c r="BA633" s="1068"/>
      <c r="BB633" s="1068"/>
      <c r="BC633" s="1068"/>
      <c r="BD633" s="451"/>
      <c r="BE633" s="451"/>
      <c r="BF633" s="451"/>
      <c r="BG633" s="451"/>
      <c r="BH633" s="451"/>
      <c r="BI633" s="451"/>
      <c r="BJ633" s="451"/>
      <c r="BK633" s="451"/>
      <c r="BL633" s="1062">
        <f>Lubricantes!O7</f>
        <v>111452.22</v>
      </c>
      <c r="BM633" s="1068"/>
      <c r="BN633" s="1068"/>
      <c r="BO633" s="1068"/>
      <c r="BP633" s="1068"/>
      <c r="BQ633" s="1068"/>
      <c r="BR633" s="1068"/>
      <c r="BS633" s="1068"/>
      <c r="BT633" s="451"/>
      <c r="BU633" s="451"/>
      <c r="BV633" s="451"/>
      <c r="BW633" s="451"/>
      <c r="BX633" s="1062">
        <f>Lubricantes!P7</f>
        <v>111452.22</v>
      </c>
      <c r="BY633" s="1068"/>
      <c r="BZ633" s="1068"/>
      <c r="CA633" s="1068"/>
      <c r="CB633" s="1068"/>
      <c r="CC633" s="451"/>
      <c r="CD633" s="451"/>
      <c r="CE633" s="451"/>
      <c r="CF633" s="451"/>
      <c r="CG633" s="451"/>
      <c r="CH633" s="451"/>
      <c r="CI633" s="451"/>
      <c r="CJ633" s="1062">
        <f>Lubricantes!Q7</f>
        <v>111452.22</v>
      </c>
      <c r="CK633" s="1062">
        <f>Lubricantes!R7</f>
        <v>334356.66</v>
      </c>
      <c r="CL633" s="451" t="str">
        <f>Lubricantes!S7</f>
        <v/>
      </c>
      <c r="CM633" s="1067" t="str">
        <f>Lubricantes!T7</f>
        <v>No se tiene en almacen central.
No se reporta en lineas.
Necesario relevamiento en lineas</v>
      </c>
      <c r="CN633" s="451" t="str">
        <f>Lubricantes!U3</f>
        <v/>
      </c>
      <c r="CO633" s="451">
        <f>Lubricantes!V3</f>
        <v>1</v>
      </c>
      <c r="CP633" s="451">
        <f>Lubricantes!W3</f>
        <v>1</v>
      </c>
    </row>
    <row r="634">
      <c r="A634" s="451" t="str">
        <f>Lubricantes!A8</f>
        <v>Lubricantes Especiales</v>
      </c>
      <c r="B634" s="451">
        <f>Lubricantes!B8</f>
        <v>2</v>
      </c>
      <c r="C634" s="1068"/>
      <c r="D634" s="1068"/>
      <c r="E634" s="451" t="s">
        <v>3028</v>
      </c>
      <c r="F634" s="451" t="str">
        <f>Lubricantes!F8</f>
        <v>TDB</v>
      </c>
      <c r="G634" s="451">
        <v>34110.0</v>
      </c>
      <c r="H634" s="1068"/>
      <c r="I634" s="1061" t="str">
        <f>Lubricantes!C8</f>
        <v>10541941</v>
      </c>
      <c r="J634" s="451" t="str">
        <f>Lubricantes!D8</f>
        <v>RENOLD 
GRASA PARA CADENAS TRANSPORTADORAS DE VEHICULOS 
(TDB)</v>
      </c>
      <c r="K634" s="451" t="str">
        <f>Lubricantes!H8</f>
        <v>Pza</v>
      </c>
      <c r="L634" s="1068"/>
      <c r="M634" s="1068"/>
      <c r="N634" s="1068"/>
      <c r="O634" s="1068"/>
      <c r="P634" s="1068"/>
      <c r="Q634" s="1068"/>
      <c r="R634" s="1068"/>
      <c r="S634" s="1068"/>
      <c r="T634" s="1068"/>
      <c r="U634" s="451"/>
      <c r="V634" s="1068"/>
      <c r="W634" s="1067">
        <f>Lubricantes!K8</f>
        <v>16</v>
      </c>
      <c r="X634" s="1068"/>
      <c r="Y634" s="1068"/>
      <c r="Z634" s="1068"/>
      <c r="AA634" s="1068"/>
      <c r="AB634" s="1068"/>
      <c r="AC634" s="1068"/>
      <c r="AD634" s="1068"/>
      <c r="AE634" s="1068"/>
      <c r="AF634" s="1068"/>
      <c r="AG634" s="451"/>
      <c r="AH634" s="451"/>
      <c r="AI634" s="1067">
        <f>Lubricantes!L8</f>
        <v>28</v>
      </c>
      <c r="AJ634" s="1068"/>
      <c r="AK634" s="1068"/>
      <c r="AL634" s="1068"/>
      <c r="AM634" s="1068"/>
      <c r="AN634" s="1068"/>
      <c r="AO634" s="1068"/>
      <c r="AP634" s="1068"/>
      <c r="AQ634" s="1068"/>
      <c r="AR634" s="451"/>
      <c r="AS634" s="451"/>
      <c r="AT634" s="451"/>
      <c r="AU634" s="1067">
        <f>Lubricantes!M8</f>
        <v>75</v>
      </c>
      <c r="AV634" s="1063">
        <f>Lubricantes!N8</f>
        <v>119</v>
      </c>
      <c r="AW634" s="1068"/>
      <c r="AX634" s="1063">
        <f>Lubricantes!U8</f>
        <v>115.29</v>
      </c>
      <c r="AY634" s="1062">
        <f>Lubricantes!J8</f>
        <v>802.4184</v>
      </c>
      <c r="AZ634" s="1068"/>
      <c r="BA634" s="1068"/>
      <c r="BB634" s="1068"/>
      <c r="BC634" s="1068"/>
      <c r="BD634" s="451"/>
      <c r="BE634" s="451"/>
      <c r="BF634" s="451"/>
      <c r="BG634" s="451"/>
      <c r="BH634" s="451"/>
      <c r="BI634" s="451"/>
      <c r="BJ634" s="451"/>
      <c r="BK634" s="451"/>
      <c r="BL634" s="1062">
        <f>Lubricantes!O8</f>
        <v>12838.6944</v>
      </c>
      <c r="BM634" s="1068"/>
      <c r="BN634" s="1068"/>
      <c r="BO634" s="1068"/>
      <c r="BP634" s="1068"/>
      <c r="BQ634" s="1068"/>
      <c r="BR634" s="1068"/>
      <c r="BS634" s="1068"/>
      <c r="BT634" s="451"/>
      <c r="BU634" s="451"/>
      <c r="BV634" s="451"/>
      <c r="BW634" s="451"/>
      <c r="BX634" s="1062">
        <f>Lubricantes!P8</f>
        <v>22467.7152</v>
      </c>
      <c r="BY634" s="1068"/>
      <c r="BZ634" s="1068"/>
      <c r="CA634" s="1068"/>
      <c r="CB634" s="1068"/>
      <c r="CC634" s="451"/>
      <c r="CD634" s="451"/>
      <c r="CE634" s="451"/>
      <c r="CF634" s="451"/>
      <c r="CG634" s="451"/>
      <c r="CH634" s="451"/>
      <c r="CI634" s="451"/>
      <c r="CJ634" s="1062">
        <f>Lubricantes!Q8</f>
        <v>60181.38</v>
      </c>
      <c r="CK634" s="1062">
        <f>Lubricantes!R8</f>
        <v>95487.7896</v>
      </c>
      <c r="CL634" s="451" t="str">
        <f>Lubricantes!S8</f>
        <v/>
      </c>
      <c r="CM634" s="1067" t="str">
        <f>Lubricantes!T8</f>
        <v>Se quita de listado de repuestos y se añade a listado de lubricantes.
6 en almacen
137 en almacenes de linea
</v>
      </c>
      <c r="CN634" s="451" t="str">
        <f>Lubricantes!U4</f>
        <v/>
      </c>
      <c r="CO634" s="451">
        <f>Lubricantes!V4</f>
        <v>1</v>
      </c>
      <c r="CP634" s="451" t="str">
        <f>Lubricantes!W4</f>
        <v/>
      </c>
    </row>
    <row r="635">
      <c r="A635" s="451" t="str">
        <f>Lubricantes!A9</f>
        <v>Lubricantes</v>
      </c>
      <c r="B635" s="451">
        <f>Lubricantes!B9</f>
        <v>13</v>
      </c>
      <c r="C635" s="1068"/>
      <c r="D635" s="1068"/>
      <c r="E635" s="451" t="s">
        <v>3028</v>
      </c>
      <c r="F635" s="451" t="str">
        <f>Lubricantes!F9</f>
        <v>LOCAL</v>
      </c>
      <c r="G635" s="451">
        <v>34110.0</v>
      </c>
      <c r="H635" s="1068"/>
      <c r="I635" s="1061" t="str">
        <f>Lubricantes!C9</f>
        <v>3-01-00042</v>
      </c>
      <c r="J635" s="451" t="str">
        <f>Lubricantes!D9</f>
        <v>Aceite Mobil shc 630 </v>
      </c>
      <c r="K635" s="451" t="str">
        <f>Lubricantes!H9</f>
        <v>Balde</v>
      </c>
      <c r="L635" s="1068"/>
      <c r="M635" s="1068"/>
      <c r="N635" s="1068"/>
      <c r="O635" s="1068"/>
      <c r="P635" s="1068"/>
      <c r="Q635" s="1068"/>
      <c r="R635" s="1068"/>
      <c r="S635" s="1068"/>
      <c r="T635" s="1068"/>
      <c r="U635" s="451"/>
      <c r="V635" s="1068"/>
      <c r="W635" s="1067">
        <f>Lubricantes!K9</f>
        <v>4</v>
      </c>
      <c r="X635" s="1068"/>
      <c r="Y635" s="1068"/>
      <c r="Z635" s="1068"/>
      <c r="AA635" s="1068"/>
      <c r="AB635" s="1068"/>
      <c r="AC635" s="1068"/>
      <c r="AD635" s="1068"/>
      <c r="AE635" s="1068"/>
      <c r="AF635" s="1068"/>
      <c r="AG635" s="451"/>
      <c r="AH635" s="451"/>
      <c r="AI635" s="1062">
        <f>Lubricantes!L9</f>
        <v>0</v>
      </c>
      <c r="AJ635" s="1068"/>
      <c r="AK635" s="1068"/>
      <c r="AL635" s="1068"/>
      <c r="AM635" s="1068"/>
      <c r="AN635" s="1068"/>
      <c r="AO635" s="1068"/>
      <c r="AP635" s="1068"/>
      <c r="AQ635" s="1068"/>
      <c r="AR635" s="451"/>
      <c r="AS635" s="451"/>
      <c r="AT635" s="451"/>
      <c r="AU635" s="1062">
        <f>Lubricantes!M9</f>
        <v>0</v>
      </c>
      <c r="AV635" s="1063">
        <f>Lubricantes!N9</f>
        <v>4</v>
      </c>
      <c r="AW635" s="1068"/>
      <c r="AX635" s="1063" t="str">
        <f>Lubricantes!U9</f>
        <v/>
      </c>
      <c r="AY635" s="1062">
        <f>Lubricantes!J9</f>
        <v>6196</v>
      </c>
      <c r="AZ635" s="1068"/>
      <c r="BA635" s="1068"/>
      <c r="BB635" s="1068"/>
      <c r="BC635" s="1068"/>
      <c r="BD635" s="451"/>
      <c r="BE635" s="451"/>
      <c r="BF635" s="451"/>
      <c r="BG635" s="451"/>
      <c r="BH635" s="451"/>
      <c r="BI635" s="451"/>
      <c r="BJ635" s="451"/>
      <c r="BK635" s="451"/>
      <c r="BL635" s="1062">
        <f>Lubricantes!O9</f>
        <v>24784</v>
      </c>
      <c r="BM635" s="1068"/>
      <c r="BN635" s="1068"/>
      <c r="BO635" s="1068"/>
      <c r="BP635" s="1068"/>
      <c r="BQ635" s="1068"/>
      <c r="BR635" s="1068"/>
      <c r="BS635" s="1068"/>
      <c r="BT635" s="451"/>
      <c r="BU635" s="451"/>
      <c r="BV635" s="451"/>
      <c r="BW635" s="451"/>
      <c r="BX635" s="1062">
        <f>Lubricantes!P9</f>
        <v>0</v>
      </c>
      <c r="BY635" s="1068"/>
      <c r="BZ635" s="1068"/>
      <c r="CA635" s="1068"/>
      <c r="CB635" s="1068"/>
      <c r="CC635" s="451"/>
      <c r="CD635" s="451"/>
      <c r="CE635" s="451"/>
      <c r="CF635" s="451"/>
      <c r="CG635" s="451"/>
      <c r="CH635" s="451"/>
      <c r="CI635" s="451"/>
      <c r="CJ635" s="1062">
        <f>Lubricantes!Q9</f>
        <v>0</v>
      </c>
      <c r="CK635" s="1062">
        <f>Lubricantes!R9</f>
        <v>24784</v>
      </c>
      <c r="CL635" s="451" t="str">
        <f>Lubricantes!S9</f>
        <v/>
      </c>
      <c r="CM635" s="1067" t="str">
        <f>Lubricantes!T9</f>
        <v>Se compra baldes para tener por emergencia. Precio referencial aceite omala.
Shell. </v>
      </c>
      <c r="CN635" s="451" t="str">
        <f>Lubricantes!U5</f>
        <v/>
      </c>
      <c r="CO635" s="451">
        <f>Lubricantes!V5</f>
        <v>1</v>
      </c>
      <c r="CP635" s="451" t="str">
        <f>Lubricantes!W5</f>
        <v/>
      </c>
    </row>
    <row r="636">
      <c r="A636" s="451" t="str">
        <f>Lubricantes!A10</f>
        <v>Lubricantes</v>
      </c>
      <c r="B636" s="451">
        <f>Lubricantes!B10</f>
        <v>31</v>
      </c>
      <c r="C636" s="1068"/>
      <c r="D636" s="1068"/>
      <c r="E636" s="451" t="s">
        <v>3028</v>
      </c>
      <c r="F636" s="451" t="str">
        <f>Lubricantes!F10</f>
        <v>LOCAL</v>
      </c>
      <c r="G636" s="451">
        <v>34110.0</v>
      </c>
      <c r="H636" s="1068"/>
      <c r="I636" s="1061" t="str">
        <f>Lubricantes!C10</f>
        <v>3-03-00008</v>
      </c>
      <c r="J636" s="451" t="str">
        <f>Lubricantes!D10</f>
        <v>LUBRICANTE PARA CABLE TRACTOR 
"WD 40"
(EXISTEN NUEVAS INSTRUCCIONES EMITIDAS POR FATZER EN CUANTO AL USO DE LUBRICANTES PAR CABLE - VERIFICAR) </v>
      </c>
      <c r="K636" s="451" t="str">
        <f>Lubricantes!H10</f>
        <v>Pza</v>
      </c>
      <c r="L636" s="1068"/>
      <c r="M636" s="1068"/>
      <c r="N636" s="1068"/>
      <c r="O636" s="1068"/>
      <c r="P636" s="1068"/>
      <c r="Q636" s="1068"/>
      <c r="R636" s="1068"/>
      <c r="S636" s="1068"/>
      <c r="T636" s="1068"/>
      <c r="U636" s="451"/>
      <c r="V636" s="1068"/>
      <c r="W636" s="1067">
        <f>Lubricantes!K10</f>
        <v>100</v>
      </c>
      <c r="X636" s="1068"/>
      <c r="Y636" s="1068"/>
      <c r="Z636" s="1068"/>
      <c r="AA636" s="1068"/>
      <c r="AB636" s="1068"/>
      <c r="AC636" s="1068"/>
      <c r="AD636" s="1068"/>
      <c r="AE636" s="1068"/>
      <c r="AF636" s="1068"/>
      <c r="AG636" s="451"/>
      <c r="AH636" s="451"/>
      <c r="AI636" s="1067">
        <f>Lubricantes!L10</f>
        <v>138</v>
      </c>
      <c r="AJ636" s="1068"/>
      <c r="AK636" s="1068"/>
      <c r="AL636" s="1068"/>
      <c r="AM636" s="1068"/>
      <c r="AN636" s="1068"/>
      <c r="AO636" s="1068"/>
      <c r="AP636" s="1068"/>
      <c r="AQ636" s="1068"/>
      <c r="AR636" s="451"/>
      <c r="AS636" s="451"/>
      <c r="AT636" s="451"/>
      <c r="AU636" s="1067">
        <f>Lubricantes!M10</f>
        <v>138</v>
      </c>
      <c r="AV636" s="1063">
        <f>Lubricantes!N10</f>
        <v>376</v>
      </c>
      <c r="AW636" s="1068"/>
      <c r="AX636" s="1063" t="str">
        <f>Lubricantes!U10</f>
        <v/>
      </c>
      <c r="AY636" s="1062">
        <f>Lubricantes!J10</f>
        <v>55</v>
      </c>
      <c r="AZ636" s="1068"/>
      <c r="BA636" s="1068"/>
      <c r="BB636" s="1068"/>
      <c r="BC636" s="1068"/>
      <c r="BD636" s="451"/>
      <c r="BE636" s="451"/>
      <c r="BF636" s="451"/>
      <c r="BG636" s="451"/>
      <c r="BH636" s="451"/>
      <c r="BI636" s="451"/>
      <c r="BJ636" s="451"/>
      <c r="BK636" s="451"/>
      <c r="BL636" s="1062">
        <f>Lubricantes!O10</f>
        <v>5500</v>
      </c>
      <c r="BM636" s="1068"/>
      <c r="BN636" s="1068"/>
      <c r="BO636" s="1068"/>
      <c r="BP636" s="1068"/>
      <c r="BQ636" s="1068"/>
      <c r="BR636" s="1068"/>
      <c r="BS636" s="1068"/>
      <c r="BT636" s="451"/>
      <c r="BU636" s="451"/>
      <c r="BV636" s="451"/>
      <c r="BW636" s="451"/>
      <c r="BX636" s="1062">
        <f>Lubricantes!P10</f>
        <v>7590</v>
      </c>
      <c r="BY636" s="1068"/>
      <c r="BZ636" s="1068"/>
      <c r="CA636" s="1068"/>
      <c r="CB636" s="1068"/>
      <c r="CC636" s="451"/>
      <c r="CD636" s="451"/>
      <c r="CE636" s="451"/>
      <c r="CF636" s="451"/>
      <c r="CG636" s="451"/>
      <c r="CH636" s="451"/>
      <c r="CI636" s="451"/>
      <c r="CJ636" s="1062">
        <f>Lubricantes!Q10</f>
        <v>7590</v>
      </c>
      <c r="CK636" s="1062">
        <f>Lubricantes!R10</f>
        <v>20680</v>
      </c>
      <c r="CL636" s="451" t="str">
        <f>Lubricantes!S10</f>
        <v/>
      </c>
      <c r="CM636" s="1067" t="str">
        <f>Lubricantes!T10</f>
        <v>47 en almacen.
Revisar frecuencia con valerio. </v>
      </c>
      <c r="CN636" s="1062">
        <f>Lubricantes!U6</f>
        <v>922.95</v>
      </c>
      <c r="CO636" s="451">
        <f>Lubricantes!V6</f>
        <v>1</v>
      </c>
      <c r="CP636" s="451" t="str">
        <f>Lubricantes!W6</f>
        <v/>
      </c>
    </row>
    <row r="637">
      <c r="A637" s="451" t="str">
        <f>Lubricantes!A11</f>
        <v>Lubricantes</v>
      </c>
      <c r="B637" s="451">
        <f>Lubricantes!B11</f>
        <v>13</v>
      </c>
      <c r="C637" s="1068"/>
      <c r="D637" s="1068"/>
      <c r="E637" s="451" t="s">
        <v>3028</v>
      </c>
      <c r="F637" s="451" t="str">
        <f>Lubricantes!F11</f>
        <v>LOCAL</v>
      </c>
      <c r="G637" s="1072">
        <v>34110.0</v>
      </c>
      <c r="H637" s="1068"/>
      <c r="I637" s="1061" t="str">
        <f>Lubricantes!C11</f>
        <v>3-01-00035</v>
      </c>
      <c r="J637" s="451" t="str">
        <f>Lubricantes!D11</f>
        <v>80W90 GL-5 PARA ENGRANAJES 
REDUCTORES PRINCIPALES 
(COMPRA LOCAL 2023)  </v>
      </c>
      <c r="K637" s="451" t="str">
        <f>Lubricantes!H11</f>
        <v>Turril</v>
      </c>
      <c r="L637" s="1068"/>
      <c r="M637" s="1068"/>
      <c r="N637" s="1068"/>
      <c r="O637" s="1068"/>
      <c r="P637" s="1068"/>
      <c r="Q637" s="1068"/>
      <c r="R637" s="1068"/>
      <c r="S637" s="1068"/>
      <c r="T637" s="1068"/>
      <c r="U637" s="451"/>
      <c r="V637" s="1068"/>
      <c r="W637" s="1067">
        <f>Lubricantes!K11</f>
        <v>28</v>
      </c>
      <c r="X637" s="1068"/>
      <c r="Y637" s="1068"/>
      <c r="Z637" s="1068"/>
      <c r="AA637" s="1068"/>
      <c r="AB637" s="1068"/>
      <c r="AC637" s="1068"/>
      <c r="AD637" s="1068"/>
      <c r="AE637" s="1068"/>
      <c r="AF637" s="1068"/>
      <c r="AG637" s="451"/>
      <c r="AH637" s="451"/>
      <c r="AI637" s="1067">
        <f>Lubricantes!L11</f>
        <v>30.45</v>
      </c>
      <c r="AJ637" s="1068"/>
      <c r="AK637" s="1068"/>
      <c r="AL637" s="1068"/>
      <c r="AM637" s="1068"/>
      <c r="AN637" s="1068"/>
      <c r="AO637" s="1068"/>
      <c r="AP637" s="1068"/>
      <c r="AQ637" s="1068"/>
      <c r="AR637" s="451"/>
      <c r="AS637" s="451"/>
      <c r="AT637" s="451"/>
      <c r="AU637" s="1067">
        <f>Lubricantes!M11</f>
        <v>30.45</v>
      </c>
      <c r="AV637" s="1063">
        <f>Lubricantes!N11</f>
        <v>88.9</v>
      </c>
      <c r="AW637" s="1068"/>
      <c r="AX637" s="1063" t="str">
        <f>Lubricantes!U11</f>
        <v/>
      </c>
      <c r="AY637" s="1062">
        <f>Lubricantes!J11</f>
        <v>10274</v>
      </c>
      <c r="AZ637" s="1068"/>
      <c r="BA637" s="1068"/>
      <c r="BB637" s="1068"/>
      <c r="BC637" s="1068"/>
      <c r="BD637" s="451"/>
      <c r="BE637" s="451"/>
      <c r="BF637" s="451"/>
      <c r="BG637" s="451"/>
      <c r="BH637" s="451"/>
      <c r="BI637" s="451"/>
      <c r="BJ637" s="451"/>
      <c r="BK637" s="451"/>
      <c r="BL637" s="1062">
        <f>Lubricantes!O11</f>
        <v>287672</v>
      </c>
      <c r="BM637" s="1068"/>
      <c r="BN637" s="1068"/>
      <c r="BO637" s="1068"/>
      <c r="BP637" s="1068"/>
      <c r="BQ637" s="1068"/>
      <c r="BR637" s="1068"/>
      <c r="BS637" s="1068"/>
      <c r="BT637" s="451"/>
      <c r="BU637" s="451"/>
      <c r="BV637" s="451"/>
      <c r="BW637" s="451"/>
      <c r="BX637" s="1062">
        <f>Lubricantes!P11</f>
        <v>312843.3</v>
      </c>
      <c r="BY637" s="1068"/>
      <c r="BZ637" s="1068"/>
      <c r="CA637" s="1068"/>
      <c r="CB637" s="1068"/>
      <c r="CC637" s="451"/>
      <c r="CD637" s="451"/>
      <c r="CE637" s="451"/>
      <c r="CF637" s="451"/>
      <c r="CG637" s="451"/>
      <c r="CH637" s="451"/>
      <c r="CI637" s="451"/>
      <c r="CJ637" s="1062">
        <f>Lubricantes!Q11</f>
        <v>312843.3</v>
      </c>
      <c r="CK637" s="1062">
        <f>Lubricantes!R11</f>
        <v>913358.6</v>
      </c>
      <c r="CL637" s="451" t="str">
        <f>Lubricantes!S11</f>
        <v/>
      </c>
      <c r="CM637" s="451" t="str">
        <f>Lubricantes!T11</f>
        <v/>
      </c>
      <c r="CN637" s="1062">
        <f>Lubricantes!U7</f>
        <v>640.53</v>
      </c>
      <c r="CO637" s="451">
        <f>Lubricantes!V7</f>
        <v>1</v>
      </c>
      <c r="CP637" s="451" t="str">
        <f>Lubricantes!W7</f>
        <v/>
      </c>
    </row>
    <row r="638">
      <c r="A638" s="451" t="str">
        <f>Lubricantes!A12</f>
        <v>Lubricantes Especiales</v>
      </c>
      <c r="B638" s="451">
        <f>Lubricantes!B12</f>
        <v>2</v>
      </c>
      <c r="C638" s="1068"/>
      <c r="D638" s="1068"/>
      <c r="E638" s="451" t="s">
        <v>3028</v>
      </c>
      <c r="F638" s="451" t="str">
        <f>Lubricantes!F12</f>
        <v>TDB</v>
      </c>
      <c r="G638" s="451">
        <v>34110.0</v>
      </c>
      <c r="H638" s="1068"/>
      <c r="I638" s="1061" t="str">
        <f>Lubricantes!C12</f>
        <v>11309149</v>
      </c>
      <c r="J638" s="451" t="str">
        <f>Lubricantes!D12</f>
        <v>NBU 8 EP - KLUBER 
 GRASA PARA MOTORES ELÉCTRICOS PRINCIPALES </v>
      </c>
      <c r="K638" s="451" t="str">
        <f>Lubricantes!H12</f>
        <v>Pza</v>
      </c>
      <c r="L638" s="1068"/>
      <c r="M638" s="1068"/>
      <c r="N638" s="1068"/>
      <c r="O638" s="1068"/>
      <c r="P638" s="1068"/>
      <c r="Q638" s="1068"/>
      <c r="R638" s="1068"/>
      <c r="S638" s="1068"/>
      <c r="T638" s="1068"/>
      <c r="U638" s="451"/>
      <c r="V638" s="1068"/>
      <c r="W638" s="1067">
        <f>Lubricantes!K12</f>
        <v>0</v>
      </c>
      <c r="X638" s="1068"/>
      <c r="Y638" s="1068"/>
      <c r="Z638" s="1068"/>
      <c r="AA638" s="1068"/>
      <c r="AB638" s="1068"/>
      <c r="AC638" s="1068"/>
      <c r="AD638" s="1068"/>
      <c r="AE638" s="1068"/>
      <c r="AF638" s="1068"/>
      <c r="AG638" s="451"/>
      <c r="AH638" s="451"/>
      <c r="AI638" s="1062">
        <f>Lubricantes!L12</f>
        <v>0</v>
      </c>
      <c r="AJ638" s="1068"/>
      <c r="AK638" s="1068"/>
      <c r="AL638" s="1068"/>
      <c r="AM638" s="1068"/>
      <c r="AN638" s="1068"/>
      <c r="AO638" s="1068"/>
      <c r="AP638" s="1068"/>
      <c r="AQ638" s="1068"/>
      <c r="AR638" s="451"/>
      <c r="AS638" s="451"/>
      <c r="AT638" s="451"/>
      <c r="AU638" s="1062">
        <f>Lubricantes!M12</f>
        <v>0</v>
      </c>
      <c r="AV638" s="1067">
        <f>Lubricantes!N12</f>
        <v>0</v>
      </c>
      <c r="AW638" s="1068"/>
      <c r="AX638" s="1063" t="str">
        <f>Lubricantes!U12</f>
        <v/>
      </c>
      <c r="AY638" s="1062">
        <f>Lubricantes!J12</f>
        <v>0</v>
      </c>
      <c r="AZ638" s="1068"/>
      <c r="BA638" s="1068"/>
      <c r="BB638" s="1068"/>
      <c r="BC638" s="1068"/>
      <c r="BD638" s="451"/>
      <c r="BE638" s="451"/>
      <c r="BF638" s="451"/>
      <c r="BG638" s="451"/>
      <c r="BH638" s="451"/>
      <c r="BI638" s="451"/>
      <c r="BJ638" s="451"/>
      <c r="BK638" s="451"/>
      <c r="BL638" s="1062">
        <f>Lubricantes!O12</f>
        <v>0</v>
      </c>
      <c r="BM638" s="1068"/>
      <c r="BN638" s="1068"/>
      <c r="BO638" s="1068"/>
      <c r="BP638" s="1068"/>
      <c r="BQ638" s="1068"/>
      <c r="BR638" s="1068"/>
      <c r="BS638" s="1068"/>
      <c r="BT638" s="451"/>
      <c r="BU638" s="451"/>
      <c r="BV638" s="451"/>
      <c r="BW638" s="451"/>
      <c r="BX638" s="1062">
        <f>Lubricantes!P12</f>
        <v>0</v>
      </c>
      <c r="BY638" s="1068"/>
      <c r="BZ638" s="1068"/>
      <c r="CA638" s="1068"/>
      <c r="CB638" s="1068"/>
      <c r="CC638" s="451"/>
      <c r="CD638" s="451"/>
      <c r="CE638" s="451"/>
      <c r="CF638" s="451"/>
      <c r="CG638" s="451"/>
      <c r="CH638" s="451"/>
      <c r="CI638" s="451"/>
      <c r="CJ638" s="1062">
        <f>Lubricantes!Q12</f>
        <v>0</v>
      </c>
      <c r="CK638" s="1062">
        <f>Lubricantes!R12</f>
        <v>0</v>
      </c>
      <c r="CL638" s="451" t="str">
        <f>Lubricantes!S12</f>
        <v/>
      </c>
      <c r="CM638" s="1067" t="str">
        <f>Lubricantes!T12</f>
        <v>Se tiene en almacen 10 Kg</v>
      </c>
      <c r="CN638" s="1062">
        <f>Lubricantes!U8</f>
        <v>115.29</v>
      </c>
      <c r="CO638" s="451">
        <f>Lubricantes!V8</f>
        <v>1</v>
      </c>
      <c r="CP638" s="451" t="str">
        <f>Lubricantes!W8</f>
        <v/>
      </c>
    </row>
    <row r="639">
      <c r="A639" s="451" t="str">
        <f>Lubricantes!A13</f>
        <v>Lubricantes Especiales</v>
      </c>
      <c r="B639" s="451">
        <f>Lubricantes!B13</f>
        <v>2</v>
      </c>
      <c r="C639" s="1068"/>
      <c r="D639" s="1068"/>
      <c r="E639" s="451" t="s">
        <v>3028</v>
      </c>
      <c r="F639" s="451" t="str">
        <f>Lubricantes!F13</f>
        <v>TDB</v>
      </c>
      <c r="G639" s="451">
        <v>34110.0</v>
      </c>
      <c r="H639" s="1068"/>
      <c r="I639" s="1061" t="str">
        <f>Lubricantes!C13</f>
        <v>10550848</v>
      </c>
      <c r="J639" s="451" t="str">
        <f>Lubricantes!D13</f>
        <v>GRIZZLY GREASE N°1
CORONA Y PIÑON - VOLANTES (TDB) </v>
      </c>
      <c r="K639" s="451" t="str">
        <f>Lubricantes!H13</f>
        <v>Pza</v>
      </c>
      <c r="L639" s="1068"/>
      <c r="M639" s="1068"/>
      <c r="N639" s="1068"/>
      <c r="O639" s="1068"/>
      <c r="P639" s="1068"/>
      <c r="Q639" s="1068"/>
      <c r="R639" s="1068"/>
      <c r="S639" s="1068"/>
      <c r="T639" s="1068"/>
      <c r="U639" s="451"/>
      <c r="V639" s="1068"/>
      <c r="W639" s="1067">
        <f>Lubricantes!K13</f>
        <v>0</v>
      </c>
      <c r="X639" s="1068"/>
      <c r="Y639" s="1068"/>
      <c r="Z639" s="1068"/>
      <c r="AA639" s="1068"/>
      <c r="AB639" s="1068"/>
      <c r="AC639" s="1068"/>
      <c r="AD639" s="1068"/>
      <c r="AE639" s="1068"/>
      <c r="AF639" s="1068"/>
      <c r="AG639" s="451"/>
      <c r="AH639" s="451"/>
      <c r="AI639" s="1062">
        <f>Lubricantes!L13</f>
        <v>0</v>
      </c>
      <c r="AJ639" s="1068"/>
      <c r="AK639" s="1068"/>
      <c r="AL639" s="1068"/>
      <c r="AM639" s="1068"/>
      <c r="AN639" s="1068"/>
      <c r="AO639" s="1068"/>
      <c r="AP639" s="1068"/>
      <c r="AQ639" s="1068"/>
      <c r="AR639" s="451"/>
      <c r="AS639" s="451"/>
      <c r="AT639" s="451"/>
      <c r="AU639" s="1062">
        <f>Lubricantes!M13</f>
        <v>95</v>
      </c>
      <c r="AV639" s="1063">
        <f>Lubricantes!N13</f>
        <v>95</v>
      </c>
      <c r="AW639" s="1068"/>
      <c r="AX639" s="1063">
        <f>Lubricantes!U13</f>
        <v>72.34</v>
      </c>
      <c r="AY639" s="1062">
        <f>Lubricantes!J13</f>
        <v>503.4864</v>
      </c>
      <c r="AZ639" s="1068"/>
      <c r="BA639" s="1068"/>
      <c r="BB639" s="1068"/>
      <c r="BC639" s="1068"/>
      <c r="BD639" s="451"/>
      <c r="BE639" s="451"/>
      <c r="BF639" s="451"/>
      <c r="BG639" s="451"/>
      <c r="BH639" s="451"/>
      <c r="BI639" s="451"/>
      <c r="BJ639" s="451"/>
      <c r="BK639" s="451"/>
      <c r="BL639" s="1062">
        <f>Lubricantes!O13</f>
        <v>0</v>
      </c>
      <c r="BM639" s="1068"/>
      <c r="BN639" s="1068"/>
      <c r="BO639" s="1068"/>
      <c r="BP639" s="1068"/>
      <c r="BQ639" s="1068"/>
      <c r="BR639" s="1068"/>
      <c r="BS639" s="1068"/>
      <c r="BT639" s="451"/>
      <c r="BU639" s="451"/>
      <c r="BV639" s="451"/>
      <c r="BW639" s="451"/>
      <c r="BX639" s="1062">
        <f>Lubricantes!P13</f>
        <v>0</v>
      </c>
      <c r="BY639" s="1068"/>
      <c r="BZ639" s="1068"/>
      <c r="CA639" s="1068"/>
      <c r="CB639" s="1068"/>
      <c r="CC639" s="451"/>
      <c r="CD639" s="451"/>
      <c r="CE639" s="451"/>
      <c r="CF639" s="451"/>
      <c r="CG639" s="451"/>
      <c r="CH639" s="451"/>
      <c r="CI639" s="451"/>
      <c r="CJ639" s="1062">
        <f>Lubricantes!Q13</f>
        <v>47831.208</v>
      </c>
      <c r="CK639" s="1062">
        <f>Lubricantes!R13</f>
        <v>47831.208</v>
      </c>
      <c r="CL639" s="451" t="str">
        <f>Lubricantes!S13</f>
        <v/>
      </c>
      <c r="CM639" s="1067" t="str">
        <f>Lubricantes!T13</f>
        <v>419 en almacen.
En el 2026 se baja a 95 unidades. considerando la frecuencia cada 2 meses.
Consultar avimael</v>
      </c>
      <c r="CN639" s="451" t="str">
        <f>Lubricantes!U9</f>
        <v/>
      </c>
      <c r="CO639" s="451">
        <f>Lubricantes!V9</f>
        <v>1</v>
      </c>
      <c r="CP639" s="451" t="str">
        <f>Lubricantes!W9</f>
        <v/>
      </c>
    </row>
    <row r="640">
      <c r="A640" s="451" t="str">
        <f>Lubricantes!A14</f>
        <v>Lubricantes</v>
      </c>
      <c r="B640" s="451" t="str">
        <f>Lubricantes!B14</f>
        <v/>
      </c>
      <c r="C640" s="1068"/>
      <c r="D640" s="1068"/>
      <c r="E640" s="451" t="s">
        <v>3028</v>
      </c>
      <c r="F640" s="451" t="str">
        <f>Lubricantes!F14</f>
        <v>LOCAL</v>
      </c>
      <c r="G640" s="451">
        <v>34110.0</v>
      </c>
      <c r="H640" s="1068"/>
      <c r="I640" s="1061" t="s">
        <v>3721</v>
      </c>
      <c r="J640" s="451" t="str">
        <f>Lubricantes!D14</f>
        <v>SILICONA WACKER AK350 - 190KG</v>
      </c>
      <c r="K640" s="451" t="str">
        <f>Lubricantes!H14</f>
        <v>Turril</v>
      </c>
      <c r="L640" s="1068"/>
      <c r="M640" s="1068"/>
      <c r="N640" s="1068"/>
      <c r="O640" s="1068"/>
      <c r="P640" s="1068"/>
      <c r="Q640" s="1068"/>
      <c r="R640" s="1068"/>
      <c r="S640" s="1068"/>
      <c r="T640" s="1068"/>
      <c r="U640" s="451"/>
      <c r="V640" s="1068"/>
      <c r="W640" s="1065">
        <f>Lubricantes!K14</f>
        <v>0</v>
      </c>
      <c r="X640" s="1068"/>
      <c r="Y640" s="1068"/>
      <c r="Z640" s="1068"/>
      <c r="AA640" s="1068"/>
      <c r="AB640" s="1068"/>
      <c r="AC640" s="1068"/>
      <c r="AD640" s="1068"/>
      <c r="AE640" s="1068"/>
      <c r="AF640" s="1068"/>
      <c r="AG640" s="451"/>
      <c r="AH640" s="451"/>
      <c r="AI640" s="1062">
        <f>Lubricantes!L14</f>
        <v>0.5</v>
      </c>
      <c r="AJ640" s="1068"/>
      <c r="AK640" s="1068"/>
      <c r="AL640" s="1068"/>
      <c r="AM640" s="1068"/>
      <c r="AN640" s="1068"/>
      <c r="AO640" s="1068"/>
      <c r="AP640" s="1068"/>
      <c r="AQ640" s="1068"/>
      <c r="AR640" s="451"/>
      <c r="AS640" s="451"/>
      <c r="AT640" s="451"/>
      <c r="AU640" s="1065">
        <f>Lubricantes!M14</f>
        <v>2.652631579</v>
      </c>
      <c r="AV640" s="1063">
        <f>Lubricantes!N14</f>
        <v>3.152631579</v>
      </c>
      <c r="AW640" s="1068"/>
      <c r="AX640" s="1063" t="str">
        <f>Lubricantes!U14</f>
        <v/>
      </c>
      <c r="AY640" s="1062">
        <f>Lubricantes!J14</f>
        <v>11163.849</v>
      </c>
      <c r="AZ640" s="1068"/>
      <c r="BA640" s="1068"/>
      <c r="BB640" s="1068"/>
      <c r="BC640" s="1068"/>
      <c r="BD640" s="451"/>
      <c r="BE640" s="451"/>
      <c r="BF640" s="451"/>
      <c r="BG640" s="451"/>
      <c r="BH640" s="451"/>
      <c r="BI640" s="451"/>
      <c r="BJ640" s="451"/>
      <c r="BK640" s="451"/>
      <c r="BL640" s="1062">
        <f>Lubricantes!O14</f>
        <v>0</v>
      </c>
      <c r="BM640" s="1068"/>
      <c r="BN640" s="1068"/>
      <c r="BO640" s="1068"/>
      <c r="BP640" s="1068"/>
      <c r="BQ640" s="1068"/>
      <c r="BR640" s="1068"/>
      <c r="BS640" s="1068"/>
      <c r="BT640" s="451"/>
      <c r="BU640" s="451"/>
      <c r="BV640" s="451"/>
      <c r="BW640" s="451"/>
      <c r="BX640" s="1062">
        <f>Lubricantes!P14</f>
        <v>5581.9245</v>
      </c>
      <c r="BY640" s="1068"/>
      <c r="BZ640" s="1068"/>
      <c r="CA640" s="1068"/>
      <c r="CB640" s="1068"/>
      <c r="CC640" s="451"/>
      <c r="CD640" s="451"/>
      <c r="CE640" s="451"/>
      <c r="CF640" s="451"/>
      <c r="CG640" s="451"/>
      <c r="CH640" s="451"/>
      <c r="CI640" s="451"/>
      <c r="CJ640" s="1062">
        <f>Lubricantes!Q14</f>
        <v>29613.5784</v>
      </c>
      <c r="CK640" s="1062">
        <f>Lubricantes!R14</f>
        <v>35195.5029</v>
      </c>
      <c r="CL640" s="451" t="str">
        <f>Lubricantes!S14</f>
        <v/>
      </c>
      <c r="CM640" s="1067" t="str">
        <f>Lubricantes!T14</f>
        <v>Se recorta de compras 2024 y 2025. Necesario realizar el relevamiento de cuanto se tiene en linieas.
Segun relevamiento de diciembre se tienen 1150 Lts distribuidos en las lineas.
Para el 2025 se recomienda comprar 1/2 turril el 2025</v>
      </c>
      <c r="CN640" s="451" t="str">
        <f>Lubricantes!U10</f>
        <v/>
      </c>
      <c r="CO640" s="451">
        <f>Lubricantes!V10</f>
        <v>1</v>
      </c>
      <c r="CP640" s="451" t="str">
        <f>Lubricantes!W10</f>
        <v/>
      </c>
    </row>
    <row r="641">
      <c r="A641" s="451" t="str">
        <f>Lubricantes!A15</f>
        <v>Lubricantes Especiales</v>
      </c>
      <c r="B641" s="451">
        <f>Lubricantes!B15</f>
        <v>2</v>
      </c>
      <c r="C641" s="1068"/>
      <c r="D641" s="1068"/>
      <c r="E641" s="451" t="s">
        <v>3028</v>
      </c>
      <c r="F641" s="451" t="str">
        <f>Lubricantes!F15</f>
        <v>TDB</v>
      </c>
      <c r="G641" s="451">
        <v>34110.0</v>
      </c>
      <c r="H641" s="1068"/>
      <c r="I641" s="1061" t="str">
        <f>Lubricantes!C15</f>
        <v>10961484</v>
      </c>
      <c r="J641" s="451" t="str">
        <f>Lubricantes!D15</f>
        <v>GRASA  PARA CUIDADO CONTACTOS (SPRAY AEROSOL)   200ML.</v>
      </c>
      <c r="K641" s="451" t="str">
        <f>Lubricantes!H15</f>
        <v>Pza</v>
      </c>
      <c r="L641" s="1068"/>
      <c r="M641" s="1068"/>
      <c r="N641" s="1068"/>
      <c r="O641" s="1068"/>
      <c r="P641" s="1068"/>
      <c r="Q641" s="1068"/>
      <c r="R641" s="1068"/>
      <c r="S641" s="1068"/>
      <c r="T641" s="1068"/>
      <c r="U641" s="451"/>
      <c r="V641" s="1068"/>
      <c r="W641" s="1067">
        <f>Lubricantes!K15</f>
        <v>10</v>
      </c>
      <c r="X641" s="1068"/>
      <c r="Y641" s="1068"/>
      <c r="Z641" s="1068"/>
      <c r="AA641" s="1068"/>
      <c r="AB641" s="1068"/>
      <c r="AC641" s="1068"/>
      <c r="AD641" s="1068"/>
      <c r="AE641" s="1068"/>
      <c r="AF641" s="1068"/>
      <c r="AG641" s="451"/>
      <c r="AH641" s="451"/>
      <c r="AI641" s="1062">
        <f>Lubricantes!L15</f>
        <v>6</v>
      </c>
      <c r="AJ641" s="1068"/>
      <c r="AK641" s="1068"/>
      <c r="AL641" s="1068"/>
      <c r="AM641" s="1068"/>
      <c r="AN641" s="1068"/>
      <c r="AO641" s="1068"/>
      <c r="AP641" s="1068"/>
      <c r="AQ641" s="1068"/>
      <c r="AR641" s="451"/>
      <c r="AS641" s="451"/>
      <c r="AT641" s="451"/>
      <c r="AU641" s="1062">
        <f>Lubricantes!M15</f>
        <v>6</v>
      </c>
      <c r="AV641" s="1063">
        <f>Lubricantes!N15</f>
        <v>22</v>
      </c>
      <c r="AW641" s="1068"/>
      <c r="AX641" s="1063">
        <f>Lubricantes!U15</f>
        <v>65.22</v>
      </c>
      <c r="AY641" s="1062">
        <f>Lubricantes!J15</f>
        <v>453.9312</v>
      </c>
      <c r="AZ641" s="1068"/>
      <c r="BA641" s="1068"/>
      <c r="BB641" s="1068"/>
      <c r="BC641" s="1068"/>
      <c r="BD641" s="451"/>
      <c r="BE641" s="451"/>
      <c r="BF641" s="451"/>
      <c r="BG641" s="451"/>
      <c r="BH641" s="451"/>
      <c r="BI641" s="451"/>
      <c r="BJ641" s="451"/>
      <c r="BK641" s="451"/>
      <c r="BL641" s="1062">
        <f>Lubricantes!O15</f>
        <v>4539.312</v>
      </c>
      <c r="BM641" s="1068"/>
      <c r="BN641" s="1068"/>
      <c r="BO641" s="1068"/>
      <c r="BP641" s="1068"/>
      <c r="BQ641" s="1068"/>
      <c r="BR641" s="1068"/>
      <c r="BS641" s="1068"/>
      <c r="BT641" s="451"/>
      <c r="BU641" s="451"/>
      <c r="BV641" s="451"/>
      <c r="BW641" s="451"/>
      <c r="BX641" s="1062">
        <f>Lubricantes!P15</f>
        <v>2723.5872</v>
      </c>
      <c r="BY641" s="1068"/>
      <c r="BZ641" s="1068"/>
      <c r="CA641" s="1068"/>
      <c r="CB641" s="1068"/>
      <c r="CC641" s="451"/>
      <c r="CD641" s="451"/>
      <c r="CE641" s="451"/>
      <c r="CF641" s="451"/>
      <c r="CG641" s="451"/>
      <c r="CH641" s="451"/>
      <c r="CI641" s="451"/>
      <c r="CJ641" s="1062">
        <f>Lubricantes!Q15</f>
        <v>2723.5872</v>
      </c>
      <c r="CK641" s="1062">
        <f>Lubricantes!R15</f>
        <v>9986.4864</v>
      </c>
      <c r="CL641" s="451" t="str">
        <f>Lubricantes!S15</f>
        <v/>
      </c>
      <c r="CM641" s="1067" t="str">
        <f>Lubricantes!T15</f>
        <v>No se tomo en cuenta, se mueve de listado de compras locales. Se requiere cotizar</v>
      </c>
      <c r="CN641" s="451" t="str">
        <f>Lubricantes!U11</f>
        <v/>
      </c>
      <c r="CO641" s="451">
        <f>Lubricantes!V11</f>
        <v>1</v>
      </c>
      <c r="CP641" s="451" t="str">
        <f>Lubricantes!W11</f>
        <v/>
      </c>
    </row>
    <row r="642">
      <c r="A642" s="451" t="str">
        <f>Lubricantes!A16</f>
        <v>Lubricantes Especiales</v>
      </c>
      <c r="B642" s="451" t="str">
        <f>Lubricantes!B16</f>
        <v/>
      </c>
      <c r="C642" s="1068"/>
      <c r="D642" s="1068"/>
      <c r="E642" s="451" t="s">
        <v>3028</v>
      </c>
      <c r="F642" s="451" t="str">
        <f>Lubricantes!F16</f>
        <v>TDB</v>
      </c>
      <c r="G642" s="451">
        <v>34110.0</v>
      </c>
      <c r="H642" s="1068"/>
      <c r="I642" s="1061" t="str">
        <f>Lubricantes!C16</f>
        <v>10867102</v>
      </c>
      <c r="J642" s="451" t="str">
        <f>Lubricantes!D16</f>
        <v>DOKUSIL - ELEMENTO LUBRICADOR 
PARA RODETES DE CABINAS </v>
      </c>
      <c r="K642" s="451" t="str">
        <f>Lubricantes!H16</f>
        <v>Pza</v>
      </c>
      <c r="L642" s="1068"/>
      <c r="M642" s="1068"/>
      <c r="N642" s="1068"/>
      <c r="O642" s="1068"/>
      <c r="P642" s="1068"/>
      <c r="Q642" s="1068"/>
      <c r="R642" s="1068"/>
      <c r="S642" s="1068"/>
      <c r="T642" s="1068"/>
      <c r="U642" s="451"/>
      <c r="V642" s="1068"/>
      <c r="W642" s="1067">
        <f>Lubricantes!K16</f>
        <v>0</v>
      </c>
      <c r="X642" s="1068"/>
      <c r="Y642" s="1068"/>
      <c r="Z642" s="1068"/>
      <c r="AA642" s="1068"/>
      <c r="AB642" s="1068"/>
      <c r="AC642" s="1068"/>
      <c r="AD642" s="1068"/>
      <c r="AE642" s="1068"/>
      <c r="AF642" s="1068"/>
      <c r="AG642" s="451"/>
      <c r="AH642" s="451"/>
      <c r="AI642" s="1067">
        <f>Lubricantes!L16</f>
        <v>0</v>
      </c>
      <c r="AJ642" s="1068"/>
      <c r="AK642" s="1068"/>
      <c r="AL642" s="1068"/>
      <c r="AM642" s="1068"/>
      <c r="AN642" s="1068"/>
      <c r="AO642" s="1068"/>
      <c r="AP642" s="1068"/>
      <c r="AQ642" s="1068"/>
      <c r="AR642" s="451"/>
      <c r="AS642" s="451"/>
      <c r="AT642" s="451"/>
      <c r="AU642" s="1067">
        <f>Lubricantes!M16</f>
        <v>0</v>
      </c>
      <c r="AV642" s="1067">
        <f>Lubricantes!N16</f>
        <v>0</v>
      </c>
      <c r="AW642" s="1068"/>
      <c r="AX642" s="1063" t="str">
        <f>Lubricantes!U16</f>
        <v/>
      </c>
      <c r="AY642" s="451" t="str">
        <f>Lubricantes!J16</f>
        <v/>
      </c>
      <c r="AZ642" s="1068"/>
      <c r="BA642" s="1068"/>
      <c r="BB642" s="1068"/>
      <c r="BC642" s="1068"/>
      <c r="BD642" s="451"/>
      <c r="BE642" s="451"/>
      <c r="BF642" s="451"/>
      <c r="BG642" s="451"/>
      <c r="BH642" s="451"/>
      <c r="BI642" s="451"/>
      <c r="BJ642" s="451"/>
      <c r="BK642" s="451"/>
      <c r="BL642" s="1062">
        <f>Lubricantes!O16</f>
        <v>0</v>
      </c>
      <c r="BM642" s="1068"/>
      <c r="BN642" s="1068"/>
      <c r="BO642" s="1068"/>
      <c r="BP642" s="1068"/>
      <c r="BQ642" s="1068"/>
      <c r="BR642" s="1068"/>
      <c r="BS642" s="1068"/>
      <c r="BT642" s="451"/>
      <c r="BU642" s="451"/>
      <c r="BV642" s="451"/>
      <c r="BW642" s="451"/>
      <c r="BX642" s="1062">
        <f>Lubricantes!P16</f>
        <v>0</v>
      </c>
      <c r="BY642" s="1068"/>
      <c r="BZ642" s="1068"/>
      <c r="CA642" s="1068"/>
      <c r="CB642" s="1068"/>
      <c r="CC642" s="451"/>
      <c r="CD642" s="451"/>
      <c r="CE642" s="451"/>
      <c r="CF642" s="451"/>
      <c r="CG642" s="451"/>
      <c r="CH642" s="451"/>
      <c r="CI642" s="451"/>
      <c r="CJ642" s="1062">
        <f>Lubricantes!Q16</f>
        <v>0</v>
      </c>
      <c r="CK642" s="1062">
        <f>Lubricantes!R16</f>
        <v>0</v>
      </c>
      <c r="CL642" s="451" t="str">
        <f>Lubricantes!S16</f>
        <v/>
      </c>
      <c r="CM642" s="1067" t="str">
        <f>Lubricantes!T16</f>
        <v>5 en almacen central.
Se tienen 136 en lineas (Consultar estado de los mismos en lineas)</v>
      </c>
      <c r="CN642" s="451" t="str">
        <f>Lubricantes!U12</f>
        <v/>
      </c>
      <c r="CO642" s="451">
        <f>Lubricantes!V12</f>
        <v>1</v>
      </c>
      <c r="CP642" s="451" t="str">
        <f>Lubricantes!W12</f>
        <v/>
      </c>
    </row>
    <row r="643">
      <c r="A643" s="451" t="str">
        <f>Lubricantes!A17</f>
        <v>Lubricantes Especiales</v>
      </c>
      <c r="B643" s="451">
        <f>Lubricantes!B17</f>
        <v>2</v>
      </c>
      <c r="C643" s="1068"/>
      <c r="D643" s="1068"/>
      <c r="E643" s="451" t="s">
        <v>3028</v>
      </c>
      <c r="F643" s="451" t="str">
        <f>Lubricantes!F17</f>
        <v>TDB</v>
      </c>
      <c r="G643" s="451">
        <v>34110.0</v>
      </c>
      <c r="H643" s="1068"/>
      <c r="I643" s="1061" t="str">
        <f>Lubricantes!C17</f>
        <v>11007328</v>
      </c>
      <c r="J643" s="451" t="str">
        <f>Lubricantes!D17</f>
        <v>GRASA DE VASELINA 17223 BLANCO CARTUCHO DE 0,4KG</v>
      </c>
      <c r="K643" s="451" t="str">
        <f>Lubricantes!H17</f>
        <v>Pza</v>
      </c>
      <c r="L643" s="1068"/>
      <c r="M643" s="1068"/>
      <c r="N643" s="1068"/>
      <c r="O643" s="1068"/>
      <c r="P643" s="1068"/>
      <c r="Q643" s="1068"/>
      <c r="R643" s="1068"/>
      <c r="S643" s="1068"/>
      <c r="T643" s="1068"/>
      <c r="U643" s="451"/>
      <c r="V643" s="1068"/>
      <c r="W643" s="1067">
        <f>Lubricantes!K17</f>
        <v>3</v>
      </c>
      <c r="X643" s="1068"/>
      <c r="Y643" s="1068"/>
      <c r="Z643" s="1068"/>
      <c r="AA643" s="1068"/>
      <c r="AB643" s="1068"/>
      <c r="AC643" s="1068"/>
      <c r="AD643" s="1068"/>
      <c r="AE643" s="1068"/>
      <c r="AF643" s="1068"/>
      <c r="AG643" s="451"/>
      <c r="AH643" s="451"/>
      <c r="AI643" s="1062">
        <f>Lubricantes!L17</f>
        <v>9</v>
      </c>
      <c r="AJ643" s="1068"/>
      <c r="AK643" s="1068"/>
      <c r="AL643" s="1068"/>
      <c r="AM643" s="1068"/>
      <c r="AN643" s="1068"/>
      <c r="AO643" s="1068"/>
      <c r="AP643" s="1068"/>
      <c r="AQ643" s="1068"/>
      <c r="AR643" s="451"/>
      <c r="AS643" s="451"/>
      <c r="AT643" s="451"/>
      <c r="AU643" s="1062">
        <f>Lubricantes!M17</f>
        <v>9</v>
      </c>
      <c r="AV643" s="1063">
        <f>Lubricantes!N17</f>
        <v>21</v>
      </c>
      <c r="AW643" s="1068"/>
      <c r="AX643" s="1063">
        <f>Lubricantes!U17</f>
        <v>20.19</v>
      </c>
      <c r="AY643" s="1062">
        <f>Lubricantes!J17</f>
        <v>140.5224</v>
      </c>
      <c r="AZ643" s="1068"/>
      <c r="BA643" s="1068"/>
      <c r="BB643" s="1068"/>
      <c r="BC643" s="1068"/>
      <c r="BD643" s="451"/>
      <c r="BE643" s="451"/>
      <c r="BF643" s="451"/>
      <c r="BG643" s="451"/>
      <c r="BH643" s="451"/>
      <c r="BI643" s="451"/>
      <c r="BJ643" s="451"/>
      <c r="BK643" s="451"/>
      <c r="BL643" s="1062">
        <f>Lubricantes!O17</f>
        <v>421.5672</v>
      </c>
      <c r="BM643" s="1068"/>
      <c r="BN643" s="1068"/>
      <c r="BO643" s="1068"/>
      <c r="BP643" s="1068"/>
      <c r="BQ643" s="1068"/>
      <c r="BR643" s="1068"/>
      <c r="BS643" s="1068"/>
      <c r="BT643" s="451"/>
      <c r="BU643" s="451"/>
      <c r="BV643" s="451"/>
      <c r="BW643" s="451"/>
      <c r="BX643" s="1062">
        <f>Lubricantes!P17</f>
        <v>1264.7016</v>
      </c>
      <c r="BY643" s="1068"/>
      <c r="BZ643" s="1068"/>
      <c r="CA643" s="1068"/>
      <c r="CB643" s="1068"/>
      <c r="CC643" s="451"/>
      <c r="CD643" s="451"/>
      <c r="CE643" s="451"/>
      <c r="CF643" s="451"/>
      <c r="CG643" s="451"/>
      <c r="CH643" s="451"/>
      <c r="CI643" s="451"/>
      <c r="CJ643" s="1062">
        <f>Lubricantes!Q17</f>
        <v>1264.7016</v>
      </c>
      <c r="CK643" s="1062">
        <f>Lubricantes!R17</f>
        <v>2950.9704</v>
      </c>
      <c r="CL643" s="1067" t="str">
        <f>Lubricantes!S17</f>
        <v>Se movio de repuestos a lubricantes</v>
      </c>
      <c r="CM643" s="451" t="str">
        <f>Lubricantes!T17</f>
        <v/>
      </c>
      <c r="CN643" s="1062">
        <f>Lubricantes!U13</f>
        <v>72.34</v>
      </c>
      <c r="CO643" s="451">
        <f>Lubricantes!V13</f>
        <v>1</v>
      </c>
      <c r="CP643" s="451" t="str">
        <f>Lubricantes!W13</f>
        <v/>
      </c>
    </row>
    <row r="644">
      <c r="A644" s="451" t="str">
        <f>Lubricantes!A18</f>
        <v>Lubricantes Especiales</v>
      </c>
      <c r="B644" s="451">
        <f>Lubricantes!B18</f>
        <v>2</v>
      </c>
      <c r="C644" s="1068"/>
      <c r="D644" s="1068"/>
      <c r="E644" s="451" t="s">
        <v>3028</v>
      </c>
      <c r="F644" s="451" t="str">
        <f>Lubricantes!F18</f>
        <v>TDB</v>
      </c>
      <c r="G644" s="451">
        <v>34110.0</v>
      </c>
      <c r="H644" s="1068"/>
      <c r="I644" s="1061" t="str">
        <f>Lubricantes!C18</f>
        <v>11527131</v>
      </c>
      <c r="J644" s="451" t="str">
        <f>Lubricantes!D18</f>
        <v>ANTICORIT OHK - 
ACEITE PARA VASTAGOS DE CILINDROS HIDRAULICOS </v>
      </c>
      <c r="K644" s="451" t="str">
        <f>Lubricantes!H18</f>
        <v>Pza</v>
      </c>
      <c r="L644" s="1068"/>
      <c r="M644" s="1068"/>
      <c r="N644" s="1068"/>
      <c r="O644" s="1068"/>
      <c r="P644" s="1068"/>
      <c r="Q644" s="1068"/>
      <c r="R644" s="1068"/>
      <c r="S644" s="1068"/>
      <c r="T644" s="1068"/>
      <c r="U644" s="451"/>
      <c r="V644" s="1068"/>
      <c r="W644" s="1067">
        <f>Lubricantes!K18</f>
        <v>0</v>
      </c>
      <c r="X644" s="1068"/>
      <c r="Y644" s="1068"/>
      <c r="Z644" s="1068"/>
      <c r="AA644" s="1068"/>
      <c r="AB644" s="1068"/>
      <c r="AC644" s="1068"/>
      <c r="AD644" s="1068"/>
      <c r="AE644" s="1068"/>
      <c r="AF644" s="1068"/>
      <c r="AG644" s="451"/>
      <c r="AH644" s="451"/>
      <c r="AI644" s="1067">
        <f>Lubricantes!L18</f>
        <v>0</v>
      </c>
      <c r="AJ644" s="1068"/>
      <c r="AK644" s="1068"/>
      <c r="AL644" s="1068"/>
      <c r="AM644" s="1068"/>
      <c r="AN644" s="1068"/>
      <c r="AO644" s="1068"/>
      <c r="AP644" s="1068"/>
      <c r="AQ644" s="1068"/>
      <c r="AR644" s="451"/>
      <c r="AS644" s="451"/>
      <c r="AT644" s="451"/>
      <c r="AU644" s="1067">
        <f>Lubricantes!M18</f>
        <v>10</v>
      </c>
      <c r="AV644" s="1063">
        <f>Lubricantes!N18</f>
        <v>10</v>
      </c>
      <c r="AW644" s="1068"/>
      <c r="AX644" s="1063">
        <f>Lubricantes!U18</f>
        <v>31.96</v>
      </c>
      <c r="AY644" s="1062">
        <f>Lubricantes!J18</f>
        <v>222.4416</v>
      </c>
      <c r="AZ644" s="1068"/>
      <c r="BA644" s="1068"/>
      <c r="BB644" s="1068"/>
      <c r="BC644" s="1068"/>
      <c r="BD644" s="451"/>
      <c r="BE644" s="451"/>
      <c r="BF644" s="451"/>
      <c r="BG644" s="451"/>
      <c r="BH644" s="451"/>
      <c r="BI644" s="451"/>
      <c r="BJ644" s="451"/>
      <c r="BK644" s="451"/>
      <c r="BL644" s="1062">
        <f>Lubricantes!O18</f>
        <v>0</v>
      </c>
      <c r="BM644" s="1068"/>
      <c r="BN644" s="1068"/>
      <c r="BO644" s="1068"/>
      <c r="BP644" s="1068"/>
      <c r="BQ644" s="1068"/>
      <c r="BR644" s="1068"/>
      <c r="BS644" s="1068"/>
      <c r="BT644" s="451"/>
      <c r="BU644" s="451"/>
      <c r="BV644" s="451"/>
      <c r="BW644" s="451"/>
      <c r="BX644" s="1062">
        <f>Lubricantes!P18</f>
        <v>0</v>
      </c>
      <c r="BY644" s="1068"/>
      <c r="BZ644" s="1068"/>
      <c r="CA644" s="1068"/>
      <c r="CB644" s="1068"/>
      <c r="CC644" s="451"/>
      <c r="CD644" s="451"/>
      <c r="CE644" s="451"/>
      <c r="CF644" s="451"/>
      <c r="CG644" s="451"/>
      <c r="CH644" s="451"/>
      <c r="CI644" s="451"/>
      <c r="CJ644" s="1062">
        <f>Lubricantes!Q18</f>
        <v>2224.416</v>
      </c>
      <c r="CK644" s="1062">
        <f>Lubricantes!R18</f>
        <v>2224.416</v>
      </c>
      <c r="CL644" s="451" t="str">
        <f>Lubricantes!S18</f>
        <v/>
      </c>
      <c r="CM644" s="1067" t="str">
        <f>Lubricantes!T18</f>
        <v>18 en almacen central
73 en lineas.
2025 se requieren 38, pero se comprara 10u.</v>
      </c>
      <c r="CN644" s="451" t="str">
        <f>Lubricantes!U14</f>
        <v/>
      </c>
      <c r="CO644" s="451">
        <f>Lubricantes!V14</f>
        <v>1</v>
      </c>
      <c r="CP644" s="451" t="str">
        <f>Lubricantes!W14</f>
        <v/>
      </c>
    </row>
    <row r="645">
      <c r="A645" s="451" t="str">
        <f>Lubricantes!A19</f>
        <v>Lubricantes</v>
      </c>
      <c r="B645" s="451">
        <f>Lubricantes!B19</f>
        <v>13</v>
      </c>
      <c r="C645" s="1068"/>
      <c r="D645" s="1068"/>
      <c r="E645" s="451" t="s">
        <v>3028</v>
      </c>
      <c r="F645" s="451" t="str">
        <f>Lubricantes!F19</f>
        <v>LOCAL</v>
      </c>
      <c r="G645" s="451">
        <v>34110.0</v>
      </c>
      <c r="H645" s="1068"/>
      <c r="I645" s="1061" t="str">
        <f>Lubricantes!C19</f>
        <v>3-02-00044</v>
      </c>
      <c r="J645" s="451" t="str">
        <f>Lubricantes!D19</f>
        <v>POLYREX EM  - MOBIL 
 GRASA PARA MOTORES ELÉCTRICOS PRINCIPALES 
(COMPRA LOCAL 2023)</v>
      </c>
      <c r="K645" s="451" t="str">
        <f>Lubricantes!H19</f>
        <v>Pza</v>
      </c>
      <c r="L645" s="1068"/>
      <c r="M645" s="1068"/>
      <c r="N645" s="1068"/>
      <c r="O645" s="1068"/>
      <c r="P645" s="1068"/>
      <c r="Q645" s="1068"/>
      <c r="R645" s="1068"/>
      <c r="S645" s="1068"/>
      <c r="T645" s="1068"/>
      <c r="U645" s="451"/>
      <c r="V645" s="1068"/>
      <c r="W645" s="1067">
        <f>Lubricantes!K19</f>
        <v>12</v>
      </c>
      <c r="X645" s="1068"/>
      <c r="Y645" s="1068"/>
      <c r="Z645" s="1068"/>
      <c r="AA645" s="1068"/>
      <c r="AB645" s="1068"/>
      <c r="AC645" s="1068"/>
      <c r="AD645" s="1068"/>
      <c r="AE645" s="1068"/>
      <c r="AF645" s="1068"/>
      <c r="AG645" s="451"/>
      <c r="AH645" s="451"/>
      <c r="AI645" s="1062">
        <f>Lubricantes!L19</f>
        <v>6</v>
      </c>
      <c r="AJ645" s="1068"/>
      <c r="AK645" s="1068"/>
      <c r="AL645" s="1068"/>
      <c r="AM645" s="1068"/>
      <c r="AN645" s="1068"/>
      <c r="AO645" s="1068"/>
      <c r="AP645" s="1068"/>
      <c r="AQ645" s="1068"/>
      <c r="AR645" s="451"/>
      <c r="AS645" s="451"/>
      <c r="AT645" s="451"/>
      <c r="AU645" s="1062">
        <f>Lubricantes!M19</f>
        <v>6</v>
      </c>
      <c r="AV645" s="1063">
        <f>Lubricantes!N19</f>
        <v>24</v>
      </c>
      <c r="AW645" s="1068"/>
      <c r="AX645" s="1063" t="str">
        <f>Lubricantes!U19</f>
        <v/>
      </c>
      <c r="AY645" s="1062">
        <f>Lubricantes!J19</f>
        <v>3967</v>
      </c>
      <c r="AZ645" s="1068"/>
      <c r="BA645" s="1068"/>
      <c r="BB645" s="1068"/>
      <c r="BC645" s="1068"/>
      <c r="BD645" s="451"/>
      <c r="BE645" s="451"/>
      <c r="BF645" s="451"/>
      <c r="BG645" s="451"/>
      <c r="BH645" s="451"/>
      <c r="BI645" s="451"/>
      <c r="BJ645" s="451"/>
      <c r="BK645" s="451"/>
      <c r="BL645" s="1062">
        <f>Lubricantes!O19</f>
        <v>47604</v>
      </c>
      <c r="BM645" s="1068"/>
      <c r="BN645" s="1068"/>
      <c r="BO645" s="1068"/>
      <c r="BP645" s="1068"/>
      <c r="BQ645" s="1068"/>
      <c r="BR645" s="1068"/>
      <c r="BS645" s="1068"/>
      <c r="BT645" s="451"/>
      <c r="BU645" s="451"/>
      <c r="BV645" s="451"/>
      <c r="BW645" s="451"/>
      <c r="BX645" s="1062">
        <f>Lubricantes!P19</f>
        <v>23802</v>
      </c>
      <c r="BY645" s="1068"/>
      <c r="BZ645" s="1068"/>
      <c r="CA645" s="1068"/>
      <c r="CB645" s="1068"/>
      <c r="CC645" s="451"/>
      <c r="CD645" s="451"/>
      <c r="CE645" s="451"/>
      <c r="CF645" s="451"/>
      <c r="CG645" s="451"/>
      <c r="CH645" s="451"/>
      <c r="CI645" s="451"/>
      <c r="CJ645" s="1062">
        <f>Lubricantes!Q19</f>
        <v>23802</v>
      </c>
      <c r="CK645" s="1062">
        <f>Lubricantes!R19</f>
        <v>95208</v>
      </c>
      <c r="CL645" s="451" t="str">
        <f>Lubricantes!S19</f>
        <v/>
      </c>
      <c r="CM645" s="451" t="str">
        <f>Lubricantes!T19</f>
        <v/>
      </c>
      <c r="CN645" s="1062">
        <f>Lubricantes!U15</f>
        <v>65.22</v>
      </c>
      <c r="CO645" s="451">
        <f>Lubricantes!V15</f>
        <v>1</v>
      </c>
      <c r="CP645" s="451" t="str">
        <f>Lubricantes!W15</f>
        <v/>
      </c>
    </row>
    <row r="646">
      <c r="A646" s="451" t="str">
        <f>Lubricantes!A20</f>
        <v>Lubricantes</v>
      </c>
      <c r="B646" s="451">
        <f>Lubricantes!B20</f>
        <v>13</v>
      </c>
      <c r="C646" s="1068"/>
      <c r="D646" s="1068"/>
      <c r="E646" s="451" t="s">
        <v>3028</v>
      </c>
      <c r="F646" s="451" t="str">
        <f>Lubricantes!F20</f>
        <v>LOCAL</v>
      </c>
      <c r="G646" s="451">
        <v>34110.0</v>
      </c>
      <c r="H646" s="1068"/>
      <c r="I646" s="1061" t="str">
        <f>Lubricantes!C20</f>
        <v>3-01-00007</v>
      </c>
      <c r="J646" s="451" t="str">
        <f>Lubricantes!D20</f>
        <v>ACEITE 15W40 
PARA MOTORES DE COMBUSTION INTERNA A DIESEL 
(COMPRA LOCAL 2023)</v>
      </c>
      <c r="K646" s="451" t="str">
        <f>Lubricantes!H20</f>
        <v>Turril</v>
      </c>
      <c r="L646" s="1068"/>
      <c r="M646" s="1068"/>
      <c r="N646" s="1068"/>
      <c r="O646" s="1068"/>
      <c r="P646" s="1068"/>
      <c r="Q646" s="1068"/>
      <c r="R646" s="1068"/>
      <c r="S646" s="1068"/>
      <c r="T646" s="1068"/>
      <c r="U646" s="451"/>
      <c r="V646" s="1068"/>
      <c r="W646" s="1067">
        <f>Lubricantes!K20</f>
        <v>0</v>
      </c>
      <c r="X646" s="1068"/>
      <c r="Y646" s="1068"/>
      <c r="Z646" s="1068"/>
      <c r="AA646" s="1068"/>
      <c r="AB646" s="1068"/>
      <c r="AC646" s="1068"/>
      <c r="AD646" s="1068"/>
      <c r="AE646" s="1068"/>
      <c r="AF646" s="1068"/>
      <c r="AG646" s="451"/>
      <c r="AH646" s="451"/>
      <c r="AI646" s="1062">
        <f>Lubricantes!L20</f>
        <v>10</v>
      </c>
      <c r="AJ646" s="1068"/>
      <c r="AK646" s="1068"/>
      <c r="AL646" s="1068"/>
      <c r="AM646" s="1068"/>
      <c r="AN646" s="1068"/>
      <c r="AO646" s="1068"/>
      <c r="AP646" s="1068"/>
      <c r="AQ646" s="1068"/>
      <c r="AR646" s="451"/>
      <c r="AS646" s="451"/>
      <c r="AT646" s="451"/>
      <c r="AU646" s="1062">
        <f>Lubricantes!M20</f>
        <v>10</v>
      </c>
      <c r="AV646" s="1063">
        <f>Lubricantes!N20</f>
        <v>20</v>
      </c>
      <c r="AW646" s="1068"/>
      <c r="AX646" s="1063" t="str">
        <f>Lubricantes!U20</f>
        <v/>
      </c>
      <c r="AY646" s="1062">
        <f>Lubricantes!J20</f>
        <v>6550.67</v>
      </c>
      <c r="AZ646" s="1068"/>
      <c r="BA646" s="1068"/>
      <c r="BB646" s="1068"/>
      <c r="BC646" s="1068"/>
      <c r="BD646" s="451"/>
      <c r="BE646" s="451"/>
      <c r="BF646" s="451"/>
      <c r="BG646" s="451"/>
      <c r="BH646" s="451"/>
      <c r="BI646" s="451"/>
      <c r="BJ646" s="451"/>
      <c r="BK646" s="451"/>
      <c r="BL646" s="1062">
        <f>Lubricantes!O20</f>
        <v>0</v>
      </c>
      <c r="BM646" s="1068"/>
      <c r="BN646" s="1068"/>
      <c r="BO646" s="1068"/>
      <c r="BP646" s="1068"/>
      <c r="BQ646" s="1068"/>
      <c r="BR646" s="1068"/>
      <c r="BS646" s="1068"/>
      <c r="BT646" s="451"/>
      <c r="BU646" s="451"/>
      <c r="BV646" s="451"/>
      <c r="BW646" s="451"/>
      <c r="BX646" s="1062">
        <f>Lubricantes!P20</f>
        <v>65506.7</v>
      </c>
      <c r="BY646" s="1068"/>
      <c r="BZ646" s="1068"/>
      <c r="CA646" s="1068"/>
      <c r="CB646" s="1068"/>
      <c r="CC646" s="451"/>
      <c r="CD646" s="451"/>
      <c r="CE646" s="451"/>
      <c r="CF646" s="451"/>
      <c r="CG646" s="451"/>
      <c r="CH646" s="451"/>
      <c r="CI646" s="451"/>
      <c r="CJ646" s="1062">
        <f>Lubricantes!Q20</f>
        <v>65506.7</v>
      </c>
      <c r="CK646" s="1062">
        <f>Lubricantes!R20</f>
        <v>131013.4</v>
      </c>
      <c r="CL646" s="451" t="str">
        <f>Lubricantes!S20</f>
        <v/>
      </c>
      <c r="CM646" s="1067" t="str">
        <f>Lubricantes!T20</f>
        <v>Almacen 17 turriles.
2 turriles LVE.
Es necsario hacer el relevamiento.
En 2024 de las 23u se comprara 10 y 2025 tambien</v>
      </c>
      <c r="CN646" s="451" t="str">
        <f>Lubricantes!U16</f>
        <v/>
      </c>
      <c r="CO646" s="451">
        <f>Lubricantes!V16</f>
        <v>1</v>
      </c>
      <c r="CP646" s="451" t="str">
        <f>Lubricantes!W16</f>
        <v/>
      </c>
    </row>
    <row r="647">
      <c r="A647" s="451" t="str">
        <f>Lubricantes!A21</f>
        <v>Lubricantes</v>
      </c>
      <c r="B647" s="451">
        <f>Lubricantes!B21</f>
        <v>42</v>
      </c>
      <c r="C647" s="1068"/>
      <c r="D647" s="1068"/>
      <c r="E647" s="451" t="s">
        <v>3028</v>
      </c>
      <c r="F647" s="451" t="str">
        <f>Lubricantes!F21</f>
        <v>LOCAL</v>
      </c>
      <c r="G647" s="451">
        <v>34110.0</v>
      </c>
      <c r="H647" s="1068"/>
      <c r="I647" s="1061" t="str">
        <f>Lubricantes!C21</f>
        <v>Compra nueva</v>
      </c>
      <c r="J647" s="451" t="str">
        <f>Lubricantes!D21</f>
        <v>Aceite para compresores.
Turbine/Compressor Oil R&amp;O ISO 68</v>
      </c>
      <c r="K647" s="451" t="str">
        <f>Lubricantes!H21</f>
        <v>Pza</v>
      </c>
      <c r="L647" s="1068"/>
      <c r="M647" s="1068"/>
      <c r="N647" s="1068"/>
      <c r="O647" s="1068"/>
      <c r="P647" s="1068"/>
      <c r="Q647" s="1068"/>
      <c r="R647" s="1068"/>
      <c r="S647" s="1068"/>
      <c r="T647" s="1068"/>
      <c r="U647" s="451"/>
      <c r="V647" s="1068"/>
      <c r="W647" s="1067">
        <f>Lubricantes!K21</f>
        <v>28</v>
      </c>
      <c r="X647" s="1068"/>
      <c r="Y647" s="1068"/>
      <c r="Z647" s="1068"/>
      <c r="AA647" s="1068"/>
      <c r="AB647" s="1068"/>
      <c r="AC647" s="1068"/>
      <c r="AD647" s="1068"/>
      <c r="AE647" s="1068"/>
      <c r="AF647" s="1068"/>
      <c r="AG647" s="451"/>
      <c r="AH647" s="451"/>
      <c r="AI647" s="1067">
        <f>Lubricantes!L21</f>
        <v>28</v>
      </c>
      <c r="AJ647" s="1068"/>
      <c r="AK647" s="1068"/>
      <c r="AL647" s="1068"/>
      <c r="AM647" s="1068"/>
      <c r="AN647" s="1068"/>
      <c r="AO647" s="1068"/>
      <c r="AP647" s="1068"/>
      <c r="AQ647" s="1068"/>
      <c r="AR647" s="451"/>
      <c r="AS647" s="451"/>
      <c r="AT647" s="451"/>
      <c r="AU647" s="1067">
        <f>Lubricantes!M21</f>
        <v>28</v>
      </c>
      <c r="AV647" s="1063">
        <f>Lubricantes!N21</f>
        <v>84</v>
      </c>
      <c r="AW647" s="1068"/>
      <c r="AX647" s="1063" t="str">
        <f>Lubricantes!U21</f>
        <v/>
      </c>
      <c r="AY647" s="1062">
        <f>Lubricantes!J21</f>
        <v>56.83</v>
      </c>
      <c r="AZ647" s="1068"/>
      <c r="BA647" s="1068"/>
      <c r="BB647" s="1068"/>
      <c r="BC647" s="1068"/>
      <c r="BD647" s="451"/>
      <c r="BE647" s="451"/>
      <c r="BF647" s="451"/>
      <c r="BG647" s="451"/>
      <c r="BH647" s="451"/>
      <c r="BI647" s="451"/>
      <c r="BJ647" s="451"/>
      <c r="BK647" s="451"/>
      <c r="BL647" s="1062">
        <f>Lubricantes!O21</f>
        <v>1591.24</v>
      </c>
      <c r="BM647" s="1068"/>
      <c r="BN647" s="1068"/>
      <c r="BO647" s="1068"/>
      <c r="BP647" s="1068"/>
      <c r="BQ647" s="1068"/>
      <c r="BR647" s="1068"/>
      <c r="BS647" s="1068"/>
      <c r="BT647" s="451"/>
      <c r="BU647" s="451"/>
      <c r="BV647" s="451"/>
      <c r="BW647" s="451"/>
      <c r="BX647" s="1062">
        <f>Lubricantes!P21</f>
        <v>1591.24</v>
      </c>
      <c r="BY647" s="1068"/>
      <c r="BZ647" s="1068"/>
      <c r="CA647" s="1068"/>
      <c r="CB647" s="1068"/>
      <c r="CC647" s="451"/>
      <c r="CD647" s="451"/>
      <c r="CE647" s="451"/>
      <c r="CF647" s="451"/>
      <c r="CG647" s="451"/>
      <c r="CH647" s="451"/>
      <c r="CI647" s="451"/>
      <c r="CJ647" s="1062">
        <f>Lubricantes!Q21</f>
        <v>1591.24</v>
      </c>
      <c r="CK647" s="1062">
        <f>Lubricantes!R21</f>
        <v>4773.72</v>
      </c>
      <c r="CL647" s="451" t="str">
        <f>Lubricantes!S21</f>
        <v/>
      </c>
      <c r="CM647" s="451" t="str">
        <f>Lubricantes!T21</f>
        <v/>
      </c>
      <c r="CN647" s="1062">
        <f>Lubricantes!U17</f>
        <v>20.19</v>
      </c>
      <c r="CO647" s="451">
        <f>Lubricantes!V17</f>
        <v>1</v>
      </c>
      <c r="CP647" s="451" t="str">
        <f>Lubricantes!W17</f>
        <v/>
      </c>
    </row>
    <row r="648">
      <c r="A648" s="451" t="str">
        <f>Lubricantes!A22</f>
        <v>Lubricantes Especiales</v>
      </c>
      <c r="B648" s="451">
        <f>Lubricantes!B22</f>
        <v>2</v>
      </c>
      <c r="C648" s="1068"/>
      <c r="D648" s="1068"/>
      <c r="E648" s="451" t="s">
        <v>3028</v>
      </c>
      <c r="F648" s="451" t="str">
        <f>Lubricantes!F22</f>
        <v>TDB</v>
      </c>
      <c r="G648" s="451">
        <v>34110.0</v>
      </c>
      <c r="H648" s="1068"/>
      <c r="I648" s="1061" t="str">
        <f>Lubricantes!C22</f>
        <v>12156706</v>
      </c>
      <c r="J648" s="451" t="str">
        <f>Lubricantes!D22</f>
        <v>BQH72 - 102 - KLUBER 
 GRASA PARA MOTORES ELÉCTRICOS PRINCIPALES </v>
      </c>
      <c r="K648" s="451" t="str">
        <f>Lubricantes!H22</f>
        <v>Pza</v>
      </c>
      <c r="L648" s="1068"/>
      <c r="M648" s="1068"/>
      <c r="N648" s="1068"/>
      <c r="O648" s="1068"/>
      <c r="P648" s="1068"/>
      <c r="Q648" s="1068"/>
      <c r="R648" s="1068"/>
      <c r="S648" s="1068"/>
      <c r="T648" s="1068"/>
      <c r="U648" s="451"/>
      <c r="V648" s="1068"/>
      <c r="W648" s="1067">
        <f>Lubricantes!K22</f>
        <v>0</v>
      </c>
      <c r="X648" s="1068"/>
      <c r="Y648" s="1068"/>
      <c r="Z648" s="1068"/>
      <c r="AA648" s="1068"/>
      <c r="AB648" s="1068"/>
      <c r="AC648" s="1068"/>
      <c r="AD648" s="1068"/>
      <c r="AE648" s="1068"/>
      <c r="AF648" s="1068"/>
      <c r="AG648" s="451"/>
      <c r="AH648" s="451"/>
      <c r="AI648" s="1062">
        <f>Lubricantes!L22</f>
        <v>2</v>
      </c>
      <c r="AJ648" s="1068"/>
      <c r="AK648" s="1068"/>
      <c r="AL648" s="1068"/>
      <c r="AM648" s="1068"/>
      <c r="AN648" s="1068"/>
      <c r="AO648" s="1068"/>
      <c r="AP648" s="1068"/>
      <c r="AQ648" s="1068"/>
      <c r="AR648" s="451"/>
      <c r="AS648" s="451"/>
      <c r="AT648" s="451"/>
      <c r="AU648" s="1062">
        <f>Lubricantes!M22</f>
        <v>2</v>
      </c>
      <c r="AV648" s="1063">
        <f>Lubricantes!N22</f>
        <v>4</v>
      </c>
      <c r="AW648" s="1068"/>
      <c r="AX648" s="1063">
        <f>Lubricantes!U22</f>
        <v>1053.05</v>
      </c>
      <c r="AY648" s="1062">
        <f>Lubricantes!J22</f>
        <v>7329.228</v>
      </c>
      <c r="AZ648" s="1068"/>
      <c r="BA648" s="1068"/>
      <c r="BB648" s="1068"/>
      <c r="BC648" s="1068"/>
      <c r="BD648" s="451"/>
      <c r="BE648" s="451"/>
      <c r="BF648" s="451"/>
      <c r="BG648" s="451"/>
      <c r="BH648" s="451"/>
      <c r="BI648" s="451"/>
      <c r="BJ648" s="451"/>
      <c r="BK648" s="451"/>
      <c r="BL648" s="1062">
        <f>Lubricantes!O22</f>
        <v>0</v>
      </c>
      <c r="BM648" s="1068"/>
      <c r="BN648" s="1068"/>
      <c r="BO648" s="1068"/>
      <c r="BP648" s="1068"/>
      <c r="BQ648" s="1068"/>
      <c r="BR648" s="1068"/>
      <c r="BS648" s="1068"/>
      <c r="BT648" s="451"/>
      <c r="BU648" s="451"/>
      <c r="BV648" s="451"/>
      <c r="BW648" s="451"/>
      <c r="BX648" s="1062">
        <f>Lubricantes!P22</f>
        <v>14658.456</v>
      </c>
      <c r="BY648" s="1068"/>
      <c r="BZ648" s="1068"/>
      <c r="CA648" s="1068"/>
      <c r="CB648" s="1068"/>
      <c r="CC648" s="451"/>
      <c r="CD648" s="451"/>
      <c r="CE648" s="451"/>
      <c r="CF648" s="451"/>
      <c r="CG648" s="451"/>
      <c r="CH648" s="451"/>
      <c r="CI648" s="451"/>
      <c r="CJ648" s="1062">
        <f>Lubricantes!Q22</f>
        <v>14658.456</v>
      </c>
      <c r="CK648" s="1062">
        <f>Lubricantes!R22</f>
        <v>29316.912</v>
      </c>
      <c r="CL648" s="451" t="str">
        <f>Lubricantes!S22</f>
        <v/>
      </c>
      <c r="CM648" s="451" t="str">
        <f>Lubricantes!T22</f>
        <v/>
      </c>
      <c r="CN648" s="1062">
        <f>Lubricantes!U18</f>
        <v>31.96</v>
      </c>
      <c r="CO648" s="451">
        <f>Lubricantes!V18</f>
        <v>1</v>
      </c>
      <c r="CP648" s="451" t="str">
        <f>Lubricantes!W18</f>
        <v/>
      </c>
    </row>
    <row r="649">
      <c r="A649" s="451" t="str">
        <f>Lubricantes!A23</f>
        <v>Lubricantes Especiales</v>
      </c>
      <c r="B649" s="451">
        <f>Lubricantes!B23</f>
        <v>2</v>
      </c>
      <c r="C649" s="1068"/>
      <c r="D649" s="1068"/>
      <c r="E649" s="451" t="s">
        <v>3028</v>
      </c>
      <c r="F649" s="451" t="str">
        <f>Lubricantes!F23</f>
        <v>TDB</v>
      </c>
      <c r="G649" s="451">
        <v>34110.0</v>
      </c>
      <c r="H649" s="1068"/>
      <c r="I649" s="1061" t="str">
        <f>Lubricantes!C23</f>
        <v>12157993</v>
      </c>
      <c r="J649" s="451" t="str">
        <f>Lubricantes!D23</f>
        <v>ACEITE ISO 220 - MONOGRADO  SINTETICO 
MOTOREDUCTORES NORD </v>
      </c>
      <c r="K649" s="451" t="str">
        <f>Lubricantes!H23</f>
        <v>Pza</v>
      </c>
      <c r="L649" s="1068"/>
      <c r="M649" s="1068"/>
      <c r="N649" s="1068"/>
      <c r="O649" s="1068"/>
      <c r="P649" s="1068"/>
      <c r="Q649" s="1068"/>
      <c r="R649" s="1068"/>
      <c r="S649" s="1068"/>
      <c r="T649" s="1068"/>
      <c r="U649" s="451"/>
      <c r="V649" s="1068"/>
      <c r="W649" s="1067">
        <f>Lubricantes!K23</f>
        <v>0</v>
      </c>
      <c r="X649" s="1068"/>
      <c r="Y649" s="1068"/>
      <c r="Z649" s="1068"/>
      <c r="AA649" s="1068"/>
      <c r="AB649" s="1068"/>
      <c r="AC649" s="1068"/>
      <c r="AD649" s="1068"/>
      <c r="AE649" s="1068"/>
      <c r="AF649" s="1068"/>
      <c r="AG649" s="451"/>
      <c r="AH649" s="451"/>
      <c r="AI649" s="1062">
        <f>Lubricantes!L23</f>
        <v>4</v>
      </c>
      <c r="AJ649" s="1068"/>
      <c r="AK649" s="1068"/>
      <c r="AL649" s="1068"/>
      <c r="AM649" s="1068"/>
      <c r="AN649" s="1068"/>
      <c r="AO649" s="1068"/>
      <c r="AP649" s="1068"/>
      <c r="AQ649" s="1068"/>
      <c r="AR649" s="451"/>
      <c r="AS649" s="451"/>
      <c r="AT649" s="451"/>
      <c r="AU649" s="1062">
        <f>Lubricantes!M23</f>
        <v>3</v>
      </c>
      <c r="AV649" s="1063">
        <f>Lubricantes!N23</f>
        <v>7</v>
      </c>
      <c r="AW649" s="1068"/>
      <c r="AX649" s="1063">
        <f>Lubricantes!U23</f>
        <v>9446.55</v>
      </c>
      <c r="AY649" s="1062">
        <f>Lubricantes!J23</f>
        <v>65747.988</v>
      </c>
      <c r="AZ649" s="1068"/>
      <c r="BA649" s="1068"/>
      <c r="BB649" s="1068"/>
      <c r="BC649" s="1068"/>
      <c r="BD649" s="451"/>
      <c r="BE649" s="451"/>
      <c r="BF649" s="451"/>
      <c r="BG649" s="451"/>
      <c r="BH649" s="451"/>
      <c r="BI649" s="451"/>
      <c r="BJ649" s="451"/>
      <c r="BK649" s="451"/>
      <c r="BL649" s="1062">
        <f>Lubricantes!O23</f>
        <v>0</v>
      </c>
      <c r="BM649" s="1068"/>
      <c r="BN649" s="1068"/>
      <c r="BO649" s="1068"/>
      <c r="BP649" s="1068"/>
      <c r="BQ649" s="1068"/>
      <c r="BR649" s="1068"/>
      <c r="BS649" s="1068"/>
      <c r="BT649" s="451"/>
      <c r="BU649" s="451"/>
      <c r="BV649" s="451"/>
      <c r="BW649" s="451"/>
      <c r="BX649" s="1062">
        <f>Lubricantes!P23</f>
        <v>262991.952</v>
      </c>
      <c r="BY649" s="1068"/>
      <c r="BZ649" s="1068"/>
      <c r="CA649" s="1068"/>
      <c r="CB649" s="1068"/>
      <c r="CC649" s="451"/>
      <c r="CD649" s="451"/>
      <c r="CE649" s="451"/>
      <c r="CF649" s="451"/>
      <c r="CG649" s="451"/>
      <c r="CH649" s="451"/>
      <c r="CI649" s="451"/>
      <c r="CJ649" s="1062">
        <f>Lubricantes!Q23</f>
        <v>197243.964</v>
      </c>
      <c r="CK649" s="1062">
        <f>Lubricantes!R23</f>
        <v>460235.916</v>
      </c>
      <c r="CL649" s="451" t="str">
        <f>Lubricantes!S23</f>
        <v/>
      </c>
      <c r="CM649" s="1067" t="str">
        <f>Lubricantes!T23</f>
        <v>No se compraran en gestión 2024. Necesario coordinar con RMZ reporgramar cambios de aceite en lineas el 2025</v>
      </c>
      <c r="CN649" s="451" t="str">
        <f>Lubricantes!U19</f>
        <v/>
      </c>
      <c r="CO649" s="451">
        <f>Lubricantes!V19</f>
        <v>1</v>
      </c>
      <c r="CP649" s="451" t="str">
        <f>Lubricantes!W19</f>
        <v/>
      </c>
    </row>
    <row r="650">
      <c r="A650" s="451" t="str">
        <f>'No Recurrentes 24-26'!A71</f>
        <v>Repuestos Electromecánicos no recurrentes</v>
      </c>
      <c r="B650" s="451" t="str">
        <f>'No Recurrentes 24-26'!B71</f>
        <v/>
      </c>
      <c r="C650" s="451" t="str">
        <f>'No Recurrentes 24-26'!C71</f>
        <v>Generador_Auxiliar</v>
      </c>
      <c r="D650" s="451" t="str">
        <f>'No Recurrentes 24-26'!D71</f>
        <v>Mantenimiento Grupos Electrógenos</v>
      </c>
      <c r="E650" s="451" t="str">
        <f>'No Recurrentes 24-26'!E71</f>
        <v>Repuesto Eléctrico</v>
      </c>
      <c r="F650" s="451" t="str">
        <f>'No Recurrentes 24-26'!F71</f>
        <v>LOCAL</v>
      </c>
      <c r="G650" s="1061" t="str">
        <f>'No Recurrentes 24-26'!G71</f>
        <v>39700</v>
      </c>
      <c r="H650" s="1061" t="str">
        <f>'No Recurrentes 24-26'!H71</f>
        <v>2-02-00674</v>
      </c>
      <c r="I650" s="1061" t="str">
        <f>'No Recurrentes 24-26'!I71</f>
        <v/>
      </c>
      <c r="J650" s="1061" t="str">
        <f>'No Recurrentes 24-26'!J71</f>
        <v>PRECALENTADOR VOLTAGE ON VOLTAJE 230/240 VATAJE 1500VATTIOS</v>
      </c>
      <c r="K650" s="451" t="str">
        <f>'No Recurrentes 24-26'!K71</f>
        <v>Pza</v>
      </c>
      <c r="L650" s="451">
        <f>'No Recurrentes 24-26'!BC71</f>
        <v>1</v>
      </c>
      <c r="M650" s="451" t="str">
        <f>'No Recurrentes 24-26'!BD71</f>
        <v/>
      </c>
      <c r="N650" s="451" t="str">
        <f>'No Recurrentes 24-26'!BE71</f>
        <v/>
      </c>
      <c r="O650" s="451" t="str">
        <f>'No Recurrentes 24-26'!BF71</f>
        <v/>
      </c>
      <c r="P650" s="451" t="str">
        <f>'No Recurrentes 24-26'!BG71</f>
        <v/>
      </c>
      <c r="Q650" s="451" t="str">
        <f>'No Recurrentes 24-26'!BH71</f>
        <v/>
      </c>
      <c r="R650" s="451" t="str">
        <f>'No Recurrentes 24-26'!BI71</f>
        <v/>
      </c>
      <c r="S650" s="451" t="str">
        <f>'No Recurrentes 24-26'!BJ71</f>
        <v/>
      </c>
      <c r="T650" s="451" t="str">
        <f>'No Recurrentes 24-26'!BK71</f>
        <v/>
      </c>
      <c r="U650" s="451" t="str">
        <f>'No Recurrentes 24-26'!BL71</f>
        <v/>
      </c>
      <c r="V650" s="1068"/>
      <c r="W650" s="1062">
        <f>'No Recurrentes 24-26'!BM71</f>
        <v>1</v>
      </c>
      <c r="X650" s="1062" t="str">
        <f>'No Recurrentes 24-26'!BN71</f>
        <v/>
      </c>
      <c r="Y650" s="1062" t="str">
        <f>'No Recurrentes 24-26'!BO71</f>
        <v/>
      </c>
      <c r="Z650" s="1062">
        <f>'No Recurrentes 24-26'!BP71</f>
        <v>1</v>
      </c>
      <c r="AA650" s="1062" t="str">
        <f>'No Recurrentes 24-26'!BQ71</f>
        <v/>
      </c>
      <c r="AB650" s="1062" t="str">
        <f>'No Recurrentes 24-26'!BR71</f>
        <v/>
      </c>
      <c r="AC650" s="1062" t="str">
        <f>'No Recurrentes 24-26'!BS71</f>
        <v/>
      </c>
      <c r="AD650" s="1062" t="str">
        <f>'No Recurrentes 24-26'!BT71</f>
        <v/>
      </c>
      <c r="AE650" s="1062" t="str">
        <f>'No Recurrentes 24-26'!BU71</f>
        <v/>
      </c>
      <c r="AF650" s="1062" t="str">
        <f>'No Recurrentes 24-26'!BV71</f>
        <v/>
      </c>
      <c r="AG650" s="1062" t="str">
        <f>'No Recurrentes 24-26'!BW71</f>
        <v/>
      </c>
      <c r="AH650" s="1068"/>
      <c r="AI650" s="1062">
        <f>'No Recurrentes 24-26'!BX71</f>
        <v>1</v>
      </c>
      <c r="AJ650" s="1062">
        <f>'No Recurrentes 24-26'!BY71</f>
        <v>0</v>
      </c>
      <c r="AK650" s="1062">
        <f>'No Recurrentes 24-26'!BZ71</f>
        <v>0</v>
      </c>
      <c r="AL650" s="1062">
        <f>'No Recurrentes 24-26'!CA71</f>
        <v>0</v>
      </c>
      <c r="AM650" s="1062">
        <f>'No Recurrentes 24-26'!CB71</f>
        <v>0</v>
      </c>
      <c r="AN650" s="1062">
        <f>'No Recurrentes 24-26'!CC71</f>
        <v>0</v>
      </c>
      <c r="AO650" s="1062">
        <f>'No Recurrentes 24-26'!CD71</f>
        <v>0</v>
      </c>
      <c r="AP650" s="1062">
        <f>'No Recurrentes 24-26'!CE71</f>
        <v>0</v>
      </c>
      <c r="AQ650" s="1062">
        <f>'No Recurrentes 24-26'!CF71</f>
        <v>0</v>
      </c>
      <c r="AR650" s="1062">
        <f>'No Recurrentes 24-26'!CG71</f>
        <v>0</v>
      </c>
      <c r="AS650" s="1062">
        <f>'No Recurrentes 24-26'!CH71</f>
        <v>0</v>
      </c>
      <c r="AT650" s="1068"/>
      <c r="AU650" s="1062">
        <f>'No Recurrentes 24-26'!CI71</f>
        <v>0</v>
      </c>
      <c r="AV650" s="1063">
        <f>'No Recurrentes 24-26'!CJ71</f>
        <v>2</v>
      </c>
      <c r="AW650" s="1068"/>
      <c r="AX650" s="1062" t="str">
        <f>'No Recurrentes 24-26'!CK71</f>
        <v/>
      </c>
      <c r="AY650" s="1062">
        <f>'No Recurrentes 24-26'!CL71</f>
        <v>2514.3</v>
      </c>
      <c r="AZ650" s="1068"/>
      <c r="BA650" s="1062">
        <f>'No Recurrentes 24-26'!CM71</f>
        <v>2514.3</v>
      </c>
      <c r="BB650" s="1062">
        <f>'No Recurrentes 24-26'!CN71</f>
        <v>0</v>
      </c>
      <c r="BC650" s="1062">
        <f>'No Recurrentes 24-26'!CO71</f>
        <v>0</v>
      </c>
      <c r="BD650" s="1062">
        <f>'No Recurrentes 24-26'!CP71</f>
        <v>0</v>
      </c>
      <c r="BE650" s="1062">
        <f>'No Recurrentes 24-26'!CQ71</f>
        <v>0</v>
      </c>
      <c r="BF650" s="1062">
        <f>'No Recurrentes 24-26'!CR71</f>
        <v>0</v>
      </c>
      <c r="BG650" s="1062">
        <f>'No Recurrentes 24-26'!CS71</f>
        <v>0</v>
      </c>
      <c r="BH650" s="1062">
        <f>'No Recurrentes 24-26'!CT71</f>
        <v>0</v>
      </c>
      <c r="BI650" s="1062">
        <f>'No Recurrentes 24-26'!CU71</f>
        <v>0</v>
      </c>
      <c r="BJ650" s="1062">
        <f>'No Recurrentes 24-26'!CV71</f>
        <v>0</v>
      </c>
      <c r="BK650" s="1068"/>
      <c r="BL650" s="1062">
        <f>'No Recurrentes 24-26'!CW71</f>
        <v>2514.3</v>
      </c>
      <c r="BM650" s="1062">
        <f>'No Recurrentes 24-26'!CX71</f>
        <v>0</v>
      </c>
      <c r="BN650" s="1062">
        <f>'No Recurrentes 24-26'!CY71</f>
        <v>0</v>
      </c>
      <c r="BO650" s="1062">
        <f>'No Recurrentes 24-26'!CZ71</f>
        <v>2514.3</v>
      </c>
      <c r="BP650" s="1062">
        <f>'No Recurrentes 24-26'!DA71</f>
        <v>0</v>
      </c>
      <c r="BQ650" s="1062">
        <f>'No Recurrentes 24-26'!DB71</f>
        <v>0</v>
      </c>
      <c r="BR650" s="1062">
        <f>'No Recurrentes 24-26'!DC71</f>
        <v>0</v>
      </c>
      <c r="BS650" s="1062">
        <f>'No Recurrentes 24-26'!DD71</f>
        <v>0</v>
      </c>
      <c r="BT650" s="1062">
        <f>'No Recurrentes 24-26'!DE71</f>
        <v>0</v>
      </c>
      <c r="BU650" s="1062">
        <f>'No Recurrentes 24-26'!DF71</f>
        <v>0</v>
      </c>
      <c r="BV650" s="1062">
        <f>'No Recurrentes 24-26'!DG71</f>
        <v>0</v>
      </c>
      <c r="BW650" s="1068"/>
      <c r="BX650" s="1062">
        <f>'No Recurrentes 24-26'!DH71</f>
        <v>2514.3</v>
      </c>
      <c r="BY650" s="1062">
        <f>'No Recurrentes 24-26'!DI71</f>
        <v>0</v>
      </c>
      <c r="BZ650" s="1062">
        <f>'No Recurrentes 24-26'!DJ71</f>
        <v>0</v>
      </c>
      <c r="CA650" s="1062">
        <f>'No Recurrentes 24-26'!DK71</f>
        <v>0</v>
      </c>
      <c r="CB650" s="1062">
        <f>'No Recurrentes 24-26'!DL71</f>
        <v>0</v>
      </c>
      <c r="CC650" s="1062">
        <f>'No Recurrentes 24-26'!DM71</f>
        <v>0</v>
      </c>
      <c r="CD650" s="1062">
        <f>'No Recurrentes 24-26'!DN71</f>
        <v>0</v>
      </c>
      <c r="CE650" s="1062">
        <f>'No Recurrentes 24-26'!DO71</f>
        <v>0</v>
      </c>
      <c r="CF650" s="1062">
        <f>'No Recurrentes 24-26'!DP71</f>
        <v>0</v>
      </c>
      <c r="CG650" s="1062">
        <f>'No Recurrentes 24-26'!DQ71</f>
        <v>0</v>
      </c>
      <c r="CH650" s="1062">
        <f>'No Recurrentes 24-26'!DR71</f>
        <v>0</v>
      </c>
      <c r="CI650" s="1068"/>
      <c r="CJ650" s="1062">
        <f>'No Recurrentes 24-26'!DS71</f>
        <v>0</v>
      </c>
      <c r="CK650" s="1062">
        <f>'No Recurrentes 24-26'!DT71</f>
        <v>5028.6</v>
      </c>
      <c r="CL650" s="1064" t="str">
        <f>'No Recurrentes 24-26'!DU71</f>
        <v/>
      </c>
      <c r="CM650" s="1064" t="str">
        <f>'No Recurrentes 24-26'!DV71</f>
        <v>Precio Referencial, Consultar precio</v>
      </c>
      <c r="CN650" s="451" t="str">
        <f>Lubricantes!U20</f>
        <v/>
      </c>
      <c r="CO650" s="451">
        <f>Lubricantes!V20</f>
        <v>1</v>
      </c>
      <c r="CP650" s="451" t="str">
        <f>Lubricantes!W20</f>
        <v/>
      </c>
    </row>
    <row r="651">
      <c r="A651" s="451" t="str">
        <f>'No Recurrentes 24-26'!A155</f>
        <v>Repuestos Electromecánicos no recurrentes</v>
      </c>
      <c r="B651" s="451" t="str">
        <f>'No Recurrentes 24-26'!B155</f>
        <v/>
      </c>
      <c r="C651" s="451" t="str">
        <f>'No Recurrentes 24-26'!C155</f>
        <v>Vehiculo</v>
      </c>
      <c r="D651" s="451" t="str">
        <f>'No Recurrentes 24-26'!D155</f>
        <v>Manto. gral. Cabina</v>
      </c>
      <c r="E651" s="451" t="str">
        <f>'No Recurrentes 24-26'!E155</f>
        <v>Insumo mecánico</v>
      </c>
      <c r="F651" s="451" t="str">
        <f>'No Recurrentes 24-26'!F155</f>
        <v>LOCAL</v>
      </c>
      <c r="G651" s="1061" t="str">
        <f>'No Recurrentes 24-26'!G155</f>
        <v>39800</v>
      </c>
      <c r="H651" s="1061" t="str">
        <f>'No Recurrentes 24-26'!H155</f>
        <v>2-01-00225</v>
      </c>
      <c r="I651" s="1061">
        <f>'No Recurrentes 24-26'!I155</f>
        <v>10765440</v>
      </c>
      <c r="J651" s="1061" t="str">
        <f>'No Recurrentes 24-26'!J155</f>
        <v>ROLDANA PARA APERTURA A/C MODELO E DIÁMETRO 65 A 30</v>
      </c>
      <c r="K651" s="451" t="str">
        <f>'No Recurrentes 24-26'!K155</f>
        <v>Pza</v>
      </c>
      <c r="L651" s="451">
        <f>'No Recurrentes 24-26'!BC155</f>
        <v>60</v>
      </c>
      <c r="M651" s="451">
        <f>'No Recurrentes 24-26'!BD155</f>
        <v>15</v>
      </c>
      <c r="N651" s="451">
        <f>'No Recurrentes 24-26'!BE155</f>
        <v>100</v>
      </c>
      <c r="O651" s="451" t="str">
        <f>'No Recurrentes 24-26'!BF155</f>
        <v/>
      </c>
      <c r="P651" s="451" t="str">
        <f>'No Recurrentes 24-26'!BG155</f>
        <v/>
      </c>
      <c r="Q651" s="451" t="str">
        <f>'No Recurrentes 24-26'!BH155</f>
        <v/>
      </c>
      <c r="R651" s="451">
        <f>'No Recurrentes 24-26'!BI155</f>
        <v>10</v>
      </c>
      <c r="S651" s="451">
        <f>'No Recurrentes 24-26'!BJ155</f>
        <v>5</v>
      </c>
      <c r="T651" s="451">
        <f>'No Recurrentes 24-26'!BK155</f>
        <v>8</v>
      </c>
      <c r="U651" s="451">
        <f>'No Recurrentes 24-26'!BL155</f>
        <v>0</v>
      </c>
      <c r="V651" s="1068"/>
      <c r="W651" s="1062">
        <f>'No Recurrentes 24-26'!BM155</f>
        <v>198</v>
      </c>
      <c r="X651" s="1062" t="str">
        <f>'No Recurrentes 24-26'!BN155</f>
        <v/>
      </c>
      <c r="Y651" s="1062" t="str">
        <f>'No Recurrentes 24-26'!BO155</f>
        <v/>
      </c>
      <c r="Z651" s="1062" t="str">
        <f>'No Recurrentes 24-26'!BP155</f>
        <v/>
      </c>
      <c r="AA651" s="1062" t="str">
        <f>'No Recurrentes 24-26'!BQ155</f>
        <v/>
      </c>
      <c r="AB651" s="1062" t="str">
        <f>'No Recurrentes 24-26'!BR155</f>
        <v/>
      </c>
      <c r="AC651" s="1062" t="str">
        <f>'No Recurrentes 24-26'!BS155</f>
        <v/>
      </c>
      <c r="AD651" s="1062">
        <f>'No Recurrentes 24-26'!BT155</f>
        <v>10</v>
      </c>
      <c r="AE651" s="1062" t="str">
        <f>'No Recurrentes 24-26'!BU155</f>
        <v/>
      </c>
      <c r="AF651" s="1062">
        <f>'No Recurrentes 24-26'!BV155</f>
        <v>8</v>
      </c>
      <c r="AG651" s="1062" t="str">
        <f>'No Recurrentes 24-26'!BW155</f>
        <v/>
      </c>
      <c r="AH651" s="1068"/>
      <c r="AI651" s="1062">
        <f>'No Recurrentes 24-26'!BX155</f>
        <v>18</v>
      </c>
      <c r="AJ651" s="1062">
        <f>'No Recurrentes 24-26'!BY155</f>
        <v>60</v>
      </c>
      <c r="AK651" s="1062">
        <f>'No Recurrentes 24-26'!BZ155</f>
        <v>15</v>
      </c>
      <c r="AL651" s="1062">
        <f>'No Recurrentes 24-26'!CA155</f>
        <v>50</v>
      </c>
      <c r="AM651" s="1062">
        <f>'No Recurrentes 24-26'!CB155</f>
        <v>0</v>
      </c>
      <c r="AN651" s="1062">
        <f>'No Recurrentes 24-26'!CC155</f>
        <v>0</v>
      </c>
      <c r="AO651" s="1062">
        <f>'No Recurrentes 24-26'!CD155</f>
        <v>0</v>
      </c>
      <c r="AP651" s="1062">
        <f>'No Recurrentes 24-26'!CE155</f>
        <v>0</v>
      </c>
      <c r="AQ651" s="1062">
        <f>'No Recurrentes 24-26'!CF155</f>
        <v>5</v>
      </c>
      <c r="AR651" s="1062">
        <f>'No Recurrentes 24-26'!CG155</f>
        <v>0</v>
      </c>
      <c r="AS651" s="1062">
        <f>'No Recurrentes 24-26'!CH155</f>
        <v>0</v>
      </c>
      <c r="AT651" s="1068"/>
      <c r="AU651" s="1062">
        <f>'No Recurrentes 24-26'!CI155</f>
        <v>130</v>
      </c>
      <c r="AV651" s="1063">
        <f>'No Recurrentes 24-26'!CJ155</f>
        <v>346</v>
      </c>
      <c r="AW651" s="1068"/>
      <c r="AX651" s="1062" t="str">
        <f>'No Recurrentes 24-26'!CK155</f>
        <v/>
      </c>
      <c r="AY651" s="1062">
        <f>'No Recurrentes 24-26'!CL155</f>
        <v>355.96</v>
      </c>
      <c r="AZ651" s="1068"/>
      <c r="BA651" s="1062">
        <f>'No Recurrentes 24-26'!CM155</f>
        <v>21357.6</v>
      </c>
      <c r="BB651" s="1062">
        <f>'No Recurrentes 24-26'!CN155</f>
        <v>5339.4</v>
      </c>
      <c r="BC651" s="1062">
        <f>'No Recurrentes 24-26'!CO155</f>
        <v>35596</v>
      </c>
      <c r="BD651" s="1062">
        <f>'No Recurrentes 24-26'!CP155</f>
        <v>0</v>
      </c>
      <c r="BE651" s="1062">
        <f>'No Recurrentes 24-26'!CQ155</f>
        <v>0</v>
      </c>
      <c r="BF651" s="1062">
        <f>'No Recurrentes 24-26'!CR155</f>
        <v>0</v>
      </c>
      <c r="BG651" s="1062">
        <f>'No Recurrentes 24-26'!CS155</f>
        <v>3559.6</v>
      </c>
      <c r="BH651" s="1062">
        <f>'No Recurrentes 24-26'!CT155</f>
        <v>1779.8</v>
      </c>
      <c r="BI651" s="1062">
        <f>'No Recurrentes 24-26'!CU155</f>
        <v>2847.68</v>
      </c>
      <c r="BJ651" s="1062">
        <f>'No Recurrentes 24-26'!CV155</f>
        <v>0</v>
      </c>
      <c r="BK651" s="1068"/>
      <c r="BL651" s="1062">
        <f>'No Recurrentes 24-26'!CW155</f>
        <v>70480.08</v>
      </c>
      <c r="BM651" s="1062">
        <f>'No Recurrentes 24-26'!CX155</f>
        <v>0</v>
      </c>
      <c r="BN651" s="1062">
        <f>'No Recurrentes 24-26'!CY155</f>
        <v>0</v>
      </c>
      <c r="BO651" s="1062">
        <f>'No Recurrentes 24-26'!CZ155</f>
        <v>0</v>
      </c>
      <c r="BP651" s="1062">
        <f>'No Recurrentes 24-26'!DA155</f>
        <v>0</v>
      </c>
      <c r="BQ651" s="1062">
        <f>'No Recurrentes 24-26'!DB155</f>
        <v>0</v>
      </c>
      <c r="BR651" s="1062">
        <f>'No Recurrentes 24-26'!DC155</f>
        <v>0</v>
      </c>
      <c r="BS651" s="1062">
        <f>'No Recurrentes 24-26'!DD155</f>
        <v>3559.6</v>
      </c>
      <c r="BT651" s="1062">
        <f>'No Recurrentes 24-26'!DE155</f>
        <v>0</v>
      </c>
      <c r="BU651" s="1062">
        <f>'No Recurrentes 24-26'!DF155</f>
        <v>2847.68</v>
      </c>
      <c r="BV651" s="1062">
        <f>'No Recurrentes 24-26'!DG155</f>
        <v>0</v>
      </c>
      <c r="BW651" s="1068"/>
      <c r="BX651" s="1062">
        <f>'No Recurrentes 24-26'!DH155</f>
        <v>6407.28</v>
      </c>
      <c r="BY651" s="1062">
        <f>'No Recurrentes 24-26'!DI155</f>
        <v>21357.6</v>
      </c>
      <c r="BZ651" s="1062">
        <f>'No Recurrentes 24-26'!DJ155</f>
        <v>5339.4</v>
      </c>
      <c r="CA651" s="1062">
        <f>'No Recurrentes 24-26'!DK155</f>
        <v>17798</v>
      </c>
      <c r="CB651" s="1062">
        <f>'No Recurrentes 24-26'!DL155</f>
        <v>0</v>
      </c>
      <c r="CC651" s="1062">
        <f>'No Recurrentes 24-26'!DM155</f>
        <v>0</v>
      </c>
      <c r="CD651" s="1062">
        <f>'No Recurrentes 24-26'!DN155</f>
        <v>0</v>
      </c>
      <c r="CE651" s="1062">
        <f>'No Recurrentes 24-26'!DO155</f>
        <v>0</v>
      </c>
      <c r="CF651" s="1062">
        <f>'No Recurrentes 24-26'!DP155</f>
        <v>1779.8</v>
      </c>
      <c r="CG651" s="1062">
        <f>'No Recurrentes 24-26'!DQ155</f>
        <v>0</v>
      </c>
      <c r="CH651" s="1062">
        <f>'No Recurrentes 24-26'!DR155</f>
        <v>0</v>
      </c>
      <c r="CI651" s="1068"/>
      <c r="CJ651" s="1062">
        <f>'No Recurrentes 24-26'!DS155</f>
        <v>46274.8</v>
      </c>
      <c r="CK651" s="1062">
        <f>'No Recurrentes 24-26'!DT155</f>
        <v>123162.16</v>
      </c>
      <c r="CL651" s="1064" t="str">
        <f>'No Recurrentes 24-26'!DU155</f>
        <v>Se cambia a compra local, Se maneja el mismo precio estimado</v>
      </c>
      <c r="CM651" s="1064" t="str">
        <f>'No Recurrentes 24-26'!DV155</f>
        <v/>
      </c>
      <c r="CN651" s="451" t="str">
        <f>Lubricantes!U21</f>
        <v/>
      </c>
      <c r="CO651" s="451">
        <f>Lubricantes!V21</f>
        <v>1</v>
      </c>
      <c r="CP651" s="451" t="str">
        <f>Lubricantes!W21</f>
        <v/>
      </c>
    </row>
    <row r="652">
      <c r="A652" s="451" t="str">
        <f>'No Recurrentes 24-26'!A164</f>
        <v>Repuestos Electromecánicos no recurrentes</v>
      </c>
      <c r="B652" s="451" t="str">
        <f>'No Recurrentes 24-26'!B164</f>
        <v/>
      </c>
      <c r="C652" s="451" t="str">
        <f>'No Recurrentes 24-26'!C164</f>
        <v>Vehiculo</v>
      </c>
      <c r="D652" s="451" t="str">
        <f>'No Recurrentes 24-26'!D164</f>
        <v>Manto. gral. Cabina</v>
      </c>
      <c r="E652" s="451" t="str">
        <f>'No Recurrentes 24-26'!E164</f>
        <v>Insumo mecánico</v>
      </c>
      <c r="F652" s="451" t="str">
        <f>'No Recurrentes 24-26'!F164</f>
        <v>LOCAL</v>
      </c>
      <c r="G652" s="1061" t="str">
        <f>'No Recurrentes 24-26'!G164</f>
        <v>39800</v>
      </c>
      <c r="H652" s="1061" t="str">
        <f>'No Recurrentes 24-26'!H164</f>
        <v>2-01-00654</v>
      </c>
      <c r="I652" s="1061" t="str">
        <f>'No Recurrentes 24-26'!I164</f>
        <v/>
      </c>
      <c r="J652" s="1061" t="str">
        <f>'No Recurrentes 24-26'!J164</f>
        <v>TOPE GUIA PARA INSERTO DE CABINA 22.2MM X 17.7MM</v>
      </c>
      <c r="K652" s="451" t="str">
        <f>'No Recurrentes 24-26'!K164</f>
        <v>Pza</v>
      </c>
      <c r="L652" s="451">
        <f>'No Recurrentes 24-26'!BC164</f>
        <v>50</v>
      </c>
      <c r="M652" s="451">
        <f>'No Recurrentes 24-26'!BD164</f>
        <v>20</v>
      </c>
      <c r="N652" s="451">
        <f>'No Recurrentes 24-26'!BE164</f>
        <v>40</v>
      </c>
      <c r="O652" s="451">
        <f>'No Recurrentes 24-26'!BF164</f>
        <v>110</v>
      </c>
      <c r="P652" s="451">
        <f>'No Recurrentes 24-26'!BG164</f>
        <v>126</v>
      </c>
      <c r="Q652" s="451">
        <f>'No Recurrentes 24-26'!BH164</f>
        <v>208</v>
      </c>
      <c r="R652" s="451" t="str">
        <f>'No Recurrentes 24-26'!BI164</f>
        <v/>
      </c>
      <c r="S652" s="451" t="str">
        <f>'No Recurrentes 24-26'!BJ164</f>
        <v/>
      </c>
      <c r="T652" s="451" t="str">
        <f>'No Recurrentes 24-26'!BK164</f>
        <v/>
      </c>
      <c r="U652" s="451" t="str">
        <f>'No Recurrentes 24-26'!BL164</f>
        <v/>
      </c>
      <c r="V652" s="1068"/>
      <c r="W652" s="1062">
        <f>'No Recurrentes 24-26'!BM164</f>
        <v>554</v>
      </c>
      <c r="X652" s="1062" t="str">
        <f>'No Recurrentes 24-26'!BN164</f>
        <v/>
      </c>
      <c r="Y652" s="1062" t="str">
        <f>'No Recurrentes 24-26'!BO164</f>
        <v/>
      </c>
      <c r="Z652" s="1062" t="str">
        <f>'No Recurrentes 24-26'!BP164</f>
        <v/>
      </c>
      <c r="AA652" s="1062" t="str">
        <f>'No Recurrentes 24-26'!BQ164</f>
        <v/>
      </c>
      <c r="AB652" s="1062" t="str">
        <f>'No Recurrentes 24-26'!BR164</f>
        <v/>
      </c>
      <c r="AC652" s="1062" t="str">
        <f>'No Recurrentes 24-26'!BS164</f>
        <v/>
      </c>
      <c r="AD652" s="1062" t="str">
        <f>'No Recurrentes 24-26'!BT164</f>
        <v/>
      </c>
      <c r="AE652" s="1062">
        <f>'No Recurrentes 24-26'!BU164</f>
        <v>20</v>
      </c>
      <c r="AF652" s="1062" t="str">
        <f>'No Recurrentes 24-26'!BV164</f>
        <v/>
      </c>
      <c r="AG652" s="1062" t="str">
        <f>'No Recurrentes 24-26'!BW164</f>
        <v/>
      </c>
      <c r="AH652" s="1068"/>
      <c r="AI652" s="1062">
        <f>'No Recurrentes 24-26'!BX164</f>
        <v>20</v>
      </c>
      <c r="AJ652" s="1062">
        <f>'No Recurrentes 24-26'!BY164</f>
        <v>0</v>
      </c>
      <c r="AK652" s="1062">
        <f>'No Recurrentes 24-26'!BZ164</f>
        <v>0</v>
      </c>
      <c r="AL652" s="1062">
        <f>'No Recurrentes 24-26'!CA164</f>
        <v>0</v>
      </c>
      <c r="AM652" s="1062">
        <f>'No Recurrentes 24-26'!CB164</f>
        <v>0</v>
      </c>
      <c r="AN652" s="1062">
        <f>'No Recurrentes 24-26'!CC164</f>
        <v>0</v>
      </c>
      <c r="AO652" s="1062">
        <f>'No Recurrentes 24-26'!CD164</f>
        <v>0</v>
      </c>
      <c r="AP652" s="1062">
        <f>'No Recurrentes 24-26'!CE164</f>
        <v>0</v>
      </c>
      <c r="AQ652" s="1062">
        <f>'No Recurrentes 24-26'!CF164</f>
        <v>0</v>
      </c>
      <c r="AR652" s="1062">
        <f>'No Recurrentes 24-26'!CG164</f>
        <v>0</v>
      </c>
      <c r="AS652" s="1062">
        <f>'No Recurrentes 24-26'!CH164</f>
        <v>0</v>
      </c>
      <c r="AT652" s="1068"/>
      <c r="AU652" s="1062">
        <f>'No Recurrentes 24-26'!CI164</f>
        <v>0</v>
      </c>
      <c r="AV652" s="1063">
        <f>'No Recurrentes 24-26'!CJ164</f>
        <v>574</v>
      </c>
      <c r="AW652" s="1068"/>
      <c r="AX652" s="1062" t="str">
        <f>'No Recurrentes 24-26'!CK164</f>
        <v/>
      </c>
      <c r="AY652" s="1062">
        <f>'No Recurrentes 24-26'!CL164</f>
        <v>10.6</v>
      </c>
      <c r="AZ652" s="1068"/>
      <c r="BA652" s="1062">
        <f>'No Recurrentes 24-26'!CM164</f>
        <v>530</v>
      </c>
      <c r="BB652" s="1062">
        <f>'No Recurrentes 24-26'!CN164</f>
        <v>212</v>
      </c>
      <c r="BC652" s="1062">
        <f>'No Recurrentes 24-26'!CO164</f>
        <v>424</v>
      </c>
      <c r="BD652" s="1062">
        <f>'No Recurrentes 24-26'!CP164</f>
        <v>1166</v>
      </c>
      <c r="BE652" s="1062">
        <f>'No Recurrentes 24-26'!CQ164</f>
        <v>1335.6</v>
      </c>
      <c r="BF652" s="1062">
        <f>'No Recurrentes 24-26'!CR164</f>
        <v>2204.8</v>
      </c>
      <c r="BG652" s="1062">
        <f>'No Recurrentes 24-26'!CS164</f>
        <v>0</v>
      </c>
      <c r="BH652" s="1062">
        <f>'No Recurrentes 24-26'!CT164</f>
        <v>0</v>
      </c>
      <c r="BI652" s="1062">
        <f>'No Recurrentes 24-26'!CU164</f>
        <v>0</v>
      </c>
      <c r="BJ652" s="1062">
        <f>'No Recurrentes 24-26'!CV164</f>
        <v>0</v>
      </c>
      <c r="BK652" s="1068"/>
      <c r="BL652" s="1062">
        <f>'No Recurrentes 24-26'!CW164</f>
        <v>5872.4</v>
      </c>
      <c r="BM652" s="1062">
        <f>'No Recurrentes 24-26'!CX164</f>
        <v>0</v>
      </c>
      <c r="BN652" s="1062">
        <f>'No Recurrentes 24-26'!CY164</f>
        <v>0</v>
      </c>
      <c r="BO652" s="1062">
        <f>'No Recurrentes 24-26'!CZ164</f>
        <v>0</v>
      </c>
      <c r="BP652" s="1062">
        <f>'No Recurrentes 24-26'!DA164</f>
        <v>0</v>
      </c>
      <c r="BQ652" s="1062">
        <f>'No Recurrentes 24-26'!DB164</f>
        <v>0</v>
      </c>
      <c r="BR652" s="1062">
        <f>'No Recurrentes 24-26'!DC164</f>
        <v>0</v>
      </c>
      <c r="BS652" s="1062">
        <f>'No Recurrentes 24-26'!DD164</f>
        <v>0</v>
      </c>
      <c r="BT652" s="1062">
        <f>'No Recurrentes 24-26'!DE164</f>
        <v>212</v>
      </c>
      <c r="BU652" s="1062">
        <f>'No Recurrentes 24-26'!DF164</f>
        <v>0</v>
      </c>
      <c r="BV652" s="1062">
        <f>'No Recurrentes 24-26'!DG164</f>
        <v>0</v>
      </c>
      <c r="BW652" s="1068"/>
      <c r="BX652" s="1062">
        <f>'No Recurrentes 24-26'!DH164</f>
        <v>212</v>
      </c>
      <c r="BY652" s="1062">
        <f>'No Recurrentes 24-26'!DI164</f>
        <v>0</v>
      </c>
      <c r="BZ652" s="1062">
        <f>'No Recurrentes 24-26'!DJ164</f>
        <v>0</v>
      </c>
      <c r="CA652" s="1062">
        <f>'No Recurrentes 24-26'!DK164</f>
        <v>0</v>
      </c>
      <c r="CB652" s="1062">
        <f>'No Recurrentes 24-26'!DL164</f>
        <v>0</v>
      </c>
      <c r="CC652" s="1062">
        <f>'No Recurrentes 24-26'!DM164</f>
        <v>0</v>
      </c>
      <c r="CD652" s="1062">
        <f>'No Recurrentes 24-26'!DN164</f>
        <v>0</v>
      </c>
      <c r="CE652" s="1062">
        <f>'No Recurrentes 24-26'!DO164</f>
        <v>0</v>
      </c>
      <c r="CF652" s="1062">
        <f>'No Recurrentes 24-26'!DP164</f>
        <v>0</v>
      </c>
      <c r="CG652" s="1062">
        <f>'No Recurrentes 24-26'!DQ164</f>
        <v>0</v>
      </c>
      <c r="CH652" s="1062">
        <f>'No Recurrentes 24-26'!DR164</f>
        <v>0</v>
      </c>
      <c r="CI652" s="1068"/>
      <c r="CJ652" s="1062">
        <f>'No Recurrentes 24-26'!DS164</f>
        <v>0</v>
      </c>
      <c r="CK652" s="1062">
        <f>'No Recurrentes 24-26'!DT164</f>
        <v>6084.4</v>
      </c>
      <c r="CL652" s="1064" t="str">
        <f>'No Recurrentes 24-26'!DU164</f>
        <v/>
      </c>
      <c r="CM652" s="1064" t="str">
        <f>'No Recurrentes 24-26'!DV164</f>
        <v>Precio referencial</v>
      </c>
      <c r="CN652" s="1062">
        <f>Lubricantes!U22</f>
        <v>1053.05</v>
      </c>
      <c r="CO652" s="451">
        <f>Lubricantes!V22</f>
        <v>1</v>
      </c>
      <c r="CP652" s="451" t="str">
        <f>Lubricantes!W22</f>
        <v/>
      </c>
    </row>
    <row r="653">
      <c r="A653" s="451" t="str">
        <f>'No Recurrentes 24-26'!A166</f>
        <v>Repuestos Electromecánicos no recurrentes</v>
      </c>
      <c r="B653" s="451" t="str">
        <f>'No Recurrentes 24-26'!B166</f>
        <v/>
      </c>
      <c r="C653" s="451" t="str">
        <f>'No Recurrentes 24-26'!C166</f>
        <v>Vehiculo</v>
      </c>
      <c r="D653" s="451" t="str">
        <f>'No Recurrentes 24-26'!D166</f>
        <v>Manto. gral. Cabina</v>
      </c>
      <c r="E653" s="451" t="str">
        <f>'No Recurrentes 24-26'!E166</f>
        <v>Repuesto Eléctrico</v>
      </c>
      <c r="F653" s="451" t="str">
        <f>'No Recurrentes 24-26'!F166</f>
        <v>LOCAL</v>
      </c>
      <c r="G653" s="1061" t="str">
        <f>'No Recurrentes 24-26'!G166</f>
        <v>39700</v>
      </c>
      <c r="H653" s="1061" t="str">
        <f>'No Recurrentes 24-26'!H166</f>
        <v/>
      </c>
      <c r="I653" s="1061" t="str">
        <f>'No Recurrentes 24-26'!I166</f>
        <v/>
      </c>
      <c r="J653" s="1061" t="str">
        <f>'No Recurrentes 24-26'!J166</f>
        <v>Terminales enchufables plano hembra # 8 con aislamiento</v>
      </c>
      <c r="K653" s="451" t="str">
        <f>'No Recurrentes 24-26'!K166</f>
        <v>Pza</v>
      </c>
      <c r="L653" s="451" t="str">
        <f>'No Recurrentes 24-26'!BC166</f>
        <v/>
      </c>
      <c r="M653" s="451" t="str">
        <f>'No Recurrentes 24-26'!BD166</f>
        <v/>
      </c>
      <c r="N653" s="451" t="str">
        <f>'No Recurrentes 24-26'!BE166</f>
        <v/>
      </c>
      <c r="O653" s="451" t="str">
        <f>'No Recurrentes 24-26'!BF166</f>
        <v/>
      </c>
      <c r="P653" s="451" t="str">
        <f>'No Recurrentes 24-26'!BG166</f>
        <v/>
      </c>
      <c r="Q653" s="451" t="str">
        <f>'No Recurrentes 24-26'!BH166</f>
        <v/>
      </c>
      <c r="R653" s="451" t="str">
        <f>'No Recurrentes 24-26'!BI166</f>
        <v/>
      </c>
      <c r="S653" s="451" t="str">
        <f>'No Recurrentes 24-26'!BJ166</f>
        <v/>
      </c>
      <c r="T653" s="451" t="str">
        <f>'No Recurrentes 24-26'!BK166</f>
        <v/>
      </c>
      <c r="U653" s="451">
        <f>'No Recurrentes 24-26'!BL166</f>
        <v>200</v>
      </c>
      <c r="V653" s="1068"/>
      <c r="W653" s="1062">
        <f>'No Recurrentes 24-26'!BM166</f>
        <v>200</v>
      </c>
      <c r="X653" s="1062" t="str">
        <f>'No Recurrentes 24-26'!BN166</f>
        <v/>
      </c>
      <c r="Y653" s="1062" t="str">
        <f>'No Recurrentes 24-26'!BO166</f>
        <v/>
      </c>
      <c r="Z653" s="1062" t="str">
        <f>'No Recurrentes 24-26'!BP166</f>
        <v/>
      </c>
      <c r="AA653" s="1062" t="str">
        <f>'No Recurrentes 24-26'!BQ166</f>
        <v/>
      </c>
      <c r="AB653" s="1062" t="str">
        <f>'No Recurrentes 24-26'!BR166</f>
        <v/>
      </c>
      <c r="AC653" s="1062" t="str">
        <f>'No Recurrentes 24-26'!BS166</f>
        <v/>
      </c>
      <c r="AD653" s="1062" t="str">
        <f>'No Recurrentes 24-26'!BT166</f>
        <v/>
      </c>
      <c r="AE653" s="1062" t="str">
        <f>'No Recurrentes 24-26'!BU166</f>
        <v/>
      </c>
      <c r="AF653" s="1062" t="str">
        <f>'No Recurrentes 24-26'!BV166</f>
        <v/>
      </c>
      <c r="AG653" s="1062" t="str">
        <f>'No Recurrentes 24-26'!BW166</f>
        <v/>
      </c>
      <c r="AH653" s="1068"/>
      <c r="AI653" s="1062">
        <f>'No Recurrentes 24-26'!BX166</f>
        <v>0</v>
      </c>
      <c r="AJ653" s="1062">
        <f>'No Recurrentes 24-26'!BY166</f>
        <v>0</v>
      </c>
      <c r="AK653" s="1062">
        <f>'No Recurrentes 24-26'!BZ166</f>
        <v>0</v>
      </c>
      <c r="AL653" s="1062">
        <f>'No Recurrentes 24-26'!CA166</f>
        <v>0</v>
      </c>
      <c r="AM653" s="1062">
        <f>'No Recurrentes 24-26'!CB166</f>
        <v>0</v>
      </c>
      <c r="AN653" s="1062">
        <f>'No Recurrentes 24-26'!CC166</f>
        <v>0</v>
      </c>
      <c r="AO653" s="1062">
        <f>'No Recurrentes 24-26'!CD166</f>
        <v>0</v>
      </c>
      <c r="AP653" s="1062">
        <f>'No Recurrentes 24-26'!CE166</f>
        <v>0</v>
      </c>
      <c r="AQ653" s="1062">
        <f>'No Recurrentes 24-26'!CF166</f>
        <v>0</v>
      </c>
      <c r="AR653" s="1062">
        <f>'No Recurrentes 24-26'!CG166</f>
        <v>0</v>
      </c>
      <c r="AS653" s="1062">
        <f>'No Recurrentes 24-26'!CH166</f>
        <v>0</v>
      </c>
      <c r="AT653" s="1068"/>
      <c r="AU653" s="1062">
        <f>'No Recurrentes 24-26'!CI166</f>
        <v>0</v>
      </c>
      <c r="AV653" s="1063">
        <f>'No Recurrentes 24-26'!CJ166</f>
        <v>200</v>
      </c>
      <c r="AW653" s="1068"/>
      <c r="AX653" s="1062" t="str">
        <f>'No Recurrentes 24-26'!CK166</f>
        <v/>
      </c>
      <c r="AY653" s="1062">
        <f>'No Recurrentes 24-26'!CL166</f>
        <v>2</v>
      </c>
      <c r="AZ653" s="1068"/>
      <c r="BA653" s="1062">
        <f>'No Recurrentes 24-26'!CM166</f>
        <v>0</v>
      </c>
      <c r="BB653" s="1062">
        <f>'No Recurrentes 24-26'!CN166</f>
        <v>0</v>
      </c>
      <c r="BC653" s="1062">
        <f>'No Recurrentes 24-26'!CO166</f>
        <v>0</v>
      </c>
      <c r="BD653" s="1062">
        <f>'No Recurrentes 24-26'!CP166</f>
        <v>0</v>
      </c>
      <c r="BE653" s="1062">
        <f>'No Recurrentes 24-26'!CQ166</f>
        <v>0</v>
      </c>
      <c r="BF653" s="1062">
        <f>'No Recurrentes 24-26'!CR166</f>
        <v>0</v>
      </c>
      <c r="BG653" s="1062">
        <f>'No Recurrentes 24-26'!CS166</f>
        <v>0</v>
      </c>
      <c r="BH653" s="1062">
        <f>'No Recurrentes 24-26'!CT166</f>
        <v>0</v>
      </c>
      <c r="BI653" s="1062">
        <f>'No Recurrentes 24-26'!CU166</f>
        <v>0</v>
      </c>
      <c r="BJ653" s="1062">
        <f>'No Recurrentes 24-26'!CV166</f>
        <v>400</v>
      </c>
      <c r="BK653" s="1068"/>
      <c r="BL653" s="1062">
        <f>'No Recurrentes 24-26'!CW166</f>
        <v>400</v>
      </c>
      <c r="BM653" s="1062">
        <f>'No Recurrentes 24-26'!CX166</f>
        <v>0</v>
      </c>
      <c r="BN653" s="1062">
        <f>'No Recurrentes 24-26'!CY166</f>
        <v>0</v>
      </c>
      <c r="BO653" s="1062">
        <f>'No Recurrentes 24-26'!CZ166</f>
        <v>0</v>
      </c>
      <c r="BP653" s="1062">
        <f>'No Recurrentes 24-26'!DA166</f>
        <v>0</v>
      </c>
      <c r="BQ653" s="1062">
        <f>'No Recurrentes 24-26'!DB166</f>
        <v>0</v>
      </c>
      <c r="BR653" s="1062">
        <f>'No Recurrentes 24-26'!DC166</f>
        <v>0</v>
      </c>
      <c r="BS653" s="1062">
        <f>'No Recurrentes 24-26'!DD166</f>
        <v>0</v>
      </c>
      <c r="BT653" s="1062">
        <f>'No Recurrentes 24-26'!DE166</f>
        <v>0</v>
      </c>
      <c r="BU653" s="1062">
        <f>'No Recurrentes 24-26'!DF166</f>
        <v>0</v>
      </c>
      <c r="BV653" s="1062">
        <f>'No Recurrentes 24-26'!DG166</f>
        <v>0</v>
      </c>
      <c r="BW653" s="1068"/>
      <c r="BX653" s="1062">
        <f>'No Recurrentes 24-26'!DH166</f>
        <v>0</v>
      </c>
      <c r="BY653" s="1062">
        <f>'No Recurrentes 24-26'!DI166</f>
        <v>0</v>
      </c>
      <c r="BZ653" s="1062">
        <f>'No Recurrentes 24-26'!DJ166</f>
        <v>0</v>
      </c>
      <c r="CA653" s="1062">
        <f>'No Recurrentes 24-26'!DK166</f>
        <v>0</v>
      </c>
      <c r="CB653" s="1062">
        <f>'No Recurrentes 24-26'!DL166</f>
        <v>0</v>
      </c>
      <c r="CC653" s="1062">
        <f>'No Recurrentes 24-26'!DM166</f>
        <v>0</v>
      </c>
      <c r="CD653" s="1062">
        <f>'No Recurrentes 24-26'!DN166</f>
        <v>0</v>
      </c>
      <c r="CE653" s="1062">
        <f>'No Recurrentes 24-26'!DO166</f>
        <v>0</v>
      </c>
      <c r="CF653" s="1062">
        <f>'No Recurrentes 24-26'!DP166</f>
        <v>0</v>
      </c>
      <c r="CG653" s="1062">
        <f>'No Recurrentes 24-26'!DQ166</f>
        <v>0</v>
      </c>
      <c r="CH653" s="1062">
        <f>'No Recurrentes 24-26'!DR166</f>
        <v>0</v>
      </c>
      <c r="CI653" s="1068"/>
      <c r="CJ653" s="1062">
        <f>'No Recurrentes 24-26'!DS166</f>
        <v>0</v>
      </c>
      <c r="CK653" s="1062">
        <f>'No Recurrentes 24-26'!DT166</f>
        <v>400</v>
      </c>
      <c r="CL653" s="1064" t="str">
        <f>'No Recurrentes 24-26'!DU166</f>
        <v/>
      </c>
      <c r="CM653" s="1064" t="str">
        <f>'No Recurrentes 24-26'!DV166</f>
        <v>No existe cotizacion</v>
      </c>
      <c r="CN653" s="1062">
        <f>Lubricantes!U23</f>
        <v>9446.55</v>
      </c>
      <c r="CO653" s="451">
        <f>Lubricantes!V23</f>
        <v>1</v>
      </c>
      <c r="CP653" s="451">
        <f>Lubricantes!W23</f>
        <v>1</v>
      </c>
    </row>
    <row r="654">
      <c r="A654" s="451"/>
      <c r="B654" s="451"/>
      <c r="C654" s="451"/>
      <c r="D654" s="451"/>
      <c r="E654" s="451"/>
      <c r="F654" s="451"/>
      <c r="G654" s="1025"/>
      <c r="H654" s="451"/>
      <c r="I654" s="1061"/>
      <c r="J654" s="1061"/>
      <c r="K654" s="1068"/>
      <c r="L654" s="1068"/>
      <c r="M654" s="1068"/>
      <c r="N654" s="1068"/>
      <c r="O654" s="1068"/>
      <c r="P654" s="1068"/>
      <c r="Q654" s="1068"/>
      <c r="R654" s="1068"/>
      <c r="S654" s="1068"/>
      <c r="T654" s="1068"/>
      <c r="U654" s="451"/>
      <c r="V654" s="1068"/>
      <c r="W654" s="451"/>
      <c r="X654" s="1068"/>
      <c r="Y654" s="1068"/>
      <c r="Z654" s="1068"/>
      <c r="AA654" s="1068"/>
      <c r="AB654" s="1068"/>
      <c r="AC654" s="1068"/>
      <c r="AD654" s="1068"/>
      <c r="AE654" s="1068"/>
      <c r="AF654" s="1068"/>
      <c r="AG654" s="451"/>
      <c r="AH654" s="451"/>
      <c r="AI654" s="451"/>
      <c r="AJ654" s="1068"/>
      <c r="AK654" s="1068"/>
      <c r="AL654" s="1068"/>
      <c r="AM654" s="1068"/>
      <c r="AN654" s="1068"/>
      <c r="AO654" s="1068"/>
      <c r="AP654" s="1068"/>
      <c r="AQ654" s="1068"/>
      <c r="AR654" s="451"/>
      <c r="AS654" s="451"/>
      <c r="AT654" s="451"/>
      <c r="AU654" s="451"/>
      <c r="AV654" s="1063"/>
      <c r="AW654" s="1068"/>
      <c r="AX654" s="1068"/>
      <c r="AY654" s="451"/>
      <c r="AZ654" s="1068"/>
      <c r="BA654" s="1068"/>
      <c r="BB654" s="1068"/>
      <c r="BC654" s="1068"/>
      <c r="BD654" s="451"/>
      <c r="BE654" s="451"/>
      <c r="BF654" s="451"/>
      <c r="BG654" s="451"/>
      <c r="BH654" s="451"/>
      <c r="BI654" s="451"/>
      <c r="BJ654" s="451"/>
      <c r="BK654" s="451"/>
      <c r="BL654" s="451"/>
      <c r="BM654" s="1068"/>
      <c r="BN654" s="1068"/>
      <c r="BO654" s="1068"/>
      <c r="BP654" s="1068"/>
      <c r="BQ654" s="1068"/>
      <c r="BR654" s="1068"/>
      <c r="BS654" s="1068"/>
      <c r="BT654" s="451"/>
      <c r="BU654" s="451"/>
      <c r="BV654" s="451"/>
      <c r="BW654" s="451"/>
      <c r="BX654" s="451"/>
      <c r="BY654" s="1068"/>
      <c r="BZ654" s="1068"/>
      <c r="CA654" s="1068"/>
      <c r="CB654" s="1068"/>
      <c r="CC654" s="451"/>
      <c r="CD654" s="451"/>
      <c r="CE654" s="451"/>
      <c r="CF654" s="451"/>
      <c r="CG654" s="451"/>
      <c r="CH654" s="451"/>
      <c r="CI654" s="451"/>
      <c r="CJ654" s="451"/>
      <c r="CK654" s="451"/>
      <c r="CL654" s="451"/>
      <c r="CM654" s="451"/>
      <c r="CN654" s="451"/>
      <c r="CO654" s="451"/>
      <c r="CP654" s="451"/>
    </row>
  </sheetData>
  <autoFilter ref="$A$1:$CP$654"/>
  <customSheetViews>
    <customSheetView guid="{C0B14D99-5A09-4773-B0A4-8BF91D71F9EE}" filter="1" showAutoFilter="1">
      <autoFilter ref="$A$1:$CM$654"/>
    </customSheetView>
    <customSheetView guid="{C0B14D99-5A09-4773-B0A4-8BF91D71F9EE}" filter="1" showAutoFilter="1">
      <autoFilter ref="$A$1:$CM$654"/>
    </customSheetView>
  </customSheetViews>
  <conditionalFormatting sqref="B2:B654">
    <cfRule type="expression" dxfId="1" priority="1">
      <formula>AND(ISBLANK(B2),W2&gt;0)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8.57"/>
    <col customWidth="1" min="2" max="3" width="13.71"/>
    <col customWidth="1" min="4" max="4" width="93.29"/>
    <col customWidth="1" min="5" max="5" width="10.0"/>
    <col hidden="1" min="9" max="9" width="14.43"/>
    <col customWidth="1" min="14" max="14" width="33.71"/>
    <col customWidth="1" min="15" max="15" width="18.0"/>
  </cols>
  <sheetData>
    <row r="1" ht="32.25" customHeight="1">
      <c r="A1" s="4" t="str">
        <f>A3</f>
        <v/>
      </c>
      <c r="B1" s="1073" t="str">
        <f>VLOOKUP(A1,Procesos!$A:$W,5)</f>
        <v>#N/A</v>
      </c>
      <c r="C1" s="1073"/>
      <c r="D1" s="10"/>
      <c r="E1" s="4"/>
      <c r="F1" s="4"/>
      <c r="G1" s="14" t="s">
        <v>3722</v>
      </c>
      <c r="H1" s="14">
        <v>6.96</v>
      </c>
      <c r="I1" s="26"/>
      <c r="J1" s="26"/>
      <c r="K1" s="4"/>
      <c r="L1" s="4" t="str">
        <f>L3</f>
        <v/>
      </c>
      <c r="M1" s="1073" t="str">
        <f>VLOOKUP(L1,Procesos!$A:$W,5)</f>
        <v>#N/A</v>
      </c>
      <c r="N1" s="1074"/>
      <c r="O1" s="4"/>
      <c r="P1" s="1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1075" t="s">
        <v>2656</v>
      </c>
      <c r="B2" s="1076" t="s">
        <v>2662</v>
      </c>
      <c r="C2" s="1076" t="s">
        <v>2660</v>
      </c>
      <c r="D2" s="1077" t="s">
        <v>1833</v>
      </c>
      <c r="E2" s="1075" t="s">
        <v>2663</v>
      </c>
      <c r="F2" s="1078" t="s">
        <v>2698</v>
      </c>
      <c r="G2" s="1075" t="s">
        <v>3723</v>
      </c>
      <c r="H2" s="1079" t="s">
        <v>1801</v>
      </c>
      <c r="I2" s="1080" t="s">
        <v>3724</v>
      </c>
      <c r="J2" s="1079"/>
      <c r="K2" s="1075"/>
      <c r="L2" s="1075" t="e">
        <v>#REF!</v>
      </c>
      <c r="M2" s="1075"/>
      <c r="N2" s="1081"/>
      <c r="O2" s="1075"/>
      <c r="P2" s="1082"/>
      <c r="Q2" s="1075"/>
      <c r="R2" s="1075"/>
      <c r="S2" s="1075"/>
      <c r="T2" s="1075"/>
      <c r="U2" s="1075"/>
      <c r="V2" s="1075"/>
      <c r="W2" s="1075"/>
      <c r="X2" s="1075"/>
      <c r="Y2" s="1075"/>
      <c r="Z2" s="1075"/>
      <c r="AA2" s="1075"/>
    </row>
    <row r="3">
      <c r="A3" s="4"/>
      <c r="B3" s="1083"/>
      <c r="C3" s="1083"/>
      <c r="D3" s="1084"/>
      <c r="E3" s="4"/>
      <c r="F3" s="26"/>
      <c r="G3" s="26">
        <v>0.0</v>
      </c>
      <c r="H3" s="104">
        <v>0.0</v>
      </c>
      <c r="I3" s="26">
        <f t="shared" ref="I3:I435" si="1">H3/$H$1</f>
        <v>0</v>
      </c>
      <c r="J3" s="26"/>
      <c r="K3" s="4"/>
      <c r="L3" s="4"/>
      <c r="M3" s="1085"/>
      <c r="N3" s="1074"/>
      <c r="O3" s="4"/>
      <c r="P3" s="1086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4"/>
      <c r="B4" s="1087"/>
      <c r="C4" s="1083" t="s">
        <v>2723</v>
      </c>
      <c r="D4" s="1084" t="s">
        <v>3035</v>
      </c>
      <c r="E4" s="4" t="s">
        <v>25</v>
      </c>
      <c r="F4" s="26">
        <v>0.0</v>
      </c>
      <c r="G4" s="26">
        <v>0.0</v>
      </c>
      <c r="H4" s="104">
        <v>0.0</v>
      </c>
      <c r="I4" s="26">
        <f t="shared" si="1"/>
        <v>0</v>
      </c>
      <c r="J4" s="26"/>
      <c r="K4" s="4"/>
      <c r="L4" s="4"/>
      <c r="M4" s="1085"/>
      <c r="N4" s="1074"/>
      <c r="O4" s="4"/>
      <c r="P4" s="1086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4"/>
      <c r="B5" s="1087"/>
      <c r="C5" s="1087"/>
      <c r="D5" s="1084" t="s">
        <v>3338</v>
      </c>
      <c r="E5" s="4" t="s">
        <v>25</v>
      </c>
      <c r="F5" s="26">
        <v>0.0</v>
      </c>
      <c r="G5" s="26">
        <v>0.0</v>
      </c>
      <c r="H5" s="104">
        <v>0.0</v>
      </c>
      <c r="I5" s="26">
        <f t="shared" si="1"/>
        <v>0</v>
      </c>
      <c r="J5" s="26"/>
      <c r="K5" s="4"/>
      <c r="L5" s="4"/>
      <c r="M5" s="1085"/>
      <c r="N5" s="1074"/>
      <c r="O5" s="4"/>
      <c r="P5" s="1086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4"/>
      <c r="B6" s="1087"/>
      <c r="C6" s="1087"/>
      <c r="D6" s="1084" t="s">
        <v>3439</v>
      </c>
      <c r="E6" s="4" t="s">
        <v>25</v>
      </c>
      <c r="F6" s="26">
        <v>0.0</v>
      </c>
      <c r="G6" s="26">
        <v>0.0</v>
      </c>
      <c r="H6" s="104">
        <v>0.0</v>
      </c>
      <c r="I6" s="26">
        <f t="shared" si="1"/>
        <v>0</v>
      </c>
      <c r="J6" s="26"/>
      <c r="K6" s="4"/>
      <c r="L6" s="4"/>
      <c r="M6" s="1085"/>
      <c r="N6" s="1074"/>
      <c r="O6" s="4"/>
      <c r="P6" s="1086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4"/>
      <c r="B7" s="1087"/>
      <c r="C7" s="1087"/>
      <c r="D7" s="1084" t="s">
        <v>3129</v>
      </c>
      <c r="E7" s="4" t="s">
        <v>25</v>
      </c>
      <c r="F7" s="26">
        <v>2514.3</v>
      </c>
      <c r="G7" s="26">
        <v>0.0</v>
      </c>
      <c r="H7" s="104">
        <v>0.0</v>
      </c>
      <c r="I7" s="26">
        <f t="shared" si="1"/>
        <v>0</v>
      </c>
      <c r="J7" s="26"/>
      <c r="K7" s="4"/>
      <c r="L7" s="4"/>
      <c r="M7" s="1085"/>
      <c r="N7" s="1074"/>
      <c r="O7" s="4"/>
      <c r="P7" s="1086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4"/>
      <c r="B8" s="1087"/>
      <c r="C8" s="1087"/>
      <c r="D8" s="1084" t="s">
        <v>3127</v>
      </c>
      <c r="E8" s="4" t="s">
        <v>25</v>
      </c>
      <c r="F8" s="26">
        <v>2514.3</v>
      </c>
      <c r="G8" s="26">
        <v>1.0</v>
      </c>
      <c r="H8" s="104">
        <v>2514.3</v>
      </c>
      <c r="I8" s="26">
        <f t="shared" si="1"/>
        <v>361.25</v>
      </c>
      <c r="J8" s="26"/>
      <c r="K8" s="4"/>
      <c r="L8" s="4"/>
      <c r="M8" s="1085"/>
      <c r="N8" s="1074"/>
      <c r="O8" s="4"/>
      <c r="P8" s="1086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4"/>
      <c r="B9" s="1087"/>
      <c r="C9" s="1087"/>
      <c r="D9" s="1084" t="s">
        <v>3312</v>
      </c>
      <c r="E9" s="4" t="s">
        <v>25</v>
      </c>
      <c r="F9" s="26">
        <v>2.0</v>
      </c>
      <c r="G9" s="26">
        <v>200.0</v>
      </c>
      <c r="H9" s="104">
        <v>400.0</v>
      </c>
      <c r="I9" s="26">
        <f t="shared" si="1"/>
        <v>57.47126437</v>
      </c>
      <c r="J9" s="26"/>
      <c r="K9" s="4"/>
      <c r="L9" s="4"/>
      <c r="M9" s="1085"/>
      <c r="N9" s="1088"/>
      <c r="O9" s="4"/>
      <c r="P9" s="107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"/>
      <c r="B10" s="1087"/>
      <c r="C10" s="1083" t="s">
        <v>2709</v>
      </c>
      <c r="D10" s="1084" t="s">
        <v>3402</v>
      </c>
      <c r="E10" s="4" t="s">
        <v>25</v>
      </c>
      <c r="F10" s="26">
        <v>0.0</v>
      </c>
      <c r="G10" s="26">
        <v>0.0</v>
      </c>
      <c r="H10" s="104">
        <v>0.0</v>
      </c>
      <c r="I10" s="26">
        <f t="shared" si="1"/>
        <v>0</v>
      </c>
      <c r="J10" s="26"/>
      <c r="K10" s="4"/>
      <c r="L10" s="4"/>
      <c r="M10" s="1085"/>
      <c r="N10" s="1074"/>
      <c r="O10" s="4"/>
      <c r="P10" s="107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1087"/>
      <c r="C11" s="1087"/>
      <c r="D11" s="1084" t="s">
        <v>3331</v>
      </c>
      <c r="E11" s="4" t="s">
        <v>25</v>
      </c>
      <c r="F11" s="26">
        <v>0.0</v>
      </c>
      <c r="G11" s="26">
        <v>0.0</v>
      </c>
      <c r="H11" s="104">
        <v>0.0</v>
      </c>
      <c r="I11" s="26">
        <f t="shared" si="1"/>
        <v>0</v>
      </c>
      <c r="J11" s="26"/>
      <c r="K11" s="4"/>
      <c r="L11" s="4"/>
      <c r="M11" s="1085"/>
      <c r="N11" s="1074"/>
      <c r="O11" s="4"/>
      <c r="P11" s="107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1087"/>
      <c r="C12" s="1087"/>
      <c r="D12" s="1084" t="s">
        <v>3310</v>
      </c>
      <c r="E12" s="4" t="s">
        <v>25</v>
      </c>
      <c r="F12" s="26">
        <v>10.6</v>
      </c>
      <c r="G12" s="26">
        <v>554.0</v>
      </c>
      <c r="H12" s="104">
        <v>5872.4</v>
      </c>
      <c r="I12" s="26">
        <f t="shared" si="1"/>
        <v>843.7356322</v>
      </c>
      <c r="J12" s="26"/>
      <c r="K12" s="4"/>
      <c r="L12" s="1075" t="e">
        <v>#REF!</v>
      </c>
      <c r="M12" s="1075"/>
      <c r="N12" s="1081"/>
      <c r="O12" s="4"/>
      <c r="P12" s="107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1083">
        <v>0.0</v>
      </c>
      <c r="C13" s="1083" t="s">
        <v>2723</v>
      </c>
      <c r="D13" s="1084" t="s">
        <v>3301</v>
      </c>
      <c r="E13" s="4" t="s">
        <v>25</v>
      </c>
      <c r="F13" s="26">
        <v>21325.7605</v>
      </c>
      <c r="G13" s="26">
        <v>0.0</v>
      </c>
      <c r="H13" s="104">
        <v>0.0</v>
      </c>
      <c r="I13" s="26">
        <f t="shared" si="1"/>
        <v>0</v>
      </c>
      <c r="J13" s="26"/>
      <c r="K13" s="4"/>
      <c r="L13" s="4"/>
      <c r="M13" s="1085"/>
      <c r="N13" s="107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1083">
        <v>1.0000571E7</v>
      </c>
      <c r="C14" s="1083" t="s">
        <v>2709</v>
      </c>
      <c r="D14" s="1084" t="s">
        <v>1740</v>
      </c>
      <c r="E14" s="4" t="s">
        <v>25</v>
      </c>
      <c r="F14" s="26">
        <v>2.1607</v>
      </c>
      <c r="G14" s="26">
        <v>0.0</v>
      </c>
      <c r="H14" s="104">
        <v>0.0</v>
      </c>
      <c r="I14" s="26">
        <f t="shared" si="1"/>
        <v>0</v>
      </c>
      <c r="J14" s="26"/>
      <c r="K14" s="4"/>
      <c r="L14" s="4"/>
      <c r="M14" s="1085"/>
      <c r="N14" s="107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1083">
        <v>1.0001201E7</v>
      </c>
      <c r="C15" s="1083" t="s">
        <v>2709</v>
      </c>
      <c r="D15" s="1084" t="s">
        <v>3101</v>
      </c>
      <c r="E15" s="4" t="s">
        <v>25</v>
      </c>
      <c r="F15" s="26">
        <v>12.6157</v>
      </c>
      <c r="G15" s="26">
        <v>0.0</v>
      </c>
      <c r="H15" s="104">
        <v>0.0</v>
      </c>
      <c r="I15" s="26">
        <f t="shared" si="1"/>
        <v>0</v>
      </c>
      <c r="J15" s="26"/>
      <c r="K15" s="4"/>
      <c r="L15" s="4"/>
      <c r="M15" s="1085"/>
      <c r="N15" s="107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1083">
        <v>1.0217238E7</v>
      </c>
      <c r="C16" s="1083" t="s">
        <v>2709</v>
      </c>
      <c r="D16" s="1084" t="s">
        <v>571</v>
      </c>
      <c r="E16" s="4" t="s">
        <v>25</v>
      </c>
      <c r="F16" s="26">
        <v>645.9796</v>
      </c>
      <c r="G16" s="26">
        <v>0.0</v>
      </c>
      <c r="H16" s="104">
        <v>0.0</v>
      </c>
      <c r="I16" s="26">
        <f t="shared" si="1"/>
        <v>0</v>
      </c>
      <c r="J16" s="26"/>
      <c r="K16" s="4"/>
      <c r="L16" s="4"/>
      <c r="M16" s="1085"/>
      <c r="N16" s="107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1083">
        <v>1.0274814E7</v>
      </c>
      <c r="C17" s="1083" t="s">
        <v>2723</v>
      </c>
      <c r="D17" s="1084" t="s">
        <v>3252</v>
      </c>
      <c r="E17" s="4" t="s">
        <v>25</v>
      </c>
      <c r="F17" s="26">
        <v>318.66839999999996</v>
      </c>
      <c r="G17" s="26">
        <v>0.0</v>
      </c>
      <c r="H17" s="104">
        <v>0.0</v>
      </c>
      <c r="I17" s="26">
        <f t="shared" si="1"/>
        <v>0</v>
      </c>
      <c r="J17" s="26"/>
      <c r="K17" s="4"/>
      <c r="L17" s="4"/>
      <c r="M17" s="1085"/>
      <c r="N17" s="107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1083">
        <v>1.0413477E7</v>
      </c>
      <c r="C18" s="1083" t="s">
        <v>2709</v>
      </c>
      <c r="D18" s="1084" t="s">
        <v>3483</v>
      </c>
      <c r="E18" s="4" t="s">
        <v>25</v>
      </c>
      <c r="F18" s="26">
        <v>8665.7313</v>
      </c>
      <c r="G18" s="26">
        <v>0.0</v>
      </c>
      <c r="H18" s="104">
        <v>0.0</v>
      </c>
      <c r="I18" s="26">
        <f t="shared" si="1"/>
        <v>0</v>
      </c>
      <c r="J18" s="26"/>
      <c r="K18" s="4"/>
      <c r="L18" s="4"/>
      <c r="M18" s="4"/>
      <c r="N18" s="1089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1083">
        <v>1.0435852E7</v>
      </c>
      <c r="C19" s="1083" t="s">
        <v>2709</v>
      </c>
      <c r="D19" s="1084" t="s">
        <v>3545</v>
      </c>
      <c r="E19" s="4" t="s">
        <v>25</v>
      </c>
      <c r="F19" s="26">
        <v>2010.0086</v>
      </c>
      <c r="G19" s="26">
        <v>0.0</v>
      </c>
      <c r="H19" s="104">
        <v>0.0</v>
      </c>
      <c r="I19" s="26">
        <f t="shared" si="1"/>
        <v>0</v>
      </c>
      <c r="J19" s="26"/>
      <c r="K19" s="4"/>
      <c r="L19" s="4"/>
      <c r="M19" s="1084"/>
      <c r="N19" s="1088"/>
      <c r="O19" s="1090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1083">
        <v>1.0488086E7</v>
      </c>
      <c r="C20" s="1083" t="s">
        <v>2709</v>
      </c>
      <c r="D20" s="1084" t="s">
        <v>96</v>
      </c>
      <c r="E20" s="4" t="s">
        <v>25</v>
      </c>
      <c r="F20" s="26">
        <v>1819.1699999999998</v>
      </c>
      <c r="G20" s="26">
        <v>0.0</v>
      </c>
      <c r="H20" s="104">
        <v>0.0</v>
      </c>
      <c r="I20" s="26">
        <f t="shared" si="1"/>
        <v>0</v>
      </c>
      <c r="J20" s="26"/>
      <c r="K20" s="4"/>
      <c r="L20" s="4"/>
      <c r="M20" s="1084"/>
      <c r="N20" s="1088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1083">
        <v>1.0488571E7</v>
      </c>
      <c r="C21" s="1083" t="s">
        <v>2709</v>
      </c>
      <c r="D21" s="1084" t="s">
        <v>764</v>
      </c>
      <c r="E21" s="4" t="s">
        <v>25</v>
      </c>
      <c r="F21" s="26">
        <v>77.43669999999999</v>
      </c>
      <c r="G21" s="26">
        <v>0.0</v>
      </c>
      <c r="H21" s="104">
        <v>0.0</v>
      </c>
      <c r="I21" s="26">
        <f t="shared" si="1"/>
        <v>0</v>
      </c>
      <c r="J21" s="26"/>
      <c r="K21" s="4"/>
      <c r="L21" s="4"/>
      <c r="M21" s="1084"/>
      <c r="N21" s="1088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1083">
        <v>1.0541941E7</v>
      </c>
      <c r="C22" s="1083" t="s">
        <v>3102</v>
      </c>
      <c r="D22" s="1084" t="s">
        <v>3104</v>
      </c>
      <c r="E22" s="4" t="s">
        <v>25</v>
      </c>
      <c r="F22" s="26">
        <v>803.5713000000001</v>
      </c>
      <c r="G22" s="26">
        <v>0.0</v>
      </c>
      <c r="H22" s="104">
        <v>0.0</v>
      </c>
      <c r="I22" s="26">
        <f t="shared" si="1"/>
        <v>0</v>
      </c>
      <c r="J22" s="26"/>
      <c r="K22" s="4"/>
      <c r="L22" s="1075" t="s">
        <v>2656</v>
      </c>
      <c r="M22" s="1075" t="s">
        <v>3725</v>
      </c>
      <c r="N22" s="1081" t="s">
        <v>1800</v>
      </c>
      <c r="O22" s="4" t="s">
        <v>1801</v>
      </c>
      <c r="P22" s="1074" t="s">
        <v>1802</v>
      </c>
      <c r="Q22" s="4" t="s">
        <v>1803</v>
      </c>
      <c r="R22" s="14" t="s">
        <v>3726</v>
      </c>
      <c r="S22" s="1091" t="s">
        <v>3727</v>
      </c>
      <c r="T22" s="14" t="s">
        <v>3728</v>
      </c>
      <c r="U22" s="4"/>
      <c r="V22" s="4"/>
      <c r="W22" s="4"/>
      <c r="X22" s="4"/>
      <c r="Y22" s="4"/>
      <c r="Z22" s="4"/>
      <c r="AA22" s="4"/>
    </row>
    <row r="23">
      <c r="A23" s="4"/>
      <c r="B23" s="1083">
        <v>1.0616666E7</v>
      </c>
      <c r="C23" s="1083" t="s">
        <v>2709</v>
      </c>
      <c r="D23" s="1084" t="s">
        <v>742</v>
      </c>
      <c r="E23" s="4" t="s">
        <v>25</v>
      </c>
      <c r="F23" s="26">
        <v>219.55499999999998</v>
      </c>
      <c r="G23" s="26">
        <v>0.0</v>
      </c>
      <c r="H23" s="104">
        <v>0.0</v>
      </c>
      <c r="I23" s="26">
        <f t="shared" si="1"/>
        <v>0</v>
      </c>
      <c r="J23" s="26"/>
      <c r="K23" s="4"/>
      <c r="L23" s="4"/>
      <c r="M23" s="1085" t="s">
        <v>1774</v>
      </c>
      <c r="N23" s="1074" t="s">
        <v>1806</v>
      </c>
      <c r="O23" s="1086">
        <v>0.0</v>
      </c>
      <c r="P23" s="1086">
        <v>0.0</v>
      </c>
      <c r="Q23" s="1086">
        <v>0.0</v>
      </c>
      <c r="R23" s="26">
        <f t="shared" ref="R23:T23" si="2">O23/$H$1</f>
        <v>0</v>
      </c>
      <c r="S23" s="26">
        <f t="shared" si="2"/>
        <v>0</v>
      </c>
      <c r="T23" s="26">
        <f t="shared" si="2"/>
        <v>0</v>
      </c>
      <c r="U23" s="26">
        <f t="shared" ref="U23:U55" si="4">SUM(R23:T23)</f>
        <v>0</v>
      </c>
      <c r="V23" s="4"/>
      <c r="W23" s="4"/>
      <c r="X23" s="4"/>
      <c r="Y23" s="4"/>
      <c r="Z23" s="4"/>
      <c r="AA23" s="4"/>
    </row>
    <row r="24">
      <c r="A24" s="4"/>
      <c r="B24" s="1083">
        <v>1.0631452E7</v>
      </c>
      <c r="C24" s="1083" t="s">
        <v>2709</v>
      </c>
      <c r="D24" s="1084" t="s">
        <v>341</v>
      </c>
      <c r="E24" s="4" t="s">
        <v>25</v>
      </c>
      <c r="F24" s="26">
        <v>5615.729</v>
      </c>
      <c r="G24" s="26">
        <v>0.0</v>
      </c>
      <c r="H24" s="104">
        <v>0.0</v>
      </c>
      <c r="I24" s="26">
        <f t="shared" si="1"/>
        <v>0</v>
      </c>
      <c r="J24" s="26"/>
      <c r="K24" s="4"/>
      <c r="L24" s="4"/>
      <c r="M24" s="1085"/>
      <c r="N24" s="1074" t="s">
        <v>1810</v>
      </c>
      <c r="O24" s="1086">
        <v>2514.3</v>
      </c>
      <c r="P24" s="1086">
        <v>15085.8</v>
      </c>
      <c r="Q24" s="1086">
        <v>0.0</v>
      </c>
      <c r="R24" s="26">
        <f t="shared" ref="R24:T24" si="3">O24/$H$1</f>
        <v>361.25</v>
      </c>
      <c r="S24" s="26">
        <f t="shared" si="3"/>
        <v>2167.5</v>
      </c>
      <c r="T24" s="26">
        <f t="shared" si="3"/>
        <v>0</v>
      </c>
      <c r="U24" s="26">
        <f t="shared" si="4"/>
        <v>2528.75</v>
      </c>
      <c r="V24" s="4"/>
      <c r="W24" s="4"/>
      <c r="X24" s="4"/>
      <c r="Y24" s="4"/>
      <c r="Z24" s="4"/>
      <c r="AA24" s="4"/>
    </row>
    <row r="25">
      <c r="A25" s="4"/>
      <c r="B25" s="1083">
        <v>1.076544E7</v>
      </c>
      <c r="C25" s="1083" t="s">
        <v>2709</v>
      </c>
      <c r="D25" s="1084" t="s">
        <v>3291</v>
      </c>
      <c r="E25" s="4" t="s">
        <v>25</v>
      </c>
      <c r="F25" s="26">
        <v>355.96</v>
      </c>
      <c r="G25" s="26">
        <v>198.0</v>
      </c>
      <c r="H25" s="104">
        <v>70480.08</v>
      </c>
      <c r="I25" s="26">
        <f t="shared" si="1"/>
        <v>10126.44828</v>
      </c>
      <c r="J25" s="26"/>
      <c r="K25" s="4"/>
      <c r="L25" s="4"/>
      <c r="M25" s="1085"/>
      <c r="N25" s="1074" t="s">
        <v>195</v>
      </c>
      <c r="O25" s="1086">
        <v>76752.48</v>
      </c>
      <c r="P25" s="1086">
        <v>6619.28</v>
      </c>
      <c r="Q25" s="1086">
        <v>46274.799999999996</v>
      </c>
      <c r="R25" s="26">
        <f t="shared" ref="R25:T25" si="5">O25/$H$1</f>
        <v>11027.65517</v>
      </c>
      <c r="S25" s="26">
        <f t="shared" si="5"/>
        <v>951.045977</v>
      </c>
      <c r="T25" s="26">
        <f t="shared" si="5"/>
        <v>6648.678161</v>
      </c>
      <c r="U25" s="26">
        <f t="shared" si="4"/>
        <v>18627.37931</v>
      </c>
      <c r="V25" s="4"/>
      <c r="W25" s="4"/>
      <c r="X25" s="4"/>
      <c r="Y25" s="4"/>
      <c r="Z25" s="4"/>
      <c r="AA25" s="4"/>
    </row>
    <row r="26">
      <c r="A26" s="4"/>
      <c r="B26" s="1083">
        <v>1.0863213E7</v>
      </c>
      <c r="C26" s="1083" t="s">
        <v>2709</v>
      </c>
      <c r="D26" s="1084" t="s">
        <v>2867</v>
      </c>
      <c r="E26" s="4" t="s">
        <v>25</v>
      </c>
      <c r="F26" s="26">
        <v>247.9229</v>
      </c>
      <c r="G26" s="26">
        <v>0.0</v>
      </c>
      <c r="H26" s="104">
        <v>0.0</v>
      </c>
      <c r="I26" s="26">
        <f t="shared" si="1"/>
        <v>0</v>
      </c>
      <c r="J26" s="26"/>
      <c r="K26" s="4"/>
      <c r="L26" s="4"/>
      <c r="M26" s="1085"/>
      <c r="N26" s="1074" t="s">
        <v>620</v>
      </c>
      <c r="O26" s="1086">
        <v>0.0</v>
      </c>
      <c r="P26" s="1086">
        <v>0.0</v>
      </c>
      <c r="Q26" s="1086">
        <v>0.0</v>
      </c>
      <c r="R26" s="26">
        <f t="shared" ref="R26:T26" si="6">O26/$H$1</f>
        <v>0</v>
      </c>
      <c r="S26" s="26">
        <f t="shared" si="6"/>
        <v>0</v>
      </c>
      <c r="T26" s="26">
        <f t="shared" si="6"/>
        <v>0</v>
      </c>
      <c r="U26" s="26">
        <f t="shared" si="4"/>
        <v>0</v>
      </c>
      <c r="V26" s="4"/>
      <c r="W26" s="4"/>
      <c r="X26" s="4"/>
      <c r="Y26" s="4"/>
      <c r="Z26" s="4"/>
      <c r="AA26" s="4"/>
    </row>
    <row r="27">
      <c r="A27" s="4"/>
      <c r="B27" s="1083">
        <v>1.0946774E7</v>
      </c>
      <c r="C27" s="1083" t="s">
        <v>2709</v>
      </c>
      <c r="D27" s="1084" t="s">
        <v>3551</v>
      </c>
      <c r="E27" s="4" t="s">
        <v>25</v>
      </c>
      <c r="F27" s="26">
        <v>3813.9143000000004</v>
      </c>
      <c r="G27" s="26">
        <v>0.0</v>
      </c>
      <c r="H27" s="104">
        <v>0.0</v>
      </c>
      <c r="I27" s="26">
        <f t="shared" si="1"/>
        <v>0</v>
      </c>
      <c r="J27" s="26"/>
      <c r="K27" s="4"/>
      <c r="L27" s="4"/>
      <c r="M27" s="1085"/>
      <c r="N27" s="1074" t="s">
        <v>52</v>
      </c>
      <c r="O27" s="1092">
        <v>0.0</v>
      </c>
      <c r="P27" s="1092">
        <v>2108658.9132</v>
      </c>
      <c r="Q27" s="1092">
        <v>927729.0252</v>
      </c>
      <c r="R27" s="26">
        <f t="shared" ref="R27:T27" si="7">O27/$H$1</f>
        <v>0</v>
      </c>
      <c r="S27" s="26">
        <f t="shared" si="7"/>
        <v>302968.2347</v>
      </c>
      <c r="T27" s="26">
        <f t="shared" si="7"/>
        <v>133294.4002</v>
      </c>
      <c r="U27" s="26">
        <f t="shared" si="4"/>
        <v>436262.6348</v>
      </c>
      <c r="V27" s="4"/>
      <c r="W27" s="4"/>
      <c r="X27" s="4"/>
      <c r="Y27" s="4"/>
      <c r="Z27" s="4"/>
      <c r="AA27" s="4"/>
    </row>
    <row r="28">
      <c r="A28" s="4"/>
      <c r="B28" s="1083">
        <v>1.0966162E7</v>
      </c>
      <c r="C28" s="1083" t="s">
        <v>2709</v>
      </c>
      <c r="D28" s="1084" t="s">
        <v>1037</v>
      </c>
      <c r="E28" s="4" t="s">
        <v>25</v>
      </c>
      <c r="F28" s="26">
        <v>698.8122</v>
      </c>
      <c r="G28" s="26">
        <v>0.0</v>
      </c>
      <c r="H28" s="104">
        <v>0.0</v>
      </c>
      <c r="I28" s="26">
        <f t="shared" si="1"/>
        <v>0</v>
      </c>
      <c r="J28" s="26"/>
      <c r="K28" s="4"/>
      <c r="L28" s="4"/>
      <c r="M28" s="4" t="s">
        <v>3729</v>
      </c>
      <c r="N28" s="1089"/>
      <c r="O28" s="1092">
        <v>79266.78</v>
      </c>
      <c r="P28" s="1092">
        <v>2130363.9931999994</v>
      </c>
      <c r="Q28" s="1092">
        <v>974003.8252000001</v>
      </c>
      <c r="R28" s="26">
        <f t="shared" ref="R28:T28" si="8">O28/$H$1</f>
        <v>11388.90517</v>
      </c>
      <c r="S28" s="26">
        <f t="shared" si="8"/>
        <v>306086.7806</v>
      </c>
      <c r="T28" s="26">
        <f t="shared" si="8"/>
        <v>139943.0783</v>
      </c>
      <c r="U28" s="26">
        <f t="shared" si="4"/>
        <v>457418.7641</v>
      </c>
      <c r="V28" s="4"/>
      <c r="W28" s="4"/>
      <c r="X28" s="4"/>
      <c r="Y28" s="4"/>
      <c r="Z28" s="4"/>
      <c r="AA28" s="4"/>
    </row>
    <row r="29">
      <c r="A29" s="4"/>
      <c r="B29" s="1083">
        <v>1.110585E7</v>
      </c>
      <c r="C29" s="1083" t="s">
        <v>2709</v>
      </c>
      <c r="D29" s="1084" t="s">
        <v>3321</v>
      </c>
      <c r="E29" s="4" t="s">
        <v>25</v>
      </c>
      <c r="F29" s="26">
        <v>8470.0834</v>
      </c>
      <c r="G29" s="26">
        <v>0.0</v>
      </c>
      <c r="H29" s="104">
        <v>0.0</v>
      </c>
      <c r="I29" s="26">
        <f t="shared" si="1"/>
        <v>0</v>
      </c>
      <c r="J29" s="26"/>
      <c r="K29" s="4"/>
      <c r="L29" s="4"/>
      <c r="M29" s="1084" t="s">
        <v>1763</v>
      </c>
      <c r="N29" s="1088" t="s">
        <v>160</v>
      </c>
      <c r="O29" s="1086">
        <v>0.0</v>
      </c>
      <c r="P29" s="1086">
        <v>0.0</v>
      </c>
      <c r="Q29" s="1086">
        <v>0.0</v>
      </c>
      <c r="R29" s="26">
        <f t="shared" ref="R29:T29" si="9">O29/$H$1</f>
        <v>0</v>
      </c>
      <c r="S29" s="26">
        <f t="shared" si="9"/>
        <v>0</v>
      </c>
      <c r="T29" s="26">
        <f t="shared" si="9"/>
        <v>0</v>
      </c>
      <c r="U29" s="26">
        <f t="shared" si="4"/>
        <v>0</v>
      </c>
      <c r="V29" s="4"/>
      <c r="W29" s="4"/>
      <c r="X29" s="4"/>
      <c r="Y29" s="4"/>
      <c r="Z29" s="4"/>
      <c r="AA29" s="4"/>
    </row>
    <row r="30">
      <c r="A30" s="4"/>
      <c r="B30" s="1083">
        <v>1.1138884E7</v>
      </c>
      <c r="C30" s="1083" t="s">
        <v>2709</v>
      </c>
      <c r="D30" s="1084" t="s">
        <v>439</v>
      </c>
      <c r="E30" s="4" t="s">
        <v>25</v>
      </c>
      <c r="F30" s="26">
        <v>7062.5616</v>
      </c>
      <c r="G30" s="26">
        <v>0.0</v>
      </c>
      <c r="H30" s="104">
        <v>0.0</v>
      </c>
      <c r="I30" s="26">
        <f t="shared" si="1"/>
        <v>0</v>
      </c>
      <c r="J30" s="26"/>
      <c r="K30" s="4"/>
      <c r="L30" s="4"/>
      <c r="M30" s="4"/>
      <c r="N30" s="1074" t="s">
        <v>61</v>
      </c>
      <c r="O30" s="1086">
        <v>0.0</v>
      </c>
      <c r="P30" s="1086">
        <v>0.0</v>
      </c>
      <c r="Q30" s="1086">
        <v>0.0</v>
      </c>
      <c r="R30" s="26">
        <f t="shared" ref="R30:T30" si="10">O30/$H$1</f>
        <v>0</v>
      </c>
      <c r="S30" s="26">
        <f t="shared" si="10"/>
        <v>0</v>
      </c>
      <c r="T30" s="26">
        <f t="shared" si="10"/>
        <v>0</v>
      </c>
      <c r="U30" s="26">
        <f t="shared" si="4"/>
        <v>0</v>
      </c>
      <c r="V30" s="4"/>
      <c r="W30" s="4"/>
      <c r="X30" s="4"/>
      <c r="Y30" s="4"/>
      <c r="Z30" s="4"/>
      <c r="AA30" s="4"/>
    </row>
    <row r="31">
      <c r="A31" s="4"/>
      <c r="B31" s="1083">
        <v>1.1176987E7</v>
      </c>
      <c r="C31" s="1083" t="s">
        <v>2723</v>
      </c>
      <c r="D31" s="1084" t="s">
        <v>1504</v>
      </c>
      <c r="E31" s="4" t="s">
        <v>25</v>
      </c>
      <c r="F31" s="26">
        <v>850.4793999999999</v>
      </c>
      <c r="G31" s="26">
        <v>0.0</v>
      </c>
      <c r="H31" s="104">
        <v>0.0</v>
      </c>
      <c r="I31" s="26">
        <f t="shared" si="1"/>
        <v>0</v>
      </c>
      <c r="J31" s="26"/>
      <c r="K31" s="4"/>
      <c r="L31" s="4"/>
      <c r="M31" s="4"/>
      <c r="N31" s="1074" t="s">
        <v>1182</v>
      </c>
      <c r="O31" s="1086">
        <v>0.0</v>
      </c>
      <c r="P31" s="1086">
        <v>0.0</v>
      </c>
      <c r="Q31" s="1086">
        <v>0.0</v>
      </c>
      <c r="R31" s="26">
        <f t="shared" ref="R31:T31" si="11">O31/$H$1</f>
        <v>0</v>
      </c>
      <c r="S31" s="26">
        <f t="shared" si="11"/>
        <v>0</v>
      </c>
      <c r="T31" s="26">
        <f t="shared" si="11"/>
        <v>0</v>
      </c>
      <c r="U31" s="26">
        <f t="shared" si="4"/>
        <v>0</v>
      </c>
      <c r="V31" s="4"/>
      <c r="W31" s="4"/>
      <c r="X31" s="4"/>
      <c r="Y31" s="4"/>
      <c r="Z31" s="4"/>
      <c r="AA31" s="4"/>
    </row>
    <row r="32">
      <c r="A32" s="4"/>
      <c r="B32" s="1083">
        <v>1.131792E7</v>
      </c>
      <c r="C32" s="1083" t="s">
        <v>2723</v>
      </c>
      <c r="D32" s="1084" t="s">
        <v>3588</v>
      </c>
      <c r="E32" s="4" t="s">
        <v>25</v>
      </c>
      <c r="F32" s="26">
        <v>8597.634399999999</v>
      </c>
      <c r="G32" s="26">
        <v>0.0</v>
      </c>
      <c r="H32" s="104">
        <v>0.0</v>
      </c>
      <c r="I32" s="26">
        <f t="shared" si="1"/>
        <v>0</v>
      </c>
      <c r="J32" s="26"/>
      <c r="K32" s="4"/>
      <c r="L32" s="4"/>
      <c r="M32" s="4"/>
      <c r="N32" s="1074" t="s">
        <v>362</v>
      </c>
      <c r="O32" s="1086">
        <v>0.0</v>
      </c>
      <c r="P32" s="1086">
        <v>0.0</v>
      </c>
      <c r="Q32" s="1086">
        <v>0.0</v>
      </c>
      <c r="R32" s="26">
        <f t="shared" ref="R32:T32" si="12">O32/$H$1</f>
        <v>0</v>
      </c>
      <c r="S32" s="26">
        <f t="shared" si="12"/>
        <v>0</v>
      </c>
      <c r="T32" s="26">
        <f t="shared" si="12"/>
        <v>0</v>
      </c>
      <c r="U32" s="26">
        <f t="shared" si="4"/>
        <v>0</v>
      </c>
      <c r="V32" s="4"/>
      <c r="W32" s="4"/>
      <c r="X32" s="4"/>
      <c r="Y32" s="4"/>
      <c r="Z32" s="4"/>
      <c r="AA32" s="4"/>
    </row>
    <row r="33">
      <c r="A33" s="4"/>
      <c r="B33" s="1083">
        <v>1.1355248E7</v>
      </c>
      <c r="C33" s="1083" t="s">
        <v>2709</v>
      </c>
      <c r="D33" s="1084" t="s">
        <v>2892</v>
      </c>
      <c r="E33" s="4" t="s">
        <v>25</v>
      </c>
      <c r="F33" s="26">
        <v>652.6708</v>
      </c>
      <c r="G33" s="26">
        <v>0.0</v>
      </c>
      <c r="H33" s="104">
        <v>0.0</v>
      </c>
      <c r="I33" s="26">
        <f t="shared" si="1"/>
        <v>0</v>
      </c>
      <c r="J33" s="26"/>
      <c r="K33" s="4"/>
      <c r="L33" s="4"/>
      <c r="M33" s="4"/>
      <c r="N33" s="1074" t="s">
        <v>36</v>
      </c>
      <c r="O33" s="1086">
        <v>0.0</v>
      </c>
      <c r="P33" s="1086">
        <v>0.0</v>
      </c>
      <c r="Q33" s="1086">
        <v>0.0</v>
      </c>
      <c r="R33" s="26">
        <f t="shared" ref="R33:T33" si="13">O33/$H$1</f>
        <v>0</v>
      </c>
      <c r="S33" s="26">
        <f t="shared" si="13"/>
        <v>0</v>
      </c>
      <c r="T33" s="26">
        <f t="shared" si="13"/>
        <v>0</v>
      </c>
      <c r="U33" s="26">
        <f t="shared" si="4"/>
        <v>0</v>
      </c>
      <c r="V33" s="4"/>
      <c r="W33" s="4"/>
      <c r="X33" s="4"/>
      <c r="Y33" s="4"/>
      <c r="Z33" s="4"/>
      <c r="AA33" s="4"/>
    </row>
    <row r="34">
      <c r="A34" s="4"/>
      <c r="B34" s="1083">
        <v>1.1416549E7</v>
      </c>
      <c r="C34" s="1083" t="s">
        <v>2709</v>
      </c>
      <c r="D34" s="1084" t="s">
        <v>3336</v>
      </c>
      <c r="E34" s="4" t="s">
        <v>25</v>
      </c>
      <c r="F34" s="26">
        <v>1162.2475</v>
      </c>
      <c r="G34" s="26">
        <v>0.0</v>
      </c>
      <c r="H34" s="104">
        <v>0.0</v>
      </c>
      <c r="I34" s="26">
        <f t="shared" si="1"/>
        <v>0</v>
      </c>
      <c r="J34" s="26"/>
      <c r="K34" s="4"/>
      <c r="L34" s="4"/>
      <c r="M34" s="4"/>
      <c r="N34" s="1074" t="s">
        <v>140</v>
      </c>
      <c r="O34" s="1086">
        <v>0.0</v>
      </c>
      <c r="P34" s="1086">
        <v>0.0</v>
      </c>
      <c r="Q34" s="1086">
        <v>0.0</v>
      </c>
      <c r="R34" s="26">
        <f t="shared" ref="R34:T34" si="14">O34/$H$1</f>
        <v>0</v>
      </c>
      <c r="S34" s="26">
        <f t="shared" si="14"/>
        <v>0</v>
      </c>
      <c r="T34" s="26">
        <f t="shared" si="14"/>
        <v>0</v>
      </c>
      <c r="U34" s="26">
        <f t="shared" si="4"/>
        <v>0</v>
      </c>
      <c r="V34" s="4"/>
      <c r="W34" s="4"/>
      <c r="X34" s="4"/>
      <c r="Y34" s="4"/>
      <c r="Z34" s="4"/>
      <c r="AA34" s="4"/>
    </row>
    <row r="35">
      <c r="A35" s="4"/>
      <c r="B35" s="1083">
        <v>1.1424859E7</v>
      </c>
      <c r="C35" s="1083" t="s">
        <v>3029</v>
      </c>
      <c r="D35" s="1084" t="s">
        <v>3398</v>
      </c>
      <c r="E35" s="4" t="s">
        <v>3399</v>
      </c>
      <c r="F35" s="26">
        <v>30693.510199999997</v>
      </c>
      <c r="G35" s="26">
        <v>0.0</v>
      </c>
      <c r="H35" s="104">
        <v>0.0</v>
      </c>
      <c r="I35" s="26">
        <f t="shared" si="1"/>
        <v>0</v>
      </c>
      <c r="J35" s="26"/>
      <c r="K35" s="4"/>
      <c r="L35" s="4"/>
      <c r="M35" s="4"/>
      <c r="N35" s="1074" t="s">
        <v>129</v>
      </c>
      <c r="O35" s="1086">
        <v>0.0</v>
      </c>
      <c r="P35" s="1086">
        <v>0.0</v>
      </c>
      <c r="Q35" s="1086">
        <v>0.0</v>
      </c>
      <c r="R35" s="26">
        <f t="shared" ref="R35:T35" si="15">O35/$H$1</f>
        <v>0</v>
      </c>
      <c r="S35" s="26">
        <f t="shared" si="15"/>
        <v>0</v>
      </c>
      <c r="T35" s="26">
        <f t="shared" si="15"/>
        <v>0</v>
      </c>
      <c r="U35" s="26">
        <f t="shared" si="4"/>
        <v>0</v>
      </c>
      <c r="V35" s="4"/>
      <c r="W35" s="4"/>
      <c r="X35" s="4"/>
      <c r="Y35" s="4"/>
      <c r="Z35" s="4"/>
      <c r="AA35" s="4"/>
    </row>
    <row r="36">
      <c r="A36" s="4"/>
      <c r="B36" s="1083">
        <v>1.1536859E7</v>
      </c>
      <c r="C36" s="1083" t="s">
        <v>2723</v>
      </c>
      <c r="D36" s="1084" t="s">
        <v>3324</v>
      </c>
      <c r="E36" s="4" t="s">
        <v>25</v>
      </c>
      <c r="F36" s="26">
        <v>9574.689</v>
      </c>
      <c r="G36" s="26">
        <v>0.0</v>
      </c>
      <c r="H36" s="104">
        <v>0.0</v>
      </c>
      <c r="I36" s="26">
        <f t="shared" si="1"/>
        <v>0</v>
      </c>
      <c r="J36" s="26"/>
      <c r="K36" s="4"/>
      <c r="L36" s="4"/>
      <c r="M36" s="4"/>
      <c r="N36" s="1074" t="s">
        <v>195</v>
      </c>
      <c r="O36" s="1086">
        <v>0.0</v>
      </c>
      <c r="P36" s="1086">
        <v>0.0</v>
      </c>
      <c r="Q36" s="1086">
        <v>0.0</v>
      </c>
      <c r="R36" s="26">
        <f t="shared" ref="R36:T36" si="16">O36/$H$1</f>
        <v>0</v>
      </c>
      <c r="S36" s="26">
        <f t="shared" si="16"/>
        <v>0</v>
      </c>
      <c r="T36" s="26">
        <f t="shared" si="16"/>
        <v>0</v>
      </c>
      <c r="U36" s="26">
        <f t="shared" si="4"/>
        <v>0</v>
      </c>
      <c r="V36" s="4"/>
      <c r="W36" s="4"/>
      <c r="X36" s="4"/>
      <c r="Y36" s="4"/>
      <c r="Z36" s="4"/>
      <c r="AA36" s="4"/>
    </row>
    <row r="37">
      <c r="A37" s="4"/>
      <c r="B37" s="1083">
        <v>1.1651921E7</v>
      </c>
      <c r="C37" s="1083" t="s">
        <v>2709</v>
      </c>
      <c r="D37" s="1084" t="s">
        <v>3121</v>
      </c>
      <c r="E37" s="4" t="s">
        <v>25</v>
      </c>
      <c r="F37" s="26">
        <v>111327.4886</v>
      </c>
      <c r="G37" s="26">
        <v>0.0</v>
      </c>
      <c r="H37" s="104">
        <v>0.0</v>
      </c>
      <c r="I37" s="26">
        <f t="shared" si="1"/>
        <v>0</v>
      </c>
      <c r="J37" s="26"/>
      <c r="K37" s="4"/>
      <c r="L37" s="4"/>
      <c r="M37" s="4"/>
      <c r="N37" s="1074" t="s">
        <v>231</v>
      </c>
      <c r="O37" s="1086">
        <v>0.0</v>
      </c>
      <c r="P37" s="1086">
        <v>0.0</v>
      </c>
      <c r="Q37" s="1086">
        <v>0.0</v>
      </c>
      <c r="R37" s="26">
        <f t="shared" ref="R37:T37" si="17">O37/$H$1</f>
        <v>0</v>
      </c>
      <c r="S37" s="26">
        <f t="shared" si="17"/>
        <v>0</v>
      </c>
      <c r="T37" s="26">
        <f t="shared" si="17"/>
        <v>0</v>
      </c>
      <c r="U37" s="26">
        <f t="shared" si="4"/>
        <v>0</v>
      </c>
      <c r="V37" s="4"/>
      <c r="W37" s="4"/>
      <c r="X37" s="4"/>
      <c r="Y37" s="4"/>
      <c r="Z37" s="4"/>
      <c r="AA37" s="4"/>
    </row>
    <row r="38">
      <c r="A38" s="4"/>
      <c r="B38" s="1083">
        <v>1.1805532E7</v>
      </c>
      <c r="C38" s="1083" t="s">
        <v>2709</v>
      </c>
      <c r="D38" s="1084" t="s">
        <v>3033</v>
      </c>
      <c r="E38" s="4" t="s">
        <v>25</v>
      </c>
      <c r="F38" s="26">
        <v>2265.4590999999996</v>
      </c>
      <c r="G38" s="26">
        <v>0.0</v>
      </c>
      <c r="H38" s="104">
        <v>0.0</v>
      </c>
      <c r="I38" s="26">
        <f t="shared" si="1"/>
        <v>0</v>
      </c>
      <c r="J38" s="26"/>
      <c r="K38" s="4"/>
      <c r="L38" s="4"/>
      <c r="M38" s="4"/>
      <c r="N38" s="1074" t="s">
        <v>52</v>
      </c>
      <c r="O38" s="1086">
        <v>0.0</v>
      </c>
      <c r="P38" s="1086">
        <v>0.0</v>
      </c>
      <c r="Q38" s="1086">
        <v>0.0</v>
      </c>
      <c r="R38" s="26">
        <f t="shared" ref="R38:T38" si="18">O38/$H$1</f>
        <v>0</v>
      </c>
      <c r="S38" s="26">
        <f t="shared" si="18"/>
        <v>0</v>
      </c>
      <c r="T38" s="26">
        <f t="shared" si="18"/>
        <v>0</v>
      </c>
      <c r="U38" s="26">
        <f t="shared" si="4"/>
        <v>0</v>
      </c>
      <c r="V38" s="4"/>
      <c r="W38" s="4"/>
      <c r="X38" s="4"/>
      <c r="Y38" s="4"/>
      <c r="Z38" s="4"/>
      <c r="AA38" s="4"/>
    </row>
    <row r="39">
      <c r="A39" s="4"/>
      <c r="B39" s="1083">
        <v>1.1822382E7</v>
      </c>
      <c r="C39" s="1083" t="s">
        <v>2723</v>
      </c>
      <c r="D39" s="1084" t="s">
        <v>2942</v>
      </c>
      <c r="E39" s="4" t="s">
        <v>25</v>
      </c>
      <c r="F39" s="26">
        <v>1970.9068999999997</v>
      </c>
      <c r="G39" s="26">
        <v>0.0</v>
      </c>
      <c r="H39" s="104">
        <v>0.0</v>
      </c>
      <c r="I39" s="26">
        <f t="shared" si="1"/>
        <v>0</v>
      </c>
      <c r="J39" s="26"/>
      <c r="K39" s="4"/>
      <c r="L39" s="4"/>
      <c r="M39" s="4"/>
      <c r="N39" s="1074" t="s">
        <v>633</v>
      </c>
      <c r="O39" s="1086">
        <v>0.0</v>
      </c>
      <c r="P39" s="1086">
        <v>0.0</v>
      </c>
      <c r="Q39" s="1086">
        <v>0.0</v>
      </c>
      <c r="R39" s="26">
        <f t="shared" ref="R39:T39" si="19">O39/$H$1</f>
        <v>0</v>
      </c>
      <c r="S39" s="26">
        <f t="shared" si="19"/>
        <v>0</v>
      </c>
      <c r="T39" s="26">
        <f t="shared" si="19"/>
        <v>0</v>
      </c>
      <c r="U39" s="26">
        <f t="shared" si="4"/>
        <v>0</v>
      </c>
      <c r="V39" s="4"/>
      <c r="W39" s="4"/>
      <c r="X39" s="4"/>
      <c r="Y39" s="4"/>
      <c r="Z39" s="4"/>
      <c r="AA39" s="4"/>
    </row>
    <row r="40">
      <c r="A40" s="4"/>
      <c r="B40" s="1083">
        <v>1.1879327E7</v>
      </c>
      <c r="C40" s="1083" t="s">
        <v>2709</v>
      </c>
      <c r="D40" s="1084" t="s">
        <v>3401</v>
      </c>
      <c r="E40" s="4" t="s">
        <v>25</v>
      </c>
      <c r="F40" s="26">
        <v>422.45169999999996</v>
      </c>
      <c r="G40" s="26">
        <v>0.0</v>
      </c>
      <c r="H40" s="104">
        <v>0.0</v>
      </c>
      <c r="I40" s="26">
        <f t="shared" si="1"/>
        <v>0</v>
      </c>
      <c r="J40" s="26"/>
      <c r="K40" s="4"/>
      <c r="L40" s="4"/>
      <c r="M40" s="4"/>
      <c r="N40" s="1074" t="s">
        <v>544</v>
      </c>
      <c r="O40" s="1086">
        <v>0.0</v>
      </c>
      <c r="P40" s="1086">
        <v>0.0</v>
      </c>
      <c r="Q40" s="1086">
        <v>0.0</v>
      </c>
      <c r="R40" s="26">
        <f t="shared" ref="R40:T40" si="20">O40/$H$1</f>
        <v>0</v>
      </c>
      <c r="S40" s="26">
        <f t="shared" si="20"/>
        <v>0</v>
      </c>
      <c r="T40" s="26">
        <f t="shared" si="20"/>
        <v>0</v>
      </c>
      <c r="U40" s="26">
        <f t="shared" si="4"/>
        <v>0</v>
      </c>
      <c r="V40" s="4"/>
      <c r="W40" s="4"/>
      <c r="X40" s="4"/>
      <c r="Y40" s="4"/>
      <c r="Z40" s="4"/>
      <c r="AA40" s="4"/>
    </row>
    <row r="41">
      <c r="A41" s="4"/>
      <c r="B41" s="1083">
        <v>1.1982756E7</v>
      </c>
      <c r="C41" s="1083" t="s">
        <v>2709</v>
      </c>
      <c r="D41" s="1084" t="s">
        <v>2897</v>
      </c>
      <c r="E41" s="4" t="s">
        <v>25</v>
      </c>
      <c r="F41" s="26">
        <v>3059.9694</v>
      </c>
      <c r="G41" s="26">
        <v>0.0</v>
      </c>
      <c r="H41" s="104">
        <v>0.0</v>
      </c>
      <c r="I41" s="26">
        <f t="shared" si="1"/>
        <v>0</v>
      </c>
      <c r="J41" s="26"/>
      <c r="K41" s="4"/>
      <c r="L41" s="4"/>
      <c r="M41" s="4"/>
      <c r="N41" s="1074" t="s">
        <v>785</v>
      </c>
      <c r="O41" s="1086">
        <v>0.0</v>
      </c>
      <c r="P41" s="1086">
        <v>0.0</v>
      </c>
      <c r="Q41" s="1086">
        <v>0.0</v>
      </c>
      <c r="R41" s="26">
        <f t="shared" ref="R41:T41" si="21">O41/$H$1</f>
        <v>0</v>
      </c>
      <c r="S41" s="26">
        <f t="shared" si="21"/>
        <v>0</v>
      </c>
      <c r="T41" s="26">
        <f t="shared" si="21"/>
        <v>0</v>
      </c>
      <c r="U41" s="26">
        <f t="shared" si="4"/>
        <v>0</v>
      </c>
      <c r="V41" s="4"/>
      <c r="W41" s="4"/>
      <c r="X41" s="4"/>
      <c r="Y41" s="4"/>
      <c r="Z41" s="4"/>
      <c r="AA41" s="4"/>
    </row>
    <row r="42">
      <c r="A42" s="4"/>
      <c r="B42" s="1083">
        <v>1.2046649E7</v>
      </c>
      <c r="C42" s="1083" t="s">
        <v>2723</v>
      </c>
      <c r="D42" s="1084" t="s">
        <v>3202</v>
      </c>
      <c r="E42" s="4" t="s">
        <v>25</v>
      </c>
      <c r="F42" s="26">
        <v>26783.8978</v>
      </c>
      <c r="G42" s="26">
        <v>0.0</v>
      </c>
      <c r="H42" s="104">
        <v>0.0</v>
      </c>
      <c r="I42" s="26">
        <f t="shared" si="1"/>
        <v>0</v>
      </c>
      <c r="J42" s="26"/>
      <c r="K42" s="4"/>
      <c r="L42" s="4"/>
      <c r="M42" s="4"/>
      <c r="N42" s="1074" t="s">
        <v>150</v>
      </c>
      <c r="O42" s="1086">
        <v>0.0</v>
      </c>
      <c r="P42" s="1086">
        <v>0.0</v>
      </c>
      <c r="Q42" s="1086">
        <v>0.0</v>
      </c>
      <c r="R42" s="26">
        <f t="shared" ref="R42:T42" si="22">O42/$H$1</f>
        <v>0</v>
      </c>
      <c r="S42" s="26">
        <f t="shared" si="22"/>
        <v>0</v>
      </c>
      <c r="T42" s="26">
        <f t="shared" si="22"/>
        <v>0</v>
      </c>
      <c r="U42" s="26">
        <f t="shared" si="4"/>
        <v>0</v>
      </c>
      <c r="V42" s="4"/>
      <c r="W42" s="4"/>
      <c r="X42" s="4"/>
      <c r="Y42" s="4"/>
      <c r="Z42" s="4"/>
      <c r="AA42" s="4"/>
    </row>
    <row r="43">
      <c r="A43" s="4"/>
      <c r="B43" s="1083">
        <v>1.2157993E7</v>
      </c>
      <c r="C43" s="1083" t="s">
        <v>3029</v>
      </c>
      <c r="D43" s="1084" t="s">
        <v>3030</v>
      </c>
      <c r="E43" s="4" t="s">
        <v>3031</v>
      </c>
      <c r="F43" s="26">
        <v>65842.45349999999</v>
      </c>
      <c r="G43" s="26">
        <v>0.0</v>
      </c>
      <c r="H43" s="104">
        <v>0.0</v>
      </c>
      <c r="I43" s="26">
        <f t="shared" si="1"/>
        <v>0</v>
      </c>
      <c r="J43" s="26"/>
      <c r="K43" s="4"/>
      <c r="L43" s="4"/>
      <c r="M43" s="4" t="s">
        <v>3730</v>
      </c>
      <c r="N43" s="1074"/>
      <c r="O43" s="1086">
        <v>0.0</v>
      </c>
      <c r="P43" s="1086">
        <v>0.0</v>
      </c>
      <c r="Q43" s="1086">
        <v>0.0</v>
      </c>
      <c r="R43" s="26">
        <f t="shared" ref="R43:T43" si="23">O43/$H$1</f>
        <v>0</v>
      </c>
      <c r="S43" s="26">
        <f t="shared" si="23"/>
        <v>0</v>
      </c>
      <c r="T43" s="26">
        <f t="shared" si="23"/>
        <v>0</v>
      </c>
      <c r="U43" s="26">
        <f t="shared" si="4"/>
        <v>0</v>
      </c>
      <c r="V43" s="4"/>
      <c r="W43" s="4"/>
      <c r="X43" s="4"/>
      <c r="Y43" s="4"/>
      <c r="Z43" s="4"/>
      <c r="AA43" s="4"/>
    </row>
    <row r="44">
      <c r="A44" s="4"/>
      <c r="B44" s="1083" t="s">
        <v>2869</v>
      </c>
      <c r="C44" s="1083" t="s">
        <v>2709</v>
      </c>
      <c r="D44" s="1084" t="s">
        <v>96</v>
      </c>
      <c r="E44" s="4" t="s">
        <v>25</v>
      </c>
      <c r="F44" s="4">
        <v>1819.1699999999998</v>
      </c>
      <c r="G44" s="4">
        <v>0.0</v>
      </c>
      <c r="H44" s="1093">
        <v>0.0</v>
      </c>
      <c r="I44" s="26">
        <f t="shared" si="1"/>
        <v>0</v>
      </c>
      <c r="J44" s="26"/>
      <c r="K44" s="4"/>
      <c r="L44" s="4">
        <v>2.0</v>
      </c>
      <c r="M44" s="4" t="s">
        <v>1763</v>
      </c>
      <c r="N44" s="1074" t="s">
        <v>46</v>
      </c>
      <c r="O44" s="1086">
        <v>20626.1688</v>
      </c>
      <c r="P44" s="1086">
        <v>220193.1024</v>
      </c>
      <c r="Q44" s="1086">
        <v>229806.9504</v>
      </c>
      <c r="R44" s="26">
        <f t="shared" ref="R44:T44" si="24">O44/$H$1</f>
        <v>2963.53</v>
      </c>
      <c r="S44" s="26">
        <f t="shared" si="24"/>
        <v>31636.94</v>
      </c>
      <c r="T44" s="26">
        <f t="shared" si="24"/>
        <v>33018.24</v>
      </c>
      <c r="U44" s="26">
        <f t="shared" si="4"/>
        <v>67618.71</v>
      </c>
      <c r="V44" s="4"/>
      <c r="W44" s="4"/>
      <c r="X44" s="4"/>
      <c r="Y44" s="4"/>
      <c r="Z44" s="4"/>
      <c r="AA44" s="4"/>
    </row>
    <row r="45">
      <c r="A45" s="4"/>
      <c r="B45" s="1083" t="s">
        <v>3731</v>
      </c>
      <c r="C45" s="1087">
        <v>34110.0</v>
      </c>
      <c r="D45" s="4" t="s">
        <v>3732</v>
      </c>
      <c r="E45" s="4" t="s">
        <v>25</v>
      </c>
      <c r="F45" s="4"/>
      <c r="G45" s="1094">
        <v>0.0</v>
      </c>
      <c r="H45" s="104">
        <v>0.0</v>
      </c>
      <c r="I45" s="26">
        <f t="shared" si="1"/>
        <v>0</v>
      </c>
      <c r="J45" s="26"/>
      <c r="K45" s="4"/>
      <c r="L45" s="4"/>
      <c r="M45" s="4"/>
      <c r="N45" s="1074" t="s">
        <v>61</v>
      </c>
      <c r="O45" s="1086">
        <v>0.0</v>
      </c>
      <c r="P45" s="1086">
        <v>161844.56879999998</v>
      </c>
      <c r="Q45" s="1086">
        <v>181870.5768</v>
      </c>
      <c r="R45" s="26">
        <f t="shared" ref="R45:T45" si="25">O45/$H$1</f>
        <v>0</v>
      </c>
      <c r="S45" s="26">
        <f t="shared" si="25"/>
        <v>23253.53</v>
      </c>
      <c r="T45" s="26">
        <f t="shared" si="25"/>
        <v>26130.83</v>
      </c>
      <c r="U45" s="26">
        <f t="shared" si="4"/>
        <v>49384.36</v>
      </c>
      <c r="V45" s="4"/>
      <c r="W45" s="4"/>
      <c r="X45" s="4"/>
      <c r="Y45" s="4"/>
      <c r="Z45" s="4"/>
      <c r="AA45" s="4"/>
    </row>
    <row r="46">
      <c r="A46" s="4"/>
      <c r="B46" s="1083" t="s">
        <v>2896</v>
      </c>
      <c r="C46" s="1083" t="s">
        <v>2709</v>
      </c>
      <c r="D46" s="1084" t="s">
        <v>2897</v>
      </c>
      <c r="E46" s="4" t="s">
        <v>25</v>
      </c>
      <c r="F46" s="4">
        <v>3059.9694</v>
      </c>
      <c r="G46" s="4">
        <v>0.0</v>
      </c>
      <c r="H46" s="1093">
        <v>0.0</v>
      </c>
      <c r="I46" s="26">
        <f t="shared" si="1"/>
        <v>0</v>
      </c>
      <c r="J46" s="26"/>
      <c r="K46" s="4"/>
      <c r="L46" s="4"/>
      <c r="M46" s="4"/>
      <c r="N46" s="1074" t="s">
        <v>1667</v>
      </c>
      <c r="O46" s="1095">
        <v>0.0</v>
      </c>
      <c r="P46" s="1095">
        <v>0.0</v>
      </c>
      <c r="Q46" s="1092">
        <v>3512859.9000000004</v>
      </c>
      <c r="R46" s="26">
        <f t="shared" ref="R46:T46" si="26">O46/$H$1</f>
        <v>0</v>
      </c>
      <c r="S46" s="26">
        <f t="shared" si="26"/>
        <v>0</v>
      </c>
      <c r="T46" s="26">
        <f t="shared" si="26"/>
        <v>504721.25</v>
      </c>
      <c r="U46" s="26">
        <f t="shared" si="4"/>
        <v>504721.25</v>
      </c>
      <c r="V46" s="4"/>
      <c r="W46" s="4"/>
      <c r="X46" s="4"/>
      <c r="Y46" s="4"/>
      <c r="Z46" s="4"/>
      <c r="AA46" s="4"/>
    </row>
    <row r="47">
      <c r="A47" s="4"/>
      <c r="B47" s="1083" t="s">
        <v>1081</v>
      </c>
      <c r="C47" s="1083" t="s">
        <v>2709</v>
      </c>
      <c r="D47" s="1084" t="s">
        <v>3335</v>
      </c>
      <c r="E47" s="4" t="s">
        <v>25</v>
      </c>
      <c r="F47" s="26">
        <v>7958.1368999999995</v>
      </c>
      <c r="G47" s="26">
        <v>0.0</v>
      </c>
      <c r="H47" s="104">
        <v>0.0</v>
      </c>
      <c r="I47" s="26">
        <f t="shared" si="1"/>
        <v>0</v>
      </c>
      <c r="J47" s="26"/>
      <c r="K47" s="4"/>
      <c r="L47" s="4"/>
      <c r="M47" s="4"/>
      <c r="N47" s="1074" t="s">
        <v>213</v>
      </c>
      <c r="O47" s="1086">
        <v>274568.17199999996</v>
      </c>
      <c r="P47" s="1086">
        <v>22705.608</v>
      </c>
      <c r="Q47" s="1086">
        <v>22705.608</v>
      </c>
      <c r="R47" s="26">
        <f t="shared" ref="R47:T47" si="27">O47/$H$1</f>
        <v>39449.45</v>
      </c>
      <c r="S47" s="26">
        <f t="shared" si="27"/>
        <v>3262.3</v>
      </c>
      <c r="T47" s="26">
        <f t="shared" si="27"/>
        <v>3262.3</v>
      </c>
      <c r="U47" s="26">
        <f t="shared" si="4"/>
        <v>45974.05</v>
      </c>
      <c r="V47" s="4"/>
      <c r="W47" s="4"/>
      <c r="X47" s="4"/>
      <c r="Y47" s="4"/>
      <c r="Z47" s="4"/>
      <c r="AA47" s="4"/>
    </row>
    <row r="48">
      <c r="A48" s="4"/>
      <c r="B48" s="1083" t="s">
        <v>445</v>
      </c>
      <c r="C48" s="1083" t="s">
        <v>2723</v>
      </c>
      <c r="D48" s="1084" t="s">
        <v>3317</v>
      </c>
      <c r="E48" s="4" t="s">
        <v>25</v>
      </c>
      <c r="F48" s="26">
        <v>8452.2402</v>
      </c>
      <c r="G48" s="26">
        <v>0.0</v>
      </c>
      <c r="H48" s="104">
        <v>0.0</v>
      </c>
      <c r="I48" s="26">
        <f t="shared" si="1"/>
        <v>0</v>
      </c>
      <c r="J48" s="26"/>
      <c r="K48" s="4"/>
      <c r="L48" s="4"/>
      <c r="M48" s="4"/>
      <c r="N48" s="1074" t="s">
        <v>164</v>
      </c>
      <c r="O48" s="1086">
        <v>46601.5848</v>
      </c>
      <c r="P48" s="1086">
        <v>225550.97999999998</v>
      </c>
      <c r="Q48" s="1086">
        <v>125472.93119999999</v>
      </c>
      <c r="R48" s="26">
        <f t="shared" ref="R48:T48" si="28">O48/$H$1</f>
        <v>6695.63</v>
      </c>
      <c r="S48" s="26">
        <f t="shared" si="28"/>
        <v>32406.75</v>
      </c>
      <c r="T48" s="26">
        <f t="shared" si="28"/>
        <v>18027.72</v>
      </c>
      <c r="U48" s="26">
        <f t="shared" si="4"/>
        <v>57130.1</v>
      </c>
      <c r="V48" s="4"/>
      <c r="W48" s="4"/>
      <c r="X48" s="4"/>
      <c r="Y48" s="4"/>
      <c r="Z48" s="4"/>
      <c r="AA48" s="4"/>
    </row>
    <row r="49">
      <c r="A49" s="4"/>
      <c r="B49" s="1083" t="s">
        <v>212</v>
      </c>
      <c r="C49" s="1083" t="s">
        <v>2723</v>
      </c>
      <c r="D49" s="1084" t="s">
        <v>3328</v>
      </c>
      <c r="E49" s="4" t="s">
        <v>25</v>
      </c>
      <c r="F49" s="26">
        <v>19505.2662</v>
      </c>
      <c r="G49" s="26">
        <v>0.0</v>
      </c>
      <c r="H49" s="104">
        <v>0.0</v>
      </c>
      <c r="I49" s="26">
        <f t="shared" si="1"/>
        <v>0</v>
      </c>
      <c r="J49" s="26"/>
      <c r="K49" s="4"/>
      <c r="L49" s="4"/>
      <c r="M49" s="4"/>
      <c r="N49" s="1074" t="s">
        <v>102</v>
      </c>
      <c r="O49" s="1086">
        <v>13578.403199999999</v>
      </c>
      <c r="P49" s="1086">
        <v>50.808</v>
      </c>
      <c r="Q49" s="1086">
        <v>1392.696</v>
      </c>
      <c r="R49" s="26">
        <f t="shared" ref="R49:T49" si="29">O49/$H$1</f>
        <v>1950.92</v>
      </c>
      <c r="S49" s="26">
        <f t="shared" si="29"/>
        <v>7.3</v>
      </c>
      <c r="T49" s="26">
        <f t="shared" si="29"/>
        <v>200.1</v>
      </c>
      <c r="U49" s="26">
        <f t="shared" si="4"/>
        <v>2158.32</v>
      </c>
      <c r="V49" s="4"/>
      <c r="W49" s="4"/>
      <c r="X49" s="4"/>
      <c r="Y49" s="4"/>
      <c r="Z49" s="4"/>
      <c r="AA49" s="4"/>
    </row>
    <row r="50">
      <c r="A50" s="4"/>
      <c r="B50" s="1083" t="s">
        <v>457</v>
      </c>
      <c r="C50" s="1083" t="s">
        <v>2723</v>
      </c>
      <c r="D50" s="1084" t="s">
        <v>3330</v>
      </c>
      <c r="E50" s="4" t="s">
        <v>25</v>
      </c>
      <c r="F50" s="26">
        <v>4161.09</v>
      </c>
      <c r="G50" s="26">
        <v>0.0</v>
      </c>
      <c r="H50" s="104">
        <v>0.0</v>
      </c>
      <c r="I50" s="26">
        <f t="shared" si="1"/>
        <v>0</v>
      </c>
      <c r="J50" s="26"/>
      <c r="K50" s="4"/>
      <c r="L50" s="4"/>
      <c r="M50" s="4"/>
      <c r="N50" s="1074" t="s">
        <v>1807</v>
      </c>
      <c r="O50" s="1086">
        <v>4819.6608</v>
      </c>
      <c r="P50" s="1086">
        <v>0.0</v>
      </c>
      <c r="Q50" s="1086">
        <v>0.0</v>
      </c>
      <c r="R50" s="26">
        <f t="shared" ref="R50:T50" si="30">O50/$H$1</f>
        <v>692.48</v>
      </c>
      <c r="S50" s="26">
        <f t="shared" si="30"/>
        <v>0</v>
      </c>
      <c r="T50" s="26">
        <f t="shared" si="30"/>
        <v>0</v>
      </c>
      <c r="U50" s="26">
        <f t="shared" si="4"/>
        <v>692.48</v>
      </c>
      <c r="V50" s="4"/>
      <c r="W50" s="4"/>
      <c r="X50" s="4"/>
      <c r="Y50" s="4"/>
      <c r="Z50" s="4"/>
      <c r="AA50" s="4"/>
    </row>
    <row r="51">
      <c r="A51" s="4"/>
      <c r="B51" s="1083" t="s">
        <v>3721</v>
      </c>
      <c r="C51" s="1087">
        <v>34110.0</v>
      </c>
      <c r="D51" s="4" t="s">
        <v>3733</v>
      </c>
      <c r="E51" s="4" t="s">
        <v>3031</v>
      </c>
      <c r="F51" s="26">
        <v>11163.849</v>
      </c>
      <c r="G51" s="1096">
        <v>0.0</v>
      </c>
      <c r="H51" s="104">
        <v>0.0</v>
      </c>
      <c r="I51" s="26">
        <f t="shared" si="1"/>
        <v>0</v>
      </c>
      <c r="J51" s="26"/>
      <c r="K51" s="4"/>
      <c r="L51" s="4"/>
      <c r="M51" s="4"/>
      <c r="N51" s="1074" t="s">
        <v>449</v>
      </c>
      <c r="O51" s="1086">
        <v>9478.6848</v>
      </c>
      <c r="P51" s="1086">
        <v>1698.1704</v>
      </c>
      <c r="Q51" s="1086">
        <v>6857.827200000001</v>
      </c>
      <c r="R51" s="26">
        <f t="shared" ref="R51:T51" si="31">O51/$H$1</f>
        <v>1361.88</v>
      </c>
      <c r="S51" s="26">
        <f t="shared" si="31"/>
        <v>243.99</v>
      </c>
      <c r="T51" s="26">
        <f t="shared" si="31"/>
        <v>985.32</v>
      </c>
      <c r="U51" s="26">
        <f t="shared" si="4"/>
        <v>2591.19</v>
      </c>
      <c r="V51" s="4"/>
      <c r="W51" s="4"/>
      <c r="X51" s="4"/>
      <c r="Y51" s="4"/>
      <c r="Z51" s="4"/>
      <c r="AA51" s="4"/>
    </row>
    <row r="52">
      <c r="A52" s="4" t="s">
        <v>3734</v>
      </c>
      <c r="B52" s="1087"/>
      <c r="C52" s="1087"/>
      <c r="D52" s="4"/>
      <c r="E52" s="4"/>
      <c r="F52" s="4"/>
      <c r="G52" s="26">
        <v>953.0</v>
      </c>
      <c r="H52" s="104">
        <v>79266.78</v>
      </c>
      <c r="I52" s="26">
        <f t="shared" si="1"/>
        <v>11388.90517</v>
      </c>
      <c r="J52" s="26"/>
      <c r="K52" s="4"/>
      <c r="L52" s="4"/>
      <c r="M52" s="4"/>
      <c r="N52" s="1074" t="s">
        <v>36</v>
      </c>
      <c r="O52" s="1086">
        <v>0.0</v>
      </c>
      <c r="P52" s="1086">
        <v>75121.15920000001</v>
      </c>
      <c r="Q52" s="1086">
        <v>85733.34959999997</v>
      </c>
      <c r="R52" s="26">
        <f t="shared" ref="R52:T52" si="32">O52/$H$1</f>
        <v>0</v>
      </c>
      <c r="S52" s="26">
        <f t="shared" si="32"/>
        <v>10793.27</v>
      </c>
      <c r="T52" s="26">
        <f t="shared" si="32"/>
        <v>12318.01</v>
      </c>
      <c r="U52" s="26">
        <f t="shared" si="4"/>
        <v>23111.28</v>
      </c>
      <c r="V52" s="4"/>
      <c r="W52" s="4"/>
      <c r="X52" s="4"/>
      <c r="Y52" s="4"/>
      <c r="Z52" s="4"/>
      <c r="AA52" s="4"/>
    </row>
    <row r="53">
      <c r="A53" s="4">
        <v>2.0</v>
      </c>
      <c r="B53" s="1083" t="s">
        <v>1850</v>
      </c>
      <c r="C53" s="1083" t="s">
        <v>2709</v>
      </c>
      <c r="D53" s="1084" t="s">
        <v>1660</v>
      </c>
      <c r="E53" s="4" t="s">
        <v>25</v>
      </c>
      <c r="F53" s="26">
        <v>0.5568</v>
      </c>
      <c r="G53" s="26">
        <v>0.0</v>
      </c>
      <c r="H53" s="104">
        <v>0.0</v>
      </c>
      <c r="I53" s="26">
        <f t="shared" si="1"/>
        <v>0</v>
      </c>
      <c r="J53" s="26"/>
      <c r="K53" s="4"/>
      <c r="L53" s="4"/>
      <c r="M53" s="4"/>
      <c r="N53" s="1074" t="s">
        <v>140</v>
      </c>
      <c r="O53" s="1086">
        <v>0.0</v>
      </c>
      <c r="P53" s="1086">
        <v>92037.23039999999</v>
      </c>
      <c r="Q53" s="1086">
        <v>167135.56080000004</v>
      </c>
      <c r="R53" s="26">
        <f t="shared" ref="R53:T53" si="33">O53/$H$1</f>
        <v>0</v>
      </c>
      <c r="S53" s="26">
        <f t="shared" si="33"/>
        <v>13223.74</v>
      </c>
      <c r="T53" s="26">
        <f t="shared" si="33"/>
        <v>24013.73</v>
      </c>
      <c r="U53" s="26">
        <f t="shared" si="4"/>
        <v>37237.47</v>
      </c>
      <c r="V53" s="4"/>
      <c r="W53" s="4"/>
      <c r="X53" s="4"/>
      <c r="Y53" s="4"/>
      <c r="Z53" s="4"/>
      <c r="AA53" s="4"/>
    </row>
    <row r="54">
      <c r="A54" s="4"/>
      <c r="B54" s="1083" t="s">
        <v>1851</v>
      </c>
      <c r="C54" s="1083" t="s">
        <v>2709</v>
      </c>
      <c r="D54" s="1084" t="s">
        <v>1575</v>
      </c>
      <c r="E54" s="4" t="s">
        <v>25</v>
      </c>
      <c r="F54" s="26">
        <v>0.5568</v>
      </c>
      <c r="G54" s="26">
        <v>0.0</v>
      </c>
      <c r="H54" s="104">
        <v>0.0</v>
      </c>
      <c r="I54" s="26">
        <f t="shared" si="1"/>
        <v>0</v>
      </c>
      <c r="J54" s="26"/>
      <c r="K54" s="4"/>
      <c r="L54" s="4"/>
      <c r="M54" s="4"/>
      <c r="N54" s="1074" t="s">
        <v>227</v>
      </c>
      <c r="O54" s="1086">
        <v>15455.7936</v>
      </c>
      <c r="P54" s="1086">
        <v>118530.81840000002</v>
      </c>
      <c r="Q54" s="1086">
        <v>1573.1688</v>
      </c>
      <c r="R54" s="26">
        <f t="shared" ref="R54:T54" si="34">O54/$H$1</f>
        <v>2220.66</v>
      </c>
      <c r="S54" s="26">
        <f t="shared" si="34"/>
        <v>17030.29</v>
      </c>
      <c r="T54" s="26">
        <f t="shared" si="34"/>
        <v>226.03</v>
      </c>
      <c r="U54" s="26">
        <f t="shared" si="4"/>
        <v>19476.98</v>
      </c>
      <c r="V54" s="4"/>
      <c r="W54" s="4"/>
      <c r="X54" s="4"/>
      <c r="Y54" s="4"/>
      <c r="Z54" s="4"/>
      <c r="AA54" s="4"/>
    </row>
    <row r="55">
      <c r="A55" s="4"/>
      <c r="B55" s="1083" t="s">
        <v>1852</v>
      </c>
      <c r="C55" s="1083" t="s">
        <v>2709</v>
      </c>
      <c r="D55" s="1084" t="s">
        <v>1495</v>
      </c>
      <c r="E55" s="4" t="s">
        <v>25</v>
      </c>
      <c r="F55" s="26">
        <v>0.5568</v>
      </c>
      <c r="G55" s="26">
        <v>164.0</v>
      </c>
      <c r="H55" s="104">
        <v>91.31519999999999</v>
      </c>
      <c r="I55" s="26">
        <f t="shared" si="1"/>
        <v>13.12</v>
      </c>
      <c r="J55" s="26"/>
      <c r="K55" s="4"/>
      <c r="L55" s="4"/>
      <c r="M55" s="4"/>
      <c r="N55" s="1074" t="s">
        <v>129</v>
      </c>
      <c r="O55" s="1086">
        <v>212165.78639999995</v>
      </c>
      <c r="P55" s="1086">
        <v>519767.85839999997</v>
      </c>
      <c r="Q55" s="1086">
        <v>148431.81359999996</v>
      </c>
      <c r="R55" s="26">
        <f t="shared" ref="R55:T55" si="35">O55/$H$1</f>
        <v>30483.59</v>
      </c>
      <c r="S55" s="26">
        <f t="shared" si="35"/>
        <v>74679.29</v>
      </c>
      <c r="T55" s="26">
        <f t="shared" si="35"/>
        <v>21326.41</v>
      </c>
      <c r="U55" s="26">
        <f t="shared" si="4"/>
        <v>126489.29</v>
      </c>
      <c r="V55" s="4"/>
      <c r="W55" s="4"/>
      <c r="X55" s="4"/>
      <c r="Y55" s="4"/>
      <c r="Z55" s="4"/>
      <c r="AA55" s="4"/>
    </row>
    <row r="56">
      <c r="A56" s="4"/>
      <c r="B56" s="1083" t="s">
        <v>1854</v>
      </c>
      <c r="C56" s="1083" t="s">
        <v>2709</v>
      </c>
      <c r="D56" s="1084" t="s">
        <v>1106</v>
      </c>
      <c r="E56" s="4" t="s">
        <v>25</v>
      </c>
      <c r="F56" s="26">
        <v>1.6008</v>
      </c>
      <c r="G56" s="26">
        <v>1654.0</v>
      </c>
      <c r="H56" s="104">
        <v>2647.7232</v>
      </c>
      <c r="I56" s="26">
        <f t="shared" si="1"/>
        <v>380.42</v>
      </c>
      <c r="J56" s="26"/>
      <c r="K56" s="4"/>
      <c r="L56" s="4"/>
      <c r="M56" s="4"/>
      <c r="N56" s="1074" t="s">
        <v>256</v>
      </c>
      <c r="O56" s="26">
        <v>0.0</v>
      </c>
      <c r="P56" s="26">
        <v>92640.5232</v>
      </c>
      <c r="Q56" s="26">
        <v>67188.91679999999</v>
      </c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1083" t="s">
        <v>1855</v>
      </c>
      <c r="C57" s="1083" t="s">
        <v>2709</v>
      </c>
      <c r="D57" s="1084" t="s">
        <v>1169</v>
      </c>
      <c r="E57" s="4" t="s">
        <v>25</v>
      </c>
      <c r="F57" s="26">
        <v>2.7144</v>
      </c>
      <c r="G57" s="26">
        <v>48.0</v>
      </c>
      <c r="H57" s="104">
        <v>130.2912</v>
      </c>
      <c r="I57" s="26">
        <f t="shared" si="1"/>
        <v>18.72</v>
      </c>
      <c r="J57" s="26"/>
      <c r="K57" s="4"/>
      <c r="L57" s="4"/>
      <c r="M57" s="4"/>
      <c r="N57" s="1074" t="s">
        <v>195</v>
      </c>
      <c r="O57" s="26">
        <v>210123.1656</v>
      </c>
      <c r="P57" s="26">
        <v>558388.7592</v>
      </c>
      <c r="Q57" s="26">
        <v>274847.89440000005</v>
      </c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1083" t="s">
        <v>1856</v>
      </c>
      <c r="C58" s="1083" t="s">
        <v>2709</v>
      </c>
      <c r="D58" s="1084" t="s">
        <v>803</v>
      </c>
      <c r="E58" s="4" t="s">
        <v>25</v>
      </c>
      <c r="F58" s="26">
        <v>6.1944</v>
      </c>
      <c r="G58" s="26">
        <v>923.0</v>
      </c>
      <c r="H58" s="104">
        <v>5717.4312</v>
      </c>
      <c r="I58" s="26">
        <f t="shared" si="1"/>
        <v>821.47</v>
      </c>
      <c r="J58" s="26"/>
      <c r="K58" s="4"/>
      <c r="L58" s="4"/>
      <c r="M58" s="4"/>
      <c r="N58" s="1074" t="s">
        <v>231</v>
      </c>
      <c r="O58" s="26">
        <v>141460.608</v>
      </c>
      <c r="P58" s="26">
        <v>384396.90239999996</v>
      </c>
      <c r="Q58" s="26">
        <v>47956.14</v>
      </c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1083" t="s">
        <v>1857</v>
      </c>
      <c r="C59" s="1083" t="s">
        <v>2709</v>
      </c>
      <c r="D59" s="1084" t="s">
        <v>1219</v>
      </c>
      <c r="E59" s="4" t="s">
        <v>25</v>
      </c>
      <c r="F59" s="26">
        <v>13.154399999999999</v>
      </c>
      <c r="G59" s="26">
        <v>0.0</v>
      </c>
      <c r="H59" s="104">
        <v>0.0</v>
      </c>
      <c r="I59" s="26">
        <f t="shared" si="1"/>
        <v>0</v>
      </c>
      <c r="J59" s="26"/>
      <c r="K59" s="4"/>
      <c r="L59" s="4"/>
      <c r="M59" s="4"/>
      <c r="N59" s="1074" t="s">
        <v>620</v>
      </c>
      <c r="O59" s="26">
        <v>29445.393600000003</v>
      </c>
      <c r="P59" s="26">
        <v>0.0</v>
      </c>
      <c r="Q59" s="26">
        <v>0.0</v>
      </c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1083" t="s">
        <v>1858</v>
      </c>
      <c r="C60" s="1083" t="s">
        <v>2709</v>
      </c>
      <c r="D60" s="1084" t="s">
        <v>974</v>
      </c>
      <c r="E60" s="4" t="s">
        <v>25</v>
      </c>
      <c r="F60" s="26">
        <v>24.081599999999998</v>
      </c>
      <c r="G60" s="26">
        <v>254.0</v>
      </c>
      <c r="H60" s="104">
        <v>6116.7264</v>
      </c>
      <c r="I60" s="26">
        <f t="shared" si="1"/>
        <v>878.84</v>
      </c>
      <c r="J60" s="26"/>
      <c r="K60" s="4"/>
      <c r="L60" s="4"/>
      <c r="M60" s="4"/>
      <c r="N60" s="1074" t="s">
        <v>52</v>
      </c>
      <c r="O60" s="26">
        <v>1127673.2591999993</v>
      </c>
      <c r="P60" s="26">
        <v>2230284.9504</v>
      </c>
      <c r="Q60" s="26">
        <v>1418795.3735999998</v>
      </c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1083" t="s">
        <v>1859</v>
      </c>
      <c r="C61" s="1083" t="s">
        <v>2709</v>
      </c>
      <c r="D61" s="1084" t="s">
        <v>649</v>
      </c>
      <c r="E61" s="4" t="s">
        <v>25</v>
      </c>
      <c r="F61" s="26">
        <v>52.4784</v>
      </c>
      <c r="G61" s="26">
        <v>140.0</v>
      </c>
      <c r="H61" s="104">
        <v>7346.976</v>
      </c>
      <c r="I61" s="26">
        <f t="shared" si="1"/>
        <v>1055.6</v>
      </c>
      <c r="J61" s="26"/>
      <c r="K61" s="4"/>
      <c r="L61" s="4"/>
      <c r="M61" s="4"/>
      <c r="N61" s="1074" t="s">
        <v>633</v>
      </c>
      <c r="O61" s="26">
        <v>652804.1519999999</v>
      </c>
      <c r="P61" s="26">
        <v>1485014.6928</v>
      </c>
      <c r="Q61" s="26">
        <v>408211.1688000001</v>
      </c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1083" t="s">
        <v>1860</v>
      </c>
      <c r="C62" s="1083" t="s">
        <v>2709</v>
      </c>
      <c r="D62" s="1084" t="s">
        <v>1404</v>
      </c>
      <c r="E62" s="4" t="s">
        <v>25</v>
      </c>
      <c r="F62" s="26">
        <v>6.1944</v>
      </c>
      <c r="G62" s="26">
        <v>10.0</v>
      </c>
      <c r="H62" s="104">
        <v>61.944</v>
      </c>
      <c r="I62" s="26">
        <f t="shared" si="1"/>
        <v>8.9</v>
      </c>
      <c r="J62" s="26"/>
      <c r="K62" s="4"/>
      <c r="L62" s="4"/>
      <c r="M62" s="4"/>
      <c r="N62" s="1074" t="s">
        <v>23</v>
      </c>
      <c r="O62" s="26">
        <v>7062655.406400002</v>
      </c>
      <c r="P62" s="26">
        <v>5648479.593599997</v>
      </c>
      <c r="Q62" s="26">
        <v>6606629.664</v>
      </c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1083" t="s">
        <v>1862</v>
      </c>
      <c r="C63" s="1083" t="s">
        <v>2709</v>
      </c>
      <c r="D63" s="1084" t="s">
        <v>786</v>
      </c>
      <c r="E63" s="4" t="s">
        <v>25</v>
      </c>
      <c r="F63" s="26">
        <v>3.48</v>
      </c>
      <c r="G63" s="26">
        <v>1750.0</v>
      </c>
      <c r="H63" s="104">
        <v>6090.0</v>
      </c>
      <c r="I63" s="26">
        <f t="shared" si="1"/>
        <v>875</v>
      </c>
      <c r="J63" s="26"/>
      <c r="K63" s="4"/>
      <c r="L63" s="4"/>
      <c r="M63" s="4"/>
      <c r="N63" s="1074" t="s">
        <v>1831</v>
      </c>
      <c r="O63" s="26">
        <v>11928.3264</v>
      </c>
      <c r="P63" s="26">
        <v>0.0</v>
      </c>
      <c r="Q63" s="26">
        <v>0.0</v>
      </c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1083" t="s">
        <v>1863</v>
      </c>
      <c r="C64" s="1083" t="s">
        <v>2709</v>
      </c>
      <c r="D64" s="1084" t="s">
        <v>1517</v>
      </c>
      <c r="E64" s="4" t="s">
        <v>25</v>
      </c>
      <c r="F64" s="26">
        <v>20.6016</v>
      </c>
      <c r="G64" s="26">
        <v>30.0</v>
      </c>
      <c r="H64" s="104">
        <v>618.048</v>
      </c>
      <c r="I64" s="26">
        <f t="shared" si="1"/>
        <v>88.8</v>
      </c>
      <c r="J64" s="26"/>
      <c r="K64" s="4"/>
      <c r="L64" s="4"/>
      <c r="M64" s="4"/>
      <c r="N64" s="1074" t="s">
        <v>1832</v>
      </c>
      <c r="O64" s="26">
        <v>39375.364799999996</v>
      </c>
      <c r="P64" s="26">
        <v>39375.364799999996</v>
      </c>
      <c r="Q64" s="26">
        <v>39375.364799999996</v>
      </c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1083" t="s">
        <v>1865</v>
      </c>
      <c r="C65" s="1083" t="s">
        <v>2709</v>
      </c>
      <c r="D65" s="1084" t="s">
        <v>1469</v>
      </c>
      <c r="E65" s="4" t="s">
        <v>25</v>
      </c>
      <c r="F65" s="26">
        <v>28.1184</v>
      </c>
      <c r="G65" s="26">
        <v>30.0</v>
      </c>
      <c r="H65" s="104">
        <v>843.552</v>
      </c>
      <c r="I65" s="26">
        <f t="shared" si="1"/>
        <v>121.2</v>
      </c>
      <c r="J65" s="26"/>
      <c r="K65" s="4"/>
      <c r="L65" s="4"/>
      <c r="M65" s="4"/>
      <c r="N65" s="1074" t="s">
        <v>738</v>
      </c>
      <c r="O65" s="26">
        <v>82506.9024</v>
      </c>
      <c r="P65" s="26">
        <v>36009.2304</v>
      </c>
      <c r="Q65" s="26">
        <v>0.0</v>
      </c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1083" t="s">
        <v>1867</v>
      </c>
      <c r="C66" s="1083" t="s">
        <v>2709</v>
      </c>
      <c r="D66" s="1084" t="s">
        <v>1565</v>
      </c>
      <c r="E66" s="4" t="s">
        <v>25</v>
      </c>
      <c r="F66" s="26">
        <v>4.8024</v>
      </c>
      <c r="G66" s="26">
        <v>87.0</v>
      </c>
      <c r="H66" s="104">
        <v>417.8087999999999</v>
      </c>
      <c r="I66" s="26">
        <f t="shared" si="1"/>
        <v>60.03</v>
      </c>
      <c r="J66" s="26"/>
      <c r="K66" s="4"/>
      <c r="L66" s="4"/>
      <c r="M66" s="4"/>
      <c r="N66" s="1074" t="s">
        <v>544</v>
      </c>
      <c r="O66" s="26">
        <v>461926.0824</v>
      </c>
      <c r="P66" s="26">
        <v>472312.55999999994</v>
      </c>
      <c r="Q66" s="26">
        <v>352106.1912</v>
      </c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1083" t="s">
        <v>1869</v>
      </c>
      <c r="C67" s="1083" t="s">
        <v>2709</v>
      </c>
      <c r="D67" s="1084" t="s">
        <v>1445</v>
      </c>
      <c r="E67" s="4" t="s">
        <v>25</v>
      </c>
      <c r="F67" s="26">
        <v>10.44</v>
      </c>
      <c r="G67" s="26">
        <v>125.0</v>
      </c>
      <c r="H67" s="104">
        <v>1305.0</v>
      </c>
      <c r="I67" s="26">
        <f t="shared" si="1"/>
        <v>187.5</v>
      </c>
      <c r="J67" s="26"/>
      <c r="K67" s="4"/>
      <c r="L67" s="4"/>
      <c r="M67" s="4"/>
      <c r="N67" s="1074" t="s">
        <v>590</v>
      </c>
      <c r="O67" s="26">
        <v>2106.2352</v>
      </c>
      <c r="P67" s="26">
        <v>8929.1232</v>
      </c>
      <c r="Q67" s="26">
        <v>8929.1232</v>
      </c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1083" t="s">
        <v>1871</v>
      </c>
      <c r="C68" s="1083" t="s">
        <v>2709</v>
      </c>
      <c r="D68" s="1084" t="s">
        <v>1390</v>
      </c>
      <c r="E68" s="4" t="s">
        <v>25</v>
      </c>
      <c r="F68" s="26">
        <v>11.2056</v>
      </c>
      <c r="G68" s="26">
        <v>230.0</v>
      </c>
      <c r="H68" s="104">
        <v>2577.288</v>
      </c>
      <c r="I68" s="26">
        <f t="shared" si="1"/>
        <v>370.3</v>
      </c>
      <c r="J68" s="26"/>
      <c r="K68" s="4"/>
      <c r="L68" s="4"/>
      <c r="M68" s="4"/>
      <c r="N68" s="1074" t="s">
        <v>785</v>
      </c>
      <c r="O68" s="26">
        <v>369601.4736000001</v>
      </c>
      <c r="P68" s="26">
        <v>535819.7064</v>
      </c>
      <c r="Q68" s="26">
        <v>519232.91280000005</v>
      </c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1083" t="s">
        <v>1873</v>
      </c>
      <c r="C69" s="1083" t="s">
        <v>2709</v>
      </c>
      <c r="D69" s="1084" t="s">
        <v>1288</v>
      </c>
      <c r="E69" s="4" t="s">
        <v>25</v>
      </c>
      <c r="F69" s="26">
        <v>32.9208</v>
      </c>
      <c r="G69" s="26">
        <v>81.0</v>
      </c>
      <c r="H69" s="104">
        <v>2666.5848</v>
      </c>
      <c r="I69" s="26">
        <f t="shared" si="1"/>
        <v>383.13</v>
      </c>
      <c r="J69" s="26"/>
      <c r="K69" s="4"/>
      <c r="L69" s="4"/>
      <c r="M69" s="4"/>
      <c r="N69" s="1074" t="s">
        <v>118</v>
      </c>
      <c r="O69" s="26">
        <v>648690.0959999999</v>
      </c>
      <c r="P69" s="26">
        <v>3163361.6208</v>
      </c>
      <c r="Q69" s="26">
        <v>3171922.0032</v>
      </c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1083" t="s">
        <v>1875</v>
      </c>
      <c r="C70" s="1083" t="s">
        <v>2709</v>
      </c>
      <c r="D70" s="1084" t="s">
        <v>1372</v>
      </c>
      <c r="E70" s="4" t="s">
        <v>25</v>
      </c>
      <c r="F70" s="26">
        <v>0.5568</v>
      </c>
      <c r="G70" s="26">
        <v>565.0</v>
      </c>
      <c r="H70" s="104">
        <v>314.592</v>
      </c>
      <c r="I70" s="26">
        <f t="shared" si="1"/>
        <v>45.2</v>
      </c>
      <c r="J70" s="26"/>
      <c r="K70" s="4"/>
      <c r="L70" s="4"/>
      <c r="M70" s="4"/>
      <c r="N70" s="1074" t="s">
        <v>56</v>
      </c>
      <c r="O70" s="26">
        <v>3748535.8008000003</v>
      </c>
      <c r="P70" s="26">
        <v>4967798.6928</v>
      </c>
      <c r="Q70" s="26">
        <v>4934368.5600000005</v>
      </c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1083" t="s">
        <v>1877</v>
      </c>
      <c r="C71" s="1083" t="s">
        <v>2709</v>
      </c>
      <c r="D71" s="1084" t="s">
        <v>1439</v>
      </c>
      <c r="E71" s="4" t="s">
        <v>25</v>
      </c>
      <c r="F71" s="26">
        <v>0.7656</v>
      </c>
      <c r="G71" s="26">
        <v>327.0</v>
      </c>
      <c r="H71" s="104">
        <v>250.35119999999998</v>
      </c>
      <c r="I71" s="26">
        <f t="shared" si="1"/>
        <v>35.97</v>
      </c>
      <c r="J71" s="26"/>
      <c r="K71" s="4"/>
      <c r="L71" s="4"/>
      <c r="M71" s="4"/>
      <c r="N71" s="1074" t="s">
        <v>513</v>
      </c>
      <c r="O71" s="26">
        <v>20457.249600000003</v>
      </c>
      <c r="P71" s="26">
        <v>10120.3968</v>
      </c>
      <c r="Q71" s="26">
        <v>8221.848</v>
      </c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1083" t="s">
        <v>1879</v>
      </c>
      <c r="C72" s="1083" t="s">
        <v>2709</v>
      </c>
      <c r="D72" s="1084" t="s">
        <v>1052</v>
      </c>
      <c r="E72" s="4" t="s">
        <v>25</v>
      </c>
      <c r="F72" s="26">
        <v>1.6008</v>
      </c>
      <c r="G72" s="26">
        <v>0.0</v>
      </c>
      <c r="H72" s="104">
        <v>0.0</v>
      </c>
      <c r="I72" s="26">
        <f t="shared" si="1"/>
        <v>0</v>
      </c>
      <c r="J72" s="26"/>
      <c r="K72" s="4"/>
      <c r="L72" s="4"/>
      <c r="M72" s="4"/>
      <c r="N72" s="1074" t="s">
        <v>1215</v>
      </c>
      <c r="O72" s="26">
        <v>10239.552</v>
      </c>
      <c r="P72" s="26">
        <v>11092.848</v>
      </c>
      <c r="Q72" s="26">
        <v>11092.848</v>
      </c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1083" t="s">
        <v>1881</v>
      </c>
      <c r="C73" s="1083" t="s">
        <v>2709</v>
      </c>
      <c r="D73" s="1084" t="s">
        <v>854</v>
      </c>
      <c r="E73" s="4" t="s">
        <v>25</v>
      </c>
      <c r="F73" s="26">
        <v>2.436</v>
      </c>
      <c r="G73" s="26">
        <v>1411.0</v>
      </c>
      <c r="H73" s="104">
        <v>3437.196</v>
      </c>
      <c r="I73" s="26">
        <f t="shared" si="1"/>
        <v>493.85</v>
      </c>
      <c r="J73" s="26"/>
      <c r="K73" s="4"/>
      <c r="L73" s="4"/>
      <c r="M73" s="4"/>
      <c r="N73" s="1074" t="s">
        <v>150</v>
      </c>
      <c r="O73" s="26">
        <v>409501.692</v>
      </c>
      <c r="P73" s="26">
        <v>298957.1255999999</v>
      </c>
      <c r="Q73" s="26">
        <v>317157.9431999999</v>
      </c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1083" t="s">
        <v>1883</v>
      </c>
      <c r="C74" s="1083" t="s">
        <v>2709</v>
      </c>
      <c r="D74" s="1084" t="s">
        <v>869</v>
      </c>
      <c r="E74" s="4" t="s">
        <v>25</v>
      </c>
      <c r="F74" s="26">
        <v>1.8792000000000002</v>
      </c>
      <c r="G74" s="26">
        <v>1575.0</v>
      </c>
      <c r="H74" s="104">
        <v>2959.7400000000002</v>
      </c>
      <c r="I74" s="26">
        <f t="shared" si="1"/>
        <v>425.25</v>
      </c>
      <c r="J74" s="26"/>
      <c r="K74" s="4"/>
      <c r="L74" s="4"/>
      <c r="M74" s="4"/>
      <c r="N74" s="1074" t="s">
        <v>1675</v>
      </c>
      <c r="O74" s="26">
        <v>19004.9064</v>
      </c>
      <c r="P74" s="26">
        <v>38009.8128</v>
      </c>
      <c r="Q74" s="26">
        <v>0.0</v>
      </c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1083" t="s">
        <v>1885</v>
      </c>
      <c r="C75" s="1083" t="s">
        <v>2709</v>
      </c>
      <c r="D75" s="1084" t="s">
        <v>545</v>
      </c>
      <c r="E75" s="4" t="s">
        <v>25</v>
      </c>
      <c r="F75" s="26">
        <v>9.883199999999999</v>
      </c>
      <c r="G75" s="26">
        <v>366.0</v>
      </c>
      <c r="H75" s="104">
        <v>3617.2511999999997</v>
      </c>
      <c r="I75" s="26">
        <f t="shared" si="1"/>
        <v>519.72</v>
      </c>
      <c r="J75" s="26"/>
      <c r="K75" s="4"/>
      <c r="L75" s="4"/>
      <c r="M75" s="4" t="s">
        <v>3730</v>
      </c>
      <c r="N75" s="1074"/>
      <c r="O75" s="26">
        <v>1.5645329920800002E7</v>
      </c>
      <c r="P75" s="26">
        <v>2.1418492207200017E7</v>
      </c>
      <c r="Q75" s="26">
        <v>2.266987633440001E7</v>
      </c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1083" t="s">
        <v>1887</v>
      </c>
      <c r="C76" s="1083" t="s">
        <v>2723</v>
      </c>
      <c r="D76" s="1084" t="s">
        <v>3582</v>
      </c>
      <c r="E76" s="4" t="s">
        <v>25</v>
      </c>
      <c r="F76" s="26">
        <v>3.2016</v>
      </c>
      <c r="G76" s="26">
        <v>100.0</v>
      </c>
      <c r="H76" s="104">
        <v>320.16</v>
      </c>
      <c r="I76" s="26">
        <f t="shared" si="1"/>
        <v>46</v>
      </c>
      <c r="J76" s="26"/>
      <c r="K76" s="4"/>
      <c r="L76" s="4">
        <v>38.0</v>
      </c>
      <c r="M76" s="4" t="s">
        <v>1774</v>
      </c>
      <c r="N76" s="1074" t="s">
        <v>195</v>
      </c>
      <c r="O76" s="26">
        <v>210670.0</v>
      </c>
      <c r="P76" s="26">
        <v>408412.0</v>
      </c>
      <c r="Q76" s="26">
        <v>280000.0</v>
      </c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1083" t="s">
        <v>1889</v>
      </c>
      <c r="C77" s="1083" t="s">
        <v>2709</v>
      </c>
      <c r="D77" s="1084" t="s">
        <v>1466</v>
      </c>
      <c r="E77" s="4" t="s">
        <v>25</v>
      </c>
      <c r="F77" s="26">
        <v>0.7656</v>
      </c>
      <c r="G77" s="26">
        <v>0.0</v>
      </c>
      <c r="H77" s="104">
        <v>0.0</v>
      </c>
      <c r="I77" s="26">
        <f t="shared" si="1"/>
        <v>0</v>
      </c>
      <c r="J77" s="26"/>
      <c r="K77" s="4"/>
      <c r="L77" s="4"/>
      <c r="M77" s="4" t="s">
        <v>3729</v>
      </c>
      <c r="N77" s="1074"/>
      <c r="O77" s="26">
        <v>210670.0</v>
      </c>
      <c r="P77" s="26">
        <v>408412.0</v>
      </c>
      <c r="Q77" s="26">
        <v>280000.0</v>
      </c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1083" t="s">
        <v>1890</v>
      </c>
      <c r="C78" s="1083" t="s">
        <v>2709</v>
      </c>
      <c r="D78" s="1084" t="s">
        <v>1720</v>
      </c>
      <c r="E78" s="4" t="s">
        <v>25</v>
      </c>
      <c r="F78" s="26">
        <v>0.5568</v>
      </c>
      <c r="G78" s="26">
        <v>0.0</v>
      </c>
      <c r="H78" s="104">
        <v>0.0</v>
      </c>
      <c r="I78" s="26">
        <f t="shared" si="1"/>
        <v>0</v>
      </c>
      <c r="J78" s="26"/>
      <c r="K78" s="4"/>
      <c r="L78" s="4">
        <v>39.0</v>
      </c>
      <c r="M78" s="4" t="s">
        <v>1774</v>
      </c>
      <c r="N78" s="1074" t="s">
        <v>1810</v>
      </c>
      <c r="O78" s="26">
        <v>13848.0</v>
      </c>
      <c r="P78" s="26">
        <v>6924.0</v>
      </c>
      <c r="Q78" s="26">
        <v>0.0</v>
      </c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1083" t="s">
        <v>1891</v>
      </c>
      <c r="C79" s="1083" t="s">
        <v>2709</v>
      </c>
      <c r="D79" s="1084" t="s">
        <v>1748</v>
      </c>
      <c r="E79" s="4" t="s">
        <v>25</v>
      </c>
      <c r="F79" s="26">
        <v>0.5568</v>
      </c>
      <c r="G79" s="26">
        <v>0.0</v>
      </c>
      <c r="H79" s="104">
        <v>0.0</v>
      </c>
      <c r="I79" s="26">
        <f t="shared" si="1"/>
        <v>0</v>
      </c>
      <c r="J79" s="26"/>
      <c r="K79" s="4"/>
      <c r="L79" s="4"/>
      <c r="M79" s="4"/>
      <c r="N79" s="1074" t="s">
        <v>129</v>
      </c>
      <c r="O79" s="26">
        <v>74000.0</v>
      </c>
      <c r="P79" s="26">
        <v>11100.0</v>
      </c>
      <c r="Q79" s="26">
        <v>0.0</v>
      </c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1083" t="s">
        <v>1892</v>
      </c>
      <c r="C80" s="1083" t="s">
        <v>2709</v>
      </c>
      <c r="D80" s="1084" t="s">
        <v>1743</v>
      </c>
      <c r="E80" s="4" t="s">
        <v>25</v>
      </c>
      <c r="F80" s="26">
        <v>0.7656</v>
      </c>
      <c r="G80" s="26">
        <v>0.0</v>
      </c>
      <c r="H80" s="104">
        <v>0.0</v>
      </c>
      <c r="I80" s="26">
        <f t="shared" si="1"/>
        <v>0</v>
      </c>
      <c r="J80" s="26"/>
      <c r="K80" s="4"/>
      <c r="L80" s="4"/>
      <c r="M80" s="4"/>
      <c r="N80" s="1074" t="s">
        <v>195</v>
      </c>
      <c r="O80" s="26">
        <v>134275.0</v>
      </c>
      <c r="P80" s="26">
        <v>0.0</v>
      </c>
      <c r="Q80" s="26">
        <v>0.0</v>
      </c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1083" t="s">
        <v>1894</v>
      </c>
      <c r="C81" s="1083" t="s">
        <v>2709</v>
      </c>
      <c r="D81" s="1084" t="s">
        <v>1681</v>
      </c>
      <c r="E81" s="4" t="s">
        <v>25</v>
      </c>
      <c r="F81" s="26">
        <v>12.3192</v>
      </c>
      <c r="G81" s="26">
        <v>0.0</v>
      </c>
      <c r="H81" s="104">
        <v>0.0</v>
      </c>
      <c r="I81" s="26">
        <f t="shared" si="1"/>
        <v>0</v>
      </c>
      <c r="J81" s="26"/>
      <c r="K81" s="4"/>
      <c r="L81" s="4"/>
      <c r="M81" s="4" t="s">
        <v>3729</v>
      </c>
      <c r="N81" s="1074"/>
      <c r="O81" s="26">
        <v>222123.0</v>
      </c>
      <c r="P81" s="26">
        <v>18024.0</v>
      </c>
      <c r="Q81" s="26">
        <v>0.0</v>
      </c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1083" t="s">
        <v>1895</v>
      </c>
      <c r="C82" s="1083" t="s">
        <v>2709</v>
      </c>
      <c r="D82" s="1084" t="s">
        <v>1608</v>
      </c>
      <c r="E82" s="4" t="s">
        <v>25</v>
      </c>
      <c r="F82" s="26">
        <v>2.7144</v>
      </c>
      <c r="G82" s="26">
        <v>0.0</v>
      </c>
      <c r="H82" s="104">
        <v>0.0</v>
      </c>
      <c r="I82" s="26">
        <f t="shared" si="1"/>
        <v>0</v>
      </c>
      <c r="J82" s="26"/>
      <c r="K82" s="4"/>
      <c r="L82" s="4">
        <v>40.0</v>
      </c>
      <c r="M82" s="4" t="s">
        <v>1774</v>
      </c>
      <c r="N82" s="1074" t="s">
        <v>195</v>
      </c>
      <c r="O82" s="26">
        <v>0.0</v>
      </c>
      <c r="P82" s="26">
        <v>25344.0</v>
      </c>
      <c r="Q82" s="26">
        <v>39336.0</v>
      </c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1083" t="s">
        <v>1897</v>
      </c>
      <c r="C83" s="1083" t="s">
        <v>2709</v>
      </c>
      <c r="D83" s="1084" t="s">
        <v>1283</v>
      </c>
      <c r="E83" s="4" t="s">
        <v>25</v>
      </c>
      <c r="F83" s="26">
        <v>2.1576</v>
      </c>
      <c r="G83" s="26">
        <v>760.0</v>
      </c>
      <c r="H83" s="104">
        <v>1639.7759999999998</v>
      </c>
      <c r="I83" s="26">
        <f t="shared" si="1"/>
        <v>235.6</v>
      </c>
      <c r="J83" s="26"/>
      <c r="K83" s="4"/>
      <c r="L83" s="4"/>
      <c r="M83" s="4"/>
      <c r="N83" s="1074" t="s">
        <v>620</v>
      </c>
      <c r="O83" s="26">
        <v>29559.0</v>
      </c>
      <c r="P83" s="26">
        <v>0.0</v>
      </c>
      <c r="Q83" s="26">
        <v>0.0</v>
      </c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1083" t="s">
        <v>1898</v>
      </c>
      <c r="C84" s="1083" t="s">
        <v>2709</v>
      </c>
      <c r="D84" s="1084" t="s">
        <v>1696</v>
      </c>
      <c r="E84" s="4" t="s">
        <v>25</v>
      </c>
      <c r="F84" s="26">
        <v>1.8792000000000002</v>
      </c>
      <c r="G84" s="26">
        <v>0.0</v>
      </c>
      <c r="H84" s="104">
        <v>0.0</v>
      </c>
      <c r="I84" s="26">
        <f t="shared" si="1"/>
        <v>0</v>
      </c>
      <c r="J84" s="26"/>
      <c r="K84" s="4"/>
      <c r="L84" s="4"/>
      <c r="M84" s="4" t="s">
        <v>3729</v>
      </c>
      <c r="N84" s="1074"/>
      <c r="O84" s="26">
        <v>29559.0</v>
      </c>
      <c r="P84" s="26">
        <v>25344.0</v>
      </c>
      <c r="Q84" s="26">
        <v>39336.0</v>
      </c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1083" t="s">
        <v>1899</v>
      </c>
      <c r="C85" s="1083" t="s">
        <v>2709</v>
      </c>
      <c r="D85" s="1084" t="s">
        <v>1557</v>
      </c>
      <c r="E85" s="4" t="s">
        <v>25</v>
      </c>
      <c r="F85" s="26">
        <v>112.9608</v>
      </c>
      <c r="G85" s="26">
        <v>12.0</v>
      </c>
      <c r="H85" s="104">
        <v>1355.5296</v>
      </c>
      <c r="I85" s="26">
        <f t="shared" si="1"/>
        <v>194.76</v>
      </c>
      <c r="J85" s="26"/>
      <c r="K85" s="4"/>
      <c r="L85" s="4">
        <v>47.0</v>
      </c>
      <c r="M85" s="4" t="s">
        <v>1774</v>
      </c>
      <c r="N85" s="1074" t="s">
        <v>620</v>
      </c>
      <c r="O85" s="26">
        <v>840.0</v>
      </c>
      <c r="P85" s="26">
        <v>0.0</v>
      </c>
      <c r="Q85" s="26">
        <v>0.0</v>
      </c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1083" t="s">
        <v>1901</v>
      </c>
      <c r="C86" s="1083" t="s">
        <v>2709</v>
      </c>
      <c r="D86" s="1084" t="s">
        <v>980</v>
      </c>
      <c r="E86" s="4" t="s">
        <v>25</v>
      </c>
      <c r="F86" s="26">
        <v>119.0856</v>
      </c>
      <c r="G86" s="26">
        <v>28.0</v>
      </c>
      <c r="H86" s="104">
        <v>3334.3968</v>
      </c>
      <c r="I86" s="26">
        <f t="shared" si="1"/>
        <v>479.08</v>
      </c>
      <c r="J86" s="26"/>
      <c r="K86" s="4"/>
      <c r="L86" s="4"/>
      <c r="M86" s="4" t="s">
        <v>3729</v>
      </c>
      <c r="N86" s="1074"/>
      <c r="O86" s="26">
        <v>840.0</v>
      </c>
      <c r="P86" s="26">
        <v>0.0</v>
      </c>
      <c r="Q86" s="26">
        <v>0.0</v>
      </c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1083" t="s">
        <v>1902</v>
      </c>
      <c r="C87" s="1083" t="s">
        <v>2709</v>
      </c>
      <c r="D87" s="1084" t="s">
        <v>615</v>
      </c>
      <c r="E87" s="4" t="s">
        <v>25</v>
      </c>
      <c r="F87" s="26">
        <v>132.7272</v>
      </c>
      <c r="G87" s="26">
        <v>110.0</v>
      </c>
      <c r="H87" s="104">
        <v>14599.992000000002</v>
      </c>
      <c r="I87" s="26">
        <f t="shared" si="1"/>
        <v>2097.7</v>
      </c>
      <c r="J87" s="26"/>
      <c r="K87" s="4"/>
      <c r="L87" s="4" t="s">
        <v>1815</v>
      </c>
      <c r="M87" s="4"/>
      <c r="N87" s="1074"/>
      <c r="O87" s="26">
        <v>1.6187788700800007E7</v>
      </c>
      <c r="P87" s="26">
        <v>2.400063620040004E7</v>
      </c>
      <c r="Q87" s="26">
        <v>2.396321615960001E7</v>
      </c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1083" t="s">
        <v>1903</v>
      </c>
      <c r="C88" s="1083" t="s">
        <v>2709</v>
      </c>
      <c r="D88" s="1084" t="s">
        <v>3056</v>
      </c>
      <c r="E88" s="4" t="s">
        <v>25</v>
      </c>
      <c r="F88" s="26">
        <v>8.004</v>
      </c>
      <c r="G88" s="26">
        <v>174.0</v>
      </c>
      <c r="H88" s="104">
        <v>1392.696</v>
      </c>
      <c r="I88" s="26">
        <f t="shared" si="1"/>
        <v>200.1</v>
      </c>
      <c r="J88" s="26"/>
      <c r="K88" s="4"/>
      <c r="L88" s="4"/>
      <c r="M88" s="4"/>
      <c r="N88" s="107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1083" t="s">
        <v>1905</v>
      </c>
      <c r="C89" s="1083" t="s">
        <v>2709</v>
      </c>
      <c r="D89" s="1084" t="s">
        <v>1583</v>
      </c>
      <c r="E89" s="4" t="s">
        <v>25</v>
      </c>
      <c r="F89" s="26">
        <v>32.9208</v>
      </c>
      <c r="G89" s="26">
        <v>0.0</v>
      </c>
      <c r="H89" s="104">
        <v>0.0</v>
      </c>
      <c r="I89" s="26">
        <f t="shared" si="1"/>
        <v>0</v>
      </c>
      <c r="J89" s="26"/>
      <c r="K89" s="4"/>
      <c r="L89" s="4"/>
      <c r="M89" s="4"/>
      <c r="N89" s="107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1083" t="s">
        <v>1907</v>
      </c>
      <c r="C90" s="1083" t="s">
        <v>2709</v>
      </c>
      <c r="D90" s="1084" t="s">
        <v>1410</v>
      </c>
      <c r="E90" s="4" t="s">
        <v>25</v>
      </c>
      <c r="F90" s="26">
        <v>254.8056</v>
      </c>
      <c r="G90" s="26">
        <v>0.0</v>
      </c>
      <c r="H90" s="104">
        <v>0.0</v>
      </c>
      <c r="I90" s="26">
        <f t="shared" si="1"/>
        <v>0</v>
      </c>
      <c r="J90" s="26"/>
      <c r="K90" s="4"/>
      <c r="L90" s="4"/>
      <c r="M90" s="4"/>
      <c r="N90" s="107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1083" t="s">
        <v>1909</v>
      </c>
      <c r="C91" s="1083" t="s">
        <v>2709</v>
      </c>
      <c r="D91" s="1084" t="s">
        <v>961</v>
      </c>
      <c r="E91" s="4" t="s">
        <v>25</v>
      </c>
      <c r="F91" s="26">
        <v>11.7624</v>
      </c>
      <c r="G91" s="26">
        <v>608.0</v>
      </c>
      <c r="H91" s="104">
        <v>7151.539199999999</v>
      </c>
      <c r="I91" s="26">
        <f t="shared" si="1"/>
        <v>1027.52</v>
      </c>
      <c r="J91" s="26"/>
      <c r="K91" s="4"/>
      <c r="L91" s="4"/>
      <c r="M91" s="4"/>
      <c r="N91" s="107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1083" t="s">
        <v>1910</v>
      </c>
      <c r="C92" s="1083" t="s">
        <v>2709</v>
      </c>
      <c r="D92" s="1084" t="s">
        <v>1109</v>
      </c>
      <c r="E92" s="4" t="s">
        <v>25</v>
      </c>
      <c r="F92" s="26">
        <v>17.1216</v>
      </c>
      <c r="G92" s="26">
        <v>132.0</v>
      </c>
      <c r="H92" s="104">
        <v>2260.0512</v>
      </c>
      <c r="I92" s="26">
        <f t="shared" si="1"/>
        <v>324.72</v>
      </c>
      <c r="J92" s="26"/>
      <c r="K92" s="4"/>
      <c r="L92" s="4"/>
      <c r="M92" s="4"/>
      <c r="N92" s="107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1083" t="s">
        <v>1911</v>
      </c>
      <c r="C93" s="1083" t="s">
        <v>2709</v>
      </c>
      <c r="D93" s="1084" t="s">
        <v>1605</v>
      </c>
      <c r="E93" s="4" t="s">
        <v>25</v>
      </c>
      <c r="F93" s="26">
        <v>1.8792000000000002</v>
      </c>
      <c r="G93" s="26">
        <v>264.0</v>
      </c>
      <c r="H93" s="104">
        <v>496.10880000000003</v>
      </c>
      <c r="I93" s="26">
        <f t="shared" si="1"/>
        <v>71.28</v>
      </c>
      <c r="J93" s="26"/>
      <c r="K93" s="4"/>
      <c r="L93" s="4"/>
      <c r="M93" s="4"/>
      <c r="N93" s="107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1083" t="s">
        <v>1913</v>
      </c>
      <c r="C94" s="1083" t="s">
        <v>2723</v>
      </c>
      <c r="D94" s="1084" t="s">
        <v>1366</v>
      </c>
      <c r="E94" s="4" t="s">
        <v>25</v>
      </c>
      <c r="F94" s="26">
        <v>11.2056</v>
      </c>
      <c r="G94" s="26">
        <v>566.0</v>
      </c>
      <c r="H94" s="104">
        <v>6342.3696</v>
      </c>
      <c r="I94" s="26">
        <f t="shared" si="1"/>
        <v>911.26</v>
      </c>
      <c r="J94" s="26"/>
      <c r="K94" s="4"/>
      <c r="L94" s="4"/>
      <c r="M94" s="4"/>
      <c r="N94" s="107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1083" t="s">
        <v>1915</v>
      </c>
      <c r="C95" s="1083" t="s">
        <v>2709</v>
      </c>
      <c r="D95" s="1084" t="s">
        <v>3576</v>
      </c>
      <c r="E95" s="4" t="s">
        <v>25</v>
      </c>
      <c r="F95" s="26">
        <v>5.6376</v>
      </c>
      <c r="G95" s="26">
        <v>40.0</v>
      </c>
      <c r="H95" s="104">
        <v>225.504</v>
      </c>
      <c r="I95" s="26">
        <f t="shared" si="1"/>
        <v>32.4</v>
      </c>
      <c r="J95" s="26"/>
      <c r="K95" s="4"/>
      <c r="L95" s="4"/>
      <c r="M95" s="4"/>
      <c r="N95" s="107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1083" t="s">
        <v>1917</v>
      </c>
      <c r="C96" s="1083" t="s">
        <v>2709</v>
      </c>
      <c r="D96" s="1084" t="s">
        <v>1237</v>
      </c>
      <c r="E96" s="4" t="s">
        <v>25</v>
      </c>
      <c r="F96" s="26">
        <v>270.8832</v>
      </c>
      <c r="G96" s="26">
        <v>0.0</v>
      </c>
      <c r="H96" s="104">
        <v>0.0</v>
      </c>
      <c r="I96" s="26">
        <f t="shared" si="1"/>
        <v>0</v>
      </c>
      <c r="J96" s="26"/>
      <c r="K96" s="4"/>
      <c r="L96" s="4"/>
      <c r="M96" s="4"/>
      <c r="N96" s="107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1083" t="s">
        <v>1919</v>
      </c>
      <c r="C97" s="1083" t="s">
        <v>2709</v>
      </c>
      <c r="D97" s="1084" t="s">
        <v>347</v>
      </c>
      <c r="E97" s="4" t="s">
        <v>25</v>
      </c>
      <c r="F97" s="26">
        <v>43.639199999999995</v>
      </c>
      <c r="G97" s="26">
        <v>904.0</v>
      </c>
      <c r="H97" s="104">
        <v>39449.8368</v>
      </c>
      <c r="I97" s="26">
        <f t="shared" si="1"/>
        <v>5668.08</v>
      </c>
      <c r="J97" s="26"/>
      <c r="K97" s="4"/>
      <c r="L97" s="4"/>
      <c r="M97" s="4"/>
      <c r="N97" s="107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1083" t="s">
        <v>1920</v>
      </c>
      <c r="C98" s="1083" t="s">
        <v>2855</v>
      </c>
      <c r="D98" s="1084" t="s">
        <v>539</v>
      </c>
      <c r="E98" s="4" t="s">
        <v>25</v>
      </c>
      <c r="F98" s="26">
        <v>133.5624</v>
      </c>
      <c r="G98" s="26">
        <v>55.0</v>
      </c>
      <c r="H98" s="104">
        <v>7345.932</v>
      </c>
      <c r="I98" s="26">
        <f t="shared" si="1"/>
        <v>1055.45</v>
      </c>
      <c r="J98" s="26"/>
      <c r="K98" s="4"/>
      <c r="L98" s="4"/>
      <c r="M98" s="4"/>
      <c r="N98" s="107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1083" t="s">
        <v>1922</v>
      </c>
      <c r="C99" s="1083" t="s">
        <v>2709</v>
      </c>
      <c r="D99" s="1084" t="s">
        <v>286</v>
      </c>
      <c r="E99" s="4" t="s">
        <v>25</v>
      </c>
      <c r="F99" s="26">
        <v>16624.3776</v>
      </c>
      <c r="G99" s="26">
        <v>0.0</v>
      </c>
      <c r="H99" s="104">
        <v>0.0</v>
      </c>
      <c r="I99" s="26">
        <f t="shared" si="1"/>
        <v>0</v>
      </c>
      <c r="J99" s="26"/>
      <c r="K99" s="4"/>
      <c r="L99" s="4"/>
      <c r="M99" s="4"/>
      <c r="N99" s="107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1083" t="s">
        <v>1923</v>
      </c>
      <c r="C100" s="1083" t="s">
        <v>2709</v>
      </c>
      <c r="D100" s="1084" t="s">
        <v>1183</v>
      </c>
      <c r="E100" s="4" t="s">
        <v>25</v>
      </c>
      <c r="F100" s="26">
        <v>651.1776</v>
      </c>
      <c r="G100" s="26">
        <v>0.0</v>
      </c>
      <c r="H100" s="104">
        <v>0.0</v>
      </c>
      <c r="I100" s="26">
        <f t="shared" si="1"/>
        <v>0</v>
      </c>
      <c r="J100" s="26"/>
      <c r="K100" s="4"/>
      <c r="L100" s="4"/>
      <c r="M100" s="4"/>
      <c r="N100" s="107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1083" t="s">
        <v>1925</v>
      </c>
      <c r="C101" s="1083" t="s">
        <v>2709</v>
      </c>
      <c r="D101" s="1084" t="s">
        <v>1387</v>
      </c>
      <c r="E101" s="4" t="s">
        <v>25</v>
      </c>
      <c r="F101" s="26">
        <v>12.040799999999999</v>
      </c>
      <c r="G101" s="26">
        <v>0.0</v>
      </c>
      <c r="H101" s="104">
        <v>0.0</v>
      </c>
      <c r="I101" s="26">
        <f t="shared" si="1"/>
        <v>0</v>
      </c>
      <c r="J101" s="26"/>
      <c r="K101" s="4"/>
      <c r="L101" s="4"/>
      <c r="M101" s="4"/>
      <c r="N101" s="107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1083" t="s">
        <v>1926</v>
      </c>
      <c r="C102" s="1083" t="s">
        <v>2709</v>
      </c>
      <c r="D102" s="1084" t="s">
        <v>555</v>
      </c>
      <c r="E102" s="4" t="s">
        <v>25</v>
      </c>
      <c r="F102" s="26">
        <v>37.166399999999996</v>
      </c>
      <c r="G102" s="26">
        <v>0.0</v>
      </c>
      <c r="H102" s="104">
        <v>0.0</v>
      </c>
      <c r="I102" s="26">
        <f t="shared" si="1"/>
        <v>0</v>
      </c>
      <c r="J102" s="26"/>
      <c r="K102" s="4"/>
      <c r="L102" s="4"/>
      <c r="M102" s="4"/>
      <c r="N102" s="107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1083" t="s">
        <v>1928</v>
      </c>
      <c r="C103" s="1083" t="s">
        <v>2709</v>
      </c>
      <c r="D103" s="1084" t="s">
        <v>602</v>
      </c>
      <c r="E103" s="4" t="s">
        <v>25</v>
      </c>
      <c r="F103" s="26">
        <v>3417.708</v>
      </c>
      <c r="G103" s="26">
        <v>0.0</v>
      </c>
      <c r="H103" s="104">
        <v>0.0</v>
      </c>
      <c r="I103" s="26">
        <f t="shared" si="1"/>
        <v>0</v>
      </c>
      <c r="J103" s="26"/>
      <c r="K103" s="4"/>
      <c r="L103" s="4"/>
      <c r="M103" s="4"/>
      <c r="N103" s="107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1083" t="s">
        <v>1929</v>
      </c>
      <c r="C104" s="1083" t="s">
        <v>2709</v>
      </c>
      <c r="D104" s="1084" t="s">
        <v>735</v>
      </c>
      <c r="E104" s="4" t="s">
        <v>25</v>
      </c>
      <c r="F104" s="26">
        <v>633.7776</v>
      </c>
      <c r="G104" s="26">
        <v>0.0</v>
      </c>
      <c r="H104" s="104">
        <v>0.0</v>
      </c>
      <c r="I104" s="26">
        <f t="shared" si="1"/>
        <v>0</v>
      </c>
      <c r="J104" s="26"/>
      <c r="K104" s="4"/>
      <c r="L104" s="4"/>
      <c r="M104" s="4"/>
      <c r="N104" s="107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1083" t="s">
        <v>1930</v>
      </c>
      <c r="C105" s="1083" t="s">
        <v>2709</v>
      </c>
      <c r="D105" s="1084" t="s">
        <v>1639</v>
      </c>
      <c r="E105" s="4" t="s">
        <v>25</v>
      </c>
      <c r="F105" s="26">
        <v>0.5568</v>
      </c>
      <c r="G105" s="26">
        <v>0.0</v>
      </c>
      <c r="H105" s="104">
        <v>0.0</v>
      </c>
      <c r="I105" s="26">
        <f t="shared" si="1"/>
        <v>0</v>
      </c>
      <c r="J105" s="26"/>
      <c r="K105" s="4"/>
      <c r="L105" s="4"/>
      <c r="M105" s="4"/>
      <c r="N105" s="107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1083" t="s">
        <v>1931</v>
      </c>
      <c r="C106" s="1083" t="s">
        <v>2723</v>
      </c>
      <c r="D106" s="1084" t="s">
        <v>3254</v>
      </c>
      <c r="E106" s="4" t="s">
        <v>25</v>
      </c>
      <c r="F106" s="26">
        <v>48.72</v>
      </c>
      <c r="G106" s="26">
        <v>0.0</v>
      </c>
      <c r="H106" s="104">
        <v>0.0</v>
      </c>
      <c r="I106" s="26">
        <f t="shared" si="1"/>
        <v>0</v>
      </c>
      <c r="J106" s="26"/>
      <c r="K106" s="4"/>
      <c r="L106" s="4"/>
      <c r="M106" s="4"/>
      <c r="N106" s="107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1083" t="s">
        <v>1933</v>
      </c>
      <c r="C107" s="1083" t="s">
        <v>2709</v>
      </c>
      <c r="D107" s="1084" t="s">
        <v>1335</v>
      </c>
      <c r="E107" s="4" t="s">
        <v>25</v>
      </c>
      <c r="F107" s="26">
        <v>142.1232</v>
      </c>
      <c r="G107" s="26">
        <v>0.0</v>
      </c>
      <c r="H107" s="104">
        <v>0.0</v>
      </c>
      <c r="I107" s="26">
        <f t="shared" si="1"/>
        <v>0</v>
      </c>
      <c r="J107" s="26"/>
      <c r="K107" s="4"/>
      <c r="L107" s="4"/>
      <c r="M107" s="4"/>
      <c r="N107" s="107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1083" t="s">
        <v>1935</v>
      </c>
      <c r="C108" s="1083" t="s">
        <v>2709</v>
      </c>
      <c r="D108" s="1084" t="s">
        <v>872</v>
      </c>
      <c r="E108" s="4" t="s">
        <v>25</v>
      </c>
      <c r="F108" s="26">
        <v>429.2928</v>
      </c>
      <c r="G108" s="26">
        <v>16.0</v>
      </c>
      <c r="H108" s="104">
        <v>6868.6848</v>
      </c>
      <c r="I108" s="26">
        <f t="shared" si="1"/>
        <v>986.88</v>
      </c>
      <c r="J108" s="26"/>
      <c r="K108" s="4"/>
      <c r="L108" s="4"/>
      <c r="M108" s="4"/>
      <c r="N108" s="107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1083" t="s">
        <v>1936</v>
      </c>
      <c r="C109" s="1083" t="s">
        <v>2709</v>
      </c>
      <c r="D109" s="1084" t="s">
        <v>1693</v>
      </c>
      <c r="E109" s="4" t="s">
        <v>25</v>
      </c>
      <c r="F109" s="26">
        <v>7.2384</v>
      </c>
      <c r="G109" s="26">
        <v>0.0</v>
      </c>
      <c r="H109" s="104">
        <v>0.0</v>
      </c>
      <c r="I109" s="26">
        <f t="shared" si="1"/>
        <v>0</v>
      </c>
      <c r="J109" s="26"/>
      <c r="K109" s="4"/>
      <c r="L109" s="4"/>
      <c r="M109" s="4"/>
      <c r="N109" s="107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1083" t="s">
        <v>1937</v>
      </c>
      <c r="C110" s="1083" t="s">
        <v>2709</v>
      </c>
      <c r="D110" s="1084" t="s">
        <v>1346</v>
      </c>
      <c r="E110" s="4" t="s">
        <v>25</v>
      </c>
      <c r="F110" s="26">
        <v>115.6056</v>
      </c>
      <c r="G110" s="26">
        <v>0.0</v>
      </c>
      <c r="H110" s="104">
        <v>0.0</v>
      </c>
      <c r="I110" s="26">
        <f t="shared" si="1"/>
        <v>0</v>
      </c>
      <c r="J110" s="26"/>
      <c r="K110" s="4"/>
      <c r="L110" s="4"/>
      <c r="M110" s="4"/>
      <c r="N110" s="107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1083" t="s">
        <v>1938</v>
      </c>
      <c r="C111" s="1083" t="s">
        <v>2723</v>
      </c>
      <c r="D111" s="1084" t="s">
        <v>936</v>
      </c>
      <c r="E111" s="4" t="s">
        <v>25</v>
      </c>
      <c r="F111" s="26">
        <v>3369.7536</v>
      </c>
      <c r="G111" s="26">
        <v>2.0</v>
      </c>
      <c r="H111" s="104">
        <v>6739.5072</v>
      </c>
      <c r="I111" s="26">
        <f t="shared" si="1"/>
        <v>968.32</v>
      </c>
      <c r="J111" s="26"/>
      <c r="K111" s="4"/>
      <c r="L111" s="4"/>
      <c r="M111" s="4"/>
      <c r="N111" s="107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1083" t="s">
        <v>1939</v>
      </c>
      <c r="C112" s="1083" t="s">
        <v>2709</v>
      </c>
      <c r="D112" s="1084" t="s">
        <v>1296</v>
      </c>
      <c r="E112" s="4" t="s">
        <v>25</v>
      </c>
      <c r="F112" s="26">
        <v>209.5656</v>
      </c>
      <c r="G112" s="26">
        <v>4.0</v>
      </c>
      <c r="H112" s="104">
        <v>838.2624</v>
      </c>
      <c r="I112" s="26">
        <f t="shared" si="1"/>
        <v>120.44</v>
      </c>
      <c r="J112" s="26"/>
      <c r="K112" s="4"/>
      <c r="L112" s="4"/>
      <c r="M112" s="4"/>
      <c r="N112" s="107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1083" t="s">
        <v>1940</v>
      </c>
      <c r="C113" s="1083" t="s">
        <v>2709</v>
      </c>
      <c r="D113" s="1084" t="s">
        <v>845</v>
      </c>
      <c r="E113" s="4" t="s">
        <v>25</v>
      </c>
      <c r="F113" s="26">
        <v>13.6416</v>
      </c>
      <c r="G113" s="26">
        <v>472.0</v>
      </c>
      <c r="H113" s="104">
        <v>6438.8352</v>
      </c>
      <c r="I113" s="26">
        <f t="shared" si="1"/>
        <v>925.12</v>
      </c>
      <c r="J113" s="26"/>
      <c r="K113" s="4"/>
      <c r="L113" s="4"/>
      <c r="M113" s="4"/>
      <c r="N113" s="107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1083" t="s">
        <v>1942</v>
      </c>
      <c r="C114" s="1083" t="s">
        <v>2723</v>
      </c>
      <c r="D114" s="1084" t="s">
        <v>1393</v>
      </c>
      <c r="E114" s="4" t="s">
        <v>25</v>
      </c>
      <c r="F114" s="26">
        <v>913.2216000000001</v>
      </c>
      <c r="G114" s="26">
        <v>0.0</v>
      </c>
      <c r="H114" s="104">
        <v>0.0</v>
      </c>
      <c r="I114" s="26">
        <f t="shared" si="1"/>
        <v>0</v>
      </c>
      <c r="J114" s="26"/>
      <c r="K114" s="4"/>
      <c r="L114" s="4"/>
      <c r="M114" s="4"/>
      <c r="N114" s="107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1083" t="s">
        <v>1944</v>
      </c>
      <c r="C115" s="1083" t="s">
        <v>2723</v>
      </c>
      <c r="D115" s="1084" t="s">
        <v>1596</v>
      </c>
      <c r="E115" s="4" t="s">
        <v>25</v>
      </c>
      <c r="F115" s="26">
        <v>385.7232</v>
      </c>
      <c r="G115" s="26">
        <v>3.0</v>
      </c>
      <c r="H115" s="104">
        <v>1157.1696000000002</v>
      </c>
      <c r="I115" s="26">
        <f t="shared" si="1"/>
        <v>166.26</v>
      </c>
      <c r="J115" s="26"/>
      <c r="K115" s="4"/>
      <c r="L115" s="4"/>
      <c r="M115" s="4"/>
      <c r="N115" s="107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1083" t="s">
        <v>1946</v>
      </c>
      <c r="C116" s="1083" t="s">
        <v>2723</v>
      </c>
      <c r="D116" s="1084" t="s">
        <v>958</v>
      </c>
      <c r="E116" s="4" t="s">
        <v>25</v>
      </c>
      <c r="F116" s="26">
        <v>2013.5976</v>
      </c>
      <c r="G116" s="26">
        <v>2.0</v>
      </c>
      <c r="H116" s="104">
        <v>4027.1952</v>
      </c>
      <c r="I116" s="26">
        <f t="shared" si="1"/>
        <v>578.62</v>
      </c>
      <c r="J116" s="26"/>
      <c r="K116" s="4"/>
      <c r="L116" s="4"/>
      <c r="M116" s="4"/>
      <c r="N116" s="107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1083" t="s">
        <v>1948</v>
      </c>
      <c r="C117" s="1083" t="s">
        <v>2709</v>
      </c>
      <c r="D117" s="1084" t="s">
        <v>548</v>
      </c>
      <c r="E117" s="4" t="s">
        <v>25</v>
      </c>
      <c r="F117" s="26">
        <v>693.7728000000001</v>
      </c>
      <c r="G117" s="26">
        <v>0.0</v>
      </c>
      <c r="H117" s="104">
        <v>0.0</v>
      </c>
      <c r="I117" s="26">
        <f t="shared" si="1"/>
        <v>0</v>
      </c>
      <c r="J117" s="26"/>
      <c r="K117" s="4"/>
      <c r="L117" s="4"/>
      <c r="M117" s="4"/>
      <c r="N117" s="107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1083" t="s">
        <v>3735</v>
      </c>
      <c r="C118" s="1087">
        <v>34110.0</v>
      </c>
      <c r="D118" s="4" t="s">
        <v>3736</v>
      </c>
      <c r="E118" s="4" t="s">
        <v>25</v>
      </c>
      <c r="F118" s="26">
        <v>6423.732</v>
      </c>
      <c r="G118" s="1094">
        <v>17.0</v>
      </c>
      <c r="H118" s="104">
        <v>109203.444</v>
      </c>
      <c r="I118" s="26">
        <f t="shared" si="1"/>
        <v>15690.15</v>
      </c>
      <c r="J118" s="26"/>
      <c r="K118" s="4"/>
      <c r="L118" s="4"/>
      <c r="M118" s="4"/>
      <c r="N118" s="107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1083" t="s">
        <v>1950</v>
      </c>
      <c r="C119" s="1083" t="s">
        <v>2709</v>
      </c>
      <c r="D119" s="1084" t="s">
        <v>1008</v>
      </c>
      <c r="E119" s="4" t="s">
        <v>25</v>
      </c>
      <c r="F119" s="26">
        <v>69.8784</v>
      </c>
      <c r="G119" s="26">
        <v>0.0</v>
      </c>
      <c r="H119" s="104">
        <v>0.0</v>
      </c>
      <c r="I119" s="26">
        <f t="shared" si="1"/>
        <v>0</v>
      </c>
      <c r="J119" s="26"/>
      <c r="K119" s="4"/>
      <c r="L119" s="4"/>
      <c r="M119" s="4"/>
      <c r="N119" s="107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1083" t="s">
        <v>1951</v>
      </c>
      <c r="C120" s="1083" t="s">
        <v>2709</v>
      </c>
      <c r="D120" s="1084" t="s">
        <v>1042</v>
      </c>
      <c r="E120" s="4" t="s">
        <v>25</v>
      </c>
      <c r="F120" s="26">
        <v>68.2776</v>
      </c>
      <c r="G120" s="26">
        <v>74.0</v>
      </c>
      <c r="H120" s="104">
        <v>5052.5424</v>
      </c>
      <c r="I120" s="26">
        <f t="shared" si="1"/>
        <v>725.94</v>
      </c>
      <c r="J120" s="26"/>
      <c r="K120" s="4"/>
      <c r="L120" s="4"/>
      <c r="M120" s="4"/>
      <c r="N120" s="107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1083" t="s">
        <v>1952</v>
      </c>
      <c r="C121" s="1083" t="s">
        <v>2709</v>
      </c>
      <c r="D121" s="1084" t="s">
        <v>99</v>
      </c>
      <c r="E121" s="4" t="s">
        <v>25</v>
      </c>
      <c r="F121" s="26">
        <v>388.6464</v>
      </c>
      <c r="G121" s="26">
        <v>126.0</v>
      </c>
      <c r="H121" s="104">
        <v>48969.4464</v>
      </c>
      <c r="I121" s="26">
        <f t="shared" si="1"/>
        <v>7035.84</v>
      </c>
      <c r="J121" s="26"/>
      <c r="K121" s="4"/>
      <c r="L121" s="4"/>
      <c r="M121" s="4"/>
      <c r="N121" s="107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1083" t="s">
        <v>1954</v>
      </c>
      <c r="C122" s="1083" t="s">
        <v>2709</v>
      </c>
      <c r="D122" s="1084" t="s">
        <v>627</v>
      </c>
      <c r="E122" s="4" t="s">
        <v>25</v>
      </c>
      <c r="F122" s="26">
        <v>56.4456</v>
      </c>
      <c r="G122" s="26">
        <v>294.0</v>
      </c>
      <c r="H122" s="104">
        <v>16595.0064</v>
      </c>
      <c r="I122" s="26">
        <f t="shared" si="1"/>
        <v>2384.34</v>
      </c>
      <c r="J122" s="26"/>
      <c r="K122" s="4"/>
      <c r="L122" s="4"/>
      <c r="M122" s="4"/>
      <c r="N122" s="107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1083" t="s">
        <v>1956</v>
      </c>
      <c r="C123" s="1083" t="s">
        <v>2709</v>
      </c>
      <c r="D123" s="1084" t="s">
        <v>328</v>
      </c>
      <c r="E123" s="4" t="s">
        <v>25</v>
      </c>
      <c r="F123" s="26">
        <v>93.4032</v>
      </c>
      <c r="G123" s="26">
        <v>70.0</v>
      </c>
      <c r="H123" s="104">
        <v>6538.224</v>
      </c>
      <c r="I123" s="26">
        <f t="shared" si="1"/>
        <v>939.4</v>
      </c>
      <c r="J123" s="26"/>
      <c r="K123" s="4"/>
      <c r="L123" s="4"/>
      <c r="M123" s="4"/>
      <c r="N123" s="107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1083" t="s">
        <v>1958</v>
      </c>
      <c r="C124" s="1083" t="s">
        <v>2709</v>
      </c>
      <c r="D124" s="1084" t="s">
        <v>280</v>
      </c>
      <c r="E124" s="4" t="s">
        <v>25</v>
      </c>
      <c r="F124" s="26">
        <v>122.07839999999999</v>
      </c>
      <c r="G124" s="26">
        <v>512.0</v>
      </c>
      <c r="H124" s="104">
        <v>62504.140799999994</v>
      </c>
      <c r="I124" s="26">
        <f t="shared" si="1"/>
        <v>8980.48</v>
      </c>
      <c r="J124" s="26"/>
      <c r="K124" s="4"/>
      <c r="L124" s="4"/>
      <c r="M124" s="4"/>
      <c r="N124" s="107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1083" t="s">
        <v>1960</v>
      </c>
      <c r="C125" s="1083" t="s">
        <v>2709</v>
      </c>
      <c r="D125" s="1084" t="s">
        <v>2731</v>
      </c>
      <c r="E125" s="4" t="s">
        <v>25</v>
      </c>
      <c r="F125" s="26">
        <v>1065.2976</v>
      </c>
      <c r="G125" s="26">
        <v>76.0</v>
      </c>
      <c r="H125" s="104">
        <v>80962.61760000001</v>
      </c>
      <c r="I125" s="26">
        <f t="shared" si="1"/>
        <v>11632.56</v>
      </c>
      <c r="J125" s="26"/>
      <c r="K125" s="4"/>
      <c r="L125" s="4"/>
      <c r="M125" s="4"/>
      <c r="N125" s="107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1083" t="s">
        <v>1962</v>
      </c>
      <c r="C126" s="1083" t="s">
        <v>2709</v>
      </c>
      <c r="D126" s="1084" t="s">
        <v>411</v>
      </c>
      <c r="E126" s="4" t="s">
        <v>25</v>
      </c>
      <c r="F126" s="26">
        <v>607.0512</v>
      </c>
      <c r="G126" s="26">
        <v>96.0</v>
      </c>
      <c r="H126" s="104">
        <v>58276.9152</v>
      </c>
      <c r="I126" s="26">
        <f t="shared" si="1"/>
        <v>8373.12</v>
      </c>
      <c r="J126" s="26"/>
      <c r="K126" s="4"/>
      <c r="L126" s="4"/>
      <c r="M126" s="4"/>
      <c r="N126" s="107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1083" t="s">
        <v>1964</v>
      </c>
      <c r="C127" s="1083" t="s">
        <v>2709</v>
      </c>
      <c r="D127" s="1084" t="s">
        <v>1431</v>
      </c>
      <c r="E127" s="4" t="s">
        <v>25</v>
      </c>
      <c r="F127" s="26">
        <v>8.5608</v>
      </c>
      <c r="G127" s="26">
        <v>40.0</v>
      </c>
      <c r="H127" s="104">
        <v>342.432</v>
      </c>
      <c r="I127" s="26">
        <f t="shared" si="1"/>
        <v>49.2</v>
      </c>
      <c r="J127" s="26"/>
      <c r="K127" s="4"/>
      <c r="L127" s="4"/>
      <c r="M127" s="4"/>
      <c r="N127" s="107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1083" t="s">
        <v>1966</v>
      </c>
      <c r="C128" s="1083" t="s">
        <v>2709</v>
      </c>
      <c r="D128" s="1084" t="s">
        <v>1212</v>
      </c>
      <c r="E128" s="4" t="s">
        <v>25</v>
      </c>
      <c r="F128" s="26">
        <v>76.8384</v>
      </c>
      <c r="G128" s="26">
        <v>21.0</v>
      </c>
      <c r="H128" s="104">
        <v>1613.6064</v>
      </c>
      <c r="I128" s="26">
        <f t="shared" si="1"/>
        <v>231.84</v>
      </c>
      <c r="J128" s="26"/>
      <c r="K128" s="4"/>
      <c r="L128" s="4"/>
      <c r="M128" s="4"/>
      <c r="N128" s="107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1083" t="s">
        <v>1968</v>
      </c>
      <c r="C129" s="1083" t="s">
        <v>2709</v>
      </c>
      <c r="D129" s="1084" t="s">
        <v>1231</v>
      </c>
      <c r="E129" s="4" t="s">
        <v>25</v>
      </c>
      <c r="F129" s="26">
        <v>50.877599999999994</v>
      </c>
      <c r="G129" s="26">
        <v>30.0</v>
      </c>
      <c r="H129" s="104">
        <v>1526.3279999999997</v>
      </c>
      <c r="I129" s="26">
        <f t="shared" si="1"/>
        <v>219.3</v>
      </c>
      <c r="J129" s="26"/>
      <c r="K129" s="4"/>
      <c r="L129" s="4"/>
      <c r="M129" s="4"/>
      <c r="N129" s="107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1083" t="s">
        <v>1970</v>
      </c>
      <c r="C130" s="1083" t="s">
        <v>3060</v>
      </c>
      <c r="D130" s="1084" t="s">
        <v>1198</v>
      </c>
      <c r="E130" s="4" t="s">
        <v>25</v>
      </c>
      <c r="F130" s="26">
        <v>4819.6608</v>
      </c>
      <c r="G130" s="26">
        <v>1.0</v>
      </c>
      <c r="H130" s="104">
        <v>4819.6608</v>
      </c>
      <c r="I130" s="26">
        <f t="shared" si="1"/>
        <v>692.48</v>
      </c>
      <c r="J130" s="26"/>
      <c r="K130" s="4"/>
      <c r="L130" s="4"/>
      <c r="M130" s="4"/>
      <c r="N130" s="107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1083" t="s">
        <v>1971</v>
      </c>
      <c r="C131" s="1083" t="s">
        <v>2723</v>
      </c>
      <c r="D131" s="1084" t="s">
        <v>3265</v>
      </c>
      <c r="E131" s="4" t="s">
        <v>25</v>
      </c>
      <c r="F131" s="26">
        <v>13.6416</v>
      </c>
      <c r="G131" s="26">
        <v>0.0</v>
      </c>
      <c r="H131" s="104">
        <v>0.0</v>
      </c>
      <c r="I131" s="26">
        <f t="shared" si="1"/>
        <v>0</v>
      </c>
      <c r="J131" s="26"/>
      <c r="K131" s="4"/>
      <c r="L131" s="4"/>
      <c r="M131" s="4"/>
      <c r="N131" s="107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1083" t="s">
        <v>1973</v>
      </c>
      <c r="C132" s="1083" t="s">
        <v>2723</v>
      </c>
      <c r="D132" s="1084" t="s">
        <v>3259</v>
      </c>
      <c r="E132" s="4" t="s">
        <v>25</v>
      </c>
      <c r="F132" s="26">
        <v>59.7168</v>
      </c>
      <c r="G132" s="26">
        <v>0.0</v>
      </c>
      <c r="H132" s="104">
        <v>0.0</v>
      </c>
      <c r="I132" s="26">
        <f t="shared" si="1"/>
        <v>0</v>
      </c>
      <c r="J132" s="26"/>
      <c r="K132" s="4"/>
      <c r="L132" s="4"/>
      <c r="M132" s="4"/>
      <c r="N132" s="107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1083" t="s">
        <v>1975</v>
      </c>
      <c r="C133" s="1083" t="s">
        <v>2723</v>
      </c>
      <c r="D133" s="1084" t="s">
        <v>3262</v>
      </c>
      <c r="E133" s="4" t="s">
        <v>25</v>
      </c>
      <c r="F133" s="26">
        <v>56.2368</v>
      </c>
      <c r="G133" s="26">
        <v>0.0</v>
      </c>
      <c r="H133" s="104">
        <v>0.0</v>
      </c>
      <c r="I133" s="26">
        <f t="shared" si="1"/>
        <v>0</v>
      </c>
      <c r="J133" s="26"/>
      <c r="K133" s="4"/>
      <c r="L133" s="4"/>
      <c r="M133" s="4"/>
      <c r="N133" s="107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1083" t="s">
        <v>1977</v>
      </c>
      <c r="C134" s="1083" t="s">
        <v>2723</v>
      </c>
      <c r="D134" s="1084" t="s">
        <v>3246</v>
      </c>
      <c r="E134" s="4" t="s">
        <v>25</v>
      </c>
      <c r="F134" s="26">
        <v>56.2368</v>
      </c>
      <c r="G134" s="26">
        <v>0.0</v>
      </c>
      <c r="H134" s="104">
        <v>0.0</v>
      </c>
      <c r="I134" s="26">
        <f t="shared" si="1"/>
        <v>0</v>
      </c>
      <c r="J134" s="26"/>
      <c r="K134" s="4"/>
      <c r="L134" s="4"/>
      <c r="M134" s="4"/>
      <c r="N134" s="107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1083" t="s">
        <v>1978</v>
      </c>
      <c r="C135" s="1083" t="s">
        <v>2709</v>
      </c>
      <c r="D135" s="1084" t="s">
        <v>1071</v>
      </c>
      <c r="E135" s="4" t="s">
        <v>25</v>
      </c>
      <c r="F135" s="26">
        <v>153.39839999999998</v>
      </c>
      <c r="G135" s="26">
        <v>34.0</v>
      </c>
      <c r="H135" s="104">
        <v>5215.5455999999995</v>
      </c>
      <c r="I135" s="26">
        <f t="shared" si="1"/>
        <v>749.36</v>
      </c>
      <c r="J135" s="26"/>
      <c r="K135" s="4"/>
      <c r="L135" s="4"/>
      <c r="M135" s="4"/>
      <c r="N135" s="107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1083" t="s">
        <v>1979</v>
      </c>
      <c r="C136" s="1083" t="s">
        <v>2709</v>
      </c>
      <c r="D136" s="1084" t="s">
        <v>1398</v>
      </c>
      <c r="E136" s="4" t="s">
        <v>25</v>
      </c>
      <c r="F136" s="26">
        <v>85.8864</v>
      </c>
      <c r="G136" s="26">
        <v>12.0</v>
      </c>
      <c r="H136" s="104">
        <v>1030.6368</v>
      </c>
      <c r="I136" s="26">
        <f t="shared" si="1"/>
        <v>148.08</v>
      </c>
      <c r="J136" s="26"/>
      <c r="K136" s="4"/>
      <c r="L136" s="4"/>
      <c r="M136" s="4"/>
      <c r="N136" s="107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1083" t="s">
        <v>1981</v>
      </c>
      <c r="C137" s="1083" t="s">
        <v>2709</v>
      </c>
      <c r="D137" s="1084" t="s">
        <v>1120</v>
      </c>
      <c r="E137" s="4" t="s">
        <v>25</v>
      </c>
      <c r="F137" s="26">
        <v>3398.7072</v>
      </c>
      <c r="G137" s="26">
        <v>2.0</v>
      </c>
      <c r="H137" s="104">
        <v>6797.4144</v>
      </c>
      <c r="I137" s="26">
        <f t="shared" si="1"/>
        <v>976.64</v>
      </c>
      <c r="J137" s="26"/>
      <c r="K137" s="4"/>
      <c r="L137" s="4"/>
      <c r="M137" s="4"/>
      <c r="N137" s="107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1083" t="s">
        <v>1983</v>
      </c>
      <c r="C138" s="1083" t="s">
        <v>2723</v>
      </c>
      <c r="D138" s="1084" t="s">
        <v>3579</v>
      </c>
      <c r="E138" s="4" t="s">
        <v>25</v>
      </c>
      <c r="F138" s="26">
        <v>27.84</v>
      </c>
      <c r="G138" s="26">
        <v>30.0</v>
      </c>
      <c r="H138" s="104">
        <v>835.2</v>
      </c>
      <c r="I138" s="26">
        <f t="shared" si="1"/>
        <v>120</v>
      </c>
      <c r="J138" s="26"/>
      <c r="K138" s="4"/>
      <c r="L138" s="4"/>
      <c r="M138" s="4"/>
      <c r="N138" s="107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1083" t="s">
        <v>1985</v>
      </c>
      <c r="C139" s="1083" t="s">
        <v>2709</v>
      </c>
      <c r="D139" s="1084" t="s">
        <v>1179</v>
      </c>
      <c r="E139" s="4" t="s">
        <v>25</v>
      </c>
      <c r="F139" s="26">
        <v>63.684000000000005</v>
      </c>
      <c r="G139" s="26">
        <v>122.0</v>
      </c>
      <c r="H139" s="104">
        <v>7769.448000000001</v>
      </c>
      <c r="I139" s="26">
        <f t="shared" si="1"/>
        <v>1116.3</v>
      </c>
      <c r="J139" s="26"/>
      <c r="K139" s="4"/>
      <c r="L139" s="4"/>
      <c r="M139" s="4"/>
      <c r="N139" s="107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1083" t="s">
        <v>1986</v>
      </c>
      <c r="C140" s="1083" t="s">
        <v>2709</v>
      </c>
      <c r="D140" s="1084" t="s">
        <v>386</v>
      </c>
      <c r="E140" s="4" t="s">
        <v>25</v>
      </c>
      <c r="F140" s="26">
        <v>293.0856</v>
      </c>
      <c r="G140" s="26">
        <v>92.0</v>
      </c>
      <c r="H140" s="104">
        <v>26963.8752</v>
      </c>
      <c r="I140" s="26">
        <f t="shared" si="1"/>
        <v>3874.12</v>
      </c>
      <c r="J140" s="26"/>
      <c r="K140" s="4"/>
      <c r="L140" s="4"/>
      <c r="M140" s="4"/>
      <c r="N140" s="107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1083" t="s">
        <v>1987</v>
      </c>
      <c r="C141" s="1083" t="s">
        <v>2723</v>
      </c>
      <c r="D141" s="1084" t="s">
        <v>1528</v>
      </c>
      <c r="E141" s="4" t="s">
        <v>25</v>
      </c>
      <c r="F141" s="26">
        <v>50.0424</v>
      </c>
      <c r="G141" s="26">
        <v>6.0</v>
      </c>
      <c r="H141" s="104">
        <v>300.25440000000003</v>
      </c>
      <c r="I141" s="26">
        <f t="shared" si="1"/>
        <v>43.14</v>
      </c>
      <c r="J141" s="26"/>
      <c r="K141" s="4"/>
      <c r="L141" s="4"/>
      <c r="M141" s="4"/>
      <c r="N141" s="107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1083" t="s">
        <v>1988</v>
      </c>
      <c r="C142" s="1083" t="s">
        <v>2723</v>
      </c>
      <c r="D142" s="1084" t="s">
        <v>1708</v>
      </c>
      <c r="E142" s="4" t="s">
        <v>25</v>
      </c>
      <c r="F142" s="26">
        <v>6.1944</v>
      </c>
      <c r="G142" s="26">
        <v>16.0</v>
      </c>
      <c r="H142" s="104">
        <v>99.1104</v>
      </c>
      <c r="I142" s="26">
        <f t="shared" si="1"/>
        <v>14.24</v>
      </c>
      <c r="J142" s="26"/>
      <c r="K142" s="4"/>
      <c r="L142" s="4"/>
      <c r="M142" s="4"/>
      <c r="N142" s="107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1083" t="s">
        <v>1990</v>
      </c>
      <c r="C143" s="1083" t="s">
        <v>2709</v>
      </c>
      <c r="D143" s="1084" t="s">
        <v>1636</v>
      </c>
      <c r="E143" s="4" t="s">
        <v>25</v>
      </c>
      <c r="F143" s="26">
        <v>46.8408</v>
      </c>
      <c r="G143" s="26">
        <v>0.0</v>
      </c>
      <c r="H143" s="104">
        <v>0.0</v>
      </c>
      <c r="I143" s="26">
        <f t="shared" si="1"/>
        <v>0</v>
      </c>
      <c r="J143" s="26"/>
      <c r="K143" s="4"/>
      <c r="L143" s="4"/>
      <c r="M143" s="4"/>
      <c r="N143" s="107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1083" t="s">
        <v>1991</v>
      </c>
      <c r="C144" s="1083" t="s">
        <v>2709</v>
      </c>
      <c r="D144" s="1084" t="s">
        <v>196</v>
      </c>
      <c r="E144" s="4" t="s">
        <v>25</v>
      </c>
      <c r="F144" s="26">
        <v>92.0808</v>
      </c>
      <c r="G144" s="26">
        <v>0.0</v>
      </c>
      <c r="H144" s="104">
        <v>0.0</v>
      </c>
      <c r="I144" s="26">
        <f t="shared" si="1"/>
        <v>0</v>
      </c>
      <c r="J144" s="26"/>
      <c r="K144" s="4"/>
      <c r="L144" s="4"/>
      <c r="M144" s="4"/>
      <c r="N144" s="107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1083" t="s">
        <v>1992</v>
      </c>
      <c r="C145" s="1083" t="s">
        <v>2709</v>
      </c>
      <c r="D145" s="1084" t="s">
        <v>257</v>
      </c>
      <c r="E145" s="4" t="s">
        <v>25</v>
      </c>
      <c r="F145" s="26">
        <v>115.88399999999999</v>
      </c>
      <c r="G145" s="26">
        <v>1016.0</v>
      </c>
      <c r="H145" s="104">
        <v>117738.14399999999</v>
      </c>
      <c r="I145" s="26">
        <f t="shared" si="1"/>
        <v>16916.4</v>
      </c>
      <c r="J145" s="26"/>
      <c r="K145" s="4"/>
      <c r="L145" s="4"/>
      <c r="M145" s="4"/>
      <c r="N145" s="107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1083" t="s">
        <v>1994</v>
      </c>
      <c r="C146" s="1083" t="s">
        <v>2855</v>
      </c>
      <c r="D146" s="1084" t="s">
        <v>708</v>
      </c>
      <c r="E146" s="4" t="s">
        <v>25</v>
      </c>
      <c r="F146" s="26">
        <v>3945.2064</v>
      </c>
      <c r="G146" s="26">
        <v>0.0</v>
      </c>
      <c r="H146" s="104">
        <v>0.0</v>
      </c>
      <c r="I146" s="26">
        <f t="shared" si="1"/>
        <v>0</v>
      </c>
      <c r="J146" s="26"/>
      <c r="K146" s="4"/>
      <c r="L146" s="4"/>
      <c r="M146" s="4"/>
      <c r="N146" s="107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1083" t="s">
        <v>1996</v>
      </c>
      <c r="C147" s="1083" t="s">
        <v>2709</v>
      </c>
      <c r="D147" s="1084" t="s">
        <v>350</v>
      </c>
      <c r="E147" s="4" t="s">
        <v>25</v>
      </c>
      <c r="F147" s="26">
        <v>5459.076</v>
      </c>
      <c r="G147" s="26">
        <v>6.0</v>
      </c>
      <c r="H147" s="104">
        <v>32754.456</v>
      </c>
      <c r="I147" s="26">
        <f t="shared" si="1"/>
        <v>4706.1</v>
      </c>
      <c r="J147" s="26"/>
      <c r="K147" s="4"/>
      <c r="L147" s="4"/>
      <c r="M147" s="4"/>
      <c r="N147" s="107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1083" t="s">
        <v>1998</v>
      </c>
      <c r="C148" s="1083" t="s">
        <v>2723</v>
      </c>
      <c r="D148" s="1084" t="s">
        <v>1085</v>
      </c>
      <c r="E148" s="4" t="s">
        <v>25</v>
      </c>
      <c r="F148" s="26">
        <v>187.3632</v>
      </c>
      <c r="G148" s="26">
        <v>15.0</v>
      </c>
      <c r="H148" s="104">
        <v>2810.4480000000003</v>
      </c>
      <c r="I148" s="26">
        <f t="shared" si="1"/>
        <v>403.8</v>
      </c>
      <c r="J148" s="26"/>
      <c r="K148" s="4"/>
      <c r="L148" s="4"/>
      <c r="M148" s="4"/>
      <c r="N148" s="107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1083" t="s">
        <v>2000</v>
      </c>
      <c r="C149" s="1083" t="s">
        <v>2709</v>
      </c>
      <c r="D149" s="1084" t="s">
        <v>571</v>
      </c>
      <c r="E149" s="4" t="s">
        <v>25</v>
      </c>
      <c r="F149" s="26">
        <v>645.0528</v>
      </c>
      <c r="G149" s="26">
        <v>70.0</v>
      </c>
      <c r="H149" s="104">
        <v>45153.696</v>
      </c>
      <c r="I149" s="26">
        <f t="shared" si="1"/>
        <v>6487.6</v>
      </c>
      <c r="J149" s="26"/>
      <c r="K149" s="4"/>
      <c r="L149" s="4"/>
      <c r="M149" s="4"/>
      <c r="N149" s="107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1083" t="s">
        <v>2001</v>
      </c>
      <c r="C150" s="1083" t="s">
        <v>2709</v>
      </c>
      <c r="D150" s="1084" t="s">
        <v>1657</v>
      </c>
      <c r="E150" s="4" t="s">
        <v>25</v>
      </c>
      <c r="F150" s="26">
        <v>3.2016</v>
      </c>
      <c r="G150" s="26">
        <v>60.0</v>
      </c>
      <c r="H150" s="104">
        <v>192.096</v>
      </c>
      <c r="I150" s="26">
        <f t="shared" si="1"/>
        <v>27.6</v>
      </c>
      <c r="J150" s="26"/>
      <c r="K150" s="4"/>
      <c r="L150" s="4"/>
      <c r="M150" s="4"/>
      <c r="N150" s="107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1083" t="s">
        <v>2002</v>
      </c>
      <c r="C151" s="1083" t="s">
        <v>2709</v>
      </c>
      <c r="D151" s="1084" t="s">
        <v>398</v>
      </c>
      <c r="E151" s="4" t="s">
        <v>25</v>
      </c>
      <c r="F151" s="26">
        <v>858.6552</v>
      </c>
      <c r="G151" s="26">
        <v>18.0</v>
      </c>
      <c r="H151" s="104">
        <v>15455.7936</v>
      </c>
      <c r="I151" s="26">
        <f t="shared" si="1"/>
        <v>2220.66</v>
      </c>
      <c r="J151" s="26"/>
      <c r="K151" s="4"/>
      <c r="L151" s="4"/>
      <c r="M151" s="4"/>
      <c r="N151" s="107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1083" t="s">
        <v>2003</v>
      </c>
      <c r="C152" s="1083" t="s">
        <v>2709</v>
      </c>
      <c r="D152" s="1084" t="s">
        <v>732</v>
      </c>
      <c r="E152" s="4" t="s">
        <v>25</v>
      </c>
      <c r="F152" s="26">
        <v>583.7352000000001</v>
      </c>
      <c r="G152" s="26">
        <v>8.0</v>
      </c>
      <c r="H152" s="104">
        <v>4669.881600000001</v>
      </c>
      <c r="I152" s="26">
        <f t="shared" si="1"/>
        <v>670.96</v>
      </c>
      <c r="J152" s="26"/>
      <c r="K152" s="4"/>
      <c r="L152" s="4"/>
      <c r="M152" s="4"/>
      <c r="N152" s="107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1083" t="s">
        <v>2005</v>
      </c>
      <c r="C153" s="1083" t="s">
        <v>2709</v>
      </c>
      <c r="D153" s="1084" t="s">
        <v>1098</v>
      </c>
      <c r="E153" s="4" t="s">
        <v>25</v>
      </c>
      <c r="F153" s="26">
        <v>32.6424</v>
      </c>
      <c r="G153" s="26">
        <v>0.0</v>
      </c>
      <c r="H153" s="104">
        <v>0.0</v>
      </c>
      <c r="I153" s="26">
        <f t="shared" si="1"/>
        <v>0</v>
      </c>
      <c r="J153" s="26"/>
      <c r="K153" s="4"/>
      <c r="L153" s="4"/>
      <c r="M153" s="4"/>
      <c r="N153" s="107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1083" t="s">
        <v>2006</v>
      </c>
      <c r="C154" s="1083" t="s">
        <v>2709</v>
      </c>
      <c r="D154" s="1084" t="s">
        <v>469</v>
      </c>
      <c r="E154" s="4" t="s">
        <v>25</v>
      </c>
      <c r="F154" s="26">
        <v>5.6376</v>
      </c>
      <c r="G154" s="26">
        <v>1791.0</v>
      </c>
      <c r="H154" s="104">
        <v>10096.9416</v>
      </c>
      <c r="I154" s="26">
        <f t="shared" si="1"/>
        <v>1450.71</v>
      </c>
      <c r="J154" s="26"/>
      <c r="K154" s="4"/>
      <c r="L154" s="4"/>
      <c r="M154" s="4"/>
      <c r="N154" s="107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1083" t="s">
        <v>2008</v>
      </c>
      <c r="C155" s="1083" t="s">
        <v>2709</v>
      </c>
      <c r="D155" s="1084" t="s">
        <v>634</v>
      </c>
      <c r="E155" s="4" t="s">
        <v>25</v>
      </c>
      <c r="F155" s="26">
        <v>21.4368</v>
      </c>
      <c r="G155" s="26">
        <v>1324.0</v>
      </c>
      <c r="H155" s="104">
        <v>28382.323200000003</v>
      </c>
      <c r="I155" s="26">
        <f t="shared" si="1"/>
        <v>4077.92</v>
      </c>
      <c r="J155" s="26"/>
      <c r="K155" s="4"/>
      <c r="L155" s="4"/>
      <c r="M155" s="4"/>
      <c r="N155" s="107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1083" t="s">
        <v>2010</v>
      </c>
      <c r="C156" s="1083" t="s">
        <v>2723</v>
      </c>
      <c r="D156" s="1084" t="s">
        <v>3193</v>
      </c>
      <c r="E156" s="4" t="s">
        <v>25</v>
      </c>
      <c r="F156" s="26">
        <v>50.877599999999994</v>
      </c>
      <c r="G156" s="26">
        <v>2.0</v>
      </c>
      <c r="H156" s="104">
        <v>101.75519999999999</v>
      </c>
      <c r="I156" s="26">
        <f t="shared" si="1"/>
        <v>14.62</v>
      </c>
      <c r="J156" s="26"/>
      <c r="K156" s="4"/>
      <c r="L156" s="4"/>
      <c r="M156" s="4"/>
      <c r="N156" s="107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1083" t="s">
        <v>2012</v>
      </c>
      <c r="C157" s="1083" t="s">
        <v>2709</v>
      </c>
      <c r="D157" s="1084" t="s">
        <v>769</v>
      </c>
      <c r="E157" s="4" t="s">
        <v>25</v>
      </c>
      <c r="F157" s="26">
        <v>698.8536</v>
      </c>
      <c r="G157" s="26">
        <v>0.0</v>
      </c>
      <c r="H157" s="104">
        <v>0.0</v>
      </c>
      <c r="I157" s="26">
        <f t="shared" si="1"/>
        <v>0</v>
      </c>
      <c r="J157" s="26"/>
      <c r="K157" s="4"/>
      <c r="L157" s="4"/>
      <c r="M157" s="4"/>
      <c r="N157" s="107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1083" t="s">
        <v>2014</v>
      </c>
      <c r="C158" s="1083" t="s">
        <v>2709</v>
      </c>
      <c r="D158" s="1084" t="s">
        <v>1115</v>
      </c>
      <c r="E158" s="4" t="s">
        <v>25</v>
      </c>
      <c r="F158" s="26">
        <v>13.6416</v>
      </c>
      <c r="G158" s="26">
        <v>304.0</v>
      </c>
      <c r="H158" s="104">
        <v>4147.0464</v>
      </c>
      <c r="I158" s="26">
        <f t="shared" si="1"/>
        <v>595.84</v>
      </c>
      <c r="J158" s="26"/>
      <c r="K158" s="4"/>
      <c r="L158" s="4"/>
      <c r="M158" s="4"/>
      <c r="N158" s="107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1083" t="s">
        <v>2016</v>
      </c>
      <c r="C159" s="1083" t="s">
        <v>2723</v>
      </c>
      <c r="D159" s="1084" t="s">
        <v>1633</v>
      </c>
      <c r="E159" s="4" t="s">
        <v>25</v>
      </c>
      <c r="F159" s="26">
        <v>283.4808</v>
      </c>
      <c r="G159" s="26">
        <v>1.0</v>
      </c>
      <c r="H159" s="104">
        <v>283.4808</v>
      </c>
      <c r="I159" s="26">
        <f t="shared" si="1"/>
        <v>40.73</v>
      </c>
      <c r="J159" s="26"/>
      <c r="K159" s="4"/>
      <c r="L159" s="4"/>
      <c r="M159" s="4"/>
      <c r="N159" s="107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1083" t="s">
        <v>2018</v>
      </c>
      <c r="C160" s="1083" t="s">
        <v>2709</v>
      </c>
      <c r="D160" s="1084" t="s">
        <v>726</v>
      </c>
      <c r="E160" s="4" t="s">
        <v>25</v>
      </c>
      <c r="F160" s="26">
        <v>26.5176</v>
      </c>
      <c r="G160" s="26">
        <v>829.0</v>
      </c>
      <c r="H160" s="104">
        <v>21983.0904</v>
      </c>
      <c r="I160" s="26">
        <f t="shared" si="1"/>
        <v>3158.49</v>
      </c>
      <c r="J160" s="26"/>
      <c r="K160" s="4"/>
      <c r="L160" s="4"/>
      <c r="M160" s="4"/>
      <c r="N160" s="107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1083" t="s">
        <v>2020</v>
      </c>
      <c r="C161" s="1083" t="s">
        <v>2709</v>
      </c>
      <c r="D161" s="1084" t="s">
        <v>389</v>
      </c>
      <c r="E161" s="4" t="s">
        <v>25</v>
      </c>
      <c r="F161" s="26">
        <v>69.8784</v>
      </c>
      <c r="G161" s="26">
        <v>743.0</v>
      </c>
      <c r="H161" s="104">
        <v>51919.6512</v>
      </c>
      <c r="I161" s="26">
        <f t="shared" si="1"/>
        <v>7459.72</v>
      </c>
      <c r="J161" s="26"/>
      <c r="K161" s="4"/>
      <c r="L161" s="4"/>
      <c r="M161" s="4"/>
      <c r="N161" s="107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1083" t="s">
        <v>2022</v>
      </c>
      <c r="C162" s="1083" t="s">
        <v>2709</v>
      </c>
      <c r="D162" s="1084" t="s">
        <v>480</v>
      </c>
      <c r="E162" s="4" t="s">
        <v>25</v>
      </c>
      <c r="F162" s="26">
        <v>108.924</v>
      </c>
      <c r="G162" s="26">
        <v>215.0</v>
      </c>
      <c r="H162" s="104">
        <v>23418.660000000003</v>
      </c>
      <c r="I162" s="26">
        <f t="shared" si="1"/>
        <v>3364.75</v>
      </c>
      <c r="J162" s="26"/>
      <c r="K162" s="4"/>
      <c r="L162" s="4"/>
      <c r="M162" s="4"/>
      <c r="N162" s="107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1083" t="s">
        <v>2023</v>
      </c>
      <c r="C163" s="1083" t="s">
        <v>2709</v>
      </c>
      <c r="D163" s="1084" t="s">
        <v>564</v>
      </c>
      <c r="E163" s="4" t="s">
        <v>25</v>
      </c>
      <c r="F163" s="26">
        <v>82.19760000000001</v>
      </c>
      <c r="G163" s="26">
        <v>260.0</v>
      </c>
      <c r="H163" s="104">
        <v>21371.376000000004</v>
      </c>
      <c r="I163" s="26">
        <f t="shared" si="1"/>
        <v>3070.6</v>
      </c>
      <c r="J163" s="26"/>
      <c r="K163" s="4"/>
      <c r="L163" s="4"/>
      <c r="M163" s="4"/>
      <c r="N163" s="107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1083" t="s">
        <v>2025</v>
      </c>
      <c r="C164" s="1083" t="s">
        <v>2709</v>
      </c>
      <c r="D164" s="1084" t="s">
        <v>1125</v>
      </c>
      <c r="E164" s="4" t="s">
        <v>25</v>
      </c>
      <c r="F164" s="26">
        <v>7.2384</v>
      </c>
      <c r="G164" s="26">
        <v>295.0</v>
      </c>
      <c r="H164" s="104">
        <v>2135.328</v>
      </c>
      <c r="I164" s="26">
        <f t="shared" si="1"/>
        <v>306.8</v>
      </c>
      <c r="J164" s="26"/>
      <c r="K164" s="4"/>
      <c r="L164" s="4"/>
      <c r="M164" s="4"/>
      <c r="N164" s="107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1083" t="s">
        <v>2027</v>
      </c>
      <c r="C165" s="1083" t="s">
        <v>2709</v>
      </c>
      <c r="D165" s="1084" t="s">
        <v>168</v>
      </c>
      <c r="E165" s="4" t="s">
        <v>25</v>
      </c>
      <c r="F165" s="26">
        <v>234.7608</v>
      </c>
      <c r="G165" s="26">
        <v>477.0</v>
      </c>
      <c r="H165" s="104">
        <v>111980.90159999998</v>
      </c>
      <c r="I165" s="26">
        <f t="shared" si="1"/>
        <v>16089.21</v>
      </c>
      <c r="J165" s="26"/>
      <c r="K165" s="4"/>
      <c r="L165" s="4"/>
      <c r="M165" s="4"/>
      <c r="N165" s="107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1083" t="s">
        <v>2029</v>
      </c>
      <c r="C166" s="1083" t="s">
        <v>2709</v>
      </c>
      <c r="D166" s="1084" t="s">
        <v>260</v>
      </c>
      <c r="E166" s="4" t="s">
        <v>25</v>
      </c>
      <c r="F166" s="26">
        <v>1911.3552</v>
      </c>
      <c r="G166" s="26">
        <v>49.0</v>
      </c>
      <c r="H166" s="104">
        <v>93656.4048</v>
      </c>
      <c r="I166" s="26">
        <f t="shared" si="1"/>
        <v>13456.38</v>
      </c>
      <c r="J166" s="26"/>
      <c r="K166" s="4"/>
      <c r="L166" s="4"/>
      <c r="M166" s="4"/>
      <c r="N166" s="107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1083" t="s">
        <v>2030</v>
      </c>
      <c r="C167" s="1083" t="s">
        <v>2709</v>
      </c>
      <c r="D167" s="1084" t="s">
        <v>1256</v>
      </c>
      <c r="E167" s="4" t="s">
        <v>25</v>
      </c>
      <c r="F167" s="26">
        <v>111.36</v>
      </c>
      <c r="G167" s="26">
        <v>0.0</v>
      </c>
      <c r="H167" s="104">
        <v>0.0</v>
      </c>
      <c r="I167" s="26">
        <f t="shared" si="1"/>
        <v>0</v>
      </c>
      <c r="J167" s="26"/>
      <c r="K167" s="4"/>
      <c r="L167" s="4"/>
      <c r="M167" s="4"/>
      <c r="N167" s="107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1083" t="s">
        <v>2031</v>
      </c>
      <c r="C168" s="1083" t="s">
        <v>2709</v>
      </c>
      <c r="D168" s="1084" t="s">
        <v>612</v>
      </c>
      <c r="E168" s="4" t="s">
        <v>25</v>
      </c>
      <c r="F168" s="26">
        <v>177.48</v>
      </c>
      <c r="G168" s="26">
        <v>192.0</v>
      </c>
      <c r="H168" s="104">
        <v>34076.159999999996</v>
      </c>
      <c r="I168" s="26">
        <f t="shared" si="1"/>
        <v>4896</v>
      </c>
      <c r="J168" s="26"/>
      <c r="K168" s="4"/>
      <c r="L168" s="4"/>
      <c r="M168" s="4"/>
      <c r="N168" s="107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1083" t="s">
        <v>2033</v>
      </c>
      <c r="C169" s="1083" t="s">
        <v>2709</v>
      </c>
      <c r="D169" s="1084" t="s">
        <v>1630</v>
      </c>
      <c r="E169" s="4" t="s">
        <v>25</v>
      </c>
      <c r="F169" s="26">
        <v>8.282399999999999</v>
      </c>
      <c r="G169" s="26">
        <v>0.0</v>
      </c>
      <c r="H169" s="104">
        <v>0.0</v>
      </c>
      <c r="I169" s="26">
        <f t="shared" si="1"/>
        <v>0</v>
      </c>
      <c r="J169" s="26"/>
      <c r="K169" s="4"/>
      <c r="L169" s="4"/>
      <c r="M169" s="4"/>
      <c r="N169" s="107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1083" t="s">
        <v>2034</v>
      </c>
      <c r="C170" s="1083" t="s">
        <v>2709</v>
      </c>
      <c r="D170" s="1084" t="s">
        <v>1329</v>
      </c>
      <c r="E170" s="4" t="s">
        <v>25</v>
      </c>
      <c r="F170" s="26">
        <v>76.28160000000001</v>
      </c>
      <c r="G170" s="26">
        <v>15.0</v>
      </c>
      <c r="H170" s="104">
        <v>1144.2240000000002</v>
      </c>
      <c r="I170" s="26">
        <f t="shared" si="1"/>
        <v>164.4</v>
      </c>
      <c r="J170" s="26"/>
      <c r="K170" s="4"/>
      <c r="L170" s="4"/>
      <c r="M170" s="4"/>
      <c r="N170" s="107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1083" t="s">
        <v>2036</v>
      </c>
      <c r="C171" s="1083" t="s">
        <v>2709</v>
      </c>
      <c r="D171" s="1084" t="s">
        <v>141</v>
      </c>
      <c r="E171" s="4" t="s">
        <v>25</v>
      </c>
      <c r="F171" s="26">
        <v>329.76480000000004</v>
      </c>
      <c r="G171" s="26">
        <v>313.0</v>
      </c>
      <c r="H171" s="104">
        <v>103216.38240000002</v>
      </c>
      <c r="I171" s="26">
        <f t="shared" si="1"/>
        <v>14829.94</v>
      </c>
      <c r="J171" s="26"/>
      <c r="K171" s="4"/>
      <c r="L171" s="4"/>
      <c r="M171" s="4"/>
      <c r="N171" s="107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1083" t="s">
        <v>2038</v>
      </c>
      <c r="C172" s="1083" t="s">
        <v>2709</v>
      </c>
      <c r="D172" s="1084" t="s">
        <v>1617</v>
      </c>
      <c r="E172" s="4" t="s">
        <v>25</v>
      </c>
      <c r="F172" s="26">
        <v>160.08</v>
      </c>
      <c r="G172" s="26">
        <v>5.0</v>
      </c>
      <c r="H172" s="104">
        <v>800.4000000000001</v>
      </c>
      <c r="I172" s="26">
        <f t="shared" si="1"/>
        <v>115</v>
      </c>
      <c r="J172" s="26"/>
      <c r="K172" s="4"/>
      <c r="L172" s="4"/>
      <c r="M172" s="4"/>
      <c r="N172" s="107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1083" t="s">
        <v>2040</v>
      </c>
      <c r="C173" s="1083" t="s">
        <v>2709</v>
      </c>
      <c r="D173" s="1084" t="s">
        <v>1652</v>
      </c>
      <c r="E173" s="4" t="s">
        <v>25</v>
      </c>
      <c r="F173" s="26">
        <v>101.4072</v>
      </c>
      <c r="G173" s="26">
        <v>5.0</v>
      </c>
      <c r="H173" s="104">
        <v>507.036</v>
      </c>
      <c r="I173" s="26">
        <f t="shared" si="1"/>
        <v>72.85</v>
      </c>
      <c r="J173" s="26"/>
      <c r="K173" s="4"/>
      <c r="L173" s="4"/>
      <c r="M173" s="4"/>
      <c r="N173" s="107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1083" t="s">
        <v>2042</v>
      </c>
      <c r="C174" s="1083" t="s">
        <v>2709</v>
      </c>
      <c r="D174" s="1084" t="s">
        <v>2744</v>
      </c>
      <c r="E174" s="4" t="s">
        <v>25</v>
      </c>
      <c r="F174" s="26">
        <v>16.564799999999998</v>
      </c>
      <c r="G174" s="26">
        <v>50.0</v>
      </c>
      <c r="H174" s="104">
        <v>828.2399999999999</v>
      </c>
      <c r="I174" s="26">
        <f t="shared" si="1"/>
        <v>119</v>
      </c>
      <c r="J174" s="26"/>
      <c r="K174" s="4"/>
      <c r="L174" s="4"/>
      <c r="M174" s="4"/>
      <c r="N174" s="107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1083" t="s">
        <v>2044</v>
      </c>
      <c r="C175" s="1083" t="s">
        <v>2723</v>
      </c>
      <c r="D175" s="1084" t="s">
        <v>2886</v>
      </c>
      <c r="E175" s="4" t="s">
        <v>25</v>
      </c>
      <c r="F175" s="26">
        <v>7504.5504</v>
      </c>
      <c r="G175" s="26">
        <v>4.0</v>
      </c>
      <c r="H175" s="104">
        <v>30018.2016</v>
      </c>
      <c r="I175" s="26">
        <f t="shared" si="1"/>
        <v>4312.96</v>
      </c>
      <c r="J175" s="26"/>
      <c r="K175" s="4"/>
      <c r="L175" s="4"/>
      <c r="M175" s="4"/>
      <c r="N175" s="107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1083" t="s">
        <v>2045</v>
      </c>
      <c r="C176" s="1083" t="s">
        <v>2723</v>
      </c>
      <c r="D176" s="1084" t="s">
        <v>1228</v>
      </c>
      <c r="E176" s="4" t="s">
        <v>25</v>
      </c>
      <c r="F176" s="26">
        <v>702.0552</v>
      </c>
      <c r="G176" s="26">
        <v>2.0</v>
      </c>
      <c r="H176" s="104">
        <v>1404.1104</v>
      </c>
      <c r="I176" s="26">
        <f t="shared" si="1"/>
        <v>201.74</v>
      </c>
      <c r="J176" s="26"/>
      <c r="K176" s="4"/>
      <c r="L176" s="4"/>
      <c r="M176" s="4"/>
      <c r="N176" s="107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1083" t="s">
        <v>2046</v>
      </c>
      <c r="C177" s="1083" t="s">
        <v>2723</v>
      </c>
      <c r="D177" s="1084" t="s">
        <v>918</v>
      </c>
      <c r="E177" s="4" t="s">
        <v>25</v>
      </c>
      <c r="F177" s="26">
        <v>774.3</v>
      </c>
      <c r="G177" s="26">
        <v>8.0</v>
      </c>
      <c r="H177" s="104">
        <v>6194.4</v>
      </c>
      <c r="I177" s="26">
        <f t="shared" si="1"/>
        <v>890</v>
      </c>
      <c r="J177" s="26"/>
      <c r="K177" s="4"/>
      <c r="L177" s="4"/>
      <c r="M177" s="4"/>
      <c r="N177" s="107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1083" t="s">
        <v>2047</v>
      </c>
      <c r="C178" s="1083" t="s">
        <v>2723</v>
      </c>
      <c r="D178" s="1084" t="s">
        <v>891</v>
      </c>
      <c r="E178" s="4" t="s">
        <v>25</v>
      </c>
      <c r="F178" s="26">
        <v>839.0976</v>
      </c>
      <c r="G178" s="26">
        <v>16.0</v>
      </c>
      <c r="H178" s="104">
        <v>13425.5616</v>
      </c>
      <c r="I178" s="26">
        <f t="shared" si="1"/>
        <v>1928.96</v>
      </c>
      <c r="J178" s="26"/>
      <c r="K178" s="4"/>
      <c r="L178" s="4"/>
      <c r="M178" s="4"/>
      <c r="N178" s="107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1083" t="s">
        <v>2048</v>
      </c>
      <c r="C179" s="1083" t="s">
        <v>2723</v>
      </c>
      <c r="D179" s="1084" t="s">
        <v>585</v>
      </c>
      <c r="E179" s="4" t="s">
        <v>25</v>
      </c>
      <c r="F179" s="26">
        <v>913.2216000000001</v>
      </c>
      <c r="G179" s="26">
        <v>30.0</v>
      </c>
      <c r="H179" s="104">
        <v>27396.648000000005</v>
      </c>
      <c r="I179" s="26">
        <f t="shared" si="1"/>
        <v>3936.3</v>
      </c>
      <c r="J179" s="26"/>
      <c r="K179" s="4"/>
      <c r="L179" s="4"/>
      <c r="M179" s="4"/>
      <c r="N179" s="107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1083" t="s">
        <v>2049</v>
      </c>
      <c r="C180" s="1083" t="s">
        <v>2723</v>
      </c>
      <c r="D180" s="1084" t="s">
        <v>806</v>
      </c>
      <c r="E180" s="4" t="s">
        <v>25</v>
      </c>
      <c r="F180" s="26">
        <v>986.8584</v>
      </c>
      <c r="G180" s="26">
        <v>11.0</v>
      </c>
      <c r="H180" s="104">
        <v>10855.4424</v>
      </c>
      <c r="I180" s="26">
        <f t="shared" si="1"/>
        <v>1559.69</v>
      </c>
      <c r="J180" s="26"/>
      <c r="K180" s="4"/>
      <c r="L180" s="4"/>
      <c r="M180" s="4"/>
      <c r="N180" s="107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1083" t="s">
        <v>2050</v>
      </c>
      <c r="C181" s="1083" t="s">
        <v>2709</v>
      </c>
      <c r="D181" s="1084" t="s">
        <v>241</v>
      </c>
      <c r="E181" s="4" t="s">
        <v>25</v>
      </c>
      <c r="F181" s="26">
        <v>1172.6208</v>
      </c>
      <c r="G181" s="26">
        <v>0.0</v>
      </c>
      <c r="H181" s="104">
        <v>0.0</v>
      </c>
      <c r="I181" s="26">
        <f t="shared" si="1"/>
        <v>0</v>
      </c>
      <c r="J181" s="26"/>
      <c r="K181" s="4"/>
      <c r="L181" s="4"/>
      <c r="M181" s="4"/>
      <c r="N181" s="107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1083" t="s">
        <v>2052</v>
      </c>
      <c r="C182" s="1083" t="s">
        <v>2709</v>
      </c>
      <c r="D182" s="1084" t="s">
        <v>2053</v>
      </c>
      <c r="E182" s="4" t="s">
        <v>25</v>
      </c>
      <c r="F182" s="26">
        <v>1646.1096</v>
      </c>
      <c r="G182" s="26">
        <v>0.0</v>
      </c>
      <c r="H182" s="104">
        <v>0.0</v>
      </c>
      <c r="I182" s="26">
        <f t="shared" si="1"/>
        <v>0</v>
      </c>
      <c r="J182" s="26"/>
      <c r="K182" s="4"/>
      <c r="L182" s="4"/>
      <c r="M182" s="4"/>
      <c r="N182" s="107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1083" t="s">
        <v>2054</v>
      </c>
      <c r="C183" s="1083" t="s">
        <v>2709</v>
      </c>
      <c r="D183" s="1084" t="s">
        <v>851</v>
      </c>
      <c r="E183" s="4" t="s">
        <v>25</v>
      </c>
      <c r="F183" s="26">
        <v>1554.5159999999998</v>
      </c>
      <c r="G183" s="26">
        <v>2.0</v>
      </c>
      <c r="H183" s="104">
        <v>3109.0319999999997</v>
      </c>
      <c r="I183" s="26">
        <f t="shared" si="1"/>
        <v>446.7</v>
      </c>
      <c r="J183" s="26"/>
      <c r="K183" s="4"/>
      <c r="L183" s="4"/>
      <c r="M183" s="4"/>
      <c r="N183" s="107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1083" t="s">
        <v>2055</v>
      </c>
      <c r="C184" s="1083" t="s">
        <v>2709</v>
      </c>
      <c r="D184" s="1084" t="s">
        <v>292</v>
      </c>
      <c r="E184" s="4" t="s">
        <v>25</v>
      </c>
      <c r="F184" s="26">
        <v>289.0488</v>
      </c>
      <c r="G184" s="26">
        <v>218.0</v>
      </c>
      <c r="H184" s="104">
        <v>63012.63840000001</v>
      </c>
      <c r="I184" s="26">
        <f t="shared" si="1"/>
        <v>9053.54</v>
      </c>
      <c r="J184" s="26"/>
      <c r="K184" s="4"/>
      <c r="L184" s="4"/>
      <c r="M184" s="4"/>
      <c r="N184" s="107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1083" t="s">
        <v>2057</v>
      </c>
      <c r="C185" s="1083" t="s">
        <v>2709</v>
      </c>
      <c r="D185" s="1084" t="s">
        <v>599</v>
      </c>
      <c r="E185" s="4" t="s">
        <v>25</v>
      </c>
      <c r="F185" s="26">
        <v>2998.2984</v>
      </c>
      <c r="G185" s="26">
        <v>0.0</v>
      </c>
      <c r="H185" s="104">
        <v>0.0</v>
      </c>
      <c r="I185" s="26">
        <f t="shared" si="1"/>
        <v>0</v>
      </c>
      <c r="J185" s="26"/>
      <c r="K185" s="4"/>
      <c r="L185" s="4"/>
      <c r="M185" s="4"/>
      <c r="N185" s="107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1083" t="s">
        <v>2059</v>
      </c>
      <c r="C186" s="1083" t="s">
        <v>2709</v>
      </c>
      <c r="D186" s="1084" t="s">
        <v>1602</v>
      </c>
      <c r="E186" s="4" t="s">
        <v>25</v>
      </c>
      <c r="F186" s="26">
        <v>4.8024</v>
      </c>
      <c r="G186" s="26">
        <v>0.0</v>
      </c>
      <c r="H186" s="104">
        <v>0.0</v>
      </c>
      <c r="I186" s="26">
        <f t="shared" si="1"/>
        <v>0</v>
      </c>
      <c r="J186" s="26"/>
      <c r="K186" s="4"/>
      <c r="L186" s="4"/>
      <c r="M186" s="4"/>
      <c r="N186" s="107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1083" t="s">
        <v>2061</v>
      </c>
      <c r="C187" s="1083" t="s">
        <v>2709</v>
      </c>
      <c r="D187" s="1084" t="s">
        <v>591</v>
      </c>
      <c r="E187" s="4" t="s">
        <v>25</v>
      </c>
      <c r="F187" s="26">
        <v>1009.8264</v>
      </c>
      <c r="G187" s="26">
        <v>0.0</v>
      </c>
      <c r="H187" s="104">
        <v>0.0</v>
      </c>
      <c r="I187" s="26">
        <f t="shared" si="1"/>
        <v>0</v>
      </c>
      <c r="J187" s="26"/>
      <c r="K187" s="4"/>
      <c r="L187" s="4"/>
      <c r="M187" s="4"/>
      <c r="N187" s="107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1083" t="s">
        <v>2063</v>
      </c>
      <c r="C188" s="1083" t="s">
        <v>2709</v>
      </c>
      <c r="D188" s="1084" t="s">
        <v>882</v>
      </c>
      <c r="E188" s="4" t="s">
        <v>25</v>
      </c>
      <c r="F188" s="26">
        <v>447.24960000000004</v>
      </c>
      <c r="G188" s="26">
        <v>10.0</v>
      </c>
      <c r="H188" s="104">
        <v>4472.496</v>
      </c>
      <c r="I188" s="26">
        <f t="shared" si="1"/>
        <v>642.6</v>
      </c>
      <c r="J188" s="26"/>
      <c r="K188" s="4"/>
      <c r="L188" s="4"/>
      <c r="M188" s="4"/>
      <c r="N188" s="107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1083" t="s">
        <v>2065</v>
      </c>
      <c r="C189" s="1083" t="s">
        <v>2723</v>
      </c>
      <c r="D189" s="1084" t="s">
        <v>679</v>
      </c>
      <c r="E189" s="4" t="s">
        <v>25</v>
      </c>
      <c r="F189" s="26">
        <v>8523.215999999999</v>
      </c>
      <c r="G189" s="26">
        <v>3.0</v>
      </c>
      <c r="H189" s="104">
        <v>25569.647999999994</v>
      </c>
      <c r="I189" s="26">
        <f t="shared" si="1"/>
        <v>3673.8</v>
      </c>
      <c r="J189" s="26"/>
      <c r="K189" s="4"/>
      <c r="L189" s="4"/>
      <c r="M189" s="4"/>
      <c r="N189" s="107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1083" t="s">
        <v>2067</v>
      </c>
      <c r="C190" s="1083" t="s">
        <v>2709</v>
      </c>
      <c r="D190" s="1084" t="s">
        <v>504</v>
      </c>
      <c r="E190" s="4" t="s">
        <v>25</v>
      </c>
      <c r="F190" s="26">
        <v>247.2888</v>
      </c>
      <c r="G190" s="26">
        <v>5.0</v>
      </c>
      <c r="H190" s="104">
        <v>1236.444</v>
      </c>
      <c r="I190" s="26">
        <f t="shared" si="1"/>
        <v>177.65</v>
      </c>
      <c r="J190" s="26"/>
      <c r="K190" s="4"/>
      <c r="L190" s="4"/>
      <c r="M190" s="4"/>
      <c r="N190" s="107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1083" t="s">
        <v>2069</v>
      </c>
      <c r="C191" s="1083" t="s">
        <v>2723</v>
      </c>
      <c r="D191" s="1084" t="s">
        <v>909</v>
      </c>
      <c r="E191" s="4" t="s">
        <v>25</v>
      </c>
      <c r="F191" s="26">
        <v>2887.7039999999997</v>
      </c>
      <c r="G191" s="26">
        <v>2.0</v>
      </c>
      <c r="H191" s="104">
        <v>5775.407999999999</v>
      </c>
      <c r="I191" s="26">
        <f t="shared" si="1"/>
        <v>829.8</v>
      </c>
      <c r="J191" s="26"/>
      <c r="K191" s="4"/>
      <c r="L191" s="4"/>
      <c r="M191" s="4"/>
      <c r="N191" s="107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1083" t="s">
        <v>2071</v>
      </c>
      <c r="C192" s="1083" t="s">
        <v>2709</v>
      </c>
      <c r="D192" s="1084" t="s">
        <v>295</v>
      </c>
      <c r="E192" s="4" t="s">
        <v>25</v>
      </c>
      <c r="F192" s="26">
        <v>23064.396</v>
      </c>
      <c r="G192" s="26">
        <v>1.0</v>
      </c>
      <c r="H192" s="104">
        <v>23064.396</v>
      </c>
      <c r="I192" s="26">
        <f t="shared" si="1"/>
        <v>3313.85</v>
      </c>
      <c r="J192" s="26"/>
      <c r="K192" s="4"/>
      <c r="L192" s="4"/>
      <c r="M192" s="4"/>
      <c r="N192" s="107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1083" t="s">
        <v>2072</v>
      </c>
      <c r="C193" s="1083" t="s">
        <v>2709</v>
      </c>
      <c r="D193" s="1084" t="s">
        <v>630</v>
      </c>
      <c r="E193" s="4" t="s">
        <v>25</v>
      </c>
      <c r="F193" s="26">
        <v>698.0184</v>
      </c>
      <c r="G193" s="26">
        <v>25.0</v>
      </c>
      <c r="H193" s="104">
        <v>17450.460000000003</v>
      </c>
      <c r="I193" s="26">
        <f t="shared" si="1"/>
        <v>2507.25</v>
      </c>
      <c r="J193" s="26"/>
      <c r="K193" s="4"/>
      <c r="L193" s="4"/>
      <c r="M193" s="4"/>
      <c r="N193" s="107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1083" t="s">
        <v>2073</v>
      </c>
      <c r="C194" s="1083" t="s">
        <v>2709</v>
      </c>
      <c r="D194" s="1084" t="s">
        <v>474</v>
      </c>
      <c r="E194" s="4" t="s">
        <v>25</v>
      </c>
      <c r="F194" s="26">
        <v>5254.3128</v>
      </c>
      <c r="G194" s="26">
        <v>0.0</v>
      </c>
      <c r="H194" s="104">
        <v>0.0</v>
      </c>
      <c r="I194" s="26">
        <f t="shared" si="1"/>
        <v>0</v>
      </c>
      <c r="J194" s="26"/>
      <c r="K194" s="4"/>
      <c r="L194" s="4"/>
      <c r="M194" s="4"/>
      <c r="N194" s="107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1083" t="s">
        <v>2074</v>
      </c>
      <c r="C195" s="1083" t="s">
        <v>2723</v>
      </c>
      <c r="D195" s="1084" t="s">
        <v>944</v>
      </c>
      <c r="E195" s="4" t="s">
        <v>25</v>
      </c>
      <c r="F195" s="26">
        <v>2184.6048</v>
      </c>
      <c r="G195" s="26">
        <v>5.0</v>
      </c>
      <c r="H195" s="104">
        <v>10923.024000000001</v>
      </c>
      <c r="I195" s="26">
        <f t="shared" si="1"/>
        <v>1569.4</v>
      </c>
      <c r="J195" s="26"/>
      <c r="K195" s="4"/>
      <c r="L195" s="4"/>
      <c r="M195" s="4"/>
      <c r="N195" s="107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1083" t="s">
        <v>2076</v>
      </c>
      <c r="C196" s="1083" t="s">
        <v>2709</v>
      </c>
      <c r="D196" s="1084" t="s">
        <v>921</v>
      </c>
      <c r="E196" s="4" t="s">
        <v>25</v>
      </c>
      <c r="F196" s="26">
        <v>660.852</v>
      </c>
      <c r="G196" s="26">
        <v>6.0</v>
      </c>
      <c r="H196" s="104">
        <v>3965.112</v>
      </c>
      <c r="I196" s="26">
        <f t="shared" si="1"/>
        <v>569.7</v>
      </c>
      <c r="J196" s="26"/>
      <c r="K196" s="4"/>
      <c r="L196" s="4"/>
      <c r="M196" s="4"/>
      <c r="N196" s="107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1083" t="s">
        <v>2077</v>
      </c>
      <c r="C197" s="1083" t="s">
        <v>2709</v>
      </c>
      <c r="D197" s="1084" t="s">
        <v>507</v>
      </c>
      <c r="E197" s="4" t="s">
        <v>25</v>
      </c>
      <c r="F197" s="26">
        <v>603.8496</v>
      </c>
      <c r="G197" s="26">
        <v>23.0</v>
      </c>
      <c r="H197" s="104">
        <v>13888.5408</v>
      </c>
      <c r="I197" s="26">
        <f t="shared" si="1"/>
        <v>1995.48</v>
      </c>
      <c r="J197" s="26"/>
      <c r="K197" s="4"/>
      <c r="L197" s="4"/>
      <c r="M197" s="4"/>
      <c r="N197" s="107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1083" t="s">
        <v>2078</v>
      </c>
      <c r="C198" s="1083" t="s">
        <v>2709</v>
      </c>
      <c r="D198" s="1084" t="s">
        <v>561</v>
      </c>
      <c r="E198" s="4" t="s">
        <v>25</v>
      </c>
      <c r="F198" s="26">
        <v>104.6784</v>
      </c>
      <c r="G198" s="26">
        <v>304.0</v>
      </c>
      <c r="H198" s="104">
        <v>31822.2336</v>
      </c>
      <c r="I198" s="26">
        <f t="shared" si="1"/>
        <v>4572.16</v>
      </c>
      <c r="J198" s="26"/>
      <c r="K198" s="4"/>
      <c r="L198" s="4"/>
      <c r="M198" s="4"/>
      <c r="N198" s="107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1083" t="s">
        <v>2080</v>
      </c>
      <c r="C199" s="1083" t="s">
        <v>2709</v>
      </c>
      <c r="D199" s="1084" t="s">
        <v>1095</v>
      </c>
      <c r="E199" s="4" t="s">
        <v>25</v>
      </c>
      <c r="F199" s="26">
        <v>27.84</v>
      </c>
      <c r="G199" s="26">
        <v>15.0</v>
      </c>
      <c r="H199" s="104">
        <v>417.6</v>
      </c>
      <c r="I199" s="26">
        <f t="shared" si="1"/>
        <v>60</v>
      </c>
      <c r="J199" s="26"/>
      <c r="K199" s="4"/>
      <c r="L199" s="4"/>
      <c r="M199" s="4"/>
      <c r="N199" s="107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1083" t="s">
        <v>2082</v>
      </c>
      <c r="C200" s="1083" t="s">
        <v>2709</v>
      </c>
      <c r="D200" s="1084" t="s">
        <v>1599</v>
      </c>
      <c r="E200" s="4" t="s">
        <v>25</v>
      </c>
      <c r="F200" s="26">
        <v>9.396</v>
      </c>
      <c r="G200" s="26">
        <v>0.0</v>
      </c>
      <c r="H200" s="104">
        <v>0.0</v>
      </c>
      <c r="I200" s="26">
        <f t="shared" si="1"/>
        <v>0</v>
      </c>
      <c r="J200" s="26"/>
      <c r="K200" s="4"/>
      <c r="L200" s="4"/>
      <c r="M200" s="4"/>
      <c r="N200" s="107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1083" t="s">
        <v>2084</v>
      </c>
      <c r="C201" s="1083" t="s">
        <v>2709</v>
      </c>
      <c r="D201" s="1084" t="s">
        <v>520</v>
      </c>
      <c r="E201" s="4" t="s">
        <v>25</v>
      </c>
      <c r="F201" s="26">
        <v>4661.46</v>
      </c>
      <c r="G201" s="26">
        <v>0.0</v>
      </c>
      <c r="H201" s="104">
        <v>0.0</v>
      </c>
      <c r="I201" s="26">
        <f t="shared" si="1"/>
        <v>0</v>
      </c>
      <c r="J201" s="26"/>
      <c r="K201" s="4"/>
      <c r="L201" s="4"/>
      <c r="M201" s="4"/>
      <c r="N201" s="107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1083" t="s">
        <v>2086</v>
      </c>
      <c r="C202" s="1083" t="s">
        <v>2709</v>
      </c>
      <c r="D202" s="1084" t="s">
        <v>1490</v>
      </c>
      <c r="E202" s="4" t="s">
        <v>25</v>
      </c>
      <c r="F202" s="26">
        <v>122.07839999999999</v>
      </c>
      <c r="G202" s="26">
        <v>0.0</v>
      </c>
      <c r="H202" s="104">
        <v>0.0</v>
      </c>
      <c r="I202" s="26">
        <f t="shared" si="1"/>
        <v>0</v>
      </c>
      <c r="J202" s="26"/>
      <c r="K202" s="4"/>
      <c r="L202" s="4"/>
      <c r="M202" s="4"/>
      <c r="N202" s="107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1083" t="s">
        <v>2088</v>
      </c>
      <c r="C203" s="1083" t="s">
        <v>2723</v>
      </c>
      <c r="D203" s="1084" t="s">
        <v>1611</v>
      </c>
      <c r="E203" s="4" t="s">
        <v>25</v>
      </c>
      <c r="F203" s="26">
        <v>57.8376</v>
      </c>
      <c r="G203" s="26">
        <v>0.0</v>
      </c>
      <c r="H203" s="104">
        <v>0.0</v>
      </c>
      <c r="I203" s="26">
        <f t="shared" si="1"/>
        <v>0</v>
      </c>
      <c r="J203" s="26"/>
      <c r="K203" s="4"/>
      <c r="L203" s="4"/>
      <c r="M203" s="4"/>
      <c r="N203" s="107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1083" t="s">
        <v>2090</v>
      </c>
      <c r="C204" s="1083" t="s">
        <v>2709</v>
      </c>
      <c r="D204" s="1084" t="s">
        <v>1195</v>
      </c>
      <c r="E204" s="4" t="s">
        <v>25</v>
      </c>
      <c r="F204" s="26">
        <v>55.1232</v>
      </c>
      <c r="G204" s="26">
        <v>0.0</v>
      </c>
      <c r="H204" s="104">
        <v>0.0</v>
      </c>
      <c r="I204" s="26">
        <f t="shared" si="1"/>
        <v>0</v>
      </c>
      <c r="J204" s="26"/>
      <c r="K204" s="4"/>
      <c r="L204" s="4"/>
      <c r="M204" s="4"/>
      <c r="N204" s="107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1083" t="s">
        <v>2092</v>
      </c>
      <c r="C205" s="1083" t="s">
        <v>2709</v>
      </c>
      <c r="D205" s="1084" t="s">
        <v>301</v>
      </c>
      <c r="E205" s="4" t="s">
        <v>25</v>
      </c>
      <c r="F205" s="26">
        <v>64.7976</v>
      </c>
      <c r="G205" s="26">
        <v>568.0</v>
      </c>
      <c r="H205" s="104">
        <v>36805.0368</v>
      </c>
      <c r="I205" s="26">
        <f t="shared" si="1"/>
        <v>5288.08</v>
      </c>
      <c r="J205" s="26"/>
      <c r="K205" s="4"/>
      <c r="L205" s="4"/>
      <c r="M205" s="4"/>
      <c r="N205" s="107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1083" t="s">
        <v>2094</v>
      </c>
      <c r="C206" s="1083" t="s">
        <v>2709</v>
      </c>
      <c r="D206" s="1084" t="s">
        <v>24</v>
      </c>
      <c r="E206" s="4" t="s">
        <v>25</v>
      </c>
      <c r="F206" s="26">
        <v>2793.2567999999997</v>
      </c>
      <c r="G206" s="26">
        <v>1054.0</v>
      </c>
      <c r="H206" s="104">
        <v>2944092.6672</v>
      </c>
      <c r="I206" s="26">
        <f t="shared" si="1"/>
        <v>423001.82</v>
      </c>
      <c r="J206" s="26"/>
      <c r="K206" s="4"/>
      <c r="L206" s="4"/>
      <c r="M206" s="4"/>
      <c r="N206" s="107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1083" t="s">
        <v>2096</v>
      </c>
      <c r="C207" s="1083" t="s">
        <v>2709</v>
      </c>
      <c r="D207" s="1084" t="s">
        <v>31</v>
      </c>
      <c r="E207" s="4" t="s">
        <v>25</v>
      </c>
      <c r="F207" s="26">
        <v>2207.9208000000003</v>
      </c>
      <c r="G207" s="26">
        <v>682.0</v>
      </c>
      <c r="H207" s="104">
        <v>1505801.9856000002</v>
      </c>
      <c r="I207" s="26">
        <f t="shared" si="1"/>
        <v>216350.86</v>
      </c>
      <c r="J207" s="26"/>
      <c r="K207" s="4"/>
      <c r="L207" s="4"/>
      <c r="M207" s="4"/>
      <c r="N207" s="107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1083" t="s">
        <v>2098</v>
      </c>
      <c r="C208" s="1083" t="s">
        <v>2709</v>
      </c>
      <c r="D208" s="1084" t="s">
        <v>119</v>
      </c>
      <c r="E208" s="4" t="s">
        <v>25</v>
      </c>
      <c r="F208" s="26">
        <v>929.5776</v>
      </c>
      <c r="G208" s="26">
        <v>236.0</v>
      </c>
      <c r="H208" s="104">
        <v>219380.3136</v>
      </c>
      <c r="I208" s="26">
        <f t="shared" si="1"/>
        <v>31520.16</v>
      </c>
      <c r="J208" s="26"/>
      <c r="K208" s="4"/>
      <c r="L208" s="4"/>
      <c r="M208" s="4"/>
      <c r="N208" s="107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1083" t="s">
        <v>2100</v>
      </c>
      <c r="C209" s="1083" t="s">
        <v>2723</v>
      </c>
      <c r="D209" s="1084" t="s">
        <v>1280</v>
      </c>
      <c r="E209" s="4" t="s">
        <v>25</v>
      </c>
      <c r="F209" s="26">
        <v>69.0432</v>
      </c>
      <c r="G209" s="26">
        <v>56.0</v>
      </c>
      <c r="H209" s="104">
        <v>3866.4192</v>
      </c>
      <c r="I209" s="26">
        <f t="shared" si="1"/>
        <v>555.52</v>
      </c>
      <c r="J209" s="26"/>
      <c r="K209" s="4"/>
      <c r="L209" s="4"/>
      <c r="M209" s="4"/>
      <c r="N209" s="107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1083" t="s">
        <v>2102</v>
      </c>
      <c r="C210" s="1083" t="s">
        <v>2709</v>
      </c>
      <c r="D210" s="1084" t="s">
        <v>392</v>
      </c>
      <c r="E210" s="4" t="s">
        <v>25</v>
      </c>
      <c r="F210" s="26">
        <v>3732.7175999999995</v>
      </c>
      <c r="G210" s="26">
        <v>0.0</v>
      </c>
      <c r="H210" s="104">
        <v>0.0</v>
      </c>
      <c r="I210" s="26">
        <f t="shared" si="1"/>
        <v>0</v>
      </c>
      <c r="J210" s="26"/>
      <c r="K210" s="4"/>
      <c r="L210" s="4"/>
      <c r="M210" s="4"/>
      <c r="N210" s="107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1083" t="s">
        <v>2104</v>
      </c>
      <c r="C211" s="1083" t="s">
        <v>2709</v>
      </c>
      <c r="D211" s="1084" t="s">
        <v>228</v>
      </c>
      <c r="E211" s="4" t="s">
        <v>25</v>
      </c>
      <c r="F211" s="26">
        <v>268.4472</v>
      </c>
      <c r="G211" s="26">
        <v>609.0</v>
      </c>
      <c r="H211" s="104">
        <v>163484.3448</v>
      </c>
      <c r="I211" s="26">
        <f t="shared" si="1"/>
        <v>23489.13</v>
      </c>
      <c r="J211" s="26"/>
      <c r="K211" s="4"/>
      <c r="L211" s="4"/>
      <c r="M211" s="4"/>
      <c r="N211" s="107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1083" t="s">
        <v>2106</v>
      </c>
      <c r="C212" s="1083" t="s">
        <v>2709</v>
      </c>
      <c r="D212" s="1084" t="s">
        <v>147</v>
      </c>
      <c r="E212" s="4" t="s">
        <v>25</v>
      </c>
      <c r="F212" s="26">
        <v>1087.2216</v>
      </c>
      <c r="G212" s="26">
        <v>216.0</v>
      </c>
      <c r="H212" s="104">
        <v>234839.86560000002</v>
      </c>
      <c r="I212" s="26">
        <f t="shared" si="1"/>
        <v>33741.36</v>
      </c>
      <c r="J212" s="26"/>
      <c r="K212" s="4"/>
      <c r="L212" s="4"/>
      <c r="M212" s="4"/>
      <c r="N212" s="107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1083" t="s">
        <v>2108</v>
      </c>
      <c r="C213" s="1083" t="s">
        <v>2709</v>
      </c>
      <c r="D213" s="1084" t="s">
        <v>76</v>
      </c>
      <c r="E213" s="4" t="s">
        <v>25</v>
      </c>
      <c r="F213" s="26">
        <v>1914.0</v>
      </c>
      <c r="G213" s="26">
        <v>168.0</v>
      </c>
      <c r="H213" s="104">
        <v>321552.0</v>
      </c>
      <c r="I213" s="26">
        <f t="shared" si="1"/>
        <v>46200</v>
      </c>
      <c r="J213" s="26"/>
      <c r="K213" s="4"/>
      <c r="L213" s="4"/>
      <c r="M213" s="4"/>
      <c r="N213" s="107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1083" t="s">
        <v>2110</v>
      </c>
      <c r="C214" s="1083" t="s">
        <v>2709</v>
      </c>
      <c r="D214" s="1084" t="s">
        <v>454</v>
      </c>
      <c r="E214" s="4" t="s">
        <v>25</v>
      </c>
      <c r="F214" s="26">
        <v>3976.0391999999997</v>
      </c>
      <c r="G214" s="26">
        <v>6.0</v>
      </c>
      <c r="H214" s="104">
        <v>23856.2352</v>
      </c>
      <c r="I214" s="26">
        <f t="shared" si="1"/>
        <v>3427.62</v>
      </c>
      <c r="J214" s="26"/>
      <c r="K214" s="4"/>
      <c r="L214" s="4"/>
      <c r="M214" s="4"/>
      <c r="N214" s="107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1083" t="s">
        <v>2112</v>
      </c>
      <c r="C215" s="1083" t="s">
        <v>2723</v>
      </c>
      <c r="D215" s="1084" t="s">
        <v>1311</v>
      </c>
      <c r="E215" s="4" t="s">
        <v>25</v>
      </c>
      <c r="F215" s="26">
        <v>292.0416</v>
      </c>
      <c r="G215" s="26">
        <v>4.0</v>
      </c>
      <c r="H215" s="104">
        <v>1168.1664</v>
      </c>
      <c r="I215" s="26">
        <f t="shared" si="1"/>
        <v>167.84</v>
      </c>
      <c r="J215" s="26"/>
      <c r="K215" s="4"/>
      <c r="L215" s="4"/>
      <c r="M215" s="4"/>
      <c r="N215" s="107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1083" t="s">
        <v>2114</v>
      </c>
      <c r="C216" s="1083" t="s">
        <v>2709</v>
      </c>
      <c r="D216" s="1084" t="s">
        <v>87</v>
      </c>
      <c r="E216" s="4" t="s">
        <v>25</v>
      </c>
      <c r="F216" s="26">
        <v>1567.1136</v>
      </c>
      <c r="G216" s="26">
        <v>120.0</v>
      </c>
      <c r="H216" s="104">
        <v>188053.63199999998</v>
      </c>
      <c r="I216" s="26">
        <f t="shared" si="1"/>
        <v>27019.2</v>
      </c>
      <c r="J216" s="26"/>
      <c r="K216" s="4"/>
      <c r="L216" s="4"/>
      <c r="M216" s="4"/>
      <c r="N216" s="107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1083" t="s">
        <v>2116</v>
      </c>
      <c r="C217" s="1083" t="s">
        <v>2709</v>
      </c>
      <c r="D217" s="1084" t="s">
        <v>47</v>
      </c>
      <c r="E217" s="4" t="s">
        <v>25</v>
      </c>
      <c r="F217" s="26">
        <v>32024.4216</v>
      </c>
      <c r="G217" s="4">
        <v>0.0</v>
      </c>
      <c r="H217" s="1">
        <v>0.0</v>
      </c>
      <c r="I217" s="26">
        <f t="shared" si="1"/>
        <v>0</v>
      </c>
      <c r="J217" s="26"/>
      <c r="K217" s="4"/>
      <c r="L217" s="4"/>
      <c r="M217" s="4"/>
      <c r="N217" s="107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1083" t="s">
        <v>2118</v>
      </c>
      <c r="C218" s="1083" t="s">
        <v>2709</v>
      </c>
      <c r="D218" s="1084" t="s">
        <v>67</v>
      </c>
      <c r="E218" s="4" t="s">
        <v>25</v>
      </c>
      <c r="F218" s="26">
        <v>17452.4784</v>
      </c>
      <c r="G218" s="4">
        <v>0.0</v>
      </c>
      <c r="H218" s="1">
        <v>0.0</v>
      </c>
      <c r="I218" s="26">
        <f t="shared" si="1"/>
        <v>0</v>
      </c>
      <c r="J218" s="26"/>
      <c r="K218" s="4"/>
      <c r="L218" s="4"/>
      <c r="M218" s="4"/>
      <c r="N218" s="107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1083" t="s">
        <v>2120</v>
      </c>
      <c r="C219" s="1083" t="s">
        <v>2709</v>
      </c>
      <c r="D219" s="1084" t="s">
        <v>277</v>
      </c>
      <c r="E219" s="4" t="s">
        <v>25</v>
      </c>
      <c r="F219" s="26">
        <v>369.3672</v>
      </c>
      <c r="G219" s="26">
        <v>308.0</v>
      </c>
      <c r="H219" s="104">
        <v>113765.09760000001</v>
      </c>
      <c r="I219" s="26">
        <f t="shared" si="1"/>
        <v>16345.56</v>
      </c>
      <c r="J219" s="26"/>
      <c r="K219" s="4"/>
      <c r="L219" s="4"/>
      <c r="M219" s="4"/>
      <c r="N219" s="107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1083" t="s">
        <v>2122</v>
      </c>
      <c r="C220" s="1083" t="s">
        <v>2709</v>
      </c>
      <c r="D220" s="1084" t="s">
        <v>723</v>
      </c>
      <c r="E220" s="4" t="s">
        <v>25</v>
      </c>
      <c r="F220" s="26">
        <v>503.9736</v>
      </c>
      <c r="G220" s="26">
        <v>40.0</v>
      </c>
      <c r="H220" s="104">
        <v>20158.944</v>
      </c>
      <c r="I220" s="26">
        <f t="shared" si="1"/>
        <v>2896.4</v>
      </c>
      <c r="J220" s="26"/>
      <c r="K220" s="4"/>
      <c r="L220" s="4"/>
      <c r="M220" s="4"/>
      <c r="N220" s="107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1083" t="s">
        <v>2124</v>
      </c>
      <c r="C221" s="1083" t="s">
        <v>2709</v>
      </c>
      <c r="D221" s="1084" t="s">
        <v>219</v>
      </c>
      <c r="E221" s="4" t="s">
        <v>25</v>
      </c>
      <c r="F221" s="26">
        <v>3010.0608</v>
      </c>
      <c r="G221" s="26">
        <v>21.0</v>
      </c>
      <c r="H221" s="104">
        <v>63211.27680000001</v>
      </c>
      <c r="I221" s="26">
        <f t="shared" si="1"/>
        <v>9082.08</v>
      </c>
      <c r="J221" s="26"/>
      <c r="K221" s="4"/>
      <c r="L221" s="4"/>
      <c r="M221" s="4"/>
      <c r="N221" s="107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1083" t="s">
        <v>2126</v>
      </c>
      <c r="C222" s="1083" t="s">
        <v>2709</v>
      </c>
      <c r="D222" s="1084" t="s">
        <v>551</v>
      </c>
      <c r="E222" s="4" t="s">
        <v>25</v>
      </c>
      <c r="F222" s="26">
        <v>629.8104</v>
      </c>
      <c r="G222" s="26">
        <v>52.0</v>
      </c>
      <c r="H222" s="104">
        <v>32750.1408</v>
      </c>
      <c r="I222" s="26">
        <f t="shared" si="1"/>
        <v>4705.48</v>
      </c>
      <c r="J222" s="26"/>
      <c r="K222" s="4"/>
      <c r="L222" s="4"/>
      <c r="M222" s="4"/>
      <c r="N222" s="107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1083" t="s">
        <v>2128</v>
      </c>
      <c r="C223" s="1083" t="s">
        <v>2709</v>
      </c>
      <c r="D223" s="1084" t="s">
        <v>265</v>
      </c>
      <c r="E223" s="4" t="s">
        <v>25</v>
      </c>
      <c r="F223" s="26">
        <v>282.6456</v>
      </c>
      <c r="G223" s="26">
        <v>338.0</v>
      </c>
      <c r="H223" s="104">
        <v>95534.21280000001</v>
      </c>
      <c r="I223" s="26">
        <f t="shared" si="1"/>
        <v>13726.18</v>
      </c>
      <c r="J223" s="26"/>
      <c r="K223" s="4"/>
      <c r="L223" s="4"/>
      <c r="M223" s="4"/>
      <c r="N223" s="107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1083" t="s">
        <v>2130</v>
      </c>
      <c r="C224" s="1083" t="s">
        <v>2709</v>
      </c>
      <c r="D224" s="1084" t="s">
        <v>1057</v>
      </c>
      <c r="E224" s="4" t="s">
        <v>25</v>
      </c>
      <c r="F224" s="26">
        <v>282.924</v>
      </c>
      <c r="G224" s="26">
        <v>19.0</v>
      </c>
      <c r="H224" s="104">
        <v>5375.556</v>
      </c>
      <c r="I224" s="26">
        <f t="shared" si="1"/>
        <v>772.35</v>
      </c>
      <c r="J224" s="26"/>
      <c r="K224" s="4"/>
      <c r="L224" s="4"/>
      <c r="M224" s="4"/>
      <c r="N224" s="107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1083" t="s">
        <v>2132</v>
      </c>
      <c r="C225" s="1083" t="s">
        <v>2709</v>
      </c>
      <c r="D225" s="1084" t="s">
        <v>1321</v>
      </c>
      <c r="E225" s="4" t="s">
        <v>25</v>
      </c>
      <c r="F225" s="26">
        <v>21.1584</v>
      </c>
      <c r="G225" s="26">
        <v>44.0</v>
      </c>
      <c r="H225" s="104">
        <v>930.9696</v>
      </c>
      <c r="I225" s="26">
        <f t="shared" si="1"/>
        <v>133.76</v>
      </c>
      <c r="J225" s="26"/>
      <c r="K225" s="4"/>
      <c r="L225" s="4"/>
      <c r="M225" s="4"/>
      <c r="N225" s="107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1083" t="s">
        <v>2134</v>
      </c>
      <c r="C226" s="1083" t="s">
        <v>2709</v>
      </c>
      <c r="D226" s="1084" t="s">
        <v>1353</v>
      </c>
      <c r="E226" s="4" t="s">
        <v>25</v>
      </c>
      <c r="F226" s="26">
        <v>34.8</v>
      </c>
      <c r="G226" s="26">
        <v>21.0</v>
      </c>
      <c r="H226" s="104">
        <v>730.8</v>
      </c>
      <c r="I226" s="26">
        <f t="shared" si="1"/>
        <v>105</v>
      </c>
      <c r="J226" s="26"/>
      <c r="K226" s="4"/>
      <c r="L226" s="4"/>
      <c r="M226" s="4"/>
      <c r="N226" s="107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1083" t="s">
        <v>2136</v>
      </c>
      <c r="C227" s="1083" t="s">
        <v>2709</v>
      </c>
      <c r="D227" s="1084" t="s">
        <v>986</v>
      </c>
      <c r="E227" s="4" t="s">
        <v>25</v>
      </c>
      <c r="F227" s="26">
        <v>134.6064</v>
      </c>
      <c r="G227" s="26">
        <v>28.0</v>
      </c>
      <c r="H227" s="104">
        <v>3768.9792</v>
      </c>
      <c r="I227" s="26">
        <f t="shared" si="1"/>
        <v>541.52</v>
      </c>
      <c r="J227" s="26"/>
      <c r="K227" s="4"/>
      <c r="L227" s="4"/>
      <c r="M227" s="4"/>
      <c r="N227" s="107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1083" t="s">
        <v>2138</v>
      </c>
      <c r="C228" s="1083" t="s">
        <v>2709</v>
      </c>
      <c r="D228" s="1084" t="s">
        <v>764</v>
      </c>
      <c r="E228" s="4" t="s">
        <v>25</v>
      </c>
      <c r="F228" s="26">
        <v>77.3256</v>
      </c>
      <c r="G228" s="26">
        <v>17.0</v>
      </c>
      <c r="H228" s="104">
        <v>1314.5351999999998</v>
      </c>
      <c r="I228" s="26">
        <f t="shared" si="1"/>
        <v>188.87</v>
      </c>
      <c r="J228" s="26"/>
      <c r="K228" s="4"/>
      <c r="L228" s="4"/>
      <c r="M228" s="4"/>
      <c r="N228" s="107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1083" t="s">
        <v>2140</v>
      </c>
      <c r="C229" s="1083" t="s">
        <v>2709</v>
      </c>
      <c r="D229" s="1084" t="s">
        <v>202</v>
      </c>
      <c r="E229" s="4" t="s">
        <v>25</v>
      </c>
      <c r="F229" s="26">
        <v>377.928</v>
      </c>
      <c r="G229" s="26">
        <v>256.0</v>
      </c>
      <c r="H229" s="104">
        <v>96749.568</v>
      </c>
      <c r="I229" s="26">
        <f t="shared" si="1"/>
        <v>13900.8</v>
      </c>
      <c r="J229" s="26"/>
      <c r="K229" s="4"/>
      <c r="L229" s="4"/>
      <c r="M229" s="4"/>
      <c r="N229" s="107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1083" t="s">
        <v>2142</v>
      </c>
      <c r="C230" s="1083" t="s">
        <v>2709</v>
      </c>
      <c r="D230" s="1084" t="s">
        <v>1112</v>
      </c>
      <c r="E230" s="4" t="s">
        <v>25</v>
      </c>
      <c r="F230" s="26">
        <v>874.1759999999999</v>
      </c>
      <c r="G230" s="26">
        <v>0.0</v>
      </c>
      <c r="H230" s="104">
        <v>0.0</v>
      </c>
      <c r="I230" s="26">
        <f t="shared" si="1"/>
        <v>0</v>
      </c>
      <c r="J230" s="26"/>
      <c r="K230" s="4"/>
      <c r="L230" s="4"/>
      <c r="M230" s="4"/>
      <c r="N230" s="107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1083" t="s">
        <v>2143</v>
      </c>
      <c r="C231" s="1083" t="s">
        <v>2723</v>
      </c>
      <c r="D231" s="1084" t="s">
        <v>1401</v>
      </c>
      <c r="E231" s="4" t="s">
        <v>25</v>
      </c>
      <c r="F231" s="26">
        <v>23.316</v>
      </c>
      <c r="G231" s="26">
        <v>24.0</v>
      </c>
      <c r="H231" s="104">
        <v>559.584</v>
      </c>
      <c r="I231" s="26">
        <f t="shared" si="1"/>
        <v>80.4</v>
      </c>
      <c r="J231" s="26"/>
      <c r="K231" s="4"/>
      <c r="L231" s="4"/>
      <c r="M231" s="4"/>
      <c r="N231" s="107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1083" t="s">
        <v>3737</v>
      </c>
      <c r="C232" s="1087">
        <v>34110.0</v>
      </c>
      <c r="D232" s="4" t="s">
        <v>3738</v>
      </c>
      <c r="E232" s="4" t="s">
        <v>25</v>
      </c>
      <c r="F232" s="26">
        <v>4458.0887999999995</v>
      </c>
      <c r="G232" s="1094">
        <v>25.0</v>
      </c>
      <c r="H232" s="104">
        <v>111452.21999999999</v>
      </c>
      <c r="I232" s="26">
        <f t="shared" si="1"/>
        <v>16013.25</v>
      </c>
      <c r="J232" s="26"/>
      <c r="K232" s="4"/>
      <c r="L232" s="4"/>
      <c r="M232" s="4"/>
      <c r="N232" s="107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1083" t="s">
        <v>2145</v>
      </c>
      <c r="C233" s="1083" t="s">
        <v>2709</v>
      </c>
      <c r="D233" s="1084" t="s">
        <v>37</v>
      </c>
      <c r="E233" s="4" t="s">
        <v>25</v>
      </c>
      <c r="F233" s="26">
        <v>432.0072</v>
      </c>
      <c r="G233" s="26">
        <v>3244.0</v>
      </c>
      <c r="H233" s="104">
        <v>1401431.3568</v>
      </c>
      <c r="I233" s="26">
        <f t="shared" si="1"/>
        <v>201355.08</v>
      </c>
      <c r="J233" s="26"/>
      <c r="K233" s="4"/>
      <c r="L233" s="4"/>
      <c r="M233" s="4"/>
      <c r="N233" s="107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1083" t="s">
        <v>2146</v>
      </c>
      <c r="C234" s="1083" t="s">
        <v>2709</v>
      </c>
      <c r="D234" s="1084" t="s">
        <v>130</v>
      </c>
      <c r="E234" s="4" t="s">
        <v>25</v>
      </c>
      <c r="F234" s="26">
        <v>199.1256</v>
      </c>
      <c r="G234" s="26">
        <v>1351.0</v>
      </c>
      <c r="H234" s="104">
        <v>269018.68559999997</v>
      </c>
      <c r="I234" s="26">
        <f t="shared" si="1"/>
        <v>38652.11</v>
      </c>
      <c r="J234" s="26"/>
      <c r="K234" s="4"/>
      <c r="L234" s="4"/>
      <c r="M234" s="4"/>
      <c r="N234" s="107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1083" t="s">
        <v>2147</v>
      </c>
      <c r="C235" s="1083" t="s">
        <v>2709</v>
      </c>
      <c r="D235" s="1084" t="s">
        <v>486</v>
      </c>
      <c r="E235" s="4" t="s">
        <v>25</v>
      </c>
      <c r="F235" s="26">
        <v>1942.8839999999998</v>
      </c>
      <c r="G235" s="26">
        <v>21.0</v>
      </c>
      <c r="H235" s="104">
        <v>40800.56399999999</v>
      </c>
      <c r="I235" s="26">
        <f t="shared" si="1"/>
        <v>5862.15</v>
      </c>
      <c r="J235" s="26"/>
      <c r="K235" s="4"/>
      <c r="L235" s="4"/>
      <c r="M235" s="4"/>
      <c r="N235" s="107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1083" t="s">
        <v>2148</v>
      </c>
      <c r="C236" s="1083" t="s">
        <v>2709</v>
      </c>
      <c r="D236" s="1084" t="s">
        <v>73</v>
      </c>
      <c r="E236" s="4" t="s">
        <v>25</v>
      </c>
      <c r="F236" s="26">
        <v>1431.1848</v>
      </c>
      <c r="G236" s="26">
        <v>180.0</v>
      </c>
      <c r="H236" s="104">
        <v>257613.264</v>
      </c>
      <c r="I236" s="26">
        <f t="shared" si="1"/>
        <v>37013.4</v>
      </c>
      <c r="J236" s="26"/>
      <c r="K236" s="4"/>
      <c r="L236" s="4"/>
      <c r="M236" s="4"/>
      <c r="N236" s="107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1083" t="s">
        <v>2149</v>
      </c>
      <c r="C237" s="1083" t="s">
        <v>2709</v>
      </c>
      <c r="D237" s="1084" t="s">
        <v>1299</v>
      </c>
      <c r="E237" s="4" t="s">
        <v>25</v>
      </c>
      <c r="F237" s="26">
        <v>8.8392</v>
      </c>
      <c r="G237" s="26">
        <v>0.0</v>
      </c>
      <c r="H237" s="104">
        <v>0.0</v>
      </c>
      <c r="I237" s="26">
        <f t="shared" si="1"/>
        <v>0</v>
      </c>
      <c r="J237" s="26"/>
      <c r="K237" s="4"/>
      <c r="L237" s="4"/>
      <c r="M237" s="4"/>
      <c r="N237" s="107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1083" t="s">
        <v>2150</v>
      </c>
      <c r="C238" s="1083" t="s">
        <v>2709</v>
      </c>
      <c r="D238" s="1084" t="s">
        <v>862</v>
      </c>
      <c r="E238" s="4" t="s">
        <v>25</v>
      </c>
      <c r="F238" s="26">
        <v>23.8032</v>
      </c>
      <c r="G238" s="26">
        <v>384.0</v>
      </c>
      <c r="H238" s="104">
        <v>9140.4288</v>
      </c>
      <c r="I238" s="26">
        <f t="shared" si="1"/>
        <v>1313.28</v>
      </c>
      <c r="J238" s="26"/>
      <c r="K238" s="4"/>
      <c r="L238" s="4"/>
      <c r="M238" s="4"/>
      <c r="N238" s="107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1083" t="s">
        <v>2151</v>
      </c>
      <c r="C239" s="1083" t="s">
        <v>2709</v>
      </c>
      <c r="D239" s="1084" t="s">
        <v>2152</v>
      </c>
      <c r="E239" s="4" t="s">
        <v>25</v>
      </c>
      <c r="F239" s="26">
        <v>9756.5976</v>
      </c>
      <c r="G239" s="26">
        <v>2.0</v>
      </c>
      <c r="H239" s="104">
        <v>19513.1952</v>
      </c>
      <c r="I239" s="26">
        <f t="shared" si="1"/>
        <v>2803.62</v>
      </c>
      <c r="J239" s="26"/>
      <c r="K239" s="4"/>
      <c r="L239" s="4"/>
      <c r="M239" s="4"/>
      <c r="N239" s="107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1083" t="s">
        <v>2153</v>
      </c>
      <c r="C240" s="1083" t="s">
        <v>2709</v>
      </c>
      <c r="D240" s="1084" t="s">
        <v>2815</v>
      </c>
      <c r="E240" s="4" t="s">
        <v>25</v>
      </c>
      <c r="F240" s="26">
        <v>9931.0848</v>
      </c>
      <c r="G240" s="26">
        <v>2.0</v>
      </c>
      <c r="H240" s="104">
        <v>19862.1696</v>
      </c>
      <c r="I240" s="26">
        <f t="shared" si="1"/>
        <v>2853.76</v>
      </c>
      <c r="J240" s="26"/>
      <c r="K240" s="4"/>
      <c r="L240" s="4"/>
      <c r="M240" s="4"/>
      <c r="N240" s="107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1083" t="s">
        <v>2155</v>
      </c>
      <c r="C241" s="1083" t="s">
        <v>2709</v>
      </c>
      <c r="D241" s="1084" t="s">
        <v>901</v>
      </c>
      <c r="E241" s="4" t="s">
        <v>25</v>
      </c>
      <c r="F241" s="26">
        <v>140.8008</v>
      </c>
      <c r="G241" s="26">
        <v>52.0</v>
      </c>
      <c r="H241" s="104">
        <v>7321.641600000001</v>
      </c>
      <c r="I241" s="26">
        <f t="shared" si="1"/>
        <v>1051.96</v>
      </c>
      <c r="J241" s="26"/>
      <c r="K241" s="4"/>
      <c r="L241" s="4"/>
      <c r="M241" s="4"/>
      <c r="N241" s="107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1083" t="s">
        <v>2156</v>
      </c>
      <c r="C242" s="1083" t="s">
        <v>2723</v>
      </c>
      <c r="D242" s="1084" t="s">
        <v>877</v>
      </c>
      <c r="E242" s="4" t="s">
        <v>25</v>
      </c>
      <c r="F242" s="26">
        <v>162.4464</v>
      </c>
      <c r="G242" s="26">
        <v>30.0</v>
      </c>
      <c r="H242" s="104">
        <v>4873.392000000001</v>
      </c>
      <c r="I242" s="26">
        <f t="shared" si="1"/>
        <v>700.2</v>
      </c>
      <c r="J242" s="26"/>
      <c r="K242" s="4"/>
      <c r="L242" s="4"/>
      <c r="M242" s="4"/>
      <c r="N242" s="107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1083" t="s">
        <v>2157</v>
      </c>
      <c r="C243" s="1083" t="s">
        <v>2709</v>
      </c>
      <c r="D243" s="1084" t="s">
        <v>489</v>
      </c>
      <c r="E243" s="4" t="s">
        <v>25</v>
      </c>
      <c r="F243" s="26">
        <v>407.9256</v>
      </c>
      <c r="G243" s="26">
        <v>118.0</v>
      </c>
      <c r="H243" s="104">
        <v>48135.220799999996</v>
      </c>
      <c r="I243" s="26">
        <f t="shared" si="1"/>
        <v>6915.98</v>
      </c>
      <c r="J243" s="26"/>
      <c r="K243" s="4"/>
      <c r="L243" s="4"/>
      <c r="M243" s="4"/>
      <c r="N243" s="107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1083" t="s">
        <v>2158</v>
      </c>
      <c r="C244" s="1083" t="s">
        <v>2709</v>
      </c>
      <c r="D244" s="1084" t="s">
        <v>1186</v>
      </c>
      <c r="E244" s="4" t="s">
        <v>25</v>
      </c>
      <c r="F244" s="26">
        <v>19.836000000000002</v>
      </c>
      <c r="G244" s="26">
        <v>87.0</v>
      </c>
      <c r="H244" s="104">
        <v>1725.7320000000002</v>
      </c>
      <c r="I244" s="26">
        <f t="shared" si="1"/>
        <v>247.95</v>
      </c>
      <c r="J244" s="26"/>
      <c r="K244" s="4"/>
      <c r="L244" s="4"/>
      <c r="M244" s="4"/>
      <c r="N244" s="107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1083" t="s">
        <v>2160</v>
      </c>
      <c r="C245" s="1083" t="s">
        <v>2709</v>
      </c>
      <c r="D245" s="1084" t="s">
        <v>1356</v>
      </c>
      <c r="E245" s="4" t="s">
        <v>25</v>
      </c>
      <c r="F245" s="26">
        <v>4.524</v>
      </c>
      <c r="G245" s="26">
        <v>304.0</v>
      </c>
      <c r="H245" s="104">
        <v>1375.296</v>
      </c>
      <c r="I245" s="26">
        <f t="shared" si="1"/>
        <v>197.6</v>
      </c>
      <c r="J245" s="26"/>
      <c r="K245" s="4"/>
      <c r="L245" s="4"/>
      <c r="M245" s="4"/>
      <c r="N245" s="107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1083" t="s">
        <v>2161</v>
      </c>
      <c r="C246" s="1083" t="s">
        <v>2709</v>
      </c>
      <c r="D246" s="1084" t="s">
        <v>1150</v>
      </c>
      <c r="E246" s="4" t="s">
        <v>25</v>
      </c>
      <c r="F246" s="26">
        <v>2872.1832</v>
      </c>
      <c r="G246" s="26">
        <v>0.0</v>
      </c>
      <c r="H246" s="104">
        <v>0.0</v>
      </c>
      <c r="I246" s="26">
        <f t="shared" si="1"/>
        <v>0</v>
      </c>
      <c r="J246" s="26"/>
      <c r="K246" s="4"/>
      <c r="L246" s="4"/>
      <c r="M246" s="4"/>
      <c r="N246" s="107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1083" t="s">
        <v>2163</v>
      </c>
      <c r="C247" s="1083" t="s">
        <v>2709</v>
      </c>
      <c r="D247" s="1084" t="s">
        <v>1498</v>
      </c>
      <c r="E247" s="4" t="s">
        <v>25</v>
      </c>
      <c r="F247" s="26">
        <v>22.2024</v>
      </c>
      <c r="G247" s="26">
        <v>150.0</v>
      </c>
      <c r="H247" s="104">
        <v>3330.36</v>
      </c>
      <c r="I247" s="26">
        <f t="shared" si="1"/>
        <v>478.5</v>
      </c>
      <c r="J247" s="26"/>
      <c r="K247" s="4"/>
      <c r="L247" s="4"/>
      <c r="M247" s="4"/>
      <c r="N247" s="107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1083" t="s">
        <v>2164</v>
      </c>
      <c r="C248" s="1083" t="s">
        <v>2709</v>
      </c>
      <c r="D248" s="1084" t="s">
        <v>57</v>
      </c>
      <c r="E248" s="4" t="s">
        <v>25</v>
      </c>
      <c r="F248" s="26">
        <v>865.8936</v>
      </c>
      <c r="G248" s="26">
        <v>466.0</v>
      </c>
      <c r="H248" s="104">
        <v>403506.4176</v>
      </c>
      <c r="I248" s="26">
        <f t="shared" si="1"/>
        <v>57975.06</v>
      </c>
      <c r="J248" s="26"/>
      <c r="K248" s="4"/>
      <c r="L248" s="4"/>
      <c r="M248" s="4"/>
      <c r="N248" s="107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1083" t="s">
        <v>2165</v>
      </c>
      <c r="C249" s="1083" t="s">
        <v>2709</v>
      </c>
      <c r="D249" s="1084" t="s">
        <v>325</v>
      </c>
      <c r="E249" s="4" t="s">
        <v>25</v>
      </c>
      <c r="F249" s="26">
        <v>4198.6896</v>
      </c>
      <c r="G249" s="26">
        <v>8.0</v>
      </c>
      <c r="H249" s="104">
        <v>33589.5168</v>
      </c>
      <c r="I249" s="26">
        <f t="shared" si="1"/>
        <v>4826.08</v>
      </c>
      <c r="J249" s="26"/>
      <c r="K249" s="4"/>
      <c r="L249" s="4"/>
      <c r="M249" s="4"/>
      <c r="N249" s="107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1083" t="s">
        <v>3739</v>
      </c>
      <c r="C250" s="1087">
        <v>34110.0</v>
      </c>
      <c r="D250" s="4" t="s">
        <v>3740</v>
      </c>
      <c r="E250" s="4" t="s">
        <v>25</v>
      </c>
      <c r="F250" s="26">
        <v>802.4184</v>
      </c>
      <c r="G250" s="1094">
        <v>16.0</v>
      </c>
      <c r="H250" s="104">
        <v>12838.6944</v>
      </c>
      <c r="I250" s="26">
        <f t="shared" si="1"/>
        <v>1844.64</v>
      </c>
      <c r="J250" s="26"/>
      <c r="K250" s="4"/>
      <c r="L250" s="4"/>
      <c r="M250" s="4"/>
      <c r="N250" s="107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1083" t="s">
        <v>2167</v>
      </c>
      <c r="C251" s="1083" t="s">
        <v>2709</v>
      </c>
      <c r="D251" s="1084" t="s">
        <v>414</v>
      </c>
      <c r="E251" s="4" t="s">
        <v>25</v>
      </c>
      <c r="F251" s="26">
        <v>350.9232</v>
      </c>
      <c r="G251" s="26">
        <v>7.0</v>
      </c>
      <c r="H251" s="104">
        <v>2456.4624</v>
      </c>
      <c r="I251" s="26">
        <f t="shared" si="1"/>
        <v>352.94</v>
      </c>
      <c r="J251" s="26"/>
      <c r="K251" s="4"/>
      <c r="L251" s="4"/>
      <c r="M251" s="4"/>
      <c r="N251" s="107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1083" t="s">
        <v>3741</v>
      </c>
      <c r="C252" s="1087">
        <v>34110.0</v>
      </c>
      <c r="D252" s="4" t="s">
        <v>3742</v>
      </c>
      <c r="E252" s="4" t="s">
        <v>25</v>
      </c>
      <c r="F252" s="26">
        <v>503.4864</v>
      </c>
      <c r="G252" s="1094">
        <v>0.0</v>
      </c>
      <c r="H252" s="104">
        <v>0.0</v>
      </c>
      <c r="I252" s="26">
        <f t="shared" si="1"/>
        <v>0</v>
      </c>
      <c r="J252" s="26"/>
      <c r="K252" s="4"/>
      <c r="L252" s="4"/>
      <c r="M252" s="4"/>
      <c r="N252" s="107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1083" t="s">
        <v>2169</v>
      </c>
      <c r="C253" s="1083" t="s">
        <v>2709</v>
      </c>
      <c r="D253" s="1084" t="s">
        <v>383</v>
      </c>
      <c r="E253" s="4" t="s">
        <v>25</v>
      </c>
      <c r="F253" s="26">
        <v>59.438399999999994</v>
      </c>
      <c r="G253" s="26">
        <v>166.0</v>
      </c>
      <c r="H253" s="104">
        <v>9866.774399999998</v>
      </c>
      <c r="I253" s="26">
        <f t="shared" si="1"/>
        <v>1417.64</v>
      </c>
      <c r="J253" s="26"/>
      <c r="K253" s="4"/>
      <c r="L253" s="4"/>
      <c r="M253" s="4"/>
      <c r="N253" s="107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1083" t="s">
        <v>2170</v>
      </c>
      <c r="C254" s="1083" t="s">
        <v>2709</v>
      </c>
      <c r="D254" s="1084" t="s">
        <v>1234</v>
      </c>
      <c r="E254" s="4" t="s">
        <v>25</v>
      </c>
      <c r="F254" s="26">
        <v>20.6016</v>
      </c>
      <c r="G254" s="26">
        <v>80.0</v>
      </c>
      <c r="H254" s="104">
        <v>1648.1280000000002</v>
      </c>
      <c r="I254" s="26">
        <f t="shared" si="1"/>
        <v>236.8</v>
      </c>
      <c r="J254" s="26"/>
      <c r="K254" s="4"/>
      <c r="L254" s="4"/>
      <c r="M254" s="4"/>
      <c r="N254" s="107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1083" t="s">
        <v>2171</v>
      </c>
      <c r="C255" s="1083" t="s">
        <v>2709</v>
      </c>
      <c r="D255" s="1084" t="s">
        <v>904</v>
      </c>
      <c r="E255" s="4" t="s">
        <v>25</v>
      </c>
      <c r="F255" s="26">
        <v>660.2952</v>
      </c>
      <c r="G255" s="26">
        <v>6.0</v>
      </c>
      <c r="H255" s="104">
        <v>3961.7712</v>
      </c>
      <c r="I255" s="26">
        <f t="shared" si="1"/>
        <v>569.22</v>
      </c>
      <c r="J255" s="26"/>
      <c r="K255" s="4"/>
      <c r="L255" s="4"/>
      <c r="M255" s="4"/>
      <c r="N255" s="107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1083" t="s">
        <v>2173</v>
      </c>
      <c r="C256" s="1083" t="s">
        <v>2709</v>
      </c>
      <c r="D256" s="1084" t="s">
        <v>310</v>
      </c>
      <c r="E256" s="4" t="s">
        <v>25</v>
      </c>
      <c r="F256" s="26">
        <v>566.6136</v>
      </c>
      <c r="G256" s="26">
        <v>5.0</v>
      </c>
      <c r="H256" s="104">
        <v>2833.068</v>
      </c>
      <c r="I256" s="26">
        <f t="shared" si="1"/>
        <v>407.05</v>
      </c>
      <c r="J256" s="26"/>
      <c r="K256" s="4"/>
      <c r="L256" s="4"/>
      <c r="M256" s="4"/>
      <c r="N256" s="107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1083" t="s">
        <v>2175</v>
      </c>
      <c r="C257" s="1083" t="s">
        <v>2709</v>
      </c>
      <c r="D257" s="1084" t="s">
        <v>667</v>
      </c>
      <c r="E257" s="4" t="s">
        <v>25</v>
      </c>
      <c r="F257" s="26">
        <v>188.1288</v>
      </c>
      <c r="G257" s="26">
        <v>0.0</v>
      </c>
      <c r="H257" s="104">
        <v>0.0</v>
      </c>
      <c r="I257" s="26">
        <f t="shared" si="1"/>
        <v>0</v>
      </c>
      <c r="J257" s="26"/>
      <c r="K257" s="4"/>
      <c r="L257" s="4"/>
      <c r="M257" s="4"/>
      <c r="N257" s="107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1083" t="s">
        <v>2177</v>
      </c>
      <c r="C258" s="1083" t="s">
        <v>2709</v>
      </c>
      <c r="D258" s="1084" t="s">
        <v>144</v>
      </c>
      <c r="E258" s="4" t="s">
        <v>25</v>
      </c>
      <c r="F258" s="26">
        <v>158.4792</v>
      </c>
      <c r="G258" s="26">
        <v>1020.0</v>
      </c>
      <c r="H258" s="104">
        <v>161648.78399999999</v>
      </c>
      <c r="I258" s="26">
        <f t="shared" si="1"/>
        <v>23225.4</v>
      </c>
      <c r="J258" s="26"/>
      <c r="K258" s="4"/>
      <c r="L258" s="4"/>
      <c r="M258" s="4"/>
      <c r="N258" s="107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1083" t="s">
        <v>2178</v>
      </c>
      <c r="C259" s="1083" t="s">
        <v>2709</v>
      </c>
      <c r="D259" s="1084" t="s">
        <v>966</v>
      </c>
      <c r="E259" s="4" t="s">
        <v>25</v>
      </c>
      <c r="F259" s="26">
        <v>39.0456</v>
      </c>
      <c r="G259" s="26">
        <v>0.0</v>
      </c>
      <c r="H259" s="104">
        <v>0.0</v>
      </c>
      <c r="I259" s="26">
        <f t="shared" si="1"/>
        <v>0</v>
      </c>
      <c r="J259" s="26"/>
      <c r="K259" s="4"/>
      <c r="L259" s="4"/>
      <c r="M259" s="4"/>
      <c r="N259" s="107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1083" t="s">
        <v>2180</v>
      </c>
      <c r="C260" s="1083" t="s">
        <v>2723</v>
      </c>
      <c r="D260" s="1084" t="s">
        <v>3203</v>
      </c>
      <c r="E260" s="4" t="s">
        <v>25</v>
      </c>
      <c r="F260" s="26">
        <v>19461.7608</v>
      </c>
      <c r="G260" s="26">
        <v>0.0</v>
      </c>
      <c r="H260" s="104">
        <v>0.0</v>
      </c>
      <c r="I260" s="26">
        <f t="shared" si="1"/>
        <v>0</v>
      </c>
      <c r="J260" s="26"/>
      <c r="K260" s="4"/>
      <c r="L260" s="4"/>
      <c r="M260" s="4"/>
      <c r="N260" s="107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1083" t="s">
        <v>2182</v>
      </c>
      <c r="C261" s="1083" t="s">
        <v>2709</v>
      </c>
      <c r="D261" s="1084" t="s">
        <v>912</v>
      </c>
      <c r="E261" s="4" t="s">
        <v>25</v>
      </c>
      <c r="F261" s="26">
        <v>313.4088</v>
      </c>
      <c r="G261" s="26">
        <v>53.0</v>
      </c>
      <c r="H261" s="104">
        <v>16610.6664</v>
      </c>
      <c r="I261" s="26">
        <f t="shared" si="1"/>
        <v>2386.59</v>
      </c>
      <c r="J261" s="26"/>
      <c r="K261" s="4"/>
      <c r="L261" s="4"/>
      <c r="M261" s="4"/>
      <c r="N261" s="107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1083" t="s">
        <v>2184</v>
      </c>
      <c r="C262" s="1083" t="s">
        <v>2709</v>
      </c>
      <c r="D262" s="1084" t="s">
        <v>780</v>
      </c>
      <c r="E262" s="4" t="s">
        <v>25</v>
      </c>
      <c r="F262" s="26">
        <v>104.1216</v>
      </c>
      <c r="G262" s="26">
        <v>246.0</v>
      </c>
      <c r="H262" s="104">
        <v>25613.9136</v>
      </c>
      <c r="I262" s="26">
        <f t="shared" si="1"/>
        <v>3680.16</v>
      </c>
      <c r="J262" s="26"/>
      <c r="K262" s="4"/>
      <c r="L262" s="4"/>
      <c r="M262" s="4"/>
      <c r="N262" s="107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1083" t="s">
        <v>2185</v>
      </c>
      <c r="C263" s="1083" t="s">
        <v>2709</v>
      </c>
      <c r="D263" s="1084" t="s">
        <v>222</v>
      </c>
      <c r="E263" s="4" t="s">
        <v>25</v>
      </c>
      <c r="F263" s="26">
        <v>1353.7895999999998</v>
      </c>
      <c r="G263" s="26">
        <v>20.0</v>
      </c>
      <c r="H263" s="104">
        <v>27075.791999999998</v>
      </c>
      <c r="I263" s="26">
        <f t="shared" si="1"/>
        <v>3890.2</v>
      </c>
      <c r="J263" s="26"/>
      <c r="K263" s="4"/>
      <c r="L263" s="4"/>
      <c r="M263" s="4"/>
      <c r="N263" s="107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1083" t="s">
        <v>2186</v>
      </c>
      <c r="C264" s="1083" t="s">
        <v>2709</v>
      </c>
      <c r="D264" s="1084" t="s">
        <v>859</v>
      </c>
      <c r="E264" s="4" t="s">
        <v>25</v>
      </c>
      <c r="F264" s="26">
        <v>6.96</v>
      </c>
      <c r="G264" s="26">
        <v>200.0</v>
      </c>
      <c r="H264" s="104">
        <v>1392.0</v>
      </c>
      <c r="I264" s="26">
        <f t="shared" si="1"/>
        <v>200</v>
      </c>
      <c r="J264" s="26"/>
      <c r="K264" s="4"/>
      <c r="L264" s="4"/>
      <c r="M264" s="4"/>
      <c r="N264" s="107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1083" t="s">
        <v>2188</v>
      </c>
      <c r="C265" s="1083" t="s">
        <v>2709</v>
      </c>
      <c r="D265" s="1084" t="s">
        <v>1019</v>
      </c>
      <c r="E265" s="4" t="s">
        <v>25</v>
      </c>
      <c r="F265" s="26">
        <v>2044.3608000000002</v>
      </c>
      <c r="G265" s="26">
        <v>0.0</v>
      </c>
      <c r="H265" s="104">
        <v>0.0</v>
      </c>
      <c r="I265" s="26">
        <f t="shared" si="1"/>
        <v>0</v>
      </c>
      <c r="J265" s="26"/>
      <c r="K265" s="4"/>
      <c r="L265" s="4"/>
      <c r="M265" s="4"/>
      <c r="N265" s="107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1083" t="s">
        <v>2190</v>
      </c>
      <c r="C266" s="1083" t="s">
        <v>2709</v>
      </c>
      <c r="D266" s="1084" t="s">
        <v>483</v>
      </c>
      <c r="E266" s="4" t="s">
        <v>25</v>
      </c>
      <c r="F266" s="26">
        <v>11676.444000000001</v>
      </c>
      <c r="G266" s="26">
        <v>0.0</v>
      </c>
      <c r="H266" s="104">
        <v>0.0</v>
      </c>
      <c r="I266" s="26">
        <f t="shared" si="1"/>
        <v>0</v>
      </c>
      <c r="J266" s="26"/>
      <c r="K266" s="4"/>
      <c r="L266" s="4"/>
      <c r="M266" s="4"/>
      <c r="N266" s="107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1083" t="s">
        <v>2191</v>
      </c>
      <c r="C267" s="1083" t="s">
        <v>2709</v>
      </c>
      <c r="D267" s="1084" t="s">
        <v>375</v>
      </c>
      <c r="E267" s="4" t="s">
        <v>25</v>
      </c>
      <c r="F267" s="26">
        <v>245.96640000000002</v>
      </c>
      <c r="G267" s="26">
        <v>60.0</v>
      </c>
      <c r="H267" s="104">
        <v>14757.984000000002</v>
      </c>
      <c r="I267" s="26">
        <f t="shared" si="1"/>
        <v>2120.4</v>
      </c>
      <c r="J267" s="26"/>
      <c r="K267" s="4"/>
      <c r="L267" s="4"/>
      <c r="M267" s="4"/>
      <c r="N267" s="107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1083" t="s">
        <v>2192</v>
      </c>
      <c r="C268" s="1083" t="s">
        <v>2709</v>
      </c>
      <c r="D268" s="1084" t="s">
        <v>885</v>
      </c>
      <c r="E268" s="4" t="s">
        <v>25</v>
      </c>
      <c r="F268" s="26">
        <v>236.0832</v>
      </c>
      <c r="G268" s="26">
        <v>39.0</v>
      </c>
      <c r="H268" s="104">
        <v>9207.2448</v>
      </c>
      <c r="I268" s="26">
        <f t="shared" si="1"/>
        <v>1322.88</v>
      </c>
      <c r="J268" s="26"/>
      <c r="K268" s="4"/>
      <c r="L268" s="4"/>
      <c r="M268" s="4"/>
      <c r="N268" s="107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1083" t="s">
        <v>2194</v>
      </c>
      <c r="C269" s="1083" t="s">
        <v>2709</v>
      </c>
      <c r="D269" s="1084" t="s">
        <v>1483</v>
      </c>
      <c r="E269" s="4" t="s">
        <v>25</v>
      </c>
      <c r="F269" s="26">
        <v>1037.6664</v>
      </c>
      <c r="G269" s="26">
        <v>0.0</v>
      </c>
      <c r="H269" s="104">
        <v>0.0</v>
      </c>
      <c r="I269" s="26">
        <f t="shared" si="1"/>
        <v>0</v>
      </c>
      <c r="J269" s="26"/>
      <c r="K269" s="4"/>
      <c r="L269" s="4"/>
      <c r="M269" s="4"/>
      <c r="N269" s="107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1083" t="s">
        <v>2196</v>
      </c>
      <c r="C270" s="1083" t="s">
        <v>2709</v>
      </c>
      <c r="D270" s="1084" t="s">
        <v>1416</v>
      </c>
      <c r="E270" s="4" t="s">
        <v>25</v>
      </c>
      <c r="F270" s="26">
        <v>17.9568</v>
      </c>
      <c r="G270" s="26">
        <v>80.0</v>
      </c>
      <c r="H270" s="104">
        <v>1436.544</v>
      </c>
      <c r="I270" s="26">
        <f t="shared" si="1"/>
        <v>206.4</v>
      </c>
      <c r="J270" s="26"/>
      <c r="K270" s="4"/>
      <c r="L270" s="4"/>
      <c r="M270" s="4"/>
      <c r="N270" s="107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1083" t="s">
        <v>2197</v>
      </c>
      <c r="C271" s="1083" t="s">
        <v>3060</v>
      </c>
      <c r="D271" s="1084" t="s">
        <v>670</v>
      </c>
      <c r="E271" s="4" t="s">
        <v>25</v>
      </c>
      <c r="F271" s="26">
        <v>34610.5488</v>
      </c>
      <c r="G271" s="26">
        <v>0.0</v>
      </c>
      <c r="H271" s="104">
        <v>0.0</v>
      </c>
      <c r="I271" s="26">
        <f t="shared" si="1"/>
        <v>0</v>
      </c>
      <c r="J271" s="26"/>
      <c r="K271" s="4"/>
      <c r="L271" s="4"/>
      <c r="M271" s="4"/>
      <c r="N271" s="107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1083" t="s">
        <v>2198</v>
      </c>
      <c r="C272" s="1083" t="s">
        <v>2709</v>
      </c>
      <c r="D272" s="1084" t="s">
        <v>495</v>
      </c>
      <c r="E272" s="4" t="s">
        <v>25</v>
      </c>
      <c r="F272" s="26">
        <v>88451.16</v>
      </c>
      <c r="G272" s="26">
        <v>1.0</v>
      </c>
      <c r="H272" s="104">
        <v>88451.16</v>
      </c>
      <c r="I272" s="26">
        <f t="shared" si="1"/>
        <v>12708.5</v>
      </c>
      <c r="J272" s="26"/>
      <c r="K272" s="4"/>
      <c r="L272" s="4"/>
      <c r="M272" s="4"/>
      <c r="N272" s="107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1083" t="s">
        <v>2200</v>
      </c>
      <c r="C273" s="1083" t="s">
        <v>2709</v>
      </c>
      <c r="D273" s="1084" t="s">
        <v>1308</v>
      </c>
      <c r="E273" s="4" t="s">
        <v>25</v>
      </c>
      <c r="F273" s="26">
        <v>982.5432</v>
      </c>
      <c r="G273" s="26">
        <v>0.0</v>
      </c>
      <c r="H273" s="104">
        <v>0.0</v>
      </c>
      <c r="I273" s="26">
        <f t="shared" si="1"/>
        <v>0</v>
      </c>
      <c r="J273" s="26"/>
      <c r="K273" s="4"/>
      <c r="L273" s="4"/>
      <c r="M273" s="4"/>
      <c r="N273" s="107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1083" t="s">
        <v>2202</v>
      </c>
      <c r="C274" s="1083" t="s">
        <v>2709</v>
      </c>
      <c r="D274" s="1084" t="s">
        <v>1531</v>
      </c>
      <c r="E274" s="4" t="s">
        <v>25</v>
      </c>
      <c r="F274" s="26">
        <v>18.7224</v>
      </c>
      <c r="G274" s="26">
        <v>150.0</v>
      </c>
      <c r="H274" s="104">
        <v>2808.36</v>
      </c>
      <c r="I274" s="26">
        <f t="shared" si="1"/>
        <v>403.5</v>
      </c>
      <c r="J274" s="26"/>
      <c r="K274" s="4"/>
      <c r="L274" s="4"/>
      <c r="M274" s="4"/>
      <c r="N274" s="107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1083" t="s">
        <v>2203</v>
      </c>
      <c r="C275" s="1083" t="s">
        <v>2709</v>
      </c>
      <c r="D275" s="1084" t="s">
        <v>1453</v>
      </c>
      <c r="E275" s="4" t="s">
        <v>25</v>
      </c>
      <c r="F275" s="26">
        <v>29.9976</v>
      </c>
      <c r="G275" s="26">
        <v>50.0</v>
      </c>
      <c r="H275" s="104">
        <v>1499.8799999999999</v>
      </c>
      <c r="I275" s="26">
        <f t="shared" si="1"/>
        <v>215.5</v>
      </c>
      <c r="J275" s="26"/>
      <c r="K275" s="4"/>
      <c r="L275" s="4"/>
      <c r="M275" s="4"/>
      <c r="N275" s="107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1083" t="s">
        <v>2204</v>
      </c>
      <c r="C276" s="1083" t="s">
        <v>2709</v>
      </c>
      <c r="D276" s="1084" t="s">
        <v>492</v>
      </c>
      <c r="E276" s="4" t="s">
        <v>25</v>
      </c>
      <c r="F276" s="26">
        <v>342.5712</v>
      </c>
      <c r="G276" s="26">
        <v>169.0</v>
      </c>
      <c r="H276" s="104">
        <v>57894.5328</v>
      </c>
      <c r="I276" s="26">
        <f t="shared" si="1"/>
        <v>8318.18</v>
      </c>
      <c r="J276" s="26"/>
      <c r="K276" s="4"/>
      <c r="L276" s="4"/>
      <c r="M276" s="4"/>
      <c r="N276" s="107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1083" t="s">
        <v>2206</v>
      </c>
      <c r="C277" s="1083" t="s">
        <v>2709</v>
      </c>
      <c r="D277" s="1084" t="s">
        <v>745</v>
      </c>
      <c r="E277" s="4" t="s">
        <v>25</v>
      </c>
      <c r="F277" s="26">
        <v>253.76160000000002</v>
      </c>
      <c r="G277" s="26">
        <v>70.0</v>
      </c>
      <c r="H277" s="104">
        <v>17763.312</v>
      </c>
      <c r="I277" s="26">
        <f t="shared" si="1"/>
        <v>2552.2</v>
      </c>
      <c r="J277" s="26"/>
      <c r="K277" s="4"/>
      <c r="L277" s="4"/>
      <c r="M277" s="4"/>
      <c r="N277" s="107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1083" t="s">
        <v>2207</v>
      </c>
      <c r="C278" s="1083" t="s">
        <v>2709</v>
      </c>
      <c r="D278" s="1084" t="s">
        <v>463</v>
      </c>
      <c r="E278" s="4" t="s">
        <v>25</v>
      </c>
      <c r="F278" s="26">
        <v>716.532</v>
      </c>
      <c r="G278" s="26">
        <v>60.0</v>
      </c>
      <c r="H278" s="104">
        <v>42991.920000000006</v>
      </c>
      <c r="I278" s="26">
        <f t="shared" si="1"/>
        <v>6177</v>
      </c>
      <c r="J278" s="26"/>
      <c r="K278" s="4"/>
      <c r="L278" s="4"/>
      <c r="M278" s="4"/>
      <c r="N278" s="107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1083" t="s">
        <v>2208</v>
      </c>
      <c r="C279" s="1083" t="s">
        <v>2709</v>
      </c>
      <c r="D279" s="1084" t="s">
        <v>1139</v>
      </c>
      <c r="E279" s="4" t="s">
        <v>25</v>
      </c>
      <c r="F279" s="26">
        <v>3047.5056</v>
      </c>
      <c r="G279" s="26">
        <v>2.0</v>
      </c>
      <c r="H279" s="104">
        <v>6095.0112</v>
      </c>
      <c r="I279" s="26">
        <f t="shared" si="1"/>
        <v>875.72</v>
      </c>
      <c r="J279" s="26"/>
      <c r="K279" s="4"/>
      <c r="L279" s="4"/>
      <c r="M279" s="4"/>
      <c r="N279" s="107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1083" t="s">
        <v>2210</v>
      </c>
      <c r="C280" s="1083" t="s">
        <v>2709</v>
      </c>
      <c r="D280" s="1084" t="s">
        <v>685</v>
      </c>
      <c r="E280" s="4" t="s">
        <v>25</v>
      </c>
      <c r="F280" s="26">
        <v>213.32399999999998</v>
      </c>
      <c r="G280" s="26">
        <v>48.0</v>
      </c>
      <c r="H280" s="104">
        <v>10239.552</v>
      </c>
      <c r="I280" s="26">
        <f t="shared" si="1"/>
        <v>1471.2</v>
      </c>
      <c r="J280" s="26"/>
      <c r="K280" s="4"/>
      <c r="L280" s="4"/>
      <c r="M280" s="4"/>
      <c r="N280" s="107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1083" t="s">
        <v>2212</v>
      </c>
      <c r="C281" s="1083" t="s">
        <v>2709</v>
      </c>
      <c r="D281" s="1084" t="s">
        <v>1160</v>
      </c>
      <c r="E281" s="4" t="s">
        <v>25</v>
      </c>
      <c r="F281" s="26">
        <v>229.1232</v>
      </c>
      <c r="G281" s="26">
        <v>24.0</v>
      </c>
      <c r="H281" s="104">
        <v>5498.9568</v>
      </c>
      <c r="I281" s="26">
        <f t="shared" si="1"/>
        <v>790.08</v>
      </c>
      <c r="J281" s="26"/>
      <c r="K281" s="4"/>
      <c r="L281" s="4"/>
      <c r="M281" s="4"/>
      <c r="N281" s="107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1083" t="s">
        <v>2213</v>
      </c>
      <c r="C282" s="1083" t="s">
        <v>2709</v>
      </c>
      <c r="D282" s="1084" t="s">
        <v>774</v>
      </c>
      <c r="E282" s="4" t="s">
        <v>25</v>
      </c>
      <c r="F282" s="26">
        <v>14.1984</v>
      </c>
      <c r="G282" s="26">
        <v>288.0</v>
      </c>
      <c r="H282" s="104">
        <v>4089.1391999999996</v>
      </c>
      <c r="I282" s="26">
        <f t="shared" si="1"/>
        <v>587.52</v>
      </c>
      <c r="J282" s="26"/>
      <c r="K282" s="4"/>
      <c r="L282" s="4"/>
      <c r="M282" s="4"/>
      <c r="N282" s="107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1083" t="s">
        <v>2214</v>
      </c>
      <c r="C283" s="1083" t="s">
        <v>2709</v>
      </c>
      <c r="D283" s="1084" t="s">
        <v>1136</v>
      </c>
      <c r="E283" s="4" t="s">
        <v>25</v>
      </c>
      <c r="F283" s="26">
        <v>3.48</v>
      </c>
      <c r="G283" s="26">
        <v>468.0</v>
      </c>
      <c r="H283" s="104">
        <v>1628.64</v>
      </c>
      <c r="I283" s="26">
        <f t="shared" si="1"/>
        <v>234</v>
      </c>
      <c r="J283" s="26"/>
      <c r="K283" s="4"/>
      <c r="L283" s="4"/>
      <c r="M283" s="4"/>
      <c r="N283" s="107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1083" t="s">
        <v>2215</v>
      </c>
      <c r="C284" s="1083" t="s">
        <v>2709</v>
      </c>
      <c r="D284" s="1084" t="s">
        <v>812</v>
      </c>
      <c r="E284" s="4" t="s">
        <v>25</v>
      </c>
      <c r="F284" s="26">
        <v>14.685599999999999</v>
      </c>
      <c r="G284" s="26">
        <v>2003.0</v>
      </c>
      <c r="H284" s="104">
        <v>29415.2568</v>
      </c>
      <c r="I284" s="26">
        <f t="shared" si="1"/>
        <v>4226.33</v>
      </c>
      <c r="J284" s="26"/>
      <c r="K284" s="4"/>
      <c r="L284" s="4"/>
      <c r="M284" s="4"/>
      <c r="N284" s="107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1083" t="s">
        <v>2216</v>
      </c>
      <c r="C285" s="1083" t="s">
        <v>2723</v>
      </c>
      <c r="D285" s="1084" t="s">
        <v>1316</v>
      </c>
      <c r="E285" s="4" t="s">
        <v>25</v>
      </c>
      <c r="F285" s="26">
        <v>2830.4928</v>
      </c>
      <c r="G285" s="26">
        <v>0.0</v>
      </c>
      <c r="H285" s="104">
        <v>0.0</v>
      </c>
      <c r="I285" s="26">
        <f t="shared" si="1"/>
        <v>0</v>
      </c>
      <c r="J285" s="26"/>
      <c r="K285" s="4"/>
      <c r="L285" s="4"/>
      <c r="M285" s="4"/>
      <c r="N285" s="107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1083" t="s">
        <v>2218</v>
      </c>
      <c r="C286" s="1083" t="s">
        <v>2723</v>
      </c>
      <c r="D286" s="1084" t="s">
        <v>1436</v>
      </c>
      <c r="E286" s="4" t="s">
        <v>25</v>
      </c>
      <c r="F286" s="26">
        <v>212.7672</v>
      </c>
      <c r="G286" s="26">
        <v>0.0</v>
      </c>
      <c r="H286" s="104">
        <v>0.0</v>
      </c>
      <c r="I286" s="26">
        <f t="shared" si="1"/>
        <v>0</v>
      </c>
      <c r="J286" s="26"/>
      <c r="K286" s="4"/>
      <c r="L286" s="4"/>
      <c r="M286" s="4"/>
      <c r="N286" s="107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1083" t="s">
        <v>2220</v>
      </c>
      <c r="C287" s="1083" t="s">
        <v>2723</v>
      </c>
      <c r="D287" s="1084" t="s">
        <v>3227</v>
      </c>
      <c r="E287" s="4" t="s">
        <v>25</v>
      </c>
      <c r="F287" s="26">
        <v>512.0472</v>
      </c>
      <c r="G287" s="26">
        <v>0.0</v>
      </c>
      <c r="H287" s="104">
        <v>0.0</v>
      </c>
      <c r="I287" s="26">
        <f t="shared" si="1"/>
        <v>0</v>
      </c>
      <c r="J287" s="26"/>
      <c r="K287" s="4"/>
      <c r="L287" s="4"/>
      <c r="M287" s="4"/>
      <c r="N287" s="107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1083" t="s">
        <v>2222</v>
      </c>
      <c r="C288" s="1083" t="s">
        <v>2723</v>
      </c>
      <c r="D288" s="1084" t="s">
        <v>3232</v>
      </c>
      <c r="E288" s="4" t="s">
        <v>25</v>
      </c>
      <c r="F288" s="26">
        <v>390.2472</v>
      </c>
      <c r="G288" s="26">
        <v>0.0</v>
      </c>
      <c r="H288" s="104">
        <v>0.0</v>
      </c>
      <c r="I288" s="26">
        <f t="shared" si="1"/>
        <v>0</v>
      </c>
      <c r="J288" s="26"/>
      <c r="K288" s="4"/>
      <c r="L288" s="4"/>
      <c r="M288" s="4"/>
      <c r="N288" s="107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1083" t="s">
        <v>2224</v>
      </c>
      <c r="C289" s="1083" t="s">
        <v>2723</v>
      </c>
      <c r="D289" s="1084" t="s">
        <v>3240</v>
      </c>
      <c r="E289" s="4" t="s">
        <v>25</v>
      </c>
      <c r="F289" s="26">
        <v>120.68639999999999</v>
      </c>
      <c r="G289" s="26">
        <v>0.0</v>
      </c>
      <c r="H289" s="104">
        <v>0.0</v>
      </c>
      <c r="I289" s="26">
        <f t="shared" si="1"/>
        <v>0</v>
      </c>
      <c r="J289" s="26"/>
      <c r="K289" s="4"/>
      <c r="L289" s="4"/>
      <c r="M289" s="4"/>
      <c r="N289" s="107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1083" t="s">
        <v>2226</v>
      </c>
      <c r="C290" s="1083" t="s">
        <v>2723</v>
      </c>
      <c r="D290" s="1084" t="s">
        <v>3243</v>
      </c>
      <c r="E290" s="4" t="s">
        <v>25</v>
      </c>
      <c r="F290" s="26">
        <v>112.6824</v>
      </c>
      <c r="G290" s="26">
        <v>0.0</v>
      </c>
      <c r="H290" s="104">
        <v>0.0</v>
      </c>
      <c r="I290" s="26">
        <f t="shared" si="1"/>
        <v>0</v>
      </c>
      <c r="J290" s="26"/>
      <c r="K290" s="4"/>
      <c r="L290" s="4"/>
      <c r="M290" s="4"/>
      <c r="N290" s="107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1083" t="s">
        <v>2228</v>
      </c>
      <c r="C291" s="1083" t="s">
        <v>2723</v>
      </c>
      <c r="D291" s="1084" t="s">
        <v>3189</v>
      </c>
      <c r="E291" s="4" t="s">
        <v>25</v>
      </c>
      <c r="F291" s="26">
        <v>133.5624</v>
      </c>
      <c r="G291" s="26">
        <v>3.0</v>
      </c>
      <c r="H291" s="104">
        <v>400.68719999999996</v>
      </c>
      <c r="I291" s="26">
        <f t="shared" si="1"/>
        <v>57.57</v>
      </c>
      <c r="J291" s="26"/>
      <c r="K291" s="4"/>
      <c r="L291" s="4"/>
      <c r="M291" s="4"/>
      <c r="N291" s="107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1083" t="s">
        <v>2230</v>
      </c>
      <c r="C292" s="1083" t="s">
        <v>2723</v>
      </c>
      <c r="D292" s="1084" t="s">
        <v>3215</v>
      </c>
      <c r="E292" s="4" t="s">
        <v>25</v>
      </c>
      <c r="F292" s="26">
        <v>872.5752</v>
      </c>
      <c r="G292" s="26">
        <v>0.0</v>
      </c>
      <c r="H292" s="104">
        <v>0.0</v>
      </c>
      <c r="I292" s="26">
        <f t="shared" si="1"/>
        <v>0</v>
      </c>
      <c r="J292" s="26"/>
      <c r="K292" s="4"/>
      <c r="L292" s="4"/>
      <c r="M292" s="4"/>
      <c r="N292" s="107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1083" t="s">
        <v>2231</v>
      </c>
      <c r="C293" s="1083" t="s">
        <v>2723</v>
      </c>
      <c r="D293" s="1084" t="s">
        <v>3223</v>
      </c>
      <c r="E293" s="4" t="s">
        <v>25</v>
      </c>
      <c r="F293" s="26">
        <v>495.1344</v>
      </c>
      <c r="G293" s="26">
        <v>0.0</v>
      </c>
      <c r="H293" s="104">
        <v>0.0</v>
      </c>
      <c r="I293" s="26">
        <f t="shared" si="1"/>
        <v>0</v>
      </c>
      <c r="J293" s="26"/>
      <c r="K293" s="4"/>
      <c r="L293" s="4"/>
      <c r="M293" s="4"/>
      <c r="N293" s="107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1083" t="s">
        <v>2232</v>
      </c>
      <c r="C294" s="1083" t="s">
        <v>2723</v>
      </c>
      <c r="D294" s="1084" t="s">
        <v>3168</v>
      </c>
      <c r="E294" s="4" t="s">
        <v>25</v>
      </c>
      <c r="F294" s="26">
        <v>975.5831999999999</v>
      </c>
      <c r="G294" s="26">
        <v>3.0</v>
      </c>
      <c r="H294" s="104">
        <v>2926.7495999999996</v>
      </c>
      <c r="I294" s="26">
        <f t="shared" si="1"/>
        <v>420.51</v>
      </c>
      <c r="J294" s="26"/>
      <c r="K294" s="4"/>
      <c r="L294" s="4"/>
      <c r="M294" s="4"/>
      <c r="N294" s="107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1083" t="s">
        <v>2233</v>
      </c>
      <c r="C295" s="1083" t="s">
        <v>2723</v>
      </c>
      <c r="D295" s="1084" t="s">
        <v>3187</v>
      </c>
      <c r="E295" s="4" t="s">
        <v>25</v>
      </c>
      <c r="F295" s="26">
        <v>234.20399999999998</v>
      </c>
      <c r="G295" s="26">
        <v>3.0</v>
      </c>
      <c r="H295" s="104">
        <v>702.612</v>
      </c>
      <c r="I295" s="26">
        <f t="shared" si="1"/>
        <v>100.95</v>
      </c>
      <c r="J295" s="26"/>
      <c r="K295" s="4"/>
      <c r="L295" s="4"/>
      <c r="M295" s="4"/>
      <c r="N295" s="107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1083" t="s">
        <v>2235</v>
      </c>
      <c r="C296" s="1083" t="s">
        <v>2723</v>
      </c>
      <c r="D296" s="1084" t="s">
        <v>3219</v>
      </c>
      <c r="E296" s="4" t="s">
        <v>25</v>
      </c>
      <c r="F296" s="26">
        <v>763.6512</v>
      </c>
      <c r="G296" s="26">
        <v>0.0</v>
      </c>
      <c r="H296" s="104">
        <v>0.0</v>
      </c>
      <c r="I296" s="26">
        <f t="shared" si="1"/>
        <v>0</v>
      </c>
      <c r="J296" s="26"/>
      <c r="K296" s="4"/>
      <c r="L296" s="4"/>
      <c r="M296" s="4"/>
      <c r="N296" s="107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1083" t="s">
        <v>2237</v>
      </c>
      <c r="C297" s="1083" t="s">
        <v>2723</v>
      </c>
      <c r="D297" s="1084" t="s">
        <v>3206</v>
      </c>
      <c r="E297" s="4" t="s">
        <v>25</v>
      </c>
      <c r="F297" s="26">
        <v>1699.6319999999998</v>
      </c>
      <c r="G297" s="26">
        <v>0.0</v>
      </c>
      <c r="H297" s="104">
        <v>0.0</v>
      </c>
      <c r="I297" s="26">
        <f t="shared" si="1"/>
        <v>0</v>
      </c>
      <c r="J297" s="26"/>
      <c r="K297" s="4"/>
      <c r="L297" s="4"/>
      <c r="M297" s="4"/>
      <c r="N297" s="107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1083" t="s">
        <v>2239</v>
      </c>
      <c r="C298" s="1083" t="s">
        <v>2723</v>
      </c>
      <c r="D298" s="1084" t="s">
        <v>3178</v>
      </c>
      <c r="E298" s="4" t="s">
        <v>25</v>
      </c>
      <c r="F298" s="26">
        <v>1002.8664</v>
      </c>
      <c r="G298" s="26">
        <v>1.0</v>
      </c>
      <c r="H298" s="104">
        <v>1002.8664</v>
      </c>
      <c r="I298" s="26">
        <f t="shared" si="1"/>
        <v>144.09</v>
      </c>
      <c r="J298" s="26"/>
      <c r="K298" s="4"/>
      <c r="L298" s="4"/>
      <c r="M298" s="4"/>
      <c r="N298" s="107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1083" t="s">
        <v>2241</v>
      </c>
      <c r="C299" s="1083" t="s">
        <v>2723</v>
      </c>
      <c r="D299" s="1084" t="s">
        <v>3149</v>
      </c>
      <c r="E299" s="4" t="s">
        <v>25</v>
      </c>
      <c r="F299" s="26">
        <v>8250.2448</v>
      </c>
      <c r="G299" s="26">
        <v>1.0</v>
      </c>
      <c r="H299" s="104">
        <v>8250.2448</v>
      </c>
      <c r="I299" s="26">
        <f t="shared" si="1"/>
        <v>1185.38</v>
      </c>
      <c r="J299" s="26"/>
      <c r="K299" s="4"/>
      <c r="L299" s="4"/>
      <c r="M299" s="4"/>
      <c r="N299" s="107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1083" t="s">
        <v>2242</v>
      </c>
      <c r="C300" s="1083" t="s">
        <v>2723</v>
      </c>
      <c r="D300" s="1084" t="s">
        <v>429</v>
      </c>
      <c r="E300" s="4" t="s">
        <v>25</v>
      </c>
      <c r="F300" s="26">
        <v>89406.0024</v>
      </c>
      <c r="G300" s="26">
        <v>0.0</v>
      </c>
      <c r="H300" s="104">
        <v>0.0</v>
      </c>
      <c r="I300" s="26">
        <f t="shared" si="1"/>
        <v>0</v>
      </c>
      <c r="J300" s="26"/>
      <c r="K300" s="4"/>
      <c r="L300" s="4"/>
      <c r="M300" s="4"/>
      <c r="N300" s="107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1083" t="s">
        <v>2243</v>
      </c>
      <c r="C301" s="1083" t="s">
        <v>2709</v>
      </c>
      <c r="D301" s="1084" t="s">
        <v>530</v>
      </c>
      <c r="E301" s="4" t="s">
        <v>25</v>
      </c>
      <c r="F301" s="26">
        <v>58053.6384</v>
      </c>
      <c r="G301" s="26">
        <v>0.0</v>
      </c>
      <c r="H301" s="104">
        <v>0.0</v>
      </c>
      <c r="I301" s="26">
        <f t="shared" si="1"/>
        <v>0</v>
      </c>
      <c r="J301" s="26"/>
      <c r="K301" s="4"/>
      <c r="L301" s="4"/>
      <c r="M301" s="4"/>
      <c r="N301" s="107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1083" t="s">
        <v>2244</v>
      </c>
      <c r="C302" s="1083" t="s">
        <v>2709</v>
      </c>
      <c r="D302" s="1084" t="s">
        <v>533</v>
      </c>
      <c r="E302" s="4" t="s">
        <v>25</v>
      </c>
      <c r="F302" s="26">
        <v>57066.8496</v>
      </c>
      <c r="G302" s="26">
        <v>0.0</v>
      </c>
      <c r="H302" s="104">
        <v>0.0</v>
      </c>
      <c r="I302" s="26">
        <f t="shared" si="1"/>
        <v>0</v>
      </c>
      <c r="J302" s="26"/>
      <c r="K302" s="4"/>
      <c r="L302" s="4"/>
      <c r="M302" s="4"/>
      <c r="N302" s="107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1083" t="s">
        <v>2245</v>
      </c>
      <c r="C303" s="1083" t="s">
        <v>2709</v>
      </c>
      <c r="D303" s="1084" t="s">
        <v>739</v>
      </c>
      <c r="E303" s="4" t="s">
        <v>25</v>
      </c>
      <c r="F303" s="26">
        <v>16.8432</v>
      </c>
      <c r="G303" s="26">
        <v>1803.0</v>
      </c>
      <c r="H303" s="104">
        <v>30368.2896</v>
      </c>
      <c r="I303" s="26">
        <f t="shared" si="1"/>
        <v>4363.26</v>
      </c>
      <c r="J303" s="26"/>
      <c r="K303" s="4"/>
      <c r="L303" s="4"/>
      <c r="M303" s="4"/>
      <c r="N303" s="107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1083" t="s">
        <v>2247</v>
      </c>
      <c r="C304" s="1083" t="s">
        <v>2723</v>
      </c>
      <c r="D304" s="1084" t="s">
        <v>3238</v>
      </c>
      <c r="E304" s="4" t="s">
        <v>25</v>
      </c>
      <c r="F304" s="26">
        <v>781.26</v>
      </c>
      <c r="G304" s="26">
        <v>0.0</v>
      </c>
      <c r="H304" s="104">
        <v>0.0</v>
      </c>
      <c r="I304" s="26">
        <f t="shared" si="1"/>
        <v>0</v>
      </c>
      <c r="J304" s="26"/>
      <c r="K304" s="4"/>
      <c r="L304" s="4"/>
      <c r="M304" s="4"/>
      <c r="N304" s="107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1083" t="s">
        <v>2249</v>
      </c>
      <c r="C305" s="1083" t="s">
        <v>2709</v>
      </c>
      <c r="D305" s="1084" t="s">
        <v>1022</v>
      </c>
      <c r="E305" s="4" t="s">
        <v>25</v>
      </c>
      <c r="F305" s="26">
        <v>124.44479999999999</v>
      </c>
      <c r="G305" s="26">
        <v>45.0</v>
      </c>
      <c r="H305" s="104">
        <v>5600.016</v>
      </c>
      <c r="I305" s="26">
        <f t="shared" si="1"/>
        <v>804.6</v>
      </c>
      <c r="J305" s="26"/>
      <c r="K305" s="4"/>
      <c r="L305" s="4"/>
      <c r="M305" s="4"/>
      <c r="N305" s="107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1083" t="s">
        <v>2250</v>
      </c>
      <c r="C306" s="1083" t="s">
        <v>2709</v>
      </c>
      <c r="D306" s="1084" t="s">
        <v>1068</v>
      </c>
      <c r="E306" s="4" t="s">
        <v>25</v>
      </c>
      <c r="F306" s="26">
        <v>99.5976</v>
      </c>
      <c r="G306" s="26">
        <v>54.0</v>
      </c>
      <c r="H306" s="104">
        <v>5378.270399999999</v>
      </c>
      <c r="I306" s="26">
        <f t="shared" si="1"/>
        <v>772.74</v>
      </c>
      <c r="J306" s="26"/>
      <c r="K306" s="4"/>
      <c r="L306" s="4"/>
      <c r="M306" s="4"/>
      <c r="N306" s="107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1083" t="s">
        <v>2251</v>
      </c>
      <c r="C307" s="1083" t="s">
        <v>2723</v>
      </c>
      <c r="D307" s="1084" t="s">
        <v>1128</v>
      </c>
      <c r="E307" s="4" t="s">
        <v>25</v>
      </c>
      <c r="F307" s="26">
        <v>3123.0216</v>
      </c>
      <c r="G307" s="26">
        <v>0.0</v>
      </c>
      <c r="H307" s="104">
        <v>0.0</v>
      </c>
      <c r="I307" s="26">
        <f t="shared" si="1"/>
        <v>0</v>
      </c>
      <c r="J307" s="26"/>
      <c r="K307" s="4"/>
      <c r="L307" s="4"/>
      <c r="M307" s="4"/>
      <c r="N307" s="107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1083" t="s">
        <v>2253</v>
      </c>
      <c r="C308" s="1083" t="s">
        <v>2709</v>
      </c>
      <c r="D308" s="1084" t="s">
        <v>1338</v>
      </c>
      <c r="E308" s="4" t="s">
        <v>25</v>
      </c>
      <c r="F308" s="26">
        <v>224.5296</v>
      </c>
      <c r="G308" s="26">
        <v>6.0</v>
      </c>
      <c r="H308" s="104">
        <v>1347.1776</v>
      </c>
      <c r="I308" s="26">
        <f t="shared" si="1"/>
        <v>193.56</v>
      </c>
      <c r="J308" s="26"/>
      <c r="K308" s="4"/>
      <c r="L308" s="4"/>
      <c r="M308" s="4"/>
      <c r="N308" s="107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1083" t="s">
        <v>2255</v>
      </c>
      <c r="C309" s="1083" t="s">
        <v>2709</v>
      </c>
      <c r="D309" s="1084" t="s">
        <v>1442</v>
      </c>
      <c r="E309" s="4" t="s">
        <v>25</v>
      </c>
      <c r="F309" s="26">
        <v>104.4</v>
      </c>
      <c r="G309" s="26">
        <v>8.0</v>
      </c>
      <c r="H309" s="104">
        <v>835.2</v>
      </c>
      <c r="I309" s="26">
        <f t="shared" si="1"/>
        <v>120</v>
      </c>
      <c r="J309" s="26"/>
      <c r="K309" s="4"/>
      <c r="L309" s="4"/>
      <c r="M309" s="4"/>
      <c r="N309" s="107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1083" t="s">
        <v>2257</v>
      </c>
      <c r="C310" s="1083" t="s">
        <v>2709</v>
      </c>
      <c r="D310" s="1084" t="s">
        <v>1013</v>
      </c>
      <c r="E310" s="4" t="s">
        <v>25</v>
      </c>
      <c r="F310" s="26">
        <v>247.5672</v>
      </c>
      <c r="G310" s="26">
        <v>21.0</v>
      </c>
      <c r="H310" s="104">
        <v>5198.9112000000005</v>
      </c>
      <c r="I310" s="26">
        <f t="shared" si="1"/>
        <v>746.97</v>
      </c>
      <c r="J310" s="26"/>
      <c r="K310" s="4"/>
      <c r="L310" s="4"/>
      <c r="M310" s="4"/>
      <c r="N310" s="107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1083" t="s">
        <v>2258</v>
      </c>
      <c r="C311" s="1083" t="s">
        <v>2709</v>
      </c>
      <c r="D311" s="1084" t="s">
        <v>179</v>
      </c>
      <c r="E311" s="4" t="s">
        <v>25</v>
      </c>
      <c r="F311" s="26">
        <v>15666.96</v>
      </c>
      <c r="G311" s="26">
        <v>5.0</v>
      </c>
      <c r="H311" s="104">
        <v>78334.79999999999</v>
      </c>
      <c r="I311" s="26">
        <f t="shared" si="1"/>
        <v>11255</v>
      </c>
      <c r="J311" s="26"/>
      <c r="K311" s="4"/>
      <c r="L311" s="4"/>
      <c r="M311" s="4"/>
      <c r="N311" s="107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1083" t="s">
        <v>2260</v>
      </c>
      <c r="C312" s="1083" t="s">
        <v>2709</v>
      </c>
      <c r="D312" s="1084" t="s">
        <v>322</v>
      </c>
      <c r="E312" s="4" t="s">
        <v>25</v>
      </c>
      <c r="F312" s="26">
        <v>11837.846399999999</v>
      </c>
      <c r="G312" s="26">
        <v>6.0</v>
      </c>
      <c r="H312" s="104">
        <v>71027.0784</v>
      </c>
      <c r="I312" s="26">
        <f t="shared" si="1"/>
        <v>10205.04</v>
      </c>
      <c r="J312" s="26"/>
      <c r="K312" s="4"/>
      <c r="L312" s="4"/>
      <c r="M312" s="4"/>
      <c r="N312" s="107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1083" t="s">
        <v>2262</v>
      </c>
      <c r="C313" s="1083" t="s">
        <v>2709</v>
      </c>
      <c r="D313" s="1084" t="s">
        <v>527</v>
      </c>
      <c r="E313" s="4" t="s">
        <v>25</v>
      </c>
      <c r="F313" s="26">
        <v>160.08</v>
      </c>
      <c r="G313" s="26">
        <v>132.0</v>
      </c>
      <c r="H313" s="104">
        <v>21130.56</v>
      </c>
      <c r="I313" s="26">
        <f t="shared" si="1"/>
        <v>3036</v>
      </c>
      <c r="J313" s="26"/>
      <c r="K313" s="4"/>
      <c r="L313" s="4"/>
      <c r="M313" s="4"/>
      <c r="N313" s="107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1083" t="s">
        <v>2263</v>
      </c>
      <c r="C314" s="1083" t="s">
        <v>2709</v>
      </c>
      <c r="D314" s="1084" t="s">
        <v>423</v>
      </c>
      <c r="E314" s="4" t="s">
        <v>25</v>
      </c>
      <c r="F314" s="26">
        <v>181.4472</v>
      </c>
      <c r="G314" s="26">
        <v>352.0</v>
      </c>
      <c r="H314" s="104">
        <v>63869.41440000001</v>
      </c>
      <c r="I314" s="26">
        <f t="shared" si="1"/>
        <v>9176.64</v>
      </c>
      <c r="J314" s="26"/>
      <c r="K314" s="4"/>
      <c r="L314" s="4"/>
      <c r="M314" s="4"/>
      <c r="N314" s="107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1083" t="s">
        <v>2264</v>
      </c>
      <c r="C315" s="1083" t="s">
        <v>2709</v>
      </c>
      <c r="D315" s="1084" t="s">
        <v>1647</v>
      </c>
      <c r="E315" s="4" t="s">
        <v>25</v>
      </c>
      <c r="F315" s="26">
        <v>1.6008</v>
      </c>
      <c r="G315" s="26">
        <v>158.0</v>
      </c>
      <c r="H315" s="104">
        <v>252.9264</v>
      </c>
      <c r="I315" s="26">
        <f t="shared" si="1"/>
        <v>36.34</v>
      </c>
      <c r="J315" s="26"/>
      <c r="K315" s="4"/>
      <c r="L315" s="4"/>
      <c r="M315" s="4"/>
      <c r="N315" s="107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1083" t="s">
        <v>2265</v>
      </c>
      <c r="C316" s="1083" t="s">
        <v>2709</v>
      </c>
      <c r="D316" s="1084" t="s">
        <v>1501</v>
      </c>
      <c r="E316" s="4" t="s">
        <v>25</v>
      </c>
      <c r="F316" s="26">
        <v>9.1176</v>
      </c>
      <c r="G316" s="26">
        <v>0.0</v>
      </c>
      <c r="H316" s="104">
        <v>0.0</v>
      </c>
      <c r="I316" s="26">
        <f t="shared" si="1"/>
        <v>0</v>
      </c>
      <c r="J316" s="26"/>
      <c r="K316" s="4"/>
      <c r="L316" s="4"/>
      <c r="M316" s="4"/>
      <c r="N316" s="107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1083" t="s">
        <v>2266</v>
      </c>
      <c r="C317" s="1083" t="s">
        <v>2709</v>
      </c>
      <c r="D317" s="1084" t="s">
        <v>1475</v>
      </c>
      <c r="E317" s="4" t="s">
        <v>25</v>
      </c>
      <c r="F317" s="26">
        <v>3.2016</v>
      </c>
      <c r="G317" s="26">
        <v>40.0</v>
      </c>
      <c r="H317" s="104">
        <v>128.064</v>
      </c>
      <c r="I317" s="26">
        <f t="shared" si="1"/>
        <v>18.4</v>
      </c>
      <c r="J317" s="26"/>
      <c r="K317" s="4"/>
      <c r="L317" s="4"/>
      <c r="M317" s="4"/>
      <c r="N317" s="107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1083" t="s">
        <v>2267</v>
      </c>
      <c r="C318" s="1083" t="s">
        <v>2709</v>
      </c>
      <c r="D318" s="1084" t="s">
        <v>1572</v>
      </c>
      <c r="E318" s="4" t="s">
        <v>25</v>
      </c>
      <c r="F318" s="26">
        <v>13.154399999999999</v>
      </c>
      <c r="G318" s="26">
        <v>42.0</v>
      </c>
      <c r="H318" s="104">
        <v>552.4848</v>
      </c>
      <c r="I318" s="26">
        <f t="shared" si="1"/>
        <v>79.38</v>
      </c>
      <c r="J318" s="26"/>
      <c r="K318" s="4"/>
      <c r="L318" s="4"/>
      <c r="M318" s="4"/>
      <c r="N318" s="107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1083" t="s">
        <v>2268</v>
      </c>
      <c r="C319" s="1083" t="s">
        <v>2723</v>
      </c>
      <c r="D319" s="1084" t="s">
        <v>2862</v>
      </c>
      <c r="E319" s="4" t="s">
        <v>25</v>
      </c>
      <c r="F319" s="26">
        <v>3379.1495999999997</v>
      </c>
      <c r="G319" s="26">
        <v>31.0</v>
      </c>
      <c r="H319" s="104">
        <v>104753.63759999999</v>
      </c>
      <c r="I319" s="26">
        <f t="shared" si="1"/>
        <v>15050.81</v>
      </c>
      <c r="J319" s="26"/>
      <c r="K319" s="4"/>
      <c r="L319" s="4"/>
      <c r="M319" s="4"/>
      <c r="N319" s="107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1083" t="s">
        <v>2269</v>
      </c>
      <c r="C320" s="1083" t="s">
        <v>2709</v>
      </c>
      <c r="D320" s="1084" t="s">
        <v>1274</v>
      </c>
      <c r="E320" s="4" t="s">
        <v>25</v>
      </c>
      <c r="F320" s="26">
        <v>4.524</v>
      </c>
      <c r="G320" s="26">
        <v>508.0</v>
      </c>
      <c r="H320" s="104">
        <v>2298.192</v>
      </c>
      <c r="I320" s="26">
        <f t="shared" si="1"/>
        <v>330.2</v>
      </c>
      <c r="J320" s="26"/>
      <c r="K320" s="4"/>
      <c r="L320" s="4"/>
      <c r="M320" s="4"/>
      <c r="N320" s="107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1083" t="s">
        <v>2270</v>
      </c>
      <c r="C321" s="1083" t="s">
        <v>2709</v>
      </c>
      <c r="D321" s="1084" t="s">
        <v>1458</v>
      </c>
      <c r="E321" s="4" t="s">
        <v>25</v>
      </c>
      <c r="F321" s="26">
        <v>194.3232</v>
      </c>
      <c r="G321" s="26">
        <v>0.0</v>
      </c>
      <c r="H321" s="104">
        <v>0.0</v>
      </c>
      <c r="I321" s="26">
        <f t="shared" si="1"/>
        <v>0</v>
      </c>
      <c r="J321" s="26"/>
      <c r="K321" s="4"/>
      <c r="L321" s="4"/>
      <c r="M321" s="4"/>
      <c r="N321" s="107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1083" t="s">
        <v>2272</v>
      </c>
      <c r="C322" s="1083" t="s">
        <v>2709</v>
      </c>
      <c r="D322" s="1084" t="s">
        <v>1025</v>
      </c>
      <c r="E322" s="4" t="s">
        <v>25</v>
      </c>
      <c r="F322" s="26">
        <v>922.896</v>
      </c>
      <c r="G322" s="26">
        <v>13.0</v>
      </c>
      <c r="H322" s="104">
        <v>11997.648</v>
      </c>
      <c r="I322" s="26">
        <f t="shared" si="1"/>
        <v>1723.8</v>
      </c>
      <c r="J322" s="26"/>
      <c r="K322" s="4"/>
      <c r="L322" s="4"/>
      <c r="M322" s="4"/>
      <c r="N322" s="107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1083" t="s">
        <v>2273</v>
      </c>
      <c r="C323" s="1083" t="s">
        <v>2723</v>
      </c>
      <c r="D323" s="1084" t="s">
        <v>1189</v>
      </c>
      <c r="E323" s="4" t="s">
        <v>25</v>
      </c>
      <c r="F323" s="26">
        <v>176.088</v>
      </c>
      <c r="G323" s="26">
        <v>10.0</v>
      </c>
      <c r="H323" s="104">
        <v>1760.8799999999999</v>
      </c>
      <c r="I323" s="26">
        <f t="shared" si="1"/>
        <v>253</v>
      </c>
      <c r="J323" s="26"/>
      <c r="K323" s="4"/>
      <c r="L323" s="4"/>
      <c r="M323" s="4"/>
      <c r="N323" s="107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1083" t="s">
        <v>2275</v>
      </c>
      <c r="C324" s="1083" t="s">
        <v>2709</v>
      </c>
      <c r="D324" s="1084" t="s">
        <v>466</v>
      </c>
      <c r="E324" s="4" t="s">
        <v>25</v>
      </c>
      <c r="F324" s="26">
        <v>3707.3136</v>
      </c>
      <c r="G324" s="26">
        <v>20.0</v>
      </c>
      <c r="H324" s="104">
        <v>74146.272</v>
      </c>
      <c r="I324" s="26">
        <f t="shared" si="1"/>
        <v>10653.2</v>
      </c>
      <c r="J324" s="26"/>
      <c r="K324" s="4"/>
      <c r="L324" s="4"/>
      <c r="M324" s="4"/>
      <c r="N324" s="107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1083" t="s">
        <v>2277</v>
      </c>
      <c r="C325" s="1083" t="s">
        <v>2709</v>
      </c>
      <c r="D325" s="1084" t="s">
        <v>1480</v>
      </c>
      <c r="E325" s="4" t="s">
        <v>25</v>
      </c>
      <c r="F325" s="26">
        <v>74.4024</v>
      </c>
      <c r="G325" s="26">
        <v>9.0</v>
      </c>
      <c r="H325" s="104">
        <v>669.6216</v>
      </c>
      <c r="I325" s="26">
        <f t="shared" si="1"/>
        <v>96.21</v>
      </c>
      <c r="J325" s="26"/>
      <c r="K325" s="4"/>
      <c r="L325" s="4"/>
      <c r="M325" s="4"/>
      <c r="N325" s="107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1083" t="s">
        <v>2279</v>
      </c>
      <c r="C326" s="1083" t="s">
        <v>2709</v>
      </c>
      <c r="D326" s="1084" t="s">
        <v>366</v>
      </c>
      <c r="E326" s="4" t="s">
        <v>25</v>
      </c>
      <c r="F326" s="26">
        <v>1527.5112</v>
      </c>
      <c r="G326" s="26">
        <v>16.0</v>
      </c>
      <c r="H326" s="104">
        <v>24440.1792</v>
      </c>
      <c r="I326" s="26">
        <f t="shared" si="1"/>
        <v>3511.52</v>
      </c>
      <c r="J326" s="26"/>
      <c r="K326" s="4"/>
      <c r="L326" s="4"/>
      <c r="M326" s="4"/>
      <c r="N326" s="107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1083" t="s">
        <v>2280</v>
      </c>
      <c r="C327" s="1083" t="s">
        <v>2709</v>
      </c>
      <c r="D327" s="1084" t="s">
        <v>795</v>
      </c>
      <c r="E327" s="4" t="s">
        <v>25</v>
      </c>
      <c r="F327" s="26">
        <v>2674.9368</v>
      </c>
      <c r="G327" s="26">
        <v>5.0</v>
      </c>
      <c r="H327" s="104">
        <v>13374.684000000001</v>
      </c>
      <c r="I327" s="26">
        <f t="shared" si="1"/>
        <v>1921.65</v>
      </c>
      <c r="J327" s="26"/>
      <c r="K327" s="4"/>
      <c r="L327" s="4"/>
      <c r="M327" s="4"/>
      <c r="N327" s="107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1083" t="s">
        <v>2281</v>
      </c>
      <c r="C328" s="1083" t="s">
        <v>2709</v>
      </c>
      <c r="D328" s="1084" t="s">
        <v>420</v>
      </c>
      <c r="E328" s="4" t="s">
        <v>25</v>
      </c>
      <c r="F328" s="26">
        <v>1246.188</v>
      </c>
      <c r="G328" s="26">
        <v>30.0</v>
      </c>
      <c r="H328" s="104">
        <v>37385.64</v>
      </c>
      <c r="I328" s="26">
        <f t="shared" si="1"/>
        <v>5371.5</v>
      </c>
      <c r="J328" s="26"/>
      <c r="K328" s="4"/>
      <c r="L328" s="4"/>
      <c r="M328" s="4"/>
      <c r="N328" s="107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1083" t="s">
        <v>2283</v>
      </c>
      <c r="C329" s="1083" t="s">
        <v>2709</v>
      </c>
      <c r="D329" s="1084" t="s">
        <v>338</v>
      </c>
      <c r="E329" s="4" t="s">
        <v>25</v>
      </c>
      <c r="F329" s="26">
        <v>397.4856</v>
      </c>
      <c r="G329" s="26">
        <v>0.0</v>
      </c>
      <c r="H329" s="104">
        <v>0.0</v>
      </c>
      <c r="I329" s="26">
        <f t="shared" si="1"/>
        <v>0</v>
      </c>
      <c r="J329" s="26"/>
      <c r="K329" s="4"/>
      <c r="L329" s="4"/>
      <c r="M329" s="4"/>
      <c r="N329" s="107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1083" t="s">
        <v>2285</v>
      </c>
      <c r="C330" s="1083" t="s">
        <v>2709</v>
      </c>
      <c r="D330" s="1084" t="s">
        <v>2286</v>
      </c>
      <c r="E330" s="4" t="s">
        <v>25</v>
      </c>
      <c r="F330" s="26">
        <v>3810.3216</v>
      </c>
      <c r="G330" s="26">
        <v>0.0</v>
      </c>
      <c r="H330" s="104">
        <v>0.0</v>
      </c>
      <c r="I330" s="26">
        <f t="shared" si="1"/>
        <v>0</v>
      </c>
      <c r="J330" s="26"/>
      <c r="K330" s="4"/>
      <c r="L330" s="4"/>
      <c r="M330" s="4"/>
      <c r="N330" s="107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1083" t="s">
        <v>2287</v>
      </c>
      <c r="C331" s="1083" t="s">
        <v>2709</v>
      </c>
      <c r="D331" s="1084" t="s">
        <v>609</v>
      </c>
      <c r="E331" s="4" t="s">
        <v>25</v>
      </c>
      <c r="F331" s="26">
        <v>3808.4424000000004</v>
      </c>
      <c r="G331" s="26">
        <v>6.0</v>
      </c>
      <c r="H331" s="104">
        <v>22850.654400000003</v>
      </c>
      <c r="I331" s="26">
        <f t="shared" si="1"/>
        <v>3283.14</v>
      </c>
      <c r="J331" s="26"/>
      <c r="K331" s="4"/>
      <c r="L331" s="4"/>
      <c r="M331" s="4"/>
      <c r="N331" s="107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1083" t="s">
        <v>2288</v>
      </c>
      <c r="C332" s="1083" t="s">
        <v>2709</v>
      </c>
      <c r="D332" s="1084" t="s">
        <v>1343</v>
      </c>
      <c r="E332" s="4" t="s">
        <v>25</v>
      </c>
      <c r="F332" s="26">
        <v>1286.904</v>
      </c>
      <c r="G332" s="26">
        <v>0.0</v>
      </c>
      <c r="H332" s="104">
        <v>0.0</v>
      </c>
      <c r="I332" s="26">
        <f t="shared" si="1"/>
        <v>0</v>
      </c>
      <c r="J332" s="26"/>
      <c r="K332" s="4"/>
      <c r="L332" s="4"/>
      <c r="M332" s="4"/>
      <c r="N332" s="107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1083" t="s">
        <v>3743</v>
      </c>
      <c r="C333" s="1087">
        <v>34110.0</v>
      </c>
      <c r="D333" s="4" t="s">
        <v>3744</v>
      </c>
      <c r="E333" s="4" t="s">
        <v>25</v>
      </c>
      <c r="F333" s="26">
        <v>453.9312</v>
      </c>
      <c r="G333" s="1094">
        <v>10.0</v>
      </c>
      <c r="H333" s="104">
        <v>4539.312</v>
      </c>
      <c r="I333" s="26">
        <f t="shared" si="1"/>
        <v>652.2</v>
      </c>
      <c r="J333" s="26"/>
      <c r="K333" s="4"/>
      <c r="L333" s="4"/>
      <c r="M333" s="4"/>
      <c r="N333" s="107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1083" t="s">
        <v>2289</v>
      </c>
      <c r="C334" s="1083" t="s">
        <v>2709</v>
      </c>
      <c r="D334" s="1084" t="s">
        <v>1201</v>
      </c>
      <c r="E334" s="4" t="s">
        <v>25</v>
      </c>
      <c r="F334" s="26">
        <v>667.2552000000001</v>
      </c>
      <c r="G334" s="26">
        <v>0.0</v>
      </c>
      <c r="H334" s="104">
        <v>0.0</v>
      </c>
      <c r="I334" s="26">
        <f t="shared" si="1"/>
        <v>0</v>
      </c>
      <c r="J334" s="26"/>
      <c r="K334" s="4"/>
      <c r="L334" s="4"/>
      <c r="M334" s="4"/>
      <c r="N334" s="107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1083" t="s">
        <v>2291</v>
      </c>
      <c r="C335" s="1083" t="s">
        <v>2709</v>
      </c>
      <c r="D335" s="1084" t="s">
        <v>1037</v>
      </c>
      <c r="E335" s="4" t="s">
        <v>25</v>
      </c>
      <c r="F335" s="26">
        <v>697.8096</v>
      </c>
      <c r="G335" s="26">
        <v>0.0</v>
      </c>
      <c r="H335" s="104">
        <v>0.0</v>
      </c>
      <c r="I335" s="26">
        <f t="shared" si="1"/>
        <v>0</v>
      </c>
      <c r="J335" s="26"/>
      <c r="K335" s="4"/>
      <c r="L335" s="4"/>
      <c r="M335" s="4"/>
      <c r="N335" s="107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1083" t="s">
        <v>2293</v>
      </c>
      <c r="C336" s="1083" t="s">
        <v>2709</v>
      </c>
      <c r="D336" s="1084" t="s">
        <v>1249</v>
      </c>
      <c r="E336" s="4" t="s">
        <v>25</v>
      </c>
      <c r="F336" s="26">
        <v>665.376</v>
      </c>
      <c r="G336" s="26">
        <v>0.0</v>
      </c>
      <c r="H336" s="104">
        <v>0.0</v>
      </c>
      <c r="I336" s="26">
        <f t="shared" si="1"/>
        <v>0</v>
      </c>
      <c r="J336" s="26"/>
      <c r="K336" s="4"/>
      <c r="L336" s="4"/>
      <c r="M336" s="4"/>
      <c r="N336" s="107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1083" t="s">
        <v>2295</v>
      </c>
      <c r="C337" s="1083" t="s">
        <v>2709</v>
      </c>
      <c r="D337" s="1084" t="s">
        <v>1060</v>
      </c>
      <c r="E337" s="4" t="s">
        <v>25</v>
      </c>
      <c r="F337" s="26">
        <v>180.4032</v>
      </c>
      <c r="G337" s="26">
        <v>0.0</v>
      </c>
      <c r="H337" s="104">
        <v>0.0</v>
      </c>
      <c r="I337" s="26">
        <f t="shared" si="1"/>
        <v>0</v>
      </c>
      <c r="J337" s="26"/>
      <c r="K337" s="4"/>
      <c r="L337" s="4"/>
      <c r="M337" s="4"/>
      <c r="N337" s="107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1083" t="s">
        <v>2296</v>
      </c>
      <c r="C338" s="1083" t="s">
        <v>2709</v>
      </c>
      <c r="D338" s="1084" t="s">
        <v>558</v>
      </c>
      <c r="E338" s="4" t="s">
        <v>25</v>
      </c>
      <c r="F338" s="26">
        <v>160.08</v>
      </c>
      <c r="G338" s="26">
        <v>0.0</v>
      </c>
      <c r="H338" s="104">
        <v>0.0</v>
      </c>
      <c r="I338" s="26">
        <f t="shared" si="1"/>
        <v>0</v>
      </c>
      <c r="J338" s="26"/>
      <c r="K338" s="4"/>
      <c r="L338" s="4"/>
      <c r="M338" s="4"/>
      <c r="N338" s="107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1083" t="s">
        <v>865</v>
      </c>
      <c r="C339" s="1083" t="s">
        <v>2709</v>
      </c>
      <c r="D339" s="1084" t="s">
        <v>866</v>
      </c>
      <c r="E339" s="4" t="s">
        <v>25</v>
      </c>
      <c r="F339" s="26">
        <v>5843.198399999999</v>
      </c>
      <c r="G339" s="26">
        <v>0.0</v>
      </c>
      <c r="H339" s="104">
        <v>0.0</v>
      </c>
      <c r="I339" s="26">
        <f t="shared" si="1"/>
        <v>0</v>
      </c>
      <c r="J339" s="26"/>
      <c r="K339" s="4"/>
      <c r="L339" s="4"/>
      <c r="M339" s="4"/>
      <c r="N339" s="107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1083" t="s">
        <v>60</v>
      </c>
      <c r="C340" s="1083" t="s">
        <v>2709</v>
      </c>
      <c r="D340" s="1084" t="s">
        <v>62</v>
      </c>
      <c r="E340" s="4" t="s">
        <v>25</v>
      </c>
      <c r="F340" s="26">
        <v>20448.3408</v>
      </c>
      <c r="G340" s="26">
        <v>0.0</v>
      </c>
      <c r="H340" s="104">
        <v>0.0</v>
      </c>
      <c r="I340" s="26">
        <f t="shared" si="1"/>
        <v>0</v>
      </c>
      <c r="J340" s="26"/>
      <c r="K340" s="4"/>
      <c r="L340" s="4"/>
      <c r="M340" s="4"/>
      <c r="N340" s="107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1083" t="s">
        <v>2298</v>
      </c>
      <c r="C341" s="1083" t="s">
        <v>2709</v>
      </c>
      <c r="D341" s="1084" t="s">
        <v>994</v>
      </c>
      <c r="E341" s="4" t="s">
        <v>25</v>
      </c>
      <c r="F341" s="26">
        <v>11166.972</v>
      </c>
      <c r="G341" s="26">
        <v>1.0</v>
      </c>
      <c r="H341" s="104">
        <v>11166.972</v>
      </c>
      <c r="I341" s="26">
        <f t="shared" si="1"/>
        <v>1604.45</v>
      </c>
      <c r="J341" s="26"/>
      <c r="K341" s="4"/>
      <c r="L341" s="4"/>
      <c r="M341" s="4"/>
      <c r="N341" s="107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1083" t="s">
        <v>2483</v>
      </c>
      <c r="C342" s="1083" t="s">
        <v>2709</v>
      </c>
      <c r="D342" s="1084" t="s">
        <v>426</v>
      </c>
      <c r="E342" s="4" t="s">
        <v>25</v>
      </c>
      <c r="F342" s="26">
        <v>22436.255999999998</v>
      </c>
      <c r="G342" s="26">
        <v>0.0</v>
      </c>
      <c r="H342" s="104">
        <v>0.0</v>
      </c>
      <c r="I342" s="26">
        <f t="shared" si="1"/>
        <v>0</v>
      </c>
      <c r="J342" s="26"/>
      <c r="K342" s="4"/>
      <c r="L342" s="4"/>
      <c r="M342" s="4"/>
      <c r="N342" s="107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1083" t="s">
        <v>3745</v>
      </c>
      <c r="C343" s="1087">
        <v>34110.0</v>
      </c>
      <c r="D343" s="4" t="s">
        <v>1305</v>
      </c>
      <c r="E343" s="4" t="s">
        <v>25</v>
      </c>
      <c r="F343" s="26">
        <v>140.5224</v>
      </c>
      <c r="G343" s="1094">
        <v>3.0</v>
      </c>
      <c r="H343" s="104">
        <v>421.5672</v>
      </c>
      <c r="I343" s="26">
        <f t="shared" si="1"/>
        <v>60.57</v>
      </c>
      <c r="J343" s="26"/>
      <c r="K343" s="4"/>
      <c r="L343" s="4"/>
      <c r="M343" s="4"/>
      <c r="N343" s="107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1083" t="s">
        <v>2299</v>
      </c>
      <c r="C344" s="1083" t="s">
        <v>2709</v>
      </c>
      <c r="D344" s="1084" t="s">
        <v>1016</v>
      </c>
      <c r="E344" s="4" t="s">
        <v>25</v>
      </c>
      <c r="F344" s="26">
        <v>134.6064</v>
      </c>
      <c r="G344" s="26">
        <v>24.0</v>
      </c>
      <c r="H344" s="104">
        <v>3230.5536</v>
      </c>
      <c r="I344" s="26">
        <f t="shared" si="1"/>
        <v>464.16</v>
      </c>
      <c r="J344" s="26"/>
      <c r="K344" s="4"/>
      <c r="L344" s="4"/>
      <c r="M344" s="4"/>
      <c r="N344" s="107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1083" t="s">
        <v>2301</v>
      </c>
      <c r="C345" s="1083" t="s">
        <v>2709</v>
      </c>
      <c r="D345" s="1084" t="s">
        <v>344</v>
      </c>
      <c r="E345" s="4" t="s">
        <v>25</v>
      </c>
      <c r="F345" s="26">
        <v>464.928</v>
      </c>
      <c r="G345" s="26">
        <v>73.0</v>
      </c>
      <c r="H345" s="104">
        <v>33939.744</v>
      </c>
      <c r="I345" s="26">
        <f t="shared" si="1"/>
        <v>4876.4</v>
      </c>
      <c r="J345" s="26"/>
      <c r="K345" s="4"/>
      <c r="L345" s="4"/>
      <c r="M345" s="4"/>
      <c r="N345" s="107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1083" t="s">
        <v>2302</v>
      </c>
      <c r="C346" s="1083" t="s">
        <v>2709</v>
      </c>
      <c r="D346" s="1084" t="s">
        <v>1209</v>
      </c>
      <c r="E346" s="4" t="s">
        <v>25</v>
      </c>
      <c r="F346" s="26">
        <v>464.3712</v>
      </c>
      <c r="G346" s="26">
        <v>6.0</v>
      </c>
      <c r="H346" s="104">
        <v>2786.2272</v>
      </c>
      <c r="I346" s="26">
        <f t="shared" si="1"/>
        <v>400.32</v>
      </c>
      <c r="J346" s="26"/>
      <c r="K346" s="4"/>
      <c r="L346" s="4"/>
      <c r="M346" s="4"/>
      <c r="N346" s="107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1083" t="s">
        <v>2303</v>
      </c>
      <c r="C347" s="1083" t="s">
        <v>2709</v>
      </c>
      <c r="D347" s="1084" t="s">
        <v>432</v>
      </c>
      <c r="E347" s="4" t="s">
        <v>25</v>
      </c>
      <c r="F347" s="26">
        <v>7434.9504</v>
      </c>
      <c r="G347" s="26">
        <v>0.0</v>
      </c>
      <c r="H347" s="104">
        <v>0.0</v>
      </c>
      <c r="I347" s="26">
        <f t="shared" si="1"/>
        <v>0</v>
      </c>
      <c r="J347" s="26"/>
      <c r="K347" s="4"/>
      <c r="L347" s="4"/>
      <c r="M347" s="4"/>
      <c r="N347" s="107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1083" t="s">
        <v>2304</v>
      </c>
      <c r="C348" s="1083" t="s">
        <v>2723</v>
      </c>
      <c r="D348" s="1084" t="s">
        <v>3210</v>
      </c>
      <c r="E348" s="4" t="s">
        <v>25</v>
      </c>
      <c r="F348" s="26">
        <v>1866.1152</v>
      </c>
      <c r="G348" s="26">
        <v>0.0</v>
      </c>
      <c r="H348" s="104">
        <v>0.0</v>
      </c>
      <c r="I348" s="26">
        <f t="shared" si="1"/>
        <v>0</v>
      </c>
      <c r="J348" s="26"/>
      <c r="K348" s="4"/>
      <c r="L348" s="4"/>
      <c r="M348" s="4"/>
      <c r="N348" s="107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1083" t="s">
        <v>2306</v>
      </c>
      <c r="C349" s="1083" t="s">
        <v>2723</v>
      </c>
      <c r="D349" s="1084" t="s">
        <v>888</v>
      </c>
      <c r="E349" s="4" t="s">
        <v>25</v>
      </c>
      <c r="F349" s="26">
        <v>1280.4312</v>
      </c>
      <c r="G349" s="26">
        <v>0.0</v>
      </c>
      <c r="H349" s="104">
        <v>0.0</v>
      </c>
      <c r="I349" s="26">
        <f t="shared" si="1"/>
        <v>0</v>
      </c>
      <c r="J349" s="26"/>
      <c r="K349" s="4"/>
      <c r="L349" s="4"/>
      <c r="M349" s="4"/>
      <c r="N349" s="107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1083" t="s">
        <v>2307</v>
      </c>
      <c r="C350" s="1083" t="s">
        <v>2709</v>
      </c>
      <c r="D350" s="1084" t="s">
        <v>271</v>
      </c>
      <c r="E350" s="4" t="s">
        <v>25</v>
      </c>
      <c r="F350" s="26">
        <v>95.2824</v>
      </c>
      <c r="G350" s="26">
        <v>935.0</v>
      </c>
      <c r="H350" s="104">
        <v>89089.044</v>
      </c>
      <c r="I350" s="26">
        <f t="shared" si="1"/>
        <v>12800.15</v>
      </c>
      <c r="J350" s="26"/>
      <c r="K350" s="4"/>
      <c r="L350" s="4"/>
      <c r="M350" s="4"/>
      <c r="N350" s="107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1083" t="s">
        <v>2308</v>
      </c>
      <c r="C351" s="1083" t="s">
        <v>2709</v>
      </c>
      <c r="D351" s="1084" t="s">
        <v>335</v>
      </c>
      <c r="E351" s="4" t="s">
        <v>25</v>
      </c>
      <c r="F351" s="26">
        <v>13538.5224</v>
      </c>
      <c r="G351" s="26">
        <v>1.0</v>
      </c>
      <c r="H351" s="104">
        <v>13538.5224</v>
      </c>
      <c r="I351" s="26">
        <f t="shared" si="1"/>
        <v>1945.19</v>
      </c>
      <c r="J351" s="26"/>
      <c r="K351" s="4"/>
      <c r="L351" s="4"/>
      <c r="M351" s="4"/>
      <c r="N351" s="107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1083" t="s">
        <v>2309</v>
      </c>
      <c r="C352" s="1083" t="s">
        <v>2709</v>
      </c>
      <c r="D352" s="1084" t="s">
        <v>442</v>
      </c>
      <c r="E352" s="4" t="s">
        <v>25</v>
      </c>
      <c r="F352" s="26">
        <v>14077.644</v>
      </c>
      <c r="G352" s="26">
        <v>1.0</v>
      </c>
      <c r="H352" s="104">
        <v>14077.644</v>
      </c>
      <c r="I352" s="26">
        <f t="shared" si="1"/>
        <v>2022.65</v>
      </c>
      <c r="J352" s="26"/>
      <c r="K352" s="4"/>
      <c r="L352" s="4"/>
      <c r="M352" s="4"/>
      <c r="N352" s="107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1083" t="s">
        <v>2310</v>
      </c>
      <c r="C353" s="1083" t="s">
        <v>2709</v>
      </c>
      <c r="D353" s="1084" t="s">
        <v>1166</v>
      </c>
      <c r="E353" s="4" t="s">
        <v>25</v>
      </c>
      <c r="F353" s="26">
        <v>2.7144</v>
      </c>
      <c r="G353" s="26">
        <v>110.0</v>
      </c>
      <c r="H353" s="104">
        <v>298.584</v>
      </c>
      <c r="I353" s="26">
        <f t="shared" si="1"/>
        <v>42.9</v>
      </c>
      <c r="J353" s="26"/>
      <c r="K353" s="4"/>
      <c r="L353" s="4"/>
      <c r="M353" s="4"/>
      <c r="N353" s="107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1083" t="s">
        <v>2312</v>
      </c>
      <c r="C354" s="1083" t="s">
        <v>2709</v>
      </c>
      <c r="D354" s="1084" t="s">
        <v>637</v>
      </c>
      <c r="E354" s="4" t="s">
        <v>25</v>
      </c>
      <c r="F354" s="26">
        <v>80.52720000000001</v>
      </c>
      <c r="G354" s="26">
        <v>120.0</v>
      </c>
      <c r="H354" s="104">
        <v>9663.264000000001</v>
      </c>
      <c r="I354" s="26">
        <f t="shared" si="1"/>
        <v>1388.4</v>
      </c>
      <c r="J354" s="26"/>
      <c r="K354" s="4"/>
      <c r="L354" s="4"/>
      <c r="M354" s="4"/>
      <c r="N354" s="107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1083" t="s">
        <v>2313</v>
      </c>
      <c r="C355" s="1083" t="s">
        <v>2723</v>
      </c>
      <c r="D355" s="1084" t="s">
        <v>2908</v>
      </c>
      <c r="E355" s="4" t="s">
        <v>25</v>
      </c>
      <c r="F355" s="26">
        <v>1198.5816</v>
      </c>
      <c r="G355" s="26">
        <v>24.0</v>
      </c>
      <c r="H355" s="104">
        <v>28765.958399999996</v>
      </c>
      <c r="I355" s="26">
        <f t="shared" si="1"/>
        <v>4133.04</v>
      </c>
      <c r="J355" s="26"/>
      <c r="K355" s="4"/>
      <c r="L355" s="4"/>
      <c r="M355" s="4"/>
      <c r="N355" s="107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1083" t="s">
        <v>2314</v>
      </c>
      <c r="C356" s="1083" t="s">
        <v>2723</v>
      </c>
      <c r="D356" s="1084" t="s">
        <v>1240</v>
      </c>
      <c r="E356" s="4" t="s">
        <v>25</v>
      </c>
      <c r="F356" s="26">
        <v>2007.4032000000002</v>
      </c>
      <c r="G356" s="26">
        <v>0.0</v>
      </c>
      <c r="H356" s="104">
        <v>0.0</v>
      </c>
      <c r="I356" s="26">
        <f t="shared" si="1"/>
        <v>0</v>
      </c>
      <c r="J356" s="26"/>
      <c r="K356" s="4"/>
      <c r="L356" s="4"/>
      <c r="M356" s="4"/>
      <c r="N356" s="107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1083" t="s">
        <v>2315</v>
      </c>
      <c r="C357" s="1083" t="s">
        <v>2709</v>
      </c>
      <c r="D357" s="1084" t="s">
        <v>536</v>
      </c>
      <c r="E357" s="4" t="s">
        <v>25</v>
      </c>
      <c r="F357" s="26">
        <v>19004.9064</v>
      </c>
      <c r="G357" s="26">
        <v>1.0</v>
      </c>
      <c r="H357" s="104">
        <v>19004.9064</v>
      </c>
      <c r="I357" s="26">
        <f t="shared" si="1"/>
        <v>2730.59</v>
      </c>
      <c r="J357" s="26"/>
      <c r="K357" s="4"/>
      <c r="L357" s="4"/>
      <c r="M357" s="4"/>
      <c r="N357" s="107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1083" t="s">
        <v>2316</v>
      </c>
      <c r="C358" s="1083" t="s">
        <v>2709</v>
      </c>
      <c r="D358" s="1084" t="s">
        <v>1534</v>
      </c>
      <c r="E358" s="4" t="s">
        <v>25</v>
      </c>
      <c r="F358" s="26">
        <v>9.1176</v>
      </c>
      <c r="G358" s="26">
        <v>56.0</v>
      </c>
      <c r="H358" s="104">
        <v>510.58559999999994</v>
      </c>
      <c r="I358" s="26">
        <f t="shared" si="1"/>
        <v>73.36</v>
      </c>
      <c r="J358" s="26"/>
      <c r="K358" s="4"/>
      <c r="L358" s="4"/>
      <c r="M358" s="4"/>
      <c r="N358" s="107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1083" t="s">
        <v>2317</v>
      </c>
      <c r="C359" s="1083" t="s">
        <v>2709</v>
      </c>
      <c r="D359" s="1084" t="s">
        <v>833</v>
      </c>
      <c r="E359" s="4" t="s">
        <v>25</v>
      </c>
      <c r="F359" s="26">
        <v>39.0456</v>
      </c>
      <c r="G359" s="26">
        <v>120.0</v>
      </c>
      <c r="H359" s="104">
        <v>4685.472</v>
      </c>
      <c r="I359" s="26">
        <f t="shared" si="1"/>
        <v>673.2</v>
      </c>
      <c r="J359" s="26"/>
      <c r="K359" s="4"/>
      <c r="L359" s="4"/>
      <c r="M359" s="4"/>
      <c r="N359" s="107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1083" t="s">
        <v>2318</v>
      </c>
      <c r="C360" s="1083" t="s">
        <v>2709</v>
      </c>
      <c r="D360" s="1084" t="s">
        <v>356</v>
      </c>
      <c r="E360" s="4" t="s">
        <v>25</v>
      </c>
      <c r="F360" s="26">
        <v>53.522400000000005</v>
      </c>
      <c r="G360" s="26">
        <v>588.0</v>
      </c>
      <c r="H360" s="104">
        <v>31471.171200000004</v>
      </c>
      <c r="I360" s="26">
        <f t="shared" si="1"/>
        <v>4521.72</v>
      </c>
      <c r="J360" s="26"/>
      <c r="K360" s="4"/>
      <c r="L360" s="4"/>
      <c r="M360" s="4"/>
      <c r="N360" s="107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1083" t="s">
        <v>2319</v>
      </c>
      <c r="C361" s="1083" t="s">
        <v>2709</v>
      </c>
      <c r="D361" s="1084" t="s">
        <v>836</v>
      </c>
      <c r="E361" s="4" t="s">
        <v>25</v>
      </c>
      <c r="F361" s="26">
        <v>20.88</v>
      </c>
      <c r="G361" s="26">
        <v>328.0</v>
      </c>
      <c r="H361" s="104">
        <v>6848.639999999999</v>
      </c>
      <c r="I361" s="26">
        <f t="shared" si="1"/>
        <v>984</v>
      </c>
      <c r="J361" s="26"/>
      <c r="K361" s="4"/>
      <c r="L361" s="4"/>
      <c r="M361" s="4"/>
      <c r="N361" s="107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1083" t="s">
        <v>2320</v>
      </c>
      <c r="C362" s="1083" t="s">
        <v>2709</v>
      </c>
      <c r="D362" s="1084" t="s">
        <v>1332</v>
      </c>
      <c r="E362" s="4" t="s">
        <v>25</v>
      </c>
      <c r="F362" s="26">
        <v>10.7184</v>
      </c>
      <c r="G362" s="26">
        <v>48.0</v>
      </c>
      <c r="H362" s="104">
        <v>514.4832</v>
      </c>
      <c r="I362" s="26">
        <f t="shared" si="1"/>
        <v>73.92</v>
      </c>
      <c r="J362" s="26"/>
      <c r="K362" s="4"/>
      <c r="L362" s="4"/>
      <c r="M362" s="4"/>
      <c r="N362" s="107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1083" t="s">
        <v>2321</v>
      </c>
      <c r="C363" s="1083" t="s">
        <v>2709</v>
      </c>
      <c r="D363" s="1084" t="s">
        <v>1074</v>
      </c>
      <c r="E363" s="4" t="s">
        <v>25</v>
      </c>
      <c r="F363" s="26">
        <v>15.2424</v>
      </c>
      <c r="G363" s="26">
        <v>240.0</v>
      </c>
      <c r="H363" s="104">
        <v>3658.176</v>
      </c>
      <c r="I363" s="26">
        <f t="shared" si="1"/>
        <v>525.6</v>
      </c>
      <c r="J363" s="26"/>
      <c r="K363" s="4"/>
      <c r="L363" s="4"/>
      <c r="M363" s="4"/>
      <c r="N363" s="107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1083" t="s">
        <v>2322</v>
      </c>
      <c r="C364" s="1083" t="s">
        <v>2709</v>
      </c>
      <c r="D364" s="1084" t="s">
        <v>652</v>
      </c>
      <c r="E364" s="4" t="s">
        <v>25</v>
      </c>
      <c r="F364" s="26">
        <v>4186.1616</v>
      </c>
      <c r="G364" s="26">
        <v>0.0</v>
      </c>
      <c r="H364" s="104">
        <v>0.0</v>
      </c>
      <c r="I364" s="26">
        <f t="shared" si="1"/>
        <v>0</v>
      </c>
      <c r="J364" s="26"/>
      <c r="K364" s="4"/>
      <c r="L364" s="4"/>
      <c r="M364" s="4"/>
      <c r="N364" s="107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1083" t="s">
        <v>2323</v>
      </c>
      <c r="C365" s="1083" t="s">
        <v>2723</v>
      </c>
      <c r="D365" s="1084" t="s">
        <v>3197</v>
      </c>
      <c r="E365" s="4" t="s">
        <v>25</v>
      </c>
      <c r="F365" s="26">
        <v>31770.451200000003</v>
      </c>
      <c r="G365" s="26">
        <v>0.0</v>
      </c>
      <c r="H365" s="104">
        <v>0.0</v>
      </c>
      <c r="I365" s="26">
        <f t="shared" si="1"/>
        <v>0</v>
      </c>
      <c r="J365" s="26"/>
      <c r="K365" s="4"/>
      <c r="L365" s="4"/>
      <c r="M365" s="4"/>
      <c r="N365" s="107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1083" t="s">
        <v>2324</v>
      </c>
      <c r="C366" s="1083" t="s">
        <v>2723</v>
      </c>
      <c r="D366" s="1084" t="s">
        <v>3152</v>
      </c>
      <c r="E366" s="4" t="s">
        <v>25</v>
      </c>
      <c r="F366" s="26">
        <v>2747.7384</v>
      </c>
      <c r="G366" s="26">
        <v>6.0</v>
      </c>
      <c r="H366" s="104">
        <v>16486.4304</v>
      </c>
      <c r="I366" s="26">
        <f t="shared" si="1"/>
        <v>2368.74</v>
      </c>
      <c r="J366" s="26"/>
      <c r="K366" s="4"/>
      <c r="L366" s="4"/>
      <c r="M366" s="4"/>
      <c r="N366" s="107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1083" t="s">
        <v>2326</v>
      </c>
      <c r="C367" s="1083" t="s">
        <v>2709</v>
      </c>
      <c r="D367" s="1084" t="s">
        <v>2327</v>
      </c>
      <c r="E367" s="4" t="s">
        <v>25</v>
      </c>
      <c r="F367" s="26">
        <v>742.4928</v>
      </c>
      <c r="G367" s="26">
        <v>28.0</v>
      </c>
      <c r="H367" s="104">
        <v>20789.7984</v>
      </c>
      <c r="I367" s="26">
        <f t="shared" si="1"/>
        <v>2987.04</v>
      </c>
      <c r="J367" s="26"/>
      <c r="K367" s="4"/>
      <c r="L367" s="4"/>
      <c r="M367" s="4"/>
      <c r="N367" s="107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1083" t="s">
        <v>2328</v>
      </c>
      <c r="C368" s="1083" t="s">
        <v>2709</v>
      </c>
      <c r="D368" s="1084" t="s">
        <v>510</v>
      </c>
      <c r="E368" s="4" t="s">
        <v>25</v>
      </c>
      <c r="F368" s="26">
        <v>9282.552</v>
      </c>
      <c r="G368" s="26">
        <v>3.0</v>
      </c>
      <c r="H368" s="104">
        <v>27847.656</v>
      </c>
      <c r="I368" s="26">
        <f t="shared" si="1"/>
        <v>4001.1</v>
      </c>
      <c r="J368" s="26"/>
      <c r="K368" s="4"/>
      <c r="L368" s="4"/>
      <c r="M368" s="4"/>
      <c r="N368" s="107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1083" t="s">
        <v>2329</v>
      </c>
      <c r="C369" s="1083" t="s">
        <v>2723</v>
      </c>
      <c r="D369" s="1084" t="s">
        <v>955</v>
      </c>
      <c r="E369" s="4" t="s">
        <v>25</v>
      </c>
      <c r="F369" s="26">
        <v>71.7576</v>
      </c>
      <c r="G369" s="26">
        <v>70.0</v>
      </c>
      <c r="H369" s="104">
        <v>5023.032</v>
      </c>
      <c r="I369" s="26">
        <f t="shared" si="1"/>
        <v>721.7</v>
      </c>
      <c r="J369" s="26"/>
      <c r="K369" s="4"/>
      <c r="L369" s="4"/>
      <c r="M369" s="4"/>
      <c r="N369" s="107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1083" t="s">
        <v>2331</v>
      </c>
      <c r="C370" s="1083" t="s">
        <v>2723</v>
      </c>
      <c r="D370" s="1084" t="s">
        <v>952</v>
      </c>
      <c r="E370" s="4" t="s">
        <v>25</v>
      </c>
      <c r="F370" s="26">
        <v>71.7576</v>
      </c>
      <c r="G370" s="26">
        <v>70.0</v>
      </c>
      <c r="H370" s="104">
        <v>5023.032</v>
      </c>
      <c r="I370" s="26">
        <f t="shared" si="1"/>
        <v>721.7</v>
      </c>
      <c r="J370" s="26"/>
      <c r="K370" s="4"/>
      <c r="L370" s="4"/>
      <c r="M370" s="4"/>
      <c r="N370" s="107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1083" t="s">
        <v>2333</v>
      </c>
      <c r="C371" s="1083" t="s">
        <v>2723</v>
      </c>
      <c r="D371" s="1084" t="s">
        <v>1133</v>
      </c>
      <c r="E371" s="4" t="s">
        <v>25</v>
      </c>
      <c r="F371" s="26">
        <v>61.526399999999995</v>
      </c>
      <c r="G371" s="26">
        <v>300.0</v>
      </c>
      <c r="H371" s="104">
        <v>18457.92</v>
      </c>
      <c r="I371" s="26">
        <f t="shared" si="1"/>
        <v>2652</v>
      </c>
      <c r="J371" s="26"/>
      <c r="K371" s="4"/>
      <c r="L371" s="4"/>
      <c r="M371" s="4"/>
      <c r="N371" s="107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1083" t="s">
        <v>2334</v>
      </c>
      <c r="C372" s="1083" t="s">
        <v>2723</v>
      </c>
      <c r="D372" s="1084" t="s">
        <v>3181</v>
      </c>
      <c r="E372" s="4" t="s">
        <v>25</v>
      </c>
      <c r="F372" s="26">
        <v>932.0136</v>
      </c>
      <c r="G372" s="26">
        <v>1.0</v>
      </c>
      <c r="H372" s="104">
        <v>932.0136</v>
      </c>
      <c r="I372" s="26">
        <f t="shared" si="1"/>
        <v>133.91</v>
      </c>
      <c r="J372" s="26"/>
      <c r="K372" s="4"/>
      <c r="L372" s="4"/>
      <c r="M372" s="4"/>
      <c r="N372" s="107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1083" t="s">
        <v>2336</v>
      </c>
      <c r="C373" s="1083" t="s">
        <v>2723</v>
      </c>
      <c r="D373" s="1084" t="s">
        <v>3184</v>
      </c>
      <c r="E373" s="4" t="s">
        <v>25</v>
      </c>
      <c r="F373" s="26">
        <v>932.0136</v>
      </c>
      <c r="G373" s="26">
        <v>1.0</v>
      </c>
      <c r="H373" s="104">
        <v>932.0136</v>
      </c>
      <c r="I373" s="26">
        <f t="shared" si="1"/>
        <v>133.91</v>
      </c>
      <c r="J373" s="26"/>
      <c r="K373" s="4"/>
      <c r="L373" s="4"/>
      <c r="M373" s="4"/>
      <c r="N373" s="107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1083" t="s">
        <v>2338</v>
      </c>
      <c r="C374" s="1083" t="s">
        <v>2723</v>
      </c>
      <c r="D374" s="1084" t="s">
        <v>1614</v>
      </c>
      <c r="E374" s="4" t="s">
        <v>25</v>
      </c>
      <c r="F374" s="26">
        <v>163.56</v>
      </c>
      <c r="G374" s="26">
        <v>0.0</v>
      </c>
      <c r="H374" s="104">
        <v>0.0</v>
      </c>
      <c r="I374" s="26">
        <f t="shared" si="1"/>
        <v>0</v>
      </c>
      <c r="J374" s="26"/>
      <c r="K374" s="4"/>
      <c r="L374" s="4"/>
      <c r="M374" s="4"/>
      <c r="N374" s="107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1083" t="s">
        <v>2340</v>
      </c>
      <c r="C375" s="1083" t="s">
        <v>2709</v>
      </c>
      <c r="D375" s="1084" t="s">
        <v>154</v>
      </c>
      <c r="E375" s="4" t="s">
        <v>25</v>
      </c>
      <c r="F375" s="26">
        <v>418.644</v>
      </c>
      <c r="G375" s="26">
        <v>360.0</v>
      </c>
      <c r="H375" s="104">
        <v>150711.84</v>
      </c>
      <c r="I375" s="26">
        <f t="shared" si="1"/>
        <v>21654</v>
      </c>
      <c r="J375" s="26"/>
      <c r="K375" s="4"/>
      <c r="L375" s="4"/>
      <c r="M375" s="4"/>
      <c r="N375" s="107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1083" t="s">
        <v>2341</v>
      </c>
      <c r="C376" s="1083" t="s">
        <v>2709</v>
      </c>
      <c r="D376" s="1084" t="s">
        <v>298</v>
      </c>
      <c r="E376" s="4" t="s">
        <v>25</v>
      </c>
      <c r="F376" s="26">
        <v>633.5688</v>
      </c>
      <c r="G376" s="26">
        <v>48.0</v>
      </c>
      <c r="H376" s="104">
        <v>30411.3024</v>
      </c>
      <c r="I376" s="26">
        <f t="shared" si="1"/>
        <v>4369.44</v>
      </c>
      <c r="J376" s="26"/>
      <c r="K376" s="4"/>
      <c r="L376" s="4"/>
      <c r="M376" s="4"/>
      <c r="N376" s="107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1083" t="s">
        <v>2342</v>
      </c>
      <c r="C377" s="1083" t="s">
        <v>2709</v>
      </c>
      <c r="D377" s="1084" t="s">
        <v>1472</v>
      </c>
      <c r="E377" s="4" t="s">
        <v>25</v>
      </c>
      <c r="F377" s="26">
        <v>13.6416</v>
      </c>
      <c r="G377" s="26">
        <v>108.0</v>
      </c>
      <c r="H377" s="104">
        <v>1473.2928</v>
      </c>
      <c r="I377" s="26">
        <f t="shared" si="1"/>
        <v>211.68</v>
      </c>
      <c r="J377" s="26"/>
      <c r="K377" s="4"/>
      <c r="L377" s="4"/>
      <c r="M377" s="4"/>
      <c r="N377" s="107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1083" t="s">
        <v>2343</v>
      </c>
      <c r="C378" s="1083" t="s">
        <v>2709</v>
      </c>
      <c r="D378" s="1084" t="s">
        <v>659</v>
      </c>
      <c r="E378" s="4" t="s">
        <v>25</v>
      </c>
      <c r="F378" s="26">
        <v>17822.4024</v>
      </c>
      <c r="G378" s="26">
        <v>2.0</v>
      </c>
      <c r="H378" s="104">
        <v>35644.8048</v>
      </c>
      <c r="I378" s="26">
        <f t="shared" si="1"/>
        <v>5121.38</v>
      </c>
      <c r="J378" s="26"/>
      <c r="K378" s="4"/>
      <c r="L378" s="4"/>
      <c r="M378" s="4"/>
      <c r="N378" s="107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1083" t="s">
        <v>2344</v>
      </c>
      <c r="C379" s="1083" t="s">
        <v>2709</v>
      </c>
      <c r="D379" s="1084" t="s">
        <v>699</v>
      </c>
      <c r="E379" s="4" t="s">
        <v>25</v>
      </c>
      <c r="F379" s="26">
        <v>16190.2128</v>
      </c>
      <c r="G379" s="26">
        <v>2.0</v>
      </c>
      <c r="H379" s="104">
        <v>32380.4256</v>
      </c>
      <c r="I379" s="26">
        <f t="shared" si="1"/>
        <v>4652.36</v>
      </c>
      <c r="J379" s="26"/>
      <c r="K379" s="4"/>
      <c r="L379" s="4"/>
      <c r="M379" s="4"/>
      <c r="N379" s="107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1083" t="s">
        <v>2345</v>
      </c>
      <c r="C380" s="1083" t="s">
        <v>2709</v>
      </c>
      <c r="D380" s="1084" t="s">
        <v>192</v>
      </c>
      <c r="E380" s="4" t="s">
        <v>25</v>
      </c>
      <c r="F380" s="26">
        <v>6959.0256</v>
      </c>
      <c r="G380" s="26">
        <v>0.0</v>
      </c>
      <c r="H380" s="104">
        <v>0.0</v>
      </c>
      <c r="I380" s="26">
        <f t="shared" si="1"/>
        <v>0</v>
      </c>
      <c r="J380" s="26"/>
      <c r="K380" s="4"/>
      <c r="L380" s="4"/>
      <c r="M380" s="4"/>
      <c r="N380" s="107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1083" t="s">
        <v>2346</v>
      </c>
      <c r="C381" s="1083" t="s">
        <v>2723</v>
      </c>
      <c r="D381" s="1084" t="s">
        <v>1448</v>
      </c>
      <c r="E381" s="4" t="s">
        <v>25</v>
      </c>
      <c r="F381" s="26">
        <v>619.092</v>
      </c>
      <c r="G381" s="26">
        <v>0.0</v>
      </c>
      <c r="H381" s="104">
        <v>0.0</v>
      </c>
      <c r="I381" s="26">
        <f t="shared" si="1"/>
        <v>0</v>
      </c>
      <c r="J381" s="26"/>
      <c r="K381" s="4"/>
      <c r="L381" s="4"/>
      <c r="M381" s="4"/>
      <c r="N381" s="107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1083" t="s">
        <v>2348</v>
      </c>
      <c r="C382" s="1083" t="s">
        <v>2709</v>
      </c>
      <c r="D382" s="1084" t="s">
        <v>997</v>
      </c>
      <c r="E382" s="4" t="s">
        <v>25</v>
      </c>
      <c r="F382" s="26">
        <v>1844.4</v>
      </c>
      <c r="G382" s="26">
        <v>0.0</v>
      </c>
      <c r="H382" s="104">
        <v>0.0</v>
      </c>
      <c r="I382" s="26">
        <f t="shared" si="1"/>
        <v>0</v>
      </c>
      <c r="J382" s="26"/>
      <c r="K382" s="4"/>
      <c r="L382" s="4"/>
      <c r="M382" s="4"/>
      <c r="N382" s="107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1083" t="s">
        <v>2350</v>
      </c>
      <c r="C383" s="1083" t="s">
        <v>2709</v>
      </c>
      <c r="D383" s="1084" t="s">
        <v>1101</v>
      </c>
      <c r="E383" s="4" t="s">
        <v>25</v>
      </c>
      <c r="F383" s="26">
        <v>1212.2232</v>
      </c>
      <c r="G383" s="26">
        <v>0.0</v>
      </c>
      <c r="H383" s="104">
        <v>0.0</v>
      </c>
      <c r="I383" s="26">
        <f t="shared" si="1"/>
        <v>0</v>
      </c>
      <c r="J383" s="26"/>
      <c r="K383" s="4"/>
      <c r="L383" s="4"/>
      <c r="M383" s="4"/>
      <c r="N383" s="107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1083" t="s">
        <v>2352</v>
      </c>
      <c r="C384" s="1083" t="s">
        <v>2709</v>
      </c>
      <c r="D384" s="1084" t="s">
        <v>983</v>
      </c>
      <c r="E384" s="4" t="s">
        <v>25</v>
      </c>
      <c r="F384" s="26">
        <v>1428.192</v>
      </c>
      <c r="G384" s="26">
        <v>0.0</v>
      </c>
      <c r="H384" s="104">
        <v>0.0</v>
      </c>
      <c r="I384" s="26">
        <f t="shared" si="1"/>
        <v>0</v>
      </c>
      <c r="J384" s="26"/>
      <c r="K384" s="4"/>
      <c r="L384" s="4"/>
      <c r="M384" s="4"/>
      <c r="N384" s="107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1083" t="s">
        <v>2354</v>
      </c>
      <c r="C385" s="1083" t="s">
        <v>2709</v>
      </c>
      <c r="D385" s="1084" t="s">
        <v>777</v>
      </c>
      <c r="E385" s="4" t="s">
        <v>25</v>
      </c>
      <c r="F385" s="26">
        <v>2464.8143999999998</v>
      </c>
      <c r="G385" s="26">
        <v>0.0</v>
      </c>
      <c r="H385" s="104">
        <v>0.0</v>
      </c>
      <c r="I385" s="26">
        <f t="shared" si="1"/>
        <v>0</v>
      </c>
      <c r="J385" s="26"/>
      <c r="K385" s="4"/>
      <c r="L385" s="4"/>
      <c r="M385" s="4"/>
      <c r="N385" s="107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1083" t="s">
        <v>2356</v>
      </c>
      <c r="C386" s="1083" t="s">
        <v>2709</v>
      </c>
      <c r="D386" s="1084" t="s">
        <v>896</v>
      </c>
      <c r="E386" s="4" t="s">
        <v>25</v>
      </c>
      <c r="F386" s="26">
        <v>1856.7191999999998</v>
      </c>
      <c r="G386" s="26">
        <v>0.0</v>
      </c>
      <c r="H386" s="104">
        <v>0.0</v>
      </c>
      <c r="I386" s="26">
        <f t="shared" si="1"/>
        <v>0</v>
      </c>
      <c r="J386" s="26"/>
      <c r="K386" s="4"/>
      <c r="L386" s="4"/>
      <c r="M386" s="4"/>
      <c r="N386" s="107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1083" t="s">
        <v>2358</v>
      </c>
      <c r="C387" s="1083" t="s">
        <v>2709</v>
      </c>
      <c r="D387" s="1084" t="s">
        <v>1544</v>
      </c>
      <c r="E387" s="4" t="s">
        <v>25</v>
      </c>
      <c r="F387" s="26">
        <v>245.40959999999998</v>
      </c>
      <c r="G387" s="26">
        <v>5.0</v>
      </c>
      <c r="H387" s="104">
        <v>1227.048</v>
      </c>
      <c r="I387" s="26">
        <f t="shared" si="1"/>
        <v>176.3</v>
      </c>
      <c r="J387" s="26"/>
      <c r="K387" s="4"/>
      <c r="L387" s="4"/>
      <c r="M387" s="4"/>
      <c r="N387" s="107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1083" t="s">
        <v>2359</v>
      </c>
      <c r="C388" s="1083" t="s">
        <v>2709</v>
      </c>
      <c r="D388" s="1084" t="s">
        <v>2360</v>
      </c>
      <c r="E388" s="4" t="s">
        <v>25</v>
      </c>
      <c r="F388" s="26">
        <v>5.0808</v>
      </c>
      <c r="G388" s="26">
        <v>563.0</v>
      </c>
      <c r="H388" s="104">
        <v>2860.4904</v>
      </c>
      <c r="I388" s="26">
        <f t="shared" si="1"/>
        <v>410.99</v>
      </c>
      <c r="J388" s="26"/>
      <c r="K388" s="4"/>
      <c r="L388" s="4"/>
      <c r="M388" s="4"/>
      <c r="N388" s="107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1083" t="s">
        <v>2361</v>
      </c>
      <c r="C389" s="1083" t="s">
        <v>2709</v>
      </c>
      <c r="D389" s="1084" t="s">
        <v>1678</v>
      </c>
      <c r="E389" s="4" t="s">
        <v>25</v>
      </c>
      <c r="F389" s="26">
        <v>26.2392</v>
      </c>
      <c r="G389" s="26">
        <v>0.0</v>
      </c>
      <c r="H389" s="104">
        <v>0.0</v>
      </c>
      <c r="I389" s="26">
        <f t="shared" si="1"/>
        <v>0</v>
      </c>
      <c r="J389" s="26"/>
      <c r="K389" s="4"/>
      <c r="L389" s="4"/>
      <c r="M389" s="4"/>
      <c r="N389" s="107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1083" t="s">
        <v>3746</v>
      </c>
      <c r="C390" s="1087">
        <v>34110.0</v>
      </c>
      <c r="D390" s="4" t="s">
        <v>3747</v>
      </c>
      <c r="E390" s="4" t="s">
        <v>25</v>
      </c>
      <c r="F390" s="26">
        <v>0.0</v>
      </c>
      <c r="G390" s="1094">
        <v>0.0</v>
      </c>
      <c r="H390" s="104">
        <v>0.0</v>
      </c>
      <c r="I390" s="26">
        <f t="shared" si="1"/>
        <v>0</v>
      </c>
      <c r="J390" s="26"/>
      <c r="K390" s="4"/>
      <c r="L390" s="4"/>
      <c r="M390" s="4"/>
      <c r="N390" s="107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1083" t="s">
        <v>2362</v>
      </c>
      <c r="C391" s="1083" t="s">
        <v>2709</v>
      </c>
      <c r="D391" s="1084" t="s">
        <v>319</v>
      </c>
      <c r="E391" s="4" t="s">
        <v>25</v>
      </c>
      <c r="F391" s="26">
        <v>17912.0472</v>
      </c>
      <c r="G391" s="26">
        <v>0.0</v>
      </c>
      <c r="H391" s="104">
        <v>0.0</v>
      </c>
      <c r="I391" s="26">
        <f t="shared" si="1"/>
        <v>0</v>
      </c>
      <c r="J391" s="26"/>
      <c r="K391" s="4"/>
      <c r="L391" s="4"/>
      <c r="M391" s="4"/>
      <c r="N391" s="107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1083" t="s">
        <v>2364</v>
      </c>
      <c r="C392" s="1083" t="s">
        <v>2709</v>
      </c>
      <c r="D392" s="1084" t="s">
        <v>2365</v>
      </c>
      <c r="E392" s="4" t="s">
        <v>25</v>
      </c>
      <c r="F392" s="26">
        <v>1611.3095999999998</v>
      </c>
      <c r="G392" s="26">
        <v>0.0</v>
      </c>
      <c r="H392" s="104">
        <v>0.0</v>
      </c>
      <c r="I392" s="26">
        <f t="shared" si="1"/>
        <v>0</v>
      </c>
      <c r="J392" s="26"/>
      <c r="K392" s="4"/>
      <c r="L392" s="4"/>
      <c r="M392" s="4"/>
      <c r="N392" s="107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1083" t="s">
        <v>2366</v>
      </c>
      <c r="C393" s="1083" t="s">
        <v>2709</v>
      </c>
      <c r="D393" s="1084" t="s">
        <v>596</v>
      </c>
      <c r="E393" s="4" t="s">
        <v>25</v>
      </c>
      <c r="F393" s="26">
        <v>181.7256</v>
      </c>
      <c r="G393" s="26">
        <v>48.0</v>
      </c>
      <c r="H393" s="104">
        <v>8722.8288</v>
      </c>
      <c r="I393" s="26">
        <f t="shared" si="1"/>
        <v>1253.28</v>
      </c>
      <c r="J393" s="26"/>
      <c r="K393" s="4"/>
      <c r="L393" s="4"/>
      <c r="M393" s="4"/>
      <c r="N393" s="107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1083" t="s">
        <v>2367</v>
      </c>
      <c r="C394" s="1083" t="s">
        <v>2723</v>
      </c>
      <c r="D394" s="1084" t="s">
        <v>126</v>
      </c>
      <c r="E394" s="4" t="s">
        <v>25</v>
      </c>
      <c r="F394" s="26">
        <v>8585.2992</v>
      </c>
      <c r="G394" s="26">
        <v>25.0</v>
      </c>
      <c r="H394" s="104">
        <v>214632.47999999998</v>
      </c>
      <c r="I394" s="26">
        <f t="shared" si="1"/>
        <v>30838</v>
      </c>
      <c r="J394" s="26"/>
      <c r="K394" s="4"/>
      <c r="L394" s="4"/>
      <c r="M394" s="4"/>
      <c r="N394" s="107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1083" t="s">
        <v>2369</v>
      </c>
      <c r="C395" s="1083" t="s">
        <v>2709</v>
      </c>
      <c r="D395" s="1084" t="s">
        <v>1735</v>
      </c>
      <c r="E395" s="4" t="s">
        <v>25</v>
      </c>
      <c r="F395" s="26">
        <v>2.1576</v>
      </c>
      <c r="G395" s="26">
        <v>0.0</v>
      </c>
      <c r="H395" s="104">
        <v>0.0</v>
      </c>
      <c r="I395" s="26">
        <f t="shared" si="1"/>
        <v>0</v>
      </c>
      <c r="J395" s="26"/>
      <c r="K395" s="4"/>
      <c r="L395" s="4"/>
      <c r="M395" s="4"/>
      <c r="N395" s="107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1083" t="s">
        <v>2371</v>
      </c>
      <c r="C396" s="1083" t="s">
        <v>2709</v>
      </c>
      <c r="D396" s="1084" t="s">
        <v>720</v>
      </c>
      <c r="E396" s="4" t="s">
        <v>25</v>
      </c>
      <c r="F396" s="26">
        <v>30243.705599999998</v>
      </c>
      <c r="G396" s="26">
        <v>0.0</v>
      </c>
      <c r="H396" s="104">
        <v>0.0</v>
      </c>
      <c r="I396" s="26">
        <f t="shared" si="1"/>
        <v>0</v>
      </c>
      <c r="J396" s="26"/>
      <c r="K396" s="4"/>
      <c r="L396" s="4"/>
      <c r="M396" s="4"/>
      <c r="N396" s="107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1083" t="s">
        <v>2373</v>
      </c>
      <c r="C397" s="1083" t="s">
        <v>2709</v>
      </c>
      <c r="D397" s="1084" t="s">
        <v>369</v>
      </c>
      <c r="E397" s="4" t="s">
        <v>25</v>
      </c>
      <c r="F397" s="26">
        <v>11566.7544</v>
      </c>
      <c r="G397" s="26">
        <v>0.0</v>
      </c>
      <c r="H397" s="104">
        <v>0.0</v>
      </c>
      <c r="I397" s="26">
        <f t="shared" si="1"/>
        <v>0</v>
      </c>
      <c r="J397" s="26"/>
      <c r="K397" s="4"/>
      <c r="L397" s="4"/>
      <c r="M397" s="4"/>
      <c r="N397" s="107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1083" t="s">
        <v>2375</v>
      </c>
      <c r="C398" s="1083" t="s">
        <v>2723</v>
      </c>
      <c r="D398" s="1084" t="s">
        <v>1672</v>
      </c>
      <c r="E398" s="4" t="s">
        <v>25</v>
      </c>
      <c r="F398" s="26">
        <v>82.68480000000001</v>
      </c>
      <c r="G398" s="26">
        <v>0.0</v>
      </c>
      <c r="H398" s="104">
        <v>0.0</v>
      </c>
      <c r="I398" s="26">
        <f t="shared" si="1"/>
        <v>0</v>
      </c>
      <c r="J398" s="26"/>
      <c r="K398" s="4"/>
      <c r="L398" s="4"/>
      <c r="M398" s="4"/>
      <c r="N398" s="107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1083" t="s">
        <v>2376</v>
      </c>
      <c r="C399" s="1083" t="s">
        <v>2709</v>
      </c>
      <c r="D399" s="1084" t="s">
        <v>1550</v>
      </c>
      <c r="E399" s="4" t="s">
        <v>25</v>
      </c>
      <c r="F399" s="26">
        <v>29.719199999999997</v>
      </c>
      <c r="G399" s="26">
        <v>0.0</v>
      </c>
      <c r="H399" s="104">
        <v>0.0</v>
      </c>
      <c r="I399" s="26">
        <f t="shared" si="1"/>
        <v>0</v>
      </c>
      <c r="J399" s="26"/>
      <c r="K399" s="4"/>
      <c r="L399" s="4"/>
      <c r="M399" s="4"/>
      <c r="N399" s="107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1083" t="s">
        <v>2377</v>
      </c>
      <c r="C400" s="1083" t="s">
        <v>2709</v>
      </c>
      <c r="D400" s="1084" t="s">
        <v>1204</v>
      </c>
      <c r="E400" s="4" t="s">
        <v>25</v>
      </c>
      <c r="F400" s="26">
        <v>2333.9664</v>
      </c>
      <c r="G400" s="26">
        <v>6.0</v>
      </c>
      <c r="H400" s="104">
        <v>14003.7984</v>
      </c>
      <c r="I400" s="26">
        <f t="shared" si="1"/>
        <v>2012.04</v>
      </c>
      <c r="J400" s="26"/>
      <c r="K400" s="4"/>
      <c r="L400" s="4"/>
      <c r="M400" s="4"/>
      <c r="N400" s="107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1083" t="s">
        <v>2378</v>
      </c>
      <c r="C401" s="1083" t="s">
        <v>2709</v>
      </c>
      <c r="D401" s="1084" t="s">
        <v>248</v>
      </c>
      <c r="E401" s="4" t="s">
        <v>25</v>
      </c>
      <c r="F401" s="26">
        <v>651.7344</v>
      </c>
      <c r="G401" s="26">
        <v>0.0</v>
      </c>
      <c r="H401" s="104">
        <v>0.0</v>
      </c>
      <c r="I401" s="26">
        <f t="shared" si="1"/>
        <v>0</v>
      </c>
      <c r="J401" s="26"/>
      <c r="K401" s="4"/>
      <c r="L401" s="4"/>
      <c r="M401" s="4"/>
      <c r="N401" s="107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1083" t="s">
        <v>2379</v>
      </c>
      <c r="C402" s="1083" t="s">
        <v>2709</v>
      </c>
      <c r="D402" s="1084" t="s">
        <v>436</v>
      </c>
      <c r="E402" s="4" t="s">
        <v>25</v>
      </c>
      <c r="F402" s="26">
        <v>1434.1080000000002</v>
      </c>
      <c r="G402" s="26">
        <v>20.0</v>
      </c>
      <c r="H402" s="104">
        <v>28682.160000000003</v>
      </c>
      <c r="I402" s="26">
        <f t="shared" si="1"/>
        <v>4121</v>
      </c>
      <c r="J402" s="26"/>
      <c r="K402" s="4"/>
      <c r="L402" s="4"/>
      <c r="M402" s="4"/>
      <c r="N402" s="107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1083" t="s">
        <v>2380</v>
      </c>
      <c r="C403" s="1083" t="s">
        <v>2709</v>
      </c>
      <c r="D403" s="1084" t="s">
        <v>165</v>
      </c>
      <c r="E403" s="4" t="s">
        <v>25</v>
      </c>
      <c r="F403" s="26">
        <v>639.972</v>
      </c>
      <c r="G403" s="26">
        <v>0.0</v>
      </c>
      <c r="H403" s="104">
        <v>0.0</v>
      </c>
      <c r="I403" s="26">
        <f t="shared" si="1"/>
        <v>0</v>
      </c>
      <c r="J403" s="26"/>
      <c r="K403" s="4"/>
      <c r="L403" s="4"/>
      <c r="M403" s="4"/>
      <c r="N403" s="107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1083" t="s">
        <v>2381</v>
      </c>
      <c r="C404" s="1083" t="s">
        <v>2709</v>
      </c>
      <c r="D404" s="1084" t="s">
        <v>1000</v>
      </c>
      <c r="E404" s="4" t="s">
        <v>25</v>
      </c>
      <c r="F404" s="26">
        <v>515.2488</v>
      </c>
      <c r="G404" s="26">
        <v>0.0</v>
      </c>
      <c r="H404" s="104">
        <v>0.0</v>
      </c>
      <c r="I404" s="26">
        <f t="shared" si="1"/>
        <v>0</v>
      </c>
      <c r="J404" s="26"/>
      <c r="K404" s="4"/>
      <c r="L404" s="4"/>
      <c r="M404" s="4"/>
      <c r="N404" s="107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1083" t="s">
        <v>2382</v>
      </c>
      <c r="C405" s="1083" t="s">
        <v>2709</v>
      </c>
      <c r="D405" s="1084" t="s">
        <v>2809</v>
      </c>
      <c r="E405" s="4" t="s">
        <v>25</v>
      </c>
      <c r="F405" s="26">
        <v>11928.3264</v>
      </c>
      <c r="G405" s="26">
        <v>1.0</v>
      </c>
      <c r="H405" s="104">
        <v>11928.3264</v>
      </c>
      <c r="I405" s="26">
        <f t="shared" si="1"/>
        <v>1713.84</v>
      </c>
      <c r="J405" s="26"/>
      <c r="K405" s="4"/>
      <c r="L405" s="4"/>
      <c r="M405" s="4"/>
      <c r="N405" s="107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1083" t="s">
        <v>2384</v>
      </c>
      <c r="C406" s="1083" t="s">
        <v>2709</v>
      </c>
      <c r="D406" s="1084" t="s">
        <v>977</v>
      </c>
      <c r="E406" s="4" t="s">
        <v>25</v>
      </c>
      <c r="F406" s="26">
        <v>2881.5791999999997</v>
      </c>
      <c r="G406" s="26">
        <v>0.0</v>
      </c>
      <c r="H406" s="104">
        <v>0.0</v>
      </c>
      <c r="I406" s="26">
        <f t="shared" si="1"/>
        <v>0</v>
      </c>
      <c r="J406" s="26"/>
      <c r="K406" s="4"/>
      <c r="L406" s="4"/>
      <c r="M406" s="4"/>
      <c r="N406" s="107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1083" t="s">
        <v>2386</v>
      </c>
      <c r="C407" s="1083" t="s">
        <v>2709</v>
      </c>
      <c r="D407" s="1084" t="s">
        <v>2387</v>
      </c>
      <c r="E407" s="4" t="s">
        <v>25</v>
      </c>
      <c r="F407" s="26">
        <v>2382.1295999999998</v>
      </c>
      <c r="G407" s="26">
        <v>0.0</v>
      </c>
      <c r="H407" s="104">
        <v>0.0</v>
      </c>
      <c r="I407" s="26">
        <f t="shared" si="1"/>
        <v>0</v>
      </c>
      <c r="J407" s="26"/>
      <c r="K407" s="4"/>
      <c r="L407" s="4"/>
      <c r="M407" s="4"/>
      <c r="N407" s="107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1083" t="s">
        <v>2388</v>
      </c>
      <c r="C408" s="1083" t="s">
        <v>2709</v>
      </c>
      <c r="D408" s="1084" t="s">
        <v>1699</v>
      </c>
      <c r="E408" s="4" t="s">
        <v>25</v>
      </c>
      <c r="F408" s="26">
        <v>29.9976</v>
      </c>
      <c r="G408" s="26">
        <v>6.0</v>
      </c>
      <c r="H408" s="104">
        <v>179.98559999999998</v>
      </c>
      <c r="I408" s="26">
        <f t="shared" si="1"/>
        <v>25.86</v>
      </c>
      <c r="J408" s="26"/>
      <c r="K408" s="4"/>
      <c r="L408" s="4"/>
      <c r="M408" s="4"/>
      <c r="N408" s="107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1083" t="s">
        <v>2389</v>
      </c>
      <c r="C409" s="1083" t="s">
        <v>2723</v>
      </c>
      <c r="D409" s="1084" t="s">
        <v>372</v>
      </c>
      <c r="E409" s="4" t="s">
        <v>25</v>
      </c>
      <c r="F409" s="26">
        <v>1790.3208000000002</v>
      </c>
      <c r="G409" s="26">
        <v>19.0</v>
      </c>
      <c r="H409" s="104">
        <v>34016.0952</v>
      </c>
      <c r="I409" s="26">
        <f t="shared" si="1"/>
        <v>4887.37</v>
      </c>
      <c r="J409" s="26"/>
      <c r="K409" s="4"/>
      <c r="L409" s="4"/>
      <c r="M409" s="4"/>
      <c r="N409" s="107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1083" t="s">
        <v>2390</v>
      </c>
      <c r="C410" s="1083" t="s">
        <v>2709</v>
      </c>
      <c r="D410" s="1084" t="s">
        <v>1687</v>
      </c>
      <c r="E410" s="4" t="s">
        <v>25</v>
      </c>
      <c r="F410" s="26">
        <v>17.1216</v>
      </c>
      <c r="G410" s="26">
        <v>16.0</v>
      </c>
      <c r="H410" s="104">
        <v>273.9456</v>
      </c>
      <c r="I410" s="26">
        <f t="shared" si="1"/>
        <v>39.36</v>
      </c>
      <c r="J410" s="26"/>
      <c r="K410" s="4"/>
      <c r="L410" s="4"/>
      <c r="M410" s="4"/>
      <c r="N410" s="107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1083" t="s">
        <v>2391</v>
      </c>
      <c r="C411" s="1083" t="s">
        <v>2709</v>
      </c>
      <c r="D411" s="1084" t="s">
        <v>1541</v>
      </c>
      <c r="E411" s="4" t="s">
        <v>25</v>
      </c>
      <c r="F411" s="26">
        <v>20.6016</v>
      </c>
      <c r="G411" s="26">
        <v>64.0</v>
      </c>
      <c r="H411" s="104">
        <v>1318.5024</v>
      </c>
      <c r="I411" s="26">
        <f t="shared" si="1"/>
        <v>189.44</v>
      </c>
      <c r="J411" s="26"/>
      <c r="K411" s="4"/>
      <c r="L411" s="4"/>
      <c r="M411" s="4"/>
      <c r="N411" s="107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1083" t="s">
        <v>2392</v>
      </c>
      <c r="C412" s="1083" t="s">
        <v>2709</v>
      </c>
      <c r="D412" s="1084" t="s">
        <v>1715</v>
      </c>
      <c r="E412" s="4" t="s">
        <v>25</v>
      </c>
      <c r="F412" s="26">
        <v>16.0776</v>
      </c>
      <c r="G412" s="26">
        <v>24.0</v>
      </c>
      <c r="H412" s="104">
        <v>385.8624</v>
      </c>
      <c r="I412" s="26">
        <f t="shared" si="1"/>
        <v>55.44</v>
      </c>
      <c r="J412" s="26"/>
      <c r="K412" s="4"/>
      <c r="L412" s="4"/>
      <c r="M412" s="4"/>
      <c r="N412" s="107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1083" t="s">
        <v>2393</v>
      </c>
      <c r="C413" s="1083" t="s">
        <v>2709</v>
      </c>
      <c r="D413" s="1084" t="s">
        <v>1461</v>
      </c>
      <c r="E413" s="4" t="s">
        <v>25</v>
      </c>
      <c r="F413" s="26">
        <v>36.400800000000004</v>
      </c>
      <c r="G413" s="26">
        <v>32.0</v>
      </c>
      <c r="H413" s="104">
        <v>1164.8256000000001</v>
      </c>
      <c r="I413" s="26">
        <f t="shared" si="1"/>
        <v>167.36</v>
      </c>
      <c r="J413" s="26"/>
      <c r="K413" s="4"/>
      <c r="L413" s="4"/>
      <c r="M413" s="4"/>
      <c r="N413" s="107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1083" t="s">
        <v>2394</v>
      </c>
      <c r="C414" s="1083" t="s">
        <v>2709</v>
      </c>
      <c r="D414" s="1084" t="s">
        <v>1723</v>
      </c>
      <c r="E414" s="4" t="s">
        <v>25</v>
      </c>
      <c r="F414" s="26">
        <v>23.5248</v>
      </c>
      <c r="G414" s="26">
        <v>0.0</v>
      </c>
      <c r="H414" s="104">
        <v>0.0</v>
      </c>
      <c r="I414" s="26">
        <f t="shared" si="1"/>
        <v>0</v>
      </c>
      <c r="J414" s="26"/>
      <c r="K414" s="4"/>
      <c r="L414" s="4"/>
      <c r="M414" s="4"/>
      <c r="N414" s="107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1083" t="s">
        <v>2395</v>
      </c>
      <c r="C415" s="1083" t="s">
        <v>2709</v>
      </c>
      <c r="D415" s="1084" t="s">
        <v>1644</v>
      </c>
      <c r="E415" s="4" t="s">
        <v>25</v>
      </c>
      <c r="F415" s="26">
        <v>1.8792000000000002</v>
      </c>
      <c r="G415" s="26">
        <v>0.0</v>
      </c>
      <c r="H415" s="104">
        <v>0.0</v>
      </c>
      <c r="I415" s="26">
        <f t="shared" si="1"/>
        <v>0</v>
      </c>
      <c r="J415" s="26"/>
      <c r="K415" s="4"/>
      <c r="L415" s="4"/>
      <c r="M415" s="4"/>
      <c r="N415" s="107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1083" t="s">
        <v>2396</v>
      </c>
      <c r="C416" s="1083" t="s">
        <v>2709</v>
      </c>
      <c r="D416" s="1084" t="s">
        <v>1261</v>
      </c>
      <c r="E416" s="4" t="s">
        <v>25</v>
      </c>
      <c r="F416" s="26">
        <v>11.7624</v>
      </c>
      <c r="G416" s="26">
        <v>228.0</v>
      </c>
      <c r="H416" s="104">
        <v>2681.8271999999997</v>
      </c>
      <c r="I416" s="26">
        <f t="shared" si="1"/>
        <v>385.32</v>
      </c>
      <c r="J416" s="26"/>
      <c r="K416" s="4"/>
      <c r="L416" s="4"/>
      <c r="M416" s="4"/>
      <c r="N416" s="107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1083" t="s">
        <v>2397</v>
      </c>
      <c r="C417" s="1083" t="s">
        <v>2709</v>
      </c>
      <c r="D417" s="1084" t="s">
        <v>1413</v>
      </c>
      <c r="E417" s="4" t="s">
        <v>25</v>
      </c>
      <c r="F417" s="26">
        <v>22.2024</v>
      </c>
      <c r="G417" s="26">
        <v>36.0</v>
      </c>
      <c r="H417" s="104">
        <v>799.2864</v>
      </c>
      <c r="I417" s="26">
        <f t="shared" si="1"/>
        <v>114.84</v>
      </c>
      <c r="J417" s="26"/>
      <c r="K417" s="4"/>
      <c r="L417" s="4"/>
      <c r="M417" s="4"/>
      <c r="N417" s="107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1083" t="s">
        <v>2398</v>
      </c>
      <c r="C418" s="1083" t="s">
        <v>2709</v>
      </c>
      <c r="D418" s="1084" t="s">
        <v>1153</v>
      </c>
      <c r="E418" s="4" t="s">
        <v>25</v>
      </c>
      <c r="F418" s="26">
        <v>50.877599999999994</v>
      </c>
      <c r="G418" s="26">
        <v>86.0</v>
      </c>
      <c r="H418" s="104">
        <v>4375.473599999999</v>
      </c>
      <c r="I418" s="26">
        <f t="shared" si="1"/>
        <v>628.66</v>
      </c>
      <c r="J418" s="26"/>
      <c r="K418" s="4"/>
      <c r="L418" s="4"/>
      <c r="M418" s="4"/>
      <c r="N418" s="107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1083" t="s">
        <v>2399</v>
      </c>
      <c r="C419" s="1083" t="s">
        <v>2709</v>
      </c>
      <c r="D419" s="1084" t="s">
        <v>238</v>
      </c>
      <c r="E419" s="4" t="s">
        <v>25</v>
      </c>
      <c r="F419" s="26">
        <v>918.8592000000001</v>
      </c>
      <c r="G419" s="26">
        <v>152.0</v>
      </c>
      <c r="H419" s="104">
        <v>139666.59840000002</v>
      </c>
      <c r="I419" s="26">
        <f t="shared" si="1"/>
        <v>20067.04</v>
      </c>
      <c r="J419" s="26"/>
      <c r="K419" s="4"/>
      <c r="L419" s="4"/>
      <c r="M419" s="4"/>
      <c r="N419" s="107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1083" t="s">
        <v>2400</v>
      </c>
      <c r="C420" s="1083" t="s">
        <v>2709</v>
      </c>
      <c r="D420" s="1084" t="s">
        <v>450</v>
      </c>
      <c r="E420" s="4" t="s">
        <v>25</v>
      </c>
      <c r="F420" s="26">
        <v>494.0904</v>
      </c>
      <c r="G420" s="26">
        <v>163.0</v>
      </c>
      <c r="H420" s="104">
        <v>80536.7352</v>
      </c>
      <c r="I420" s="26">
        <f t="shared" si="1"/>
        <v>11571.37</v>
      </c>
      <c r="J420" s="26"/>
      <c r="K420" s="4"/>
      <c r="L420" s="4"/>
      <c r="M420" s="4"/>
      <c r="N420" s="107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1083" t="s">
        <v>2401</v>
      </c>
      <c r="C421" s="1083" t="s">
        <v>2709</v>
      </c>
      <c r="D421" s="1084" t="s">
        <v>151</v>
      </c>
      <c r="E421" s="4" t="s">
        <v>25</v>
      </c>
      <c r="F421" s="26">
        <v>749.1744</v>
      </c>
      <c r="G421" s="26">
        <v>112.0</v>
      </c>
      <c r="H421" s="104">
        <v>83907.5328</v>
      </c>
      <c r="I421" s="26">
        <f t="shared" si="1"/>
        <v>12055.68</v>
      </c>
      <c r="J421" s="26"/>
      <c r="K421" s="4"/>
      <c r="L421" s="4"/>
      <c r="M421" s="4"/>
      <c r="N421" s="107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1083" t="s">
        <v>2402</v>
      </c>
      <c r="C422" s="1083" t="s">
        <v>2709</v>
      </c>
      <c r="D422" s="1084" t="s">
        <v>624</v>
      </c>
      <c r="E422" s="4" t="s">
        <v>25</v>
      </c>
      <c r="F422" s="26">
        <v>354.4032</v>
      </c>
      <c r="G422" s="26">
        <v>93.0</v>
      </c>
      <c r="H422" s="104">
        <v>32959.4976</v>
      </c>
      <c r="I422" s="26">
        <f t="shared" si="1"/>
        <v>4735.56</v>
      </c>
      <c r="J422" s="26"/>
      <c r="K422" s="4"/>
      <c r="L422" s="4"/>
      <c r="M422" s="4"/>
      <c r="N422" s="107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1083" t="s">
        <v>2403</v>
      </c>
      <c r="C423" s="1083" t="s">
        <v>2709</v>
      </c>
      <c r="D423" s="1084" t="s">
        <v>182</v>
      </c>
      <c r="E423" s="4" t="s">
        <v>25</v>
      </c>
      <c r="F423" s="26">
        <v>803.7408</v>
      </c>
      <c r="G423" s="26">
        <v>216.0</v>
      </c>
      <c r="H423" s="104">
        <v>173608.0128</v>
      </c>
      <c r="I423" s="26">
        <f t="shared" si="1"/>
        <v>24943.68</v>
      </c>
      <c r="J423" s="26"/>
      <c r="K423" s="4"/>
      <c r="L423" s="4"/>
      <c r="M423" s="4"/>
      <c r="N423" s="107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1083" t="s">
        <v>2404</v>
      </c>
      <c r="C424" s="1083" t="s">
        <v>2709</v>
      </c>
      <c r="D424" s="1084" t="s">
        <v>103</v>
      </c>
      <c r="E424" s="4" t="s">
        <v>25</v>
      </c>
      <c r="F424" s="26">
        <v>552.1368</v>
      </c>
      <c r="G424" s="26">
        <v>78.0</v>
      </c>
      <c r="H424" s="104">
        <v>43066.6704</v>
      </c>
      <c r="I424" s="26">
        <f t="shared" si="1"/>
        <v>6187.74</v>
      </c>
      <c r="J424" s="26"/>
      <c r="K424" s="4"/>
      <c r="L424" s="4"/>
      <c r="M424" s="4"/>
      <c r="N424" s="107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1083" t="s">
        <v>2405</v>
      </c>
      <c r="C425" s="1083" t="s">
        <v>2709</v>
      </c>
      <c r="D425" s="1084" t="s">
        <v>789</v>
      </c>
      <c r="E425" s="4" t="s">
        <v>25</v>
      </c>
      <c r="F425" s="26">
        <v>320.0904</v>
      </c>
      <c r="G425" s="26">
        <v>40.0</v>
      </c>
      <c r="H425" s="104">
        <v>12803.616</v>
      </c>
      <c r="I425" s="26">
        <f t="shared" si="1"/>
        <v>1839.6</v>
      </c>
      <c r="J425" s="26"/>
      <c r="K425" s="4"/>
      <c r="L425" s="4"/>
      <c r="M425" s="4"/>
      <c r="N425" s="107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1083" t="s">
        <v>2406</v>
      </c>
      <c r="C426" s="1083" t="s">
        <v>2709</v>
      </c>
      <c r="D426" s="1084" t="s">
        <v>969</v>
      </c>
      <c r="E426" s="4" t="s">
        <v>25</v>
      </c>
      <c r="F426" s="26">
        <v>2319.4896</v>
      </c>
      <c r="G426" s="26">
        <v>0.0</v>
      </c>
      <c r="H426" s="104">
        <v>0.0</v>
      </c>
      <c r="I426" s="26">
        <f t="shared" si="1"/>
        <v>0</v>
      </c>
      <c r="J426" s="26"/>
      <c r="K426" s="4"/>
      <c r="L426" s="4"/>
      <c r="M426" s="4"/>
      <c r="N426" s="107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1083" t="s">
        <v>2408</v>
      </c>
      <c r="C427" s="1083" t="s">
        <v>2709</v>
      </c>
      <c r="D427" s="1084" t="s">
        <v>1222</v>
      </c>
      <c r="E427" s="4" t="s">
        <v>25</v>
      </c>
      <c r="F427" s="26">
        <v>720.2904</v>
      </c>
      <c r="G427" s="26">
        <v>0.0</v>
      </c>
      <c r="H427" s="104">
        <v>0.0</v>
      </c>
      <c r="I427" s="26">
        <f t="shared" si="1"/>
        <v>0</v>
      </c>
      <c r="J427" s="26"/>
      <c r="K427" s="4"/>
      <c r="L427" s="4"/>
      <c r="M427" s="4"/>
      <c r="N427" s="107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1083" t="s">
        <v>2410</v>
      </c>
      <c r="C428" s="1083" t="s">
        <v>2723</v>
      </c>
      <c r="D428" s="1084" t="s">
        <v>1293</v>
      </c>
      <c r="E428" s="4" t="s">
        <v>25</v>
      </c>
      <c r="F428" s="104">
        <v>1579.4328</v>
      </c>
      <c r="G428" s="89">
        <v>0.0</v>
      </c>
      <c r="H428" s="26">
        <v>0.0</v>
      </c>
      <c r="I428" s="26">
        <f t="shared" si="1"/>
        <v>0</v>
      </c>
      <c r="J428" s="26"/>
      <c r="K428" s="4"/>
      <c r="L428" s="4"/>
      <c r="M428" s="4"/>
      <c r="N428" s="107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1083" t="s">
        <v>2412</v>
      </c>
      <c r="C429" s="1083" t="s">
        <v>2723</v>
      </c>
      <c r="D429" s="1084" t="s">
        <v>1422</v>
      </c>
      <c r="E429" s="4" t="s">
        <v>25</v>
      </c>
      <c r="F429" s="26">
        <v>464.3712</v>
      </c>
      <c r="G429" s="40">
        <v>2.0</v>
      </c>
      <c r="H429" s="26">
        <v>928.7424</v>
      </c>
      <c r="I429" s="26">
        <f t="shared" si="1"/>
        <v>133.44</v>
      </c>
      <c r="J429" s="26"/>
      <c r="K429" s="4"/>
      <c r="L429" s="4"/>
      <c r="M429" s="4"/>
      <c r="N429" s="107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1083" t="s">
        <v>2413</v>
      </c>
      <c r="C430" s="1083" t="s">
        <v>2723</v>
      </c>
      <c r="D430" s="1084" t="s">
        <v>1147</v>
      </c>
      <c r="E430" s="4" t="s">
        <v>25</v>
      </c>
      <c r="F430" s="26">
        <v>2895.4991999999997</v>
      </c>
      <c r="G430" s="26">
        <v>0.0</v>
      </c>
      <c r="H430" s="26">
        <v>0.0</v>
      </c>
      <c r="I430" s="26">
        <f t="shared" si="1"/>
        <v>0</v>
      </c>
      <c r="J430" s="26"/>
      <c r="K430" s="4"/>
      <c r="L430" s="4"/>
      <c r="M430" s="4"/>
      <c r="N430" s="107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1083" t="s">
        <v>2415</v>
      </c>
      <c r="C431" s="1083" t="s">
        <v>2709</v>
      </c>
      <c r="D431" s="1084" t="s">
        <v>1753</v>
      </c>
      <c r="E431" s="4" t="s">
        <v>25</v>
      </c>
      <c r="F431" s="26">
        <v>0.7656</v>
      </c>
      <c r="G431" s="26">
        <v>0.0</v>
      </c>
      <c r="H431" s="26">
        <v>0.0</v>
      </c>
      <c r="I431" s="26">
        <f t="shared" si="1"/>
        <v>0</v>
      </c>
      <c r="J431" s="26"/>
      <c r="K431" s="4"/>
      <c r="L431" s="4"/>
      <c r="M431" s="4"/>
      <c r="N431" s="107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1083" t="s">
        <v>2417</v>
      </c>
      <c r="C432" s="1083" t="s">
        <v>2709</v>
      </c>
      <c r="D432" s="1084" t="s">
        <v>702</v>
      </c>
      <c r="E432" s="4" t="s">
        <v>25</v>
      </c>
      <c r="F432" s="26">
        <v>158.68800000000002</v>
      </c>
      <c r="G432" s="26">
        <v>80.0</v>
      </c>
      <c r="H432" s="26">
        <v>12695.04</v>
      </c>
      <c r="I432" s="26">
        <f t="shared" si="1"/>
        <v>1824</v>
      </c>
      <c r="J432" s="26"/>
      <c r="K432" s="4"/>
      <c r="L432" s="4"/>
      <c r="M432" s="4"/>
      <c r="N432" s="107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1083" t="s">
        <v>2418</v>
      </c>
      <c r="C433" s="1083" t="s">
        <v>2709</v>
      </c>
      <c r="D433" s="1084" t="s">
        <v>676</v>
      </c>
      <c r="E433" s="4" t="s">
        <v>25</v>
      </c>
      <c r="F433" s="26">
        <v>168.9192</v>
      </c>
      <c r="G433" s="26">
        <v>80.0</v>
      </c>
      <c r="H433" s="26">
        <v>13513.536</v>
      </c>
      <c r="I433" s="26">
        <f t="shared" si="1"/>
        <v>1941.6</v>
      </c>
      <c r="J433" s="26"/>
      <c r="K433" s="4"/>
      <c r="L433" s="4"/>
      <c r="M433" s="4"/>
      <c r="N433" s="107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1083" t="s">
        <v>2420</v>
      </c>
      <c r="C434" s="1083" t="s">
        <v>2723</v>
      </c>
      <c r="D434" s="1084" t="s">
        <v>2421</v>
      </c>
      <c r="E434" s="4" t="s">
        <v>25</v>
      </c>
      <c r="F434" s="26">
        <v>41.76</v>
      </c>
      <c r="G434" s="26">
        <v>55.0</v>
      </c>
      <c r="H434" s="26">
        <v>2296.7999999999997</v>
      </c>
      <c r="I434" s="26">
        <f t="shared" si="1"/>
        <v>330</v>
      </c>
      <c r="J434" s="26"/>
      <c r="K434" s="4"/>
      <c r="L434" s="4"/>
      <c r="M434" s="4"/>
      <c r="N434" s="107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1083" t="s">
        <v>2422</v>
      </c>
      <c r="C435" s="1083" t="s">
        <v>2709</v>
      </c>
      <c r="D435" s="1084" t="s">
        <v>1382</v>
      </c>
      <c r="E435" s="4" t="s">
        <v>25</v>
      </c>
      <c r="F435" s="26">
        <v>126.88080000000001</v>
      </c>
      <c r="G435" s="26">
        <v>0.0</v>
      </c>
      <c r="H435" s="26">
        <v>0.0</v>
      </c>
      <c r="I435" s="26">
        <f t="shared" si="1"/>
        <v>0</v>
      </c>
      <c r="J435" s="4"/>
      <c r="K435" s="4"/>
      <c r="L435" s="4"/>
      <c r="M435" s="4"/>
      <c r="N435" s="107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1083" t="s">
        <v>2423</v>
      </c>
      <c r="C436" s="1083" t="s">
        <v>2723</v>
      </c>
      <c r="D436" s="1084" t="s">
        <v>848</v>
      </c>
      <c r="E436" s="4" t="s">
        <v>25</v>
      </c>
      <c r="F436" s="26">
        <v>18662.544</v>
      </c>
      <c r="G436" s="26">
        <v>0.0</v>
      </c>
      <c r="H436" s="26">
        <v>0.0</v>
      </c>
      <c r="I436" s="4"/>
      <c r="J436" s="4"/>
      <c r="K436" s="4"/>
      <c r="L436" s="4"/>
      <c r="M436" s="4"/>
      <c r="N436" s="107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1083" t="s">
        <v>2424</v>
      </c>
      <c r="C437" s="1083" t="s">
        <v>2723</v>
      </c>
      <c r="D437" s="1084" t="s">
        <v>655</v>
      </c>
      <c r="E437" s="4" t="s">
        <v>25</v>
      </c>
      <c r="F437" s="26">
        <v>18272.2968</v>
      </c>
      <c r="G437" s="26">
        <v>0.0</v>
      </c>
      <c r="H437" s="26">
        <v>0.0</v>
      </c>
      <c r="I437" s="4"/>
      <c r="J437" s="4"/>
      <c r="K437" s="4"/>
      <c r="L437" s="4"/>
      <c r="M437" s="4"/>
      <c r="N437" s="107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1083" t="s">
        <v>2425</v>
      </c>
      <c r="C438" s="1083" t="s">
        <v>2723</v>
      </c>
      <c r="D438" s="1084" t="s">
        <v>112</v>
      </c>
      <c r="E438" s="4" t="s">
        <v>25</v>
      </c>
      <c r="F438" s="26">
        <v>6946.2192</v>
      </c>
      <c r="G438" s="26">
        <v>0.0</v>
      </c>
      <c r="H438" s="26">
        <v>0.0</v>
      </c>
      <c r="I438" s="4"/>
      <c r="J438" s="4"/>
      <c r="K438" s="4"/>
      <c r="L438" s="4"/>
      <c r="M438" s="4"/>
      <c r="N438" s="107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1083" t="s">
        <v>3748</v>
      </c>
      <c r="C439" s="1087">
        <v>34110.0</v>
      </c>
      <c r="D439" s="4" t="s">
        <v>3749</v>
      </c>
      <c r="E439" s="4" t="s">
        <v>25</v>
      </c>
      <c r="F439" s="26">
        <v>222.4416</v>
      </c>
      <c r="G439" s="1094">
        <v>0.0</v>
      </c>
      <c r="H439" s="26">
        <v>0.0</v>
      </c>
      <c r="I439" s="4"/>
      <c r="J439" s="4"/>
      <c r="K439" s="4"/>
      <c r="L439" s="4"/>
      <c r="M439" s="4"/>
      <c r="N439" s="107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1083" t="s">
        <v>2427</v>
      </c>
      <c r="C440" s="1083" t="s">
        <v>2709</v>
      </c>
      <c r="D440" s="1084" t="s">
        <v>316</v>
      </c>
      <c r="E440" s="4" t="s">
        <v>25</v>
      </c>
      <c r="F440" s="26">
        <v>2106.1656000000003</v>
      </c>
      <c r="G440" s="26">
        <v>42.0</v>
      </c>
      <c r="H440" s="26">
        <v>88458.9552</v>
      </c>
      <c r="I440" s="4"/>
      <c r="J440" s="4"/>
      <c r="K440" s="4"/>
      <c r="L440" s="4"/>
      <c r="M440" s="4"/>
      <c r="N440" s="107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1083" t="s">
        <v>2428</v>
      </c>
      <c r="C441" s="1083" t="s">
        <v>2723</v>
      </c>
      <c r="D441" s="1084" t="s">
        <v>1030</v>
      </c>
      <c r="E441" s="4" t="s">
        <v>25</v>
      </c>
      <c r="F441" s="26">
        <v>2469.1295999999998</v>
      </c>
      <c r="G441" s="26">
        <v>0.0</v>
      </c>
      <c r="H441" s="26">
        <v>0.0</v>
      </c>
      <c r="I441" s="4"/>
      <c r="J441" s="4"/>
      <c r="K441" s="4"/>
      <c r="L441" s="4"/>
      <c r="M441" s="4"/>
      <c r="N441" s="107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1083" t="s">
        <v>2429</v>
      </c>
      <c r="C442" s="1083" t="s">
        <v>2723</v>
      </c>
      <c r="D442" s="1084" t="s">
        <v>949</v>
      </c>
      <c r="E442" s="4" t="s">
        <v>25</v>
      </c>
      <c r="F442" s="26">
        <v>3114.1824</v>
      </c>
      <c r="G442" s="26">
        <v>0.0</v>
      </c>
      <c r="H442" s="26">
        <v>0.0</v>
      </c>
      <c r="I442" s="4"/>
      <c r="J442" s="4"/>
      <c r="K442" s="4"/>
      <c r="L442" s="4"/>
      <c r="M442" s="4"/>
      <c r="N442" s="107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1083" t="s">
        <v>2431</v>
      </c>
      <c r="C443" s="1083" t="s">
        <v>2709</v>
      </c>
      <c r="D443" s="1084" t="s">
        <v>2432</v>
      </c>
      <c r="E443" s="4" t="s">
        <v>25</v>
      </c>
      <c r="F443" s="26">
        <v>8356.4544</v>
      </c>
      <c r="G443" s="26">
        <v>0.0</v>
      </c>
      <c r="H443" s="26">
        <v>0.0</v>
      </c>
      <c r="I443" s="4"/>
      <c r="J443" s="4"/>
      <c r="K443" s="4"/>
      <c r="L443" s="4"/>
      <c r="M443" s="4"/>
      <c r="N443" s="107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1083" t="s">
        <v>2433</v>
      </c>
      <c r="C444" s="1083" t="s">
        <v>2709</v>
      </c>
      <c r="D444" s="1084" t="s">
        <v>109</v>
      </c>
      <c r="E444" s="4" t="s">
        <v>25</v>
      </c>
      <c r="F444" s="26">
        <v>4616.776800000001</v>
      </c>
      <c r="G444" s="26">
        <v>28.0</v>
      </c>
      <c r="H444" s="26">
        <v>129269.75040000002</v>
      </c>
      <c r="I444" s="4"/>
      <c r="J444" s="4"/>
      <c r="K444" s="4"/>
      <c r="L444" s="4"/>
      <c r="M444" s="4"/>
      <c r="N444" s="107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1083" t="s">
        <v>2434</v>
      </c>
      <c r="C445" s="1083" t="s">
        <v>2709</v>
      </c>
      <c r="D445" s="1084" t="s">
        <v>205</v>
      </c>
      <c r="E445" s="4" t="s">
        <v>25</v>
      </c>
      <c r="F445" s="26">
        <v>7774.0416000000005</v>
      </c>
      <c r="G445" s="26">
        <v>8.0</v>
      </c>
      <c r="H445" s="26">
        <v>62192.332800000004</v>
      </c>
      <c r="I445" s="4"/>
      <c r="J445" s="4"/>
      <c r="K445" s="4"/>
      <c r="L445" s="4"/>
      <c r="M445" s="4"/>
      <c r="N445" s="107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1083" t="s">
        <v>2435</v>
      </c>
      <c r="C446" s="1083" t="s">
        <v>2709</v>
      </c>
      <c r="D446" s="1084" t="s">
        <v>53</v>
      </c>
      <c r="E446" s="4" t="s">
        <v>25</v>
      </c>
      <c r="F446" s="26">
        <v>6859.7064</v>
      </c>
      <c r="G446" s="26">
        <v>48.0</v>
      </c>
      <c r="H446" s="26">
        <v>329265.9072</v>
      </c>
      <c r="I446" s="4"/>
      <c r="J446" s="4"/>
      <c r="K446" s="4"/>
      <c r="L446" s="4"/>
      <c r="M446" s="4"/>
      <c r="N446" s="107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1083" t="s">
        <v>2436</v>
      </c>
      <c r="C447" s="1083" t="s">
        <v>2709</v>
      </c>
      <c r="D447" s="1084" t="s">
        <v>115</v>
      </c>
      <c r="E447" s="4" t="s">
        <v>25</v>
      </c>
      <c r="F447" s="26">
        <v>5316.1872</v>
      </c>
      <c r="G447" s="26">
        <v>24.0</v>
      </c>
      <c r="H447" s="26">
        <v>127588.4928</v>
      </c>
      <c r="I447" s="4"/>
      <c r="J447" s="4"/>
      <c r="K447" s="4"/>
      <c r="L447" s="4"/>
      <c r="M447" s="4"/>
      <c r="N447" s="107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1083" t="s">
        <v>2437</v>
      </c>
      <c r="C448" s="1083" t="s">
        <v>2709</v>
      </c>
      <c r="D448" s="1084" t="s">
        <v>157</v>
      </c>
      <c r="E448" s="4" t="s">
        <v>25</v>
      </c>
      <c r="F448" s="26">
        <v>5071.5432</v>
      </c>
      <c r="G448" s="26">
        <v>14.0</v>
      </c>
      <c r="H448" s="26">
        <v>71001.6048</v>
      </c>
      <c r="I448" s="4"/>
      <c r="J448" s="4"/>
      <c r="K448" s="4"/>
      <c r="L448" s="4"/>
      <c r="M448" s="4"/>
      <c r="N448" s="107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1083" t="s">
        <v>2438</v>
      </c>
      <c r="C449" s="1083" t="s">
        <v>2709</v>
      </c>
      <c r="D449" s="1084" t="s">
        <v>274</v>
      </c>
      <c r="E449" s="4" t="s">
        <v>25</v>
      </c>
      <c r="F449" s="26">
        <v>3826.6775999999995</v>
      </c>
      <c r="G449" s="26">
        <v>32.0</v>
      </c>
      <c r="H449" s="26">
        <v>122453.68319999998</v>
      </c>
      <c r="I449" s="4"/>
      <c r="J449" s="4"/>
      <c r="K449" s="4"/>
      <c r="L449" s="4"/>
      <c r="M449" s="4"/>
      <c r="N449" s="107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1083" t="s">
        <v>2439</v>
      </c>
      <c r="C450" s="1083" t="s">
        <v>2709</v>
      </c>
      <c r="D450" s="1084" t="s">
        <v>70</v>
      </c>
      <c r="E450" s="4" t="s">
        <v>25</v>
      </c>
      <c r="F450" s="26">
        <v>10236.2112</v>
      </c>
      <c r="G450" s="26">
        <v>20.0</v>
      </c>
      <c r="H450" s="26">
        <v>204724.224</v>
      </c>
      <c r="I450" s="4"/>
      <c r="J450" s="4"/>
      <c r="K450" s="4"/>
      <c r="L450" s="4"/>
      <c r="M450" s="4"/>
      <c r="N450" s="107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1083" t="s">
        <v>2440</v>
      </c>
      <c r="C451" s="1083" t="s">
        <v>2709</v>
      </c>
      <c r="D451" s="1084" t="s">
        <v>90</v>
      </c>
      <c r="E451" s="4" t="s">
        <v>25</v>
      </c>
      <c r="F451" s="26">
        <v>5000.3424</v>
      </c>
      <c r="G451" s="26">
        <v>108.0</v>
      </c>
      <c r="H451" s="26">
        <v>540036.9792000001</v>
      </c>
      <c r="I451" s="4"/>
      <c r="J451" s="4"/>
      <c r="K451" s="4"/>
      <c r="L451" s="4"/>
      <c r="M451" s="4"/>
      <c r="N451" s="107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1083" t="s">
        <v>2441</v>
      </c>
      <c r="C452" s="1083" t="s">
        <v>2709</v>
      </c>
      <c r="D452" s="1084" t="s">
        <v>137</v>
      </c>
      <c r="E452" s="4" t="s">
        <v>25</v>
      </c>
      <c r="F452" s="26">
        <v>4214.2104</v>
      </c>
      <c r="G452" s="26">
        <v>70.0</v>
      </c>
      <c r="H452" s="26">
        <v>294994.728</v>
      </c>
      <c r="I452" s="4"/>
      <c r="J452" s="4"/>
      <c r="K452" s="4"/>
      <c r="L452" s="4"/>
      <c r="M452" s="4"/>
      <c r="N452" s="107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1083" t="s">
        <v>2442</v>
      </c>
      <c r="C453" s="1083" t="s">
        <v>2709</v>
      </c>
      <c r="D453" s="1084" t="s">
        <v>176</v>
      </c>
      <c r="E453" s="4" t="s">
        <v>25</v>
      </c>
      <c r="F453" s="26">
        <v>6423.1752</v>
      </c>
      <c r="G453" s="26">
        <v>38.0</v>
      </c>
      <c r="H453" s="26">
        <v>244080.65759999998</v>
      </c>
      <c r="I453" s="4"/>
      <c r="J453" s="4"/>
      <c r="K453" s="4"/>
      <c r="L453" s="4"/>
      <c r="M453" s="4"/>
      <c r="N453" s="107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1083" t="s">
        <v>2443</v>
      </c>
      <c r="C454" s="1083" t="s">
        <v>2709</v>
      </c>
      <c r="D454" s="1084" t="s">
        <v>395</v>
      </c>
      <c r="E454" s="4" t="s">
        <v>25</v>
      </c>
      <c r="F454" s="26">
        <v>1864.5143999999998</v>
      </c>
      <c r="G454" s="26">
        <v>0.0</v>
      </c>
      <c r="H454" s="26">
        <v>0.0</v>
      </c>
      <c r="I454" s="4"/>
      <c r="J454" s="4"/>
      <c r="K454" s="4"/>
      <c r="L454" s="4"/>
      <c r="M454" s="4"/>
      <c r="N454" s="107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1083" t="s">
        <v>2444</v>
      </c>
      <c r="C455" s="1083" t="s">
        <v>2709</v>
      </c>
      <c r="D455" s="1084" t="s">
        <v>517</v>
      </c>
      <c r="E455" s="4" t="s">
        <v>25</v>
      </c>
      <c r="F455" s="26">
        <v>6134.4048</v>
      </c>
      <c r="G455" s="26">
        <v>0.0</v>
      </c>
      <c r="H455" s="26">
        <v>0.0</v>
      </c>
      <c r="I455" s="4"/>
      <c r="J455" s="4"/>
      <c r="K455" s="4"/>
      <c r="L455" s="4"/>
      <c r="M455" s="4"/>
      <c r="N455" s="107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1083" t="s">
        <v>2445</v>
      </c>
      <c r="C456" s="1083" t="s">
        <v>2709</v>
      </c>
      <c r="D456" s="1084" t="s">
        <v>826</v>
      </c>
      <c r="E456" s="4" t="s">
        <v>25</v>
      </c>
      <c r="F456" s="26">
        <v>5307.0696</v>
      </c>
      <c r="G456" s="26">
        <v>0.0</v>
      </c>
      <c r="H456" s="26">
        <v>0.0</v>
      </c>
      <c r="I456" s="4"/>
      <c r="J456" s="4"/>
      <c r="K456" s="4"/>
      <c r="L456" s="4"/>
      <c r="M456" s="4"/>
      <c r="N456" s="107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1083" t="s">
        <v>2447</v>
      </c>
      <c r="C457" s="1083" t="s">
        <v>2709</v>
      </c>
      <c r="D457" s="1084" t="s">
        <v>93</v>
      </c>
      <c r="E457" s="4" t="s">
        <v>25</v>
      </c>
      <c r="F457" s="26">
        <v>2853.4608000000003</v>
      </c>
      <c r="G457" s="26">
        <v>0.0</v>
      </c>
      <c r="H457" s="26">
        <v>0.0</v>
      </c>
      <c r="I457" s="4"/>
      <c r="J457" s="4"/>
      <c r="K457" s="4"/>
      <c r="L457" s="4"/>
      <c r="M457" s="4"/>
      <c r="N457" s="107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1083" t="s">
        <v>2448</v>
      </c>
      <c r="C458" s="1083" t="s">
        <v>2723</v>
      </c>
      <c r="D458" s="1084" t="s">
        <v>404</v>
      </c>
      <c r="E458" s="4" t="s">
        <v>25</v>
      </c>
      <c r="F458" s="26">
        <v>16629.4584</v>
      </c>
      <c r="G458" s="26">
        <v>2.0</v>
      </c>
      <c r="H458" s="26">
        <v>33258.9168</v>
      </c>
      <c r="I458" s="4"/>
      <c r="J458" s="4"/>
      <c r="K458" s="4"/>
      <c r="L458" s="4"/>
      <c r="M458" s="4"/>
      <c r="N458" s="107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1083" t="s">
        <v>2450</v>
      </c>
      <c r="C459" s="1083" t="s">
        <v>2709</v>
      </c>
      <c r="D459" s="1084" t="s">
        <v>1092</v>
      </c>
      <c r="E459" s="4" t="s">
        <v>25</v>
      </c>
      <c r="F459" s="26">
        <v>1246.7448</v>
      </c>
      <c r="G459" s="26">
        <v>0.0</v>
      </c>
      <c r="H459" s="26">
        <v>0.0</v>
      </c>
      <c r="I459" s="4"/>
      <c r="J459" s="4"/>
      <c r="K459" s="4"/>
      <c r="L459" s="4"/>
      <c r="M459" s="4"/>
      <c r="N459" s="107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1083" t="s">
        <v>2452</v>
      </c>
      <c r="C460" s="1083" t="s">
        <v>2709</v>
      </c>
      <c r="D460" s="1084" t="s">
        <v>931</v>
      </c>
      <c r="E460" s="4" t="s">
        <v>25</v>
      </c>
      <c r="F460" s="26">
        <v>2254.7616</v>
      </c>
      <c r="G460" s="26">
        <v>0.0</v>
      </c>
      <c r="H460" s="26">
        <v>0.0</v>
      </c>
      <c r="I460" s="4"/>
      <c r="J460" s="4"/>
      <c r="K460" s="4"/>
      <c r="L460" s="4"/>
      <c r="M460" s="4"/>
      <c r="N460" s="107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1083" t="s">
        <v>2453</v>
      </c>
      <c r="C461" s="1083" t="s">
        <v>2709</v>
      </c>
      <c r="D461" s="1084" t="s">
        <v>646</v>
      </c>
      <c r="E461" s="4" t="s">
        <v>25</v>
      </c>
      <c r="F461" s="26">
        <v>19192.4784</v>
      </c>
      <c r="G461" s="26">
        <v>0.0</v>
      </c>
      <c r="H461" s="26">
        <v>0.0</v>
      </c>
      <c r="I461" s="4"/>
      <c r="J461" s="4"/>
      <c r="K461" s="4"/>
      <c r="L461" s="4"/>
      <c r="M461" s="4"/>
      <c r="N461" s="107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1083" t="s">
        <v>2454</v>
      </c>
      <c r="C462" s="1083" t="s">
        <v>2709</v>
      </c>
      <c r="D462" s="1084" t="s">
        <v>401</v>
      </c>
      <c r="E462" s="4" t="s">
        <v>25</v>
      </c>
      <c r="F462" s="26">
        <v>742.4928</v>
      </c>
      <c r="G462" s="26">
        <v>0.0</v>
      </c>
      <c r="H462" s="26">
        <v>0.0</v>
      </c>
      <c r="I462" s="4"/>
      <c r="J462" s="4"/>
      <c r="K462" s="4"/>
      <c r="L462" s="4"/>
      <c r="M462" s="4"/>
      <c r="N462" s="107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1083" t="s">
        <v>2455</v>
      </c>
      <c r="C463" s="1083" t="s">
        <v>2709</v>
      </c>
      <c r="D463" s="1084" t="s">
        <v>759</v>
      </c>
      <c r="E463" s="4" t="s">
        <v>25</v>
      </c>
      <c r="F463" s="26">
        <v>6517.1352</v>
      </c>
      <c r="G463" s="26">
        <v>2.0</v>
      </c>
      <c r="H463" s="26">
        <v>13034.2704</v>
      </c>
      <c r="I463" s="4"/>
      <c r="J463" s="4"/>
      <c r="K463" s="4"/>
      <c r="L463" s="4"/>
      <c r="M463" s="4"/>
      <c r="N463" s="107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1083" t="s">
        <v>2457</v>
      </c>
      <c r="C464" s="1083" t="s">
        <v>2709</v>
      </c>
      <c r="D464" s="1084" t="s">
        <v>1005</v>
      </c>
      <c r="E464" s="4" t="s">
        <v>25</v>
      </c>
      <c r="F464" s="26">
        <v>2665.0536</v>
      </c>
      <c r="G464" s="26">
        <v>2.0</v>
      </c>
      <c r="H464" s="26">
        <v>5330.1072</v>
      </c>
      <c r="I464" s="4"/>
      <c r="J464" s="4"/>
      <c r="K464" s="4"/>
      <c r="L464" s="4"/>
      <c r="M464" s="4"/>
      <c r="N464" s="107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1083" t="s">
        <v>2458</v>
      </c>
      <c r="C465" s="1083" t="s">
        <v>2709</v>
      </c>
      <c r="D465" s="1084" t="s">
        <v>244</v>
      </c>
      <c r="E465" s="4" t="s">
        <v>25</v>
      </c>
      <c r="F465" s="26">
        <v>2262.2088</v>
      </c>
      <c r="G465" s="26">
        <v>50.0</v>
      </c>
      <c r="H465" s="26">
        <v>113110.43999999999</v>
      </c>
      <c r="I465" s="26"/>
      <c r="J465" s="4"/>
      <c r="K465" s="4"/>
      <c r="L465" s="4"/>
      <c r="M465" s="4"/>
      <c r="N465" s="107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1083" t="s">
        <v>2459</v>
      </c>
      <c r="C466" s="1083" t="s">
        <v>2709</v>
      </c>
      <c r="D466" s="1084" t="s">
        <v>662</v>
      </c>
      <c r="E466" s="4" t="s">
        <v>25</v>
      </c>
      <c r="F466" s="26">
        <v>11870.4888</v>
      </c>
      <c r="G466" s="26">
        <v>3.0</v>
      </c>
      <c r="H466" s="26">
        <v>35611.4664</v>
      </c>
      <c r="I466" s="26"/>
      <c r="J466" s="4"/>
      <c r="K466" s="4"/>
      <c r="L466" s="4"/>
      <c r="M466" s="4"/>
      <c r="N466" s="107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1083" t="s">
        <v>2460</v>
      </c>
      <c r="C467" s="1083" t="s">
        <v>2723</v>
      </c>
      <c r="D467" s="1084" t="s">
        <v>809</v>
      </c>
      <c r="E467" s="4" t="s">
        <v>25</v>
      </c>
      <c r="F467" s="26">
        <v>1968.0792</v>
      </c>
      <c r="G467" s="26">
        <v>6.0</v>
      </c>
      <c r="H467" s="26">
        <v>11808.475199999999</v>
      </c>
      <c r="I467" s="26"/>
      <c r="J467" s="4"/>
      <c r="K467" s="4"/>
      <c r="L467" s="4"/>
      <c r="M467" s="4"/>
      <c r="N467" s="107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1083" t="s">
        <v>2461</v>
      </c>
      <c r="C468" s="1083" t="s">
        <v>2709</v>
      </c>
      <c r="D468" s="1084" t="s">
        <v>3063</v>
      </c>
      <c r="E468" s="4" t="s">
        <v>25</v>
      </c>
      <c r="F468" s="26">
        <v>237.96239999999997</v>
      </c>
      <c r="G468" s="26">
        <v>6.0</v>
      </c>
      <c r="H468" s="26">
        <v>1427.7743999999998</v>
      </c>
      <c r="I468" s="26"/>
      <c r="J468" s="4"/>
      <c r="K468" s="4"/>
      <c r="L468" s="4"/>
      <c r="M468" s="4"/>
      <c r="N468" s="107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1083" t="s">
        <v>2463</v>
      </c>
      <c r="C469" s="1083" t="s">
        <v>2723</v>
      </c>
      <c r="D469" s="1084" t="s">
        <v>939</v>
      </c>
      <c r="E469" s="4" t="s">
        <v>25</v>
      </c>
      <c r="F469" s="26">
        <v>3298.6223999999997</v>
      </c>
      <c r="G469" s="26">
        <v>0.0</v>
      </c>
      <c r="H469" s="26">
        <v>0.0</v>
      </c>
      <c r="I469" s="26"/>
      <c r="J469" s="4"/>
      <c r="K469" s="4"/>
      <c r="L469" s="4"/>
      <c r="M469" s="4"/>
      <c r="N469" s="107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1083" t="s">
        <v>2465</v>
      </c>
      <c r="C470" s="1083" t="s">
        <v>2723</v>
      </c>
      <c r="D470" s="1084" t="s">
        <v>1277</v>
      </c>
      <c r="E470" s="4" t="s">
        <v>25</v>
      </c>
      <c r="F470" s="26">
        <v>1113.1824</v>
      </c>
      <c r="G470" s="26">
        <v>1.0</v>
      </c>
      <c r="H470" s="26">
        <v>1113.1824</v>
      </c>
      <c r="I470" s="26"/>
      <c r="J470" s="4"/>
      <c r="K470" s="4"/>
      <c r="L470" s="4"/>
      <c r="M470" s="4"/>
      <c r="N470" s="107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1083" t="s">
        <v>2467</v>
      </c>
      <c r="C471" s="1083" t="s">
        <v>2709</v>
      </c>
      <c r="D471" s="1084" t="s">
        <v>792</v>
      </c>
      <c r="E471" s="4" t="s">
        <v>25</v>
      </c>
      <c r="F471" s="26">
        <v>182.5608</v>
      </c>
      <c r="G471" s="26">
        <v>0.0</v>
      </c>
      <c r="H471" s="26">
        <v>0.0</v>
      </c>
      <c r="I471" s="26"/>
      <c r="J471" s="4"/>
      <c r="K471" s="4"/>
      <c r="L471" s="4"/>
      <c r="M471" s="4"/>
      <c r="N471" s="107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1083" t="s">
        <v>2468</v>
      </c>
      <c r="C472" s="1083" t="s">
        <v>2709</v>
      </c>
      <c r="D472" s="1084" t="s">
        <v>682</v>
      </c>
      <c r="E472" s="4" t="s">
        <v>25</v>
      </c>
      <c r="F472" s="26">
        <v>258.0072</v>
      </c>
      <c r="G472" s="26">
        <v>0.0</v>
      </c>
      <c r="H472" s="26">
        <v>0.0</v>
      </c>
      <c r="I472" s="26"/>
      <c r="J472" s="4"/>
      <c r="K472" s="4"/>
      <c r="L472" s="4"/>
      <c r="M472" s="4"/>
      <c r="N472" s="107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1083" t="s">
        <v>2469</v>
      </c>
      <c r="C473" s="1083" t="s">
        <v>2709</v>
      </c>
      <c r="D473" s="1084" t="s">
        <v>359</v>
      </c>
      <c r="E473" s="4" t="s">
        <v>25</v>
      </c>
      <c r="F473" s="26">
        <v>19520.085600000002</v>
      </c>
      <c r="G473" s="26">
        <v>2.0</v>
      </c>
      <c r="H473" s="26">
        <v>39040.171200000004</v>
      </c>
      <c r="I473" s="26"/>
      <c r="J473" s="4"/>
      <c r="K473" s="4"/>
      <c r="L473" s="4"/>
      <c r="M473" s="4"/>
      <c r="N473" s="107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1083" t="s">
        <v>2471</v>
      </c>
      <c r="C474" s="1083" t="s">
        <v>2723</v>
      </c>
      <c r="D474" s="1084" t="s">
        <v>3257</v>
      </c>
      <c r="E474" s="4" t="s">
        <v>25</v>
      </c>
      <c r="F474" s="26">
        <v>67.9992</v>
      </c>
      <c r="G474" s="26">
        <v>0.0</v>
      </c>
      <c r="H474" s="26">
        <v>0.0</v>
      </c>
      <c r="I474" s="26"/>
      <c r="J474" s="4"/>
      <c r="K474" s="4"/>
      <c r="L474" s="4"/>
      <c r="M474" s="4"/>
      <c r="N474" s="107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1083" t="s">
        <v>2473</v>
      </c>
      <c r="C475" s="1083" t="s">
        <v>2709</v>
      </c>
      <c r="D475" s="1084" t="s">
        <v>353</v>
      </c>
      <c r="E475" s="4" t="s">
        <v>25</v>
      </c>
      <c r="F475" s="26">
        <v>2489.7312</v>
      </c>
      <c r="G475" s="26">
        <v>17.0</v>
      </c>
      <c r="H475" s="26">
        <v>42325.4304</v>
      </c>
      <c r="I475" s="26"/>
      <c r="J475" s="4"/>
      <c r="K475" s="4"/>
      <c r="L475" s="4"/>
      <c r="M475" s="4"/>
      <c r="N475" s="107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1083" t="s">
        <v>2475</v>
      </c>
      <c r="C476" s="1083" t="s">
        <v>2709</v>
      </c>
      <c r="D476" s="1084" t="s">
        <v>729</v>
      </c>
      <c r="E476" s="4" t="s">
        <v>25</v>
      </c>
      <c r="F476" s="26">
        <v>1949.3567999999998</v>
      </c>
      <c r="G476" s="26">
        <v>15.0</v>
      </c>
      <c r="H476" s="26">
        <v>29240.351999999995</v>
      </c>
      <c r="I476" s="26"/>
      <c r="J476" s="4"/>
      <c r="K476" s="4"/>
      <c r="L476" s="4"/>
      <c r="M476" s="4"/>
      <c r="N476" s="107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1083" t="s">
        <v>2476</v>
      </c>
      <c r="C477" s="1083" t="s">
        <v>2855</v>
      </c>
      <c r="D477" s="1084" t="s">
        <v>40</v>
      </c>
      <c r="E477" s="4" t="s">
        <v>25</v>
      </c>
      <c r="F477" s="26">
        <v>1336.1112</v>
      </c>
      <c r="G477" s="26">
        <v>200.0</v>
      </c>
      <c r="H477" s="26">
        <v>267222.24</v>
      </c>
      <c r="I477" s="26"/>
      <c r="J477" s="4"/>
      <c r="K477" s="4"/>
      <c r="L477" s="4"/>
      <c r="M477" s="4"/>
      <c r="N477" s="107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1083" t="s">
        <v>2477</v>
      </c>
      <c r="C478" s="1083" t="s">
        <v>2723</v>
      </c>
      <c r="D478" s="1084" t="s">
        <v>688</v>
      </c>
      <c r="E478" s="4" t="s">
        <v>25</v>
      </c>
      <c r="F478" s="26">
        <v>3687.7560000000003</v>
      </c>
      <c r="G478" s="26">
        <v>4.0</v>
      </c>
      <c r="H478" s="26">
        <v>14751.024000000001</v>
      </c>
      <c r="I478" s="26"/>
      <c r="J478" s="4"/>
      <c r="K478" s="4"/>
      <c r="L478" s="4"/>
      <c r="M478" s="4"/>
      <c r="N478" s="107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1083" t="s">
        <v>2479</v>
      </c>
      <c r="C479" s="1083" t="s">
        <v>2709</v>
      </c>
      <c r="D479" s="1084" t="s">
        <v>268</v>
      </c>
      <c r="E479" s="4" t="s">
        <v>25</v>
      </c>
      <c r="F479" s="26">
        <v>452.60880000000003</v>
      </c>
      <c r="G479" s="26">
        <v>0.0</v>
      </c>
      <c r="H479" s="26">
        <v>0.0</v>
      </c>
      <c r="I479" s="26"/>
      <c r="J479" s="4"/>
      <c r="K479" s="4"/>
      <c r="L479" s="4"/>
      <c r="M479" s="4"/>
      <c r="N479" s="107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1083" t="s">
        <v>2481</v>
      </c>
      <c r="C480" s="1083" t="s">
        <v>2709</v>
      </c>
      <c r="D480" s="1084" t="s">
        <v>756</v>
      </c>
      <c r="E480" s="4" t="s">
        <v>25</v>
      </c>
      <c r="F480" s="26">
        <v>26302.2576</v>
      </c>
      <c r="G480" s="26">
        <v>1.0</v>
      </c>
      <c r="H480" s="26">
        <v>26302.2576</v>
      </c>
      <c r="I480" s="26"/>
      <c r="J480" s="4"/>
      <c r="K480" s="4"/>
      <c r="L480" s="4"/>
      <c r="M480" s="4"/>
      <c r="N480" s="107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1083" t="s">
        <v>3750</v>
      </c>
      <c r="C481" s="1087">
        <v>34110.0</v>
      </c>
      <c r="D481" s="4" t="s">
        <v>3751</v>
      </c>
      <c r="E481" s="4" t="s">
        <v>25</v>
      </c>
      <c r="F481" s="26">
        <v>7329.228</v>
      </c>
      <c r="G481" s="1094">
        <v>0.0</v>
      </c>
      <c r="H481" s="26">
        <v>0.0</v>
      </c>
      <c r="I481" s="26"/>
      <c r="J481" s="4"/>
      <c r="K481" s="4"/>
      <c r="L481" s="4"/>
      <c r="M481" s="4"/>
      <c r="N481" s="107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1083" t="s">
        <v>2486</v>
      </c>
      <c r="C482" s="1087">
        <v>34110.0</v>
      </c>
      <c r="D482" s="4" t="s">
        <v>3752</v>
      </c>
      <c r="E482" s="4" t="s">
        <v>25</v>
      </c>
      <c r="F482" s="26">
        <v>65747.988</v>
      </c>
      <c r="G482" s="1094">
        <v>0.0</v>
      </c>
      <c r="H482" s="26">
        <v>0.0</v>
      </c>
      <c r="I482" s="26"/>
      <c r="J482" s="4"/>
      <c r="K482" s="4"/>
      <c r="L482" s="4"/>
      <c r="M482" s="4"/>
      <c r="N482" s="107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1083" t="s">
        <v>567</v>
      </c>
      <c r="C483" s="1083" t="s">
        <v>2709</v>
      </c>
      <c r="D483" s="1084" t="s">
        <v>568</v>
      </c>
      <c r="E483" s="4" t="s">
        <v>25</v>
      </c>
      <c r="F483" s="26">
        <v>480.4488</v>
      </c>
      <c r="G483" s="26">
        <v>0.0</v>
      </c>
      <c r="H483" s="26">
        <v>0.0</v>
      </c>
      <c r="I483" s="26"/>
      <c r="J483" s="4"/>
      <c r="K483" s="4"/>
      <c r="L483" s="4"/>
      <c r="M483" s="4"/>
      <c r="N483" s="107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 t="s">
        <v>3753</v>
      </c>
      <c r="B484" s="1087"/>
      <c r="C484" s="1087"/>
      <c r="D484" s="4"/>
      <c r="E484" s="4"/>
      <c r="F484" s="4"/>
      <c r="G484" s="26">
        <v>51100.0</v>
      </c>
      <c r="H484" s="26">
        <v>1.5883785158400003E7</v>
      </c>
      <c r="I484" s="26"/>
      <c r="J484" s="4"/>
      <c r="K484" s="4"/>
      <c r="L484" s="4"/>
      <c r="M484" s="4"/>
      <c r="N484" s="107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>
        <v>13.0</v>
      </c>
      <c r="B485" s="1083" t="s">
        <v>3754</v>
      </c>
      <c r="C485" s="1087">
        <v>34110.0</v>
      </c>
      <c r="D485" s="4" t="s">
        <v>3755</v>
      </c>
      <c r="E485" s="4" t="s">
        <v>3031</v>
      </c>
      <c r="F485" s="26">
        <v>6550.67</v>
      </c>
      <c r="G485" s="1094">
        <v>0.0</v>
      </c>
      <c r="H485" s="26">
        <v>0.0</v>
      </c>
      <c r="I485" s="26"/>
      <c r="J485" s="4"/>
      <c r="K485" s="4"/>
      <c r="L485" s="4"/>
      <c r="M485" s="4"/>
      <c r="N485" s="107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1083" t="s">
        <v>3693</v>
      </c>
      <c r="C486" s="1087">
        <v>34110.0</v>
      </c>
      <c r="D486" s="4" t="s">
        <v>3756</v>
      </c>
      <c r="E486" s="4" t="s">
        <v>3031</v>
      </c>
      <c r="F486" s="26">
        <v>10274.0</v>
      </c>
      <c r="G486" s="1094">
        <v>28.0</v>
      </c>
      <c r="H486" s="26">
        <v>287672.0</v>
      </c>
      <c r="I486" s="26"/>
      <c r="J486" s="4"/>
      <c r="K486" s="4"/>
      <c r="L486" s="4"/>
      <c r="M486" s="4"/>
      <c r="N486" s="107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1083" t="s">
        <v>3757</v>
      </c>
      <c r="C487" s="1087">
        <v>34110.0</v>
      </c>
      <c r="D487" s="4" t="s">
        <v>3758</v>
      </c>
      <c r="E487" s="4" t="s">
        <v>3759</v>
      </c>
      <c r="F487" s="26">
        <v>6196.0</v>
      </c>
      <c r="G487" s="1094">
        <v>4.0</v>
      </c>
      <c r="H487" s="26">
        <v>24784.0</v>
      </c>
      <c r="I487" s="26"/>
      <c r="J487" s="4"/>
      <c r="K487" s="4"/>
      <c r="L487" s="4"/>
      <c r="M487" s="4"/>
      <c r="N487" s="107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1083" t="s">
        <v>3704</v>
      </c>
      <c r="C488" s="1087">
        <v>34110.0</v>
      </c>
      <c r="D488" s="4" t="s">
        <v>3760</v>
      </c>
      <c r="E488" s="4" t="s">
        <v>3759</v>
      </c>
      <c r="F488" s="26">
        <v>2885.0</v>
      </c>
      <c r="G488" s="1094">
        <v>160.0</v>
      </c>
      <c r="H488" s="26">
        <v>461600.0</v>
      </c>
      <c r="I488" s="26"/>
      <c r="J488" s="4"/>
      <c r="K488" s="4"/>
      <c r="L488" s="4"/>
      <c r="M488" s="4"/>
      <c r="N488" s="107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1083" t="s">
        <v>3761</v>
      </c>
      <c r="C489" s="1087">
        <v>34110.0</v>
      </c>
      <c r="D489" s="4" t="s">
        <v>3762</v>
      </c>
      <c r="E489" s="4" t="s">
        <v>3759</v>
      </c>
      <c r="F489" s="26">
        <v>4715.0</v>
      </c>
      <c r="G489" s="1094">
        <v>19.0</v>
      </c>
      <c r="H489" s="26">
        <v>89585.0</v>
      </c>
      <c r="I489" s="26"/>
      <c r="J489" s="4"/>
      <c r="K489" s="4"/>
      <c r="L489" s="4"/>
      <c r="M489" s="4"/>
      <c r="N489" s="107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1083" t="s">
        <v>3763</v>
      </c>
      <c r="C490" s="1087">
        <v>34110.0</v>
      </c>
      <c r="D490" s="4" t="s">
        <v>3764</v>
      </c>
      <c r="E490" s="4" t="s">
        <v>25</v>
      </c>
      <c r="F490" s="26">
        <v>3967.0</v>
      </c>
      <c r="G490" s="1094">
        <v>12.0</v>
      </c>
      <c r="H490" s="26">
        <v>47604.0</v>
      </c>
      <c r="I490" s="26"/>
      <c r="J490" s="4"/>
      <c r="K490" s="4"/>
      <c r="L490" s="4"/>
      <c r="M490" s="4"/>
      <c r="N490" s="107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 t="s">
        <v>3765</v>
      </c>
      <c r="B491" s="1087"/>
      <c r="C491" s="1087"/>
      <c r="D491" s="4"/>
      <c r="E491" s="4"/>
      <c r="F491" s="4"/>
      <c r="G491" s="1094">
        <v>223.0</v>
      </c>
      <c r="H491" s="26">
        <v>911245.0</v>
      </c>
      <c r="I491" s="26"/>
      <c r="J491" s="4"/>
      <c r="K491" s="4"/>
      <c r="L491" s="4"/>
      <c r="M491" s="4"/>
      <c r="N491" s="107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>
        <v>14.0</v>
      </c>
      <c r="B492" s="1083" t="s">
        <v>3766</v>
      </c>
      <c r="C492" s="1087">
        <v>34110.0</v>
      </c>
      <c r="D492" s="4" t="s">
        <v>3767</v>
      </c>
      <c r="E492" s="4" t="s">
        <v>25</v>
      </c>
      <c r="F492" s="26">
        <v>489.45</v>
      </c>
      <c r="G492" s="1094">
        <v>704.715</v>
      </c>
      <c r="H492" s="26">
        <v>344922.75675</v>
      </c>
      <c r="I492" s="26"/>
      <c r="J492" s="4"/>
      <c r="K492" s="4"/>
      <c r="L492" s="4"/>
      <c r="M492" s="4"/>
      <c r="N492" s="107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 t="s">
        <v>3768</v>
      </c>
      <c r="B493" s="1087"/>
      <c r="C493" s="1087"/>
      <c r="D493" s="4"/>
      <c r="E493" s="4"/>
      <c r="F493" s="4"/>
      <c r="G493" s="1094">
        <v>704.715</v>
      </c>
      <c r="H493" s="26">
        <v>344922.75675</v>
      </c>
      <c r="I493" s="26"/>
      <c r="J493" s="4"/>
      <c r="K493" s="4"/>
      <c r="L493" s="4"/>
      <c r="M493" s="4"/>
      <c r="N493" s="107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>
        <v>31.0</v>
      </c>
      <c r="B494" s="1083" t="s">
        <v>3769</v>
      </c>
      <c r="C494" s="1087">
        <v>34110.0</v>
      </c>
      <c r="D494" s="4" t="s">
        <v>3770</v>
      </c>
      <c r="E494" s="4" t="s">
        <v>25</v>
      </c>
      <c r="F494" s="26">
        <v>55.0</v>
      </c>
      <c r="G494" s="1094">
        <v>100.0</v>
      </c>
      <c r="H494" s="26">
        <v>5500.0</v>
      </c>
      <c r="I494" s="26"/>
      <c r="J494" s="4"/>
      <c r="K494" s="4"/>
      <c r="L494" s="4"/>
      <c r="M494" s="4"/>
      <c r="N494" s="107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 t="s">
        <v>3771</v>
      </c>
      <c r="B495" s="1087"/>
      <c r="C495" s="1087"/>
      <c r="D495" s="4"/>
      <c r="E495" s="4"/>
      <c r="F495" s="4"/>
      <c r="G495" s="1094">
        <v>100.0</v>
      </c>
      <c r="H495" s="26">
        <v>5500.0</v>
      </c>
      <c r="I495" s="26"/>
      <c r="J495" s="4"/>
      <c r="K495" s="4"/>
      <c r="L495" s="4"/>
      <c r="M495" s="4"/>
      <c r="N495" s="107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>
        <v>38.0</v>
      </c>
      <c r="B496" s="1083"/>
      <c r="C496" s="1083" t="s">
        <v>2709</v>
      </c>
      <c r="D496" s="1084" t="s">
        <v>3288</v>
      </c>
      <c r="E496" s="4" t="s">
        <v>25</v>
      </c>
      <c r="F496" s="26">
        <v>594.5</v>
      </c>
      <c r="G496" s="26">
        <v>60.0</v>
      </c>
      <c r="H496" s="26">
        <v>35670.0</v>
      </c>
      <c r="I496" s="26"/>
      <c r="J496" s="4"/>
      <c r="K496" s="4"/>
      <c r="L496" s="4"/>
      <c r="M496" s="4"/>
      <c r="N496" s="107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1087"/>
      <c r="C497" s="1087"/>
      <c r="D497" s="1084" t="s">
        <v>3276</v>
      </c>
      <c r="E497" s="4" t="s">
        <v>25</v>
      </c>
      <c r="F497" s="26">
        <v>3500.0</v>
      </c>
      <c r="G497" s="26">
        <v>50.0</v>
      </c>
      <c r="H497" s="26">
        <v>175000.0</v>
      </c>
      <c r="I497" s="26"/>
      <c r="J497" s="4"/>
      <c r="K497" s="4"/>
      <c r="L497" s="4"/>
      <c r="M497" s="4"/>
      <c r="N497" s="107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 t="s">
        <v>3772</v>
      </c>
      <c r="B498" s="1087"/>
      <c r="C498" s="1087"/>
      <c r="D498" s="4"/>
      <c r="E498" s="4"/>
      <c r="F498" s="4"/>
      <c r="G498" s="26">
        <v>110.0</v>
      </c>
      <c r="H498" s="26">
        <v>210670.0</v>
      </c>
      <c r="I498" s="26"/>
      <c r="J498" s="4"/>
      <c r="K498" s="4"/>
      <c r="L498" s="4"/>
      <c r="M498" s="4"/>
      <c r="N498" s="107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>
        <v>39.0</v>
      </c>
      <c r="B499" s="1083"/>
      <c r="C499" s="1083" t="s">
        <v>2723</v>
      </c>
      <c r="D499" s="1084" t="s">
        <v>3124</v>
      </c>
      <c r="E499" s="4" t="s">
        <v>25</v>
      </c>
      <c r="F499" s="26">
        <v>1154.0</v>
      </c>
      <c r="G499" s="26">
        <v>12.0</v>
      </c>
      <c r="H499" s="26">
        <v>13848.0</v>
      </c>
      <c r="I499" s="26"/>
      <c r="J499" s="4"/>
      <c r="K499" s="4"/>
      <c r="L499" s="4"/>
      <c r="M499" s="4"/>
      <c r="N499" s="107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1087"/>
      <c r="C500" s="1087"/>
      <c r="D500" s="1084" t="s">
        <v>3139</v>
      </c>
      <c r="E500" s="4" t="s">
        <v>25</v>
      </c>
      <c r="F500" s="26">
        <v>1850.0</v>
      </c>
      <c r="G500" s="26">
        <v>40.0</v>
      </c>
      <c r="H500" s="26">
        <v>74000.0</v>
      </c>
      <c r="I500" s="26"/>
      <c r="J500" s="4"/>
      <c r="K500" s="4"/>
      <c r="L500" s="4"/>
      <c r="M500" s="4"/>
      <c r="N500" s="107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1083">
        <v>0.0</v>
      </c>
      <c r="C501" s="1083" t="s">
        <v>2723</v>
      </c>
      <c r="D501" s="1084" t="s">
        <v>3279</v>
      </c>
      <c r="E501" s="4" t="s">
        <v>25</v>
      </c>
      <c r="F501" s="26">
        <v>205.0</v>
      </c>
      <c r="G501" s="26">
        <v>655.0</v>
      </c>
      <c r="H501" s="26">
        <v>134275.0</v>
      </c>
      <c r="I501" s="26"/>
      <c r="J501" s="26"/>
      <c r="K501" s="4"/>
      <c r="L501" s="4"/>
      <c r="M501" s="4"/>
      <c r="N501" s="107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 t="s">
        <v>3773</v>
      </c>
      <c r="B502" s="1087"/>
      <c r="C502" s="1087"/>
      <c r="D502" s="4"/>
      <c r="E502" s="4"/>
      <c r="F502" s="4"/>
      <c r="G502" s="26">
        <v>707.0</v>
      </c>
      <c r="H502" s="26">
        <v>222123.0</v>
      </c>
      <c r="I502" s="26"/>
      <c r="J502" s="26"/>
      <c r="K502" s="4"/>
      <c r="L502" s="4"/>
      <c r="M502" s="4"/>
      <c r="N502" s="107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>
        <v>40.0</v>
      </c>
      <c r="B503" s="1083"/>
      <c r="C503" s="1083" t="s">
        <v>2709</v>
      </c>
      <c r="D503" s="1084" t="s">
        <v>3434</v>
      </c>
      <c r="E503" s="4" t="s">
        <v>25</v>
      </c>
      <c r="F503" s="26">
        <v>72.0</v>
      </c>
      <c r="G503" s="26">
        <v>2.0</v>
      </c>
      <c r="H503" s="26">
        <v>144.0</v>
      </c>
      <c r="I503" s="26"/>
      <c r="J503" s="26"/>
      <c r="K503" s="4"/>
      <c r="L503" s="4"/>
      <c r="M503" s="4"/>
      <c r="N503" s="107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1087"/>
      <c r="C504" s="1087"/>
      <c r="D504" s="1084" t="s">
        <v>3437</v>
      </c>
      <c r="E504" s="4" t="s">
        <v>25</v>
      </c>
      <c r="F504" s="26">
        <v>69.0</v>
      </c>
      <c r="G504" s="26">
        <v>2.0</v>
      </c>
      <c r="H504" s="26">
        <v>138.0</v>
      </c>
      <c r="I504" s="26"/>
      <c r="J504" s="26"/>
      <c r="K504" s="4"/>
      <c r="L504" s="4"/>
      <c r="M504" s="4"/>
      <c r="N504" s="107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1087"/>
      <c r="C505" s="1087"/>
      <c r="D505" s="1084" t="s">
        <v>3412</v>
      </c>
      <c r="E505" s="4" t="s">
        <v>25</v>
      </c>
      <c r="F505" s="26">
        <v>49.0</v>
      </c>
      <c r="G505" s="26">
        <v>64.0</v>
      </c>
      <c r="H505" s="26">
        <v>3136.0</v>
      </c>
      <c r="I505" s="26"/>
      <c r="J505" s="26"/>
      <c r="K505" s="4"/>
      <c r="L505" s="4"/>
      <c r="M505" s="4"/>
      <c r="N505" s="107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1087"/>
      <c r="C506" s="1087"/>
      <c r="D506" s="1084" t="s">
        <v>3429</v>
      </c>
      <c r="E506" s="4" t="s">
        <v>25</v>
      </c>
      <c r="F506" s="26">
        <v>56.0</v>
      </c>
      <c r="G506" s="26">
        <v>18.0</v>
      </c>
      <c r="H506" s="26">
        <v>1008.0</v>
      </c>
      <c r="I506" s="26"/>
      <c r="J506" s="26"/>
      <c r="K506" s="4"/>
      <c r="L506" s="4"/>
      <c r="M506" s="4"/>
      <c r="N506" s="107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1087"/>
      <c r="C507" s="1087"/>
      <c r="D507" s="1084" t="s">
        <v>3426</v>
      </c>
      <c r="E507" s="4" t="s">
        <v>25</v>
      </c>
      <c r="F507" s="26">
        <v>67.0</v>
      </c>
      <c r="G507" s="26">
        <v>18.0</v>
      </c>
      <c r="H507" s="26">
        <v>1206.0</v>
      </c>
      <c r="I507" s="26"/>
      <c r="J507" s="26"/>
      <c r="K507" s="4"/>
      <c r="L507" s="4"/>
      <c r="M507" s="4"/>
      <c r="N507" s="107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1087"/>
      <c r="C508" s="1087"/>
      <c r="D508" s="1084" t="s">
        <v>3422</v>
      </c>
      <c r="E508" s="4" t="s">
        <v>25</v>
      </c>
      <c r="F508" s="26">
        <v>67.0</v>
      </c>
      <c r="G508" s="26">
        <v>36.0</v>
      </c>
      <c r="H508" s="26">
        <v>2412.0</v>
      </c>
      <c r="I508" s="26"/>
      <c r="J508" s="26"/>
      <c r="K508" s="4"/>
      <c r="L508" s="4"/>
      <c r="M508" s="4"/>
      <c r="N508" s="107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1087"/>
      <c r="C509" s="1087"/>
      <c r="D509" s="1084" t="s">
        <v>3409</v>
      </c>
      <c r="E509" s="4" t="s">
        <v>25</v>
      </c>
      <c r="F509" s="26">
        <v>69.0</v>
      </c>
      <c r="G509" s="26">
        <v>63.0</v>
      </c>
      <c r="H509" s="26">
        <v>4347.0</v>
      </c>
      <c r="I509" s="26"/>
      <c r="J509" s="26"/>
      <c r="K509" s="4"/>
      <c r="L509" s="4"/>
      <c r="M509" s="4"/>
      <c r="N509" s="107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1087"/>
      <c r="C510" s="1087"/>
      <c r="D510" s="1084" t="s">
        <v>3414</v>
      </c>
      <c r="E510" s="4" t="s">
        <v>25</v>
      </c>
      <c r="F510" s="26">
        <v>94.0</v>
      </c>
      <c r="G510" s="26">
        <v>32.0</v>
      </c>
      <c r="H510" s="26">
        <v>3008.0</v>
      </c>
      <c r="I510" s="26"/>
      <c r="J510" s="26"/>
      <c r="K510" s="4"/>
      <c r="L510" s="4"/>
      <c r="M510" s="4"/>
      <c r="N510" s="107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1087"/>
      <c r="C511" s="1087"/>
      <c r="D511" s="1084" t="s">
        <v>3423</v>
      </c>
      <c r="E511" s="4" t="s">
        <v>25</v>
      </c>
      <c r="F511" s="26">
        <v>94.0</v>
      </c>
      <c r="G511" s="26">
        <v>22.0</v>
      </c>
      <c r="H511" s="26">
        <v>2068.0</v>
      </c>
      <c r="I511" s="26"/>
      <c r="J511" s="26"/>
      <c r="K511" s="4"/>
      <c r="L511" s="4"/>
      <c r="M511" s="4"/>
      <c r="N511" s="107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1087"/>
      <c r="C512" s="1087"/>
      <c r="D512" s="1084" t="s">
        <v>3418</v>
      </c>
      <c r="E512" s="4" t="s">
        <v>25</v>
      </c>
      <c r="F512" s="26">
        <v>127.0</v>
      </c>
      <c r="G512" s="26">
        <v>20.0</v>
      </c>
      <c r="H512" s="26">
        <v>2540.0</v>
      </c>
      <c r="I512" s="26"/>
      <c r="J512" s="26"/>
      <c r="K512" s="4"/>
      <c r="L512" s="4"/>
      <c r="M512" s="4"/>
      <c r="N512" s="107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1087"/>
      <c r="C513" s="1087"/>
      <c r="D513" s="1084" t="s">
        <v>3420</v>
      </c>
      <c r="E513" s="4" t="s">
        <v>25</v>
      </c>
      <c r="F513" s="26">
        <v>48.0</v>
      </c>
      <c r="G513" s="26">
        <v>52.0</v>
      </c>
      <c r="H513" s="26">
        <v>2496.0</v>
      </c>
      <c r="I513" s="26"/>
      <c r="J513" s="26"/>
      <c r="K513" s="4"/>
      <c r="L513" s="4"/>
      <c r="M513" s="4"/>
      <c r="N513" s="107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1087"/>
      <c r="C514" s="1087"/>
      <c r="D514" s="1084" t="s">
        <v>3405</v>
      </c>
      <c r="E514" s="4" t="s">
        <v>25</v>
      </c>
      <c r="F514" s="26">
        <v>112.0</v>
      </c>
      <c r="G514" s="26">
        <v>63.0</v>
      </c>
      <c r="H514" s="26">
        <v>7056.0</v>
      </c>
      <c r="I514" s="26"/>
      <c r="J514" s="26"/>
      <c r="K514" s="4"/>
      <c r="L514" s="4"/>
      <c r="M514" s="4"/>
      <c r="N514" s="107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1083">
        <v>0.0</v>
      </c>
      <c r="C515" s="1083" t="s">
        <v>2709</v>
      </c>
      <c r="D515" s="1084" t="s">
        <v>3299</v>
      </c>
      <c r="E515" s="4" t="s">
        <v>25</v>
      </c>
      <c r="F515" s="26">
        <v>66.0</v>
      </c>
      <c r="G515" s="26">
        <v>0.0</v>
      </c>
      <c r="H515" s="26">
        <v>0.0</v>
      </c>
      <c r="I515" s="26"/>
      <c r="J515" s="26"/>
      <c r="K515" s="4"/>
      <c r="L515" s="4"/>
      <c r="M515" s="4"/>
      <c r="N515" s="107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 t="s">
        <v>3774</v>
      </c>
      <c r="B516" s="1087"/>
      <c r="C516" s="1087"/>
      <c r="D516" s="4"/>
      <c r="E516" s="4"/>
      <c r="F516" s="4"/>
      <c r="G516" s="26">
        <v>392.0</v>
      </c>
      <c r="H516" s="26">
        <v>29559.0</v>
      </c>
      <c r="I516" s="26"/>
      <c r="J516" s="26"/>
      <c r="K516" s="4"/>
      <c r="L516" s="4"/>
      <c r="M516" s="4"/>
      <c r="N516" s="107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>
        <v>42.0</v>
      </c>
      <c r="B517" s="1083" t="s">
        <v>3721</v>
      </c>
      <c r="C517" s="1087">
        <v>34110.0</v>
      </c>
      <c r="D517" s="4" t="s">
        <v>3775</v>
      </c>
      <c r="E517" s="4" t="s">
        <v>25</v>
      </c>
      <c r="F517" s="26">
        <v>56.83</v>
      </c>
      <c r="G517" s="1094">
        <v>28.0</v>
      </c>
      <c r="H517" s="26">
        <v>1591.24</v>
      </c>
      <c r="I517" s="26"/>
      <c r="J517" s="26"/>
      <c r="K517" s="4"/>
      <c r="L517" s="4"/>
      <c r="M517" s="4"/>
      <c r="N517" s="107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 t="s">
        <v>3776</v>
      </c>
      <c r="B518" s="1087"/>
      <c r="C518" s="1087"/>
      <c r="D518" s="4"/>
      <c r="E518" s="4"/>
      <c r="F518" s="4"/>
      <c r="G518" s="1094">
        <v>28.0</v>
      </c>
      <c r="H518" s="26">
        <v>1591.24</v>
      </c>
      <c r="I518" s="26"/>
      <c r="J518" s="26"/>
      <c r="K518" s="4"/>
      <c r="L518" s="4"/>
      <c r="M518" s="4"/>
      <c r="N518" s="107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>
        <v>47.0</v>
      </c>
      <c r="B519" s="1083"/>
      <c r="C519" s="1083" t="s">
        <v>2709</v>
      </c>
      <c r="D519" s="1084" t="s">
        <v>3431</v>
      </c>
      <c r="E519" s="4" t="s">
        <v>25</v>
      </c>
      <c r="F519" s="26">
        <v>20.0</v>
      </c>
      <c r="G519" s="26">
        <v>42.0</v>
      </c>
      <c r="H519" s="26">
        <v>840.0</v>
      </c>
      <c r="I519" s="26"/>
      <c r="J519" s="26"/>
      <c r="K519" s="4"/>
      <c r="L519" s="4"/>
      <c r="M519" s="4"/>
      <c r="N519" s="107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 t="s">
        <v>3777</v>
      </c>
      <c r="B520" s="1087"/>
      <c r="C520" s="1087"/>
      <c r="D520" s="4"/>
      <c r="E520" s="4"/>
      <c r="F520" s="4"/>
      <c r="G520" s="26">
        <v>42.0</v>
      </c>
      <c r="H520" s="26">
        <v>840.0</v>
      </c>
      <c r="I520" s="26"/>
      <c r="J520" s="26"/>
      <c r="K520" s="4"/>
      <c r="L520" s="4"/>
      <c r="M520" s="4"/>
      <c r="N520" s="107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 t="s">
        <v>1815</v>
      </c>
      <c r="B521" s="1087"/>
      <c r="C521" s="1087"/>
      <c r="D521" s="4"/>
      <c r="E521" s="4"/>
      <c r="F521" s="4"/>
      <c r="G521" s="26">
        <v>54359.715</v>
      </c>
      <c r="H521" s="26">
        <v>1.768950293515E7</v>
      </c>
      <c r="I521" s="26"/>
      <c r="J521" s="26"/>
      <c r="K521" s="4"/>
      <c r="L521" s="4"/>
      <c r="M521" s="4"/>
      <c r="N521" s="107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1087"/>
      <c r="C522" s="1087"/>
      <c r="D522" s="4"/>
      <c r="E522" s="4"/>
      <c r="F522" s="4"/>
      <c r="G522" s="4"/>
      <c r="H522" s="4"/>
      <c r="I522" s="26"/>
      <c r="J522" s="26"/>
      <c r="K522" s="4"/>
      <c r="L522" s="4"/>
      <c r="M522" s="4"/>
      <c r="N522" s="107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1087"/>
      <c r="C523" s="1087"/>
      <c r="D523" s="4"/>
      <c r="E523" s="4"/>
      <c r="F523" s="4"/>
      <c r="G523" s="4"/>
      <c r="H523" s="4"/>
      <c r="I523" s="26"/>
      <c r="J523" s="26"/>
      <c r="K523" s="4"/>
      <c r="L523" s="4"/>
      <c r="M523" s="4"/>
      <c r="N523" s="107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1087"/>
      <c r="C524" s="1087"/>
      <c r="D524" s="4"/>
      <c r="E524" s="4"/>
      <c r="F524" s="4"/>
      <c r="G524" s="4"/>
      <c r="H524" s="4"/>
      <c r="I524" s="26"/>
      <c r="J524" s="26"/>
      <c r="K524" s="4"/>
      <c r="L524" s="4"/>
      <c r="M524" s="4"/>
      <c r="N524" s="107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1087"/>
      <c r="C525" s="1087"/>
      <c r="D525" s="4"/>
      <c r="E525" s="4"/>
      <c r="F525" s="4"/>
      <c r="G525" s="4"/>
      <c r="H525" s="4"/>
      <c r="I525" s="26"/>
      <c r="J525" s="26"/>
      <c r="K525" s="4"/>
      <c r="L525" s="4"/>
      <c r="M525" s="4"/>
      <c r="N525" s="107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1087"/>
      <c r="C526" s="1087"/>
      <c r="D526" s="4"/>
      <c r="E526" s="4"/>
      <c r="F526" s="4"/>
      <c r="G526" s="4"/>
      <c r="H526" s="4"/>
      <c r="I526" s="26"/>
      <c r="J526" s="26"/>
      <c r="K526" s="4"/>
      <c r="L526" s="4"/>
      <c r="M526" s="4"/>
      <c r="N526" s="107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1087"/>
      <c r="C527" s="1087"/>
      <c r="D527" s="4"/>
      <c r="E527" s="4"/>
      <c r="F527" s="4"/>
      <c r="G527" s="4"/>
      <c r="H527" s="4"/>
      <c r="I527" s="26"/>
      <c r="J527" s="26"/>
      <c r="K527" s="4"/>
      <c r="L527" s="4"/>
      <c r="M527" s="4"/>
      <c r="N527" s="107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1087"/>
      <c r="C528" s="1087"/>
      <c r="D528" s="4"/>
      <c r="E528" s="4"/>
      <c r="F528" s="4"/>
      <c r="G528" s="4"/>
      <c r="H528" s="4"/>
      <c r="I528" s="26"/>
      <c r="J528" s="26"/>
      <c r="K528" s="4"/>
      <c r="L528" s="4"/>
      <c r="M528" s="4"/>
      <c r="N528" s="107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1087"/>
      <c r="C529" s="1087"/>
      <c r="D529" s="4"/>
      <c r="E529" s="4"/>
      <c r="F529" s="4"/>
      <c r="G529" s="4"/>
      <c r="H529" s="4"/>
      <c r="I529" s="26"/>
      <c r="J529" s="26"/>
      <c r="K529" s="4"/>
      <c r="L529" s="4"/>
      <c r="M529" s="4"/>
      <c r="N529" s="107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1087"/>
      <c r="C530" s="1087"/>
      <c r="D530" s="4"/>
      <c r="E530" s="4"/>
      <c r="F530" s="4"/>
      <c r="G530" s="4"/>
      <c r="H530" s="4"/>
      <c r="I530" s="26"/>
      <c r="J530" s="26"/>
      <c r="K530" s="4"/>
      <c r="L530" s="4"/>
      <c r="M530" s="4"/>
      <c r="N530" s="107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1087"/>
      <c r="C531" s="1087"/>
      <c r="D531" s="4"/>
      <c r="E531" s="4"/>
      <c r="F531" s="4"/>
      <c r="G531" s="4"/>
      <c r="H531" s="4"/>
      <c r="I531" s="26"/>
      <c r="J531" s="26"/>
      <c r="K531" s="4"/>
      <c r="L531" s="4"/>
      <c r="M531" s="4"/>
      <c r="N531" s="107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1073"/>
      <c r="C532" s="1073"/>
      <c r="D532" s="4"/>
      <c r="E532" s="4"/>
      <c r="F532" s="4"/>
      <c r="G532" s="4"/>
      <c r="H532" s="4"/>
      <c r="I532" s="26"/>
      <c r="J532" s="26"/>
      <c r="K532" s="4"/>
      <c r="L532" s="4"/>
      <c r="M532" s="4"/>
      <c r="N532" s="107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1073"/>
      <c r="C533" s="1073"/>
      <c r="D533" s="4"/>
      <c r="E533" s="4"/>
      <c r="F533" s="4"/>
      <c r="G533" s="4"/>
      <c r="H533" s="4"/>
      <c r="I533" s="26"/>
      <c r="J533" s="26"/>
      <c r="K533" s="4"/>
      <c r="L533" s="4"/>
      <c r="M533" s="4"/>
      <c r="N533" s="107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1073"/>
      <c r="C534" s="1073"/>
      <c r="D534" s="4"/>
      <c r="E534" s="4"/>
      <c r="F534" s="4"/>
      <c r="G534" s="4"/>
      <c r="H534" s="4"/>
      <c r="I534" s="26"/>
      <c r="J534" s="26"/>
      <c r="K534" s="4"/>
      <c r="L534" s="4"/>
      <c r="M534" s="4"/>
      <c r="N534" s="107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1073"/>
      <c r="C535" s="1073"/>
      <c r="D535" s="4"/>
      <c r="E535" s="4"/>
      <c r="F535" s="4"/>
      <c r="G535" s="4"/>
      <c r="H535" s="4"/>
      <c r="I535" s="26"/>
      <c r="J535" s="26"/>
      <c r="K535" s="4"/>
      <c r="L535" s="4"/>
      <c r="M535" s="4"/>
      <c r="N535" s="107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1073"/>
      <c r="C536" s="1073"/>
      <c r="D536" s="4"/>
      <c r="E536" s="4"/>
      <c r="F536" s="4"/>
      <c r="G536" s="4"/>
      <c r="H536" s="4"/>
      <c r="I536" s="26"/>
      <c r="J536" s="26"/>
      <c r="K536" s="4"/>
      <c r="L536" s="4"/>
      <c r="M536" s="4"/>
      <c r="N536" s="107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1073"/>
      <c r="C537" s="1073"/>
      <c r="D537" s="4"/>
      <c r="E537" s="4"/>
      <c r="F537" s="4"/>
      <c r="G537" s="4"/>
      <c r="H537" s="4"/>
      <c r="I537" s="26"/>
      <c r="J537" s="26"/>
      <c r="K537" s="4"/>
      <c r="L537" s="4"/>
      <c r="M537" s="4"/>
      <c r="N537" s="107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1073"/>
      <c r="C538" s="1073"/>
      <c r="D538" s="4"/>
      <c r="E538" s="4"/>
      <c r="F538" s="4"/>
      <c r="G538" s="4"/>
      <c r="H538" s="4"/>
      <c r="I538" s="26"/>
      <c r="J538" s="26"/>
      <c r="K538" s="4"/>
      <c r="L538" s="4"/>
      <c r="M538" s="4"/>
      <c r="N538" s="107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1073"/>
      <c r="C539" s="1073"/>
      <c r="D539" s="4"/>
      <c r="E539" s="4"/>
      <c r="F539" s="4"/>
      <c r="G539" s="4"/>
      <c r="H539" s="4"/>
      <c r="I539" s="26"/>
      <c r="J539" s="26"/>
      <c r="K539" s="4"/>
      <c r="L539" s="4"/>
      <c r="M539" s="4"/>
      <c r="N539" s="107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1073"/>
      <c r="C540" s="1073"/>
      <c r="D540" s="4"/>
      <c r="E540" s="4"/>
      <c r="F540" s="4"/>
      <c r="G540" s="4"/>
      <c r="H540" s="4"/>
      <c r="I540" s="26"/>
      <c r="J540" s="26"/>
      <c r="K540" s="4"/>
      <c r="L540" s="4"/>
      <c r="M540" s="4"/>
      <c r="N540" s="107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1073"/>
      <c r="C541" s="1073"/>
      <c r="D541" s="4"/>
      <c r="E541" s="4"/>
      <c r="F541" s="4"/>
      <c r="G541" s="4"/>
      <c r="H541" s="4"/>
      <c r="I541" s="26"/>
      <c r="J541" s="26"/>
      <c r="K541" s="4"/>
      <c r="L541" s="4"/>
      <c r="M541" s="4"/>
      <c r="N541" s="107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1073"/>
      <c r="C542" s="1073"/>
      <c r="D542" s="4"/>
      <c r="E542" s="4"/>
      <c r="F542" s="4"/>
      <c r="G542" s="4"/>
      <c r="H542" s="4"/>
      <c r="I542" s="26"/>
      <c r="J542" s="26"/>
      <c r="K542" s="4"/>
      <c r="L542" s="4"/>
      <c r="M542" s="4"/>
      <c r="N542" s="107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1073"/>
      <c r="C543" s="1073"/>
      <c r="D543" s="4"/>
      <c r="E543" s="4"/>
      <c r="F543" s="4"/>
      <c r="G543" s="4"/>
      <c r="H543" s="4"/>
      <c r="I543" s="26"/>
      <c r="J543" s="26"/>
      <c r="K543" s="4"/>
      <c r="L543" s="4"/>
      <c r="M543" s="4"/>
      <c r="N543" s="107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1073"/>
      <c r="C544" s="1073"/>
      <c r="D544" s="4"/>
      <c r="E544" s="4"/>
      <c r="F544" s="4"/>
      <c r="G544" s="4"/>
      <c r="H544" s="4"/>
      <c r="I544" s="26"/>
      <c r="J544" s="26"/>
      <c r="K544" s="4"/>
      <c r="L544" s="4"/>
      <c r="M544" s="4"/>
      <c r="N544" s="107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1073"/>
      <c r="C545" s="1073"/>
      <c r="D545" s="4"/>
      <c r="E545" s="4"/>
      <c r="F545" s="4"/>
      <c r="G545" s="4"/>
      <c r="H545" s="4"/>
      <c r="I545" s="26"/>
      <c r="J545" s="26"/>
      <c r="K545" s="4"/>
      <c r="L545" s="4"/>
      <c r="M545" s="4"/>
      <c r="N545" s="107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1073"/>
      <c r="C546" s="1073"/>
      <c r="D546" s="4"/>
      <c r="E546" s="4"/>
      <c r="F546" s="4"/>
      <c r="G546" s="4"/>
      <c r="H546" s="4"/>
      <c r="I546" s="26"/>
      <c r="J546" s="26"/>
      <c r="K546" s="4"/>
      <c r="L546" s="4"/>
      <c r="M546" s="4"/>
      <c r="N546" s="107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1073"/>
      <c r="C547" s="1073"/>
      <c r="D547" s="4"/>
      <c r="E547" s="4"/>
      <c r="F547" s="4"/>
      <c r="G547" s="4"/>
      <c r="H547" s="4"/>
      <c r="I547" s="26"/>
      <c r="J547" s="26"/>
      <c r="K547" s="4"/>
      <c r="L547" s="4"/>
      <c r="M547" s="4"/>
      <c r="N547" s="107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1073"/>
      <c r="C548" s="1073"/>
      <c r="D548" s="4"/>
      <c r="E548" s="4"/>
      <c r="F548" s="4"/>
      <c r="G548" s="4"/>
      <c r="H548" s="4"/>
      <c r="I548" s="26"/>
      <c r="J548" s="26"/>
      <c r="K548" s="4"/>
      <c r="L548" s="4"/>
      <c r="M548" s="4"/>
      <c r="N548" s="107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1073"/>
      <c r="C549" s="1073"/>
      <c r="D549" s="4"/>
      <c r="E549" s="4"/>
      <c r="F549" s="4"/>
      <c r="G549" s="4"/>
      <c r="H549" s="4"/>
      <c r="I549" s="26"/>
      <c r="J549" s="26"/>
      <c r="K549" s="4"/>
      <c r="L549" s="4"/>
      <c r="M549" s="4"/>
      <c r="N549" s="107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1073"/>
      <c r="C550" s="1073"/>
      <c r="D550" s="4"/>
      <c r="E550" s="4"/>
      <c r="F550" s="4"/>
      <c r="G550" s="4"/>
      <c r="H550" s="4"/>
      <c r="I550" s="26"/>
      <c r="J550" s="26"/>
      <c r="K550" s="4"/>
      <c r="L550" s="4"/>
      <c r="M550" s="4"/>
      <c r="N550" s="107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1073"/>
      <c r="C551" s="1073"/>
      <c r="D551" s="4"/>
      <c r="E551" s="4"/>
      <c r="F551" s="4"/>
      <c r="G551" s="4"/>
      <c r="H551" s="4"/>
      <c r="I551" s="26"/>
      <c r="J551" s="26"/>
      <c r="K551" s="4"/>
      <c r="L551" s="4"/>
      <c r="M551" s="4"/>
      <c r="N551" s="107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1073"/>
      <c r="C552" s="1073"/>
      <c r="D552" s="4"/>
      <c r="E552" s="4"/>
      <c r="F552" s="4"/>
      <c r="G552" s="4"/>
      <c r="H552" s="4"/>
      <c r="I552" s="26"/>
      <c r="J552" s="26"/>
      <c r="K552" s="4"/>
      <c r="L552" s="4"/>
      <c r="M552" s="4"/>
      <c r="N552" s="107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1073"/>
      <c r="C553" s="1073"/>
      <c r="D553" s="4"/>
      <c r="E553" s="4"/>
      <c r="F553" s="4"/>
      <c r="G553" s="4"/>
      <c r="H553" s="4"/>
      <c r="I553" s="26"/>
      <c r="J553" s="26"/>
      <c r="K553" s="4"/>
      <c r="L553" s="4"/>
      <c r="M553" s="4"/>
      <c r="N553" s="107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1073"/>
      <c r="C554" s="1073"/>
      <c r="D554" s="4"/>
      <c r="E554" s="4"/>
      <c r="F554" s="4"/>
      <c r="G554" s="4"/>
      <c r="H554" s="4"/>
      <c r="I554" s="26"/>
      <c r="J554" s="26"/>
      <c r="K554" s="4"/>
      <c r="L554" s="4"/>
      <c r="M554" s="4"/>
      <c r="N554" s="107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1073"/>
      <c r="C555" s="1073"/>
      <c r="D555" s="4"/>
      <c r="E555" s="4"/>
      <c r="F555" s="4"/>
      <c r="G555" s="4"/>
      <c r="H555" s="4"/>
      <c r="I555" s="26"/>
      <c r="J555" s="26"/>
      <c r="K555" s="4"/>
      <c r="L555" s="4"/>
      <c r="M555" s="4"/>
      <c r="N555" s="107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1073"/>
      <c r="C556" s="1073"/>
      <c r="D556" s="4"/>
      <c r="E556" s="4"/>
      <c r="F556" s="4"/>
      <c r="G556" s="4"/>
      <c r="H556" s="4"/>
      <c r="I556" s="26"/>
      <c r="J556" s="26"/>
      <c r="K556" s="4"/>
      <c r="L556" s="4"/>
      <c r="M556" s="4"/>
      <c r="N556" s="107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1073"/>
      <c r="C557" s="1073"/>
      <c r="D557" s="4"/>
      <c r="E557" s="4"/>
      <c r="F557" s="4"/>
      <c r="G557" s="4"/>
      <c r="H557" s="4"/>
      <c r="I557" s="26"/>
      <c r="J557" s="26"/>
      <c r="K557" s="4"/>
      <c r="L557" s="4"/>
      <c r="M557" s="4"/>
      <c r="N557" s="107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1073"/>
      <c r="C558" s="1073"/>
      <c r="D558" s="4"/>
      <c r="E558" s="4"/>
      <c r="F558" s="4"/>
      <c r="G558" s="4"/>
      <c r="H558" s="4"/>
      <c r="I558" s="26"/>
      <c r="J558" s="26"/>
      <c r="K558" s="4"/>
      <c r="L558" s="4"/>
      <c r="M558" s="4"/>
      <c r="N558" s="107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1073"/>
      <c r="C559" s="1073"/>
      <c r="D559" s="4"/>
      <c r="E559" s="4"/>
      <c r="F559" s="4"/>
      <c r="G559" s="4"/>
      <c r="H559" s="4"/>
      <c r="I559" s="26"/>
      <c r="J559" s="26"/>
      <c r="K559" s="4"/>
      <c r="L559" s="4"/>
      <c r="M559" s="4"/>
      <c r="N559" s="107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1073"/>
      <c r="C560" s="1073"/>
      <c r="D560" s="4"/>
      <c r="E560" s="4"/>
      <c r="F560" s="4"/>
      <c r="G560" s="4"/>
      <c r="H560" s="4"/>
      <c r="I560" s="26"/>
      <c r="J560" s="26"/>
      <c r="K560" s="4"/>
      <c r="L560" s="4"/>
      <c r="M560" s="4"/>
      <c r="N560" s="107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1073"/>
      <c r="C561" s="1073"/>
      <c r="D561" s="4"/>
      <c r="E561" s="4"/>
      <c r="F561" s="4"/>
      <c r="G561" s="4"/>
      <c r="H561" s="4"/>
      <c r="I561" s="26"/>
      <c r="J561" s="26"/>
      <c r="K561" s="4"/>
      <c r="L561" s="4"/>
      <c r="M561" s="4"/>
      <c r="N561" s="107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1073"/>
      <c r="C562" s="1073"/>
      <c r="D562" s="4"/>
      <c r="E562" s="4"/>
      <c r="F562" s="4"/>
      <c r="G562" s="4"/>
      <c r="H562" s="4"/>
      <c r="I562" s="26"/>
      <c r="J562" s="26"/>
      <c r="K562" s="4"/>
      <c r="L562" s="4"/>
      <c r="M562" s="4"/>
      <c r="N562" s="107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1073"/>
      <c r="C563" s="1073"/>
      <c r="D563" s="4"/>
      <c r="E563" s="4"/>
      <c r="F563" s="4"/>
      <c r="G563" s="4"/>
      <c r="H563" s="4"/>
      <c r="I563" s="26"/>
      <c r="J563" s="26"/>
      <c r="K563" s="4"/>
      <c r="L563" s="4"/>
      <c r="M563" s="4"/>
      <c r="N563" s="107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1073"/>
      <c r="C564" s="1073"/>
      <c r="D564" s="4"/>
      <c r="E564" s="4"/>
      <c r="F564" s="4"/>
      <c r="G564" s="4"/>
      <c r="H564" s="4"/>
      <c r="I564" s="26"/>
      <c r="J564" s="26"/>
      <c r="K564" s="4"/>
      <c r="L564" s="4"/>
      <c r="M564" s="4"/>
      <c r="N564" s="107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1073"/>
      <c r="C565" s="1073"/>
      <c r="D565" s="4"/>
      <c r="E565" s="4"/>
      <c r="F565" s="4"/>
      <c r="G565" s="4"/>
      <c r="H565" s="4"/>
      <c r="I565" s="26"/>
      <c r="J565" s="26"/>
      <c r="K565" s="4"/>
      <c r="L565" s="4"/>
      <c r="M565" s="4"/>
      <c r="N565" s="107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1073"/>
      <c r="C566" s="1073"/>
      <c r="D566" s="4"/>
      <c r="E566" s="4"/>
      <c r="F566" s="4"/>
      <c r="G566" s="4"/>
      <c r="H566" s="4"/>
      <c r="I566" s="26"/>
      <c r="J566" s="26"/>
      <c r="K566" s="4"/>
      <c r="L566" s="4"/>
      <c r="M566" s="4"/>
      <c r="N566" s="107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1073"/>
      <c r="C567" s="1073"/>
      <c r="D567" s="4"/>
      <c r="E567" s="4"/>
      <c r="F567" s="4"/>
      <c r="G567" s="4"/>
      <c r="H567" s="4"/>
      <c r="I567" s="26"/>
      <c r="J567" s="26"/>
      <c r="K567" s="4"/>
      <c r="L567" s="4"/>
      <c r="M567" s="4"/>
      <c r="N567" s="107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1073"/>
      <c r="C568" s="1073"/>
      <c r="D568" s="4"/>
      <c r="E568" s="4"/>
      <c r="F568" s="4"/>
      <c r="G568" s="4"/>
      <c r="H568" s="4"/>
      <c r="I568" s="26"/>
      <c r="J568" s="26"/>
      <c r="K568" s="4"/>
      <c r="L568" s="4"/>
      <c r="M568" s="4"/>
      <c r="N568" s="107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1073"/>
      <c r="C569" s="1073"/>
      <c r="D569" s="4"/>
      <c r="E569" s="4"/>
      <c r="F569" s="4"/>
      <c r="G569" s="4"/>
      <c r="H569" s="4"/>
      <c r="I569" s="26"/>
      <c r="J569" s="26"/>
      <c r="K569" s="4"/>
      <c r="L569" s="4"/>
      <c r="M569" s="4"/>
      <c r="N569" s="107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1073"/>
      <c r="C570" s="1073"/>
      <c r="D570" s="4"/>
      <c r="E570" s="4"/>
      <c r="F570" s="4"/>
      <c r="G570" s="4"/>
      <c r="H570" s="4"/>
      <c r="I570" s="26"/>
      <c r="J570" s="26"/>
      <c r="K570" s="4"/>
      <c r="L570" s="4"/>
      <c r="M570" s="4"/>
      <c r="N570" s="107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1073"/>
      <c r="C571" s="1073"/>
      <c r="D571" s="4"/>
      <c r="E571" s="4"/>
      <c r="F571" s="4"/>
      <c r="G571" s="4"/>
      <c r="H571" s="4"/>
      <c r="I571" s="26"/>
      <c r="J571" s="26"/>
      <c r="K571" s="4"/>
      <c r="L571" s="4"/>
      <c r="M571" s="4"/>
      <c r="N571" s="107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1073"/>
      <c r="C572" s="1073"/>
      <c r="D572" s="4"/>
      <c r="E572" s="4"/>
      <c r="F572" s="4"/>
      <c r="G572" s="4"/>
      <c r="H572" s="4"/>
      <c r="I572" s="26"/>
      <c r="J572" s="26"/>
      <c r="K572" s="4"/>
      <c r="L572" s="4"/>
      <c r="M572" s="4"/>
      <c r="N572" s="107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1073"/>
      <c r="C573" s="1073"/>
      <c r="D573" s="4"/>
      <c r="E573" s="4"/>
      <c r="F573" s="4"/>
      <c r="G573" s="4"/>
      <c r="H573" s="4"/>
      <c r="I573" s="26"/>
      <c r="J573" s="26"/>
      <c r="K573" s="4"/>
      <c r="L573" s="4"/>
      <c r="M573" s="4"/>
      <c r="N573" s="107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1073"/>
      <c r="C574" s="1073"/>
      <c r="D574" s="4"/>
      <c r="E574" s="4"/>
      <c r="F574" s="4"/>
      <c r="G574" s="4"/>
      <c r="H574" s="4"/>
      <c r="I574" s="26"/>
      <c r="J574" s="26"/>
      <c r="K574" s="4"/>
      <c r="L574" s="4"/>
      <c r="M574" s="4"/>
      <c r="N574" s="107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1073"/>
      <c r="C575" s="1073"/>
      <c r="D575" s="4"/>
      <c r="E575" s="4"/>
      <c r="F575" s="4"/>
      <c r="G575" s="4"/>
      <c r="H575" s="4"/>
      <c r="I575" s="26"/>
      <c r="J575" s="26"/>
      <c r="K575" s="4"/>
      <c r="L575" s="4"/>
      <c r="M575" s="4"/>
      <c r="N575" s="107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1073"/>
      <c r="C576" s="1073"/>
      <c r="D576" s="4"/>
      <c r="E576" s="4"/>
      <c r="F576" s="4"/>
      <c r="G576" s="4"/>
      <c r="H576" s="4"/>
      <c r="I576" s="26"/>
      <c r="J576" s="26"/>
      <c r="K576" s="4"/>
      <c r="L576" s="4"/>
      <c r="M576" s="4"/>
      <c r="N576" s="107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1073"/>
      <c r="C577" s="1073"/>
      <c r="D577" s="4"/>
      <c r="E577" s="4"/>
      <c r="F577" s="4"/>
      <c r="G577" s="4"/>
      <c r="H577" s="4"/>
      <c r="I577" s="26"/>
      <c r="J577" s="26"/>
      <c r="K577" s="4"/>
      <c r="L577" s="4"/>
      <c r="M577" s="4"/>
      <c r="N577" s="107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1073"/>
      <c r="C578" s="1073"/>
      <c r="D578" s="4"/>
      <c r="E578" s="4"/>
      <c r="F578" s="4"/>
      <c r="G578" s="4"/>
      <c r="H578" s="4"/>
      <c r="I578" s="26"/>
      <c r="J578" s="26"/>
      <c r="K578" s="4"/>
      <c r="L578" s="4"/>
      <c r="M578" s="4"/>
      <c r="N578" s="107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1073"/>
      <c r="C579" s="1073"/>
      <c r="D579" s="4"/>
      <c r="E579" s="4"/>
      <c r="F579" s="4"/>
      <c r="G579" s="4"/>
      <c r="H579" s="4"/>
      <c r="I579" s="26"/>
      <c r="J579" s="26"/>
      <c r="K579" s="4"/>
      <c r="L579" s="4"/>
      <c r="M579" s="4"/>
      <c r="N579" s="107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1073"/>
      <c r="C580" s="1073"/>
      <c r="D580" s="4"/>
      <c r="E580" s="4"/>
      <c r="F580" s="4"/>
      <c r="G580" s="4"/>
      <c r="H580" s="4"/>
      <c r="I580" s="26"/>
      <c r="J580" s="26"/>
      <c r="K580" s="4"/>
      <c r="L580" s="4"/>
      <c r="M580" s="4"/>
      <c r="N580" s="107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1073"/>
      <c r="C581" s="1073"/>
      <c r="D581" s="4"/>
      <c r="E581" s="4"/>
      <c r="F581" s="4"/>
      <c r="G581" s="4"/>
      <c r="H581" s="4"/>
      <c r="I581" s="26"/>
      <c r="J581" s="26"/>
      <c r="K581" s="4"/>
      <c r="L581" s="4"/>
      <c r="M581" s="4"/>
      <c r="N581" s="107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1073"/>
      <c r="C582" s="1073"/>
      <c r="D582" s="4"/>
      <c r="E582" s="4"/>
      <c r="F582" s="4"/>
      <c r="G582" s="4"/>
      <c r="H582" s="4"/>
      <c r="I582" s="26"/>
      <c r="J582" s="26"/>
      <c r="K582" s="4"/>
      <c r="L582" s="4"/>
      <c r="M582" s="4"/>
      <c r="N582" s="107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1073"/>
      <c r="C583" s="1073"/>
      <c r="D583" s="4"/>
      <c r="E583" s="4"/>
      <c r="F583" s="4"/>
      <c r="G583" s="4"/>
      <c r="H583" s="4"/>
      <c r="I583" s="26"/>
      <c r="J583" s="26"/>
      <c r="K583" s="4"/>
      <c r="L583" s="4"/>
      <c r="M583" s="4"/>
      <c r="N583" s="107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1073"/>
      <c r="C584" s="1073"/>
      <c r="D584" s="4"/>
      <c r="E584" s="4"/>
      <c r="F584" s="4"/>
      <c r="G584" s="4"/>
      <c r="H584" s="4"/>
      <c r="I584" s="26"/>
      <c r="J584" s="26"/>
      <c r="K584" s="4"/>
      <c r="L584" s="4"/>
      <c r="M584" s="4"/>
      <c r="N584" s="107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1073"/>
      <c r="C585" s="1073"/>
      <c r="D585" s="4"/>
      <c r="E585" s="4"/>
      <c r="F585" s="4"/>
      <c r="G585" s="4"/>
      <c r="H585" s="4"/>
      <c r="I585" s="26"/>
      <c r="J585" s="26"/>
      <c r="K585" s="4"/>
      <c r="L585" s="4"/>
      <c r="M585" s="4"/>
      <c r="N585" s="107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1073"/>
      <c r="C586" s="1073"/>
      <c r="D586" s="4"/>
      <c r="E586" s="4"/>
      <c r="F586" s="4"/>
      <c r="G586" s="4"/>
      <c r="H586" s="4"/>
      <c r="I586" s="26"/>
      <c r="J586" s="26"/>
      <c r="K586" s="4"/>
      <c r="L586" s="4"/>
      <c r="M586" s="4"/>
      <c r="N586" s="107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1073"/>
      <c r="C587" s="1073"/>
      <c r="D587" s="4"/>
      <c r="E587" s="4"/>
      <c r="F587" s="4"/>
      <c r="G587" s="4"/>
      <c r="H587" s="4"/>
      <c r="I587" s="26"/>
      <c r="J587" s="26"/>
      <c r="K587" s="4"/>
      <c r="L587" s="4"/>
      <c r="M587" s="4"/>
      <c r="N587" s="107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1073"/>
      <c r="C588" s="1073"/>
      <c r="D588" s="4"/>
      <c r="E588" s="4"/>
      <c r="F588" s="4"/>
      <c r="G588" s="4"/>
      <c r="H588" s="4"/>
      <c r="I588" s="26"/>
      <c r="J588" s="26"/>
      <c r="K588" s="4"/>
      <c r="L588" s="4"/>
      <c r="M588" s="4"/>
      <c r="N588" s="107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1073"/>
      <c r="C589" s="1073"/>
      <c r="D589" s="4"/>
      <c r="E589" s="4"/>
      <c r="F589" s="4"/>
      <c r="G589" s="4"/>
      <c r="H589" s="4"/>
      <c r="I589" s="26"/>
      <c r="J589" s="26"/>
      <c r="K589" s="4"/>
      <c r="L589" s="4"/>
      <c r="M589" s="4"/>
      <c r="N589" s="107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1073"/>
      <c r="C590" s="1073"/>
      <c r="D590" s="4"/>
      <c r="E590" s="4"/>
      <c r="F590" s="4"/>
      <c r="G590" s="4"/>
      <c r="H590" s="4"/>
      <c r="I590" s="26"/>
      <c r="J590" s="26"/>
      <c r="K590" s="4"/>
      <c r="L590" s="4"/>
      <c r="M590" s="4"/>
      <c r="N590" s="107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1073"/>
      <c r="C591" s="1073"/>
      <c r="D591" s="4"/>
      <c r="E591" s="4"/>
      <c r="F591" s="4"/>
      <c r="G591" s="4"/>
      <c r="H591" s="4"/>
      <c r="I591" s="26"/>
      <c r="J591" s="26"/>
      <c r="K591" s="4"/>
      <c r="L591" s="4"/>
      <c r="M591" s="4"/>
      <c r="N591" s="107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1073"/>
      <c r="C592" s="1073"/>
      <c r="D592" s="4"/>
      <c r="E592" s="4"/>
      <c r="F592" s="4"/>
      <c r="G592" s="4"/>
      <c r="H592" s="4"/>
      <c r="I592" s="26"/>
      <c r="J592" s="26"/>
      <c r="K592" s="4"/>
      <c r="L592" s="4"/>
      <c r="M592" s="4"/>
      <c r="N592" s="107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1073"/>
      <c r="C593" s="1073"/>
      <c r="D593" s="4"/>
      <c r="E593" s="4"/>
      <c r="F593" s="4"/>
      <c r="G593" s="4"/>
      <c r="H593" s="4"/>
      <c r="I593" s="26"/>
      <c r="J593" s="26"/>
      <c r="K593" s="4"/>
      <c r="L593" s="4"/>
      <c r="M593" s="4"/>
      <c r="N593" s="107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1073"/>
      <c r="C594" s="1073"/>
      <c r="D594" s="4"/>
      <c r="E594" s="4"/>
      <c r="F594" s="4"/>
      <c r="G594" s="4"/>
      <c r="H594" s="4"/>
      <c r="I594" s="26"/>
      <c r="J594" s="26"/>
      <c r="K594" s="4"/>
      <c r="L594" s="4"/>
      <c r="M594" s="4"/>
      <c r="N594" s="107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1073"/>
      <c r="C595" s="1073"/>
      <c r="D595" s="4"/>
      <c r="E595" s="4"/>
      <c r="F595" s="4"/>
      <c r="G595" s="4"/>
      <c r="H595" s="4"/>
      <c r="I595" s="26"/>
      <c r="J595" s="26"/>
      <c r="K595" s="4"/>
      <c r="L595" s="4"/>
      <c r="M595" s="4"/>
      <c r="N595" s="107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1073"/>
      <c r="C596" s="1073"/>
      <c r="D596" s="4"/>
      <c r="E596" s="4"/>
      <c r="F596" s="4"/>
      <c r="G596" s="4"/>
      <c r="H596" s="4"/>
      <c r="I596" s="26"/>
      <c r="J596" s="26"/>
      <c r="K596" s="4"/>
      <c r="L596" s="4"/>
      <c r="M596" s="4"/>
      <c r="N596" s="107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1073"/>
      <c r="C597" s="1073"/>
      <c r="D597" s="4"/>
      <c r="E597" s="4"/>
      <c r="F597" s="4"/>
      <c r="G597" s="4"/>
      <c r="H597" s="4"/>
      <c r="I597" s="26"/>
      <c r="J597" s="26"/>
      <c r="K597" s="4"/>
      <c r="L597" s="4"/>
      <c r="M597" s="4"/>
      <c r="N597" s="107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1073"/>
      <c r="C598" s="1073"/>
      <c r="D598" s="4"/>
      <c r="E598" s="4"/>
      <c r="F598" s="4"/>
      <c r="G598" s="4"/>
      <c r="H598" s="4"/>
      <c r="I598" s="26"/>
      <c r="J598" s="26"/>
      <c r="K598" s="4"/>
      <c r="L598" s="4"/>
      <c r="M598" s="4"/>
      <c r="N598" s="107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1073"/>
      <c r="C599" s="1073"/>
      <c r="D599" s="4"/>
      <c r="E599" s="4"/>
      <c r="F599" s="4"/>
      <c r="G599" s="4"/>
      <c r="H599" s="4"/>
      <c r="I599" s="26"/>
      <c r="J599" s="26"/>
      <c r="K599" s="4"/>
      <c r="L599" s="4"/>
      <c r="M599" s="4"/>
      <c r="N599" s="107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1073"/>
      <c r="C600" s="1073"/>
      <c r="D600" s="4"/>
      <c r="E600" s="4"/>
      <c r="F600" s="4"/>
      <c r="G600" s="4"/>
      <c r="H600" s="4"/>
      <c r="I600" s="26"/>
      <c r="J600" s="26"/>
      <c r="K600" s="4"/>
      <c r="L600" s="4"/>
      <c r="M600" s="4"/>
      <c r="N600" s="107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1073"/>
      <c r="C601" s="1073"/>
      <c r="D601" s="4"/>
      <c r="E601" s="4"/>
      <c r="F601" s="4"/>
      <c r="G601" s="4"/>
      <c r="H601" s="4"/>
      <c r="I601" s="26"/>
      <c r="J601" s="26"/>
      <c r="K601" s="4"/>
      <c r="L601" s="4"/>
      <c r="M601" s="4"/>
      <c r="N601" s="107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1073"/>
      <c r="C602" s="1073"/>
      <c r="D602" s="4"/>
      <c r="E602" s="4"/>
      <c r="F602" s="4"/>
      <c r="G602" s="4"/>
      <c r="H602" s="4"/>
      <c r="I602" s="26"/>
      <c r="J602" s="26"/>
      <c r="K602" s="4"/>
      <c r="L602" s="4"/>
      <c r="M602" s="4"/>
      <c r="N602" s="107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1073"/>
      <c r="C603" s="1073"/>
      <c r="D603" s="4"/>
      <c r="E603" s="4"/>
      <c r="F603" s="4"/>
      <c r="G603" s="4"/>
      <c r="H603" s="4"/>
      <c r="I603" s="26"/>
      <c r="J603" s="26"/>
      <c r="K603" s="4"/>
      <c r="L603" s="4"/>
      <c r="M603" s="4"/>
      <c r="N603" s="107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1073"/>
      <c r="C604" s="1073"/>
      <c r="D604" s="4"/>
      <c r="E604" s="4"/>
      <c r="F604" s="4"/>
      <c r="G604" s="4"/>
      <c r="H604" s="4"/>
      <c r="I604" s="26"/>
      <c r="J604" s="26"/>
      <c r="K604" s="4"/>
      <c r="L604" s="4"/>
      <c r="M604" s="4"/>
      <c r="N604" s="107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1073"/>
      <c r="C605" s="1073"/>
      <c r="D605" s="4"/>
      <c r="E605" s="4"/>
      <c r="F605" s="4"/>
      <c r="G605" s="4"/>
      <c r="H605" s="4"/>
      <c r="I605" s="26"/>
      <c r="J605" s="26"/>
      <c r="K605" s="4"/>
      <c r="L605" s="4"/>
      <c r="M605" s="4"/>
      <c r="N605" s="107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1073"/>
      <c r="C606" s="1073"/>
      <c r="D606" s="4"/>
      <c r="E606" s="4"/>
      <c r="F606" s="4"/>
      <c r="G606" s="4"/>
      <c r="H606" s="4"/>
      <c r="I606" s="26"/>
      <c r="J606" s="26"/>
      <c r="K606" s="4"/>
      <c r="L606" s="4"/>
      <c r="M606" s="4"/>
      <c r="N606" s="107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1073"/>
      <c r="C607" s="1073"/>
      <c r="D607" s="4"/>
      <c r="E607" s="4"/>
      <c r="F607" s="4"/>
      <c r="G607" s="4"/>
      <c r="H607" s="4"/>
      <c r="I607" s="26"/>
      <c r="J607" s="26"/>
      <c r="K607" s="4"/>
      <c r="L607" s="4"/>
      <c r="M607" s="4"/>
      <c r="N607" s="107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1073"/>
      <c r="C608" s="1073"/>
      <c r="D608" s="4"/>
      <c r="E608" s="4"/>
      <c r="F608" s="4"/>
      <c r="G608" s="4"/>
      <c r="H608" s="4"/>
      <c r="I608" s="26"/>
      <c r="J608" s="26"/>
      <c r="K608" s="4"/>
      <c r="L608" s="4"/>
      <c r="M608" s="4"/>
      <c r="N608" s="107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1073"/>
      <c r="C609" s="1073"/>
      <c r="D609" s="4"/>
      <c r="E609" s="4"/>
      <c r="F609" s="4"/>
      <c r="G609" s="4"/>
      <c r="H609" s="4"/>
      <c r="I609" s="26"/>
      <c r="J609" s="26"/>
      <c r="K609" s="4"/>
      <c r="L609" s="4"/>
      <c r="M609" s="4"/>
      <c r="N609" s="107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1073"/>
      <c r="C610" s="1073"/>
      <c r="D610" s="4"/>
      <c r="E610" s="4"/>
      <c r="F610" s="4"/>
      <c r="G610" s="4"/>
      <c r="H610" s="4"/>
      <c r="I610" s="26"/>
      <c r="J610" s="26"/>
      <c r="K610" s="4"/>
      <c r="L610" s="4"/>
      <c r="M610" s="4"/>
      <c r="N610" s="107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1073"/>
      <c r="C611" s="1073"/>
      <c r="D611" s="4"/>
      <c r="E611" s="4"/>
      <c r="F611" s="4"/>
      <c r="G611" s="4"/>
      <c r="H611" s="4"/>
      <c r="I611" s="26"/>
      <c r="J611" s="26"/>
      <c r="K611" s="4"/>
      <c r="L611" s="4"/>
      <c r="M611" s="4"/>
      <c r="N611" s="107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1073"/>
      <c r="C612" s="1073"/>
      <c r="D612" s="4"/>
      <c r="E612" s="4"/>
      <c r="F612" s="4"/>
      <c r="G612" s="4"/>
      <c r="H612" s="4"/>
      <c r="I612" s="26"/>
      <c r="J612" s="26"/>
      <c r="K612" s="4"/>
      <c r="L612" s="4"/>
      <c r="M612" s="4"/>
      <c r="N612" s="107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1073"/>
      <c r="C613" s="1073"/>
      <c r="D613" s="4"/>
      <c r="E613" s="4"/>
      <c r="F613" s="4"/>
      <c r="G613" s="4"/>
      <c r="H613" s="4"/>
      <c r="I613" s="26"/>
      <c r="J613" s="26"/>
      <c r="K613" s="4"/>
      <c r="L613" s="4"/>
      <c r="M613" s="4"/>
      <c r="N613" s="107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1073"/>
      <c r="C614" s="1073"/>
      <c r="D614" s="4"/>
      <c r="E614" s="4"/>
      <c r="F614" s="4"/>
      <c r="G614" s="4"/>
      <c r="H614" s="4"/>
      <c r="I614" s="26"/>
      <c r="J614" s="26"/>
      <c r="K614" s="4"/>
      <c r="L614" s="4"/>
      <c r="M614" s="4"/>
      <c r="N614" s="107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1073"/>
      <c r="C615" s="1073"/>
      <c r="D615" s="4"/>
      <c r="E615" s="4"/>
      <c r="F615" s="4"/>
      <c r="G615" s="4"/>
      <c r="H615" s="4"/>
      <c r="I615" s="26"/>
      <c r="J615" s="26"/>
      <c r="K615" s="4"/>
      <c r="L615" s="4"/>
      <c r="M615" s="4"/>
      <c r="N615" s="107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1073"/>
      <c r="C616" s="1073"/>
      <c r="D616" s="4"/>
      <c r="E616" s="4"/>
      <c r="F616" s="4"/>
      <c r="G616" s="4"/>
      <c r="H616" s="4"/>
      <c r="I616" s="26"/>
      <c r="J616" s="26"/>
      <c r="K616" s="4"/>
      <c r="L616" s="4"/>
      <c r="M616" s="4"/>
      <c r="N616" s="107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1073"/>
      <c r="C617" s="1073"/>
      <c r="D617" s="4"/>
      <c r="E617" s="4"/>
      <c r="F617" s="4"/>
      <c r="G617" s="4"/>
      <c r="H617" s="4"/>
      <c r="I617" s="26"/>
      <c r="J617" s="26"/>
      <c r="K617" s="4"/>
      <c r="L617" s="4"/>
      <c r="M617" s="4"/>
      <c r="N617" s="107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1073"/>
      <c r="C618" s="1073"/>
      <c r="D618" s="4"/>
      <c r="E618" s="4"/>
      <c r="F618" s="4"/>
      <c r="G618" s="4"/>
      <c r="H618" s="4"/>
      <c r="I618" s="26"/>
      <c r="J618" s="26"/>
      <c r="K618" s="4"/>
      <c r="L618" s="4"/>
      <c r="M618" s="4"/>
      <c r="N618" s="107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1073"/>
      <c r="C619" s="1073"/>
      <c r="D619" s="4"/>
      <c r="E619" s="4"/>
      <c r="F619" s="4"/>
      <c r="G619" s="4"/>
      <c r="H619" s="4"/>
      <c r="I619" s="26"/>
      <c r="J619" s="26"/>
      <c r="K619" s="4"/>
      <c r="L619" s="4"/>
      <c r="M619" s="4"/>
      <c r="N619" s="107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1073"/>
      <c r="C620" s="1073"/>
      <c r="D620" s="4"/>
      <c r="E620" s="4"/>
      <c r="F620" s="4"/>
      <c r="G620" s="4"/>
      <c r="H620" s="4"/>
      <c r="I620" s="26"/>
      <c r="J620" s="26"/>
      <c r="K620" s="4"/>
      <c r="L620" s="4"/>
      <c r="M620" s="4"/>
      <c r="N620" s="107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1073"/>
      <c r="C621" s="1073"/>
      <c r="D621" s="4"/>
      <c r="E621" s="4"/>
      <c r="F621" s="4"/>
      <c r="G621" s="4"/>
      <c r="H621" s="4"/>
      <c r="I621" s="26"/>
      <c r="J621" s="26"/>
      <c r="K621" s="4"/>
      <c r="L621" s="4"/>
      <c r="M621" s="4"/>
      <c r="N621" s="107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1073"/>
      <c r="C622" s="1073"/>
      <c r="D622" s="4"/>
      <c r="E622" s="4"/>
      <c r="F622" s="4"/>
      <c r="G622" s="4"/>
      <c r="H622" s="4"/>
      <c r="I622" s="26"/>
      <c r="J622" s="26"/>
      <c r="K622" s="4"/>
      <c r="L622" s="4"/>
      <c r="M622" s="4"/>
      <c r="N622" s="107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1073"/>
      <c r="C623" s="1073"/>
      <c r="D623" s="4"/>
      <c r="E623" s="4"/>
      <c r="F623" s="4"/>
      <c r="G623" s="4"/>
      <c r="H623" s="4"/>
      <c r="I623" s="26"/>
      <c r="J623" s="26"/>
      <c r="K623" s="4"/>
      <c r="L623" s="4"/>
      <c r="M623" s="4"/>
      <c r="N623" s="107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1073"/>
      <c r="C624" s="1073"/>
      <c r="D624" s="4"/>
      <c r="E624" s="4"/>
      <c r="F624" s="4"/>
      <c r="G624" s="4"/>
      <c r="H624" s="4"/>
      <c r="I624" s="26"/>
      <c r="J624" s="26"/>
      <c r="K624" s="4"/>
      <c r="L624" s="4"/>
      <c r="M624" s="4"/>
      <c r="N624" s="107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1073"/>
      <c r="C625" s="1073"/>
      <c r="D625" s="4"/>
      <c r="E625" s="4"/>
      <c r="F625" s="4"/>
      <c r="G625" s="4"/>
      <c r="H625" s="4"/>
      <c r="I625" s="26"/>
      <c r="J625" s="26"/>
      <c r="K625" s="4"/>
      <c r="L625" s="4"/>
      <c r="M625" s="4"/>
      <c r="N625" s="107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1073"/>
      <c r="C626" s="1073"/>
      <c r="D626" s="4"/>
      <c r="E626" s="4"/>
      <c r="F626" s="4"/>
      <c r="G626" s="4"/>
      <c r="H626" s="4"/>
      <c r="I626" s="26"/>
      <c r="J626" s="26"/>
      <c r="K626" s="4"/>
      <c r="L626" s="4"/>
      <c r="M626" s="4"/>
      <c r="N626" s="107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1073"/>
      <c r="C627" s="1073"/>
      <c r="D627" s="4"/>
      <c r="E627" s="4"/>
      <c r="F627" s="4"/>
      <c r="G627" s="4"/>
      <c r="H627" s="4"/>
      <c r="I627" s="26"/>
      <c r="J627" s="26"/>
      <c r="K627" s="4"/>
      <c r="L627" s="4"/>
      <c r="M627" s="4"/>
      <c r="N627" s="107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1073"/>
      <c r="C628" s="1073"/>
      <c r="D628" s="4"/>
      <c r="E628" s="4"/>
      <c r="F628" s="4"/>
      <c r="G628" s="4"/>
      <c r="H628" s="4"/>
      <c r="I628" s="26"/>
      <c r="J628" s="26"/>
      <c r="K628" s="4"/>
      <c r="L628" s="4"/>
      <c r="M628" s="4"/>
      <c r="N628" s="107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1073"/>
      <c r="C629" s="1073"/>
      <c r="D629" s="4"/>
      <c r="E629" s="4"/>
      <c r="F629" s="4"/>
      <c r="G629" s="4"/>
      <c r="H629" s="4"/>
      <c r="I629" s="26"/>
      <c r="J629" s="26"/>
      <c r="K629" s="4"/>
      <c r="L629" s="4"/>
      <c r="M629" s="4"/>
      <c r="N629" s="107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1073"/>
      <c r="C630" s="1073"/>
      <c r="D630" s="4"/>
      <c r="E630" s="4"/>
      <c r="F630" s="4"/>
      <c r="G630" s="4"/>
      <c r="H630" s="4"/>
      <c r="I630" s="26"/>
      <c r="J630" s="26"/>
      <c r="K630" s="4"/>
      <c r="L630" s="4"/>
      <c r="M630" s="4"/>
      <c r="N630" s="107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1073"/>
      <c r="C631" s="1073"/>
      <c r="D631" s="4"/>
      <c r="E631" s="4"/>
      <c r="F631" s="4"/>
      <c r="G631" s="4"/>
      <c r="H631" s="4"/>
      <c r="I631" s="26"/>
      <c r="J631" s="26"/>
      <c r="K631" s="4"/>
      <c r="L631" s="4"/>
      <c r="M631" s="4"/>
      <c r="N631" s="107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1073"/>
      <c r="C632" s="1073"/>
      <c r="D632" s="4"/>
      <c r="E632" s="4"/>
      <c r="F632" s="4"/>
      <c r="G632" s="4"/>
      <c r="H632" s="4"/>
      <c r="I632" s="26"/>
      <c r="J632" s="26"/>
      <c r="K632" s="4"/>
      <c r="L632" s="4"/>
      <c r="M632" s="4"/>
      <c r="N632" s="107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1073"/>
      <c r="C633" s="1073"/>
      <c r="D633" s="4"/>
      <c r="E633" s="4"/>
      <c r="F633" s="4"/>
      <c r="G633" s="4"/>
      <c r="H633" s="4"/>
      <c r="I633" s="26"/>
      <c r="J633" s="26"/>
      <c r="K633" s="4"/>
      <c r="L633" s="4"/>
      <c r="M633" s="4"/>
      <c r="N633" s="107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1073"/>
      <c r="C634" s="1073"/>
      <c r="D634" s="4"/>
      <c r="E634" s="4"/>
      <c r="F634" s="4"/>
      <c r="G634" s="4"/>
      <c r="H634" s="4"/>
      <c r="I634" s="26"/>
      <c r="J634" s="26"/>
      <c r="K634" s="4"/>
      <c r="L634" s="4"/>
      <c r="M634" s="4"/>
      <c r="N634" s="107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1073"/>
      <c r="C635" s="1073"/>
      <c r="D635" s="4"/>
      <c r="E635" s="4"/>
      <c r="F635" s="4"/>
      <c r="G635" s="4"/>
      <c r="H635" s="4"/>
      <c r="I635" s="26"/>
      <c r="J635" s="26"/>
      <c r="K635" s="4"/>
      <c r="L635" s="4"/>
      <c r="M635" s="4"/>
      <c r="N635" s="107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1073"/>
      <c r="C636" s="1073"/>
      <c r="D636" s="4"/>
      <c r="E636" s="4"/>
      <c r="F636" s="4"/>
      <c r="G636" s="4"/>
      <c r="H636" s="4"/>
      <c r="I636" s="26"/>
      <c r="J636" s="26"/>
      <c r="K636" s="4"/>
      <c r="L636" s="4"/>
      <c r="M636" s="4"/>
      <c r="N636" s="107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1073"/>
      <c r="C637" s="1073"/>
      <c r="D637" s="4"/>
      <c r="E637" s="4"/>
      <c r="F637" s="4"/>
      <c r="G637" s="4"/>
      <c r="H637" s="4"/>
      <c r="I637" s="26"/>
      <c r="J637" s="26"/>
      <c r="K637" s="4"/>
      <c r="L637" s="4"/>
      <c r="M637" s="4"/>
      <c r="N637" s="107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1073"/>
      <c r="C638" s="1073"/>
      <c r="D638" s="4"/>
      <c r="E638" s="4"/>
      <c r="F638" s="4"/>
      <c r="G638" s="4"/>
      <c r="H638" s="4"/>
      <c r="I638" s="26"/>
      <c r="J638" s="26"/>
      <c r="K638" s="4"/>
      <c r="L638" s="4"/>
      <c r="M638" s="4"/>
      <c r="N638" s="107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1073"/>
      <c r="C639" s="1073"/>
      <c r="D639" s="4"/>
      <c r="E639" s="4"/>
      <c r="F639" s="4"/>
      <c r="G639" s="4"/>
      <c r="H639" s="4"/>
      <c r="I639" s="26"/>
      <c r="J639" s="26"/>
      <c r="K639" s="4"/>
      <c r="L639" s="4"/>
      <c r="M639" s="4"/>
      <c r="N639" s="107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1073"/>
      <c r="C640" s="1073"/>
      <c r="D640" s="4"/>
      <c r="E640" s="4"/>
      <c r="F640" s="4"/>
      <c r="G640" s="4"/>
      <c r="H640" s="4"/>
      <c r="I640" s="26"/>
      <c r="J640" s="26"/>
      <c r="K640" s="4"/>
      <c r="L640" s="4"/>
      <c r="M640" s="4"/>
      <c r="N640" s="107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1073"/>
      <c r="C641" s="1073"/>
      <c r="D641" s="4"/>
      <c r="E641" s="4"/>
      <c r="F641" s="4"/>
      <c r="G641" s="4"/>
      <c r="H641" s="4"/>
      <c r="I641" s="26"/>
      <c r="J641" s="26"/>
      <c r="K641" s="4"/>
      <c r="L641" s="4"/>
      <c r="M641" s="4"/>
      <c r="N641" s="107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1073"/>
      <c r="C642" s="1073"/>
      <c r="D642" s="4"/>
      <c r="E642" s="4"/>
      <c r="F642" s="4"/>
      <c r="G642" s="4"/>
      <c r="H642" s="4"/>
      <c r="I642" s="26"/>
      <c r="J642" s="26"/>
      <c r="K642" s="4"/>
      <c r="L642" s="4"/>
      <c r="M642" s="4"/>
      <c r="N642" s="107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1073"/>
      <c r="C643" s="1073"/>
      <c r="D643" s="4"/>
      <c r="E643" s="4"/>
      <c r="F643" s="4"/>
      <c r="G643" s="4"/>
      <c r="H643" s="4"/>
      <c r="I643" s="26"/>
      <c r="J643" s="26"/>
      <c r="K643" s="4"/>
      <c r="L643" s="4"/>
      <c r="M643" s="4"/>
      <c r="N643" s="107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1073"/>
      <c r="C644" s="1073"/>
      <c r="D644" s="4"/>
      <c r="E644" s="4"/>
      <c r="F644" s="4"/>
      <c r="G644" s="4"/>
      <c r="H644" s="4"/>
      <c r="I644" s="26"/>
      <c r="J644" s="26"/>
      <c r="K644" s="4"/>
      <c r="L644" s="4"/>
      <c r="M644" s="4"/>
      <c r="N644" s="107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1073"/>
      <c r="C645" s="1073"/>
      <c r="D645" s="4"/>
      <c r="E645" s="4"/>
      <c r="F645" s="4"/>
      <c r="G645" s="4"/>
      <c r="H645" s="4"/>
      <c r="I645" s="26"/>
      <c r="J645" s="26"/>
      <c r="K645" s="4"/>
      <c r="L645" s="4"/>
      <c r="M645" s="4"/>
      <c r="N645" s="107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1073"/>
      <c r="C646" s="1073"/>
      <c r="D646" s="4"/>
      <c r="E646" s="4"/>
      <c r="F646" s="4"/>
      <c r="G646" s="4"/>
      <c r="H646" s="4"/>
      <c r="I646" s="26"/>
      <c r="J646" s="26"/>
      <c r="K646" s="4"/>
      <c r="L646" s="4"/>
      <c r="M646" s="4"/>
      <c r="N646" s="107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1073"/>
      <c r="C647" s="1073"/>
      <c r="D647" s="4"/>
      <c r="E647" s="4"/>
      <c r="F647" s="4"/>
      <c r="G647" s="4"/>
      <c r="H647" s="4"/>
      <c r="I647" s="26"/>
      <c r="J647" s="26"/>
      <c r="K647" s="4"/>
      <c r="L647" s="4"/>
      <c r="M647" s="4"/>
      <c r="N647" s="107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1073"/>
      <c r="C648" s="1073"/>
      <c r="D648" s="4"/>
      <c r="E648" s="4"/>
      <c r="F648" s="4"/>
      <c r="G648" s="4"/>
      <c r="H648" s="4"/>
      <c r="I648" s="26"/>
      <c r="J648" s="26"/>
      <c r="K648" s="4"/>
      <c r="L648" s="4"/>
      <c r="M648" s="4"/>
      <c r="N648" s="107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1073"/>
      <c r="C649" s="1073"/>
      <c r="D649" s="4"/>
      <c r="E649" s="4"/>
      <c r="F649" s="4"/>
      <c r="G649" s="4"/>
      <c r="H649" s="4"/>
      <c r="I649" s="26"/>
      <c r="J649" s="26"/>
      <c r="K649" s="4"/>
      <c r="L649" s="4"/>
      <c r="M649" s="4"/>
      <c r="N649" s="107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1073"/>
      <c r="C650" s="1073"/>
      <c r="D650" s="4"/>
      <c r="E650" s="4"/>
      <c r="F650" s="4"/>
      <c r="G650" s="4"/>
      <c r="H650" s="4"/>
      <c r="I650" s="26"/>
      <c r="J650" s="26"/>
      <c r="K650" s="4"/>
      <c r="L650" s="4"/>
      <c r="M650" s="4"/>
      <c r="N650" s="107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1073"/>
      <c r="C651" s="1073"/>
      <c r="D651" s="4"/>
      <c r="E651" s="4"/>
      <c r="F651" s="4"/>
      <c r="G651" s="4"/>
      <c r="H651" s="4"/>
      <c r="I651" s="26"/>
      <c r="J651" s="26"/>
      <c r="K651" s="4"/>
      <c r="L651" s="4"/>
      <c r="M651" s="4"/>
      <c r="N651" s="107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1073"/>
      <c r="C652" s="1073"/>
      <c r="D652" s="4"/>
      <c r="E652" s="4"/>
      <c r="F652" s="4"/>
      <c r="G652" s="4"/>
      <c r="H652" s="4"/>
      <c r="I652" s="26"/>
      <c r="J652" s="26"/>
      <c r="K652" s="4"/>
      <c r="L652" s="4"/>
      <c r="M652" s="4"/>
      <c r="N652" s="107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1073"/>
      <c r="C653" s="1073"/>
      <c r="D653" s="4"/>
      <c r="E653" s="4"/>
      <c r="F653" s="4"/>
      <c r="G653" s="4"/>
      <c r="H653" s="4"/>
      <c r="I653" s="26"/>
      <c r="J653" s="26"/>
      <c r="K653" s="4"/>
      <c r="L653" s="4"/>
      <c r="M653" s="4"/>
      <c r="N653" s="107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1073"/>
      <c r="C654" s="1073"/>
      <c r="D654" s="4"/>
      <c r="E654" s="4"/>
      <c r="F654" s="4"/>
      <c r="G654" s="4"/>
      <c r="H654" s="4"/>
      <c r="I654" s="26"/>
      <c r="J654" s="26"/>
      <c r="K654" s="4"/>
      <c r="L654" s="4"/>
      <c r="M654" s="4"/>
      <c r="N654" s="107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1073"/>
      <c r="C655" s="1073"/>
      <c r="D655" s="4"/>
      <c r="E655" s="4"/>
      <c r="F655" s="4"/>
      <c r="G655" s="4"/>
      <c r="H655" s="4"/>
      <c r="I655" s="26"/>
      <c r="J655" s="26"/>
      <c r="K655" s="4"/>
      <c r="L655" s="4"/>
      <c r="M655" s="4"/>
      <c r="N655" s="107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1073"/>
      <c r="C656" s="1073"/>
      <c r="D656" s="4"/>
      <c r="E656" s="4"/>
      <c r="F656" s="4"/>
      <c r="G656" s="4"/>
      <c r="H656" s="4"/>
      <c r="I656" s="26"/>
      <c r="J656" s="26"/>
      <c r="K656" s="4"/>
      <c r="L656" s="4"/>
      <c r="M656" s="4"/>
      <c r="N656" s="107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1073"/>
      <c r="C657" s="1073"/>
      <c r="D657" s="4"/>
      <c r="E657" s="4"/>
      <c r="F657" s="4"/>
      <c r="G657" s="4"/>
      <c r="H657" s="4"/>
      <c r="I657" s="26"/>
      <c r="J657" s="26"/>
      <c r="K657" s="4"/>
      <c r="L657" s="4"/>
      <c r="M657" s="4"/>
      <c r="N657" s="107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1073"/>
      <c r="C658" s="1073"/>
      <c r="D658" s="4"/>
      <c r="E658" s="4"/>
      <c r="F658" s="4"/>
      <c r="G658" s="4"/>
      <c r="H658" s="4"/>
      <c r="I658" s="26"/>
      <c r="J658" s="26"/>
      <c r="K658" s="4"/>
      <c r="L658" s="4"/>
      <c r="M658" s="4"/>
      <c r="N658" s="107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1073"/>
      <c r="C659" s="1073"/>
      <c r="D659" s="4"/>
      <c r="E659" s="4"/>
      <c r="F659" s="4"/>
      <c r="G659" s="4"/>
      <c r="H659" s="4"/>
      <c r="I659" s="26"/>
      <c r="J659" s="26"/>
      <c r="K659" s="4"/>
      <c r="L659" s="4"/>
      <c r="M659" s="4"/>
      <c r="N659" s="107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1073"/>
      <c r="C660" s="1073"/>
      <c r="D660" s="4"/>
      <c r="E660" s="4"/>
      <c r="F660" s="4"/>
      <c r="G660" s="4"/>
      <c r="H660" s="4"/>
      <c r="I660" s="26"/>
      <c r="J660" s="26"/>
      <c r="K660" s="4"/>
      <c r="L660" s="4"/>
      <c r="M660" s="4"/>
      <c r="N660" s="107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1073"/>
      <c r="C661" s="1073"/>
      <c r="D661" s="4"/>
      <c r="E661" s="4"/>
      <c r="F661" s="4"/>
      <c r="G661" s="4"/>
      <c r="H661" s="4"/>
      <c r="I661" s="26"/>
      <c r="J661" s="26"/>
      <c r="K661" s="4"/>
      <c r="L661" s="4"/>
      <c r="M661" s="4"/>
      <c r="N661" s="107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1073"/>
      <c r="C662" s="1073"/>
      <c r="D662" s="4"/>
      <c r="E662" s="4"/>
      <c r="F662" s="4"/>
      <c r="G662" s="4"/>
      <c r="H662" s="4"/>
      <c r="I662" s="26"/>
      <c r="J662" s="26"/>
      <c r="K662" s="4"/>
      <c r="L662" s="4"/>
      <c r="M662" s="4"/>
      <c r="N662" s="107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1073"/>
      <c r="C663" s="1073"/>
      <c r="D663" s="4"/>
      <c r="E663" s="4"/>
      <c r="F663" s="4"/>
      <c r="G663" s="4"/>
      <c r="H663" s="4"/>
      <c r="I663" s="26"/>
      <c r="J663" s="26"/>
      <c r="K663" s="4"/>
      <c r="L663" s="4"/>
      <c r="M663" s="4"/>
      <c r="N663" s="107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1073"/>
      <c r="C664" s="1073"/>
      <c r="D664" s="4"/>
      <c r="E664" s="4"/>
      <c r="F664" s="4"/>
      <c r="G664" s="4"/>
      <c r="H664" s="4"/>
      <c r="I664" s="26"/>
      <c r="J664" s="26"/>
      <c r="K664" s="4"/>
      <c r="L664" s="4"/>
      <c r="M664" s="4"/>
      <c r="N664" s="107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1073"/>
      <c r="C665" s="1073"/>
      <c r="D665" s="4"/>
      <c r="E665" s="4"/>
      <c r="F665" s="4"/>
      <c r="G665" s="4"/>
      <c r="H665" s="4"/>
      <c r="I665" s="26"/>
      <c r="J665" s="26"/>
      <c r="K665" s="4"/>
      <c r="L665" s="4"/>
      <c r="M665" s="4"/>
      <c r="N665" s="107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1073"/>
      <c r="C666" s="1073"/>
      <c r="D666" s="4"/>
      <c r="E666" s="4"/>
      <c r="F666" s="4"/>
      <c r="G666" s="4"/>
      <c r="H666" s="4"/>
      <c r="I666" s="26"/>
      <c r="J666" s="26"/>
      <c r="K666" s="4"/>
      <c r="L666" s="4"/>
      <c r="M666" s="4"/>
      <c r="N666" s="107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1073"/>
      <c r="C667" s="1073"/>
      <c r="D667" s="4"/>
      <c r="E667" s="4"/>
      <c r="F667" s="4"/>
      <c r="G667" s="4"/>
      <c r="H667" s="4"/>
      <c r="I667" s="26"/>
      <c r="J667" s="26"/>
      <c r="K667" s="4"/>
      <c r="L667" s="4"/>
      <c r="M667" s="4"/>
      <c r="N667" s="107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1073"/>
      <c r="C668" s="1073"/>
      <c r="D668" s="4"/>
      <c r="E668" s="4"/>
      <c r="F668" s="4"/>
      <c r="G668" s="4"/>
      <c r="H668" s="4"/>
      <c r="I668" s="26"/>
      <c r="J668" s="26"/>
      <c r="K668" s="4"/>
      <c r="L668" s="4"/>
      <c r="M668" s="4"/>
      <c r="N668" s="107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1073"/>
      <c r="C669" s="1073"/>
      <c r="D669" s="4"/>
      <c r="E669" s="4"/>
      <c r="F669" s="4"/>
      <c r="G669" s="4"/>
      <c r="H669" s="4"/>
      <c r="I669" s="26"/>
      <c r="J669" s="26"/>
      <c r="K669" s="4"/>
      <c r="L669" s="4"/>
      <c r="M669" s="4"/>
      <c r="N669" s="107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1073"/>
      <c r="C670" s="1073"/>
      <c r="D670" s="4"/>
      <c r="E670" s="4"/>
      <c r="F670" s="4"/>
      <c r="G670" s="4"/>
      <c r="H670" s="4"/>
      <c r="I670" s="26"/>
      <c r="J670" s="26"/>
      <c r="K670" s="4"/>
      <c r="L670" s="4"/>
      <c r="M670" s="4"/>
      <c r="N670" s="107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1073"/>
      <c r="C671" s="1073"/>
      <c r="D671" s="4"/>
      <c r="E671" s="4"/>
      <c r="F671" s="4"/>
      <c r="G671" s="4"/>
      <c r="H671" s="4"/>
      <c r="I671" s="26"/>
      <c r="J671" s="26"/>
      <c r="K671" s="4"/>
      <c r="L671" s="4"/>
      <c r="M671" s="4"/>
      <c r="N671" s="107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1073"/>
      <c r="C672" s="1073"/>
      <c r="D672" s="4"/>
      <c r="E672" s="4"/>
      <c r="F672" s="4"/>
      <c r="G672" s="4"/>
      <c r="H672" s="4"/>
      <c r="I672" s="26"/>
      <c r="J672" s="26"/>
      <c r="K672" s="4"/>
      <c r="L672" s="4"/>
      <c r="M672" s="4"/>
      <c r="N672" s="107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1073"/>
      <c r="C673" s="1073"/>
      <c r="D673" s="4"/>
      <c r="E673" s="4"/>
      <c r="F673" s="4"/>
      <c r="G673" s="4"/>
      <c r="H673" s="4"/>
      <c r="I673" s="26"/>
      <c r="J673" s="26"/>
      <c r="K673" s="4"/>
      <c r="L673" s="4"/>
      <c r="M673" s="4"/>
      <c r="N673" s="107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1073"/>
      <c r="C674" s="1073"/>
      <c r="D674" s="4"/>
      <c r="E674" s="4"/>
      <c r="F674" s="4"/>
      <c r="G674" s="4"/>
      <c r="H674" s="4"/>
      <c r="I674" s="26"/>
      <c r="J674" s="26"/>
      <c r="K674" s="4"/>
      <c r="L674" s="4"/>
      <c r="M674" s="4"/>
      <c r="N674" s="107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1073"/>
      <c r="C675" s="1073"/>
      <c r="D675" s="4"/>
      <c r="E675" s="4"/>
      <c r="F675" s="4"/>
      <c r="G675" s="4"/>
      <c r="H675" s="4"/>
      <c r="I675" s="26"/>
      <c r="J675" s="26"/>
      <c r="K675" s="4"/>
      <c r="L675" s="4"/>
      <c r="M675" s="4"/>
      <c r="N675" s="107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1073"/>
      <c r="C676" s="1073"/>
      <c r="D676" s="4"/>
      <c r="E676" s="4"/>
      <c r="F676" s="4"/>
      <c r="G676" s="4"/>
      <c r="H676" s="4"/>
      <c r="I676" s="26"/>
      <c r="J676" s="26"/>
      <c r="K676" s="4"/>
      <c r="L676" s="4"/>
      <c r="M676" s="4"/>
      <c r="N676" s="107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1073"/>
      <c r="C677" s="1073"/>
      <c r="D677" s="4"/>
      <c r="E677" s="4"/>
      <c r="F677" s="4"/>
      <c r="G677" s="4"/>
      <c r="H677" s="4"/>
      <c r="I677" s="26"/>
      <c r="J677" s="26"/>
      <c r="K677" s="4"/>
      <c r="L677" s="4"/>
      <c r="M677" s="4"/>
      <c r="N677" s="107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1073"/>
      <c r="C678" s="1073"/>
      <c r="D678" s="4"/>
      <c r="E678" s="4"/>
      <c r="F678" s="4"/>
      <c r="G678" s="4"/>
      <c r="H678" s="4"/>
      <c r="I678" s="26"/>
      <c r="J678" s="26"/>
      <c r="K678" s="4"/>
      <c r="L678" s="4"/>
      <c r="M678" s="4"/>
      <c r="N678" s="107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1073"/>
      <c r="C679" s="1073"/>
      <c r="D679" s="4"/>
      <c r="E679" s="4"/>
      <c r="F679" s="4"/>
      <c r="G679" s="4"/>
      <c r="H679" s="4"/>
      <c r="I679" s="26"/>
      <c r="J679" s="26"/>
      <c r="K679" s="4"/>
      <c r="L679" s="4"/>
      <c r="M679" s="4"/>
      <c r="N679" s="107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1073"/>
      <c r="C680" s="1073"/>
      <c r="D680" s="4"/>
      <c r="E680" s="4"/>
      <c r="F680" s="4"/>
      <c r="G680" s="4"/>
      <c r="H680" s="4"/>
      <c r="I680" s="26"/>
      <c r="J680" s="26"/>
      <c r="K680" s="4"/>
      <c r="L680" s="4"/>
      <c r="M680" s="4"/>
      <c r="N680" s="107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1073"/>
      <c r="C681" s="1073"/>
      <c r="D681" s="4"/>
      <c r="E681" s="4"/>
      <c r="F681" s="4"/>
      <c r="G681" s="4"/>
      <c r="H681" s="4"/>
      <c r="I681" s="26"/>
      <c r="J681" s="26"/>
      <c r="K681" s="4"/>
      <c r="L681" s="4"/>
      <c r="M681" s="4"/>
      <c r="N681" s="107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1073"/>
      <c r="C682" s="1073"/>
      <c r="D682" s="4"/>
      <c r="E682" s="4"/>
      <c r="F682" s="4"/>
      <c r="G682" s="4"/>
      <c r="H682" s="4"/>
      <c r="I682" s="26"/>
      <c r="J682" s="26"/>
      <c r="K682" s="4"/>
      <c r="L682" s="4"/>
      <c r="M682" s="4"/>
      <c r="N682" s="107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1073"/>
      <c r="C683" s="1073"/>
      <c r="D683" s="4"/>
      <c r="E683" s="4"/>
      <c r="F683" s="4"/>
      <c r="G683" s="4"/>
      <c r="H683" s="4"/>
      <c r="I683" s="26"/>
      <c r="J683" s="26"/>
      <c r="K683" s="4"/>
      <c r="L683" s="4"/>
      <c r="M683" s="4"/>
      <c r="N683" s="107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1073"/>
      <c r="C684" s="1073"/>
      <c r="D684" s="4"/>
      <c r="E684" s="4"/>
      <c r="F684" s="4"/>
      <c r="G684" s="4"/>
      <c r="H684" s="4"/>
      <c r="I684" s="26"/>
      <c r="J684" s="26"/>
      <c r="K684" s="4"/>
      <c r="L684" s="4"/>
      <c r="M684" s="4"/>
      <c r="N684" s="107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1073"/>
      <c r="C685" s="1073"/>
      <c r="D685" s="4"/>
      <c r="E685" s="4"/>
      <c r="F685" s="4"/>
      <c r="G685" s="4"/>
      <c r="H685" s="4"/>
      <c r="I685" s="26"/>
      <c r="J685" s="26"/>
      <c r="K685" s="4"/>
      <c r="L685" s="4"/>
      <c r="M685" s="4"/>
      <c r="N685" s="107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1073"/>
      <c r="C686" s="1073"/>
      <c r="D686" s="4"/>
      <c r="E686" s="4"/>
      <c r="F686" s="4"/>
      <c r="G686" s="4"/>
      <c r="H686" s="4"/>
      <c r="I686" s="26"/>
      <c r="J686" s="26"/>
      <c r="K686" s="4"/>
      <c r="L686" s="4"/>
      <c r="M686" s="4"/>
      <c r="N686" s="107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1073"/>
      <c r="C687" s="1073"/>
      <c r="D687" s="4"/>
      <c r="E687" s="4"/>
      <c r="F687" s="4"/>
      <c r="G687" s="4"/>
      <c r="H687" s="4"/>
      <c r="I687" s="26"/>
      <c r="J687" s="26"/>
      <c r="K687" s="4"/>
      <c r="L687" s="4"/>
      <c r="M687" s="4"/>
      <c r="N687" s="107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1073"/>
      <c r="C688" s="1073"/>
      <c r="D688" s="4"/>
      <c r="E688" s="4"/>
      <c r="F688" s="4"/>
      <c r="G688" s="4"/>
      <c r="H688" s="4"/>
      <c r="I688" s="26"/>
      <c r="J688" s="26"/>
      <c r="K688" s="4"/>
      <c r="L688" s="4"/>
      <c r="M688" s="4"/>
      <c r="N688" s="107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1073"/>
      <c r="C689" s="1073"/>
      <c r="D689" s="4"/>
      <c r="E689" s="4"/>
      <c r="F689" s="4"/>
      <c r="G689" s="4"/>
      <c r="H689" s="4"/>
      <c r="I689" s="26"/>
      <c r="J689" s="26"/>
      <c r="K689" s="4"/>
      <c r="L689" s="4"/>
      <c r="M689" s="4"/>
      <c r="N689" s="107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1073"/>
      <c r="C690" s="1073"/>
      <c r="D690" s="4"/>
      <c r="E690" s="4"/>
      <c r="F690" s="4"/>
      <c r="G690" s="4"/>
      <c r="H690" s="4"/>
      <c r="I690" s="26"/>
      <c r="J690" s="26"/>
      <c r="K690" s="4"/>
      <c r="L690" s="4"/>
      <c r="M690" s="4"/>
      <c r="N690" s="107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1073"/>
      <c r="C691" s="1073"/>
      <c r="D691" s="4"/>
      <c r="E691" s="4"/>
      <c r="F691" s="4"/>
      <c r="G691" s="4"/>
      <c r="H691" s="4"/>
      <c r="I691" s="26"/>
      <c r="J691" s="26"/>
      <c r="K691" s="4"/>
      <c r="L691" s="4"/>
      <c r="M691" s="4"/>
      <c r="N691" s="107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1073"/>
      <c r="C692" s="1073"/>
      <c r="D692" s="4"/>
      <c r="E692" s="4"/>
      <c r="F692" s="4"/>
      <c r="G692" s="4"/>
      <c r="H692" s="4"/>
      <c r="I692" s="26"/>
      <c r="J692" s="26"/>
      <c r="K692" s="4"/>
      <c r="L692" s="4"/>
      <c r="M692" s="4"/>
      <c r="N692" s="107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1073"/>
      <c r="C693" s="1073"/>
      <c r="D693" s="4"/>
      <c r="E693" s="4"/>
      <c r="F693" s="4"/>
      <c r="G693" s="4"/>
      <c r="H693" s="4"/>
      <c r="I693" s="26"/>
      <c r="J693" s="26"/>
      <c r="K693" s="4"/>
      <c r="L693" s="4"/>
      <c r="M693" s="4"/>
      <c r="N693" s="107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1073"/>
      <c r="C694" s="1073"/>
      <c r="D694" s="4"/>
      <c r="E694" s="4"/>
      <c r="F694" s="4"/>
      <c r="G694" s="4"/>
      <c r="H694" s="4"/>
      <c r="I694" s="26"/>
      <c r="J694" s="26"/>
      <c r="K694" s="4"/>
      <c r="L694" s="4"/>
      <c r="M694" s="4"/>
      <c r="N694" s="107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1073"/>
      <c r="C695" s="1073"/>
      <c r="D695" s="4"/>
      <c r="E695" s="4"/>
      <c r="F695" s="4"/>
      <c r="G695" s="4"/>
      <c r="H695" s="4"/>
      <c r="I695" s="26"/>
      <c r="J695" s="26"/>
      <c r="K695" s="4"/>
      <c r="L695" s="4"/>
      <c r="M695" s="4"/>
      <c r="N695" s="107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1073"/>
      <c r="C696" s="1073"/>
      <c r="D696" s="4"/>
      <c r="E696" s="4"/>
      <c r="F696" s="4"/>
      <c r="G696" s="4"/>
      <c r="H696" s="4"/>
      <c r="I696" s="26"/>
      <c r="J696" s="26"/>
      <c r="K696" s="4"/>
      <c r="L696" s="4"/>
      <c r="M696" s="4"/>
      <c r="N696" s="107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1073"/>
      <c r="C697" s="1073"/>
      <c r="D697" s="4"/>
      <c r="E697" s="4"/>
      <c r="F697" s="4"/>
      <c r="G697" s="4"/>
      <c r="H697" s="4"/>
      <c r="I697" s="26"/>
      <c r="J697" s="26"/>
      <c r="K697" s="4"/>
      <c r="L697" s="4"/>
      <c r="M697" s="4"/>
      <c r="N697" s="107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1073"/>
      <c r="C698" s="1073"/>
      <c r="D698" s="4"/>
      <c r="E698" s="4"/>
      <c r="F698" s="4"/>
      <c r="G698" s="4"/>
      <c r="H698" s="4"/>
      <c r="I698" s="26"/>
      <c r="J698" s="26"/>
      <c r="K698" s="4"/>
      <c r="L698" s="4"/>
      <c r="M698" s="4"/>
      <c r="N698" s="107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1073"/>
      <c r="C699" s="1073"/>
      <c r="D699" s="4"/>
      <c r="E699" s="4"/>
      <c r="F699" s="4"/>
      <c r="G699" s="4"/>
      <c r="H699" s="4"/>
      <c r="I699" s="26"/>
      <c r="J699" s="26"/>
      <c r="K699" s="4"/>
      <c r="L699" s="4"/>
      <c r="M699" s="4"/>
      <c r="N699" s="107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1073"/>
      <c r="C700" s="1073"/>
      <c r="D700" s="4"/>
      <c r="E700" s="4"/>
      <c r="F700" s="4"/>
      <c r="G700" s="4"/>
      <c r="H700" s="4"/>
      <c r="I700" s="26"/>
      <c r="J700" s="26"/>
      <c r="K700" s="4"/>
      <c r="L700" s="4"/>
      <c r="M700" s="4"/>
      <c r="N700" s="107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1073"/>
      <c r="C701" s="1073"/>
      <c r="D701" s="4"/>
      <c r="E701" s="4"/>
      <c r="F701" s="4"/>
      <c r="G701" s="4"/>
      <c r="H701" s="4"/>
      <c r="I701" s="26"/>
      <c r="J701" s="26"/>
      <c r="K701" s="4"/>
      <c r="L701" s="4"/>
      <c r="M701" s="4"/>
      <c r="N701" s="107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1073"/>
      <c r="C702" s="1073"/>
      <c r="D702" s="4"/>
      <c r="E702" s="4"/>
      <c r="F702" s="4"/>
      <c r="G702" s="4"/>
      <c r="H702" s="4"/>
      <c r="I702" s="26"/>
      <c r="J702" s="26"/>
      <c r="K702" s="4"/>
      <c r="L702" s="4"/>
      <c r="M702" s="4"/>
      <c r="N702" s="107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1073"/>
      <c r="C703" s="1073"/>
      <c r="D703" s="4"/>
      <c r="E703" s="4"/>
      <c r="F703" s="4"/>
      <c r="G703" s="4"/>
      <c r="H703" s="4"/>
      <c r="I703" s="26"/>
      <c r="J703" s="26"/>
      <c r="K703" s="4"/>
      <c r="L703" s="4"/>
      <c r="M703" s="4"/>
      <c r="N703" s="107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1073"/>
      <c r="C704" s="1073"/>
      <c r="D704" s="4"/>
      <c r="E704" s="4"/>
      <c r="F704" s="4"/>
      <c r="G704" s="4"/>
      <c r="H704" s="4"/>
      <c r="I704" s="26"/>
      <c r="J704" s="26"/>
      <c r="K704" s="4"/>
      <c r="L704" s="4"/>
      <c r="M704" s="4"/>
      <c r="N704" s="107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1073"/>
      <c r="C705" s="1073"/>
      <c r="D705" s="4"/>
      <c r="E705" s="4"/>
      <c r="F705" s="4"/>
      <c r="G705" s="4"/>
      <c r="H705" s="4"/>
      <c r="I705" s="26"/>
      <c r="J705" s="26"/>
      <c r="K705" s="4"/>
      <c r="L705" s="4"/>
      <c r="M705" s="4"/>
      <c r="N705" s="107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1073"/>
      <c r="C706" s="1073"/>
      <c r="D706" s="4"/>
      <c r="E706" s="4"/>
      <c r="F706" s="4"/>
      <c r="G706" s="4"/>
      <c r="H706" s="4"/>
      <c r="I706" s="26"/>
      <c r="J706" s="26"/>
      <c r="K706" s="4"/>
      <c r="L706" s="4"/>
      <c r="M706" s="4"/>
      <c r="N706" s="107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1073"/>
      <c r="C707" s="1073"/>
      <c r="D707" s="4"/>
      <c r="E707" s="4"/>
      <c r="F707" s="4"/>
      <c r="G707" s="4"/>
      <c r="H707" s="4"/>
      <c r="I707" s="26"/>
      <c r="J707" s="26"/>
      <c r="K707" s="4"/>
      <c r="L707" s="4"/>
      <c r="M707" s="4"/>
      <c r="N707" s="107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1073"/>
      <c r="C708" s="1073"/>
      <c r="D708" s="4"/>
      <c r="E708" s="4"/>
      <c r="F708" s="4"/>
      <c r="G708" s="4"/>
      <c r="H708" s="4"/>
      <c r="I708" s="26"/>
      <c r="J708" s="26"/>
      <c r="K708" s="4"/>
      <c r="L708" s="4"/>
      <c r="M708" s="4"/>
      <c r="N708" s="107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1073"/>
      <c r="C709" s="1073"/>
      <c r="D709" s="4"/>
      <c r="E709" s="4"/>
      <c r="F709" s="4"/>
      <c r="G709" s="4"/>
      <c r="H709" s="4"/>
      <c r="I709" s="26"/>
      <c r="J709" s="26"/>
      <c r="K709" s="4"/>
      <c r="L709" s="4"/>
      <c r="M709" s="4"/>
      <c r="N709" s="107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1073"/>
      <c r="C710" s="1073"/>
      <c r="D710" s="4"/>
      <c r="E710" s="4"/>
      <c r="F710" s="4"/>
      <c r="G710" s="4"/>
      <c r="H710" s="4"/>
      <c r="I710" s="26"/>
      <c r="J710" s="26"/>
      <c r="K710" s="4"/>
      <c r="L710" s="4"/>
      <c r="M710" s="4"/>
      <c r="N710" s="107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1073"/>
      <c r="C711" s="1073"/>
      <c r="D711" s="4"/>
      <c r="E711" s="4"/>
      <c r="F711" s="4"/>
      <c r="G711" s="4"/>
      <c r="H711" s="4"/>
      <c r="I711" s="26"/>
      <c r="J711" s="26"/>
      <c r="K711" s="4"/>
      <c r="L711" s="4"/>
      <c r="M711" s="4"/>
      <c r="N711" s="107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1073"/>
      <c r="C712" s="1073"/>
      <c r="D712" s="4"/>
      <c r="E712" s="4"/>
      <c r="F712" s="4"/>
      <c r="G712" s="4"/>
      <c r="H712" s="4"/>
      <c r="I712" s="26"/>
      <c r="J712" s="26"/>
      <c r="K712" s="4"/>
      <c r="L712" s="4"/>
      <c r="M712" s="4"/>
      <c r="N712" s="107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1073"/>
      <c r="C713" s="1073"/>
      <c r="D713" s="4"/>
      <c r="E713" s="4"/>
      <c r="F713" s="4"/>
      <c r="G713" s="4"/>
      <c r="H713" s="4"/>
      <c r="I713" s="26"/>
      <c r="J713" s="26"/>
      <c r="K713" s="4"/>
      <c r="L713" s="4"/>
      <c r="M713" s="4"/>
      <c r="N713" s="107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1073"/>
      <c r="C714" s="1073"/>
      <c r="D714" s="4"/>
      <c r="E714" s="4"/>
      <c r="F714" s="4"/>
      <c r="G714" s="4"/>
      <c r="H714" s="4"/>
      <c r="I714" s="26"/>
      <c r="J714" s="26"/>
      <c r="K714" s="4"/>
      <c r="L714" s="4"/>
      <c r="M714" s="4"/>
      <c r="N714" s="107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1073"/>
      <c r="C715" s="1073"/>
      <c r="D715" s="4"/>
      <c r="E715" s="4"/>
      <c r="F715" s="4"/>
      <c r="G715" s="4"/>
      <c r="H715" s="4"/>
      <c r="I715" s="26"/>
      <c r="J715" s="26"/>
      <c r="K715" s="4"/>
      <c r="L715" s="4"/>
      <c r="M715" s="4"/>
      <c r="N715" s="107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1073"/>
      <c r="C716" s="1073"/>
      <c r="D716" s="4"/>
      <c r="E716" s="4"/>
      <c r="F716" s="4"/>
      <c r="G716" s="4"/>
      <c r="H716" s="4"/>
      <c r="I716" s="26"/>
      <c r="J716" s="26"/>
      <c r="K716" s="4"/>
      <c r="L716" s="4"/>
      <c r="M716" s="4"/>
      <c r="N716" s="107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1073"/>
      <c r="C717" s="1073"/>
      <c r="D717" s="4"/>
      <c r="E717" s="4"/>
      <c r="F717" s="4"/>
      <c r="G717" s="4"/>
      <c r="H717" s="4"/>
      <c r="I717" s="26"/>
      <c r="J717" s="26"/>
      <c r="K717" s="4"/>
      <c r="L717" s="4"/>
      <c r="M717" s="4"/>
      <c r="N717" s="107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1073"/>
      <c r="C718" s="1073"/>
      <c r="D718" s="4"/>
      <c r="E718" s="4"/>
      <c r="F718" s="4"/>
      <c r="G718" s="4"/>
      <c r="H718" s="4"/>
      <c r="I718" s="26"/>
      <c r="J718" s="26"/>
      <c r="K718" s="4"/>
      <c r="L718" s="4"/>
      <c r="M718" s="4"/>
      <c r="N718" s="107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1073"/>
      <c r="C719" s="1073"/>
      <c r="D719" s="4"/>
      <c r="E719" s="4"/>
      <c r="F719" s="4"/>
      <c r="G719" s="4"/>
      <c r="H719" s="4"/>
      <c r="I719" s="26"/>
      <c r="J719" s="26"/>
      <c r="K719" s="4"/>
      <c r="L719" s="4"/>
      <c r="M719" s="4"/>
      <c r="N719" s="107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1073"/>
      <c r="C720" s="1073"/>
      <c r="D720" s="4"/>
      <c r="E720" s="4"/>
      <c r="F720" s="4"/>
      <c r="G720" s="4"/>
      <c r="H720" s="4"/>
      <c r="I720" s="26"/>
      <c r="J720" s="26"/>
      <c r="K720" s="4"/>
      <c r="L720" s="4"/>
      <c r="M720" s="4"/>
      <c r="N720" s="107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1073"/>
      <c r="C721" s="1073"/>
      <c r="D721" s="4"/>
      <c r="E721" s="4"/>
      <c r="F721" s="4"/>
      <c r="G721" s="4"/>
      <c r="H721" s="4"/>
      <c r="I721" s="26"/>
      <c r="J721" s="26"/>
      <c r="K721" s="4"/>
      <c r="L721" s="4"/>
      <c r="M721" s="4"/>
      <c r="N721" s="107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1073"/>
      <c r="C722" s="1073"/>
      <c r="D722" s="4"/>
      <c r="E722" s="4"/>
      <c r="F722" s="4"/>
      <c r="G722" s="4"/>
      <c r="H722" s="4"/>
      <c r="I722" s="26"/>
      <c r="J722" s="26"/>
      <c r="K722" s="4"/>
      <c r="L722" s="4"/>
      <c r="M722" s="4"/>
      <c r="N722" s="107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1073"/>
      <c r="C723" s="1073"/>
      <c r="D723" s="4"/>
      <c r="E723" s="4"/>
      <c r="F723" s="4"/>
      <c r="G723" s="4"/>
      <c r="H723" s="4"/>
      <c r="I723" s="26"/>
      <c r="J723" s="26"/>
      <c r="K723" s="4"/>
      <c r="L723" s="4"/>
      <c r="M723" s="4"/>
      <c r="N723" s="107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1073"/>
      <c r="C724" s="1073"/>
      <c r="D724" s="4"/>
      <c r="E724" s="4"/>
      <c r="F724" s="4"/>
      <c r="G724" s="4"/>
      <c r="H724" s="4"/>
      <c r="I724" s="26"/>
      <c r="J724" s="26"/>
      <c r="K724" s="4"/>
      <c r="L724" s="4"/>
      <c r="M724" s="4"/>
      <c r="N724" s="107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1073"/>
      <c r="C725" s="1073"/>
      <c r="D725" s="4"/>
      <c r="E725" s="4"/>
      <c r="F725" s="4"/>
      <c r="G725" s="4"/>
      <c r="H725" s="4"/>
      <c r="I725" s="26"/>
      <c r="J725" s="26"/>
      <c r="K725" s="4"/>
      <c r="L725" s="4"/>
      <c r="M725" s="4"/>
      <c r="N725" s="107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1073"/>
      <c r="C726" s="1073"/>
      <c r="D726" s="4"/>
      <c r="E726" s="4"/>
      <c r="F726" s="4"/>
      <c r="G726" s="4"/>
      <c r="H726" s="4"/>
      <c r="I726" s="26"/>
      <c r="J726" s="26"/>
      <c r="K726" s="4"/>
      <c r="L726" s="4"/>
      <c r="M726" s="4"/>
      <c r="N726" s="107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1073"/>
      <c r="C727" s="1073"/>
      <c r="D727" s="4"/>
      <c r="E727" s="4"/>
      <c r="F727" s="4"/>
      <c r="G727" s="4"/>
      <c r="H727" s="4"/>
      <c r="I727" s="26"/>
      <c r="J727" s="26"/>
      <c r="K727" s="4"/>
      <c r="L727" s="4"/>
      <c r="M727" s="4"/>
      <c r="N727" s="107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1073"/>
      <c r="C728" s="1073"/>
      <c r="D728" s="4"/>
      <c r="E728" s="4"/>
      <c r="F728" s="4"/>
      <c r="G728" s="4"/>
      <c r="H728" s="4"/>
      <c r="I728" s="26"/>
      <c r="J728" s="26"/>
      <c r="K728" s="4"/>
      <c r="L728" s="4"/>
      <c r="M728" s="4"/>
      <c r="N728" s="107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1073"/>
      <c r="C729" s="1073"/>
      <c r="D729" s="4"/>
      <c r="E729" s="4"/>
      <c r="F729" s="4"/>
      <c r="G729" s="4"/>
      <c r="H729" s="4"/>
      <c r="I729" s="26"/>
      <c r="J729" s="26"/>
      <c r="K729" s="4"/>
      <c r="L729" s="4"/>
      <c r="M729" s="4"/>
      <c r="N729" s="107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1073"/>
      <c r="C730" s="1073"/>
      <c r="D730" s="4"/>
      <c r="E730" s="4"/>
      <c r="F730" s="4"/>
      <c r="G730" s="4"/>
      <c r="H730" s="4"/>
      <c r="I730" s="26"/>
      <c r="J730" s="26"/>
      <c r="K730" s="4"/>
      <c r="L730" s="4"/>
      <c r="M730" s="4"/>
      <c r="N730" s="107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1073"/>
      <c r="C731" s="1073"/>
      <c r="D731" s="4"/>
      <c r="E731" s="4"/>
      <c r="F731" s="4"/>
      <c r="G731" s="4"/>
      <c r="H731" s="4"/>
      <c r="I731" s="26"/>
      <c r="J731" s="26"/>
      <c r="K731" s="4"/>
      <c r="L731" s="4"/>
      <c r="M731" s="4"/>
      <c r="N731" s="107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1073"/>
      <c r="C732" s="1073"/>
      <c r="D732" s="4"/>
      <c r="E732" s="4"/>
      <c r="F732" s="4"/>
      <c r="G732" s="4"/>
      <c r="H732" s="4"/>
      <c r="I732" s="26"/>
      <c r="J732" s="26"/>
      <c r="K732" s="4"/>
      <c r="L732" s="4"/>
      <c r="M732" s="4"/>
      <c r="N732" s="107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1073"/>
      <c r="C733" s="1073"/>
      <c r="D733" s="4"/>
      <c r="E733" s="4"/>
      <c r="F733" s="4"/>
      <c r="G733" s="4"/>
      <c r="H733" s="4"/>
      <c r="I733" s="26"/>
      <c r="J733" s="26"/>
      <c r="K733" s="4"/>
      <c r="L733" s="4"/>
      <c r="M733" s="4"/>
      <c r="N733" s="107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1073"/>
      <c r="C734" s="1073"/>
      <c r="D734" s="4"/>
      <c r="E734" s="4"/>
      <c r="F734" s="4"/>
      <c r="G734" s="4"/>
      <c r="H734" s="4"/>
      <c r="I734" s="26"/>
      <c r="J734" s="26"/>
      <c r="K734" s="4"/>
      <c r="L734" s="4"/>
      <c r="M734" s="4"/>
      <c r="N734" s="107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1073"/>
      <c r="C735" s="1073"/>
      <c r="D735" s="4"/>
      <c r="E735" s="4"/>
      <c r="F735" s="4"/>
      <c r="G735" s="4"/>
      <c r="H735" s="4"/>
      <c r="I735" s="26"/>
      <c r="J735" s="26"/>
      <c r="K735" s="4"/>
      <c r="L735" s="4"/>
      <c r="M735" s="4"/>
      <c r="N735" s="107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1073"/>
      <c r="C736" s="1073"/>
      <c r="D736" s="4"/>
      <c r="E736" s="4"/>
      <c r="F736" s="4"/>
      <c r="G736" s="4"/>
      <c r="H736" s="4"/>
      <c r="I736" s="26"/>
      <c r="J736" s="26"/>
      <c r="K736" s="4"/>
      <c r="L736" s="4"/>
      <c r="M736" s="4"/>
      <c r="N736" s="107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1073"/>
      <c r="C737" s="1073"/>
      <c r="D737" s="4"/>
      <c r="E737" s="4"/>
      <c r="F737" s="4"/>
      <c r="G737" s="4"/>
      <c r="H737" s="4"/>
      <c r="I737" s="26"/>
      <c r="J737" s="26"/>
      <c r="K737" s="4"/>
      <c r="L737" s="4"/>
      <c r="M737" s="4"/>
      <c r="N737" s="107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1073"/>
      <c r="C738" s="1073"/>
      <c r="D738" s="4"/>
      <c r="E738" s="4"/>
      <c r="F738" s="4"/>
      <c r="G738" s="4"/>
      <c r="H738" s="4"/>
      <c r="I738" s="26"/>
      <c r="J738" s="26"/>
      <c r="K738" s="4"/>
      <c r="L738" s="4"/>
      <c r="M738" s="4"/>
      <c r="N738" s="107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1073"/>
      <c r="C739" s="1073"/>
      <c r="D739" s="4"/>
      <c r="E739" s="4"/>
      <c r="F739" s="4"/>
      <c r="G739" s="4"/>
      <c r="H739" s="4"/>
      <c r="I739" s="26"/>
      <c r="J739" s="26"/>
      <c r="K739" s="4"/>
      <c r="L739" s="4"/>
      <c r="M739" s="4"/>
      <c r="N739" s="107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1073"/>
      <c r="C740" s="1073"/>
      <c r="D740" s="4"/>
      <c r="E740" s="4"/>
      <c r="F740" s="4"/>
      <c r="G740" s="4"/>
      <c r="H740" s="4"/>
      <c r="I740" s="26"/>
      <c r="J740" s="26"/>
      <c r="K740" s="4"/>
      <c r="L740" s="4"/>
      <c r="M740" s="4"/>
      <c r="N740" s="107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1073"/>
      <c r="C741" s="1073"/>
      <c r="D741" s="4"/>
      <c r="E741" s="4"/>
      <c r="F741" s="4"/>
      <c r="G741" s="4"/>
      <c r="H741" s="4"/>
      <c r="I741" s="26"/>
      <c r="J741" s="26"/>
      <c r="K741" s="4"/>
      <c r="L741" s="4"/>
      <c r="M741" s="4"/>
      <c r="N741" s="107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1073"/>
      <c r="C742" s="1073"/>
      <c r="D742" s="4"/>
      <c r="E742" s="4"/>
      <c r="F742" s="4"/>
      <c r="G742" s="4"/>
      <c r="H742" s="4"/>
      <c r="I742" s="26"/>
      <c r="J742" s="26"/>
      <c r="K742" s="4"/>
      <c r="L742" s="4"/>
      <c r="M742" s="4"/>
      <c r="N742" s="107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1073"/>
      <c r="C743" s="1073"/>
      <c r="D743" s="4"/>
      <c r="E743" s="4"/>
      <c r="F743" s="4"/>
      <c r="G743" s="4"/>
      <c r="H743" s="4"/>
      <c r="I743" s="26"/>
      <c r="J743" s="26"/>
      <c r="K743" s="4"/>
      <c r="L743" s="4"/>
      <c r="M743" s="4"/>
      <c r="N743" s="107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1073"/>
      <c r="C744" s="1073"/>
      <c r="D744" s="4"/>
      <c r="E744" s="4"/>
      <c r="F744" s="4"/>
      <c r="G744" s="4"/>
      <c r="H744" s="4"/>
      <c r="I744" s="26"/>
      <c r="J744" s="26"/>
      <c r="K744" s="4"/>
      <c r="L744" s="4"/>
      <c r="M744" s="4"/>
      <c r="N744" s="107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1073"/>
      <c r="C745" s="1073"/>
      <c r="D745" s="4"/>
      <c r="E745" s="4"/>
      <c r="F745" s="4"/>
      <c r="G745" s="4"/>
      <c r="H745" s="4"/>
      <c r="I745" s="26"/>
      <c r="J745" s="26"/>
      <c r="K745" s="4"/>
      <c r="L745" s="4"/>
      <c r="M745" s="4"/>
      <c r="N745" s="107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1073"/>
      <c r="C746" s="1073"/>
      <c r="D746" s="4"/>
      <c r="E746" s="4"/>
      <c r="F746" s="4"/>
      <c r="G746" s="4"/>
      <c r="H746" s="4"/>
      <c r="I746" s="26"/>
      <c r="J746" s="26"/>
      <c r="K746" s="4"/>
      <c r="L746" s="4"/>
      <c r="M746" s="4"/>
      <c r="N746" s="107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1073"/>
      <c r="C747" s="1073"/>
      <c r="D747" s="4"/>
      <c r="E747" s="4"/>
      <c r="F747" s="4"/>
      <c r="G747" s="4"/>
      <c r="H747" s="4"/>
      <c r="I747" s="26"/>
      <c r="J747" s="26"/>
      <c r="K747" s="4"/>
      <c r="L747" s="4"/>
      <c r="M747" s="4"/>
      <c r="N747" s="107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1073"/>
      <c r="C748" s="1073"/>
      <c r="D748" s="4"/>
      <c r="E748" s="4"/>
      <c r="F748" s="4"/>
      <c r="G748" s="4"/>
      <c r="H748" s="4"/>
      <c r="I748" s="26"/>
      <c r="J748" s="26"/>
      <c r="K748" s="4"/>
      <c r="L748" s="4"/>
      <c r="M748" s="4"/>
      <c r="N748" s="107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1073"/>
      <c r="C749" s="1073"/>
      <c r="D749" s="4"/>
      <c r="E749" s="4"/>
      <c r="F749" s="4"/>
      <c r="G749" s="4"/>
      <c r="H749" s="4"/>
      <c r="I749" s="26"/>
      <c r="J749" s="26"/>
      <c r="K749" s="4"/>
      <c r="L749" s="4"/>
      <c r="M749" s="4"/>
      <c r="N749" s="107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1073"/>
      <c r="C750" s="1073"/>
      <c r="D750" s="4"/>
      <c r="E750" s="4"/>
      <c r="F750" s="4"/>
      <c r="G750" s="4"/>
      <c r="H750" s="4"/>
      <c r="I750" s="26"/>
      <c r="J750" s="26"/>
      <c r="K750" s="4"/>
      <c r="L750" s="4"/>
      <c r="M750" s="4"/>
      <c r="N750" s="107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1073"/>
      <c r="C751" s="1073"/>
      <c r="D751" s="4"/>
      <c r="E751" s="4"/>
      <c r="F751" s="4"/>
      <c r="G751" s="4"/>
      <c r="H751" s="4"/>
      <c r="I751" s="26"/>
      <c r="J751" s="26"/>
      <c r="K751" s="4"/>
      <c r="L751" s="4"/>
      <c r="M751" s="4"/>
      <c r="N751" s="107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1073"/>
      <c r="C752" s="1073"/>
      <c r="D752" s="4"/>
      <c r="E752" s="4"/>
      <c r="F752" s="4"/>
      <c r="G752" s="4"/>
      <c r="H752" s="4"/>
      <c r="I752" s="26"/>
      <c r="J752" s="26"/>
      <c r="K752" s="4"/>
      <c r="L752" s="4"/>
      <c r="M752" s="4"/>
      <c r="N752" s="107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1073"/>
      <c r="C753" s="1073"/>
      <c r="D753" s="4"/>
      <c r="E753" s="4"/>
      <c r="F753" s="4"/>
      <c r="G753" s="4"/>
      <c r="H753" s="4"/>
      <c r="I753" s="26"/>
      <c r="J753" s="26"/>
      <c r="K753" s="4"/>
      <c r="L753" s="4"/>
      <c r="M753" s="4"/>
      <c r="N753" s="107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1073"/>
      <c r="C754" s="1073"/>
      <c r="D754" s="4"/>
      <c r="E754" s="4"/>
      <c r="F754" s="4"/>
      <c r="G754" s="4"/>
      <c r="H754" s="4"/>
      <c r="I754" s="26"/>
      <c r="J754" s="26"/>
      <c r="K754" s="4"/>
      <c r="L754" s="4"/>
      <c r="M754" s="4"/>
      <c r="N754" s="107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1073"/>
      <c r="C755" s="1073"/>
      <c r="D755" s="4"/>
      <c r="E755" s="4"/>
      <c r="F755" s="4"/>
      <c r="G755" s="4"/>
      <c r="H755" s="4"/>
      <c r="I755" s="26"/>
      <c r="J755" s="26"/>
      <c r="K755" s="4"/>
      <c r="L755" s="4"/>
      <c r="M755" s="4"/>
      <c r="N755" s="107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1073"/>
      <c r="C756" s="1073"/>
      <c r="D756" s="4"/>
      <c r="E756" s="4"/>
      <c r="F756" s="4"/>
      <c r="G756" s="4"/>
      <c r="H756" s="4"/>
      <c r="I756" s="26"/>
      <c r="J756" s="26"/>
      <c r="K756" s="4"/>
      <c r="L756" s="4"/>
      <c r="M756" s="4"/>
      <c r="N756" s="107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1073"/>
      <c r="C757" s="1073"/>
      <c r="D757" s="4"/>
      <c r="E757" s="4"/>
      <c r="F757" s="4"/>
      <c r="G757" s="4"/>
      <c r="H757" s="4"/>
      <c r="I757" s="26"/>
      <c r="J757" s="26"/>
      <c r="K757" s="4"/>
      <c r="L757" s="4"/>
      <c r="M757" s="4"/>
      <c r="N757" s="107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1073"/>
      <c r="C758" s="1073"/>
      <c r="D758" s="4"/>
      <c r="E758" s="4"/>
      <c r="F758" s="4"/>
      <c r="G758" s="4"/>
      <c r="H758" s="4"/>
      <c r="I758" s="26"/>
      <c r="J758" s="26"/>
      <c r="K758" s="4"/>
      <c r="L758" s="4"/>
      <c r="M758" s="4"/>
      <c r="N758" s="107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1073"/>
      <c r="C759" s="1073"/>
      <c r="D759" s="4"/>
      <c r="E759" s="4"/>
      <c r="F759" s="4"/>
      <c r="G759" s="4"/>
      <c r="H759" s="4"/>
      <c r="I759" s="26"/>
      <c r="J759" s="26"/>
      <c r="K759" s="4"/>
      <c r="L759" s="4"/>
      <c r="M759" s="4"/>
      <c r="N759" s="107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1073"/>
      <c r="C760" s="1073"/>
      <c r="D760" s="4"/>
      <c r="E760" s="4"/>
      <c r="F760" s="4"/>
      <c r="G760" s="4"/>
      <c r="H760" s="4"/>
      <c r="I760" s="26"/>
      <c r="J760" s="26"/>
      <c r="K760" s="4"/>
      <c r="L760" s="4"/>
      <c r="M760" s="4"/>
      <c r="N760" s="107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1073"/>
      <c r="C761" s="1073"/>
      <c r="D761" s="4"/>
      <c r="E761" s="4"/>
      <c r="F761" s="4"/>
      <c r="G761" s="4"/>
      <c r="H761" s="4"/>
      <c r="I761" s="26"/>
      <c r="J761" s="26"/>
      <c r="K761" s="4"/>
      <c r="L761" s="4"/>
      <c r="M761" s="4"/>
      <c r="N761" s="107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1073"/>
      <c r="C762" s="1073"/>
      <c r="D762" s="4"/>
      <c r="E762" s="4"/>
      <c r="F762" s="4"/>
      <c r="G762" s="4"/>
      <c r="H762" s="4"/>
      <c r="I762" s="26"/>
      <c r="J762" s="26"/>
      <c r="K762" s="4"/>
      <c r="L762" s="4"/>
      <c r="M762" s="4"/>
      <c r="N762" s="107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1073"/>
      <c r="C763" s="1073"/>
      <c r="D763" s="4"/>
      <c r="E763" s="4"/>
      <c r="F763" s="4"/>
      <c r="G763" s="4"/>
      <c r="H763" s="4"/>
      <c r="I763" s="26"/>
      <c r="J763" s="26"/>
      <c r="K763" s="4"/>
      <c r="L763" s="4"/>
      <c r="M763" s="4"/>
      <c r="N763" s="107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1073"/>
      <c r="C764" s="1073"/>
      <c r="D764" s="4"/>
      <c r="E764" s="4"/>
      <c r="F764" s="4"/>
      <c r="G764" s="4"/>
      <c r="H764" s="4"/>
      <c r="I764" s="26"/>
      <c r="J764" s="26"/>
      <c r="K764" s="4"/>
      <c r="L764" s="4"/>
      <c r="M764" s="4"/>
      <c r="N764" s="107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1073"/>
      <c r="C765" s="1073"/>
      <c r="D765" s="4"/>
      <c r="E765" s="4"/>
      <c r="F765" s="4"/>
      <c r="G765" s="4"/>
      <c r="H765" s="4"/>
      <c r="I765" s="26"/>
      <c r="J765" s="26"/>
      <c r="K765" s="4"/>
      <c r="L765" s="4"/>
      <c r="M765" s="4"/>
      <c r="N765" s="107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1073"/>
      <c r="C766" s="1073"/>
      <c r="D766" s="4"/>
      <c r="E766" s="4"/>
      <c r="F766" s="4"/>
      <c r="G766" s="4"/>
      <c r="H766" s="4"/>
      <c r="I766" s="26"/>
      <c r="J766" s="26"/>
      <c r="K766" s="4"/>
      <c r="L766" s="4"/>
      <c r="M766" s="4"/>
      <c r="N766" s="107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1073"/>
      <c r="C767" s="1073"/>
      <c r="D767" s="4"/>
      <c r="E767" s="4"/>
      <c r="F767" s="4"/>
      <c r="G767" s="4"/>
      <c r="H767" s="4"/>
      <c r="I767" s="26"/>
      <c r="J767" s="26"/>
      <c r="K767" s="4"/>
      <c r="L767" s="4"/>
      <c r="M767" s="4"/>
      <c r="N767" s="107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1073"/>
      <c r="C768" s="1073"/>
      <c r="D768" s="4"/>
      <c r="E768" s="4"/>
      <c r="F768" s="4"/>
      <c r="G768" s="4"/>
      <c r="H768" s="4"/>
      <c r="I768" s="26"/>
      <c r="J768" s="26"/>
      <c r="K768" s="4"/>
      <c r="L768" s="4"/>
      <c r="M768" s="4"/>
      <c r="N768" s="107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1073"/>
      <c r="C769" s="1073"/>
      <c r="D769" s="4"/>
      <c r="E769" s="4"/>
      <c r="F769" s="4"/>
      <c r="G769" s="4"/>
      <c r="H769" s="4"/>
      <c r="I769" s="26"/>
      <c r="J769" s="26"/>
      <c r="K769" s="4"/>
      <c r="L769" s="4"/>
      <c r="M769" s="4"/>
      <c r="N769" s="107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1073"/>
      <c r="C770" s="1073"/>
      <c r="D770" s="4"/>
      <c r="E770" s="4"/>
      <c r="F770" s="4"/>
      <c r="G770" s="4"/>
      <c r="H770" s="4"/>
      <c r="I770" s="26"/>
      <c r="J770" s="26"/>
      <c r="K770" s="4"/>
      <c r="L770" s="4"/>
      <c r="M770" s="4"/>
      <c r="N770" s="107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1073"/>
      <c r="C771" s="1073"/>
      <c r="D771" s="4"/>
      <c r="E771" s="4"/>
      <c r="F771" s="4"/>
      <c r="G771" s="4"/>
      <c r="H771" s="4"/>
      <c r="I771" s="26"/>
      <c r="J771" s="26"/>
      <c r="K771" s="4"/>
      <c r="L771" s="4"/>
      <c r="M771" s="4"/>
      <c r="N771" s="107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1073"/>
      <c r="C772" s="1073"/>
      <c r="D772" s="4"/>
      <c r="E772" s="4"/>
      <c r="F772" s="4"/>
      <c r="G772" s="4"/>
      <c r="H772" s="4"/>
      <c r="I772" s="26"/>
      <c r="J772" s="26"/>
      <c r="K772" s="4"/>
      <c r="L772" s="4"/>
      <c r="M772" s="4"/>
      <c r="N772" s="107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1073"/>
      <c r="C773" s="1073"/>
      <c r="D773" s="4"/>
      <c r="E773" s="4"/>
      <c r="F773" s="4"/>
      <c r="G773" s="4"/>
      <c r="H773" s="4"/>
      <c r="I773" s="26"/>
      <c r="J773" s="26"/>
      <c r="K773" s="4"/>
      <c r="L773" s="4"/>
      <c r="M773" s="4"/>
      <c r="N773" s="107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1073"/>
      <c r="C774" s="1073"/>
      <c r="D774" s="4"/>
      <c r="E774" s="4"/>
      <c r="F774" s="4"/>
      <c r="G774" s="4"/>
      <c r="H774" s="4"/>
      <c r="I774" s="26"/>
      <c r="J774" s="26"/>
      <c r="K774" s="4"/>
      <c r="L774" s="4"/>
      <c r="M774" s="4"/>
      <c r="N774" s="107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1073"/>
      <c r="C775" s="1073"/>
      <c r="D775" s="4"/>
      <c r="E775" s="4"/>
      <c r="F775" s="4"/>
      <c r="G775" s="4"/>
      <c r="H775" s="4"/>
      <c r="I775" s="26"/>
      <c r="J775" s="26"/>
      <c r="K775" s="4"/>
      <c r="L775" s="4"/>
      <c r="M775" s="4"/>
      <c r="N775" s="107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1073"/>
      <c r="C776" s="1073"/>
      <c r="D776" s="4"/>
      <c r="E776" s="4"/>
      <c r="F776" s="4"/>
      <c r="G776" s="4"/>
      <c r="H776" s="4"/>
      <c r="I776" s="26"/>
      <c r="J776" s="26"/>
      <c r="K776" s="4"/>
      <c r="L776" s="4"/>
      <c r="M776" s="4"/>
      <c r="N776" s="107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1073"/>
      <c r="C777" s="1073"/>
      <c r="D777" s="4"/>
      <c r="E777" s="4"/>
      <c r="F777" s="4"/>
      <c r="G777" s="4"/>
      <c r="H777" s="4"/>
      <c r="I777" s="26"/>
      <c r="J777" s="26"/>
      <c r="K777" s="4"/>
      <c r="L777" s="4"/>
      <c r="M777" s="4"/>
      <c r="N777" s="107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1073"/>
      <c r="C778" s="1073"/>
      <c r="D778" s="4"/>
      <c r="E778" s="4"/>
      <c r="F778" s="4"/>
      <c r="G778" s="4"/>
      <c r="H778" s="4"/>
      <c r="I778" s="26"/>
      <c r="J778" s="26"/>
      <c r="K778" s="4"/>
      <c r="L778" s="4"/>
      <c r="M778" s="4"/>
      <c r="N778" s="107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1073"/>
      <c r="C779" s="1073"/>
      <c r="D779" s="4"/>
      <c r="E779" s="4"/>
      <c r="F779" s="4"/>
      <c r="G779" s="4"/>
      <c r="H779" s="4"/>
      <c r="I779" s="26"/>
      <c r="J779" s="26"/>
      <c r="K779" s="4"/>
      <c r="L779" s="4"/>
      <c r="M779" s="4"/>
      <c r="N779" s="107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1073"/>
      <c r="C780" s="1073"/>
      <c r="D780" s="4"/>
      <c r="E780" s="4"/>
      <c r="F780" s="4"/>
      <c r="G780" s="4"/>
      <c r="H780" s="4"/>
      <c r="I780" s="26"/>
      <c r="J780" s="26"/>
      <c r="K780" s="4"/>
      <c r="L780" s="4"/>
      <c r="M780" s="4"/>
      <c r="N780" s="107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1073"/>
      <c r="C781" s="1073"/>
      <c r="D781" s="4"/>
      <c r="E781" s="4"/>
      <c r="F781" s="4"/>
      <c r="G781" s="4"/>
      <c r="H781" s="4"/>
      <c r="I781" s="26"/>
      <c r="J781" s="26"/>
      <c r="K781" s="4"/>
      <c r="L781" s="4"/>
      <c r="M781" s="4"/>
      <c r="N781" s="107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1073"/>
      <c r="C782" s="1073"/>
      <c r="D782" s="4"/>
      <c r="E782" s="4"/>
      <c r="F782" s="4"/>
      <c r="G782" s="4"/>
      <c r="H782" s="4"/>
      <c r="I782" s="26"/>
      <c r="J782" s="26"/>
      <c r="K782" s="4"/>
      <c r="L782" s="4"/>
      <c r="M782" s="4"/>
      <c r="N782" s="107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1073"/>
      <c r="C783" s="1073"/>
      <c r="D783" s="4"/>
      <c r="E783" s="4"/>
      <c r="F783" s="4"/>
      <c r="G783" s="4"/>
      <c r="H783" s="4"/>
      <c r="I783" s="26"/>
      <c r="J783" s="26"/>
      <c r="K783" s="4"/>
      <c r="L783" s="4"/>
      <c r="M783" s="4"/>
      <c r="N783" s="107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1073"/>
      <c r="C784" s="1073"/>
      <c r="D784" s="4"/>
      <c r="E784" s="4"/>
      <c r="F784" s="4"/>
      <c r="G784" s="4"/>
      <c r="H784" s="4"/>
      <c r="I784" s="26"/>
      <c r="J784" s="26"/>
      <c r="K784" s="4"/>
      <c r="L784" s="4"/>
      <c r="M784" s="4"/>
      <c r="N784" s="107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1073"/>
      <c r="C785" s="1073"/>
      <c r="D785" s="4"/>
      <c r="E785" s="4"/>
      <c r="F785" s="4"/>
      <c r="G785" s="4"/>
      <c r="H785" s="4"/>
      <c r="I785" s="26"/>
      <c r="J785" s="26"/>
      <c r="K785" s="4"/>
      <c r="L785" s="4"/>
      <c r="M785" s="4"/>
      <c r="N785" s="107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1073"/>
      <c r="C786" s="1073"/>
      <c r="D786" s="4"/>
      <c r="E786" s="4"/>
      <c r="F786" s="4"/>
      <c r="G786" s="4"/>
      <c r="H786" s="4"/>
      <c r="I786" s="26"/>
      <c r="J786" s="26"/>
      <c r="K786" s="4"/>
      <c r="L786" s="4"/>
      <c r="M786" s="4"/>
      <c r="N786" s="107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1073"/>
      <c r="C787" s="1073"/>
      <c r="D787" s="4"/>
      <c r="E787" s="4"/>
      <c r="F787" s="4"/>
      <c r="G787" s="4"/>
      <c r="H787" s="4"/>
      <c r="I787" s="26"/>
      <c r="J787" s="26"/>
      <c r="K787" s="4"/>
      <c r="L787" s="4"/>
      <c r="M787" s="4"/>
      <c r="N787" s="107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1073"/>
      <c r="C788" s="1073"/>
      <c r="D788" s="4"/>
      <c r="E788" s="4"/>
      <c r="F788" s="4"/>
      <c r="G788" s="4"/>
      <c r="H788" s="4"/>
      <c r="I788" s="26"/>
      <c r="J788" s="26"/>
      <c r="K788" s="4"/>
      <c r="L788" s="4"/>
      <c r="M788" s="4"/>
      <c r="N788" s="107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1073"/>
      <c r="C789" s="1073"/>
      <c r="D789" s="4"/>
      <c r="E789" s="4"/>
      <c r="F789" s="4"/>
      <c r="G789" s="4"/>
      <c r="H789" s="4"/>
      <c r="I789" s="26"/>
      <c r="J789" s="26"/>
      <c r="K789" s="4"/>
      <c r="L789" s="4"/>
      <c r="M789" s="4"/>
      <c r="N789" s="107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1073"/>
      <c r="C790" s="1073"/>
      <c r="D790" s="4"/>
      <c r="E790" s="4"/>
      <c r="F790" s="4"/>
      <c r="G790" s="4"/>
      <c r="H790" s="4"/>
      <c r="I790" s="26"/>
      <c r="J790" s="26"/>
      <c r="K790" s="4"/>
      <c r="L790" s="4"/>
      <c r="M790" s="4"/>
      <c r="N790" s="107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1073"/>
      <c r="C791" s="1073"/>
      <c r="D791" s="4"/>
      <c r="E791" s="4"/>
      <c r="F791" s="4"/>
      <c r="G791" s="4"/>
      <c r="H791" s="4"/>
      <c r="I791" s="26"/>
      <c r="J791" s="26"/>
      <c r="K791" s="4"/>
      <c r="L791" s="4"/>
      <c r="M791" s="4"/>
      <c r="N791" s="107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1073"/>
      <c r="C792" s="1073"/>
      <c r="D792" s="4"/>
      <c r="E792" s="4"/>
      <c r="F792" s="4"/>
      <c r="G792" s="4"/>
      <c r="H792" s="4"/>
      <c r="I792" s="26"/>
      <c r="J792" s="26"/>
      <c r="K792" s="4"/>
      <c r="L792" s="4"/>
      <c r="M792" s="4"/>
      <c r="N792" s="107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1073"/>
      <c r="C793" s="1073"/>
      <c r="D793" s="4"/>
      <c r="E793" s="4"/>
      <c r="F793" s="4"/>
      <c r="G793" s="4"/>
      <c r="H793" s="4"/>
      <c r="I793" s="26"/>
      <c r="J793" s="26"/>
      <c r="K793" s="4"/>
      <c r="L793" s="4"/>
      <c r="M793" s="4"/>
      <c r="N793" s="107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1073"/>
      <c r="C794" s="1073"/>
      <c r="D794" s="4"/>
      <c r="E794" s="4"/>
      <c r="F794" s="4"/>
      <c r="G794" s="4"/>
      <c r="H794" s="4"/>
      <c r="I794" s="26"/>
      <c r="J794" s="26"/>
      <c r="K794" s="4"/>
      <c r="L794" s="4"/>
      <c r="M794" s="4"/>
      <c r="N794" s="107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1073"/>
      <c r="C795" s="1073"/>
      <c r="D795" s="4"/>
      <c r="E795" s="4"/>
      <c r="F795" s="4"/>
      <c r="G795" s="4"/>
      <c r="H795" s="4"/>
      <c r="I795" s="26"/>
      <c r="J795" s="26"/>
      <c r="K795" s="4"/>
      <c r="L795" s="4"/>
      <c r="M795" s="4"/>
      <c r="N795" s="107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1073"/>
      <c r="C796" s="1073"/>
      <c r="D796" s="4"/>
      <c r="E796" s="4"/>
      <c r="F796" s="4"/>
      <c r="G796" s="4"/>
      <c r="H796" s="4"/>
      <c r="I796" s="26"/>
      <c r="J796" s="26"/>
      <c r="K796" s="4"/>
      <c r="L796" s="4"/>
      <c r="M796" s="4"/>
      <c r="N796" s="107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1073"/>
      <c r="C797" s="1073"/>
      <c r="D797" s="4"/>
      <c r="E797" s="4"/>
      <c r="F797" s="4"/>
      <c r="G797" s="4"/>
      <c r="H797" s="4"/>
      <c r="I797" s="26"/>
      <c r="J797" s="26"/>
      <c r="K797" s="4"/>
      <c r="L797" s="4"/>
      <c r="M797" s="4"/>
      <c r="N797" s="107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1073"/>
      <c r="C798" s="1073"/>
      <c r="D798" s="4"/>
      <c r="E798" s="4"/>
      <c r="F798" s="4"/>
      <c r="G798" s="4"/>
      <c r="H798" s="4"/>
      <c r="I798" s="26"/>
      <c r="J798" s="26"/>
      <c r="K798" s="4"/>
      <c r="L798" s="4"/>
      <c r="M798" s="4"/>
      <c r="N798" s="107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1073"/>
      <c r="C799" s="1073"/>
      <c r="D799" s="4"/>
      <c r="E799" s="4"/>
      <c r="F799" s="4"/>
      <c r="G799" s="4"/>
      <c r="H799" s="4"/>
      <c r="I799" s="26"/>
      <c r="J799" s="26"/>
      <c r="K799" s="4"/>
      <c r="L799" s="4"/>
      <c r="M799" s="4"/>
      <c r="N799" s="107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1073"/>
      <c r="C800" s="1073"/>
      <c r="D800" s="4"/>
      <c r="E800" s="4"/>
      <c r="F800" s="4"/>
      <c r="G800" s="4"/>
      <c r="H800" s="4"/>
      <c r="I800" s="26"/>
      <c r="J800" s="26"/>
      <c r="K800" s="4"/>
      <c r="L800" s="4"/>
      <c r="M800" s="4"/>
      <c r="N800" s="107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1073"/>
      <c r="C801" s="1073"/>
      <c r="D801" s="4"/>
      <c r="E801" s="4"/>
      <c r="F801" s="4"/>
      <c r="G801" s="4"/>
      <c r="H801" s="4"/>
      <c r="I801" s="26"/>
      <c r="J801" s="26"/>
      <c r="K801" s="4"/>
      <c r="L801" s="4"/>
      <c r="M801" s="4"/>
      <c r="N801" s="107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1073"/>
      <c r="C802" s="1073"/>
      <c r="D802" s="4"/>
      <c r="E802" s="4"/>
      <c r="F802" s="4"/>
      <c r="G802" s="4"/>
      <c r="H802" s="4"/>
      <c r="I802" s="26"/>
      <c r="J802" s="26"/>
      <c r="K802" s="4"/>
      <c r="L802" s="4"/>
      <c r="M802" s="4"/>
      <c r="N802" s="107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1073"/>
      <c r="C803" s="1073"/>
      <c r="D803" s="4"/>
      <c r="E803" s="4"/>
      <c r="F803" s="4"/>
      <c r="G803" s="4"/>
      <c r="H803" s="4"/>
      <c r="I803" s="26"/>
      <c r="J803" s="26"/>
      <c r="K803" s="4"/>
      <c r="L803" s="4"/>
      <c r="M803" s="4"/>
      <c r="N803" s="107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1073"/>
      <c r="C804" s="1073"/>
      <c r="D804" s="4"/>
      <c r="E804" s="4"/>
      <c r="F804" s="4"/>
      <c r="G804" s="4"/>
      <c r="H804" s="4"/>
      <c r="I804" s="26"/>
      <c r="J804" s="26"/>
      <c r="K804" s="4"/>
      <c r="L804" s="4"/>
      <c r="M804" s="4"/>
      <c r="N804" s="107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1073"/>
      <c r="C805" s="1073"/>
      <c r="D805" s="4"/>
      <c r="E805" s="4"/>
      <c r="F805" s="4"/>
      <c r="G805" s="4"/>
      <c r="H805" s="4"/>
      <c r="I805" s="26"/>
      <c r="J805" s="26"/>
      <c r="K805" s="4"/>
      <c r="L805" s="4"/>
      <c r="M805" s="4"/>
      <c r="N805" s="107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1073"/>
      <c r="C806" s="1073"/>
      <c r="D806" s="4"/>
      <c r="E806" s="4"/>
      <c r="F806" s="4"/>
      <c r="G806" s="4"/>
      <c r="H806" s="4"/>
      <c r="I806" s="26"/>
      <c r="J806" s="26"/>
      <c r="K806" s="4"/>
      <c r="L806" s="4"/>
      <c r="M806" s="4"/>
      <c r="N806" s="107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1073"/>
      <c r="C807" s="1073"/>
      <c r="D807" s="4"/>
      <c r="E807" s="4"/>
      <c r="F807" s="4"/>
      <c r="G807" s="4"/>
      <c r="H807" s="4"/>
      <c r="I807" s="26"/>
      <c r="J807" s="26"/>
      <c r="K807" s="4"/>
      <c r="L807" s="4"/>
      <c r="M807" s="4"/>
      <c r="N807" s="107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1073"/>
      <c r="C808" s="1073"/>
      <c r="D808" s="4"/>
      <c r="E808" s="4"/>
      <c r="F808" s="4"/>
      <c r="G808" s="4"/>
      <c r="H808" s="4"/>
      <c r="I808" s="26"/>
      <c r="J808" s="26"/>
      <c r="K808" s="4"/>
      <c r="L808" s="4"/>
      <c r="M808" s="4"/>
      <c r="N808" s="107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1073"/>
      <c r="C809" s="1073"/>
      <c r="D809" s="4"/>
      <c r="E809" s="4"/>
      <c r="F809" s="4"/>
      <c r="G809" s="4"/>
      <c r="H809" s="4"/>
      <c r="I809" s="26"/>
      <c r="J809" s="26"/>
      <c r="K809" s="4"/>
      <c r="L809" s="4"/>
      <c r="M809" s="4"/>
      <c r="N809" s="107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1073"/>
      <c r="C810" s="1073"/>
      <c r="D810" s="4"/>
      <c r="E810" s="4"/>
      <c r="F810" s="4"/>
      <c r="G810" s="4"/>
      <c r="H810" s="4"/>
      <c r="I810" s="26"/>
      <c r="J810" s="26"/>
      <c r="K810" s="4"/>
      <c r="L810" s="4"/>
      <c r="M810" s="4"/>
      <c r="N810" s="107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1073"/>
      <c r="C811" s="1073"/>
      <c r="D811" s="4"/>
      <c r="E811" s="4"/>
      <c r="F811" s="4"/>
      <c r="G811" s="4"/>
      <c r="H811" s="4"/>
      <c r="I811" s="26"/>
      <c r="J811" s="26"/>
      <c r="K811" s="4"/>
      <c r="L811" s="4"/>
      <c r="M811" s="4"/>
      <c r="N811" s="107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1073"/>
      <c r="C812" s="1073"/>
      <c r="D812" s="4"/>
      <c r="E812" s="4"/>
      <c r="F812" s="4"/>
      <c r="G812" s="4"/>
      <c r="H812" s="4"/>
      <c r="I812" s="26"/>
      <c r="J812" s="26"/>
      <c r="K812" s="4"/>
      <c r="L812" s="4"/>
      <c r="M812" s="4"/>
      <c r="N812" s="107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1073"/>
      <c r="C813" s="1073"/>
      <c r="D813" s="4"/>
      <c r="E813" s="4"/>
      <c r="F813" s="4"/>
      <c r="G813" s="4"/>
      <c r="H813" s="4"/>
      <c r="I813" s="26"/>
      <c r="J813" s="26"/>
      <c r="K813" s="4"/>
      <c r="L813" s="4"/>
      <c r="M813" s="4"/>
      <c r="N813" s="107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1073"/>
      <c r="C814" s="1073"/>
      <c r="D814" s="4"/>
      <c r="E814" s="4"/>
      <c r="F814" s="4"/>
      <c r="G814" s="4"/>
      <c r="H814" s="4"/>
      <c r="I814" s="26"/>
      <c r="J814" s="26"/>
      <c r="K814" s="4"/>
      <c r="L814" s="4"/>
      <c r="M814" s="4"/>
      <c r="N814" s="107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1073"/>
      <c r="C815" s="1073"/>
      <c r="D815" s="4"/>
      <c r="E815" s="4"/>
      <c r="F815" s="4"/>
      <c r="G815" s="4"/>
      <c r="H815" s="4"/>
      <c r="I815" s="26"/>
      <c r="J815" s="26"/>
      <c r="K815" s="4"/>
      <c r="L815" s="4"/>
      <c r="M815" s="4"/>
      <c r="N815" s="107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1073"/>
      <c r="C816" s="1073"/>
      <c r="D816" s="4"/>
      <c r="E816" s="4"/>
      <c r="F816" s="4"/>
      <c r="G816" s="4"/>
      <c r="H816" s="4"/>
      <c r="I816" s="26"/>
      <c r="J816" s="26"/>
      <c r="K816" s="4"/>
      <c r="L816" s="4"/>
      <c r="M816" s="4"/>
      <c r="N816" s="107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1073"/>
      <c r="C817" s="1073"/>
      <c r="D817" s="4"/>
      <c r="E817" s="4"/>
      <c r="F817" s="4"/>
      <c r="G817" s="4"/>
      <c r="H817" s="4"/>
      <c r="I817" s="26"/>
      <c r="J817" s="26"/>
      <c r="K817" s="4"/>
      <c r="L817" s="4"/>
      <c r="M817" s="4"/>
      <c r="N817" s="107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1073"/>
      <c r="C818" s="1073"/>
      <c r="D818" s="4"/>
      <c r="E818" s="4"/>
      <c r="F818" s="4"/>
      <c r="G818" s="4"/>
      <c r="H818" s="4"/>
      <c r="I818" s="26"/>
      <c r="J818" s="26"/>
      <c r="K818" s="4"/>
      <c r="L818" s="4"/>
      <c r="M818" s="4"/>
      <c r="N818" s="107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1073"/>
      <c r="C819" s="1073"/>
      <c r="D819" s="4"/>
      <c r="E819" s="4"/>
      <c r="F819" s="4"/>
      <c r="G819" s="4"/>
      <c r="H819" s="4"/>
      <c r="I819" s="26"/>
      <c r="J819" s="26"/>
      <c r="K819" s="4"/>
      <c r="L819" s="4"/>
      <c r="M819" s="4"/>
      <c r="N819" s="107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1073"/>
      <c r="C820" s="1073"/>
      <c r="D820" s="4"/>
      <c r="E820" s="4"/>
      <c r="F820" s="4"/>
      <c r="G820" s="4"/>
      <c r="H820" s="4"/>
      <c r="I820" s="26"/>
      <c r="J820" s="26"/>
      <c r="K820" s="4"/>
      <c r="L820" s="4"/>
      <c r="M820" s="4"/>
      <c r="N820" s="107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1073"/>
      <c r="C821" s="1073"/>
      <c r="D821" s="4"/>
      <c r="E821" s="4"/>
      <c r="F821" s="4"/>
      <c r="G821" s="4"/>
      <c r="H821" s="4"/>
      <c r="I821" s="26"/>
      <c r="J821" s="26"/>
      <c r="K821" s="4"/>
      <c r="L821" s="4"/>
      <c r="M821" s="4"/>
      <c r="N821" s="107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1073"/>
      <c r="C822" s="1073"/>
      <c r="D822" s="4"/>
      <c r="E822" s="4"/>
      <c r="F822" s="4"/>
      <c r="G822" s="4"/>
      <c r="H822" s="4"/>
      <c r="I822" s="26"/>
      <c r="J822" s="26"/>
      <c r="K822" s="4"/>
      <c r="L822" s="4"/>
      <c r="M822" s="4"/>
      <c r="N822" s="107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1073"/>
      <c r="C823" s="1073"/>
      <c r="D823" s="4"/>
      <c r="E823" s="4"/>
      <c r="F823" s="4"/>
      <c r="G823" s="4"/>
      <c r="H823" s="4"/>
      <c r="I823" s="26"/>
      <c r="J823" s="26"/>
      <c r="K823" s="4"/>
      <c r="L823" s="4"/>
      <c r="M823" s="4"/>
      <c r="N823" s="107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1073"/>
      <c r="C824" s="1073"/>
      <c r="D824" s="4"/>
      <c r="E824" s="4"/>
      <c r="F824" s="4"/>
      <c r="G824" s="4"/>
      <c r="H824" s="4"/>
      <c r="I824" s="26"/>
      <c r="J824" s="26"/>
      <c r="K824" s="4"/>
      <c r="L824" s="4"/>
      <c r="M824" s="4"/>
      <c r="N824" s="107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1073"/>
      <c r="C825" s="1073"/>
      <c r="D825" s="4"/>
      <c r="E825" s="4"/>
      <c r="F825" s="4"/>
      <c r="G825" s="4"/>
      <c r="H825" s="4"/>
      <c r="I825" s="26"/>
      <c r="J825" s="26"/>
      <c r="K825" s="4"/>
      <c r="L825" s="4"/>
      <c r="M825" s="4"/>
      <c r="N825" s="107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1073"/>
      <c r="C826" s="1073"/>
      <c r="D826" s="4"/>
      <c r="E826" s="4"/>
      <c r="F826" s="4"/>
      <c r="G826" s="4"/>
      <c r="H826" s="4"/>
      <c r="I826" s="26"/>
      <c r="J826" s="26"/>
      <c r="K826" s="4"/>
      <c r="L826" s="4"/>
      <c r="M826" s="4"/>
      <c r="N826" s="107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1073"/>
      <c r="C827" s="1073"/>
      <c r="D827" s="4"/>
      <c r="E827" s="4"/>
      <c r="F827" s="4"/>
      <c r="G827" s="4"/>
      <c r="H827" s="4"/>
      <c r="I827" s="26"/>
      <c r="J827" s="26"/>
      <c r="K827" s="4"/>
      <c r="L827" s="4"/>
      <c r="M827" s="4"/>
      <c r="N827" s="107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1073"/>
      <c r="C828" s="1073"/>
      <c r="D828" s="4"/>
      <c r="E828" s="4"/>
      <c r="F828" s="4"/>
      <c r="G828" s="4"/>
      <c r="H828" s="4"/>
      <c r="I828" s="26"/>
      <c r="J828" s="26"/>
      <c r="K828" s="4"/>
      <c r="L828" s="4"/>
      <c r="M828" s="4"/>
      <c r="N828" s="107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1073"/>
      <c r="C829" s="1073"/>
      <c r="D829" s="4"/>
      <c r="E829" s="4"/>
      <c r="F829" s="4"/>
      <c r="G829" s="4"/>
      <c r="H829" s="4"/>
      <c r="I829" s="26"/>
      <c r="J829" s="26"/>
      <c r="K829" s="4"/>
      <c r="L829" s="4"/>
      <c r="M829" s="4"/>
      <c r="N829" s="107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1073"/>
      <c r="C830" s="1073"/>
      <c r="D830" s="4"/>
      <c r="E830" s="4"/>
      <c r="F830" s="4"/>
      <c r="G830" s="4"/>
      <c r="H830" s="4"/>
      <c r="I830" s="26"/>
      <c r="J830" s="26"/>
      <c r="K830" s="4"/>
      <c r="L830" s="4"/>
      <c r="M830" s="4"/>
      <c r="N830" s="107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1073"/>
      <c r="C831" s="1073"/>
      <c r="D831" s="4"/>
      <c r="E831" s="4"/>
      <c r="F831" s="4"/>
      <c r="G831" s="4"/>
      <c r="H831" s="4"/>
      <c r="I831" s="26"/>
      <c r="J831" s="26"/>
      <c r="K831" s="4"/>
      <c r="L831" s="4"/>
      <c r="M831" s="4"/>
      <c r="N831" s="107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1073"/>
      <c r="C832" s="1073"/>
      <c r="D832" s="4"/>
      <c r="E832" s="4"/>
      <c r="F832" s="4"/>
      <c r="G832" s="4"/>
      <c r="H832" s="4"/>
      <c r="I832" s="26"/>
      <c r="J832" s="26"/>
      <c r="K832" s="4"/>
      <c r="L832" s="4"/>
      <c r="M832" s="4"/>
      <c r="N832" s="107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1073"/>
      <c r="C833" s="1073"/>
      <c r="D833" s="4"/>
      <c r="E833" s="4"/>
      <c r="F833" s="4"/>
      <c r="G833" s="4"/>
      <c r="H833" s="4"/>
      <c r="I833" s="26"/>
      <c r="J833" s="26"/>
      <c r="K833" s="4"/>
      <c r="L833" s="4"/>
      <c r="M833" s="4"/>
      <c r="N833" s="107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1073"/>
      <c r="C834" s="1073"/>
      <c r="D834" s="4"/>
      <c r="E834" s="4"/>
      <c r="F834" s="4"/>
      <c r="G834" s="4"/>
      <c r="H834" s="4"/>
      <c r="I834" s="26"/>
      <c r="J834" s="26"/>
      <c r="K834" s="4"/>
      <c r="L834" s="4"/>
      <c r="M834" s="4"/>
      <c r="N834" s="107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1073"/>
      <c r="C835" s="1073"/>
      <c r="D835" s="4"/>
      <c r="E835" s="4"/>
      <c r="F835" s="4"/>
      <c r="G835" s="4"/>
      <c r="H835" s="4"/>
      <c r="I835" s="26"/>
      <c r="J835" s="26"/>
      <c r="K835" s="4"/>
      <c r="L835" s="4"/>
      <c r="M835" s="4"/>
      <c r="N835" s="107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1073"/>
      <c r="C836" s="1073"/>
      <c r="D836" s="4"/>
      <c r="E836" s="4"/>
      <c r="F836" s="4"/>
      <c r="G836" s="4"/>
      <c r="H836" s="4"/>
      <c r="I836" s="26"/>
      <c r="J836" s="26"/>
      <c r="K836" s="4"/>
      <c r="L836" s="4"/>
      <c r="M836" s="4"/>
      <c r="N836" s="107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1073"/>
      <c r="C837" s="1073"/>
      <c r="D837" s="4"/>
      <c r="E837" s="4"/>
      <c r="F837" s="4"/>
      <c r="G837" s="4"/>
      <c r="H837" s="4"/>
      <c r="I837" s="26"/>
      <c r="J837" s="26"/>
      <c r="K837" s="4"/>
      <c r="L837" s="4"/>
      <c r="M837" s="4"/>
      <c r="N837" s="107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1073"/>
      <c r="C838" s="1073"/>
      <c r="D838" s="4"/>
      <c r="E838" s="4"/>
      <c r="F838" s="4"/>
      <c r="G838" s="4"/>
      <c r="H838" s="4"/>
      <c r="I838" s="26"/>
      <c r="J838" s="26"/>
      <c r="K838" s="4"/>
      <c r="L838" s="4"/>
      <c r="M838" s="4"/>
      <c r="N838" s="107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1073"/>
      <c r="C839" s="1073"/>
      <c r="D839" s="4"/>
      <c r="E839" s="4"/>
      <c r="F839" s="4"/>
      <c r="G839" s="4"/>
      <c r="H839" s="4"/>
      <c r="I839" s="26"/>
      <c r="J839" s="26"/>
      <c r="K839" s="4"/>
      <c r="L839" s="4"/>
      <c r="M839" s="4"/>
      <c r="N839" s="107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1073"/>
      <c r="C840" s="1073"/>
      <c r="D840" s="4"/>
      <c r="E840" s="4"/>
      <c r="F840" s="4"/>
      <c r="G840" s="4"/>
      <c r="H840" s="4"/>
      <c r="I840" s="26"/>
      <c r="J840" s="26"/>
      <c r="K840" s="4"/>
      <c r="L840" s="4"/>
      <c r="M840" s="4"/>
      <c r="N840" s="107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1073"/>
      <c r="C841" s="1073"/>
      <c r="D841" s="4"/>
      <c r="E841" s="4"/>
      <c r="F841" s="4"/>
      <c r="G841" s="4"/>
      <c r="H841" s="4"/>
      <c r="I841" s="26"/>
      <c r="J841" s="26"/>
      <c r="K841" s="4"/>
      <c r="L841" s="4"/>
      <c r="M841" s="4"/>
      <c r="N841" s="107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1073"/>
      <c r="C842" s="1073"/>
      <c r="D842" s="4"/>
      <c r="E842" s="4"/>
      <c r="F842" s="4"/>
      <c r="G842" s="4"/>
      <c r="H842" s="4"/>
      <c r="I842" s="26"/>
      <c r="J842" s="26"/>
      <c r="K842" s="4"/>
      <c r="L842" s="4"/>
      <c r="M842" s="4"/>
      <c r="N842" s="107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1073"/>
      <c r="C843" s="1073"/>
      <c r="D843" s="4"/>
      <c r="E843" s="4"/>
      <c r="F843" s="4"/>
      <c r="G843" s="4"/>
      <c r="H843" s="4"/>
      <c r="I843" s="26"/>
      <c r="J843" s="26"/>
      <c r="K843" s="4"/>
      <c r="L843" s="4"/>
      <c r="M843" s="4"/>
      <c r="N843" s="107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1073"/>
      <c r="C844" s="1073"/>
      <c r="D844" s="4"/>
      <c r="E844" s="4"/>
      <c r="F844" s="4"/>
      <c r="G844" s="4"/>
      <c r="H844" s="4"/>
      <c r="I844" s="26"/>
      <c r="J844" s="26"/>
      <c r="K844" s="4"/>
      <c r="L844" s="4"/>
      <c r="M844" s="4"/>
      <c r="N844" s="107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1073"/>
      <c r="C845" s="1073"/>
      <c r="D845" s="4"/>
      <c r="E845" s="4"/>
      <c r="F845" s="4"/>
      <c r="G845" s="4"/>
      <c r="H845" s="4"/>
      <c r="I845" s="26"/>
      <c r="J845" s="26"/>
      <c r="K845" s="4"/>
      <c r="L845" s="4"/>
      <c r="M845" s="4"/>
      <c r="N845" s="107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1073"/>
      <c r="C846" s="1073"/>
      <c r="D846" s="4"/>
      <c r="E846" s="4"/>
      <c r="F846" s="4"/>
      <c r="G846" s="4"/>
      <c r="H846" s="4"/>
      <c r="I846" s="26"/>
      <c r="J846" s="26"/>
      <c r="K846" s="4"/>
      <c r="L846" s="4"/>
      <c r="M846" s="4"/>
      <c r="N846" s="107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1073"/>
      <c r="C847" s="1073"/>
      <c r="D847" s="4"/>
      <c r="E847" s="4"/>
      <c r="F847" s="4"/>
      <c r="G847" s="4"/>
      <c r="H847" s="4"/>
      <c r="I847" s="26"/>
      <c r="J847" s="26"/>
      <c r="K847" s="4"/>
      <c r="L847" s="4"/>
      <c r="M847" s="4"/>
      <c r="N847" s="107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1073"/>
      <c r="C848" s="1073"/>
      <c r="D848" s="4"/>
      <c r="E848" s="4"/>
      <c r="F848" s="4"/>
      <c r="G848" s="4"/>
      <c r="H848" s="4"/>
      <c r="I848" s="26"/>
      <c r="J848" s="26"/>
      <c r="K848" s="4"/>
      <c r="L848" s="4"/>
      <c r="M848" s="4"/>
      <c r="N848" s="107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1073"/>
      <c r="C849" s="1073"/>
      <c r="D849" s="4"/>
      <c r="E849" s="4"/>
      <c r="F849" s="4"/>
      <c r="G849" s="4"/>
      <c r="H849" s="4"/>
      <c r="I849" s="26"/>
      <c r="J849" s="26"/>
      <c r="K849" s="4"/>
      <c r="L849" s="4"/>
      <c r="M849" s="4"/>
      <c r="N849" s="107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1073"/>
      <c r="C850" s="1073"/>
      <c r="D850" s="4"/>
      <c r="E850" s="4"/>
      <c r="F850" s="4"/>
      <c r="G850" s="4"/>
      <c r="H850" s="4"/>
      <c r="I850" s="26"/>
      <c r="J850" s="26"/>
      <c r="K850" s="4"/>
      <c r="L850" s="4"/>
      <c r="M850" s="4"/>
      <c r="N850" s="107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1073"/>
      <c r="C851" s="1073"/>
      <c r="D851" s="4"/>
      <c r="E851" s="4"/>
      <c r="F851" s="4"/>
      <c r="G851" s="4"/>
      <c r="H851" s="4"/>
      <c r="I851" s="26"/>
      <c r="J851" s="26"/>
      <c r="K851" s="4"/>
      <c r="L851" s="4"/>
      <c r="M851" s="4"/>
      <c r="N851" s="107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1073"/>
      <c r="C852" s="1073"/>
      <c r="D852" s="4"/>
      <c r="E852" s="4"/>
      <c r="F852" s="4"/>
      <c r="G852" s="4"/>
      <c r="H852" s="4"/>
      <c r="I852" s="26"/>
      <c r="J852" s="26"/>
      <c r="K852" s="4"/>
      <c r="L852" s="4"/>
      <c r="M852" s="4"/>
      <c r="N852" s="107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1073"/>
      <c r="C853" s="1073"/>
      <c r="D853" s="4"/>
      <c r="E853" s="4"/>
      <c r="F853" s="4"/>
      <c r="G853" s="4"/>
      <c r="H853" s="4"/>
      <c r="I853" s="26"/>
      <c r="J853" s="26"/>
      <c r="K853" s="4"/>
      <c r="L853" s="4"/>
      <c r="M853" s="4"/>
      <c r="N853" s="107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1073"/>
      <c r="C854" s="1073"/>
      <c r="D854" s="4"/>
      <c r="E854" s="4"/>
      <c r="F854" s="4"/>
      <c r="G854" s="4"/>
      <c r="H854" s="4"/>
      <c r="I854" s="26"/>
      <c r="J854" s="26"/>
      <c r="K854" s="4"/>
      <c r="L854" s="4"/>
      <c r="M854" s="4"/>
      <c r="N854" s="107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1073"/>
      <c r="C855" s="1073"/>
      <c r="D855" s="4"/>
      <c r="E855" s="4"/>
      <c r="F855" s="4"/>
      <c r="G855" s="4"/>
      <c r="H855" s="4"/>
      <c r="I855" s="26"/>
      <c r="J855" s="26"/>
      <c r="K855" s="4"/>
      <c r="L855" s="4"/>
      <c r="M855" s="4"/>
      <c r="N855" s="107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1073"/>
      <c r="C856" s="1073"/>
      <c r="D856" s="4"/>
      <c r="E856" s="4"/>
      <c r="F856" s="4"/>
      <c r="G856" s="4"/>
      <c r="H856" s="4"/>
      <c r="I856" s="26"/>
      <c r="J856" s="26"/>
      <c r="K856" s="4"/>
      <c r="L856" s="4"/>
      <c r="M856" s="4"/>
      <c r="N856" s="107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1073"/>
      <c r="C857" s="1073"/>
      <c r="D857" s="4"/>
      <c r="E857" s="4"/>
      <c r="F857" s="4"/>
      <c r="G857" s="4"/>
      <c r="H857" s="4"/>
      <c r="I857" s="26"/>
      <c r="J857" s="26"/>
      <c r="K857" s="4"/>
      <c r="L857" s="4"/>
      <c r="M857" s="4"/>
      <c r="N857" s="107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1073"/>
      <c r="C858" s="1073"/>
      <c r="D858" s="4"/>
      <c r="E858" s="4"/>
      <c r="F858" s="4"/>
      <c r="G858" s="4"/>
      <c r="H858" s="4"/>
      <c r="I858" s="26"/>
      <c r="J858" s="26"/>
      <c r="K858" s="4"/>
      <c r="L858" s="4"/>
      <c r="M858" s="4"/>
      <c r="N858" s="107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1073"/>
      <c r="C859" s="1073"/>
      <c r="D859" s="4"/>
      <c r="E859" s="4"/>
      <c r="F859" s="4"/>
      <c r="G859" s="4"/>
      <c r="H859" s="4"/>
      <c r="I859" s="26"/>
      <c r="J859" s="26"/>
      <c r="K859" s="4"/>
      <c r="L859" s="4"/>
      <c r="M859" s="4"/>
      <c r="N859" s="107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1073"/>
      <c r="C860" s="1073"/>
      <c r="D860" s="4"/>
      <c r="E860" s="4"/>
      <c r="F860" s="4"/>
      <c r="G860" s="4"/>
      <c r="H860" s="4"/>
      <c r="I860" s="26"/>
      <c r="J860" s="26"/>
      <c r="K860" s="4"/>
      <c r="L860" s="4"/>
      <c r="M860" s="4"/>
      <c r="N860" s="107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1073"/>
      <c r="C861" s="1073"/>
      <c r="D861" s="4"/>
      <c r="E861" s="4"/>
      <c r="F861" s="4"/>
      <c r="G861" s="4"/>
      <c r="H861" s="4"/>
      <c r="I861" s="26"/>
      <c r="J861" s="26"/>
      <c r="K861" s="4"/>
      <c r="L861" s="4"/>
      <c r="M861" s="4"/>
      <c r="N861" s="107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1073"/>
      <c r="C862" s="1073"/>
      <c r="D862" s="4"/>
      <c r="E862" s="4"/>
      <c r="F862" s="4"/>
      <c r="G862" s="4"/>
      <c r="H862" s="4"/>
      <c r="I862" s="26"/>
      <c r="J862" s="26"/>
      <c r="K862" s="4"/>
      <c r="L862" s="4"/>
      <c r="M862" s="4"/>
      <c r="N862" s="107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1073"/>
      <c r="C863" s="1073"/>
      <c r="D863" s="4"/>
      <c r="E863" s="4"/>
      <c r="F863" s="4"/>
      <c r="G863" s="4"/>
      <c r="H863" s="4"/>
      <c r="I863" s="26"/>
      <c r="J863" s="26"/>
      <c r="K863" s="4"/>
      <c r="L863" s="4"/>
      <c r="M863" s="4"/>
      <c r="N863" s="107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1073"/>
      <c r="C864" s="1073"/>
      <c r="D864" s="4"/>
      <c r="E864" s="4"/>
      <c r="F864" s="4"/>
      <c r="G864" s="4"/>
      <c r="H864" s="4"/>
      <c r="I864" s="26"/>
      <c r="J864" s="26"/>
      <c r="K864" s="4"/>
      <c r="L864" s="4"/>
      <c r="M864" s="4"/>
      <c r="N864" s="107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1073"/>
      <c r="C865" s="1073"/>
      <c r="D865" s="4"/>
      <c r="E865" s="4"/>
      <c r="F865" s="4"/>
      <c r="G865" s="4"/>
      <c r="H865" s="4"/>
      <c r="I865" s="26"/>
      <c r="J865" s="26"/>
      <c r="K865" s="4"/>
      <c r="L865" s="4"/>
      <c r="M865" s="4"/>
      <c r="N865" s="107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1073"/>
      <c r="C866" s="1073"/>
      <c r="D866" s="4"/>
      <c r="E866" s="4"/>
      <c r="F866" s="4"/>
      <c r="G866" s="4"/>
      <c r="H866" s="4"/>
      <c r="I866" s="26"/>
      <c r="J866" s="26"/>
      <c r="K866" s="4"/>
      <c r="L866" s="4"/>
      <c r="M866" s="4"/>
      <c r="N866" s="107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1073"/>
      <c r="C867" s="1073"/>
      <c r="D867" s="4"/>
      <c r="E867" s="4"/>
      <c r="F867" s="4"/>
      <c r="G867" s="4"/>
      <c r="H867" s="4"/>
      <c r="I867" s="26"/>
      <c r="J867" s="26"/>
      <c r="K867" s="4"/>
      <c r="L867" s="4"/>
      <c r="M867" s="4"/>
      <c r="N867" s="107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1073"/>
      <c r="C868" s="1073"/>
      <c r="D868" s="4"/>
      <c r="E868" s="4"/>
      <c r="F868" s="4"/>
      <c r="G868" s="4"/>
      <c r="H868" s="4"/>
      <c r="I868" s="26"/>
      <c r="J868" s="26"/>
      <c r="K868" s="4"/>
      <c r="L868" s="4"/>
      <c r="M868" s="4"/>
      <c r="N868" s="107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1073"/>
      <c r="C869" s="1073"/>
      <c r="D869" s="4"/>
      <c r="E869" s="4"/>
      <c r="F869" s="4"/>
      <c r="G869" s="4"/>
      <c r="H869" s="4"/>
      <c r="I869" s="26"/>
      <c r="J869" s="26"/>
      <c r="K869" s="4"/>
      <c r="L869" s="4"/>
      <c r="M869" s="4"/>
      <c r="N869" s="107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1073"/>
      <c r="C870" s="1073"/>
      <c r="D870" s="4"/>
      <c r="E870" s="4"/>
      <c r="F870" s="4"/>
      <c r="G870" s="4"/>
      <c r="H870" s="4"/>
      <c r="I870" s="26"/>
      <c r="J870" s="26"/>
      <c r="K870" s="4"/>
      <c r="L870" s="4"/>
      <c r="M870" s="4"/>
      <c r="N870" s="107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1073"/>
      <c r="C871" s="1073"/>
      <c r="D871" s="4"/>
      <c r="E871" s="4"/>
      <c r="F871" s="4"/>
      <c r="G871" s="4"/>
      <c r="H871" s="4"/>
      <c r="I871" s="26"/>
      <c r="J871" s="26"/>
      <c r="K871" s="4"/>
      <c r="L871" s="4"/>
      <c r="M871" s="4"/>
      <c r="N871" s="107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1073"/>
      <c r="C872" s="1073"/>
      <c r="D872" s="4"/>
      <c r="E872" s="4"/>
      <c r="F872" s="4"/>
      <c r="G872" s="4"/>
      <c r="H872" s="4"/>
      <c r="I872" s="26"/>
      <c r="J872" s="26"/>
      <c r="K872" s="4"/>
      <c r="L872" s="4"/>
      <c r="M872" s="4"/>
      <c r="N872" s="107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1073"/>
      <c r="C873" s="1073"/>
      <c r="D873" s="4"/>
      <c r="E873" s="4"/>
      <c r="F873" s="4"/>
      <c r="G873" s="4"/>
      <c r="H873" s="4"/>
      <c r="I873" s="26"/>
      <c r="J873" s="26"/>
      <c r="K873" s="4"/>
      <c r="L873" s="4"/>
      <c r="M873" s="4"/>
      <c r="N873" s="107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1073"/>
      <c r="C874" s="1073"/>
      <c r="D874" s="4"/>
      <c r="E874" s="4"/>
      <c r="F874" s="4"/>
      <c r="G874" s="4"/>
      <c r="H874" s="4"/>
      <c r="I874" s="26"/>
      <c r="J874" s="26"/>
      <c r="K874" s="4"/>
      <c r="L874" s="4"/>
      <c r="M874" s="4"/>
      <c r="N874" s="107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1073"/>
      <c r="C875" s="1073"/>
      <c r="D875" s="4"/>
      <c r="E875" s="4"/>
      <c r="F875" s="4"/>
      <c r="G875" s="4"/>
      <c r="H875" s="4"/>
      <c r="I875" s="26"/>
      <c r="J875" s="26"/>
      <c r="K875" s="4"/>
      <c r="L875" s="4"/>
      <c r="M875" s="4"/>
      <c r="N875" s="107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1073"/>
      <c r="C876" s="1073"/>
      <c r="D876" s="4"/>
      <c r="E876" s="4"/>
      <c r="F876" s="4"/>
      <c r="G876" s="4"/>
      <c r="H876" s="4"/>
      <c r="I876" s="26"/>
      <c r="J876" s="26"/>
      <c r="K876" s="4"/>
      <c r="L876" s="4"/>
      <c r="M876" s="4"/>
      <c r="N876" s="107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1073"/>
      <c r="C877" s="1073"/>
      <c r="D877" s="4"/>
      <c r="E877" s="4"/>
      <c r="F877" s="4"/>
      <c r="G877" s="4"/>
      <c r="H877" s="4"/>
      <c r="I877" s="26"/>
      <c r="J877" s="26"/>
      <c r="K877" s="4"/>
      <c r="L877" s="4"/>
      <c r="M877" s="4"/>
      <c r="N877" s="107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1073"/>
      <c r="C878" s="1073"/>
      <c r="D878" s="4"/>
      <c r="E878" s="4"/>
      <c r="F878" s="4"/>
      <c r="G878" s="4"/>
      <c r="H878" s="4"/>
      <c r="I878" s="26"/>
      <c r="J878" s="26"/>
      <c r="K878" s="4"/>
      <c r="L878" s="4"/>
      <c r="M878" s="4"/>
      <c r="N878" s="107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1073"/>
      <c r="C879" s="1073"/>
      <c r="D879" s="4"/>
      <c r="E879" s="4"/>
      <c r="F879" s="4"/>
      <c r="G879" s="4"/>
      <c r="H879" s="4"/>
      <c r="I879" s="26"/>
      <c r="J879" s="26"/>
      <c r="K879" s="4"/>
      <c r="L879" s="4"/>
      <c r="M879" s="4"/>
      <c r="N879" s="107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1073"/>
      <c r="C880" s="1073"/>
      <c r="D880" s="4"/>
      <c r="E880" s="4"/>
      <c r="F880" s="4"/>
      <c r="G880" s="4"/>
      <c r="H880" s="4"/>
      <c r="I880" s="26"/>
      <c r="J880" s="26"/>
      <c r="K880" s="4"/>
      <c r="L880" s="4"/>
      <c r="M880" s="4"/>
      <c r="N880" s="107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1073"/>
      <c r="C881" s="1073"/>
      <c r="D881" s="4"/>
      <c r="E881" s="4"/>
      <c r="F881" s="4"/>
      <c r="G881" s="4"/>
      <c r="H881" s="4"/>
      <c r="I881" s="26"/>
      <c r="J881" s="26"/>
      <c r="K881" s="4"/>
      <c r="L881" s="4"/>
      <c r="M881" s="4"/>
      <c r="N881" s="107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1073"/>
      <c r="C882" s="1073"/>
      <c r="D882" s="4"/>
      <c r="E882" s="4"/>
      <c r="F882" s="4"/>
      <c r="G882" s="4"/>
      <c r="H882" s="4"/>
      <c r="I882" s="26"/>
      <c r="J882" s="26"/>
      <c r="K882" s="4"/>
      <c r="L882" s="4"/>
      <c r="M882" s="4"/>
      <c r="N882" s="107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1073"/>
      <c r="C883" s="1073"/>
      <c r="D883" s="4"/>
      <c r="E883" s="4"/>
      <c r="F883" s="4"/>
      <c r="G883" s="4"/>
      <c r="H883" s="4"/>
      <c r="I883" s="26"/>
      <c r="J883" s="26"/>
      <c r="K883" s="4"/>
      <c r="L883" s="4"/>
      <c r="M883" s="4"/>
      <c r="N883" s="107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1073"/>
      <c r="C884" s="1073"/>
      <c r="D884" s="4"/>
      <c r="E884" s="4"/>
      <c r="F884" s="4"/>
      <c r="G884" s="4"/>
      <c r="H884" s="4"/>
      <c r="I884" s="26"/>
      <c r="J884" s="26"/>
      <c r="K884" s="4"/>
      <c r="L884" s="4"/>
      <c r="M884" s="4"/>
      <c r="N884" s="107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1073"/>
      <c r="C885" s="1073"/>
      <c r="D885" s="4"/>
      <c r="E885" s="4"/>
      <c r="F885" s="4"/>
      <c r="G885" s="4"/>
      <c r="H885" s="4"/>
      <c r="I885" s="26"/>
      <c r="J885" s="26"/>
      <c r="K885" s="4"/>
      <c r="L885" s="4"/>
      <c r="M885" s="4"/>
      <c r="N885" s="107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1073"/>
      <c r="C886" s="1073"/>
      <c r="D886" s="4"/>
      <c r="E886" s="4"/>
      <c r="F886" s="4"/>
      <c r="G886" s="4"/>
      <c r="H886" s="4"/>
      <c r="I886" s="26"/>
      <c r="J886" s="26"/>
      <c r="K886" s="4"/>
      <c r="L886" s="4"/>
      <c r="M886" s="4"/>
      <c r="N886" s="107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1073"/>
      <c r="C887" s="1073"/>
      <c r="D887" s="4"/>
      <c r="E887" s="4"/>
      <c r="F887" s="4"/>
      <c r="G887" s="4"/>
      <c r="H887" s="4"/>
      <c r="I887" s="26"/>
      <c r="J887" s="26"/>
      <c r="K887" s="4"/>
      <c r="L887" s="4"/>
      <c r="M887" s="4"/>
      <c r="N887" s="107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1073"/>
      <c r="C888" s="1073"/>
      <c r="D888" s="4"/>
      <c r="E888" s="4"/>
      <c r="F888" s="4"/>
      <c r="G888" s="4"/>
      <c r="H888" s="4"/>
      <c r="I888" s="26"/>
      <c r="J888" s="26"/>
      <c r="K888" s="4"/>
      <c r="L888" s="4"/>
      <c r="M888" s="4"/>
      <c r="N888" s="107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1073"/>
      <c r="C889" s="1073"/>
      <c r="D889" s="4"/>
      <c r="E889" s="4"/>
      <c r="F889" s="4"/>
      <c r="G889" s="4"/>
      <c r="H889" s="4"/>
      <c r="I889" s="26"/>
      <c r="J889" s="26"/>
      <c r="K889" s="4"/>
      <c r="L889" s="4"/>
      <c r="M889" s="4"/>
      <c r="N889" s="107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1073"/>
      <c r="C890" s="1073"/>
      <c r="D890" s="4"/>
      <c r="E890" s="4"/>
      <c r="F890" s="4"/>
      <c r="G890" s="4"/>
      <c r="H890" s="4"/>
      <c r="I890" s="26"/>
      <c r="J890" s="26"/>
      <c r="K890" s="4"/>
      <c r="L890" s="4"/>
      <c r="M890" s="4"/>
      <c r="N890" s="107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1073"/>
      <c r="C891" s="1073"/>
      <c r="D891" s="4"/>
      <c r="E891" s="4"/>
      <c r="F891" s="4"/>
      <c r="G891" s="4"/>
      <c r="H891" s="4"/>
      <c r="I891" s="26"/>
      <c r="J891" s="26"/>
      <c r="K891" s="4"/>
      <c r="L891" s="4"/>
      <c r="M891" s="4"/>
      <c r="N891" s="107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1073"/>
      <c r="C892" s="1073"/>
      <c r="D892" s="4"/>
      <c r="E892" s="4"/>
      <c r="F892" s="4"/>
      <c r="G892" s="4"/>
      <c r="H892" s="4"/>
      <c r="I892" s="26"/>
      <c r="J892" s="26"/>
      <c r="K892" s="4"/>
      <c r="L892" s="4"/>
      <c r="M892" s="4"/>
      <c r="N892" s="107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1073"/>
      <c r="C893" s="1073"/>
      <c r="D893" s="4"/>
      <c r="E893" s="4"/>
      <c r="F893" s="4"/>
      <c r="G893" s="4"/>
      <c r="H893" s="4"/>
      <c r="I893" s="26"/>
      <c r="J893" s="26"/>
      <c r="K893" s="4"/>
      <c r="L893" s="4"/>
      <c r="M893" s="4"/>
      <c r="N893" s="107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1073"/>
      <c r="C894" s="1073"/>
      <c r="D894" s="4"/>
      <c r="E894" s="4"/>
      <c r="F894" s="4"/>
      <c r="G894" s="4"/>
      <c r="H894" s="4"/>
      <c r="I894" s="26"/>
      <c r="J894" s="26"/>
      <c r="K894" s="4"/>
      <c r="L894" s="4"/>
      <c r="M894" s="4"/>
      <c r="N894" s="107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1073"/>
      <c r="C895" s="1073"/>
      <c r="D895" s="4"/>
      <c r="E895" s="4"/>
      <c r="F895" s="4"/>
      <c r="G895" s="4"/>
      <c r="H895" s="4"/>
      <c r="I895" s="26"/>
      <c r="J895" s="26"/>
      <c r="K895" s="4"/>
      <c r="L895" s="4"/>
      <c r="M895" s="4"/>
      <c r="N895" s="107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1073"/>
      <c r="C896" s="1073"/>
      <c r="D896" s="4"/>
      <c r="E896" s="4"/>
      <c r="F896" s="4"/>
      <c r="G896" s="4"/>
      <c r="H896" s="4"/>
      <c r="I896" s="26"/>
      <c r="J896" s="26"/>
      <c r="K896" s="4"/>
      <c r="L896" s="4"/>
      <c r="M896" s="4"/>
      <c r="N896" s="107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1073"/>
      <c r="C897" s="1073"/>
      <c r="D897" s="4"/>
      <c r="E897" s="4"/>
      <c r="F897" s="4"/>
      <c r="G897" s="4"/>
      <c r="H897" s="4"/>
      <c r="I897" s="26"/>
      <c r="J897" s="26"/>
      <c r="K897" s="4"/>
      <c r="L897" s="4"/>
      <c r="M897" s="4"/>
      <c r="N897" s="107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1073"/>
      <c r="C898" s="1073"/>
      <c r="D898" s="4"/>
      <c r="E898" s="4"/>
      <c r="F898" s="4"/>
      <c r="G898" s="4"/>
      <c r="H898" s="4"/>
      <c r="I898" s="26"/>
      <c r="J898" s="26"/>
      <c r="K898" s="4"/>
      <c r="L898" s="4"/>
      <c r="M898" s="4"/>
      <c r="N898" s="107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1073"/>
      <c r="C899" s="1073"/>
      <c r="D899" s="4"/>
      <c r="E899" s="4"/>
      <c r="F899" s="4"/>
      <c r="G899" s="4"/>
      <c r="H899" s="4"/>
      <c r="I899" s="26"/>
      <c r="J899" s="26"/>
      <c r="K899" s="4"/>
      <c r="L899" s="4"/>
      <c r="M899" s="4"/>
      <c r="N899" s="107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1073"/>
      <c r="C900" s="1073"/>
      <c r="D900" s="4"/>
      <c r="E900" s="4"/>
      <c r="F900" s="4"/>
      <c r="G900" s="4"/>
      <c r="H900" s="4"/>
      <c r="I900" s="26"/>
      <c r="J900" s="26"/>
      <c r="K900" s="4"/>
      <c r="L900" s="4"/>
      <c r="M900" s="4"/>
      <c r="N900" s="107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1073"/>
      <c r="C901" s="1073"/>
      <c r="D901" s="4"/>
      <c r="E901" s="4"/>
      <c r="F901" s="4"/>
      <c r="G901" s="4"/>
      <c r="H901" s="4"/>
      <c r="I901" s="26"/>
      <c r="J901" s="26"/>
      <c r="K901" s="4"/>
      <c r="L901" s="4"/>
      <c r="M901" s="4"/>
      <c r="N901" s="107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1073"/>
      <c r="C902" s="1073"/>
      <c r="D902" s="4"/>
      <c r="E902" s="4"/>
      <c r="F902" s="4"/>
      <c r="G902" s="4"/>
      <c r="H902" s="4"/>
      <c r="I902" s="26"/>
      <c r="J902" s="26"/>
      <c r="K902" s="4"/>
      <c r="L902" s="4"/>
      <c r="M902" s="4"/>
      <c r="N902" s="107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1073"/>
      <c r="C903" s="1073"/>
      <c r="D903" s="4"/>
      <c r="E903" s="4"/>
      <c r="F903" s="4"/>
      <c r="G903" s="4"/>
      <c r="H903" s="4"/>
      <c r="I903" s="26"/>
      <c r="J903" s="26"/>
      <c r="K903" s="4"/>
      <c r="L903" s="4"/>
      <c r="M903" s="4"/>
      <c r="N903" s="107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1073"/>
      <c r="C904" s="1073"/>
      <c r="D904" s="4"/>
      <c r="E904" s="4"/>
      <c r="F904" s="4"/>
      <c r="G904" s="4"/>
      <c r="H904" s="4"/>
      <c r="I904" s="26"/>
      <c r="J904" s="26"/>
      <c r="K904" s="4"/>
      <c r="L904" s="4"/>
      <c r="M904" s="4"/>
      <c r="N904" s="107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1073"/>
      <c r="C905" s="1073"/>
      <c r="D905" s="4"/>
      <c r="E905" s="4"/>
      <c r="F905" s="4"/>
      <c r="G905" s="4"/>
      <c r="H905" s="4"/>
      <c r="I905" s="26"/>
      <c r="J905" s="26"/>
      <c r="K905" s="4"/>
      <c r="L905" s="4"/>
      <c r="M905" s="4"/>
      <c r="N905" s="107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1073"/>
      <c r="C906" s="1073"/>
      <c r="D906" s="4"/>
      <c r="E906" s="4"/>
      <c r="F906" s="4"/>
      <c r="G906" s="4"/>
      <c r="H906" s="4"/>
      <c r="I906" s="26"/>
      <c r="J906" s="26"/>
      <c r="K906" s="4"/>
      <c r="L906" s="4"/>
      <c r="M906" s="4"/>
      <c r="N906" s="107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1073"/>
      <c r="C907" s="1073"/>
      <c r="D907" s="4"/>
      <c r="E907" s="4"/>
      <c r="F907" s="4"/>
      <c r="G907" s="4"/>
      <c r="H907" s="4"/>
      <c r="I907" s="26"/>
      <c r="J907" s="26"/>
      <c r="K907" s="4"/>
      <c r="L907" s="4"/>
      <c r="M907" s="4"/>
      <c r="N907" s="107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1073"/>
      <c r="C908" s="1073"/>
      <c r="D908" s="4"/>
      <c r="E908" s="4"/>
      <c r="F908" s="4"/>
      <c r="G908" s="4"/>
      <c r="H908" s="4"/>
      <c r="I908" s="26"/>
      <c r="J908" s="26"/>
      <c r="K908" s="4"/>
      <c r="L908" s="4"/>
      <c r="M908" s="4"/>
      <c r="N908" s="107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1073"/>
      <c r="C909" s="1073"/>
      <c r="D909" s="4"/>
      <c r="E909" s="4"/>
      <c r="F909" s="4"/>
      <c r="G909" s="4"/>
      <c r="H909" s="4"/>
      <c r="I909" s="26"/>
      <c r="J909" s="26"/>
      <c r="K909" s="4"/>
      <c r="L909" s="4"/>
      <c r="M909" s="4"/>
      <c r="N909" s="107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1073"/>
      <c r="C910" s="1073"/>
      <c r="D910" s="4"/>
      <c r="E910" s="4"/>
      <c r="F910" s="4"/>
      <c r="G910" s="4"/>
      <c r="H910" s="4"/>
      <c r="I910" s="26"/>
      <c r="J910" s="26"/>
      <c r="K910" s="4"/>
      <c r="L910" s="4"/>
      <c r="M910" s="4"/>
      <c r="N910" s="107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1073"/>
      <c r="C911" s="1073"/>
      <c r="D911" s="4"/>
      <c r="E911" s="4"/>
      <c r="F911" s="4"/>
      <c r="G911" s="4"/>
      <c r="H911" s="4"/>
      <c r="I911" s="26"/>
      <c r="J911" s="26"/>
      <c r="K911" s="4"/>
      <c r="L911" s="4"/>
      <c r="M911" s="4"/>
      <c r="N911" s="107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1073"/>
      <c r="C912" s="1073"/>
      <c r="D912" s="4"/>
      <c r="E912" s="4"/>
      <c r="F912" s="4"/>
      <c r="G912" s="4"/>
      <c r="H912" s="4"/>
      <c r="I912" s="26"/>
      <c r="J912" s="26"/>
      <c r="K912" s="4"/>
      <c r="L912" s="4"/>
      <c r="M912" s="4"/>
      <c r="N912" s="107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1073"/>
      <c r="C913" s="1073"/>
      <c r="D913" s="4"/>
      <c r="E913" s="4"/>
      <c r="F913" s="4"/>
      <c r="G913" s="4"/>
      <c r="H913" s="4"/>
      <c r="I913" s="26"/>
      <c r="J913" s="26"/>
      <c r="K913" s="4"/>
      <c r="L913" s="4"/>
      <c r="M913" s="4"/>
      <c r="N913" s="107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1073"/>
      <c r="C914" s="1073"/>
      <c r="D914" s="4"/>
      <c r="E914" s="4"/>
      <c r="F914" s="4"/>
      <c r="G914" s="4"/>
      <c r="H914" s="4"/>
      <c r="I914" s="26"/>
      <c r="J914" s="26"/>
      <c r="K914" s="4"/>
      <c r="L914" s="4"/>
      <c r="M914" s="4"/>
      <c r="N914" s="107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1073"/>
      <c r="C915" s="1073"/>
      <c r="D915" s="4"/>
      <c r="E915" s="4"/>
      <c r="F915" s="4"/>
      <c r="G915" s="4"/>
      <c r="H915" s="4"/>
      <c r="I915" s="26"/>
      <c r="J915" s="26"/>
      <c r="K915" s="4"/>
      <c r="L915" s="4"/>
      <c r="M915" s="4"/>
      <c r="N915" s="107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1073"/>
      <c r="C916" s="1073"/>
      <c r="D916" s="4"/>
      <c r="E916" s="4"/>
      <c r="F916" s="4"/>
      <c r="G916" s="4"/>
      <c r="H916" s="4"/>
      <c r="I916" s="26"/>
      <c r="J916" s="26"/>
      <c r="K916" s="4"/>
      <c r="L916" s="4"/>
      <c r="M916" s="4"/>
      <c r="N916" s="107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1073"/>
      <c r="C917" s="1073"/>
      <c r="D917" s="4"/>
      <c r="E917" s="4"/>
      <c r="F917" s="4"/>
      <c r="G917" s="4"/>
      <c r="H917" s="4"/>
      <c r="I917" s="26"/>
      <c r="J917" s="26"/>
      <c r="K917" s="4"/>
      <c r="L917" s="4"/>
      <c r="M917" s="4"/>
      <c r="N917" s="107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1073"/>
      <c r="C918" s="1073"/>
      <c r="D918" s="4"/>
      <c r="E918" s="4"/>
      <c r="F918" s="4"/>
      <c r="G918" s="4"/>
      <c r="H918" s="4"/>
      <c r="I918" s="26"/>
      <c r="J918" s="26"/>
      <c r="K918" s="4"/>
      <c r="L918" s="4"/>
      <c r="M918" s="4"/>
      <c r="N918" s="107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1073"/>
      <c r="C919" s="1073"/>
      <c r="D919" s="4"/>
      <c r="E919" s="4"/>
      <c r="F919" s="4"/>
      <c r="G919" s="4"/>
      <c r="H919" s="4"/>
      <c r="I919" s="26"/>
      <c r="J919" s="26"/>
      <c r="K919" s="4"/>
      <c r="L919" s="4"/>
      <c r="M919" s="4"/>
      <c r="N919" s="107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1073"/>
      <c r="C920" s="1073"/>
      <c r="D920" s="4"/>
      <c r="E920" s="4"/>
      <c r="F920" s="4"/>
      <c r="G920" s="4"/>
      <c r="H920" s="4"/>
      <c r="I920" s="26"/>
      <c r="J920" s="26"/>
      <c r="K920" s="4"/>
      <c r="L920" s="4"/>
      <c r="M920" s="4"/>
      <c r="N920" s="107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1073"/>
      <c r="C921" s="1073"/>
      <c r="D921" s="4"/>
      <c r="E921" s="4"/>
      <c r="F921" s="4"/>
      <c r="G921" s="4"/>
      <c r="H921" s="4"/>
      <c r="I921" s="26"/>
      <c r="J921" s="26"/>
      <c r="K921" s="4"/>
      <c r="L921" s="4"/>
      <c r="M921" s="4"/>
      <c r="N921" s="107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1073"/>
      <c r="C922" s="1073"/>
      <c r="D922" s="4"/>
      <c r="E922" s="4"/>
      <c r="F922" s="4"/>
      <c r="G922" s="4"/>
      <c r="H922" s="4"/>
      <c r="I922" s="26"/>
      <c r="J922" s="26"/>
      <c r="K922" s="4"/>
      <c r="L922" s="4"/>
      <c r="M922" s="4"/>
      <c r="N922" s="107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1073"/>
      <c r="C923" s="1073"/>
      <c r="D923" s="4"/>
      <c r="E923" s="4"/>
      <c r="F923" s="4"/>
      <c r="G923" s="4"/>
      <c r="H923" s="4"/>
      <c r="I923" s="26"/>
      <c r="J923" s="26"/>
      <c r="K923" s="4"/>
      <c r="L923" s="4"/>
      <c r="M923" s="4"/>
      <c r="N923" s="107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1073"/>
      <c r="C924" s="1073"/>
      <c r="D924" s="4"/>
      <c r="E924" s="4"/>
      <c r="F924" s="4"/>
      <c r="G924" s="4"/>
      <c r="H924" s="4"/>
      <c r="I924" s="26"/>
      <c r="J924" s="26"/>
      <c r="K924" s="4"/>
      <c r="L924" s="4"/>
      <c r="M924" s="4"/>
      <c r="N924" s="107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1073"/>
      <c r="C925" s="1073"/>
      <c r="D925" s="4"/>
      <c r="E925" s="4"/>
      <c r="F925" s="4"/>
      <c r="G925" s="4"/>
      <c r="H925" s="4"/>
      <c r="I925" s="26"/>
      <c r="J925" s="26"/>
      <c r="K925" s="4"/>
      <c r="L925" s="4"/>
      <c r="M925" s="4"/>
      <c r="N925" s="107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1073"/>
      <c r="C926" s="1073"/>
      <c r="D926" s="4"/>
      <c r="E926" s="4"/>
      <c r="F926" s="4"/>
      <c r="G926" s="4"/>
      <c r="H926" s="4"/>
      <c r="I926" s="26"/>
      <c r="J926" s="26"/>
      <c r="K926" s="4"/>
      <c r="L926" s="4"/>
      <c r="M926" s="4"/>
      <c r="N926" s="107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1073"/>
      <c r="C927" s="1073"/>
      <c r="D927" s="4"/>
      <c r="E927" s="4"/>
      <c r="F927" s="4"/>
      <c r="G927" s="4"/>
      <c r="H927" s="4"/>
      <c r="I927" s="26"/>
      <c r="J927" s="26"/>
      <c r="K927" s="4"/>
      <c r="L927" s="4"/>
      <c r="M927" s="4"/>
      <c r="N927" s="107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1073"/>
      <c r="C928" s="1073"/>
      <c r="D928" s="4"/>
      <c r="E928" s="4"/>
      <c r="F928" s="4"/>
      <c r="G928" s="4"/>
      <c r="H928" s="4"/>
      <c r="I928" s="26"/>
      <c r="J928" s="26"/>
      <c r="K928" s="4"/>
      <c r="L928" s="4"/>
      <c r="M928" s="4"/>
      <c r="N928" s="107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1073"/>
      <c r="C929" s="1073"/>
      <c r="D929" s="4"/>
      <c r="E929" s="4"/>
      <c r="F929" s="4"/>
      <c r="G929" s="4"/>
      <c r="H929" s="4"/>
      <c r="I929" s="26"/>
      <c r="J929" s="26"/>
      <c r="K929" s="4"/>
      <c r="L929" s="4"/>
      <c r="M929" s="4"/>
      <c r="N929" s="107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1073"/>
      <c r="C930" s="1073"/>
      <c r="D930" s="4"/>
      <c r="E930" s="4"/>
      <c r="F930" s="4"/>
      <c r="G930" s="4"/>
      <c r="H930" s="4"/>
      <c r="I930" s="26"/>
      <c r="J930" s="26"/>
      <c r="K930" s="4"/>
      <c r="L930" s="4"/>
      <c r="M930" s="4"/>
      <c r="N930" s="107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1073"/>
      <c r="C931" s="1073"/>
      <c r="D931" s="4"/>
      <c r="E931" s="4"/>
      <c r="F931" s="4"/>
      <c r="G931" s="4"/>
      <c r="H931" s="4"/>
      <c r="I931" s="26"/>
      <c r="J931" s="26"/>
      <c r="K931" s="4"/>
      <c r="L931" s="4"/>
      <c r="M931" s="4"/>
      <c r="N931" s="107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1073"/>
      <c r="C932" s="1073"/>
      <c r="D932" s="4"/>
      <c r="E932" s="4"/>
      <c r="F932" s="4"/>
      <c r="G932" s="4"/>
      <c r="H932" s="4"/>
      <c r="I932" s="26"/>
      <c r="J932" s="26"/>
      <c r="K932" s="4"/>
      <c r="L932" s="4"/>
      <c r="M932" s="4"/>
      <c r="N932" s="107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1073"/>
      <c r="C933" s="1073"/>
      <c r="D933" s="4"/>
      <c r="E933" s="4"/>
      <c r="F933" s="4"/>
      <c r="G933" s="4"/>
      <c r="H933" s="4"/>
      <c r="I933" s="26"/>
      <c r="J933" s="26"/>
      <c r="K933" s="4"/>
      <c r="L933" s="4"/>
      <c r="M933" s="4"/>
      <c r="N933" s="107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1073"/>
      <c r="C934" s="1073"/>
      <c r="D934" s="4"/>
      <c r="E934" s="4"/>
      <c r="F934" s="4"/>
      <c r="G934" s="4"/>
      <c r="H934" s="4"/>
      <c r="I934" s="26"/>
      <c r="J934" s="26"/>
      <c r="K934" s="4"/>
      <c r="L934" s="4"/>
      <c r="M934" s="4"/>
      <c r="N934" s="107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1073"/>
      <c r="C935" s="1073"/>
      <c r="D935" s="4"/>
      <c r="E935" s="4"/>
      <c r="F935" s="4"/>
      <c r="G935" s="4"/>
      <c r="H935" s="4"/>
      <c r="I935" s="26"/>
      <c r="J935" s="26"/>
      <c r="K935" s="4"/>
      <c r="L935" s="4"/>
      <c r="M935" s="4"/>
      <c r="N935" s="107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1073"/>
      <c r="C936" s="1073"/>
      <c r="D936" s="4"/>
      <c r="E936" s="4"/>
      <c r="F936" s="4"/>
      <c r="G936" s="4"/>
      <c r="H936" s="4"/>
      <c r="I936" s="26"/>
      <c r="J936" s="26"/>
      <c r="K936" s="4"/>
      <c r="L936" s="4"/>
      <c r="M936" s="4"/>
      <c r="N936" s="107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1073"/>
      <c r="C937" s="1073"/>
      <c r="D937" s="4"/>
      <c r="E937" s="4"/>
      <c r="F937" s="4"/>
      <c r="G937" s="4"/>
      <c r="H937" s="4"/>
      <c r="I937" s="26"/>
      <c r="J937" s="26"/>
      <c r="K937" s="4"/>
      <c r="L937" s="4"/>
      <c r="M937" s="4"/>
      <c r="N937" s="107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1073"/>
      <c r="C938" s="1073"/>
      <c r="D938" s="4"/>
      <c r="E938" s="4"/>
      <c r="F938" s="4"/>
      <c r="G938" s="4"/>
      <c r="H938" s="4"/>
      <c r="I938" s="26"/>
      <c r="J938" s="26"/>
      <c r="K938" s="4"/>
      <c r="L938" s="4"/>
      <c r="M938" s="4"/>
      <c r="N938" s="107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1073"/>
      <c r="C939" s="1073"/>
      <c r="D939" s="4"/>
      <c r="E939" s="4"/>
      <c r="F939" s="4"/>
      <c r="G939" s="4"/>
      <c r="H939" s="4"/>
      <c r="I939" s="26"/>
      <c r="J939" s="26"/>
      <c r="K939" s="4"/>
      <c r="L939" s="4"/>
      <c r="M939" s="4"/>
      <c r="N939" s="107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1073"/>
      <c r="C940" s="1073"/>
      <c r="D940" s="4"/>
      <c r="E940" s="4"/>
      <c r="F940" s="4"/>
      <c r="G940" s="4"/>
      <c r="H940" s="4"/>
      <c r="I940" s="26"/>
      <c r="J940" s="26"/>
      <c r="K940" s="4"/>
      <c r="L940" s="4"/>
      <c r="M940" s="4"/>
      <c r="N940" s="107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1073"/>
      <c r="C941" s="1073"/>
      <c r="D941" s="4"/>
      <c r="E941" s="4"/>
      <c r="F941" s="4"/>
      <c r="G941" s="4"/>
      <c r="H941" s="4"/>
      <c r="I941" s="26"/>
      <c r="J941" s="26"/>
      <c r="K941" s="4"/>
      <c r="L941" s="4"/>
      <c r="M941" s="4"/>
      <c r="N941" s="107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1073"/>
      <c r="C942" s="1073"/>
      <c r="D942" s="4"/>
      <c r="E942" s="4"/>
      <c r="F942" s="4"/>
      <c r="G942" s="4"/>
      <c r="H942" s="4"/>
      <c r="I942" s="26"/>
      <c r="J942" s="26"/>
      <c r="K942" s="4"/>
      <c r="L942" s="4"/>
      <c r="M942" s="4"/>
      <c r="N942" s="107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1073"/>
      <c r="C943" s="1073"/>
      <c r="D943" s="4"/>
      <c r="E943" s="4"/>
      <c r="F943" s="4"/>
      <c r="G943" s="4"/>
      <c r="H943" s="4"/>
      <c r="I943" s="26"/>
      <c r="J943" s="26"/>
      <c r="K943" s="4"/>
      <c r="L943" s="4"/>
      <c r="M943" s="4"/>
      <c r="N943" s="107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1073"/>
      <c r="C944" s="1073"/>
      <c r="D944" s="4"/>
      <c r="E944" s="4"/>
      <c r="F944" s="4"/>
      <c r="G944" s="4"/>
      <c r="H944" s="4"/>
      <c r="I944" s="26"/>
      <c r="J944" s="26"/>
      <c r="K944" s="4"/>
      <c r="L944" s="4"/>
      <c r="M944" s="4"/>
      <c r="N944" s="107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1073"/>
      <c r="C945" s="1073"/>
      <c r="D945" s="4"/>
      <c r="E945" s="4"/>
      <c r="F945" s="4"/>
      <c r="G945" s="4"/>
      <c r="H945" s="4"/>
      <c r="I945" s="26"/>
      <c r="J945" s="26"/>
      <c r="K945" s="4"/>
      <c r="L945" s="4"/>
      <c r="M945" s="4"/>
      <c r="N945" s="107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1073"/>
      <c r="C946" s="1073"/>
      <c r="D946" s="4"/>
      <c r="E946" s="4"/>
      <c r="F946" s="4"/>
      <c r="G946" s="4"/>
      <c r="H946" s="4"/>
      <c r="I946" s="26"/>
      <c r="J946" s="26"/>
      <c r="K946" s="4"/>
      <c r="L946" s="4"/>
      <c r="M946" s="4"/>
      <c r="N946" s="107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1073"/>
      <c r="C947" s="1073"/>
      <c r="D947" s="4"/>
      <c r="E947" s="4"/>
      <c r="F947" s="4"/>
      <c r="G947" s="4"/>
      <c r="H947" s="4"/>
      <c r="I947" s="26"/>
      <c r="J947" s="26"/>
      <c r="K947" s="4"/>
      <c r="L947" s="4"/>
      <c r="M947" s="4"/>
      <c r="N947" s="107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1073"/>
      <c r="C948" s="1073"/>
      <c r="D948" s="4"/>
      <c r="E948" s="4"/>
      <c r="F948" s="4"/>
      <c r="G948" s="4"/>
      <c r="H948" s="4"/>
      <c r="I948" s="26"/>
      <c r="J948" s="26"/>
      <c r="K948" s="4"/>
      <c r="L948" s="4"/>
      <c r="M948" s="4"/>
      <c r="N948" s="107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1073"/>
      <c r="C949" s="1073"/>
      <c r="D949" s="4"/>
      <c r="E949" s="4"/>
      <c r="F949" s="4"/>
      <c r="G949" s="4"/>
      <c r="H949" s="4"/>
      <c r="I949" s="26"/>
      <c r="J949" s="26"/>
      <c r="K949" s="4"/>
      <c r="L949" s="4"/>
      <c r="M949" s="4"/>
      <c r="N949" s="107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1073"/>
      <c r="C950" s="1073"/>
      <c r="D950" s="4"/>
      <c r="E950" s="4"/>
      <c r="F950" s="4"/>
      <c r="G950" s="4"/>
      <c r="H950" s="4"/>
      <c r="I950" s="26"/>
      <c r="J950" s="26"/>
      <c r="K950" s="4"/>
      <c r="L950" s="4"/>
      <c r="M950" s="4"/>
      <c r="N950" s="107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1073"/>
      <c r="C951" s="1073"/>
      <c r="D951" s="4"/>
      <c r="E951" s="4"/>
      <c r="F951" s="4"/>
      <c r="G951" s="4"/>
      <c r="H951" s="4"/>
      <c r="I951" s="26"/>
      <c r="J951" s="26"/>
      <c r="K951" s="4"/>
      <c r="L951" s="4"/>
      <c r="M951" s="4"/>
      <c r="N951" s="107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1073"/>
      <c r="C952" s="1073"/>
      <c r="D952" s="4"/>
      <c r="E952" s="4"/>
      <c r="F952" s="4"/>
      <c r="G952" s="4"/>
      <c r="H952" s="4"/>
      <c r="I952" s="26"/>
      <c r="J952" s="26"/>
      <c r="K952" s="4"/>
      <c r="L952" s="4"/>
      <c r="M952" s="4"/>
      <c r="N952" s="107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1073"/>
      <c r="C953" s="1073"/>
      <c r="D953" s="4"/>
      <c r="E953" s="4"/>
      <c r="F953" s="4"/>
      <c r="G953" s="4"/>
      <c r="H953" s="4"/>
      <c r="I953" s="26"/>
      <c r="J953" s="26"/>
      <c r="K953" s="4"/>
      <c r="L953" s="4"/>
      <c r="M953" s="4"/>
      <c r="N953" s="107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1073"/>
      <c r="C954" s="1073"/>
      <c r="D954" s="4"/>
      <c r="E954" s="4"/>
      <c r="F954" s="4"/>
      <c r="G954" s="4"/>
      <c r="H954" s="4"/>
      <c r="I954" s="26"/>
      <c r="J954" s="26"/>
      <c r="K954" s="4"/>
      <c r="L954" s="4"/>
      <c r="M954" s="4"/>
      <c r="N954" s="107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1073"/>
      <c r="C955" s="1073"/>
      <c r="D955" s="4"/>
      <c r="E955" s="4"/>
      <c r="F955" s="4"/>
      <c r="G955" s="4"/>
      <c r="H955" s="4"/>
      <c r="I955" s="26"/>
      <c r="J955" s="26"/>
      <c r="K955" s="4"/>
      <c r="L955" s="4"/>
      <c r="M955" s="4"/>
      <c r="N955" s="107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1073"/>
      <c r="C956" s="1073"/>
      <c r="D956" s="4"/>
      <c r="E956" s="4"/>
      <c r="F956" s="4"/>
      <c r="G956" s="4"/>
      <c r="H956" s="4"/>
      <c r="I956" s="26"/>
      <c r="J956" s="26"/>
      <c r="K956" s="4"/>
      <c r="L956" s="4"/>
      <c r="M956" s="4"/>
      <c r="N956" s="107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1073"/>
      <c r="C957" s="1073"/>
      <c r="D957" s="4"/>
      <c r="E957" s="4"/>
      <c r="F957" s="4"/>
      <c r="G957" s="4"/>
      <c r="H957" s="4"/>
      <c r="I957" s="26"/>
      <c r="J957" s="26"/>
      <c r="K957" s="4"/>
      <c r="L957" s="4"/>
      <c r="M957" s="4"/>
      <c r="N957" s="107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1073"/>
      <c r="C958" s="1073"/>
      <c r="D958" s="4"/>
      <c r="E958" s="4"/>
      <c r="F958" s="4"/>
      <c r="G958" s="4"/>
      <c r="H958" s="4"/>
      <c r="I958" s="26"/>
      <c r="J958" s="26"/>
      <c r="K958" s="4"/>
      <c r="L958" s="4"/>
      <c r="M958" s="4"/>
      <c r="N958" s="107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1073"/>
      <c r="C959" s="1073"/>
      <c r="D959" s="4"/>
      <c r="E959" s="4"/>
      <c r="F959" s="4"/>
      <c r="G959" s="4"/>
      <c r="H959" s="4"/>
      <c r="I959" s="26"/>
      <c r="J959" s="26"/>
      <c r="K959" s="4"/>
      <c r="L959" s="4"/>
      <c r="M959" s="4"/>
      <c r="N959" s="107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1073"/>
      <c r="C960" s="1073"/>
      <c r="D960" s="4"/>
      <c r="E960" s="4"/>
      <c r="F960" s="4"/>
      <c r="G960" s="4"/>
      <c r="H960" s="4"/>
      <c r="I960" s="26"/>
      <c r="J960" s="26"/>
      <c r="K960" s="4"/>
      <c r="L960" s="4"/>
      <c r="M960" s="4"/>
      <c r="N960" s="107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1073"/>
      <c r="C961" s="1073"/>
      <c r="D961" s="4"/>
      <c r="E961" s="4"/>
      <c r="F961" s="4"/>
      <c r="G961" s="4"/>
      <c r="H961" s="4"/>
      <c r="I961" s="26"/>
      <c r="J961" s="26"/>
      <c r="K961" s="4"/>
      <c r="L961" s="4"/>
      <c r="M961" s="4"/>
      <c r="N961" s="107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1073"/>
      <c r="C962" s="1073"/>
      <c r="D962" s="4"/>
      <c r="E962" s="4"/>
      <c r="F962" s="4"/>
      <c r="G962" s="4"/>
      <c r="H962" s="4"/>
      <c r="I962" s="26"/>
      <c r="J962" s="26"/>
      <c r="K962" s="4"/>
      <c r="L962" s="4"/>
      <c r="M962" s="4"/>
      <c r="N962" s="107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1073"/>
      <c r="C963" s="1073"/>
      <c r="D963" s="4"/>
      <c r="E963" s="4"/>
      <c r="F963" s="4"/>
      <c r="G963" s="4"/>
      <c r="H963" s="4"/>
      <c r="I963" s="26"/>
      <c r="J963" s="26"/>
      <c r="K963" s="4"/>
      <c r="L963" s="4"/>
      <c r="M963" s="4"/>
      <c r="N963" s="107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1073"/>
      <c r="C964" s="1073"/>
      <c r="D964" s="4"/>
      <c r="E964" s="4"/>
      <c r="F964" s="4"/>
      <c r="G964" s="4"/>
      <c r="H964" s="4"/>
      <c r="I964" s="26"/>
      <c r="J964" s="26"/>
      <c r="K964" s="4"/>
      <c r="L964" s="4"/>
      <c r="M964" s="4"/>
      <c r="N964" s="107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1073"/>
      <c r="C965" s="1073"/>
      <c r="D965" s="4"/>
      <c r="E965" s="4"/>
      <c r="F965" s="4"/>
      <c r="G965" s="4"/>
      <c r="H965" s="4"/>
      <c r="I965" s="26"/>
      <c r="J965" s="26"/>
      <c r="K965" s="4"/>
      <c r="L965" s="4"/>
      <c r="M965" s="4"/>
      <c r="N965" s="107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1073"/>
      <c r="C966" s="1073"/>
      <c r="D966" s="4"/>
      <c r="E966" s="4"/>
      <c r="F966" s="4"/>
      <c r="G966" s="4"/>
      <c r="H966" s="4"/>
      <c r="I966" s="26"/>
      <c r="J966" s="26"/>
      <c r="K966" s="4"/>
      <c r="L966" s="4"/>
      <c r="M966" s="4"/>
      <c r="N966" s="107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1073"/>
      <c r="C967" s="1073"/>
      <c r="D967" s="4"/>
      <c r="E967" s="4"/>
      <c r="F967" s="4"/>
      <c r="G967" s="4"/>
      <c r="H967" s="4"/>
      <c r="I967" s="26"/>
      <c r="J967" s="26"/>
      <c r="K967" s="4"/>
      <c r="L967" s="4"/>
      <c r="M967" s="4"/>
      <c r="N967" s="107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1073"/>
      <c r="C968" s="1073"/>
      <c r="D968" s="4"/>
      <c r="E968" s="4"/>
      <c r="F968" s="4"/>
      <c r="G968" s="4"/>
      <c r="H968" s="4"/>
      <c r="I968" s="26"/>
      <c r="J968" s="26"/>
      <c r="K968" s="4"/>
      <c r="L968" s="4"/>
      <c r="M968" s="4"/>
      <c r="N968" s="107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1073"/>
      <c r="C969" s="1073"/>
      <c r="D969" s="4"/>
      <c r="E969" s="4"/>
      <c r="F969" s="4"/>
      <c r="G969" s="4"/>
      <c r="H969" s="4"/>
      <c r="I969" s="26"/>
      <c r="J969" s="26"/>
      <c r="K969" s="4"/>
      <c r="L969" s="4"/>
      <c r="M969" s="4"/>
      <c r="N969" s="107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1073"/>
      <c r="C970" s="1073"/>
      <c r="D970" s="4"/>
      <c r="E970" s="4"/>
      <c r="F970" s="4"/>
      <c r="G970" s="4"/>
      <c r="H970" s="4"/>
      <c r="I970" s="26"/>
      <c r="J970" s="26"/>
      <c r="K970" s="4"/>
      <c r="L970" s="4"/>
      <c r="M970" s="4"/>
      <c r="N970" s="107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1073"/>
      <c r="C971" s="1073"/>
      <c r="D971" s="4"/>
      <c r="E971" s="4"/>
      <c r="F971" s="4"/>
      <c r="G971" s="4"/>
      <c r="H971" s="4"/>
      <c r="I971" s="26"/>
      <c r="J971" s="26"/>
      <c r="K971" s="4"/>
      <c r="L971" s="4"/>
      <c r="M971" s="4"/>
      <c r="N971" s="107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1073"/>
      <c r="C972" s="1073"/>
      <c r="D972" s="4"/>
      <c r="E972" s="4"/>
      <c r="F972" s="4"/>
      <c r="G972" s="4"/>
      <c r="H972" s="4"/>
      <c r="I972" s="26"/>
      <c r="J972" s="26"/>
      <c r="K972" s="4"/>
      <c r="L972" s="4"/>
      <c r="M972" s="4"/>
      <c r="N972" s="107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1073"/>
      <c r="C973" s="1073"/>
      <c r="D973" s="4"/>
      <c r="E973" s="4"/>
      <c r="F973" s="4"/>
      <c r="G973" s="4"/>
      <c r="H973" s="4"/>
      <c r="I973" s="26"/>
      <c r="J973" s="26"/>
      <c r="K973" s="4"/>
      <c r="L973" s="4"/>
      <c r="M973" s="4"/>
      <c r="N973" s="107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1073"/>
      <c r="C974" s="1073"/>
      <c r="D974" s="4"/>
      <c r="E974" s="4"/>
      <c r="F974" s="4"/>
      <c r="G974" s="4"/>
      <c r="H974" s="4"/>
      <c r="I974" s="26"/>
      <c r="J974" s="26"/>
      <c r="K974" s="4"/>
      <c r="L974" s="4"/>
      <c r="M974" s="4"/>
      <c r="N974" s="107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1073"/>
      <c r="C975" s="1073"/>
      <c r="D975" s="4"/>
      <c r="E975" s="4"/>
      <c r="F975" s="4"/>
      <c r="G975" s="4"/>
      <c r="H975" s="4"/>
      <c r="I975" s="26"/>
      <c r="J975" s="26"/>
      <c r="K975" s="4"/>
      <c r="L975" s="4"/>
      <c r="M975" s="4"/>
      <c r="N975" s="107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1073"/>
      <c r="C976" s="1073"/>
      <c r="D976" s="4"/>
      <c r="E976" s="4"/>
      <c r="F976" s="4"/>
      <c r="G976" s="4"/>
      <c r="H976" s="4"/>
      <c r="I976" s="26"/>
      <c r="J976" s="26"/>
      <c r="K976" s="4"/>
      <c r="L976" s="4"/>
      <c r="M976" s="4"/>
      <c r="N976" s="107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1073"/>
      <c r="C977" s="1073"/>
      <c r="D977" s="4"/>
      <c r="E977" s="4"/>
      <c r="F977" s="4"/>
      <c r="G977" s="4"/>
      <c r="H977" s="4"/>
      <c r="I977" s="26"/>
      <c r="J977" s="26"/>
      <c r="K977" s="4"/>
      <c r="L977" s="4"/>
      <c r="M977" s="4"/>
      <c r="N977" s="107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1073"/>
      <c r="C978" s="1073"/>
      <c r="D978" s="4"/>
      <c r="E978" s="4"/>
      <c r="F978" s="4"/>
      <c r="G978" s="4"/>
      <c r="H978" s="4"/>
      <c r="I978" s="26"/>
      <c r="J978" s="26"/>
      <c r="K978" s="4"/>
      <c r="L978" s="4"/>
      <c r="M978" s="4"/>
      <c r="N978" s="107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1073"/>
      <c r="C979" s="1073"/>
      <c r="D979" s="4"/>
      <c r="E979" s="4"/>
      <c r="F979" s="4"/>
      <c r="G979" s="4"/>
      <c r="H979" s="4"/>
      <c r="I979" s="26"/>
      <c r="J979" s="26"/>
      <c r="K979" s="4"/>
      <c r="L979" s="4"/>
      <c r="M979" s="4"/>
      <c r="N979" s="107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1073"/>
      <c r="C980" s="1073"/>
      <c r="D980" s="4"/>
      <c r="E980" s="4"/>
      <c r="F980" s="4"/>
      <c r="G980" s="4"/>
      <c r="H980" s="4"/>
      <c r="I980" s="26"/>
      <c r="J980" s="26"/>
      <c r="K980" s="4"/>
      <c r="L980" s="4"/>
      <c r="M980" s="4"/>
      <c r="N980" s="107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1073"/>
      <c r="C981" s="1073"/>
      <c r="D981" s="4"/>
      <c r="E981" s="4"/>
      <c r="F981" s="4"/>
      <c r="G981" s="4"/>
      <c r="H981" s="4"/>
      <c r="I981" s="26"/>
      <c r="J981" s="26"/>
      <c r="K981" s="4"/>
      <c r="L981" s="4"/>
      <c r="M981" s="4"/>
      <c r="N981" s="107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1073"/>
      <c r="C982" s="1073"/>
      <c r="D982" s="4"/>
      <c r="E982" s="4"/>
      <c r="F982" s="4"/>
      <c r="G982" s="4"/>
      <c r="H982" s="4"/>
      <c r="I982" s="26"/>
      <c r="J982" s="26"/>
      <c r="K982" s="4"/>
      <c r="L982" s="4"/>
      <c r="M982" s="4"/>
      <c r="N982" s="107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1073"/>
      <c r="C983" s="1073"/>
      <c r="D983" s="4"/>
      <c r="E983" s="4"/>
      <c r="F983" s="4"/>
      <c r="G983" s="4"/>
      <c r="H983" s="4"/>
      <c r="I983" s="26"/>
      <c r="J983" s="26"/>
      <c r="K983" s="4"/>
      <c r="L983" s="4"/>
      <c r="M983" s="4"/>
      <c r="N983" s="107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1073"/>
      <c r="C984" s="1073"/>
      <c r="D984" s="4"/>
      <c r="E984" s="4"/>
      <c r="F984" s="4"/>
      <c r="G984" s="4"/>
      <c r="H984" s="4"/>
      <c r="I984" s="26"/>
      <c r="J984" s="26"/>
      <c r="K984" s="4"/>
      <c r="L984" s="4"/>
      <c r="M984" s="4"/>
      <c r="N984" s="107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1073"/>
      <c r="C985" s="1073"/>
      <c r="D985" s="4"/>
      <c r="E985" s="4"/>
      <c r="F985" s="4"/>
      <c r="G985" s="4"/>
      <c r="H985" s="4"/>
      <c r="I985" s="26"/>
      <c r="J985" s="26"/>
      <c r="K985" s="4"/>
      <c r="L985" s="4"/>
      <c r="M985" s="4"/>
      <c r="N985" s="107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1073"/>
      <c r="C986" s="1073"/>
      <c r="D986" s="4"/>
      <c r="E986" s="4"/>
      <c r="F986" s="4"/>
      <c r="G986" s="4"/>
      <c r="H986" s="4"/>
      <c r="I986" s="26"/>
      <c r="J986" s="26"/>
      <c r="K986" s="4"/>
      <c r="L986" s="4"/>
      <c r="M986" s="4"/>
      <c r="N986" s="107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1073"/>
      <c r="C987" s="1073"/>
      <c r="D987" s="4"/>
      <c r="E987" s="4"/>
      <c r="F987" s="4"/>
      <c r="G987" s="4"/>
      <c r="H987" s="4"/>
      <c r="I987" s="26"/>
      <c r="J987" s="26"/>
      <c r="K987" s="4"/>
      <c r="L987" s="4"/>
      <c r="M987" s="4"/>
      <c r="N987" s="107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1073"/>
      <c r="C988" s="1073"/>
      <c r="D988" s="4"/>
      <c r="E988" s="4"/>
      <c r="F988" s="4"/>
      <c r="G988" s="4"/>
      <c r="H988" s="4"/>
      <c r="I988" s="26"/>
      <c r="J988" s="26"/>
      <c r="K988" s="4"/>
      <c r="L988" s="4"/>
      <c r="M988" s="4"/>
      <c r="N988" s="107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1073"/>
      <c r="C989" s="1073"/>
      <c r="D989" s="4"/>
      <c r="E989" s="4"/>
      <c r="F989" s="4"/>
      <c r="G989" s="4"/>
      <c r="H989" s="4"/>
      <c r="I989" s="26"/>
      <c r="J989" s="26"/>
      <c r="K989" s="4"/>
      <c r="L989" s="4"/>
      <c r="M989" s="4"/>
      <c r="N989" s="107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1073"/>
      <c r="C990" s="1073"/>
      <c r="D990" s="4"/>
      <c r="E990" s="4"/>
      <c r="F990" s="4"/>
      <c r="G990" s="4"/>
      <c r="H990" s="4"/>
      <c r="I990" s="26"/>
      <c r="J990" s="26"/>
      <c r="K990" s="4"/>
      <c r="L990" s="4"/>
      <c r="M990" s="4"/>
      <c r="N990" s="107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1073"/>
      <c r="C991" s="1073"/>
      <c r="D991" s="4"/>
      <c r="E991" s="4"/>
      <c r="F991" s="4"/>
      <c r="G991" s="4"/>
      <c r="H991" s="4"/>
      <c r="I991" s="26"/>
      <c r="J991" s="26"/>
      <c r="K991" s="4"/>
      <c r="L991" s="4"/>
      <c r="M991" s="4"/>
      <c r="N991" s="107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1073"/>
      <c r="C992" s="1073"/>
      <c r="D992" s="4"/>
      <c r="E992" s="4"/>
      <c r="F992" s="4"/>
      <c r="G992" s="4"/>
      <c r="H992" s="4"/>
      <c r="I992" s="26"/>
      <c r="J992" s="26"/>
      <c r="K992" s="4"/>
      <c r="L992" s="4"/>
      <c r="M992" s="4"/>
      <c r="N992" s="107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1073"/>
      <c r="C993" s="1073"/>
      <c r="D993" s="4"/>
      <c r="E993" s="4"/>
      <c r="F993" s="4"/>
      <c r="G993" s="4"/>
      <c r="H993" s="4"/>
      <c r="I993" s="26"/>
      <c r="J993" s="26"/>
      <c r="K993" s="4"/>
      <c r="L993" s="4"/>
      <c r="M993" s="4"/>
      <c r="N993" s="107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1073"/>
      <c r="C994" s="1073"/>
      <c r="D994" s="4"/>
      <c r="E994" s="4"/>
      <c r="F994" s="4"/>
      <c r="G994" s="4"/>
      <c r="H994" s="4"/>
      <c r="I994" s="26"/>
      <c r="J994" s="26"/>
      <c r="K994" s="4"/>
      <c r="L994" s="4"/>
      <c r="M994" s="4"/>
      <c r="N994" s="107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1073"/>
      <c r="C995" s="1073"/>
      <c r="D995" s="4"/>
      <c r="E995" s="4"/>
      <c r="F995" s="4"/>
      <c r="G995" s="4"/>
      <c r="H995" s="4"/>
      <c r="I995" s="26"/>
      <c r="J995" s="26"/>
      <c r="K995" s="4"/>
      <c r="L995" s="4"/>
      <c r="M995" s="4"/>
      <c r="N995" s="107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1073"/>
      <c r="C996" s="1073"/>
      <c r="D996" s="4"/>
      <c r="E996" s="4"/>
      <c r="F996" s="4"/>
      <c r="G996" s="4"/>
      <c r="H996" s="4"/>
      <c r="I996" s="26"/>
      <c r="J996" s="26"/>
      <c r="K996" s="4"/>
      <c r="L996" s="4"/>
      <c r="M996" s="4"/>
      <c r="N996" s="107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1073"/>
      <c r="C997" s="1073"/>
      <c r="D997" s="4"/>
      <c r="E997" s="4"/>
      <c r="F997" s="4"/>
      <c r="G997" s="4"/>
      <c r="H997" s="4"/>
      <c r="I997" s="26"/>
      <c r="J997" s="26"/>
      <c r="K997" s="4"/>
      <c r="L997" s="4"/>
      <c r="M997" s="4"/>
      <c r="N997" s="107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1073"/>
      <c r="C998" s="1073"/>
      <c r="D998" s="4"/>
      <c r="E998" s="4"/>
      <c r="F998" s="4"/>
      <c r="G998" s="4"/>
      <c r="H998" s="4"/>
      <c r="I998" s="26"/>
      <c r="J998" s="26"/>
      <c r="K998" s="4"/>
      <c r="L998" s="4"/>
      <c r="M998" s="4"/>
      <c r="N998" s="107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1073"/>
      <c r="C999" s="1073"/>
      <c r="D999" s="4"/>
      <c r="E999" s="4"/>
      <c r="F999" s="4"/>
      <c r="G999" s="4"/>
      <c r="H999" s="4"/>
      <c r="I999" s="26"/>
      <c r="J999" s="26"/>
      <c r="K999" s="4"/>
      <c r="L999" s="4"/>
      <c r="M999" s="4"/>
      <c r="N999" s="107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1073"/>
      <c r="C1000" s="1073"/>
      <c r="D1000" s="4"/>
      <c r="E1000" s="4"/>
      <c r="F1000" s="4"/>
      <c r="G1000" s="4"/>
      <c r="H1000" s="4"/>
      <c r="I1000" s="26"/>
      <c r="J1000" s="26"/>
      <c r="K1000" s="4"/>
      <c r="L1000" s="4"/>
      <c r="M1000" s="4"/>
      <c r="N1000" s="107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>
      <c r="A1001" s="4"/>
      <c r="B1001" s="1073"/>
      <c r="C1001" s="1073"/>
      <c r="D1001" s="4"/>
      <c r="E1001" s="4"/>
      <c r="F1001" s="4"/>
      <c r="G1001" s="4"/>
      <c r="H1001" s="4"/>
      <c r="I1001" s="26"/>
      <c r="J1001" s="26"/>
      <c r="K1001" s="4"/>
      <c r="L1001" s="4"/>
      <c r="M1001" s="4"/>
      <c r="N1001" s="107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>
      <c r="A1002" s="4"/>
      <c r="B1002" s="1073"/>
      <c r="C1002" s="1073"/>
      <c r="D1002" s="4"/>
      <c r="E1002" s="4"/>
      <c r="F1002" s="4"/>
      <c r="G1002" s="4"/>
      <c r="H1002" s="4"/>
      <c r="I1002" s="26"/>
      <c r="J1002" s="26"/>
      <c r="K1002" s="4"/>
      <c r="L1002" s="4"/>
      <c r="M1002" s="4"/>
      <c r="N1002" s="107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>
      <c r="A1003" s="4"/>
      <c r="B1003" s="1073"/>
      <c r="C1003" s="1073"/>
      <c r="D1003" s="4"/>
      <c r="E1003" s="4"/>
      <c r="F1003" s="4"/>
      <c r="G1003" s="4"/>
      <c r="H1003" s="4"/>
      <c r="I1003" s="26"/>
      <c r="J1003" s="26"/>
      <c r="K1003" s="4"/>
      <c r="L1003" s="4"/>
      <c r="M1003" s="4"/>
      <c r="N1003" s="107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>
      <c r="A1004" s="4"/>
      <c r="B1004" s="1073"/>
      <c r="C1004" s="1073"/>
      <c r="D1004" s="4"/>
      <c r="E1004" s="4"/>
      <c r="F1004" s="4"/>
      <c r="G1004" s="4"/>
      <c r="H1004" s="4"/>
      <c r="I1004" s="26"/>
      <c r="J1004" s="26"/>
      <c r="K1004" s="4"/>
      <c r="L1004" s="4"/>
      <c r="M1004" s="4"/>
      <c r="N1004" s="107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>
      <c r="A1005" s="4"/>
      <c r="B1005" s="1073"/>
      <c r="C1005" s="1073"/>
      <c r="D1005" s="4"/>
      <c r="E1005" s="4"/>
      <c r="F1005" s="4"/>
      <c r="G1005" s="4"/>
      <c r="H1005" s="4"/>
      <c r="I1005" s="26"/>
      <c r="J1005" s="26"/>
      <c r="K1005" s="4"/>
      <c r="L1005" s="4"/>
      <c r="M1005" s="4"/>
      <c r="N1005" s="107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>
      <c r="A1006" s="4"/>
      <c r="B1006" s="1073"/>
      <c r="C1006" s="1073"/>
      <c r="D1006" s="4"/>
      <c r="E1006" s="4"/>
      <c r="F1006" s="4"/>
      <c r="G1006" s="4"/>
      <c r="H1006" s="4"/>
      <c r="I1006" s="26"/>
      <c r="J1006" s="26"/>
      <c r="K1006" s="4"/>
      <c r="L1006" s="4"/>
      <c r="M1006" s="4"/>
      <c r="N1006" s="107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>
      <c r="A1007" s="4"/>
      <c r="B1007" s="1073"/>
      <c r="C1007" s="1073"/>
      <c r="D1007" s="4"/>
      <c r="E1007" s="4"/>
      <c r="F1007" s="4"/>
      <c r="G1007" s="4"/>
      <c r="H1007" s="4"/>
      <c r="I1007" s="26"/>
      <c r="J1007" s="26"/>
      <c r="K1007" s="4"/>
      <c r="L1007" s="4"/>
      <c r="M1007" s="4"/>
      <c r="N1007" s="107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>
      <c r="A1008" s="4"/>
      <c r="B1008" s="1073"/>
      <c r="C1008" s="1073"/>
      <c r="D1008" s="4"/>
      <c r="E1008" s="4"/>
      <c r="F1008" s="4"/>
      <c r="G1008" s="4"/>
      <c r="H1008" s="4"/>
      <c r="I1008" s="26"/>
      <c r="J1008" s="26"/>
      <c r="K1008" s="4"/>
      <c r="L1008" s="4"/>
      <c r="M1008" s="4"/>
      <c r="N1008" s="107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>
      <c r="A1009" s="4"/>
      <c r="B1009" s="1073"/>
      <c r="C1009" s="1073"/>
      <c r="D1009" s="4"/>
      <c r="E1009" s="4"/>
      <c r="F1009" s="4"/>
      <c r="G1009" s="4"/>
      <c r="H1009" s="4"/>
      <c r="I1009" s="26"/>
      <c r="J1009" s="26"/>
      <c r="K1009" s="4"/>
      <c r="L1009" s="4"/>
      <c r="M1009" s="4"/>
      <c r="N1009" s="107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>
      <c r="A1010" s="4"/>
      <c r="B1010" s="1073"/>
      <c r="C1010" s="1073"/>
      <c r="D1010" s="4"/>
      <c r="E1010" s="4"/>
      <c r="F1010" s="4"/>
      <c r="G1010" s="4"/>
      <c r="H1010" s="4"/>
      <c r="I1010" s="26"/>
      <c r="J1010" s="26"/>
      <c r="K1010" s="4"/>
      <c r="L1010" s="4"/>
      <c r="M1010" s="4"/>
      <c r="N1010" s="107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>
      <c r="A1011" s="4"/>
      <c r="B1011" s="1073"/>
      <c r="C1011" s="1073"/>
      <c r="D1011" s="4"/>
      <c r="E1011" s="4"/>
      <c r="F1011" s="4"/>
      <c r="G1011" s="4"/>
      <c r="H1011" s="4"/>
      <c r="I1011" s="26"/>
      <c r="J1011" s="26"/>
      <c r="K1011" s="4"/>
      <c r="L1011" s="4"/>
      <c r="M1011" s="4"/>
      <c r="N1011" s="107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>
      <c r="A1012" s="4"/>
      <c r="B1012" s="1073"/>
      <c r="C1012" s="1073"/>
      <c r="D1012" s="4"/>
      <c r="E1012" s="4"/>
      <c r="F1012" s="4"/>
      <c r="G1012" s="4"/>
      <c r="H1012" s="4"/>
      <c r="I1012" s="26"/>
      <c r="J1012" s="26"/>
      <c r="K1012" s="4"/>
      <c r="L1012" s="4"/>
      <c r="M1012" s="4"/>
      <c r="N1012" s="107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>
      <c r="A1013" s="4"/>
      <c r="B1013" s="1073"/>
      <c r="C1013" s="1073"/>
      <c r="D1013" s="4"/>
      <c r="E1013" s="4"/>
      <c r="F1013" s="4"/>
      <c r="G1013" s="4"/>
      <c r="H1013" s="4"/>
      <c r="I1013" s="26"/>
      <c r="J1013" s="26"/>
      <c r="K1013" s="4"/>
      <c r="L1013" s="4"/>
      <c r="M1013" s="4"/>
      <c r="N1013" s="107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>
      <c r="A1014" s="4"/>
      <c r="B1014" s="1073"/>
      <c r="C1014" s="1073"/>
      <c r="D1014" s="4"/>
      <c r="E1014" s="4"/>
      <c r="F1014" s="4"/>
      <c r="G1014" s="4"/>
      <c r="H1014" s="4"/>
      <c r="I1014" s="26"/>
      <c r="J1014" s="26"/>
      <c r="K1014" s="4"/>
      <c r="L1014" s="4"/>
      <c r="M1014" s="4"/>
      <c r="N1014" s="107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>
      <c r="A1015" s="4"/>
      <c r="B1015" s="1073"/>
      <c r="C1015" s="1073"/>
      <c r="D1015" s="4"/>
      <c r="E1015" s="4"/>
      <c r="F1015" s="4"/>
      <c r="G1015" s="4"/>
      <c r="H1015" s="4"/>
      <c r="I1015" s="26"/>
      <c r="J1015" s="26"/>
      <c r="K1015" s="4"/>
      <c r="L1015" s="4"/>
      <c r="M1015" s="4"/>
      <c r="N1015" s="107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>
      <c r="A1016" s="4"/>
      <c r="B1016" s="1073"/>
      <c r="C1016" s="1073"/>
      <c r="D1016" s="4"/>
      <c r="E1016" s="4"/>
      <c r="F1016" s="4"/>
      <c r="G1016" s="4"/>
      <c r="H1016" s="4"/>
      <c r="I1016" s="26"/>
      <c r="J1016" s="26"/>
      <c r="K1016" s="4"/>
      <c r="L1016" s="4"/>
      <c r="M1016" s="4"/>
      <c r="N1016" s="107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>
      <c r="A1017" s="4"/>
      <c r="B1017" s="1073"/>
      <c r="C1017" s="1073"/>
      <c r="D1017" s="4"/>
      <c r="E1017" s="4"/>
      <c r="F1017" s="4"/>
      <c r="G1017" s="4"/>
      <c r="H1017" s="4"/>
      <c r="I1017" s="26"/>
      <c r="J1017" s="26"/>
      <c r="K1017" s="4"/>
      <c r="L1017" s="4"/>
      <c r="M1017" s="4"/>
      <c r="N1017" s="107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>
      <c r="A1018" s="4"/>
      <c r="B1018" s="1073"/>
      <c r="C1018" s="1073"/>
      <c r="D1018" s="4"/>
      <c r="E1018" s="4"/>
      <c r="F1018" s="4"/>
      <c r="G1018" s="4"/>
      <c r="H1018" s="4"/>
      <c r="I1018" s="26"/>
      <c r="J1018" s="26"/>
      <c r="K1018" s="4"/>
      <c r="L1018" s="4"/>
      <c r="M1018" s="4"/>
      <c r="N1018" s="107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>
      <c r="A1019" s="4"/>
      <c r="B1019" s="1073"/>
      <c r="C1019" s="1073"/>
      <c r="D1019" s="4"/>
      <c r="E1019" s="4"/>
      <c r="F1019" s="4"/>
      <c r="G1019" s="4"/>
      <c r="H1019" s="4"/>
      <c r="I1019" s="26"/>
      <c r="J1019" s="26"/>
      <c r="K1019" s="4"/>
      <c r="L1019" s="4"/>
      <c r="M1019" s="4"/>
      <c r="N1019" s="107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>
      <c r="A1020" s="4"/>
      <c r="B1020" s="1073"/>
      <c r="C1020" s="1073"/>
      <c r="D1020" s="4"/>
      <c r="E1020" s="4"/>
      <c r="F1020" s="4"/>
      <c r="G1020" s="4"/>
      <c r="H1020" s="4"/>
      <c r="I1020" s="26"/>
      <c r="J1020" s="26"/>
      <c r="K1020" s="4"/>
      <c r="L1020" s="4"/>
      <c r="M1020" s="4"/>
      <c r="N1020" s="107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>
      <c r="A1021" s="4"/>
      <c r="B1021" s="1073"/>
      <c r="C1021" s="1073"/>
      <c r="D1021" s="4"/>
      <c r="E1021" s="4"/>
      <c r="F1021" s="4"/>
      <c r="G1021" s="4"/>
      <c r="H1021" s="4"/>
      <c r="I1021" s="26"/>
      <c r="J1021" s="26"/>
      <c r="K1021" s="4"/>
      <c r="L1021" s="4"/>
      <c r="M1021" s="4"/>
      <c r="N1021" s="107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>
      <c r="A1022" s="4"/>
      <c r="B1022" s="1073"/>
      <c r="C1022" s="1073"/>
      <c r="D1022" s="4"/>
      <c r="E1022" s="4"/>
      <c r="F1022" s="4"/>
      <c r="G1022" s="4"/>
      <c r="H1022" s="4"/>
      <c r="I1022" s="26"/>
      <c r="J1022" s="26"/>
      <c r="K1022" s="4"/>
      <c r="L1022" s="4"/>
      <c r="M1022" s="4"/>
      <c r="N1022" s="107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>
      <c r="A1023" s="4"/>
      <c r="B1023" s="1073"/>
      <c r="C1023" s="1073"/>
      <c r="D1023" s="4"/>
      <c r="E1023" s="4"/>
      <c r="F1023" s="4"/>
      <c r="G1023" s="4"/>
      <c r="H1023" s="4"/>
      <c r="I1023" s="26"/>
      <c r="J1023" s="26"/>
      <c r="K1023" s="4"/>
      <c r="L1023" s="4"/>
      <c r="M1023" s="4"/>
      <c r="N1023" s="107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>
      <c r="A1024" s="4"/>
      <c r="B1024" s="1073"/>
      <c r="C1024" s="1073"/>
      <c r="D1024" s="4"/>
      <c r="E1024" s="4"/>
      <c r="F1024" s="4"/>
      <c r="G1024" s="4"/>
      <c r="H1024" s="4"/>
      <c r="I1024" s="26"/>
      <c r="J1024" s="26"/>
      <c r="K1024" s="4"/>
      <c r="L1024" s="4"/>
      <c r="M1024" s="4"/>
      <c r="N1024" s="107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>
      <c r="A1025" s="4"/>
      <c r="B1025" s="1073"/>
      <c r="C1025" s="1073"/>
      <c r="D1025" s="4"/>
      <c r="E1025" s="4"/>
      <c r="F1025" s="4"/>
      <c r="G1025" s="4"/>
      <c r="H1025" s="4"/>
      <c r="I1025" s="26"/>
      <c r="J1025" s="26"/>
      <c r="K1025" s="4"/>
      <c r="L1025" s="4"/>
      <c r="M1025" s="4"/>
      <c r="N1025" s="107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>
      <c r="A1026" s="4"/>
      <c r="B1026" s="1073"/>
      <c r="C1026" s="1073"/>
      <c r="D1026" s="4"/>
      <c r="E1026" s="4"/>
      <c r="F1026" s="4"/>
      <c r="G1026" s="4"/>
      <c r="H1026" s="4"/>
      <c r="I1026" s="26"/>
      <c r="J1026" s="26"/>
      <c r="K1026" s="4"/>
      <c r="L1026" s="4"/>
      <c r="M1026" s="4"/>
      <c r="N1026" s="107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>
      <c r="A1027" s="4"/>
      <c r="B1027" s="1073"/>
      <c r="C1027" s="1073"/>
      <c r="D1027" s="4"/>
      <c r="E1027" s="4"/>
      <c r="F1027" s="4"/>
      <c r="G1027" s="4"/>
      <c r="H1027" s="4"/>
      <c r="I1027" s="26"/>
      <c r="J1027" s="26"/>
      <c r="K1027" s="4"/>
      <c r="L1027" s="4"/>
      <c r="M1027" s="4"/>
      <c r="N1027" s="107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>
      <c r="A1028" s="4"/>
      <c r="B1028" s="1073"/>
      <c r="C1028" s="1073"/>
      <c r="D1028" s="4"/>
      <c r="E1028" s="4"/>
      <c r="F1028" s="4"/>
      <c r="G1028" s="4"/>
      <c r="H1028" s="4"/>
      <c r="I1028" s="26"/>
      <c r="J1028" s="26"/>
      <c r="K1028" s="4"/>
      <c r="L1028" s="4"/>
      <c r="M1028" s="4"/>
      <c r="N1028" s="107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>
      <c r="A1029" s="4"/>
      <c r="B1029" s="1073"/>
      <c r="C1029" s="1073"/>
      <c r="D1029" s="4"/>
      <c r="E1029" s="4"/>
      <c r="F1029" s="4"/>
      <c r="G1029" s="4"/>
      <c r="H1029" s="4"/>
      <c r="I1029" s="26"/>
      <c r="J1029" s="26"/>
      <c r="K1029" s="4"/>
      <c r="L1029" s="4"/>
      <c r="M1029" s="4"/>
      <c r="N1029" s="107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>
      <c r="A1030" s="4"/>
      <c r="B1030" s="1073"/>
      <c r="C1030" s="1073"/>
      <c r="D1030" s="4"/>
      <c r="E1030" s="4"/>
      <c r="F1030" s="4"/>
      <c r="G1030" s="4"/>
      <c r="H1030" s="4"/>
      <c r="I1030" s="26"/>
      <c r="J1030" s="26"/>
      <c r="K1030" s="4"/>
      <c r="L1030" s="4"/>
      <c r="M1030" s="4"/>
      <c r="N1030" s="107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>
      <c r="A1031" s="4"/>
      <c r="B1031" s="1073"/>
      <c r="C1031" s="1073"/>
      <c r="D1031" s="4"/>
      <c r="E1031" s="4"/>
      <c r="F1031" s="4"/>
      <c r="G1031" s="4"/>
      <c r="H1031" s="4"/>
      <c r="I1031" s="26"/>
      <c r="J1031" s="26"/>
      <c r="K1031" s="4"/>
      <c r="L1031" s="4"/>
      <c r="M1031" s="4"/>
      <c r="N1031" s="107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>
      <c r="A1032" s="4"/>
      <c r="B1032" s="1073"/>
      <c r="C1032" s="1073"/>
      <c r="D1032" s="4"/>
      <c r="E1032" s="4"/>
      <c r="F1032" s="4"/>
      <c r="G1032" s="4"/>
      <c r="H1032" s="4"/>
      <c r="I1032" s="26"/>
      <c r="J1032" s="26"/>
      <c r="K1032" s="4"/>
      <c r="L1032" s="4"/>
      <c r="M1032" s="4"/>
      <c r="N1032" s="107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>
      <c r="A1033" s="4"/>
      <c r="B1033" s="1073"/>
      <c r="C1033" s="1073"/>
      <c r="D1033" s="4"/>
      <c r="E1033" s="4"/>
      <c r="F1033" s="4"/>
      <c r="G1033" s="4"/>
      <c r="H1033" s="4"/>
      <c r="I1033" s="26"/>
      <c r="J1033" s="26"/>
      <c r="K1033" s="4"/>
      <c r="L1033" s="4"/>
      <c r="M1033" s="4"/>
      <c r="N1033" s="107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>
      <c r="A1034" s="4"/>
      <c r="B1034" s="1073"/>
      <c r="C1034" s="1073"/>
      <c r="D1034" s="4"/>
      <c r="E1034" s="4"/>
      <c r="F1034" s="4"/>
      <c r="G1034" s="4"/>
      <c r="H1034" s="4"/>
      <c r="I1034" s="26"/>
      <c r="J1034" s="26"/>
      <c r="K1034" s="4"/>
      <c r="L1034" s="4"/>
      <c r="M1034" s="4"/>
      <c r="N1034" s="107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>
      <c r="A1035" s="4"/>
      <c r="B1035" s="1073"/>
      <c r="C1035" s="1073"/>
      <c r="D1035" s="4"/>
      <c r="E1035" s="4"/>
      <c r="F1035" s="4"/>
      <c r="G1035" s="4"/>
      <c r="H1035" s="4"/>
      <c r="I1035" s="26"/>
      <c r="J1035" s="26"/>
      <c r="K1035" s="4"/>
      <c r="L1035" s="4"/>
      <c r="M1035" s="4"/>
      <c r="N1035" s="107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>
      <c r="A1036" s="4"/>
      <c r="B1036" s="1073"/>
      <c r="C1036" s="1073"/>
      <c r="D1036" s="4"/>
      <c r="E1036" s="4"/>
      <c r="F1036" s="4"/>
      <c r="G1036" s="4"/>
      <c r="H1036" s="4"/>
      <c r="I1036" s="26"/>
      <c r="J1036" s="26"/>
      <c r="K1036" s="4"/>
      <c r="L1036" s="4"/>
      <c r="M1036" s="4"/>
      <c r="N1036" s="107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>
      <c r="A1037" s="4"/>
      <c r="B1037" s="1073"/>
      <c r="C1037" s="1073"/>
      <c r="D1037" s="4"/>
      <c r="E1037" s="4"/>
      <c r="F1037" s="4"/>
      <c r="G1037" s="4"/>
      <c r="H1037" s="4"/>
      <c r="I1037" s="26"/>
      <c r="J1037" s="26"/>
      <c r="K1037" s="4"/>
      <c r="L1037" s="4"/>
      <c r="M1037" s="4"/>
      <c r="N1037" s="107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>
      <c r="A1038" s="4"/>
      <c r="B1038" s="1073"/>
      <c r="C1038" s="1073"/>
      <c r="D1038" s="4"/>
      <c r="E1038" s="4"/>
      <c r="F1038" s="4"/>
      <c r="G1038" s="4"/>
      <c r="H1038" s="4"/>
      <c r="I1038" s="26"/>
      <c r="J1038" s="26"/>
      <c r="K1038" s="4"/>
      <c r="L1038" s="4"/>
      <c r="M1038" s="4"/>
      <c r="N1038" s="107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>
      <c r="A1039" s="4"/>
      <c r="B1039" s="1073"/>
      <c r="C1039" s="1073"/>
      <c r="D1039" s="4"/>
      <c r="E1039" s="4"/>
      <c r="F1039" s="4"/>
      <c r="G1039" s="4"/>
      <c r="H1039" s="4"/>
      <c r="I1039" s="26"/>
      <c r="J1039" s="26"/>
      <c r="K1039" s="4"/>
      <c r="L1039" s="4"/>
      <c r="M1039" s="4"/>
      <c r="N1039" s="107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>
      <c r="A1040" s="4"/>
      <c r="B1040" s="1073"/>
      <c r="C1040" s="1073"/>
      <c r="D1040" s="4"/>
      <c r="E1040" s="4"/>
      <c r="F1040" s="4"/>
      <c r="G1040" s="4"/>
      <c r="H1040" s="4"/>
      <c r="I1040" s="26"/>
      <c r="J1040" s="26"/>
      <c r="K1040" s="4"/>
      <c r="L1040" s="4"/>
      <c r="M1040" s="4"/>
      <c r="N1040" s="107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>
      <c r="A1041" s="4"/>
      <c r="B1041" s="1073"/>
      <c r="C1041" s="1073"/>
      <c r="D1041" s="4"/>
      <c r="E1041" s="4"/>
      <c r="F1041" s="4"/>
      <c r="G1041" s="4"/>
      <c r="H1041" s="4"/>
      <c r="I1041" s="26"/>
      <c r="J1041" s="26"/>
      <c r="K1041" s="4"/>
      <c r="L1041" s="4"/>
      <c r="M1041" s="4"/>
      <c r="N1041" s="107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>
      <c r="A1042" s="4"/>
      <c r="B1042" s="1073"/>
      <c r="C1042" s="1073"/>
      <c r="D1042" s="4"/>
      <c r="E1042" s="4"/>
      <c r="F1042" s="4"/>
      <c r="G1042" s="4"/>
      <c r="H1042" s="4"/>
      <c r="I1042" s="26"/>
      <c r="J1042" s="26"/>
      <c r="K1042" s="4"/>
      <c r="L1042" s="4"/>
      <c r="M1042" s="4"/>
      <c r="N1042" s="107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>
      <c r="A1043" s="4"/>
      <c r="B1043" s="1073"/>
      <c r="C1043" s="1073"/>
      <c r="D1043" s="4"/>
      <c r="E1043" s="4"/>
      <c r="F1043" s="4"/>
      <c r="G1043" s="4"/>
      <c r="H1043" s="4"/>
      <c r="I1043" s="26"/>
      <c r="J1043" s="26"/>
      <c r="K1043" s="4"/>
      <c r="L1043" s="4"/>
      <c r="M1043" s="4"/>
      <c r="N1043" s="107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>
      <c r="A1044" s="4"/>
      <c r="B1044" s="1073"/>
      <c r="C1044" s="1073"/>
      <c r="D1044" s="4"/>
      <c r="E1044" s="4"/>
      <c r="F1044" s="4"/>
      <c r="G1044" s="4"/>
      <c r="H1044" s="4"/>
      <c r="I1044" s="26"/>
      <c r="J1044" s="26"/>
      <c r="K1044" s="4"/>
      <c r="L1044" s="4"/>
      <c r="M1044" s="4"/>
      <c r="N1044" s="107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>
      <c r="A1045" s="4"/>
      <c r="B1045" s="1073"/>
      <c r="C1045" s="1073"/>
      <c r="D1045" s="4"/>
      <c r="E1045" s="4"/>
      <c r="F1045" s="4"/>
      <c r="G1045" s="4"/>
      <c r="H1045" s="4"/>
      <c r="I1045" s="26"/>
      <c r="J1045" s="26"/>
      <c r="K1045" s="4"/>
      <c r="L1045" s="4"/>
      <c r="M1045" s="4"/>
      <c r="N1045" s="107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>
      <c r="A1046" s="4"/>
      <c r="B1046" s="1073"/>
      <c r="C1046" s="1073"/>
      <c r="D1046" s="4"/>
      <c r="E1046" s="4"/>
      <c r="F1046" s="4"/>
      <c r="G1046" s="4"/>
      <c r="H1046" s="4"/>
      <c r="I1046" s="26"/>
      <c r="J1046" s="26"/>
      <c r="K1046" s="4"/>
      <c r="L1046" s="4"/>
      <c r="M1046" s="4"/>
      <c r="N1046" s="107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>
      <c r="A1047" s="4"/>
      <c r="B1047" s="1073"/>
      <c r="C1047" s="1073"/>
      <c r="D1047" s="4"/>
      <c r="E1047" s="4"/>
      <c r="F1047" s="4"/>
      <c r="G1047" s="4"/>
      <c r="H1047" s="4"/>
      <c r="I1047" s="26"/>
      <c r="J1047" s="26"/>
      <c r="K1047" s="4"/>
      <c r="L1047" s="4"/>
      <c r="M1047" s="4"/>
      <c r="N1047" s="107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>
      <c r="A1048" s="4"/>
      <c r="B1048" s="1073"/>
      <c r="C1048" s="1073"/>
      <c r="D1048" s="4"/>
      <c r="E1048" s="4"/>
      <c r="F1048" s="4"/>
      <c r="G1048" s="4"/>
      <c r="H1048" s="4"/>
      <c r="I1048" s="26"/>
      <c r="J1048" s="26"/>
      <c r="K1048" s="4"/>
      <c r="L1048" s="4"/>
      <c r="M1048" s="4"/>
      <c r="N1048" s="107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>
      <c r="A1049" s="4"/>
      <c r="B1049" s="1073"/>
      <c r="C1049" s="1073"/>
      <c r="D1049" s="4"/>
      <c r="E1049" s="4"/>
      <c r="F1049" s="4"/>
      <c r="G1049" s="4"/>
      <c r="H1049" s="4"/>
      <c r="I1049" s="26"/>
      <c r="J1049" s="26"/>
      <c r="K1049" s="4"/>
      <c r="L1049" s="4"/>
      <c r="M1049" s="4"/>
      <c r="N1049" s="107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>
      <c r="A1050" s="4"/>
      <c r="B1050" s="1073"/>
      <c r="C1050" s="1073"/>
      <c r="D1050" s="4"/>
      <c r="E1050" s="4"/>
      <c r="F1050" s="4"/>
      <c r="G1050" s="4"/>
      <c r="H1050" s="4"/>
      <c r="I1050" s="26"/>
      <c r="J1050" s="26"/>
      <c r="K1050" s="4"/>
      <c r="L1050" s="4"/>
      <c r="M1050" s="4"/>
      <c r="N1050" s="107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>
      <c r="A1051" s="4"/>
      <c r="B1051" s="1073"/>
      <c r="C1051" s="1073"/>
      <c r="D1051" s="4"/>
      <c r="E1051" s="4"/>
      <c r="F1051" s="4"/>
      <c r="G1051" s="4"/>
      <c r="H1051" s="4"/>
      <c r="I1051" s="26"/>
      <c r="J1051" s="26"/>
      <c r="K1051" s="4"/>
      <c r="L1051" s="4"/>
      <c r="M1051" s="4"/>
      <c r="N1051" s="107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>
      <c r="A1052" s="4"/>
      <c r="B1052" s="1073"/>
      <c r="C1052" s="1073"/>
      <c r="D1052" s="4"/>
      <c r="E1052" s="4"/>
      <c r="F1052" s="4"/>
      <c r="G1052" s="4"/>
      <c r="H1052" s="4"/>
      <c r="I1052" s="26"/>
      <c r="J1052" s="26"/>
      <c r="K1052" s="4"/>
      <c r="L1052" s="4"/>
      <c r="M1052" s="4"/>
      <c r="N1052" s="107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>
      <c r="A1053" s="4"/>
      <c r="B1053" s="1073"/>
      <c r="C1053" s="1073"/>
      <c r="D1053" s="4"/>
      <c r="E1053" s="4"/>
      <c r="F1053" s="4"/>
      <c r="G1053" s="4"/>
      <c r="H1053" s="4"/>
      <c r="I1053" s="26"/>
      <c r="J1053" s="26"/>
      <c r="K1053" s="4"/>
      <c r="L1053" s="4"/>
      <c r="M1053" s="4"/>
      <c r="N1053" s="107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>
      <c r="A1054" s="4"/>
      <c r="B1054" s="1073"/>
      <c r="C1054" s="1073"/>
      <c r="D1054" s="4"/>
      <c r="E1054" s="4"/>
      <c r="F1054" s="4"/>
      <c r="G1054" s="4"/>
      <c r="H1054" s="4"/>
      <c r="I1054" s="26"/>
      <c r="J1054" s="26"/>
      <c r="K1054" s="4"/>
      <c r="L1054" s="4"/>
      <c r="M1054" s="4"/>
      <c r="N1054" s="107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>
      <c r="A1055" s="4"/>
      <c r="B1055" s="1073"/>
      <c r="C1055" s="1073"/>
      <c r="D1055" s="4"/>
      <c r="E1055" s="4"/>
      <c r="F1055" s="4"/>
      <c r="G1055" s="4"/>
      <c r="H1055" s="4"/>
      <c r="I1055" s="26"/>
      <c r="J1055" s="26"/>
      <c r="K1055" s="4"/>
      <c r="L1055" s="4"/>
      <c r="M1055" s="4"/>
      <c r="N1055" s="107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>
      <c r="A1056" s="4"/>
      <c r="B1056" s="1073"/>
      <c r="C1056" s="1073"/>
      <c r="D1056" s="4"/>
      <c r="E1056" s="4"/>
      <c r="F1056" s="4"/>
      <c r="G1056" s="4"/>
      <c r="H1056" s="4"/>
      <c r="I1056" s="26"/>
      <c r="J1056" s="26"/>
      <c r="K1056" s="4"/>
      <c r="L1056" s="4"/>
      <c r="M1056" s="4"/>
      <c r="N1056" s="107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>
      <c r="A1057" s="4"/>
      <c r="B1057" s="1073"/>
      <c r="C1057" s="1073"/>
      <c r="D1057" s="4"/>
      <c r="E1057" s="4"/>
      <c r="F1057" s="4"/>
      <c r="G1057" s="4"/>
      <c r="H1057" s="4"/>
      <c r="I1057" s="26"/>
      <c r="J1057" s="26"/>
      <c r="K1057" s="4"/>
      <c r="L1057" s="4"/>
      <c r="M1057" s="4"/>
      <c r="N1057" s="107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>
      <c r="A1058" s="4"/>
      <c r="B1058" s="1073"/>
      <c r="C1058" s="1073"/>
      <c r="D1058" s="4"/>
      <c r="E1058" s="4"/>
      <c r="F1058" s="4"/>
      <c r="G1058" s="4"/>
      <c r="H1058" s="4"/>
      <c r="I1058" s="26"/>
      <c r="J1058" s="26"/>
      <c r="K1058" s="4"/>
      <c r="L1058" s="4"/>
      <c r="M1058" s="4"/>
      <c r="N1058" s="107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>
      <c r="A1059" s="4"/>
      <c r="B1059" s="1073"/>
      <c r="C1059" s="1073"/>
      <c r="D1059" s="4"/>
      <c r="E1059" s="4"/>
      <c r="F1059" s="4"/>
      <c r="G1059" s="4"/>
      <c r="H1059" s="4"/>
      <c r="I1059" s="26"/>
      <c r="J1059" s="26"/>
      <c r="K1059" s="4"/>
      <c r="L1059" s="4"/>
      <c r="M1059" s="4"/>
      <c r="N1059" s="107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>
      <c r="A1060" s="4"/>
      <c r="B1060" s="1073"/>
      <c r="C1060" s="1073"/>
      <c r="D1060" s="4"/>
      <c r="E1060" s="4"/>
      <c r="F1060" s="4"/>
      <c r="G1060" s="4"/>
      <c r="H1060" s="4"/>
      <c r="I1060" s="26"/>
      <c r="J1060" s="26"/>
      <c r="K1060" s="4"/>
      <c r="L1060" s="4"/>
      <c r="M1060" s="4"/>
      <c r="N1060" s="107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>
      <c r="A1061" s="4"/>
      <c r="B1061" s="1073"/>
      <c r="C1061" s="1073"/>
      <c r="D1061" s="4"/>
      <c r="E1061" s="4"/>
      <c r="F1061" s="4"/>
      <c r="G1061" s="4"/>
      <c r="H1061" s="4"/>
      <c r="I1061" s="26"/>
      <c r="J1061" s="26"/>
      <c r="K1061" s="4"/>
      <c r="L1061" s="4"/>
      <c r="M1061" s="4"/>
      <c r="N1061" s="107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>
      <c r="A1062" s="4"/>
      <c r="B1062" s="1073"/>
      <c r="C1062" s="1073"/>
      <c r="D1062" s="4"/>
      <c r="E1062" s="4"/>
      <c r="F1062" s="4"/>
      <c r="G1062" s="4"/>
      <c r="H1062" s="4"/>
      <c r="I1062" s="26"/>
      <c r="J1062" s="26"/>
      <c r="K1062" s="4"/>
      <c r="L1062" s="4"/>
      <c r="M1062" s="4"/>
      <c r="N1062" s="107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>
      <c r="A1063" s="4"/>
      <c r="B1063" s="1073"/>
      <c r="C1063" s="1073"/>
      <c r="D1063" s="4"/>
      <c r="E1063" s="4"/>
      <c r="F1063" s="4"/>
      <c r="G1063" s="4"/>
      <c r="H1063" s="4"/>
      <c r="I1063" s="26"/>
      <c r="J1063" s="26"/>
      <c r="K1063" s="4"/>
      <c r="L1063" s="4"/>
      <c r="M1063" s="4"/>
      <c r="N1063" s="107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>
      <c r="A1064" s="4"/>
      <c r="B1064" s="1073"/>
      <c r="C1064" s="1073"/>
      <c r="D1064" s="4"/>
      <c r="E1064" s="4"/>
      <c r="F1064" s="4"/>
      <c r="G1064" s="4"/>
      <c r="H1064" s="4"/>
      <c r="I1064" s="26"/>
      <c r="J1064" s="26"/>
      <c r="K1064" s="4"/>
      <c r="L1064" s="4"/>
      <c r="M1064" s="4"/>
      <c r="N1064" s="107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>
      <c r="A1065" s="4"/>
      <c r="B1065" s="1073"/>
      <c r="C1065" s="1073"/>
      <c r="D1065" s="4"/>
      <c r="E1065" s="4"/>
      <c r="F1065" s="4"/>
      <c r="G1065" s="4"/>
      <c r="H1065" s="4"/>
      <c r="I1065" s="26"/>
      <c r="J1065" s="26"/>
      <c r="K1065" s="4"/>
      <c r="L1065" s="4"/>
      <c r="M1065" s="4"/>
      <c r="N1065" s="107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>
      <c r="A1066" s="4"/>
      <c r="B1066" s="1073"/>
      <c r="C1066" s="1073"/>
      <c r="D1066" s="4"/>
      <c r="E1066" s="4"/>
      <c r="F1066" s="4"/>
      <c r="G1066" s="4"/>
      <c r="H1066" s="4"/>
      <c r="I1066" s="26"/>
      <c r="J1066" s="26"/>
      <c r="K1066" s="4"/>
      <c r="L1066" s="4"/>
      <c r="M1066" s="4"/>
      <c r="N1066" s="107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>
      <c r="A1067" s="4"/>
      <c r="B1067" s="1073"/>
      <c r="C1067" s="1073"/>
      <c r="D1067" s="4"/>
      <c r="E1067" s="4"/>
      <c r="F1067" s="4"/>
      <c r="G1067" s="4"/>
      <c r="H1067" s="4"/>
      <c r="I1067" s="26"/>
      <c r="J1067" s="26"/>
      <c r="K1067" s="4"/>
      <c r="L1067" s="4"/>
      <c r="M1067" s="4"/>
      <c r="N1067" s="107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>
      <c r="A1068" s="4"/>
      <c r="B1068" s="1073"/>
      <c r="C1068" s="1073"/>
      <c r="D1068" s="4"/>
      <c r="E1068" s="4"/>
      <c r="F1068" s="4"/>
      <c r="G1068" s="4"/>
      <c r="H1068" s="4"/>
      <c r="I1068" s="26"/>
      <c r="J1068" s="26"/>
      <c r="K1068" s="4"/>
      <c r="L1068" s="4"/>
      <c r="M1068" s="4"/>
      <c r="N1068" s="107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>
      <c r="A1069" s="4"/>
      <c r="B1069" s="1073"/>
      <c r="C1069" s="1073"/>
      <c r="D1069" s="4"/>
      <c r="E1069" s="4"/>
      <c r="F1069" s="4"/>
      <c r="G1069" s="4"/>
      <c r="H1069" s="4"/>
      <c r="I1069" s="26"/>
      <c r="J1069" s="26"/>
      <c r="K1069" s="4"/>
      <c r="L1069" s="4"/>
      <c r="M1069" s="4"/>
      <c r="N1069" s="107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>
      <c r="A1070" s="4"/>
      <c r="B1070" s="1073"/>
      <c r="C1070" s="1073"/>
      <c r="D1070" s="4"/>
      <c r="E1070" s="4"/>
      <c r="F1070" s="4"/>
      <c r="G1070" s="4"/>
      <c r="H1070" s="4"/>
      <c r="I1070" s="26"/>
      <c r="J1070" s="26"/>
      <c r="K1070" s="4"/>
      <c r="L1070" s="4"/>
      <c r="M1070" s="4"/>
      <c r="N1070" s="107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>
      <c r="A1071" s="4"/>
      <c r="B1071" s="1073"/>
      <c r="C1071" s="1073"/>
      <c r="D1071" s="4"/>
      <c r="E1071" s="4"/>
      <c r="F1071" s="4"/>
      <c r="G1071" s="4"/>
      <c r="H1071" s="4"/>
      <c r="I1071" s="26"/>
      <c r="J1071" s="26"/>
      <c r="K1071" s="4"/>
      <c r="L1071" s="4"/>
      <c r="M1071" s="4"/>
      <c r="N1071" s="107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>
      <c r="A1072" s="4"/>
      <c r="B1072" s="1073"/>
      <c r="C1072" s="1073"/>
      <c r="D1072" s="4"/>
      <c r="E1072" s="4"/>
      <c r="F1072" s="4"/>
      <c r="G1072" s="4"/>
      <c r="H1072" s="4"/>
      <c r="I1072" s="26"/>
      <c r="J1072" s="26"/>
      <c r="K1072" s="4"/>
      <c r="L1072" s="4"/>
      <c r="M1072" s="4"/>
      <c r="N1072" s="107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>
      <c r="A1073" s="4"/>
      <c r="B1073" s="1073"/>
      <c r="C1073" s="1073"/>
      <c r="D1073" s="4"/>
      <c r="E1073" s="4"/>
      <c r="F1073" s="4"/>
      <c r="G1073" s="4"/>
      <c r="H1073" s="4"/>
      <c r="I1073" s="26"/>
      <c r="J1073" s="26"/>
      <c r="K1073" s="4"/>
      <c r="L1073" s="4"/>
      <c r="M1073" s="4"/>
      <c r="N1073" s="107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>
      <c r="A1074" s="4"/>
      <c r="B1074" s="1073"/>
      <c r="C1074" s="1073"/>
      <c r="D1074" s="4"/>
      <c r="E1074" s="4"/>
      <c r="F1074" s="4"/>
      <c r="G1074" s="4"/>
      <c r="H1074" s="4"/>
      <c r="I1074" s="26"/>
      <c r="J1074" s="26"/>
      <c r="K1074" s="4"/>
      <c r="L1074" s="4"/>
      <c r="M1074" s="4"/>
      <c r="N1074" s="107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>
      <c r="A1075" s="4"/>
      <c r="B1075" s="1073"/>
      <c r="C1075" s="1073"/>
      <c r="D1075" s="4"/>
      <c r="E1075" s="4"/>
      <c r="F1075" s="4"/>
      <c r="G1075" s="4"/>
      <c r="H1075" s="4"/>
      <c r="I1075" s="26"/>
      <c r="J1075" s="26"/>
      <c r="K1075" s="4"/>
      <c r="L1075" s="4"/>
      <c r="M1075" s="4"/>
      <c r="N1075" s="107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>
      <c r="A1076" s="4"/>
      <c r="B1076" s="1073"/>
      <c r="C1076" s="1073"/>
      <c r="D1076" s="4"/>
      <c r="E1076" s="4"/>
      <c r="F1076" s="4"/>
      <c r="G1076" s="4"/>
      <c r="H1076" s="4"/>
      <c r="I1076" s="26"/>
      <c r="J1076" s="26"/>
      <c r="K1076" s="4"/>
      <c r="L1076" s="4"/>
      <c r="M1076" s="4"/>
      <c r="N1076" s="107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>
      <c r="A1077" s="4"/>
      <c r="B1077" s="1073"/>
      <c r="C1077" s="1073"/>
      <c r="D1077" s="4"/>
      <c r="E1077" s="4"/>
      <c r="F1077" s="4"/>
      <c r="G1077" s="4"/>
      <c r="H1077" s="4"/>
      <c r="I1077" s="26"/>
      <c r="J1077" s="26"/>
      <c r="K1077" s="4"/>
      <c r="L1077" s="4"/>
      <c r="M1077" s="4"/>
      <c r="N1077" s="107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>
      <c r="A1078" s="4"/>
      <c r="B1078" s="1073"/>
      <c r="C1078" s="1073"/>
      <c r="D1078" s="4"/>
      <c r="E1078" s="4"/>
      <c r="F1078" s="4"/>
      <c r="G1078" s="4"/>
      <c r="H1078" s="4"/>
      <c r="I1078" s="26"/>
      <c r="J1078" s="26"/>
      <c r="K1078" s="4"/>
      <c r="L1078" s="4"/>
      <c r="M1078" s="4"/>
      <c r="N1078" s="107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>
      <c r="A1079" s="4"/>
      <c r="B1079" s="1073"/>
      <c r="C1079" s="1073"/>
      <c r="D1079" s="4"/>
      <c r="E1079" s="4"/>
      <c r="F1079" s="4"/>
      <c r="G1079" s="4"/>
      <c r="H1079" s="4"/>
      <c r="I1079" s="26"/>
      <c r="J1079" s="26"/>
      <c r="K1079" s="4"/>
      <c r="L1079" s="4"/>
      <c r="M1079" s="4"/>
      <c r="N1079" s="107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>
      <c r="A1080" s="4"/>
      <c r="B1080" s="1073"/>
      <c r="C1080" s="1073"/>
      <c r="D1080" s="4"/>
      <c r="E1080" s="4"/>
      <c r="F1080" s="4"/>
      <c r="G1080" s="4"/>
      <c r="H1080" s="4"/>
      <c r="I1080" s="26"/>
      <c r="J1080" s="26"/>
      <c r="K1080" s="4"/>
      <c r="L1080" s="4"/>
      <c r="M1080" s="4"/>
      <c r="N1080" s="107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>
      <c r="A1081" s="4"/>
      <c r="B1081" s="1073"/>
      <c r="C1081" s="1073"/>
      <c r="D1081" s="4"/>
      <c r="E1081" s="4"/>
      <c r="F1081" s="4"/>
      <c r="G1081" s="4"/>
      <c r="H1081" s="4"/>
      <c r="I1081" s="26"/>
      <c r="J1081" s="26"/>
      <c r="K1081" s="4"/>
      <c r="L1081" s="4"/>
      <c r="M1081" s="4"/>
      <c r="N1081" s="107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>
      <c r="A1082" s="4"/>
      <c r="B1082" s="1073"/>
      <c r="C1082" s="1073"/>
      <c r="D1082" s="4"/>
      <c r="E1082" s="4"/>
      <c r="F1082" s="4"/>
      <c r="G1082" s="4"/>
      <c r="H1082" s="4"/>
      <c r="I1082" s="26"/>
      <c r="J1082" s="26"/>
      <c r="K1082" s="4"/>
      <c r="L1082" s="4"/>
      <c r="M1082" s="4"/>
      <c r="N1082" s="107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>
      <c r="A1083" s="4"/>
      <c r="B1083" s="1073"/>
      <c r="C1083" s="1073"/>
      <c r="D1083" s="4"/>
      <c r="E1083" s="4"/>
      <c r="F1083" s="4"/>
      <c r="G1083" s="4"/>
      <c r="H1083" s="4"/>
      <c r="I1083" s="26"/>
      <c r="J1083" s="26"/>
      <c r="K1083" s="4"/>
      <c r="L1083" s="4"/>
      <c r="M1083" s="4"/>
      <c r="N1083" s="107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>
      <c r="A1084" s="4"/>
      <c r="B1084" s="1073"/>
      <c r="C1084" s="1073"/>
      <c r="D1084" s="4"/>
      <c r="E1084" s="4"/>
      <c r="F1084" s="4"/>
      <c r="G1084" s="4"/>
      <c r="H1084" s="4"/>
      <c r="I1084" s="26"/>
      <c r="J1084" s="26"/>
      <c r="K1084" s="4"/>
      <c r="L1084" s="4"/>
      <c r="M1084" s="4"/>
      <c r="N1084" s="107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>
      <c r="A1085" s="4"/>
      <c r="B1085" s="1073"/>
      <c r="C1085" s="1073"/>
      <c r="D1085" s="4"/>
      <c r="E1085" s="4"/>
      <c r="F1085" s="4"/>
      <c r="G1085" s="4"/>
      <c r="H1085" s="4"/>
      <c r="I1085" s="26"/>
      <c r="J1085" s="26"/>
      <c r="K1085" s="4"/>
      <c r="L1085" s="4"/>
      <c r="M1085" s="4"/>
      <c r="N1085" s="107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>
      <c r="A1086" s="4"/>
      <c r="B1086" s="1073"/>
      <c r="C1086" s="1073"/>
      <c r="D1086" s="4"/>
      <c r="E1086" s="4"/>
      <c r="F1086" s="4"/>
      <c r="G1086" s="4"/>
      <c r="H1086" s="4"/>
      <c r="I1086" s="26"/>
      <c r="J1086" s="26"/>
      <c r="K1086" s="4"/>
      <c r="L1086" s="4"/>
      <c r="M1086" s="4"/>
      <c r="N1086" s="107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>
      <c r="A1087" s="4"/>
      <c r="B1087" s="1073"/>
      <c r="C1087" s="1073"/>
      <c r="D1087" s="4"/>
      <c r="E1087" s="4"/>
      <c r="F1087" s="4"/>
      <c r="G1087" s="4"/>
      <c r="H1087" s="4"/>
      <c r="I1087" s="26"/>
      <c r="J1087" s="26"/>
      <c r="K1087" s="4"/>
      <c r="L1087" s="4"/>
      <c r="M1087" s="4"/>
      <c r="N1087" s="107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>
      <c r="A1088" s="4"/>
      <c r="B1088" s="1073"/>
      <c r="C1088" s="1073"/>
      <c r="D1088" s="4"/>
      <c r="E1088" s="4"/>
      <c r="F1088" s="4"/>
      <c r="G1088" s="4"/>
      <c r="H1088" s="4"/>
      <c r="I1088" s="26"/>
      <c r="J1088" s="26"/>
      <c r="K1088" s="4"/>
      <c r="L1088" s="4"/>
      <c r="M1088" s="4"/>
      <c r="N1088" s="107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>
      <c r="A1089" s="4"/>
      <c r="B1089" s="1073"/>
      <c r="C1089" s="1073"/>
      <c r="D1089" s="4"/>
      <c r="E1089" s="4"/>
      <c r="F1089" s="4"/>
      <c r="G1089" s="4"/>
      <c r="H1089" s="4"/>
      <c r="I1089" s="26"/>
      <c r="J1089" s="26"/>
      <c r="K1089" s="4"/>
      <c r="L1089" s="4"/>
      <c r="M1089" s="4"/>
      <c r="N1089" s="107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>
      <c r="A1090" s="4"/>
      <c r="B1090" s="1073"/>
      <c r="C1090" s="1073"/>
      <c r="D1090" s="4"/>
      <c r="E1090" s="4"/>
      <c r="F1090" s="4"/>
      <c r="G1090" s="4"/>
      <c r="H1090" s="4"/>
      <c r="I1090" s="26"/>
      <c r="J1090" s="26"/>
      <c r="K1090" s="4"/>
      <c r="L1090" s="4"/>
      <c r="M1090" s="4"/>
      <c r="N1090" s="107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>
      <c r="A1091" s="4"/>
      <c r="B1091" s="1073"/>
      <c r="C1091" s="1073"/>
      <c r="D1091" s="4"/>
      <c r="E1091" s="4"/>
      <c r="F1091" s="4"/>
      <c r="G1091" s="4"/>
      <c r="H1091" s="4"/>
      <c r="I1091" s="26"/>
      <c r="J1091" s="26"/>
      <c r="K1091" s="4"/>
      <c r="L1091" s="4"/>
      <c r="M1091" s="4"/>
      <c r="N1091" s="107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>
      <c r="A1092" s="4"/>
      <c r="B1092" s="1073"/>
      <c r="C1092" s="1073"/>
      <c r="D1092" s="4"/>
      <c r="E1092" s="4"/>
      <c r="F1092" s="4"/>
      <c r="G1092" s="4"/>
      <c r="H1092" s="4"/>
      <c r="I1092" s="26"/>
      <c r="J1092" s="26"/>
      <c r="K1092" s="4"/>
      <c r="L1092" s="4"/>
      <c r="M1092" s="4"/>
      <c r="N1092" s="107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>
      <c r="A1093" s="4"/>
      <c r="B1093" s="1073"/>
      <c r="C1093" s="1073"/>
      <c r="D1093" s="4"/>
      <c r="E1093" s="4"/>
      <c r="F1093" s="4"/>
      <c r="G1093" s="4"/>
      <c r="H1093" s="4"/>
      <c r="I1093" s="26"/>
      <c r="J1093" s="26"/>
      <c r="K1093" s="4"/>
      <c r="L1093" s="4"/>
      <c r="M1093" s="4"/>
      <c r="N1093" s="107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>
      <c r="A1094" s="4"/>
      <c r="B1094" s="1073"/>
      <c r="C1094" s="1073"/>
      <c r="D1094" s="4"/>
      <c r="E1094" s="4"/>
      <c r="F1094" s="4"/>
      <c r="G1094" s="4"/>
      <c r="H1094" s="4"/>
      <c r="I1094" s="26"/>
      <c r="J1094" s="26"/>
      <c r="K1094" s="4"/>
      <c r="L1094" s="4"/>
      <c r="M1094" s="4"/>
      <c r="N1094" s="107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>
      <c r="A1095" s="4"/>
      <c r="B1095" s="1073"/>
      <c r="C1095" s="1073"/>
      <c r="D1095" s="4"/>
      <c r="E1095" s="4"/>
      <c r="F1095" s="4"/>
      <c r="G1095" s="4"/>
      <c r="H1095" s="4"/>
      <c r="I1095" s="26"/>
      <c r="J1095" s="26"/>
      <c r="K1095" s="4"/>
      <c r="L1095" s="4"/>
      <c r="M1095" s="4"/>
      <c r="N1095" s="107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>
      <c r="A1096" s="4"/>
      <c r="B1096" s="1073"/>
      <c r="C1096" s="1073"/>
      <c r="D1096" s="4"/>
      <c r="E1096" s="4"/>
      <c r="F1096" s="4"/>
      <c r="G1096" s="4"/>
      <c r="H1096" s="4"/>
      <c r="I1096" s="26"/>
      <c r="J1096" s="26"/>
      <c r="K1096" s="4"/>
      <c r="L1096" s="4"/>
      <c r="M1096" s="4"/>
      <c r="N1096" s="107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>
      <c r="A1097" s="4"/>
      <c r="B1097" s="1073"/>
      <c r="C1097" s="1073"/>
      <c r="D1097" s="4"/>
      <c r="E1097" s="4"/>
      <c r="F1097" s="4"/>
      <c r="G1097" s="4"/>
      <c r="H1097" s="4"/>
      <c r="I1097" s="26"/>
      <c r="J1097" s="26"/>
      <c r="K1097" s="4"/>
      <c r="L1097" s="4"/>
      <c r="M1097" s="4"/>
      <c r="N1097" s="107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>
      <c r="A1098" s="4"/>
      <c r="B1098" s="1073"/>
      <c r="C1098" s="1073"/>
      <c r="D1098" s="4"/>
      <c r="E1098" s="4"/>
      <c r="F1098" s="4"/>
      <c r="G1098" s="4"/>
      <c r="H1098" s="4"/>
      <c r="I1098" s="26"/>
      <c r="J1098" s="26"/>
      <c r="K1098" s="4"/>
      <c r="L1098" s="4"/>
      <c r="M1098" s="4"/>
      <c r="N1098" s="107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>
      <c r="A1099" s="4"/>
      <c r="B1099" s="1073"/>
      <c r="C1099" s="1073"/>
      <c r="D1099" s="4"/>
      <c r="E1099" s="4"/>
      <c r="F1099" s="4"/>
      <c r="G1099" s="4"/>
      <c r="H1099" s="4"/>
      <c r="I1099" s="26"/>
      <c r="J1099" s="26"/>
      <c r="K1099" s="4"/>
      <c r="L1099" s="4"/>
      <c r="M1099" s="4"/>
      <c r="N1099" s="107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>
      <c r="A1100" s="4"/>
      <c r="B1100" s="1073"/>
      <c r="C1100" s="1073"/>
      <c r="D1100" s="4"/>
      <c r="E1100" s="4"/>
      <c r="F1100" s="4"/>
      <c r="G1100" s="4"/>
      <c r="H1100" s="4"/>
      <c r="I1100" s="26"/>
      <c r="J1100" s="26"/>
      <c r="K1100" s="4"/>
      <c r="L1100" s="4"/>
      <c r="M1100" s="4"/>
      <c r="N1100" s="107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>
      <c r="A1101" s="4"/>
      <c r="B1101" s="1073"/>
      <c r="C1101" s="1073"/>
      <c r="D1101" s="4"/>
      <c r="E1101" s="4"/>
      <c r="F1101" s="4"/>
      <c r="G1101" s="4"/>
      <c r="H1101" s="4"/>
      <c r="I1101" s="26"/>
      <c r="J1101" s="26"/>
      <c r="K1101" s="4"/>
      <c r="L1101" s="4"/>
      <c r="M1101" s="4"/>
      <c r="N1101" s="107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>
      <c r="A1102" s="4"/>
      <c r="B1102" s="1073"/>
      <c r="C1102" s="1073"/>
      <c r="D1102" s="4"/>
      <c r="E1102" s="4"/>
      <c r="F1102" s="4"/>
      <c r="G1102" s="4"/>
      <c r="H1102" s="4"/>
      <c r="I1102" s="26"/>
      <c r="J1102" s="26"/>
      <c r="K1102" s="4"/>
      <c r="L1102" s="4"/>
      <c r="M1102" s="4"/>
      <c r="N1102" s="107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>
      <c r="A1103" s="4"/>
      <c r="B1103" s="1073"/>
      <c r="C1103" s="1073"/>
      <c r="D1103" s="4"/>
      <c r="E1103" s="4"/>
      <c r="F1103" s="4"/>
      <c r="G1103" s="4"/>
      <c r="H1103" s="4"/>
      <c r="I1103" s="26"/>
      <c r="J1103" s="26"/>
      <c r="K1103" s="4"/>
      <c r="L1103" s="4"/>
      <c r="M1103" s="4"/>
      <c r="N1103" s="107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>
      <c r="A1104" s="4"/>
      <c r="B1104" s="1073"/>
      <c r="C1104" s="1073"/>
      <c r="D1104" s="4"/>
      <c r="E1104" s="4"/>
      <c r="F1104" s="4"/>
      <c r="G1104" s="4"/>
      <c r="H1104" s="4"/>
      <c r="I1104" s="26"/>
      <c r="J1104" s="26"/>
      <c r="K1104" s="4"/>
      <c r="L1104" s="4"/>
      <c r="M1104" s="4"/>
      <c r="N1104" s="107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>
      <c r="A1105" s="4"/>
      <c r="B1105" s="1073"/>
      <c r="C1105" s="1073"/>
      <c r="D1105" s="4"/>
      <c r="E1105" s="4"/>
      <c r="F1105" s="4"/>
      <c r="G1105" s="4"/>
      <c r="H1105" s="4"/>
      <c r="I1105" s="26"/>
      <c r="J1105" s="26"/>
      <c r="K1105" s="4"/>
      <c r="L1105" s="4"/>
      <c r="M1105" s="4"/>
      <c r="N1105" s="107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>
      <c r="A1106" s="4"/>
      <c r="B1106" s="1073"/>
      <c r="C1106" s="1073"/>
      <c r="D1106" s="4"/>
      <c r="E1106" s="4"/>
      <c r="F1106" s="4"/>
      <c r="G1106" s="4"/>
      <c r="H1106" s="4"/>
      <c r="I1106" s="26"/>
      <c r="J1106" s="26"/>
      <c r="K1106" s="4"/>
      <c r="L1106" s="4"/>
      <c r="M1106" s="4"/>
      <c r="N1106" s="107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>
      <c r="A1107" s="4"/>
      <c r="B1107" s="1073"/>
      <c r="C1107" s="1073"/>
      <c r="D1107" s="4"/>
      <c r="E1107" s="4"/>
      <c r="F1107" s="4"/>
      <c r="G1107" s="4"/>
      <c r="H1107" s="4"/>
      <c r="I1107" s="26"/>
      <c r="J1107" s="26"/>
      <c r="K1107" s="4"/>
      <c r="L1107" s="4"/>
      <c r="M1107" s="4"/>
      <c r="N1107" s="107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>
      <c r="A1108" s="4"/>
      <c r="B1108" s="1073"/>
      <c r="C1108" s="1073"/>
      <c r="D1108" s="4"/>
      <c r="E1108" s="4"/>
      <c r="F1108" s="4"/>
      <c r="G1108" s="4"/>
      <c r="H1108" s="4"/>
      <c r="I1108" s="26"/>
      <c r="J1108" s="26"/>
      <c r="K1108" s="4"/>
      <c r="L1108" s="4"/>
      <c r="M1108" s="4"/>
      <c r="N1108" s="107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>
      <c r="A1109" s="4"/>
      <c r="B1109" s="1073"/>
      <c r="C1109" s="1073"/>
      <c r="D1109" s="4"/>
      <c r="E1109" s="4"/>
      <c r="F1109" s="4"/>
      <c r="G1109" s="4"/>
      <c r="H1109" s="4"/>
      <c r="I1109" s="26"/>
      <c r="J1109" s="26"/>
      <c r="K1109" s="4"/>
      <c r="L1109" s="4"/>
      <c r="M1109" s="4"/>
      <c r="N1109" s="107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>
      <c r="A1110" s="4"/>
      <c r="B1110" s="1073"/>
      <c r="C1110" s="1073"/>
      <c r="D1110" s="4"/>
      <c r="E1110" s="4"/>
      <c r="F1110" s="4"/>
      <c r="G1110" s="4"/>
      <c r="H1110" s="4"/>
      <c r="I1110" s="26"/>
      <c r="J1110" s="26"/>
      <c r="K1110" s="4"/>
      <c r="L1110" s="4"/>
      <c r="M1110" s="4"/>
      <c r="N1110" s="107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>
      <c r="A1111" s="4"/>
      <c r="B1111" s="1073"/>
      <c r="C1111" s="1073"/>
      <c r="D1111" s="4"/>
      <c r="E1111" s="4"/>
      <c r="F1111" s="4"/>
      <c r="G1111" s="4"/>
      <c r="H1111" s="4"/>
      <c r="I1111" s="26"/>
      <c r="J1111" s="26"/>
      <c r="K1111" s="4"/>
      <c r="L1111" s="4"/>
      <c r="M1111" s="4"/>
      <c r="N1111" s="107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>
      <c r="A1112" s="4"/>
      <c r="B1112" s="1073"/>
      <c r="C1112" s="1073"/>
      <c r="D1112" s="4"/>
      <c r="E1112" s="4"/>
      <c r="F1112" s="4"/>
      <c r="G1112" s="4"/>
      <c r="H1112" s="4"/>
      <c r="I1112" s="26"/>
      <c r="J1112" s="26"/>
      <c r="K1112" s="4"/>
      <c r="L1112" s="4"/>
      <c r="M1112" s="4"/>
      <c r="N1112" s="107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>
      <c r="A1113" s="4"/>
      <c r="B1113" s="1073"/>
      <c r="C1113" s="1073"/>
      <c r="D1113" s="4"/>
      <c r="E1113" s="4"/>
      <c r="F1113" s="4"/>
      <c r="G1113" s="4"/>
      <c r="H1113" s="4"/>
      <c r="I1113" s="26"/>
      <c r="J1113" s="26"/>
      <c r="K1113" s="4"/>
      <c r="L1113" s="4"/>
      <c r="M1113" s="4"/>
      <c r="N1113" s="107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>
      <c r="A1114" s="4"/>
      <c r="B1114" s="1073"/>
      <c r="C1114" s="1073"/>
      <c r="D1114" s="4"/>
      <c r="E1114" s="4"/>
      <c r="F1114" s="4"/>
      <c r="G1114" s="4"/>
      <c r="H1114" s="4"/>
      <c r="I1114" s="26"/>
      <c r="J1114" s="26"/>
      <c r="K1114" s="4"/>
      <c r="L1114" s="4"/>
      <c r="M1114" s="4"/>
      <c r="N1114" s="107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>
      <c r="A1115" s="4"/>
      <c r="B1115" s="1073"/>
      <c r="C1115" s="1073"/>
      <c r="D1115" s="4"/>
      <c r="E1115" s="4"/>
      <c r="F1115" s="4"/>
      <c r="G1115" s="4"/>
      <c r="H1115" s="4"/>
      <c r="I1115" s="26"/>
      <c r="J1115" s="26"/>
      <c r="K1115" s="4"/>
      <c r="L1115" s="4"/>
      <c r="M1115" s="4"/>
      <c r="N1115" s="107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>
      <c r="A1116" s="4"/>
      <c r="B1116" s="1073"/>
      <c r="C1116" s="1073"/>
      <c r="D1116" s="4"/>
      <c r="E1116" s="4"/>
      <c r="F1116" s="4"/>
      <c r="G1116" s="4"/>
      <c r="H1116" s="4"/>
      <c r="I1116" s="26"/>
      <c r="J1116" s="26"/>
      <c r="K1116" s="4"/>
      <c r="L1116" s="4"/>
      <c r="M1116" s="4"/>
      <c r="N1116" s="107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>
      <c r="A1117" s="4"/>
      <c r="B1117" s="1073"/>
      <c r="C1117" s="1073"/>
      <c r="D1117" s="4"/>
      <c r="E1117" s="4"/>
      <c r="F1117" s="4"/>
      <c r="G1117" s="4"/>
      <c r="H1117" s="4"/>
      <c r="I1117" s="26"/>
      <c r="J1117" s="26"/>
      <c r="K1117" s="4"/>
      <c r="L1117" s="4"/>
      <c r="M1117" s="4"/>
      <c r="N1117" s="107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>
      <c r="A1118" s="4"/>
      <c r="B1118" s="1073"/>
      <c r="C1118" s="1073"/>
      <c r="D1118" s="4"/>
      <c r="E1118" s="4"/>
      <c r="F1118" s="4"/>
      <c r="G1118" s="4"/>
      <c r="H1118" s="4"/>
      <c r="I1118" s="26"/>
      <c r="J1118" s="26"/>
      <c r="K1118" s="4"/>
      <c r="L1118" s="4"/>
      <c r="M1118" s="4"/>
      <c r="N1118" s="107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>
      <c r="A1119" s="4"/>
      <c r="B1119" s="1073"/>
      <c r="C1119" s="1073"/>
      <c r="D1119" s="4"/>
      <c r="E1119" s="4"/>
      <c r="F1119" s="4"/>
      <c r="G1119" s="4"/>
      <c r="H1119" s="4"/>
      <c r="I1119" s="26"/>
      <c r="J1119" s="26"/>
      <c r="K1119" s="4"/>
      <c r="L1119" s="4"/>
      <c r="M1119" s="4"/>
      <c r="N1119" s="107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>
      <c r="A1120" s="4"/>
      <c r="B1120" s="1073"/>
      <c r="C1120" s="1073"/>
      <c r="D1120" s="4"/>
      <c r="E1120" s="4"/>
      <c r="F1120" s="4"/>
      <c r="G1120" s="4"/>
      <c r="H1120" s="4"/>
      <c r="I1120" s="26"/>
      <c r="J1120" s="26"/>
      <c r="K1120" s="4"/>
      <c r="L1120" s="4"/>
      <c r="M1120" s="4"/>
      <c r="N1120" s="107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>
      <c r="A1121" s="4"/>
      <c r="B1121" s="1073"/>
      <c r="C1121" s="1073"/>
      <c r="D1121" s="4"/>
      <c r="E1121" s="4"/>
      <c r="F1121" s="4"/>
      <c r="G1121" s="4"/>
      <c r="H1121" s="4"/>
      <c r="I1121" s="26"/>
      <c r="J1121" s="26"/>
      <c r="K1121" s="4"/>
      <c r="L1121" s="4"/>
      <c r="M1121" s="4"/>
      <c r="N1121" s="107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>
      <c r="A1122" s="4"/>
      <c r="B1122" s="1073"/>
      <c r="C1122" s="1073"/>
      <c r="D1122" s="4"/>
      <c r="E1122" s="4"/>
      <c r="F1122" s="4"/>
      <c r="G1122" s="4"/>
      <c r="H1122" s="4"/>
      <c r="I1122" s="26"/>
      <c r="J1122" s="26"/>
      <c r="K1122" s="4"/>
      <c r="L1122" s="4"/>
      <c r="M1122" s="4"/>
      <c r="N1122" s="107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>
      <c r="A1123" s="4"/>
      <c r="B1123" s="1073"/>
      <c r="C1123" s="1073"/>
      <c r="D1123" s="4"/>
      <c r="E1123" s="4"/>
      <c r="F1123" s="4"/>
      <c r="G1123" s="4"/>
      <c r="H1123" s="4"/>
      <c r="I1123" s="26"/>
      <c r="J1123" s="26"/>
      <c r="K1123" s="4"/>
      <c r="L1123" s="4"/>
      <c r="M1123" s="4"/>
      <c r="N1123" s="107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>
      <c r="A1124" s="4"/>
      <c r="B1124" s="1073"/>
      <c r="C1124" s="1073"/>
      <c r="D1124" s="4"/>
      <c r="E1124" s="4"/>
      <c r="F1124" s="4"/>
      <c r="G1124" s="4"/>
      <c r="H1124" s="4"/>
      <c r="I1124" s="26"/>
      <c r="J1124" s="26"/>
      <c r="K1124" s="4"/>
      <c r="L1124" s="4"/>
      <c r="M1124" s="4"/>
      <c r="N1124" s="107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>
      <c r="A1125" s="4"/>
      <c r="B1125" s="1073"/>
      <c r="C1125" s="1073"/>
      <c r="D1125" s="4"/>
      <c r="E1125" s="4"/>
      <c r="F1125" s="4"/>
      <c r="G1125" s="4"/>
      <c r="H1125" s="4"/>
      <c r="I1125" s="26"/>
      <c r="J1125" s="26"/>
      <c r="K1125" s="4"/>
      <c r="L1125" s="4"/>
      <c r="M1125" s="4"/>
      <c r="N1125" s="107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>
      <c r="A1126" s="4"/>
      <c r="B1126" s="1073"/>
      <c r="C1126" s="1073"/>
      <c r="D1126" s="4"/>
      <c r="E1126" s="4"/>
      <c r="F1126" s="4"/>
      <c r="G1126" s="4"/>
      <c r="H1126" s="4"/>
      <c r="I1126" s="26"/>
      <c r="J1126" s="26"/>
      <c r="K1126" s="4"/>
      <c r="L1126" s="4"/>
      <c r="M1126" s="4"/>
      <c r="N1126" s="107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>
      <c r="A1127" s="4"/>
      <c r="B1127" s="1073"/>
      <c r="C1127" s="1073"/>
      <c r="D1127" s="4"/>
      <c r="E1127" s="4"/>
      <c r="F1127" s="4"/>
      <c r="G1127" s="4"/>
      <c r="H1127" s="4"/>
      <c r="I1127" s="26"/>
      <c r="J1127" s="26"/>
      <c r="K1127" s="4"/>
      <c r="L1127" s="4"/>
      <c r="M1127" s="4"/>
      <c r="N1127" s="107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>
      <c r="A1128" s="4"/>
      <c r="B1128" s="1073"/>
      <c r="C1128" s="1073"/>
      <c r="D1128" s="4"/>
      <c r="E1128" s="4"/>
      <c r="F1128" s="4"/>
      <c r="G1128" s="4"/>
      <c r="H1128" s="4"/>
      <c r="I1128" s="26"/>
      <c r="J1128" s="26"/>
      <c r="K1128" s="4"/>
      <c r="L1128" s="4"/>
      <c r="M1128" s="4"/>
      <c r="N1128" s="107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>
      <c r="A1129" s="4"/>
      <c r="B1129" s="1073"/>
      <c r="C1129" s="1073"/>
      <c r="D1129" s="4"/>
      <c r="E1129" s="4"/>
      <c r="F1129" s="4"/>
      <c r="G1129" s="4"/>
      <c r="H1129" s="4"/>
      <c r="I1129" s="26"/>
      <c r="J1129" s="26"/>
      <c r="K1129" s="4"/>
      <c r="L1129" s="4"/>
      <c r="M1129" s="4"/>
      <c r="N1129" s="107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>
      <c r="A1130" s="4"/>
      <c r="B1130" s="1073"/>
      <c r="C1130" s="1073"/>
      <c r="D1130" s="4"/>
      <c r="E1130" s="4"/>
      <c r="F1130" s="4"/>
      <c r="G1130" s="4"/>
      <c r="H1130" s="4"/>
      <c r="I1130" s="26"/>
      <c r="J1130" s="26"/>
      <c r="K1130" s="4"/>
      <c r="L1130" s="4"/>
      <c r="M1130" s="4"/>
      <c r="N1130" s="107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>
      <c r="A1131" s="4"/>
      <c r="B1131" s="1073"/>
      <c r="C1131" s="1073"/>
      <c r="D1131" s="4"/>
      <c r="E1131" s="4"/>
      <c r="F1131" s="4"/>
      <c r="G1131" s="4"/>
      <c r="H1131" s="4"/>
      <c r="I1131" s="26"/>
      <c r="J1131" s="26"/>
      <c r="K1131" s="4"/>
      <c r="L1131" s="4"/>
      <c r="M1131" s="4"/>
      <c r="N1131" s="107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>
      <c r="A1132" s="4"/>
      <c r="B1132" s="1073"/>
      <c r="C1132" s="1073"/>
      <c r="D1132" s="4"/>
      <c r="E1132" s="4"/>
      <c r="F1132" s="4"/>
      <c r="G1132" s="4"/>
      <c r="H1132" s="4"/>
      <c r="I1132" s="26"/>
      <c r="J1132" s="26"/>
      <c r="K1132" s="4"/>
      <c r="L1132" s="4"/>
      <c r="M1132" s="4"/>
      <c r="N1132" s="107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>
      <c r="A1133" s="4"/>
      <c r="B1133" s="1073"/>
      <c r="C1133" s="1073"/>
      <c r="D1133" s="4"/>
      <c r="E1133" s="4"/>
      <c r="F1133" s="4"/>
      <c r="G1133" s="4"/>
      <c r="H1133" s="4"/>
      <c r="I1133" s="26"/>
      <c r="J1133" s="26"/>
      <c r="K1133" s="4"/>
      <c r="L1133" s="4"/>
      <c r="M1133" s="4"/>
      <c r="N1133" s="107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>
      <c r="A1134" s="4"/>
      <c r="B1134" s="1073"/>
      <c r="C1134" s="1073"/>
      <c r="D1134" s="4"/>
      <c r="E1134" s="4"/>
      <c r="F1134" s="4"/>
      <c r="G1134" s="4"/>
      <c r="H1134" s="4"/>
      <c r="I1134" s="26"/>
      <c r="J1134" s="26"/>
      <c r="K1134" s="4"/>
      <c r="L1134" s="4"/>
      <c r="M1134" s="4"/>
      <c r="N1134" s="107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>
      <c r="A1135" s="4"/>
      <c r="B1135" s="1073"/>
      <c r="C1135" s="1073"/>
      <c r="D1135" s="4"/>
      <c r="E1135" s="4"/>
      <c r="F1135" s="4"/>
      <c r="G1135" s="4"/>
      <c r="H1135" s="4"/>
      <c r="I1135" s="26"/>
      <c r="J1135" s="26"/>
      <c r="K1135" s="4"/>
      <c r="L1135" s="4"/>
      <c r="M1135" s="4"/>
      <c r="N1135" s="107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>
      <c r="A1136" s="4"/>
      <c r="B1136" s="1073"/>
      <c r="C1136" s="1073"/>
      <c r="D1136" s="4"/>
      <c r="E1136" s="4"/>
      <c r="F1136" s="4"/>
      <c r="G1136" s="4"/>
      <c r="H1136" s="4"/>
      <c r="I1136" s="26"/>
      <c r="J1136" s="26"/>
      <c r="K1136" s="4"/>
      <c r="L1136" s="4"/>
      <c r="M1136" s="4"/>
      <c r="N1136" s="107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>
      <c r="A1137" s="4"/>
      <c r="B1137" s="1073"/>
      <c r="C1137" s="1073"/>
      <c r="D1137" s="4"/>
      <c r="E1137" s="4"/>
      <c r="F1137" s="4"/>
      <c r="G1137" s="4"/>
      <c r="H1137" s="4"/>
      <c r="I1137" s="26"/>
      <c r="J1137" s="26"/>
      <c r="K1137" s="4"/>
      <c r="L1137" s="4"/>
      <c r="M1137" s="4"/>
      <c r="N1137" s="107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>
      <c r="A1138" s="4"/>
      <c r="B1138" s="1073"/>
      <c r="C1138" s="1073"/>
      <c r="D1138" s="4"/>
      <c r="E1138" s="4"/>
      <c r="F1138" s="4"/>
      <c r="G1138" s="4"/>
      <c r="H1138" s="4"/>
      <c r="I1138" s="26"/>
      <c r="J1138" s="26"/>
      <c r="K1138" s="4"/>
      <c r="L1138" s="4"/>
      <c r="M1138" s="4"/>
      <c r="N1138" s="107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>
      <c r="A1139" s="4"/>
      <c r="B1139" s="1073"/>
      <c r="C1139" s="1073"/>
      <c r="D1139" s="4"/>
      <c r="E1139" s="4"/>
      <c r="F1139" s="4"/>
      <c r="G1139" s="4"/>
      <c r="H1139" s="4"/>
      <c r="I1139" s="26"/>
      <c r="J1139" s="26"/>
      <c r="K1139" s="4"/>
      <c r="L1139" s="4"/>
      <c r="M1139" s="4"/>
      <c r="N1139" s="107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>
      <c r="A1140" s="4"/>
      <c r="B1140" s="1073"/>
      <c r="C1140" s="1073"/>
      <c r="D1140" s="4"/>
      <c r="E1140" s="4"/>
      <c r="F1140" s="4"/>
      <c r="G1140" s="4"/>
      <c r="H1140" s="4"/>
      <c r="I1140" s="26"/>
      <c r="J1140" s="26"/>
      <c r="K1140" s="4"/>
      <c r="L1140" s="4"/>
      <c r="M1140" s="4"/>
      <c r="N1140" s="107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>
      <c r="A1141" s="4"/>
      <c r="B1141" s="1073"/>
      <c r="C1141" s="1073"/>
      <c r="D1141" s="4"/>
      <c r="E1141" s="4"/>
      <c r="F1141" s="4"/>
      <c r="G1141" s="4"/>
      <c r="H1141" s="4"/>
      <c r="I1141" s="26"/>
      <c r="J1141" s="26"/>
      <c r="K1141" s="4"/>
      <c r="L1141" s="4"/>
      <c r="M1141" s="4"/>
      <c r="N1141" s="107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>
      <c r="A1142" s="4"/>
      <c r="B1142" s="1073"/>
      <c r="C1142" s="1073"/>
      <c r="D1142" s="4"/>
      <c r="E1142" s="4"/>
      <c r="F1142" s="4"/>
      <c r="G1142" s="4"/>
      <c r="H1142" s="4"/>
      <c r="I1142" s="26"/>
      <c r="J1142" s="26"/>
      <c r="K1142" s="4"/>
      <c r="L1142" s="4"/>
      <c r="M1142" s="4"/>
      <c r="N1142" s="107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>
      <c r="A1143" s="4"/>
      <c r="B1143" s="1073"/>
      <c r="C1143" s="1073"/>
      <c r="D1143" s="4"/>
      <c r="E1143" s="4"/>
      <c r="F1143" s="4"/>
      <c r="G1143" s="4"/>
      <c r="H1143" s="4"/>
      <c r="I1143" s="26"/>
      <c r="J1143" s="26"/>
      <c r="K1143" s="4"/>
      <c r="L1143" s="4"/>
      <c r="M1143" s="4"/>
      <c r="N1143" s="107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>
      <c r="A1144" s="4"/>
      <c r="B1144" s="1073"/>
      <c r="C1144" s="1073"/>
      <c r="D1144" s="4"/>
      <c r="E1144" s="4"/>
      <c r="F1144" s="4"/>
      <c r="G1144" s="4"/>
      <c r="H1144" s="4"/>
      <c r="I1144" s="26"/>
      <c r="J1144" s="26"/>
      <c r="K1144" s="4"/>
      <c r="L1144" s="4"/>
      <c r="M1144" s="4"/>
      <c r="N1144" s="107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>
      <c r="A1145" s="4"/>
      <c r="B1145" s="1073"/>
      <c r="C1145" s="1073"/>
      <c r="D1145" s="4"/>
      <c r="E1145" s="4"/>
      <c r="F1145" s="4"/>
      <c r="G1145" s="4"/>
      <c r="H1145" s="4"/>
      <c r="I1145" s="26"/>
      <c r="J1145" s="26"/>
      <c r="K1145" s="4"/>
      <c r="L1145" s="4"/>
      <c r="M1145" s="4"/>
      <c r="N1145" s="107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>
      <c r="A1146" s="4"/>
      <c r="B1146" s="1073"/>
      <c r="C1146" s="1073"/>
      <c r="D1146" s="4"/>
      <c r="E1146" s="4"/>
      <c r="F1146" s="4"/>
      <c r="G1146" s="4"/>
      <c r="H1146" s="4"/>
      <c r="I1146" s="26"/>
      <c r="J1146" s="26"/>
      <c r="K1146" s="4"/>
      <c r="L1146" s="4"/>
      <c r="M1146" s="4"/>
      <c r="N1146" s="107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>
      <c r="A1147" s="4"/>
      <c r="B1147" s="1073"/>
      <c r="C1147" s="1073"/>
      <c r="D1147" s="4"/>
      <c r="E1147" s="4"/>
      <c r="F1147" s="4"/>
      <c r="G1147" s="4"/>
      <c r="H1147" s="4"/>
      <c r="I1147" s="26"/>
      <c r="J1147" s="26"/>
      <c r="K1147" s="4"/>
      <c r="L1147" s="4"/>
      <c r="M1147" s="4"/>
      <c r="N1147" s="107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>
      <c r="A1148" s="4"/>
      <c r="B1148" s="1073"/>
      <c r="C1148" s="1073"/>
      <c r="D1148" s="4"/>
      <c r="E1148" s="4"/>
      <c r="F1148" s="4"/>
      <c r="G1148" s="4"/>
      <c r="H1148" s="4"/>
      <c r="I1148" s="26"/>
      <c r="J1148" s="26"/>
      <c r="K1148" s="4"/>
      <c r="L1148" s="4"/>
      <c r="M1148" s="4"/>
      <c r="N1148" s="107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>
      <c r="A1149" s="4"/>
      <c r="B1149" s="1073"/>
      <c r="C1149" s="1073"/>
      <c r="D1149" s="4"/>
      <c r="E1149" s="4"/>
      <c r="F1149" s="4"/>
      <c r="G1149" s="4"/>
      <c r="H1149" s="4"/>
      <c r="I1149" s="26"/>
      <c r="J1149" s="26"/>
      <c r="K1149" s="4"/>
      <c r="L1149" s="4"/>
      <c r="M1149" s="4"/>
      <c r="N1149" s="107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>
      <c r="A1150" s="4"/>
      <c r="B1150" s="1073"/>
      <c r="C1150" s="1073"/>
      <c r="D1150" s="4"/>
      <c r="E1150" s="4"/>
      <c r="F1150" s="4"/>
      <c r="G1150" s="4"/>
      <c r="H1150" s="4"/>
      <c r="I1150" s="26"/>
      <c r="J1150" s="26"/>
      <c r="K1150" s="4"/>
      <c r="L1150" s="4"/>
      <c r="M1150" s="4"/>
      <c r="N1150" s="107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>
      <c r="A1151" s="4"/>
      <c r="B1151" s="1073"/>
      <c r="C1151" s="1073"/>
      <c r="D1151" s="4"/>
      <c r="E1151" s="4"/>
      <c r="F1151" s="4"/>
      <c r="G1151" s="4"/>
      <c r="H1151" s="4"/>
      <c r="I1151" s="26"/>
      <c r="J1151" s="26"/>
      <c r="K1151" s="4"/>
      <c r="L1151" s="4"/>
      <c r="M1151" s="4"/>
      <c r="N1151" s="107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>
      <c r="A1152" s="4"/>
      <c r="B1152" s="1073"/>
      <c r="C1152" s="1073"/>
      <c r="D1152" s="4"/>
      <c r="E1152" s="4"/>
      <c r="F1152" s="4"/>
      <c r="G1152" s="4"/>
      <c r="H1152" s="4"/>
      <c r="I1152" s="26"/>
      <c r="J1152" s="26"/>
      <c r="K1152" s="4"/>
      <c r="L1152" s="4"/>
      <c r="M1152" s="4"/>
      <c r="N1152" s="107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>
      <c r="A1153" s="4"/>
      <c r="B1153" s="1073"/>
      <c r="C1153" s="1073"/>
      <c r="D1153" s="4"/>
      <c r="E1153" s="4"/>
      <c r="F1153" s="4"/>
      <c r="G1153" s="4"/>
      <c r="H1153" s="4"/>
      <c r="I1153" s="26"/>
      <c r="J1153" s="26"/>
      <c r="K1153" s="4"/>
      <c r="L1153" s="4"/>
      <c r="M1153" s="4"/>
      <c r="N1153" s="107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>
      <c r="A1154" s="4"/>
      <c r="B1154" s="1073"/>
      <c r="C1154" s="1073"/>
      <c r="D1154" s="4"/>
      <c r="E1154" s="4"/>
      <c r="F1154" s="4"/>
      <c r="G1154" s="4"/>
      <c r="H1154" s="4"/>
      <c r="I1154" s="26"/>
      <c r="J1154" s="26"/>
      <c r="K1154" s="4"/>
      <c r="L1154" s="4"/>
      <c r="M1154" s="4"/>
      <c r="N1154" s="107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>
      <c r="A1155" s="4"/>
      <c r="B1155" s="1073"/>
      <c r="C1155" s="1073"/>
      <c r="D1155" s="4"/>
      <c r="E1155" s="4"/>
      <c r="F1155" s="4"/>
      <c r="G1155" s="4"/>
      <c r="H1155" s="4"/>
      <c r="I1155" s="26"/>
      <c r="J1155" s="26"/>
      <c r="K1155" s="4"/>
      <c r="L1155" s="4"/>
      <c r="M1155" s="4"/>
      <c r="N1155" s="107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>
      <c r="A1156" s="4"/>
      <c r="B1156" s="1073"/>
      <c r="C1156" s="1073"/>
      <c r="D1156" s="4"/>
      <c r="E1156" s="4"/>
      <c r="F1156" s="4"/>
      <c r="G1156" s="4"/>
      <c r="H1156" s="4"/>
      <c r="I1156" s="26"/>
      <c r="J1156" s="26"/>
      <c r="K1156" s="4"/>
      <c r="L1156" s="4"/>
      <c r="M1156" s="4"/>
      <c r="N1156" s="107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>
      <c r="A1157" s="4"/>
      <c r="B1157" s="1073"/>
      <c r="C1157" s="1073"/>
      <c r="D1157" s="4"/>
      <c r="E1157" s="4"/>
      <c r="F1157" s="4"/>
      <c r="G1157" s="4"/>
      <c r="H1157" s="4"/>
      <c r="I1157" s="26"/>
      <c r="J1157" s="26"/>
      <c r="K1157" s="4"/>
      <c r="L1157" s="4"/>
      <c r="M1157" s="4"/>
      <c r="N1157" s="107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>
      <c r="A1158" s="4"/>
      <c r="B1158" s="1073"/>
      <c r="C1158" s="1073"/>
      <c r="D1158" s="4"/>
      <c r="E1158" s="4"/>
      <c r="F1158" s="4"/>
      <c r="G1158" s="4"/>
      <c r="H1158" s="4"/>
      <c r="I1158" s="26"/>
      <c r="J1158" s="26"/>
      <c r="K1158" s="4"/>
      <c r="L1158" s="4"/>
      <c r="M1158" s="4"/>
      <c r="N1158" s="107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>
      <c r="A1159" s="4"/>
      <c r="B1159" s="1073"/>
      <c r="C1159" s="1073"/>
      <c r="D1159" s="4"/>
      <c r="E1159" s="4"/>
      <c r="F1159" s="4"/>
      <c r="G1159" s="4"/>
      <c r="H1159" s="4"/>
      <c r="I1159" s="26"/>
      <c r="J1159" s="26"/>
      <c r="K1159" s="4"/>
      <c r="L1159" s="4"/>
      <c r="M1159" s="4"/>
      <c r="N1159" s="107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>
      <c r="A1160" s="4"/>
      <c r="B1160" s="1073"/>
      <c r="C1160" s="1073"/>
      <c r="D1160" s="4"/>
      <c r="E1160" s="4"/>
      <c r="F1160" s="4"/>
      <c r="G1160" s="4"/>
      <c r="H1160" s="4"/>
      <c r="I1160" s="26"/>
      <c r="J1160" s="26"/>
      <c r="K1160" s="4"/>
      <c r="L1160" s="4"/>
      <c r="M1160" s="4"/>
      <c r="N1160" s="107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>
      <c r="A1161" s="4"/>
      <c r="B1161" s="1073"/>
      <c r="C1161" s="1073"/>
      <c r="D1161" s="4"/>
      <c r="E1161" s="4"/>
      <c r="F1161" s="4"/>
      <c r="G1161" s="4"/>
      <c r="H1161" s="4"/>
      <c r="I1161" s="26"/>
      <c r="J1161" s="26"/>
      <c r="K1161" s="4"/>
      <c r="L1161" s="4"/>
      <c r="M1161" s="4"/>
      <c r="N1161" s="107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>
      <c r="A1162" s="4"/>
      <c r="B1162" s="1073"/>
      <c r="C1162" s="1073"/>
      <c r="D1162" s="4"/>
      <c r="E1162" s="4"/>
      <c r="F1162" s="4"/>
      <c r="G1162" s="4"/>
      <c r="H1162" s="4"/>
      <c r="I1162" s="26"/>
      <c r="J1162" s="26"/>
      <c r="K1162" s="4"/>
      <c r="L1162" s="4"/>
      <c r="M1162" s="4"/>
      <c r="N1162" s="107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>
      <c r="A1163" s="4"/>
      <c r="B1163" s="1073"/>
      <c r="C1163" s="1073"/>
      <c r="D1163" s="4"/>
      <c r="E1163" s="4"/>
      <c r="F1163" s="4"/>
      <c r="G1163" s="4"/>
      <c r="H1163" s="4"/>
      <c r="I1163" s="26"/>
      <c r="J1163" s="26"/>
      <c r="K1163" s="4"/>
      <c r="L1163" s="4"/>
      <c r="M1163" s="4"/>
      <c r="N1163" s="107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>
      <c r="A1164" s="4"/>
      <c r="B1164" s="1073"/>
      <c r="C1164" s="1073"/>
      <c r="D1164" s="4"/>
      <c r="E1164" s="4"/>
      <c r="F1164" s="4"/>
      <c r="G1164" s="4"/>
      <c r="H1164" s="4"/>
      <c r="I1164" s="26"/>
      <c r="J1164" s="26"/>
      <c r="K1164" s="4"/>
      <c r="L1164" s="4"/>
      <c r="M1164" s="4"/>
      <c r="N1164" s="107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>
      <c r="A1165" s="4"/>
      <c r="B1165" s="1073"/>
      <c r="C1165" s="1073"/>
      <c r="D1165" s="4"/>
      <c r="E1165" s="4"/>
      <c r="F1165" s="4"/>
      <c r="G1165" s="4"/>
      <c r="H1165" s="4"/>
      <c r="I1165" s="26"/>
      <c r="J1165" s="26"/>
      <c r="K1165" s="4"/>
      <c r="L1165" s="4"/>
      <c r="M1165" s="4"/>
      <c r="N1165" s="107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>
      <c r="A1166" s="4"/>
      <c r="B1166" s="1073"/>
      <c r="C1166" s="1073"/>
      <c r="D1166" s="4"/>
      <c r="E1166" s="4"/>
      <c r="F1166" s="4"/>
      <c r="G1166" s="4"/>
      <c r="H1166" s="4"/>
      <c r="I1166" s="26"/>
      <c r="J1166" s="26"/>
      <c r="K1166" s="4"/>
      <c r="L1166" s="4"/>
      <c r="M1166" s="4"/>
      <c r="N1166" s="107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>
      <c r="A1167" s="4"/>
      <c r="B1167" s="1073"/>
      <c r="C1167" s="1073"/>
      <c r="D1167" s="4"/>
      <c r="E1167" s="4"/>
      <c r="F1167" s="4"/>
      <c r="G1167" s="4"/>
      <c r="H1167" s="4"/>
      <c r="I1167" s="26"/>
      <c r="J1167" s="26"/>
      <c r="K1167" s="4"/>
      <c r="L1167" s="4"/>
      <c r="M1167" s="4"/>
      <c r="N1167" s="107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>
      <c r="A1168" s="4"/>
      <c r="B1168" s="1073"/>
      <c r="C1168" s="1073"/>
      <c r="D1168" s="4"/>
      <c r="E1168" s="4"/>
      <c r="F1168" s="4"/>
      <c r="G1168" s="4"/>
      <c r="H1168" s="4"/>
      <c r="I1168" s="26"/>
      <c r="J1168" s="26"/>
      <c r="K1168" s="4"/>
      <c r="L1168" s="4"/>
      <c r="M1168" s="4"/>
      <c r="N1168" s="107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>
      <c r="A1169" s="4"/>
      <c r="B1169" s="1073"/>
      <c r="C1169" s="1073"/>
      <c r="D1169" s="4"/>
      <c r="E1169" s="4"/>
      <c r="F1169" s="4"/>
      <c r="G1169" s="4"/>
      <c r="H1169" s="4"/>
      <c r="I1169" s="26"/>
      <c r="J1169" s="26"/>
      <c r="K1169" s="4"/>
      <c r="L1169" s="4"/>
      <c r="M1169" s="4"/>
      <c r="N1169" s="107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>
      <c r="A1170" s="4"/>
      <c r="B1170" s="1073"/>
      <c r="C1170" s="1073"/>
      <c r="D1170" s="4"/>
      <c r="E1170" s="4"/>
      <c r="F1170" s="4"/>
      <c r="G1170" s="4"/>
      <c r="H1170" s="4"/>
      <c r="I1170" s="26"/>
      <c r="J1170" s="26"/>
      <c r="K1170" s="4"/>
      <c r="L1170" s="4"/>
      <c r="M1170" s="4"/>
      <c r="N1170" s="107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>
      <c r="A1171" s="4"/>
      <c r="B1171" s="1073"/>
      <c r="C1171" s="1073"/>
      <c r="D1171" s="4"/>
      <c r="E1171" s="4"/>
      <c r="F1171" s="4"/>
      <c r="G1171" s="4"/>
      <c r="H1171" s="4"/>
      <c r="I1171" s="26"/>
      <c r="J1171" s="26"/>
      <c r="K1171" s="4"/>
      <c r="L1171" s="4"/>
      <c r="M1171" s="4"/>
      <c r="N1171" s="107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>
      <c r="A1172" s="4"/>
      <c r="B1172" s="1073"/>
      <c r="C1172" s="1073"/>
      <c r="D1172" s="4"/>
      <c r="E1172" s="4"/>
      <c r="F1172" s="4"/>
      <c r="G1172" s="4"/>
      <c r="H1172" s="4"/>
      <c r="I1172" s="26"/>
      <c r="J1172" s="26"/>
      <c r="K1172" s="4"/>
      <c r="L1172" s="4"/>
      <c r="M1172" s="4"/>
      <c r="N1172" s="107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>
      <c r="A1173" s="4"/>
      <c r="B1173" s="1073"/>
      <c r="C1173" s="1073"/>
      <c r="D1173" s="4"/>
      <c r="E1173" s="4"/>
      <c r="F1173" s="4"/>
      <c r="G1173" s="4"/>
      <c r="H1173" s="4"/>
      <c r="I1173" s="26"/>
      <c r="J1173" s="26"/>
      <c r="K1173" s="4"/>
      <c r="L1173" s="4"/>
      <c r="M1173" s="4"/>
      <c r="N1173" s="107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>
      <c r="A1174" s="4"/>
      <c r="B1174" s="1073"/>
      <c r="C1174" s="1073"/>
      <c r="D1174" s="4"/>
      <c r="E1174" s="4"/>
      <c r="F1174" s="4"/>
      <c r="G1174" s="4"/>
      <c r="H1174" s="4"/>
      <c r="I1174" s="26"/>
      <c r="J1174" s="26"/>
      <c r="K1174" s="4"/>
      <c r="L1174" s="4"/>
      <c r="M1174" s="4"/>
      <c r="N1174" s="107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>
      <c r="A1175" s="4"/>
      <c r="B1175" s="1073"/>
      <c r="C1175" s="1073"/>
      <c r="D1175" s="4"/>
      <c r="E1175" s="4"/>
      <c r="F1175" s="4"/>
      <c r="G1175" s="4"/>
      <c r="H1175" s="4"/>
      <c r="I1175" s="26"/>
      <c r="J1175" s="26"/>
      <c r="K1175" s="4"/>
      <c r="L1175" s="4"/>
      <c r="M1175" s="4"/>
      <c r="N1175" s="107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>
      <c r="A1176" s="4"/>
      <c r="B1176" s="1073"/>
      <c r="C1176" s="1073"/>
      <c r="D1176" s="4"/>
      <c r="E1176" s="4"/>
      <c r="F1176" s="4"/>
      <c r="G1176" s="4"/>
      <c r="H1176" s="4"/>
      <c r="I1176" s="26"/>
      <c r="J1176" s="26"/>
      <c r="K1176" s="4"/>
      <c r="L1176" s="4"/>
      <c r="M1176" s="4"/>
      <c r="N1176" s="107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>
      <c r="A1177" s="4"/>
      <c r="B1177" s="1073"/>
      <c r="C1177" s="1073"/>
      <c r="D1177" s="4"/>
      <c r="E1177" s="4"/>
      <c r="F1177" s="4"/>
      <c r="G1177" s="4"/>
      <c r="H1177" s="4"/>
      <c r="I1177" s="26"/>
      <c r="J1177" s="26"/>
      <c r="K1177" s="4"/>
      <c r="L1177" s="4"/>
      <c r="M1177" s="4"/>
      <c r="N1177" s="107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>
      <c r="A1178" s="4"/>
      <c r="B1178" s="1073"/>
      <c r="C1178" s="1073"/>
      <c r="D1178" s="4"/>
      <c r="E1178" s="4"/>
      <c r="F1178" s="4"/>
      <c r="G1178" s="4"/>
      <c r="H1178" s="4"/>
      <c r="I1178" s="26"/>
      <c r="J1178" s="26"/>
      <c r="K1178" s="4"/>
      <c r="L1178" s="4"/>
      <c r="M1178" s="4"/>
      <c r="N1178" s="107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>
      <c r="A1179" s="4"/>
      <c r="B1179" s="1073"/>
      <c r="C1179" s="1073"/>
      <c r="D1179" s="4"/>
      <c r="E1179" s="4"/>
      <c r="F1179" s="4"/>
      <c r="G1179" s="4"/>
      <c r="H1179" s="4"/>
      <c r="I1179" s="26"/>
      <c r="J1179" s="26"/>
      <c r="K1179" s="4"/>
      <c r="L1179" s="4"/>
      <c r="M1179" s="4"/>
      <c r="N1179" s="107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>
      <c r="A1180" s="4"/>
      <c r="B1180" s="1073"/>
      <c r="C1180" s="1073"/>
      <c r="D1180" s="4"/>
      <c r="E1180" s="4"/>
      <c r="F1180" s="4"/>
      <c r="G1180" s="4"/>
      <c r="H1180" s="4"/>
      <c r="I1180" s="26"/>
      <c r="J1180" s="26"/>
      <c r="K1180" s="4"/>
      <c r="L1180" s="4"/>
      <c r="M1180" s="4"/>
      <c r="N1180" s="107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>
      <c r="A1181" s="4"/>
      <c r="B1181" s="1073"/>
      <c r="C1181" s="1073"/>
      <c r="D1181" s="4"/>
      <c r="E1181" s="4"/>
      <c r="F1181" s="4"/>
      <c r="G1181" s="4"/>
      <c r="H1181" s="4"/>
      <c r="I1181" s="26"/>
      <c r="J1181" s="26"/>
      <c r="K1181" s="4"/>
      <c r="L1181" s="4"/>
      <c r="M1181" s="4"/>
      <c r="N1181" s="107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>
      <c r="A1182" s="4"/>
      <c r="B1182" s="1073"/>
      <c r="C1182" s="1073"/>
      <c r="D1182" s="4"/>
      <c r="E1182" s="4"/>
      <c r="F1182" s="4"/>
      <c r="G1182" s="4"/>
      <c r="H1182" s="4"/>
      <c r="I1182" s="26"/>
      <c r="J1182" s="26"/>
      <c r="K1182" s="4"/>
      <c r="L1182" s="4"/>
      <c r="M1182" s="4"/>
      <c r="N1182" s="107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>
      <c r="A1183" s="4"/>
      <c r="B1183" s="1073"/>
      <c r="C1183" s="1073"/>
      <c r="D1183" s="4"/>
      <c r="E1183" s="4"/>
      <c r="F1183" s="4"/>
      <c r="G1183" s="4"/>
      <c r="H1183" s="4"/>
      <c r="I1183" s="26"/>
      <c r="J1183" s="26"/>
      <c r="K1183" s="4"/>
      <c r="L1183" s="4"/>
      <c r="M1183" s="4"/>
      <c r="N1183" s="107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>
      <c r="A1184" s="4"/>
      <c r="B1184" s="1073"/>
      <c r="C1184" s="1073"/>
      <c r="D1184" s="4"/>
      <c r="E1184" s="4"/>
      <c r="F1184" s="4"/>
      <c r="G1184" s="4"/>
      <c r="H1184" s="4"/>
      <c r="I1184" s="26"/>
      <c r="J1184" s="26"/>
      <c r="K1184" s="4"/>
      <c r="L1184" s="4"/>
      <c r="M1184" s="4"/>
      <c r="N1184" s="107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>
      <c r="A1185" s="4"/>
      <c r="B1185" s="1073"/>
      <c r="C1185" s="1073"/>
      <c r="D1185" s="4"/>
      <c r="E1185" s="4"/>
      <c r="F1185" s="4"/>
      <c r="G1185" s="4"/>
      <c r="H1185" s="4"/>
      <c r="I1185" s="26"/>
      <c r="J1185" s="26"/>
      <c r="K1185" s="4"/>
      <c r="L1185" s="4"/>
      <c r="M1185" s="4"/>
      <c r="N1185" s="107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>
      <c r="A1186" s="4"/>
      <c r="B1186" s="1073"/>
      <c r="C1186" s="1073"/>
      <c r="D1186" s="4"/>
      <c r="E1186" s="4"/>
      <c r="F1186" s="4"/>
      <c r="G1186" s="4"/>
      <c r="H1186" s="4"/>
      <c r="I1186" s="26"/>
      <c r="J1186" s="26"/>
      <c r="K1186" s="4"/>
      <c r="L1186" s="4"/>
      <c r="M1186" s="4"/>
      <c r="N1186" s="107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>
      <c r="A1187" s="4"/>
      <c r="B1187" s="1073"/>
      <c r="C1187" s="1073"/>
      <c r="D1187" s="4"/>
      <c r="E1187" s="4"/>
      <c r="F1187" s="4"/>
      <c r="G1187" s="4"/>
      <c r="H1187" s="4"/>
      <c r="I1187" s="26"/>
      <c r="J1187" s="26"/>
      <c r="K1187" s="4"/>
      <c r="L1187" s="4"/>
      <c r="M1187" s="4"/>
      <c r="N1187" s="107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>
      <c r="A1188" s="4"/>
      <c r="B1188" s="1073"/>
      <c r="C1188" s="1073"/>
      <c r="D1188" s="4"/>
      <c r="E1188" s="4"/>
      <c r="F1188" s="4"/>
      <c r="G1188" s="4"/>
      <c r="H1188" s="4"/>
      <c r="I1188" s="26"/>
      <c r="J1188" s="26"/>
      <c r="K1188" s="4"/>
      <c r="L1188" s="4"/>
      <c r="M1188" s="4"/>
      <c r="N1188" s="107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>
      <c r="A1189" s="4"/>
      <c r="B1189" s="1073"/>
      <c r="C1189" s="1073"/>
      <c r="D1189" s="4"/>
      <c r="E1189" s="4"/>
      <c r="F1189" s="4"/>
      <c r="G1189" s="4"/>
      <c r="H1189" s="4"/>
      <c r="I1189" s="26"/>
      <c r="J1189" s="26"/>
      <c r="K1189" s="4"/>
      <c r="L1189" s="4"/>
      <c r="M1189" s="4"/>
      <c r="N1189" s="107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>
      <c r="A1190" s="4"/>
      <c r="B1190" s="1073"/>
      <c r="C1190" s="1073"/>
      <c r="D1190" s="4"/>
      <c r="E1190" s="4"/>
      <c r="F1190" s="4"/>
      <c r="G1190" s="4"/>
      <c r="H1190" s="4"/>
      <c r="I1190" s="26"/>
      <c r="J1190" s="26"/>
      <c r="K1190" s="4"/>
      <c r="L1190" s="4"/>
      <c r="M1190" s="4"/>
      <c r="N1190" s="107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>
      <c r="A1191" s="4"/>
      <c r="B1191" s="1073"/>
      <c r="C1191" s="1073"/>
      <c r="D1191" s="4"/>
      <c r="E1191" s="4"/>
      <c r="F1191" s="4"/>
      <c r="G1191" s="4"/>
      <c r="H1191" s="4"/>
      <c r="I1191" s="26"/>
      <c r="J1191" s="26"/>
      <c r="K1191" s="4"/>
      <c r="L1191" s="4"/>
      <c r="M1191" s="4"/>
      <c r="N1191" s="107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>
      <c r="A1192" s="4"/>
      <c r="B1192" s="1073"/>
      <c r="C1192" s="1073"/>
      <c r="D1192" s="4"/>
      <c r="E1192" s="4"/>
      <c r="F1192" s="4"/>
      <c r="G1192" s="4"/>
      <c r="H1192" s="4"/>
      <c r="I1192" s="26"/>
      <c r="J1192" s="26"/>
      <c r="K1192" s="4"/>
      <c r="L1192" s="4"/>
      <c r="M1192" s="4"/>
      <c r="N1192" s="107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>
      <c r="A1193" s="4"/>
      <c r="B1193" s="1073"/>
      <c r="C1193" s="1073"/>
      <c r="D1193" s="4"/>
      <c r="E1193" s="4"/>
      <c r="F1193" s="4"/>
      <c r="G1193" s="4"/>
      <c r="H1193" s="4"/>
      <c r="I1193" s="26"/>
      <c r="J1193" s="26"/>
      <c r="K1193" s="4"/>
      <c r="L1193" s="4"/>
      <c r="M1193" s="4"/>
      <c r="N1193" s="107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>
      <c r="A1194" s="4"/>
      <c r="B1194" s="1073"/>
      <c r="C1194" s="1073"/>
      <c r="D1194" s="4"/>
      <c r="E1194" s="4"/>
      <c r="F1194" s="4"/>
      <c r="G1194" s="4"/>
      <c r="H1194" s="4"/>
      <c r="I1194" s="26"/>
      <c r="J1194" s="26"/>
      <c r="K1194" s="4"/>
      <c r="L1194" s="4"/>
      <c r="M1194" s="4"/>
      <c r="N1194" s="107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>
      <c r="A1195" s="4"/>
      <c r="B1195" s="1073"/>
      <c r="C1195" s="1073"/>
      <c r="D1195" s="4"/>
      <c r="E1195" s="4"/>
      <c r="F1195" s="4"/>
      <c r="G1195" s="4"/>
      <c r="H1195" s="4"/>
      <c r="I1195" s="26"/>
      <c r="J1195" s="26"/>
      <c r="K1195" s="4"/>
      <c r="L1195" s="4"/>
      <c r="M1195" s="4"/>
      <c r="N1195" s="107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>
      <c r="A1196" s="4"/>
      <c r="B1196" s="1073"/>
      <c r="C1196" s="1073"/>
      <c r="D1196" s="4"/>
      <c r="E1196" s="4"/>
      <c r="F1196" s="4"/>
      <c r="G1196" s="4"/>
      <c r="H1196" s="4"/>
      <c r="I1196" s="26"/>
      <c r="J1196" s="26"/>
      <c r="K1196" s="4"/>
      <c r="L1196" s="4"/>
      <c r="M1196" s="4"/>
      <c r="N1196" s="107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>
      <c r="A1197" s="4"/>
      <c r="B1197" s="1073"/>
      <c r="C1197" s="1073"/>
      <c r="D1197" s="4"/>
      <c r="E1197" s="4"/>
      <c r="F1197" s="4"/>
      <c r="G1197" s="4"/>
      <c r="H1197" s="4"/>
      <c r="I1197" s="26"/>
      <c r="J1197" s="26"/>
      <c r="K1197" s="4"/>
      <c r="L1197" s="4"/>
      <c r="M1197" s="4"/>
      <c r="N1197" s="107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>
      <c r="A1198" s="4"/>
      <c r="B1198" s="1073"/>
      <c r="C1198" s="1073"/>
      <c r="D1198" s="4"/>
      <c r="E1198" s="4"/>
      <c r="F1198" s="4"/>
      <c r="G1198" s="4"/>
      <c r="H1198" s="4"/>
      <c r="I1198" s="26"/>
      <c r="J1198" s="26"/>
      <c r="K1198" s="4"/>
      <c r="L1198" s="4"/>
      <c r="M1198" s="4"/>
      <c r="N1198" s="107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>
      <c r="A1199" s="4"/>
      <c r="B1199" s="1073"/>
      <c r="C1199" s="1073"/>
      <c r="D1199" s="4"/>
      <c r="E1199" s="4"/>
      <c r="F1199" s="4"/>
      <c r="G1199" s="4"/>
      <c r="H1199" s="4"/>
      <c r="I1199" s="26"/>
      <c r="J1199" s="26"/>
      <c r="K1199" s="4"/>
      <c r="L1199" s="4"/>
      <c r="M1199" s="4"/>
      <c r="N1199" s="107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>
      <c r="A1200" s="4"/>
      <c r="B1200" s="1073"/>
      <c r="C1200" s="1073"/>
      <c r="D1200" s="4"/>
      <c r="E1200" s="4"/>
      <c r="F1200" s="4"/>
      <c r="G1200" s="4"/>
      <c r="H1200" s="4"/>
      <c r="I1200" s="26"/>
      <c r="J1200" s="26"/>
      <c r="K1200" s="4"/>
      <c r="L1200" s="4"/>
      <c r="M1200" s="4"/>
      <c r="N1200" s="107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>
      <c r="A1201" s="4"/>
      <c r="B1201" s="1073"/>
      <c r="C1201" s="1073"/>
      <c r="D1201" s="4"/>
      <c r="E1201" s="4"/>
      <c r="F1201" s="4"/>
      <c r="G1201" s="4"/>
      <c r="H1201" s="4"/>
      <c r="I1201" s="26"/>
      <c r="J1201" s="26"/>
      <c r="K1201" s="4"/>
      <c r="L1201" s="4"/>
      <c r="M1201" s="4"/>
      <c r="N1201" s="107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>
      <c r="A1202" s="4"/>
      <c r="B1202" s="1073"/>
      <c r="C1202" s="1073"/>
      <c r="D1202" s="4"/>
      <c r="E1202" s="4"/>
      <c r="F1202" s="4"/>
      <c r="G1202" s="4"/>
      <c r="H1202" s="4"/>
      <c r="I1202" s="26"/>
      <c r="J1202" s="26"/>
      <c r="K1202" s="4"/>
      <c r="L1202" s="4"/>
      <c r="M1202" s="4"/>
      <c r="N1202" s="107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>
      <c r="A1203" s="4"/>
      <c r="B1203" s="1073"/>
      <c r="C1203" s="1073"/>
      <c r="D1203" s="4"/>
      <c r="E1203" s="4"/>
      <c r="F1203" s="4"/>
      <c r="G1203" s="4"/>
      <c r="H1203" s="4"/>
      <c r="I1203" s="26"/>
      <c r="J1203" s="26"/>
      <c r="K1203" s="4"/>
      <c r="L1203" s="4"/>
      <c r="M1203" s="4"/>
      <c r="N1203" s="107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>
      <c r="A1204" s="4"/>
      <c r="B1204" s="1073"/>
      <c r="C1204" s="1073"/>
      <c r="D1204" s="4"/>
      <c r="E1204" s="4"/>
      <c r="F1204" s="4"/>
      <c r="G1204" s="4"/>
      <c r="H1204" s="4"/>
      <c r="I1204" s="26"/>
      <c r="J1204" s="26"/>
      <c r="K1204" s="4"/>
      <c r="L1204" s="4"/>
      <c r="M1204" s="4"/>
      <c r="N1204" s="107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>
      <c r="A1205" s="4"/>
      <c r="B1205" s="1073"/>
      <c r="C1205" s="1073"/>
      <c r="D1205" s="4"/>
      <c r="E1205" s="4"/>
      <c r="F1205" s="4"/>
      <c r="G1205" s="4"/>
      <c r="H1205" s="4"/>
      <c r="I1205" s="26"/>
      <c r="J1205" s="26"/>
      <c r="K1205" s="4"/>
      <c r="L1205" s="4"/>
      <c r="M1205" s="4"/>
      <c r="N1205" s="107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>
      <c r="A1206" s="4"/>
      <c r="B1206" s="1073"/>
      <c r="C1206" s="1073"/>
      <c r="D1206" s="4"/>
      <c r="E1206" s="4"/>
      <c r="F1206" s="4"/>
      <c r="G1206" s="4"/>
      <c r="H1206" s="4"/>
      <c r="I1206" s="26"/>
      <c r="J1206" s="26"/>
      <c r="K1206" s="4"/>
      <c r="L1206" s="4"/>
      <c r="M1206" s="4"/>
      <c r="N1206" s="107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>
      <c r="A1207" s="4"/>
      <c r="B1207" s="1073"/>
      <c r="C1207" s="1073"/>
      <c r="D1207" s="4"/>
      <c r="E1207" s="4"/>
      <c r="F1207" s="4"/>
      <c r="G1207" s="4"/>
      <c r="H1207" s="4"/>
      <c r="I1207" s="26"/>
      <c r="J1207" s="26"/>
      <c r="K1207" s="4"/>
      <c r="L1207" s="4"/>
      <c r="M1207" s="4"/>
      <c r="N1207" s="107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>
      <c r="A1208" s="4"/>
      <c r="B1208" s="1073"/>
      <c r="C1208" s="1073"/>
      <c r="D1208" s="4"/>
      <c r="E1208" s="4"/>
      <c r="F1208" s="4"/>
      <c r="G1208" s="4"/>
      <c r="H1208" s="4"/>
      <c r="I1208" s="26"/>
      <c r="J1208" s="26"/>
      <c r="K1208" s="4"/>
      <c r="L1208" s="4"/>
      <c r="M1208" s="4"/>
      <c r="N1208" s="107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>
      <c r="A1209" s="4"/>
      <c r="B1209" s="1073"/>
      <c r="C1209" s="1073"/>
      <c r="D1209" s="4"/>
      <c r="E1209" s="4"/>
      <c r="F1209" s="4"/>
      <c r="G1209" s="4"/>
      <c r="H1209" s="4"/>
      <c r="I1209" s="26"/>
      <c r="J1209" s="26"/>
      <c r="K1209" s="4"/>
      <c r="L1209" s="4"/>
      <c r="M1209" s="4"/>
      <c r="N1209" s="107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>
      <c r="A1210" s="4"/>
      <c r="B1210" s="1073"/>
      <c r="C1210" s="1073"/>
      <c r="D1210" s="4"/>
      <c r="E1210" s="4"/>
      <c r="F1210" s="4"/>
      <c r="G1210" s="4"/>
      <c r="H1210" s="4"/>
      <c r="I1210" s="26"/>
      <c r="J1210" s="26"/>
      <c r="K1210" s="4"/>
      <c r="L1210" s="4"/>
      <c r="M1210" s="4"/>
      <c r="N1210" s="107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>
      <c r="A1211" s="4"/>
      <c r="B1211" s="1073"/>
      <c r="C1211" s="1073"/>
      <c r="D1211" s="4"/>
      <c r="E1211" s="4"/>
      <c r="F1211" s="4"/>
      <c r="G1211" s="4"/>
      <c r="H1211" s="4"/>
      <c r="I1211" s="26"/>
      <c r="J1211" s="26"/>
      <c r="K1211" s="4"/>
      <c r="L1211" s="4"/>
      <c r="M1211" s="4"/>
      <c r="N1211" s="107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>
      <c r="A1212" s="4"/>
      <c r="B1212" s="1073"/>
      <c r="C1212" s="1073"/>
      <c r="D1212" s="4"/>
      <c r="E1212" s="4"/>
      <c r="F1212" s="4"/>
      <c r="G1212" s="4"/>
      <c r="H1212" s="4"/>
      <c r="I1212" s="26"/>
      <c r="J1212" s="26"/>
      <c r="K1212" s="4"/>
      <c r="L1212" s="4"/>
      <c r="M1212" s="4"/>
      <c r="N1212" s="107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>
      <c r="A1213" s="4"/>
      <c r="B1213" s="1073"/>
      <c r="C1213" s="1073"/>
      <c r="D1213" s="4"/>
      <c r="E1213" s="4"/>
      <c r="F1213" s="4"/>
      <c r="G1213" s="4"/>
      <c r="H1213" s="4"/>
      <c r="I1213" s="26"/>
      <c r="J1213" s="26"/>
      <c r="K1213" s="4"/>
      <c r="L1213" s="4"/>
      <c r="M1213" s="4"/>
      <c r="N1213" s="107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>
      <c r="A1214" s="4"/>
      <c r="B1214" s="1073"/>
      <c r="C1214" s="1073"/>
      <c r="D1214" s="4"/>
      <c r="E1214" s="4"/>
      <c r="F1214" s="4"/>
      <c r="G1214" s="4"/>
      <c r="H1214" s="4"/>
      <c r="I1214" s="26"/>
      <c r="J1214" s="26"/>
      <c r="K1214" s="4"/>
      <c r="L1214" s="4"/>
      <c r="M1214" s="4"/>
      <c r="N1214" s="107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>
      <c r="A1215" s="4"/>
      <c r="B1215" s="1073"/>
      <c r="C1215" s="1073"/>
      <c r="D1215" s="4"/>
      <c r="E1215" s="4"/>
      <c r="F1215" s="4"/>
      <c r="G1215" s="4"/>
      <c r="H1215" s="4"/>
      <c r="I1215" s="26"/>
      <c r="J1215" s="26"/>
      <c r="K1215" s="4"/>
      <c r="L1215" s="4"/>
      <c r="M1215" s="4"/>
      <c r="N1215" s="107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>
      <c r="A1216" s="4"/>
      <c r="B1216" s="1073"/>
      <c r="C1216" s="1073"/>
      <c r="D1216" s="4"/>
      <c r="E1216" s="4"/>
      <c r="F1216" s="4"/>
      <c r="G1216" s="4"/>
      <c r="H1216" s="4"/>
      <c r="I1216" s="26"/>
      <c r="J1216" s="26"/>
      <c r="K1216" s="4"/>
      <c r="L1216" s="4"/>
      <c r="M1216" s="4"/>
      <c r="N1216" s="107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>
      <c r="A1217" s="4"/>
      <c r="B1217" s="1073"/>
      <c r="C1217" s="1073"/>
      <c r="D1217" s="4"/>
      <c r="E1217" s="4"/>
      <c r="F1217" s="4"/>
      <c r="G1217" s="4"/>
      <c r="H1217" s="4"/>
      <c r="I1217" s="26"/>
      <c r="J1217" s="26"/>
      <c r="K1217" s="4"/>
      <c r="L1217" s="4"/>
      <c r="M1217" s="4"/>
      <c r="N1217" s="107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>
      <c r="A1218" s="4"/>
      <c r="B1218" s="1073"/>
      <c r="C1218" s="1073"/>
      <c r="D1218" s="4"/>
      <c r="E1218" s="4"/>
      <c r="F1218" s="4"/>
      <c r="G1218" s="4"/>
      <c r="H1218" s="4"/>
      <c r="I1218" s="26"/>
      <c r="J1218" s="26"/>
      <c r="K1218" s="4"/>
      <c r="L1218" s="4"/>
      <c r="M1218" s="4"/>
      <c r="N1218" s="107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>
      <c r="A1219" s="4"/>
      <c r="B1219" s="1073"/>
      <c r="C1219" s="1073"/>
      <c r="D1219" s="4"/>
      <c r="E1219" s="4"/>
      <c r="F1219" s="4"/>
      <c r="G1219" s="4"/>
      <c r="H1219" s="4"/>
      <c r="I1219" s="26"/>
      <c r="J1219" s="26"/>
      <c r="K1219" s="4"/>
      <c r="L1219" s="4"/>
      <c r="M1219" s="4"/>
      <c r="N1219" s="107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>
      <c r="A1220" s="4"/>
      <c r="B1220" s="1073"/>
      <c r="C1220" s="1073"/>
      <c r="D1220" s="4"/>
      <c r="E1220" s="4"/>
      <c r="F1220" s="4"/>
      <c r="G1220" s="4"/>
      <c r="H1220" s="4"/>
      <c r="I1220" s="26"/>
      <c r="J1220" s="26"/>
      <c r="K1220" s="4"/>
      <c r="L1220" s="4"/>
      <c r="M1220" s="4"/>
      <c r="N1220" s="107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>
      <c r="A1221" s="4"/>
      <c r="B1221" s="1073"/>
      <c r="C1221" s="1073"/>
      <c r="D1221" s="4"/>
      <c r="E1221" s="4"/>
      <c r="F1221" s="4"/>
      <c r="G1221" s="4"/>
      <c r="H1221" s="4"/>
      <c r="I1221" s="26"/>
      <c r="J1221" s="26"/>
      <c r="K1221" s="4"/>
      <c r="L1221" s="4"/>
      <c r="M1221" s="4"/>
      <c r="N1221" s="107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>
      <c r="A1222" s="4"/>
      <c r="B1222" s="1073"/>
      <c r="C1222" s="1073"/>
      <c r="D1222" s="4"/>
      <c r="E1222" s="4"/>
      <c r="F1222" s="4"/>
      <c r="G1222" s="4"/>
      <c r="H1222" s="4"/>
      <c r="I1222" s="26"/>
      <c r="J1222" s="26"/>
      <c r="K1222" s="4"/>
      <c r="L1222" s="4"/>
      <c r="M1222" s="4"/>
      <c r="N1222" s="107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>
      <c r="A1223" s="4"/>
      <c r="B1223" s="1073"/>
      <c r="C1223" s="1073"/>
      <c r="D1223" s="4"/>
      <c r="E1223" s="4"/>
      <c r="F1223" s="4"/>
      <c r="G1223" s="4"/>
      <c r="H1223" s="4"/>
      <c r="I1223" s="26"/>
      <c r="J1223" s="26"/>
      <c r="K1223" s="4"/>
      <c r="L1223" s="4"/>
      <c r="M1223" s="4"/>
      <c r="N1223" s="107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>
      <c r="A1224" s="4"/>
      <c r="B1224" s="1073"/>
      <c r="C1224" s="1073"/>
      <c r="D1224" s="4"/>
      <c r="E1224" s="4"/>
      <c r="F1224" s="4"/>
      <c r="G1224" s="4"/>
      <c r="H1224" s="4"/>
      <c r="I1224" s="26"/>
      <c r="J1224" s="26"/>
      <c r="K1224" s="4"/>
      <c r="L1224" s="4"/>
      <c r="M1224" s="4"/>
      <c r="N1224" s="107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>
      <c r="A1225" s="4"/>
      <c r="B1225" s="1073"/>
      <c r="C1225" s="1073"/>
      <c r="D1225" s="4"/>
      <c r="E1225" s="4"/>
      <c r="F1225" s="4"/>
      <c r="G1225" s="4"/>
      <c r="H1225" s="4"/>
      <c r="I1225" s="26"/>
      <c r="J1225" s="26"/>
      <c r="K1225" s="4"/>
      <c r="L1225" s="4"/>
      <c r="M1225" s="4"/>
      <c r="N1225" s="107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>
      <c r="A1226" s="4"/>
      <c r="B1226" s="1073"/>
      <c r="C1226" s="1073"/>
      <c r="D1226" s="4"/>
      <c r="E1226" s="4"/>
      <c r="F1226" s="4"/>
      <c r="G1226" s="4"/>
      <c r="H1226" s="4"/>
      <c r="I1226" s="26"/>
      <c r="J1226" s="26"/>
      <c r="K1226" s="4"/>
      <c r="L1226" s="4"/>
      <c r="M1226" s="4"/>
      <c r="N1226" s="107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>
      <c r="A1227" s="4"/>
      <c r="B1227" s="1073"/>
      <c r="C1227" s="1073"/>
      <c r="D1227" s="4"/>
      <c r="E1227" s="4"/>
      <c r="F1227" s="4"/>
      <c r="G1227" s="4"/>
      <c r="H1227" s="4"/>
      <c r="I1227" s="26"/>
      <c r="J1227" s="26"/>
      <c r="K1227" s="4"/>
      <c r="L1227" s="4"/>
      <c r="M1227" s="4"/>
      <c r="N1227" s="107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>
      <c r="A1228" s="4"/>
      <c r="B1228" s="1073"/>
      <c r="C1228" s="1073"/>
      <c r="D1228" s="4"/>
      <c r="E1228" s="4"/>
      <c r="F1228" s="4"/>
      <c r="G1228" s="4"/>
      <c r="H1228" s="4"/>
      <c r="I1228" s="26"/>
      <c r="J1228" s="26"/>
      <c r="K1228" s="4"/>
      <c r="L1228" s="4"/>
      <c r="M1228" s="4"/>
      <c r="N1228" s="107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>
      <c r="A1229" s="4"/>
      <c r="B1229" s="1073"/>
      <c r="C1229" s="1073"/>
      <c r="D1229" s="4"/>
      <c r="E1229" s="4"/>
      <c r="F1229" s="4"/>
      <c r="G1229" s="4"/>
      <c r="H1229" s="4"/>
      <c r="I1229" s="26"/>
      <c r="J1229" s="26"/>
      <c r="K1229" s="4"/>
      <c r="L1229" s="4"/>
      <c r="M1229" s="4"/>
      <c r="N1229" s="107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>
      <c r="A1230" s="4"/>
      <c r="B1230" s="1073"/>
      <c r="C1230" s="1073"/>
      <c r="D1230" s="4"/>
      <c r="E1230" s="4"/>
      <c r="F1230" s="4"/>
      <c r="G1230" s="4"/>
      <c r="H1230" s="4"/>
      <c r="I1230" s="26"/>
      <c r="J1230" s="26"/>
      <c r="K1230" s="4"/>
      <c r="L1230" s="4"/>
      <c r="M1230" s="4"/>
      <c r="N1230" s="107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>
      <c r="A1231" s="4"/>
      <c r="B1231" s="1073"/>
      <c r="C1231" s="1073"/>
      <c r="D1231" s="4"/>
      <c r="E1231" s="4"/>
      <c r="F1231" s="4"/>
      <c r="G1231" s="4"/>
      <c r="H1231" s="4"/>
      <c r="I1231" s="26"/>
      <c r="J1231" s="26"/>
      <c r="K1231" s="4"/>
      <c r="L1231" s="4"/>
      <c r="M1231" s="4"/>
      <c r="N1231" s="107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>
      <c r="A1232" s="4"/>
      <c r="B1232" s="1073"/>
      <c r="C1232" s="1073"/>
      <c r="D1232" s="4"/>
      <c r="E1232" s="4"/>
      <c r="F1232" s="4"/>
      <c r="G1232" s="4"/>
      <c r="H1232" s="4"/>
      <c r="I1232" s="26"/>
      <c r="J1232" s="26"/>
      <c r="K1232" s="4"/>
      <c r="L1232" s="4"/>
      <c r="M1232" s="4"/>
      <c r="N1232" s="107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>
      <c r="A1233" s="4"/>
      <c r="B1233" s="1073"/>
      <c r="C1233" s="1073"/>
      <c r="D1233" s="4"/>
      <c r="E1233" s="4"/>
      <c r="F1233" s="4"/>
      <c r="G1233" s="4"/>
      <c r="H1233" s="4"/>
      <c r="I1233" s="26"/>
      <c r="J1233" s="26"/>
      <c r="K1233" s="4"/>
      <c r="L1233" s="4"/>
      <c r="M1233" s="4"/>
      <c r="N1233" s="107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>
      <c r="A1234" s="4"/>
      <c r="B1234" s="1073"/>
      <c r="C1234" s="1073"/>
      <c r="D1234" s="4"/>
      <c r="E1234" s="4"/>
      <c r="F1234" s="4"/>
      <c r="G1234" s="4"/>
      <c r="H1234" s="4"/>
      <c r="I1234" s="26"/>
      <c r="J1234" s="26"/>
      <c r="K1234" s="4"/>
      <c r="L1234" s="4"/>
      <c r="M1234" s="4"/>
      <c r="N1234" s="107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>
      <c r="A1235" s="4"/>
      <c r="B1235" s="1073"/>
      <c r="C1235" s="1073"/>
      <c r="D1235" s="4"/>
      <c r="E1235" s="4"/>
      <c r="F1235" s="4"/>
      <c r="G1235" s="4"/>
      <c r="H1235" s="4"/>
      <c r="I1235" s="26"/>
      <c r="J1235" s="26"/>
      <c r="K1235" s="4"/>
      <c r="L1235" s="4"/>
      <c r="M1235" s="4"/>
      <c r="N1235" s="107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>
      <c r="A1236" s="4"/>
      <c r="B1236" s="1073"/>
      <c r="C1236" s="1073"/>
      <c r="D1236" s="4"/>
      <c r="E1236" s="4"/>
      <c r="F1236" s="4"/>
      <c r="G1236" s="4"/>
      <c r="H1236" s="4"/>
      <c r="I1236" s="26"/>
      <c r="J1236" s="26"/>
      <c r="K1236" s="4"/>
      <c r="L1236" s="4"/>
      <c r="M1236" s="4"/>
      <c r="N1236" s="107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>
      <c r="A1237" s="4"/>
      <c r="B1237" s="1073"/>
      <c r="C1237" s="1073"/>
      <c r="D1237" s="4"/>
      <c r="E1237" s="4"/>
      <c r="F1237" s="4"/>
      <c r="G1237" s="4"/>
      <c r="H1237" s="4"/>
      <c r="I1237" s="26"/>
      <c r="J1237" s="26"/>
      <c r="K1237" s="4"/>
      <c r="L1237" s="4"/>
      <c r="M1237" s="4"/>
      <c r="N1237" s="107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>
      <c r="A1238" s="4"/>
      <c r="B1238" s="1073"/>
      <c r="C1238" s="1073"/>
      <c r="D1238" s="4"/>
      <c r="E1238" s="4"/>
      <c r="F1238" s="4"/>
      <c r="G1238" s="4"/>
      <c r="H1238" s="4"/>
      <c r="I1238" s="26"/>
      <c r="J1238" s="26"/>
      <c r="K1238" s="4"/>
      <c r="L1238" s="4"/>
      <c r="M1238" s="4"/>
      <c r="N1238" s="107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>
      <c r="A1239" s="4"/>
      <c r="B1239" s="1073"/>
      <c r="C1239" s="1073"/>
      <c r="D1239" s="4"/>
      <c r="E1239" s="4"/>
      <c r="F1239" s="4"/>
      <c r="G1239" s="4"/>
      <c r="H1239" s="4"/>
      <c r="I1239" s="26"/>
      <c r="J1239" s="26"/>
      <c r="K1239" s="4"/>
      <c r="L1239" s="4"/>
      <c r="M1239" s="4"/>
      <c r="N1239" s="107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>
      <c r="A1240" s="4"/>
      <c r="B1240" s="1073"/>
      <c r="C1240" s="1073"/>
      <c r="D1240" s="4"/>
      <c r="E1240" s="4"/>
      <c r="F1240" s="4"/>
      <c r="G1240" s="4"/>
      <c r="H1240" s="4"/>
      <c r="I1240" s="26"/>
      <c r="J1240" s="26"/>
      <c r="K1240" s="4"/>
      <c r="L1240" s="4"/>
      <c r="M1240" s="4"/>
      <c r="N1240" s="107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>
      <c r="A1241" s="4"/>
      <c r="B1241" s="1073"/>
      <c r="C1241" s="1073"/>
      <c r="D1241" s="4"/>
      <c r="E1241" s="4"/>
      <c r="F1241" s="4"/>
      <c r="G1241" s="4"/>
      <c r="H1241" s="4"/>
      <c r="I1241" s="26"/>
      <c r="J1241" s="26"/>
      <c r="K1241" s="4"/>
      <c r="L1241" s="4"/>
      <c r="M1241" s="4"/>
      <c r="N1241" s="107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>
      <c r="A1242" s="4"/>
      <c r="B1242" s="1073"/>
      <c r="C1242" s="1073"/>
      <c r="D1242" s="4"/>
      <c r="E1242" s="4"/>
      <c r="F1242" s="4"/>
      <c r="G1242" s="4"/>
      <c r="H1242" s="4"/>
      <c r="I1242" s="26"/>
      <c r="J1242" s="26"/>
      <c r="K1242" s="4"/>
      <c r="L1242" s="4"/>
      <c r="M1242" s="4"/>
      <c r="N1242" s="107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>
      <c r="A1243" s="4"/>
      <c r="B1243" s="1073"/>
      <c r="C1243" s="1073"/>
      <c r="D1243" s="4"/>
      <c r="E1243" s="4"/>
      <c r="F1243" s="4"/>
      <c r="G1243" s="4"/>
      <c r="H1243" s="4"/>
      <c r="I1243" s="26"/>
      <c r="J1243" s="26"/>
      <c r="K1243" s="4"/>
      <c r="L1243" s="4"/>
      <c r="M1243" s="4"/>
      <c r="N1243" s="107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>
      <c r="A1244" s="4"/>
      <c r="B1244" s="1073"/>
      <c r="C1244" s="1073"/>
      <c r="D1244" s="4"/>
      <c r="E1244" s="4"/>
      <c r="F1244" s="4"/>
      <c r="G1244" s="4"/>
      <c r="H1244" s="4"/>
      <c r="I1244" s="26"/>
      <c r="J1244" s="26"/>
      <c r="K1244" s="4"/>
      <c r="L1244" s="4"/>
      <c r="M1244" s="4"/>
      <c r="N1244" s="107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>
      <c r="A1245" s="4"/>
      <c r="B1245" s="1073"/>
      <c r="C1245" s="1073"/>
      <c r="D1245" s="4"/>
      <c r="E1245" s="4"/>
      <c r="F1245" s="4"/>
      <c r="G1245" s="4"/>
      <c r="H1245" s="4"/>
      <c r="I1245" s="26"/>
      <c r="J1245" s="26"/>
      <c r="K1245" s="4"/>
      <c r="L1245" s="4"/>
      <c r="M1245" s="4"/>
      <c r="N1245" s="107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>
      <c r="A1246" s="4"/>
      <c r="B1246" s="1073"/>
      <c r="C1246" s="1073"/>
      <c r="D1246" s="4"/>
      <c r="E1246" s="4"/>
      <c r="F1246" s="4"/>
      <c r="G1246" s="4"/>
      <c r="H1246" s="4"/>
      <c r="I1246" s="26"/>
      <c r="J1246" s="26"/>
      <c r="K1246" s="4"/>
      <c r="L1246" s="4"/>
      <c r="M1246" s="4"/>
      <c r="N1246" s="107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>
      <c r="A1247" s="4"/>
      <c r="B1247" s="1073"/>
      <c r="C1247" s="1073"/>
      <c r="D1247" s="4"/>
      <c r="E1247" s="4"/>
      <c r="F1247" s="4"/>
      <c r="G1247" s="4"/>
      <c r="H1247" s="4"/>
      <c r="I1247" s="26"/>
      <c r="J1247" s="26"/>
      <c r="K1247" s="4"/>
      <c r="L1247" s="4"/>
      <c r="M1247" s="4"/>
      <c r="N1247" s="107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>
      <c r="A1248" s="4"/>
      <c r="B1248" s="1073"/>
      <c r="C1248" s="1073"/>
      <c r="D1248" s="4"/>
      <c r="E1248" s="4"/>
      <c r="F1248" s="4"/>
      <c r="G1248" s="4"/>
      <c r="H1248" s="4"/>
      <c r="I1248" s="26"/>
      <c r="J1248" s="26"/>
      <c r="K1248" s="4"/>
      <c r="L1248" s="4"/>
      <c r="M1248" s="4"/>
      <c r="N1248" s="107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>
      <c r="A1249" s="4"/>
      <c r="B1249" s="1073"/>
      <c r="C1249" s="1073"/>
      <c r="D1249" s="4"/>
      <c r="E1249" s="4"/>
      <c r="F1249" s="4"/>
      <c r="G1249" s="4"/>
      <c r="H1249" s="4"/>
      <c r="I1249" s="26"/>
      <c r="J1249" s="26"/>
      <c r="K1249" s="4"/>
      <c r="L1249" s="4"/>
      <c r="M1249" s="4"/>
      <c r="N1249" s="107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>
      <c r="A1250" s="4"/>
      <c r="B1250" s="1073"/>
      <c r="C1250" s="1073"/>
      <c r="D1250" s="4"/>
      <c r="E1250" s="4"/>
      <c r="F1250" s="4"/>
      <c r="G1250" s="4"/>
      <c r="H1250" s="4"/>
      <c r="I1250" s="26"/>
      <c r="J1250" s="26"/>
      <c r="K1250" s="4"/>
      <c r="L1250" s="4"/>
      <c r="M1250" s="4"/>
      <c r="N1250" s="107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>
      <c r="A1251" s="4"/>
      <c r="B1251" s="1073"/>
      <c r="C1251" s="1073"/>
      <c r="D1251" s="4"/>
      <c r="E1251" s="4"/>
      <c r="F1251" s="4"/>
      <c r="G1251" s="4"/>
      <c r="H1251" s="4"/>
      <c r="I1251" s="26"/>
      <c r="J1251" s="26"/>
      <c r="K1251" s="4"/>
      <c r="L1251" s="4"/>
      <c r="M1251" s="4"/>
      <c r="N1251" s="107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>
      <c r="A1252" s="4"/>
      <c r="B1252" s="1073"/>
      <c r="C1252" s="1073"/>
      <c r="D1252" s="4"/>
      <c r="E1252" s="4"/>
      <c r="F1252" s="4"/>
      <c r="G1252" s="4"/>
      <c r="H1252" s="4"/>
      <c r="I1252" s="26"/>
      <c r="J1252" s="26"/>
      <c r="K1252" s="4"/>
      <c r="L1252" s="4"/>
      <c r="M1252" s="4"/>
      <c r="N1252" s="107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>
      <c r="A1253" s="4"/>
      <c r="B1253" s="1073"/>
      <c r="C1253" s="1073"/>
      <c r="D1253" s="4"/>
      <c r="E1253" s="4"/>
      <c r="F1253" s="4"/>
      <c r="G1253" s="4"/>
      <c r="H1253" s="4"/>
      <c r="I1253" s="26"/>
      <c r="J1253" s="26"/>
      <c r="K1253" s="4"/>
      <c r="L1253" s="4"/>
      <c r="M1253" s="4"/>
      <c r="N1253" s="107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>
      <c r="A1254" s="4"/>
      <c r="B1254" s="1073"/>
      <c r="C1254" s="1073"/>
      <c r="D1254" s="4"/>
      <c r="E1254" s="4"/>
      <c r="F1254" s="4"/>
      <c r="G1254" s="4"/>
      <c r="H1254" s="4"/>
      <c r="I1254" s="26"/>
      <c r="J1254" s="26"/>
      <c r="K1254" s="4"/>
      <c r="L1254" s="4"/>
      <c r="M1254" s="4"/>
      <c r="N1254" s="107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>
      <c r="A1255" s="4"/>
      <c r="B1255" s="1073"/>
      <c r="C1255" s="1073"/>
      <c r="D1255" s="4"/>
      <c r="E1255" s="4"/>
      <c r="F1255" s="4"/>
      <c r="G1255" s="4"/>
      <c r="H1255" s="4"/>
      <c r="I1255" s="26"/>
      <c r="J1255" s="26"/>
      <c r="K1255" s="4"/>
      <c r="L1255" s="4"/>
      <c r="M1255" s="4"/>
      <c r="N1255" s="107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>
      <c r="A1256" s="4"/>
      <c r="B1256" s="1073"/>
      <c r="C1256" s="1073"/>
      <c r="D1256" s="4"/>
      <c r="E1256" s="4"/>
      <c r="F1256" s="4"/>
      <c r="G1256" s="4"/>
      <c r="H1256" s="4"/>
      <c r="I1256" s="26"/>
      <c r="J1256" s="26"/>
      <c r="K1256" s="4"/>
      <c r="L1256" s="4"/>
      <c r="M1256" s="4"/>
      <c r="N1256" s="107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>
      <c r="A1257" s="4"/>
      <c r="B1257" s="1073"/>
      <c r="C1257" s="1073"/>
      <c r="D1257" s="4"/>
      <c r="E1257" s="4"/>
      <c r="F1257" s="4"/>
      <c r="G1257" s="4"/>
      <c r="H1257" s="4"/>
      <c r="I1257" s="26"/>
      <c r="J1257" s="26"/>
      <c r="K1257" s="4"/>
      <c r="L1257" s="4"/>
      <c r="M1257" s="4"/>
      <c r="N1257" s="107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>
      <c r="A1258" s="4"/>
      <c r="B1258" s="1073"/>
      <c r="C1258" s="1073"/>
      <c r="D1258" s="4"/>
      <c r="E1258" s="4"/>
      <c r="F1258" s="4"/>
      <c r="G1258" s="4"/>
      <c r="H1258" s="4"/>
      <c r="I1258" s="26"/>
      <c r="J1258" s="26"/>
      <c r="K1258" s="4"/>
      <c r="L1258" s="4"/>
      <c r="M1258" s="4"/>
      <c r="N1258" s="107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>
      <c r="A1259" s="4"/>
      <c r="B1259" s="1073"/>
      <c r="C1259" s="1073"/>
      <c r="D1259" s="4"/>
      <c r="E1259" s="4"/>
      <c r="F1259" s="4"/>
      <c r="G1259" s="4"/>
      <c r="H1259" s="4"/>
      <c r="I1259" s="26"/>
      <c r="J1259" s="26"/>
      <c r="K1259" s="4"/>
      <c r="L1259" s="4"/>
      <c r="M1259" s="4"/>
      <c r="N1259" s="107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>
      <c r="A1260" s="4"/>
      <c r="B1260" s="1073"/>
      <c r="C1260" s="1073"/>
      <c r="D1260" s="4"/>
      <c r="E1260" s="4"/>
      <c r="F1260" s="4"/>
      <c r="G1260" s="4"/>
      <c r="H1260" s="4"/>
      <c r="I1260" s="26"/>
      <c r="J1260" s="26"/>
      <c r="K1260" s="4"/>
      <c r="L1260" s="4"/>
      <c r="M1260" s="4"/>
      <c r="N1260" s="107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>
      <c r="A1261" s="4"/>
      <c r="B1261" s="1073"/>
      <c r="C1261" s="1073"/>
      <c r="D1261" s="4"/>
      <c r="E1261" s="4"/>
      <c r="F1261" s="4"/>
      <c r="G1261" s="4"/>
      <c r="H1261" s="4"/>
      <c r="I1261" s="26"/>
      <c r="J1261" s="26"/>
      <c r="K1261" s="4"/>
      <c r="L1261" s="4"/>
      <c r="M1261" s="4"/>
      <c r="N1261" s="107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>
      <c r="A1262" s="4"/>
      <c r="B1262" s="1073"/>
      <c r="C1262" s="1073"/>
      <c r="D1262" s="4"/>
      <c r="E1262" s="4"/>
      <c r="F1262" s="4"/>
      <c r="G1262" s="4"/>
      <c r="H1262" s="4"/>
      <c r="I1262" s="26"/>
      <c r="J1262" s="26"/>
      <c r="K1262" s="4"/>
      <c r="L1262" s="4"/>
      <c r="M1262" s="4"/>
      <c r="N1262" s="107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>
      <c r="A1263" s="4"/>
      <c r="B1263" s="1073"/>
      <c r="C1263" s="1073"/>
      <c r="D1263" s="4"/>
      <c r="E1263" s="4"/>
      <c r="F1263" s="4"/>
      <c r="G1263" s="4"/>
      <c r="H1263" s="4"/>
      <c r="I1263" s="26"/>
      <c r="J1263" s="26"/>
      <c r="K1263" s="4"/>
      <c r="L1263" s="4"/>
      <c r="M1263" s="4"/>
      <c r="N1263" s="107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>
      <c r="A1264" s="4"/>
      <c r="B1264" s="1073"/>
      <c r="C1264" s="1073"/>
      <c r="D1264" s="4"/>
      <c r="E1264" s="4"/>
      <c r="F1264" s="4"/>
      <c r="G1264" s="4"/>
      <c r="H1264" s="4"/>
      <c r="I1264" s="26"/>
      <c r="J1264" s="26"/>
      <c r="K1264" s="4"/>
      <c r="L1264" s="4"/>
      <c r="M1264" s="4"/>
      <c r="N1264" s="107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>
      <c r="A1265" s="4"/>
      <c r="B1265" s="1073"/>
      <c r="C1265" s="1073"/>
      <c r="D1265" s="4"/>
      <c r="E1265" s="4"/>
      <c r="F1265" s="4"/>
      <c r="G1265" s="4"/>
      <c r="H1265" s="4"/>
      <c r="I1265" s="26"/>
      <c r="J1265" s="26"/>
      <c r="K1265" s="4"/>
      <c r="L1265" s="4"/>
      <c r="M1265" s="4"/>
      <c r="N1265" s="107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>
      <c r="A1266" s="4"/>
      <c r="B1266" s="1073"/>
      <c r="C1266" s="1073"/>
      <c r="D1266" s="4"/>
      <c r="E1266" s="4"/>
      <c r="F1266" s="4"/>
      <c r="G1266" s="4"/>
      <c r="H1266" s="4"/>
      <c r="I1266" s="26"/>
      <c r="J1266" s="26"/>
      <c r="K1266" s="4"/>
      <c r="L1266" s="4"/>
      <c r="M1266" s="4"/>
      <c r="N1266" s="107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>
      <c r="A1267" s="4"/>
      <c r="B1267" s="1073"/>
      <c r="C1267" s="1073"/>
      <c r="D1267" s="4"/>
      <c r="E1267" s="4"/>
      <c r="F1267" s="4"/>
      <c r="G1267" s="4"/>
      <c r="H1267" s="4"/>
      <c r="I1267" s="26"/>
      <c r="J1267" s="26"/>
      <c r="K1267" s="4"/>
      <c r="L1267" s="4"/>
      <c r="M1267" s="4"/>
      <c r="N1267" s="107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>
      <c r="A1268" s="4"/>
      <c r="B1268" s="1073"/>
      <c r="C1268" s="1073"/>
      <c r="D1268" s="4"/>
      <c r="E1268" s="4"/>
      <c r="F1268" s="4"/>
      <c r="G1268" s="4"/>
      <c r="H1268" s="4"/>
      <c r="I1268" s="26"/>
      <c r="J1268" s="26"/>
      <c r="K1268" s="4"/>
      <c r="L1268" s="4"/>
      <c r="M1268" s="4"/>
      <c r="N1268" s="107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>
      <c r="A1269" s="4"/>
      <c r="B1269" s="1073"/>
      <c r="C1269" s="1073"/>
      <c r="D1269" s="4"/>
      <c r="E1269" s="4"/>
      <c r="F1269" s="4"/>
      <c r="G1269" s="4"/>
      <c r="H1269" s="4"/>
      <c r="I1269" s="26"/>
      <c r="J1269" s="26"/>
      <c r="K1269" s="4"/>
      <c r="L1269" s="4"/>
      <c r="M1269" s="4"/>
      <c r="N1269" s="107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>
      <c r="A1270" s="4"/>
      <c r="B1270" s="1073"/>
      <c r="C1270" s="1073"/>
      <c r="D1270" s="4"/>
      <c r="E1270" s="4"/>
      <c r="F1270" s="4"/>
      <c r="G1270" s="4"/>
      <c r="H1270" s="4"/>
      <c r="I1270" s="26"/>
      <c r="J1270" s="26"/>
      <c r="K1270" s="4"/>
      <c r="L1270" s="4"/>
      <c r="M1270" s="4"/>
      <c r="N1270" s="107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>
      <c r="A1271" s="4"/>
      <c r="B1271" s="1073"/>
      <c r="C1271" s="1073"/>
      <c r="D1271" s="4"/>
      <c r="E1271" s="4"/>
      <c r="F1271" s="4"/>
      <c r="G1271" s="4"/>
      <c r="H1271" s="4"/>
      <c r="I1271" s="26"/>
      <c r="J1271" s="26"/>
      <c r="K1271" s="4"/>
      <c r="L1271" s="4"/>
      <c r="M1271" s="4"/>
      <c r="N1271" s="107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>
      <c r="A1272" s="4"/>
      <c r="B1272" s="1073"/>
      <c r="C1272" s="1073"/>
      <c r="D1272" s="4"/>
      <c r="E1272" s="4"/>
      <c r="F1272" s="4"/>
      <c r="G1272" s="4"/>
      <c r="H1272" s="4"/>
      <c r="I1272" s="26"/>
      <c r="J1272" s="26"/>
      <c r="K1272" s="4"/>
      <c r="L1272" s="4"/>
      <c r="M1272" s="4"/>
      <c r="N1272" s="107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>
      <c r="A1273" s="4"/>
      <c r="B1273" s="1073"/>
      <c r="C1273" s="1073"/>
      <c r="D1273" s="4"/>
      <c r="E1273" s="4"/>
      <c r="F1273" s="4"/>
      <c r="G1273" s="4"/>
      <c r="H1273" s="4"/>
      <c r="I1273" s="26"/>
      <c r="J1273" s="26"/>
      <c r="K1273" s="4"/>
      <c r="L1273" s="4"/>
      <c r="M1273" s="4"/>
      <c r="N1273" s="107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>
      <c r="A1274" s="4"/>
      <c r="B1274" s="1073"/>
      <c r="C1274" s="1073"/>
      <c r="D1274" s="4"/>
      <c r="E1274" s="4"/>
      <c r="F1274" s="4"/>
      <c r="G1274" s="4"/>
      <c r="H1274" s="4"/>
      <c r="I1274" s="26"/>
      <c r="J1274" s="26"/>
      <c r="K1274" s="4"/>
      <c r="L1274" s="4"/>
      <c r="M1274" s="4"/>
      <c r="N1274" s="107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>
      <c r="A1275" s="4"/>
      <c r="B1275" s="1073"/>
      <c r="C1275" s="1073"/>
      <c r="D1275" s="4"/>
      <c r="E1275" s="4"/>
      <c r="F1275" s="4"/>
      <c r="G1275" s="4"/>
      <c r="H1275" s="4"/>
      <c r="I1275" s="26"/>
      <c r="J1275" s="26"/>
      <c r="K1275" s="4"/>
      <c r="L1275" s="4"/>
      <c r="M1275" s="4"/>
      <c r="N1275" s="107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>
      <c r="A1276" s="4"/>
      <c r="B1276" s="1073"/>
      <c r="C1276" s="1073"/>
      <c r="D1276" s="4"/>
      <c r="E1276" s="4"/>
      <c r="F1276" s="4"/>
      <c r="G1276" s="4"/>
      <c r="H1276" s="4"/>
      <c r="I1276" s="26"/>
      <c r="J1276" s="26"/>
      <c r="K1276" s="4"/>
      <c r="L1276" s="4"/>
      <c r="M1276" s="4"/>
      <c r="N1276" s="107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>
      <c r="A1277" s="4"/>
      <c r="B1277" s="1073"/>
      <c r="C1277" s="1073"/>
      <c r="D1277" s="4"/>
      <c r="E1277" s="4"/>
      <c r="F1277" s="4"/>
      <c r="G1277" s="4"/>
      <c r="H1277" s="4"/>
      <c r="I1277" s="26"/>
      <c r="J1277" s="26"/>
      <c r="K1277" s="4"/>
      <c r="L1277" s="4"/>
      <c r="M1277" s="4"/>
      <c r="N1277" s="107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>
      <c r="A1278" s="4"/>
      <c r="B1278" s="1073"/>
      <c r="C1278" s="1073"/>
      <c r="D1278" s="4"/>
      <c r="E1278" s="4"/>
      <c r="F1278" s="4"/>
      <c r="G1278" s="4"/>
      <c r="H1278" s="4"/>
      <c r="I1278" s="26"/>
      <c r="J1278" s="26"/>
      <c r="K1278" s="4"/>
      <c r="L1278" s="4"/>
      <c r="M1278" s="4"/>
      <c r="N1278" s="107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>
      <c r="A1279" s="4"/>
      <c r="B1279" s="1073"/>
      <c r="C1279" s="1073"/>
      <c r="D1279" s="4"/>
      <c r="E1279" s="4"/>
      <c r="F1279" s="4"/>
      <c r="G1279" s="4"/>
      <c r="H1279" s="4"/>
      <c r="I1279" s="26"/>
      <c r="J1279" s="26"/>
      <c r="K1279" s="4"/>
      <c r="L1279" s="4"/>
      <c r="M1279" s="4"/>
      <c r="N1279" s="107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>
      <c r="A1280" s="4"/>
      <c r="B1280" s="1073"/>
      <c r="C1280" s="1073"/>
      <c r="D1280" s="4"/>
      <c r="E1280" s="4"/>
      <c r="F1280" s="4"/>
      <c r="G1280" s="4"/>
      <c r="H1280" s="4"/>
      <c r="I1280" s="26"/>
      <c r="J1280" s="26"/>
      <c r="K1280" s="4"/>
      <c r="L1280" s="4"/>
      <c r="M1280" s="4"/>
      <c r="N1280" s="107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>
      <c r="A1281" s="4"/>
      <c r="B1281" s="1073"/>
      <c r="C1281" s="1073"/>
      <c r="D1281" s="4"/>
      <c r="E1281" s="4"/>
      <c r="F1281" s="4"/>
      <c r="G1281" s="4"/>
      <c r="H1281" s="4"/>
      <c r="I1281" s="26"/>
      <c r="J1281" s="26"/>
      <c r="K1281" s="4"/>
      <c r="L1281" s="4"/>
      <c r="M1281" s="4"/>
      <c r="N1281" s="107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>
      <c r="A1282" s="4"/>
      <c r="B1282" s="1073"/>
      <c r="C1282" s="1073"/>
      <c r="D1282" s="4"/>
      <c r="E1282" s="4"/>
      <c r="F1282" s="4"/>
      <c r="G1282" s="4"/>
      <c r="H1282" s="4"/>
      <c r="I1282" s="26"/>
      <c r="J1282" s="26"/>
      <c r="K1282" s="4"/>
      <c r="L1282" s="4"/>
      <c r="M1282" s="4"/>
      <c r="N1282" s="107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>
      <c r="A1283" s="4"/>
      <c r="B1283" s="1073"/>
      <c r="C1283" s="1073"/>
      <c r="D1283" s="4"/>
      <c r="E1283" s="4"/>
      <c r="F1283" s="4"/>
      <c r="G1283" s="4"/>
      <c r="H1283" s="4"/>
      <c r="I1283" s="26"/>
      <c r="J1283" s="26"/>
      <c r="K1283" s="4"/>
      <c r="L1283" s="4"/>
      <c r="M1283" s="4"/>
      <c r="N1283" s="107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>
      <c r="A1284" s="4"/>
      <c r="B1284" s="1073"/>
      <c r="C1284" s="1073"/>
      <c r="D1284" s="4"/>
      <c r="E1284" s="4"/>
      <c r="F1284" s="4"/>
      <c r="G1284" s="4"/>
      <c r="H1284" s="4"/>
      <c r="I1284" s="26"/>
      <c r="J1284" s="26"/>
      <c r="K1284" s="4"/>
      <c r="L1284" s="4"/>
      <c r="M1284" s="4"/>
      <c r="N1284" s="107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>
      <c r="A1285" s="4"/>
      <c r="B1285" s="1073"/>
      <c r="C1285" s="1073"/>
      <c r="D1285" s="4"/>
      <c r="E1285" s="4"/>
      <c r="F1285" s="4"/>
      <c r="G1285" s="4"/>
      <c r="H1285" s="4"/>
      <c r="I1285" s="26"/>
      <c r="J1285" s="26"/>
      <c r="K1285" s="4"/>
      <c r="L1285" s="4"/>
      <c r="M1285" s="4"/>
      <c r="N1285" s="107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>
      <c r="A1286" s="4"/>
      <c r="B1286" s="1073"/>
      <c r="C1286" s="1073"/>
      <c r="D1286" s="4"/>
      <c r="E1286" s="4"/>
      <c r="F1286" s="4"/>
      <c r="G1286" s="4"/>
      <c r="H1286" s="4"/>
      <c r="I1286" s="26"/>
      <c r="J1286" s="26"/>
      <c r="K1286" s="4"/>
      <c r="L1286" s="4"/>
      <c r="M1286" s="4"/>
      <c r="N1286" s="107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>
      <c r="A1287" s="4"/>
      <c r="B1287" s="1073"/>
      <c r="C1287" s="1073"/>
      <c r="D1287" s="4"/>
      <c r="E1287" s="4"/>
      <c r="F1287" s="4"/>
      <c r="G1287" s="4"/>
      <c r="H1287" s="4"/>
      <c r="I1287" s="26"/>
      <c r="J1287" s="26"/>
      <c r="K1287" s="4"/>
      <c r="L1287" s="4"/>
      <c r="M1287" s="4"/>
      <c r="N1287" s="107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>
      <c r="A1288" s="4"/>
      <c r="B1288" s="1073"/>
      <c r="C1288" s="1073"/>
      <c r="D1288" s="4"/>
      <c r="E1288" s="4"/>
      <c r="F1288" s="4"/>
      <c r="G1288" s="4"/>
      <c r="H1288" s="4"/>
      <c r="I1288" s="26"/>
      <c r="J1288" s="26"/>
      <c r="K1288" s="4"/>
      <c r="L1288" s="4"/>
      <c r="M1288" s="4"/>
      <c r="N1288" s="107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>
      <c r="A1289" s="4"/>
      <c r="B1289" s="1073"/>
      <c r="C1289" s="1073"/>
      <c r="D1289" s="4"/>
      <c r="E1289" s="4"/>
      <c r="F1289" s="4"/>
      <c r="G1289" s="4"/>
      <c r="H1289" s="4"/>
      <c r="I1289" s="26"/>
      <c r="J1289" s="26"/>
      <c r="K1289" s="4"/>
      <c r="L1289" s="4"/>
      <c r="M1289" s="4"/>
      <c r="N1289" s="107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>
      <c r="A1290" s="4"/>
      <c r="B1290" s="1073"/>
      <c r="C1290" s="1073"/>
      <c r="D1290" s="4"/>
      <c r="E1290" s="4"/>
      <c r="F1290" s="4"/>
      <c r="G1290" s="4"/>
      <c r="H1290" s="4"/>
      <c r="I1290" s="26"/>
      <c r="J1290" s="26"/>
      <c r="K1290" s="4"/>
      <c r="L1290" s="4"/>
      <c r="M1290" s="4"/>
      <c r="N1290" s="107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>
      <c r="A1291" s="4"/>
      <c r="B1291" s="1073"/>
      <c r="C1291" s="1073"/>
      <c r="D1291" s="4"/>
      <c r="E1291" s="4"/>
      <c r="F1291" s="4"/>
      <c r="G1291" s="4"/>
      <c r="H1291" s="4"/>
      <c r="I1291" s="26"/>
      <c r="J1291" s="26"/>
      <c r="K1291" s="4"/>
      <c r="L1291" s="4"/>
      <c r="M1291" s="4"/>
      <c r="N1291" s="107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>
      <c r="A1292" s="4"/>
      <c r="B1292" s="1073"/>
      <c r="C1292" s="1073"/>
      <c r="D1292" s="4"/>
      <c r="E1292" s="4"/>
      <c r="F1292" s="4"/>
      <c r="G1292" s="4"/>
      <c r="H1292" s="4"/>
      <c r="I1292" s="26"/>
      <c r="J1292" s="26"/>
      <c r="K1292" s="4"/>
      <c r="L1292" s="4"/>
      <c r="M1292" s="4"/>
      <c r="N1292" s="107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>
      <c r="A1293" s="4"/>
      <c r="B1293" s="1073"/>
      <c r="C1293" s="1073"/>
      <c r="D1293" s="4"/>
      <c r="E1293" s="4"/>
      <c r="F1293" s="4"/>
      <c r="G1293" s="4"/>
      <c r="H1293" s="4"/>
      <c r="I1293" s="26"/>
      <c r="J1293" s="26"/>
      <c r="K1293" s="4"/>
      <c r="L1293" s="4"/>
      <c r="M1293" s="4"/>
      <c r="N1293" s="107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>
      <c r="A1294" s="4"/>
      <c r="B1294" s="1073"/>
      <c r="C1294" s="1073"/>
      <c r="D1294" s="4"/>
      <c r="E1294" s="4"/>
      <c r="F1294" s="4"/>
      <c r="G1294" s="4"/>
      <c r="H1294" s="4"/>
      <c r="I1294" s="26"/>
      <c r="J1294" s="26"/>
      <c r="K1294" s="4"/>
      <c r="L1294" s="4"/>
      <c r="M1294" s="4"/>
      <c r="N1294" s="107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>
      <c r="A1295" s="4"/>
      <c r="B1295" s="1073"/>
      <c r="C1295" s="1073"/>
      <c r="D1295" s="4"/>
      <c r="E1295" s="4"/>
      <c r="F1295" s="4"/>
      <c r="G1295" s="4"/>
      <c r="H1295" s="4"/>
      <c r="I1295" s="26"/>
      <c r="J1295" s="26"/>
      <c r="K1295" s="4"/>
      <c r="L1295" s="4"/>
      <c r="M1295" s="4"/>
      <c r="N1295" s="107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>
      <c r="A1296" s="4"/>
      <c r="B1296" s="1073"/>
      <c r="C1296" s="1073"/>
      <c r="D1296" s="4"/>
      <c r="E1296" s="4"/>
      <c r="F1296" s="4"/>
      <c r="G1296" s="4"/>
      <c r="H1296" s="4"/>
      <c r="I1296" s="26"/>
      <c r="J1296" s="26"/>
      <c r="K1296" s="4"/>
      <c r="L1296" s="4"/>
      <c r="M1296" s="4"/>
      <c r="N1296" s="107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>
      <c r="A1297" s="4"/>
      <c r="B1297" s="1073"/>
      <c r="C1297" s="1073"/>
      <c r="D1297" s="4"/>
      <c r="E1297" s="4"/>
      <c r="F1297" s="4"/>
      <c r="G1297" s="4"/>
      <c r="H1297" s="4"/>
      <c r="I1297" s="26"/>
      <c r="J1297" s="26"/>
      <c r="K1297" s="4"/>
      <c r="L1297" s="4"/>
      <c r="M1297" s="4"/>
      <c r="N1297" s="107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>
      <c r="A1298" s="4"/>
      <c r="B1298" s="1073"/>
      <c r="C1298" s="1073"/>
      <c r="D1298" s="4"/>
      <c r="E1298" s="4"/>
      <c r="F1298" s="4"/>
      <c r="G1298" s="4"/>
      <c r="H1298" s="4"/>
      <c r="I1298" s="26"/>
      <c r="J1298" s="26"/>
      <c r="K1298" s="4"/>
      <c r="L1298" s="4"/>
      <c r="M1298" s="4"/>
      <c r="N1298" s="107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>
      <c r="A1299" s="4"/>
      <c r="B1299" s="1073"/>
      <c r="C1299" s="1073"/>
      <c r="D1299" s="4"/>
      <c r="E1299" s="4"/>
      <c r="F1299" s="4"/>
      <c r="G1299" s="4"/>
      <c r="H1299" s="4"/>
      <c r="I1299" s="26"/>
      <c r="J1299" s="26"/>
      <c r="K1299" s="4"/>
      <c r="L1299" s="4"/>
      <c r="M1299" s="4"/>
      <c r="N1299" s="107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>
      <c r="A1300" s="4"/>
      <c r="B1300" s="1073"/>
      <c r="C1300" s="1073"/>
      <c r="D1300" s="4"/>
      <c r="E1300" s="4"/>
      <c r="F1300" s="4"/>
      <c r="G1300" s="4"/>
      <c r="H1300" s="4"/>
      <c r="I1300" s="26"/>
      <c r="J1300" s="26"/>
      <c r="K1300" s="4"/>
      <c r="L1300" s="4"/>
      <c r="M1300" s="4"/>
      <c r="N1300" s="107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>
      <c r="A1301" s="4"/>
      <c r="B1301" s="1073"/>
      <c r="C1301" s="1073"/>
      <c r="D1301" s="4"/>
      <c r="E1301" s="4"/>
      <c r="F1301" s="4"/>
      <c r="G1301" s="4"/>
      <c r="H1301" s="4"/>
      <c r="I1301" s="26"/>
      <c r="J1301" s="26"/>
      <c r="K1301" s="4"/>
      <c r="L1301" s="4"/>
      <c r="M1301" s="4"/>
      <c r="N1301" s="107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>
      <c r="A1302" s="4"/>
      <c r="B1302" s="1073"/>
      <c r="C1302" s="1073"/>
      <c r="D1302" s="4"/>
      <c r="E1302" s="4"/>
      <c r="F1302" s="4"/>
      <c r="G1302" s="4"/>
      <c r="H1302" s="4"/>
      <c r="I1302" s="26"/>
      <c r="J1302" s="26"/>
      <c r="K1302" s="4"/>
      <c r="L1302" s="4"/>
      <c r="M1302" s="4"/>
      <c r="N1302" s="107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>
      <c r="A1303" s="4"/>
      <c r="B1303" s="1073"/>
      <c r="C1303" s="1073"/>
      <c r="D1303" s="4"/>
      <c r="E1303" s="4"/>
      <c r="F1303" s="4"/>
      <c r="G1303" s="4"/>
      <c r="H1303" s="4"/>
      <c r="I1303" s="26"/>
      <c r="J1303" s="26"/>
      <c r="K1303" s="4"/>
      <c r="L1303" s="4"/>
      <c r="M1303" s="4"/>
      <c r="N1303" s="107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>
      <c r="A1304" s="4"/>
      <c r="B1304" s="1073"/>
      <c r="C1304" s="1073"/>
      <c r="D1304" s="4"/>
      <c r="E1304" s="4"/>
      <c r="F1304" s="4"/>
      <c r="G1304" s="4"/>
      <c r="H1304" s="4"/>
      <c r="I1304" s="26"/>
      <c r="J1304" s="26"/>
      <c r="K1304" s="4"/>
      <c r="L1304" s="4"/>
      <c r="M1304" s="4"/>
      <c r="N1304" s="107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>
      <c r="A1305" s="4"/>
      <c r="B1305" s="1073"/>
      <c r="C1305" s="1073"/>
      <c r="D1305" s="4"/>
      <c r="E1305" s="4"/>
      <c r="F1305" s="4"/>
      <c r="G1305" s="4"/>
      <c r="H1305" s="4"/>
      <c r="I1305" s="26"/>
      <c r="J1305" s="26"/>
      <c r="K1305" s="4"/>
      <c r="L1305" s="4"/>
      <c r="M1305" s="4"/>
      <c r="N1305" s="107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>
      <c r="A1306" s="4"/>
      <c r="B1306" s="1073"/>
      <c r="C1306" s="1073"/>
      <c r="D1306" s="4"/>
      <c r="E1306" s="4"/>
      <c r="F1306" s="4"/>
      <c r="G1306" s="4"/>
      <c r="H1306" s="4"/>
      <c r="I1306" s="26"/>
      <c r="J1306" s="26"/>
      <c r="K1306" s="4"/>
      <c r="L1306" s="4"/>
      <c r="M1306" s="4"/>
      <c r="N1306" s="107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>
      <c r="A1307" s="4"/>
      <c r="B1307" s="1073"/>
      <c r="C1307" s="1073"/>
      <c r="D1307" s="4"/>
      <c r="E1307" s="4"/>
      <c r="F1307" s="4"/>
      <c r="G1307" s="4"/>
      <c r="H1307" s="4"/>
      <c r="I1307" s="26"/>
      <c r="J1307" s="26"/>
      <c r="K1307" s="4"/>
      <c r="L1307" s="4"/>
      <c r="M1307" s="4"/>
      <c r="N1307" s="107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>
      <c r="A1308" s="4"/>
      <c r="B1308" s="1073"/>
      <c r="C1308" s="1073"/>
      <c r="D1308" s="4"/>
      <c r="E1308" s="4"/>
      <c r="F1308" s="4"/>
      <c r="G1308" s="4"/>
      <c r="H1308" s="4"/>
      <c r="I1308" s="26"/>
      <c r="J1308" s="26"/>
      <c r="K1308" s="4"/>
      <c r="L1308" s="4"/>
      <c r="M1308" s="4"/>
      <c r="N1308" s="107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>
      <c r="A1309" s="4"/>
      <c r="B1309" s="1073"/>
      <c r="C1309" s="1073"/>
      <c r="D1309" s="4"/>
      <c r="E1309" s="4"/>
      <c r="F1309" s="4"/>
      <c r="G1309" s="4"/>
      <c r="H1309" s="4"/>
      <c r="I1309" s="26"/>
      <c r="J1309" s="26"/>
      <c r="K1309" s="4"/>
      <c r="L1309" s="4"/>
      <c r="M1309" s="4"/>
      <c r="N1309" s="107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>
      <c r="A1310" s="4"/>
      <c r="B1310" s="1073"/>
      <c r="C1310" s="1073"/>
      <c r="D1310" s="4"/>
      <c r="E1310" s="4"/>
      <c r="F1310" s="4"/>
      <c r="G1310" s="4"/>
      <c r="H1310" s="4"/>
      <c r="I1310" s="26"/>
      <c r="J1310" s="26"/>
      <c r="K1310" s="4"/>
      <c r="L1310" s="4"/>
      <c r="M1310" s="4"/>
      <c r="N1310" s="107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>
      <c r="A1311" s="4"/>
      <c r="B1311" s="1073"/>
      <c r="C1311" s="1073"/>
      <c r="D1311" s="4"/>
      <c r="E1311" s="4"/>
      <c r="F1311" s="4"/>
      <c r="G1311" s="4"/>
      <c r="H1311" s="4"/>
      <c r="I1311" s="26"/>
      <c r="J1311" s="26"/>
      <c r="K1311" s="4"/>
      <c r="L1311" s="4"/>
      <c r="M1311" s="4"/>
      <c r="N1311" s="107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>
      <c r="A1312" s="4"/>
      <c r="B1312" s="1073"/>
      <c r="C1312" s="1073"/>
      <c r="D1312" s="4"/>
      <c r="E1312" s="4"/>
      <c r="F1312" s="4"/>
      <c r="G1312" s="4"/>
      <c r="H1312" s="4"/>
      <c r="I1312" s="26"/>
      <c r="J1312" s="26"/>
      <c r="K1312" s="4"/>
      <c r="L1312" s="4"/>
      <c r="M1312" s="4"/>
      <c r="N1312" s="107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>
      <c r="A1313" s="4"/>
      <c r="B1313" s="1073"/>
      <c r="C1313" s="1073"/>
      <c r="D1313" s="4"/>
      <c r="E1313" s="4"/>
      <c r="F1313" s="4"/>
      <c r="G1313" s="4"/>
      <c r="H1313" s="4"/>
      <c r="I1313" s="26"/>
      <c r="J1313" s="26"/>
      <c r="K1313" s="4"/>
      <c r="L1313" s="4"/>
      <c r="M1313" s="4"/>
      <c r="N1313" s="107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>
      <c r="A1314" s="4"/>
      <c r="B1314" s="1073"/>
      <c r="C1314" s="1073"/>
      <c r="D1314" s="4"/>
      <c r="E1314" s="4"/>
      <c r="F1314" s="4"/>
      <c r="G1314" s="4"/>
      <c r="H1314" s="4"/>
      <c r="I1314" s="26"/>
      <c r="J1314" s="26"/>
      <c r="K1314" s="4"/>
      <c r="L1314" s="4"/>
      <c r="M1314" s="4"/>
      <c r="N1314" s="107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>
      <c r="A1315" s="4"/>
      <c r="B1315" s="1073"/>
      <c r="C1315" s="1073"/>
      <c r="D1315" s="4"/>
      <c r="E1315" s="4"/>
      <c r="F1315" s="4"/>
      <c r="G1315" s="4"/>
      <c r="H1315" s="4"/>
      <c r="I1315" s="26"/>
      <c r="J1315" s="26"/>
      <c r="K1315" s="4"/>
      <c r="L1315" s="4"/>
      <c r="M1315" s="4"/>
      <c r="N1315" s="107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>
      <c r="A1316" s="4"/>
      <c r="B1316" s="1073"/>
      <c r="C1316" s="1073"/>
      <c r="D1316" s="4"/>
      <c r="E1316" s="4"/>
      <c r="F1316" s="4"/>
      <c r="G1316" s="4"/>
      <c r="H1316" s="4"/>
      <c r="I1316" s="26"/>
      <c r="J1316" s="26"/>
      <c r="K1316" s="4"/>
      <c r="L1316" s="4"/>
      <c r="M1316" s="4"/>
      <c r="N1316" s="107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>
      <c r="A1317" s="4"/>
      <c r="B1317" s="1073"/>
      <c r="C1317" s="1073"/>
      <c r="D1317" s="4"/>
      <c r="E1317" s="4"/>
      <c r="F1317" s="4"/>
      <c r="G1317" s="4"/>
      <c r="H1317" s="4"/>
      <c r="I1317" s="26"/>
      <c r="J1317" s="26"/>
      <c r="K1317" s="4"/>
      <c r="L1317" s="4"/>
      <c r="M1317" s="4"/>
      <c r="N1317" s="107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>
      <c r="A1318" s="4"/>
      <c r="B1318" s="1073"/>
      <c r="C1318" s="1073"/>
      <c r="D1318" s="4"/>
      <c r="E1318" s="4"/>
      <c r="F1318" s="4"/>
      <c r="G1318" s="4"/>
      <c r="H1318" s="4"/>
      <c r="I1318" s="26"/>
      <c r="J1318" s="26"/>
      <c r="K1318" s="4"/>
      <c r="L1318" s="4"/>
      <c r="M1318" s="4"/>
      <c r="N1318" s="107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>
      <c r="A1319" s="4"/>
      <c r="B1319" s="1073"/>
      <c r="C1319" s="1073"/>
      <c r="D1319" s="4"/>
      <c r="E1319" s="4"/>
      <c r="F1319" s="4"/>
      <c r="G1319" s="4"/>
      <c r="H1319" s="4"/>
      <c r="I1319" s="26"/>
      <c r="J1319" s="26"/>
      <c r="K1319" s="4"/>
      <c r="L1319" s="4"/>
      <c r="M1319" s="4"/>
      <c r="N1319" s="107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>
      <c r="A1320" s="4"/>
      <c r="B1320" s="1073"/>
      <c r="C1320" s="1073"/>
      <c r="D1320" s="4"/>
      <c r="E1320" s="4"/>
      <c r="F1320" s="4"/>
      <c r="G1320" s="4"/>
      <c r="H1320" s="4"/>
      <c r="I1320" s="26"/>
      <c r="J1320" s="26"/>
      <c r="K1320" s="4"/>
      <c r="L1320" s="4"/>
      <c r="M1320" s="4"/>
      <c r="N1320" s="107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>
      <c r="A1321" s="4"/>
      <c r="B1321" s="1073"/>
      <c r="C1321" s="1073"/>
      <c r="D1321" s="4"/>
      <c r="E1321" s="4"/>
      <c r="F1321" s="4"/>
      <c r="G1321" s="4"/>
      <c r="H1321" s="4"/>
      <c r="I1321" s="26"/>
      <c r="J1321" s="26"/>
      <c r="K1321" s="4"/>
      <c r="L1321" s="4"/>
      <c r="M1321" s="4"/>
      <c r="N1321" s="107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>
      <c r="A1322" s="4"/>
      <c r="B1322" s="1073"/>
      <c r="C1322" s="1073"/>
      <c r="D1322" s="4"/>
      <c r="E1322" s="4"/>
      <c r="F1322" s="4"/>
      <c r="G1322" s="4"/>
      <c r="H1322" s="4"/>
      <c r="I1322" s="26"/>
      <c r="J1322" s="26"/>
      <c r="K1322" s="4"/>
      <c r="L1322" s="4"/>
      <c r="M1322" s="4"/>
      <c r="N1322" s="107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>
      <c r="A1323" s="4"/>
      <c r="B1323" s="1073"/>
      <c r="C1323" s="1073"/>
      <c r="D1323" s="4"/>
      <c r="E1323" s="4"/>
      <c r="F1323" s="4"/>
      <c r="G1323" s="4"/>
      <c r="H1323" s="4"/>
      <c r="I1323" s="26"/>
      <c r="J1323" s="26"/>
      <c r="K1323" s="4"/>
      <c r="L1323" s="4"/>
      <c r="M1323" s="4"/>
      <c r="N1323" s="107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>
      <c r="A1324" s="4"/>
      <c r="B1324" s="1073"/>
      <c r="C1324" s="1073"/>
      <c r="D1324" s="4"/>
      <c r="E1324" s="4"/>
      <c r="F1324" s="4"/>
      <c r="G1324" s="4"/>
      <c r="H1324" s="4"/>
      <c r="I1324" s="26"/>
      <c r="J1324" s="26"/>
      <c r="K1324" s="4"/>
      <c r="L1324" s="4"/>
      <c r="M1324" s="4"/>
      <c r="N1324" s="107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>
      <c r="A1325" s="4"/>
      <c r="B1325" s="1073"/>
      <c r="C1325" s="1073"/>
      <c r="D1325" s="4"/>
      <c r="E1325" s="4"/>
      <c r="F1325" s="4"/>
      <c r="G1325" s="4"/>
      <c r="H1325" s="4"/>
      <c r="I1325" s="26"/>
      <c r="J1325" s="26"/>
      <c r="K1325" s="4"/>
      <c r="L1325" s="4"/>
      <c r="M1325" s="4"/>
      <c r="N1325" s="107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>
      <c r="A1326" s="4"/>
      <c r="B1326" s="1073"/>
      <c r="C1326" s="1073"/>
      <c r="D1326" s="4"/>
      <c r="E1326" s="4"/>
      <c r="F1326" s="4"/>
      <c r="G1326" s="4"/>
      <c r="H1326" s="4"/>
      <c r="I1326" s="26"/>
      <c r="J1326" s="26"/>
      <c r="K1326" s="4"/>
      <c r="L1326" s="4"/>
      <c r="M1326" s="4"/>
      <c r="N1326" s="107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>
      <c r="A1327" s="4"/>
      <c r="B1327" s="1073"/>
      <c r="C1327" s="1073"/>
      <c r="D1327" s="4"/>
      <c r="E1327" s="4"/>
      <c r="F1327" s="4"/>
      <c r="G1327" s="4"/>
      <c r="H1327" s="4"/>
      <c r="I1327" s="26"/>
      <c r="J1327" s="26"/>
      <c r="K1327" s="4"/>
      <c r="L1327" s="4"/>
      <c r="M1327" s="4"/>
      <c r="N1327" s="107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>
      <c r="A1328" s="4"/>
      <c r="B1328" s="1073"/>
      <c r="C1328" s="1073"/>
      <c r="D1328" s="4"/>
      <c r="E1328" s="4"/>
      <c r="F1328" s="4"/>
      <c r="G1328" s="4"/>
      <c r="H1328" s="4"/>
      <c r="I1328" s="26"/>
      <c r="J1328" s="26"/>
      <c r="K1328" s="4"/>
      <c r="L1328" s="4"/>
      <c r="M1328" s="4"/>
      <c r="N1328" s="107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>
      <c r="A1329" s="4"/>
      <c r="B1329" s="1073"/>
      <c r="C1329" s="1073"/>
      <c r="D1329" s="4"/>
      <c r="E1329" s="4"/>
      <c r="F1329" s="4"/>
      <c r="G1329" s="4"/>
      <c r="H1329" s="4"/>
      <c r="I1329" s="26"/>
      <c r="J1329" s="26"/>
      <c r="K1329" s="4"/>
      <c r="L1329" s="4"/>
      <c r="M1329" s="4"/>
      <c r="N1329" s="107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>
      <c r="A1330" s="4"/>
      <c r="B1330" s="1073"/>
      <c r="C1330" s="1073"/>
      <c r="D1330" s="4"/>
      <c r="E1330" s="4"/>
      <c r="F1330" s="4"/>
      <c r="G1330" s="4"/>
      <c r="H1330" s="4"/>
      <c r="I1330" s="26"/>
      <c r="J1330" s="26"/>
      <c r="K1330" s="4"/>
      <c r="L1330" s="4"/>
      <c r="M1330" s="4"/>
      <c r="N1330" s="107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>
      <c r="A1331" s="4"/>
      <c r="B1331" s="1073"/>
      <c r="C1331" s="1073"/>
      <c r="D1331" s="4"/>
      <c r="E1331" s="4"/>
      <c r="F1331" s="4"/>
      <c r="G1331" s="4"/>
      <c r="H1331" s="4"/>
      <c r="I1331" s="26"/>
      <c r="J1331" s="26"/>
      <c r="K1331" s="4"/>
      <c r="L1331" s="4"/>
      <c r="M1331" s="4"/>
      <c r="N1331" s="107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>
      <c r="A1332" s="4"/>
      <c r="B1332" s="1073"/>
      <c r="C1332" s="1073"/>
      <c r="D1332" s="4"/>
      <c r="E1332" s="4"/>
      <c r="F1332" s="4"/>
      <c r="G1332" s="4"/>
      <c r="H1332" s="4"/>
      <c r="I1332" s="26"/>
      <c r="J1332" s="26"/>
      <c r="K1332" s="4"/>
      <c r="L1332" s="4"/>
      <c r="M1332" s="4"/>
      <c r="N1332" s="107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>
      <c r="A1333" s="4"/>
      <c r="B1333" s="1073"/>
      <c r="C1333" s="1073"/>
      <c r="D1333" s="4"/>
      <c r="E1333" s="4"/>
      <c r="F1333" s="4"/>
      <c r="G1333" s="4"/>
      <c r="H1333" s="4"/>
      <c r="I1333" s="26"/>
      <c r="J1333" s="26"/>
      <c r="K1333" s="4"/>
      <c r="L1333" s="4"/>
      <c r="M1333" s="4"/>
      <c r="N1333" s="107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>
      <c r="A1334" s="4"/>
      <c r="B1334" s="1073"/>
      <c r="C1334" s="1073"/>
      <c r="D1334" s="4"/>
      <c r="E1334" s="4"/>
      <c r="F1334" s="4"/>
      <c r="G1334" s="4"/>
      <c r="H1334" s="4"/>
      <c r="I1334" s="26"/>
      <c r="J1334" s="26"/>
      <c r="K1334" s="4"/>
      <c r="L1334" s="4"/>
      <c r="M1334" s="4"/>
      <c r="N1334" s="107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>
      <c r="A1335" s="4"/>
      <c r="B1335" s="1073"/>
      <c r="C1335" s="1073"/>
      <c r="D1335" s="4"/>
      <c r="E1335" s="4"/>
      <c r="F1335" s="4"/>
      <c r="G1335" s="4"/>
      <c r="H1335" s="4"/>
      <c r="I1335" s="26"/>
      <c r="J1335" s="26"/>
      <c r="K1335" s="4"/>
      <c r="L1335" s="4"/>
      <c r="M1335" s="4"/>
      <c r="N1335" s="107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>
      <c r="A1336" s="4"/>
      <c r="B1336" s="1073"/>
      <c r="C1336" s="1073"/>
      <c r="D1336" s="4"/>
      <c r="E1336" s="4"/>
      <c r="F1336" s="4"/>
      <c r="G1336" s="4"/>
      <c r="H1336" s="4"/>
      <c r="I1336" s="26"/>
      <c r="J1336" s="26"/>
      <c r="K1336" s="4"/>
      <c r="L1336" s="4"/>
      <c r="M1336" s="4"/>
      <c r="N1336" s="107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>
      <c r="A1337" s="4"/>
      <c r="B1337" s="1073"/>
      <c r="C1337" s="1073"/>
      <c r="D1337" s="4"/>
      <c r="E1337" s="4"/>
      <c r="F1337" s="4"/>
      <c r="G1337" s="4"/>
      <c r="H1337" s="4"/>
      <c r="I1337" s="26"/>
      <c r="J1337" s="26"/>
      <c r="K1337" s="4"/>
      <c r="L1337" s="4"/>
      <c r="M1337" s="4"/>
      <c r="N1337" s="107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>
      <c r="A1338" s="4"/>
      <c r="B1338" s="1073"/>
      <c r="C1338" s="1073"/>
      <c r="D1338" s="4"/>
      <c r="E1338" s="4"/>
      <c r="F1338" s="4"/>
      <c r="G1338" s="4"/>
      <c r="H1338" s="4"/>
      <c r="I1338" s="26"/>
      <c r="J1338" s="26"/>
      <c r="K1338" s="4"/>
      <c r="L1338" s="4"/>
      <c r="M1338" s="4"/>
      <c r="N1338" s="107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>
      <c r="A1339" s="4"/>
      <c r="B1339" s="1073"/>
      <c r="C1339" s="1073"/>
      <c r="D1339" s="4"/>
      <c r="E1339" s="4"/>
      <c r="F1339" s="4"/>
      <c r="G1339" s="4"/>
      <c r="H1339" s="4"/>
      <c r="I1339" s="26"/>
      <c r="J1339" s="26"/>
      <c r="K1339" s="4"/>
      <c r="L1339" s="4"/>
      <c r="M1339" s="4"/>
      <c r="N1339" s="107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>
      <c r="A1340" s="4"/>
      <c r="B1340" s="1073"/>
      <c r="C1340" s="1073"/>
      <c r="D1340" s="4"/>
      <c r="E1340" s="4"/>
      <c r="F1340" s="4"/>
      <c r="G1340" s="4"/>
      <c r="H1340" s="4"/>
      <c r="I1340" s="26"/>
      <c r="J1340" s="26"/>
      <c r="K1340" s="4"/>
      <c r="L1340" s="4"/>
      <c r="M1340" s="4"/>
      <c r="N1340" s="107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>
      <c r="A1341" s="4"/>
      <c r="B1341" s="1073"/>
      <c r="C1341" s="1073"/>
      <c r="D1341" s="4"/>
      <c r="E1341" s="4"/>
      <c r="F1341" s="4"/>
      <c r="G1341" s="4"/>
      <c r="H1341" s="4"/>
      <c r="I1341" s="26"/>
      <c r="J1341" s="26"/>
      <c r="K1341" s="4"/>
      <c r="L1341" s="4"/>
      <c r="M1341" s="4"/>
      <c r="N1341" s="107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>
      <c r="A1342" s="4"/>
      <c r="B1342" s="1073"/>
      <c r="C1342" s="1073"/>
      <c r="D1342" s="4"/>
      <c r="E1342" s="4"/>
      <c r="F1342" s="4"/>
      <c r="G1342" s="4"/>
      <c r="H1342" s="4"/>
      <c r="I1342" s="26"/>
      <c r="J1342" s="26"/>
      <c r="K1342" s="4"/>
      <c r="L1342" s="4"/>
      <c r="M1342" s="4"/>
      <c r="N1342" s="107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>
      <c r="A1343" s="4"/>
      <c r="B1343" s="1073"/>
      <c r="C1343" s="1073"/>
      <c r="D1343" s="4"/>
      <c r="E1343" s="4"/>
      <c r="F1343" s="4"/>
      <c r="G1343" s="4"/>
      <c r="H1343" s="4"/>
      <c r="I1343" s="26"/>
      <c r="J1343" s="26"/>
      <c r="K1343" s="4"/>
      <c r="L1343" s="4"/>
      <c r="M1343" s="4"/>
      <c r="N1343" s="107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>
      <c r="A1344" s="4"/>
      <c r="B1344" s="1073"/>
      <c r="C1344" s="1073"/>
      <c r="D1344" s="4"/>
      <c r="E1344" s="4"/>
      <c r="F1344" s="4"/>
      <c r="G1344" s="4"/>
      <c r="H1344" s="4"/>
      <c r="I1344" s="26"/>
      <c r="J1344" s="26"/>
      <c r="K1344" s="4"/>
      <c r="L1344" s="4"/>
      <c r="M1344" s="4"/>
      <c r="N1344" s="107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>
      <c r="A1345" s="4"/>
      <c r="B1345" s="1073"/>
      <c r="C1345" s="1073"/>
      <c r="D1345" s="4"/>
      <c r="E1345" s="4"/>
      <c r="F1345" s="4"/>
      <c r="G1345" s="4"/>
      <c r="H1345" s="4"/>
      <c r="I1345" s="26"/>
      <c r="J1345" s="26"/>
      <c r="K1345" s="4"/>
      <c r="L1345" s="4"/>
      <c r="M1345" s="4"/>
      <c r="N1345" s="107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>
      <c r="A1346" s="4"/>
      <c r="B1346" s="1073"/>
      <c r="C1346" s="1073"/>
      <c r="D1346" s="4"/>
      <c r="E1346" s="4"/>
      <c r="F1346" s="4"/>
      <c r="G1346" s="4"/>
      <c r="H1346" s="4"/>
      <c r="I1346" s="26"/>
      <c r="J1346" s="26"/>
      <c r="K1346" s="4"/>
      <c r="L1346" s="4"/>
      <c r="M1346" s="4"/>
      <c r="N1346" s="107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>
      <c r="A1347" s="4"/>
      <c r="B1347" s="1073"/>
      <c r="C1347" s="1073"/>
      <c r="D1347" s="4"/>
      <c r="E1347" s="4"/>
      <c r="F1347" s="4"/>
      <c r="G1347" s="4"/>
      <c r="H1347" s="4"/>
      <c r="I1347" s="26"/>
      <c r="J1347" s="26"/>
      <c r="K1347" s="4"/>
      <c r="L1347" s="4"/>
      <c r="M1347" s="4"/>
      <c r="N1347" s="107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>
      <c r="A1348" s="4"/>
      <c r="B1348" s="1073"/>
      <c r="C1348" s="1073"/>
      <c r="D1348" s="4"/>
      <c r="E1348" s="4"/>
      <c r="F1348" s="4"/>
      <c r="G1348" s="4"/>
      <c r="H1348" s="4"/>
      <c r="I1348" s="26"/>
      <c r="J1348" s="26"/>
      <c r="K1348" s="4"/>
      <c r="L1348" s="4"/>
      <c r="M1348" s="4"/>
      <c r="N1348" s="107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>
      <c r="A1349" s="4"/>
      <c r="B1349" s="1073"/>
      <c r="C1349" s="1073"/>
      <c r="D1349" s="4"/>
      <c r="E1349" s="4"/>
      <c r="F1349" s="4"/>
      <c r="G1349" s="4"/>
      <c r="H1349" s="4"/>
      <c r="I1349" s="26"/>
      <c r="J1349" s="26"/>
      <c r="K1349" s="4"/>
      <c r="L1349" s="4"/>
      <c r="M1349" s="4"/>
      <c r="N1349" s="107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>
      <c r="A1350" s="4"/>
      <c r="B1350" s="1073"/>
      <c r="C1350" s="1073"/>
      <c r="D1350" s="4"/>
      <c r="E1350" s="4"/>
      <c r="F1350" s="4"/>
      <c r="G1350" s="4"/>
      <c r="H1350" s="4"/>
      <c r="I1350" s="26"/>
      <c r="J1350" s="26"/>
      <c r="K1350" s="4"/>
      <c r="L1350" s="4"/>
      <c r="M1350" s="4"/>
      <c r="N1350" s="107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>
      <c r="A1351" s="4"/>
      <c r="B1351" s="1073"/>
      <c r="C1351" s="1073"/>
      <c r="D1351" s="4"/>
      <c r="E1351" s="4"/>
      <c r="F1351" s="4"/>
      <c r="G1351" s="4"/>
      <c r="H1351" s="4"/>
      <c r="I1351" s="26"/>
      <c r="J1351" s="26"/>
      <c r="K1351" s="4"/>
      <c r="L1351" s="4"/>
      <c r="M1351" s="4"/>
      <c r="N1351" s="107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>
      <c r="A1352" s="4"/>
      <c r="B1352" s="1073"/>
      <c r="C1352" s="1073"/>
      <c r="D1352" s="4"/>
      <c r="E1352" s="4"/>
      <c r="F1352" s="4"/>
      <c r="G1352" s="4"/>
      <c r="H1352" s="4"/>
      <c r="I1352" s="26"/>
      <c r="J1352" s="26"/>
      <c r="K1352" s="4"/>
      <c r="L1352" s="4"/>
      <c r="M1352" s="4"/>
      <c r="N1352" s="107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>
      <c r="A1353" s="4"/>
      <c r="B1353" s="1073"/>
      <c r="C1353" s="1073"/>
      <c r="D1353" s="4"/>
      <c r="E1353" s="4"/>
      <c r="F1353" s="4"/>
      <c r="G1353" s="4"/>
      <c r="H1353" s="4"/>
      <c r="I1353" s="26"/>
      <c r="J1353" s="26"/>
      <c r="K1353" s="4"/>
      <c r="L1353" s="4"/>
      <c r="M1353" s="4"/>
      <c r="N1353" s="107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>
      <c r="A1354" s="4"/>
      <c r="B1354" s="1073"/>
      <c r="C1354" s="1073"/>
      <c r="D1354" s="4"/>
      <c r="E1354" s="4"/>
      <c r="F1354" s="4"/>
      <c r="G1354" s="4"/>
      <c r="H1354" s="4"/>
      <c r="I1354" s="26"/>
      <c r="J1354" s="26"/>
      <c r="K1354" s="4"/>
      <c r="L1354" s="4"/>
      <c r="M1354" s="4"/>
      <c r="N1354" s="107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>
      <c r="A1355" s="4"/>
      <c r="B1355" s="1073"/>
      <c r="C1355" s="1073"/>
      <c r="D1355" s="4"/>
      <c r="E1355" s="4"/>
      <c r="F1355" s="4"/>
      <c r="G1355" s="4"/>
      <c r="H1355" s="4"/>
      <c r="I1355" s="26"/>
      <c r="J1355" s="26"/>
      <c r="K1355" s="4"/>
      <c r="L1355" s="4"/>
      <c r="M1355" s="4"/>
      <c r="N1355" s="107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>
      <c r="A1356" s="4"/>
      <c r="B1356" s="1073"/>
      <c r="C1356" s="1073"/>
      <c r="D1356" s="4"/>
      <c r="E1356" s="4"/>
      <c r="F1356" s="4"/>
      <c r="G1356" s="4"/>
      <c r="H1356" s="4"/>
      <c r="I1356" s="26"/>
      <c r="J1356" s="26"/>
      <c r="K1356" s="4"/>
      <c r="L1356" s="4"/>
      <c r="M1356" s="4"/>
      <c r="N1356" s="107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>
      <c r="A1357" s="4"/>
      <c r="B1357" s="1073"/>
      <c r="C1357" s="1073"/>
      <c r="D1357" s="4"/>
      <c r="E1357" s="4"/>
      <c r="F1357" s="4"/>
      <c r="G1357" s="4"/>
      <c r="H1357" s="4"/>
      <c r="I1357" s="26"/>
      <c r="J1357" s="26"/>
      <c r="K1357" s="4"/>
      <c r="L1357" s="4"/>
      <c r="M1357" s="4"/>
      <c r="N1357" s="107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>
      <c r="A1358" s="4"/>
      <c r="B1358" s="1073"/>
      <c r="C1358" s="1073"/>
      <c r="D1358" s="4"/>
      <c r="E1358" s="4"/>
      <c r="F1358" s="4"/>
      <c r="G1358" s="4"/>
      <c r="H1358" s="4"/>
      <c r="I1358" s="26"/>
      <c r="J1358" s="26"/>
      <c r="K1358" s="4"/>
      <c r="L1358" s="4"/>
      <c r="M1358" s="4"/>
      <c r="N1358" s="107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>
      <c r="A1359" s="4"/>
      <c r="B1359" s="1073"/>
      <c r="C1359" s="1073"/>
      <c r="D1359" s="4"/>
      <c r="E1359" s="4"/>
      <c r="F1359" s="4"/>
      <c r="G1359" s="4"/>
      <c r="H1359" s="4"/>
      <c r="I1359" s="26"/>
      <c r="J1359" s="26"/>
      <c r="K1359" s="4"/>
      <c r="L1359" s="4"/>
      <c r="M1359" s="4"/>
      <c r="N1359" s="107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>
      <c r="A1360" s="4"/>
      <c r="B1360" s="1073"/>
      <c r="C1360" s="1073"/>
      <c r="D1360" s="4"/>
      <c r="E1360" s="4"/>
      <c r="F1360" s="4"/>
      <c r="G1360" s="4"/>
      <c r="H1360" s="4"/>
      <c r="I1360" s="26"/>
      <c r="J1360" s="26"/>
      <c r="K1360" s="4"/>
      <c r="L1360" s="4"/>
      <c r="M1360" s="4"/>
      <c r="N1360" s="107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>
      <c r="A1361" s="4"/>
      <c r="B1361" s="1073"/>
      <c r="C1361" s="1073"/>
      <c r="D1361" s="4"/>
      <c r="E1361" s="4"/>
      <c r="F1361" s="4"/>
      <c r="G1361" s="4"/>
      <c r="H1361" s="4"/>
      <c r="I1361" s="26"/>
      <c r="J1361" s="26"/>
      <c r="K1361" s="4"/>
      <c r="L1361" s="4"/>
      <c r="M1361" s="4"/>
      <c r="N1361" s="107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>
      <c r="A1362" s="4"/>
      <c r="B1362" s="1073"/>
      <c r="C1362" s="1073"/>
      <c r="D1362" s="4"/>
      <c r="E1362" s="4"/>
      <c r="F1362" s="4"/>
      <c r="G1362" s="4"/>
      <c r="H1362" s="4"/>
      <c r="I1362" s="26"/>
      <c r="J1362" s="26"/>
      <c r="K1362" s="4"/>
      <c r="L1362" s="4"/>
      <c r="M1362" s="4"/>
      <c r="N1362" s="107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>
      <c r="A1363" s="4"/>
      <c r="B1363" s="1073"/>
      <c r="C1363" s="1073"/>
      <c r="D1363" s="4"/>
      <c r="E1363" s="4"/>
      <c r="F1363" s="4"/>
      <c r="G1363" s="4"/>
      <c r="H1363" s="4"/>
      <c r="I1363" s="26"/>
      <c r="J1363" s="26"/>
      <c r="K1363" s="4"/>
      <c r="L1363" s="4"/>
      <c r="M1363" s="4"/>
      <c r="N1363" s="107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>
      <c r="A1364" s="4"/>
      <c r="B1364" s="1073"/>
      <c r="C1364" s="1073"/>
      <c r="D1364" s="4"/>
      <c r="E1364" s="4"/>
      <c r="F1364" s="4"/>
      <c r="G1364" s="4"/>
      <c r="H1364" s="4"/>
      <c r="I1364" s="26"/>
      <c r="J1364" s="26"/>
      <c r="K1364" s="4"/>
      <c r="L1364" s="4"/>
      <c r="M1364" s="4"/>
      <c r="N1364" s="107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>
      <c r="A1365" s="4"/>
      <c r="B1365" s="1073"/>
      <c r="C1365" s="1073"/>
      <c r="D1365" s="4"/>
      <c r="E1365" s="4"/>
      <c r="F1365" s="4"/>
      <c r="G1365" s="4"/>
      <c r="H1365" s="4"/>
      <c r="I1365" s="26"/>
      <c r="J1365" s="26"/>
      <c r="K1365" s="4"/>
      <c r="L1365" s="4"/>
      <c r="M1365" s="4"/>
      <c r="N1365" s="107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>
      <c r="A1366" s="4"/>
      <c r="B1366" s="1073"/>
      <c r="C1366" s="1073"/>
      <c r="D1366" s="4"/>
      <c r="E1366" s="4"/>
      <c r="F1366" s="4"/>
      <c r="G1366" s="4"/>
      <c r="H1366" s="4"/>
      <c r="I1366" s="26"/>
      <c r="J1366" s="26"/>
      <c r="K1366" s="4"/>
      <c r="L1366" s="4"/>
      <c r="M1366" s="4"/>
      <c r="N1366" s="107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>
      <c r="A1367" s="4"/>
      <c r="B1367" s="1073"/>
      <c r="C1367" s="1073"/>
      <c r="D1367" s="4"/>
      <c r="E1367" s="4"/>
      <c r="F1367" s="4"/>
      <c r="G1367" s="4"/>
      <c r="H1367" s="4"/>
      <c r="I1367" s="26"/>
      <c r="J1367" s="26"/>
      <c r="K1367" s="4"/>
      <c r="L1367" s="4"/>
      <c r="M1367" s="4"/>
      <c r="N1367" s="107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>
      <c r="A1368" s="4"/>
      <c r="B1368" s="1073"/>
      <c r="C1368" s="1073"/>
      <c r="D1368" s="4"/>
      <c r="E1368" s="4"/>
      <c r="F1368" s="4"/>
      <c r="G1368" s="4"/>
      <c r="H1368" s="4"/>
      <c r="I1368" s="26"/>
      <c r="J1368" s="26"/>
      <c r="K1368" s="4"/>
      <c r="L1368" s="4"/>
      <c r="M1368" s="4"/>
      <c r="N1368" s="107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>
      <c r="A1369" s="4"/>
      <c r="B1369" s="1073"/>
      <c r="C1369" s="1073"/>
      <c r="D1369" s="4"/>
      <c r="E1369" s="4"/>
      <c r="F1369" s="4"/>
      <c r="G1369" s="4"/>
      <c r="H1369" s="4"/>
      <c r="I1369" s="26"/>
      <c r="J1369" s="26"/>
      <c r="K1369" s="4"/>
      <c r="L1369" s="4"/>
      <c r="M1369" s="4"/>
      <c r="N1369" s="107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>
      <c r="A1370" s="4"/>
      <c r="B1370" s="1073"/>
      <c r="C1370" s="1073"/>
      <c r="D1370" s="4"/>
      <c r="E1370" s="4"/>
      <c r="F1370" s="4"/>
      <c r="G1370" s="4"/>
      <c r="H1370" s="4"/>
      <c r="I1370" s="26"/>
      <c r="J1370" s="26"/>
      <c r="K1370" s="4"/>
      <c r="L1370" s="4"/>
      <c r="M1370" s="4"/>
      <c r="N1370" s="107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>
      <c r="A1371" s="4"/>
      <c r="B1371" s="1073"/>
      <c r="C1371" s="1073"/>
      <c r="D1371" s="4"/>
      <c r="E1371" s="4"/>
      <c r="F1371" s="4"/>
      <c r="G1371" s="4"/>
      <c r="H1371" s="4"/>
      <c r="I1371" s="26"/>
      <c r="J1371" s="26"/>
      <c r="K1371" s="4"/>
      <c r="L1371" s="4"/>
      <c r="M1371" s="4"/>
      <c r="N1371" s="107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>
      <c r="A1372" s="4"/>
      <c r="B1372" s="1073"/>
      <c r="C1372" s="1073"/>
      <c r="D1372" s="4"/>
      <c r="E1372" s="4"/>
      <c r="F1372" s="4"/>
      <c r="G1372" s="4"/>
      <c r="H1372" s="4"/>
      <c r="I1372" s="26"/>
      <c r="J1372" s="26"/>
      <c r="K1372" s="4"/>
      <c r="L1372" s="4"/>
      <c r="M1372" s="4"/>
      <c r="N1372" s="107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>
      <c r="A1373" s="4"/>
      <c r="B1373" s="1073"/>
      <c r="C1373" s="1073"/>
      <c r="D1373" s="4"/>
      <c r="E1373" s="4"/>
      <c r="F1373" s="4"/>
      <c r="G1373" s="4"/>
      <c r="H1373" s="4"/>
      <c r="I1373" s="26"/>
      <c r="J1373" s="26"/>
      <c r="K1373" s="4"/>
      <c r="L1373" s="4"/>
      <c r="M1373" s="4"/>
      <c r="N1373" s="107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>
      <c r="A1374" s="4"/>
      <c r="B1374" s="1073"/>
      <c r="C1374" s="1073"/>
      <c r="D1374" s="4"/>
      <c r="E1374" s="4"/>
      <c r="F1374" s="4"/>
      <c r="G1374" s="4"/>
      <c r="H1374" s="4"/>
      <c r="I1374" s="26"/>
      <c r="J1374" s="26"/>
      <c r="K1374" s="4"/>
      <c r="L1374" s="4"/>
      <c r="M1374" s="4"/>
      <c r="N1374" s="107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>
      <c r="A1375" s="4"/>
      <c r="B1375" s="1073"/>
      <c r="C1375" s="1073"/>
      <c r="D1375" s="4"/>
      <c r="E1375" s="4"/>
      <c r="F1375" s="4"/>
      <c r="G1375" s="4"/>
      <c r="H1375" s="4"/>
      <c r="I1375" s="26"/>
      <c r="J1375" s="26"/>
      <c r="K1375" s="4"/>
      <c r="L1375" s="4"/>
      <c r="M1375" s="4"/>
      <c r="N1375" s="107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>
      <c r="A1376" s="4"/>
      <c r="B1376" s="1073"/>
      <c r="C1376" s="1073"/>
      <c r="D1376" s="4"/>
      <c r="E1376" s="4"/>
      <c r="F1376" s="4"/>
      <c r="G1376" s="4"/>
      <c r="H1376" s="4"/>
      <c r="I1376" s="26"/>
      <c r="J1376" s="26"/>
      <c r="K1376" s="4"/>
      <c r="L1376" s="4"/>
      <c r="M1376" s="4"/>
      <c r="N1376" s="107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>
      <c r="A1377" s="4"/>
      <c r="B1377" s="1073"/>
      <c r="C1377" s="1073"/>
      <c r="D1377" s="4"/>
      <c r="E1377" s="4"/>
      <c r="F1377" s="4"/>
      <c r="G1377" s="4"/>
      <c r="H1377" s="4"/>
      <c r="I1377" s="26"/>
      <c r="J1377" s="26"/>
      <c r="K1377" s="4"/>
      <c r="L1377" s="4"/>
      <c r="M1377" s="4"/>
      <c r="N1377" s="107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>
      <c r="A1378" s="4"/>
      <c r="B1378" s="1073"/>
      <c r="C1378" s="1073"/>
      <c r="D1378" s="4"/>
      <c r="E1378" s="4"/>
      <c r="F1378" s="4"/>
      <c r="G1378" s="4"/>
      <c r="H1378" s="4"/>
      <c r="I1378" s="26"/>
      <c r="J1378" s="26"/>
      <c r="K1378" s="4"/>
      <c r="L1378" s="4"/>
      <c r="M1378" s="4"/>
      <c r="N1378" s="107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>
      <c r="A1379" s="4"/>
      <c r="B1379" s="1073"/>
      <c r="C1379" s="1073"/>
      <c r="D1379" s="4"/>
      <c r="E1379" s="4"/>
      <c r="F1379" s="4"/>
      <c r="G1379" s="4"/>
      <c r="H1379" s="4"/>
      <c r="I1379" s="26"/>
      <c r="J1379" s="26"/>
      <c r="K1379" s="4"/>
      <c r="L1379" s="4"/>
      <c r="M1379" s="4"/>
      <c r="N1379" s="107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>
      <c r="A1380" s="4"/>
      <c r="B1380" s="1073"/>
      <c r="C1380" s="1073"/>
      <c r="D1380" s="4"/>
      <c r="E1380" s="4"/>
      <c r="F1380" s="4"/>
      <c r="G1380" s="4"/>
      <c r="H1380" s="4"/>
      <c r="I1380" s="26"/>
      <c r="J1380" s="26"/>
      <c r="K1380" s="4"/>
      <c r="L1380" s="4"/>
      <c r="M1380" s="4"/>
      <c r="N1380" s="107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>
      <c r="A1381" s="4"/>
      <c r="B1381" s="1073"/>
      <c r="C1381" s="1073"/>
      <c r="D1381" s="4"/>
      <c r="E1381" s="4"/>
      <c r="F1381" s="4"/>
      <c r="G1381" s="4"/>
      <c r="H1381" s="4"/>
      <c r="I1381" s="26"/>
      <c r="J1381" s="26"/>
      <c r="K1381" s="4"/>
      <c r="L1381" s="4"/>
      <c r="M1381" s="4"/>
      <c r="N1381" s="107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>
      <c r="A1382" s="4"/>
      <c r="B1382" s="1073"/>
      <c r="C1382" s="1073"/>
      <c r="D1382" s="4"/>
      <c r="E1382" s="4"/>
      <c r="F1382" s="4"/>
      <c r="G1382" s="4"/>
      <c r="H1382" s="4"/>
      <c r="I1382" s="26"/>
      <c r="J1382" s="26"/>
      <c r="K1382" s="4"/>
      <c r="L1382" s="4"/>
      <c r="M1382" s="4"/>
      <c r="N1382" s="107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>
      <c r="A1383" s="4"/>
      <c r="B1383" s="1073"/>
      <c r="C1383" s="1073"/>
      <c r="D1383" s="4"/>
      <c r="E1383" s="4"/>
      <c r="F1383" s="4"/>
      <c r="G1383" s="4"/>
      <c r="H1383" s="4"/>
      <c r="I1383" s="26"/>
      <c r="J1383" s="26"/>
      <c r="K1383" s="4"/>
      <c r="L1383" s="4"/>
      <c r="M1383" s="4"/>
      <c r="N1383" s="107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>
      <c r="A1384" s="4"/>
      <c r="B1384" s="1073"/>
      <c r="C1384" s="1073"/>
      <c r="D1384" s="4"/>
      <c r="E1384" s="4"/>
      <c r="F1384" s="4"/>
      <c r="G1384" s="4"/>
      <c r="H1384" s="4"/>
      <c r="I1384" s="26"/>
      <c r="J1384" s="26"/>
      <c r="K1384" s="4"/>
      <c r="L1384" s="4"/>
      <c r="M1384" s="4"/>
      <c r="N1384" s="107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>
      <c r="A1385" s="4"/>
      <c r="B1385" s="1073"/>
      <c r="C1385" s="1073"/>
      <c r="D1385" s="4"/>
      <c r="E1385" s="4"/>
      <c r="F1385" s="4"/>
      <c r="G1385" s="4"/>
      <c r="H1385" s="4"/>
      <c r="I1385" s="26"/>
      <c r="J1385" s="26"/>
      <c r="K1385" s="4"/>
      <c r="L1385" s="4"/>
      <c r="M1385" s="4"/>
      <c r="N1385" s="107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>
      <c r="A1386" s="4"/>
      <c r="B1386" s="1073"/>
      <c r="C1386" s="1073"/>
      <c r="D1386" s="4"/>
      <c r="E1386" s="4"/>
      <c r="F1386" s="4"/>
      <c r="G1386" s="4"/>
      <c r="H1386" s="4"/>
      <c r="I1386" s="26"/>
      <c r="J1386" s="26"/>
      <c r="K1386" s="4"/>
      <c r="L1386" s="4"/>
      <c r="M1386" s="4"/>
      <c r="N1386" s="107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>
      <c r="A1387" s="4"/>
      <c r="B1387" s="1073"/>
      <c r="C1387" s="1073"/>
      <c r="D1387" s="4"/>
      <c r="E1387" s="4"/>
      <c r="F1387" s="4"/>
      <c r="G1387" s="4"/>
      <c r="H1387" s="4"/>
      <c r="I1387" s="26"/>
      <c r="J1387" s="26"/>
      <c r="K1387" s="4"/>
      <c r="L1387" s="4"/>
      <c r="M1387" s="4"/>
      <c r="N1387" s="107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>
      <c r="A1388" s="4"/>
      <c r="B1388" s="1073"/>
      <c r="C1388" s="1073"/>
      <c r="D1388" s="4"/>
      <c r="E1388" s="4"/>
      <c r="F1388" s="4"/>
      <c r="G1388" s="4"/>
      <c r="H1388" s="4"/>
      <c r="I1388" s="26"/>
      <c r="J1388" s="26"/>
      <c r="K1388" s="4"/>
      <c r="L1388" s="4"/>
      <c r="M1388" s="4"/>
      <c r="N1388" s="107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>
      <c r="A1389" s="4"/>
      <c r="B1389" s="1073"/>
      <c r="C1389" s="1073"/>
      <c r="D1389" s="4"/>
      <c r="E1389" s="4"/>
      <c r="F1389" s="4"/>
      <c r="G1389" s="4"/>
      <c r="H1389" s="4"/>
      <c r="I1389" s="26"/>
      <c r="J1389" s="26"/>
      <c r="K1389" s="4"/>
      <c r="L1389" s="4"/>
      <c r="M1389" s="4"/>
      <c r="N1389" s="107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>
      <c r="A1390" s="4"/>
      <c r="B1390" s="1073"/>
      <c r="C1390" s="1073"/>
      <c r="D1390" s="4"/>
      <c r="E1390" s="4"/>
      <c r="F1390" s="4"/>
      <c r="G1390" s="4"/>
      <c r="H1390" s="4"/>
      <c r="I1390" s="26"/>
      <c r="J1390" s="26"/>
      <c r="K1390" s="4"/>
      <c r="L1390" s="4"/>
      <c r="M1390" s="4"/>
      <c r="N1390" s="107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>
      <c r="A1391" s="4"/>
      <c r="B1391" s="1073"/>
      <c r="C1391" s="1073"/>
      <c r="D1391" s="4"/>
      <c r="E1391" s="4"/>
      <c r="F1391" s="4"/>
      <c r="G1391" s="4"/>
      <c r="H1391" s="4"/>
      <c r="I1391" s="26"/>
      <c r="J1391" s="26"/>
      <c r="K1391" s="4"/>
      <c r="L1391" s="4"/>
      <c r="M1391" s="4"/>
      <c r="N1391" s="107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>
      <c r="A1392" s="4"/>
      <c r="B1392" s="1073"/>
      <c r="C1392" s="1073"/>
      <c r="D1392" s="4"/>
      <c r="E1392" s="4"/>
      <c r="F1392" s="4"/>
      <c r="G1392" s="4"/>
      <c r="H1392" s="4"/>
      <c r="I1392" s="26"/>
      <c r="J1392" s="26"/>
      <c r="K1392" s="4"/>
      <c r="L1392" s="4"/>
      <c r="M1392" s="4"/>
      <c r="N1392" s="107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>
      <c r="A1393" s="4"/>
      <c r="B1393" s="1073"/>
      <c r="C1393" s="1073"/>
      <c r="D1393" s="4"/>
      <c r="E1393" s="4"/>
      <c r="F1393" s="4"/>
      <c r="G1393" s="4"/>
      <c r="H1393" s="4"/>
      <c r="I1393" s="26"/>
      <c r="J1393" s="26"/>
      <c r="K1393" s="4"/>
      <c r="L1393" s="4"/>
      <c r="M1393" s="4"/>
      <c r="N1393" s="107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>
      <c r="A1394" s="4"/>
      <c r="B1394" s="1073"/>
      <c r="C1394" s="1073"/>
      <c r="D1394" s="4"/>
      <c r="E1394" s="4"/>
      <c r="F1394" s="4"/>
      <c r="G1394" s="4"/>
      <c r="H1394" s="4"/>
      <c r="I1394" s="26"/>
      <c r="J1394" s="26"/>
      <c r="K1394" s="4"/>
      <c r="L1394" s="4"/>
      <c r="M1394" s="4"/>
      <c r="N1394" s="107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>
      <c r="A1395" s="4"/>
      <c r="B1395" s="1073"/>
      <c r="C1395" s="1073"/>
      <c r="D1395" s="4"/>
      <c r="E1395" s="4"/>
      <c r="F1395" s="4"/>
      <c r="G1395" s="4"/>
      <c r="H1395" s="4"/>
      <c r="I1395" s="26"/>
      <c r="J1395" s="26"/>
      <c r="K1395" s="4"/>
      <c r="L1395" s="4"/>
      <c r="M1395" s="4"/>
      <c r="N1395" s="107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>
      <c r="A1396" s="4"/>
      <c r="B1396" s="1073"/>
      <c r="C1396" s="1073"/>
      <c r="D1396" s="4"/>
      <c r="E1396" s="4"/>
      <c r="F1396" s="4"/>
      <c r="G1396" s="4"/>
      <c r="H1396" s="4"/>
      <c r="I1396" s="26"/>
      <c r="J1396" s="26"/>
      <c r="K1396" s="4"/>
      <c r="L1396" s="4"/>
      <c r="M1396" s="4"/>
      <c r="N1396" s="107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>
      <c r="A1397" s="4"/>
      <c r="B1397" s="1073"/>
      <c r="C1397" s="1073"/>
      <c r="D1397" s="4"/>
      <c r="E1397" s="4"/>
      <c r="F1397" s="4"/>
      <c r="G1397" s="4"/>
      <c r="H1397" s="4"/>
      <c r="I1397" s="26"/>
      <c r="J1397" s="26"/>
      <c r="K1397" s="4"/>
      <c r="L1397" s="4"/>
      <c r="M1397" s="4"/>
      <c r="N1397" s="107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>
      <c r="A1398" s="4"/>
      <c r="B1398" s="1073"/>
      <c r="C1398" s="1073"/>
      <c r="D1398" s="4"/>
      <c r="E1398" s="4"/>
      <c r="F1398" s="4"/>
      <c r="G1398" s="4"/>
      <c r="H1398" s="4"/>
      <c r="I1398" s="26"/>
      <c r="J1398" s="26"/>
      <c r="K1398" s="4"/>
      <c r="L1398" s="4"/>
      <c r="M1398" s="4"/>
      <c r="N1398" s="107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>
      <c r="A1399" s="4"/>
      <c r="B1399" s="1073"/>
      <c r="C1399" s="1073"/>
      <c r="D1399" s="4"/>
      <c r="E1399" s="4"/>
      <c r="F1399" s="4"/>
      <c r="G1399" s="4"/>
      <c r="H1399" s="4"/>
      <c r="I1399" s="26"/>
      <c r="J1399" s="26"/>
      <c r="K1399" s="4"/>
      <c r="L1399" s="4"/>
      <c r="M1399" s="4"/>
      <c r="N1399" s="107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>
      <c r="A1400" s="4"/>
      <c r="B1400" s="1073"/>
      <c r="C1400" s="1073"/>
      <c r="D1400" s="4"/>
      <c r="E1400" s="4"/>
      <c r="F1400" s="4"/>
      <c r="G1400" s="4"/>
      <c r="H1400" s="4"/>
      <c r="I1400" s="26"/>
      <c r="J1400" s="26"/>
      <c r="K1400" s="4"/>
      <c r="L1400" s="4"/>
      <c r="M1400" s="4"/>
      <c r="N1400" s="107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>
      <c r="A1401" s="4"/>
      <c r="B1401" s="1073"/>
      <c r="C1401" s="1073"/>
      <c r="D1401" s="4"/>
      <c r="E1401" s="4"/>
      <c r="F1401" s="4"/>
      <c r="G1401" s="4"/>
      <c r="H1401" s="4"/>
      <c r="I1401" s="26"/>
      <c r="J1401" s="26"/>
      <c r="K1401" s="4"/>
      <c r="L1401" s="4"/>
      <c r="M1401" s="4"/>
      <c r="N1401" s="107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>
      <c r="A1402" s="4"/>
      <c r="B1402" s="1073"/>
      <c r="C1402" s="1073"/>
      <c r="D1402" s="4"/>
      <c r="E1402" s="4"/>
      <c r="F1402" s="4"/>
      <c r="G1402" s="4"/>
      <c r="H1402" s="4"/>
      <c r="I1402" s="26"/>
      <c r="J1402" s="26"/>
      <c r="K1402" s="4"/>
      <c r="L1402" s="4"/>
      <c r="M1402" s="4"/>
      <c r="N1402" s="107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>
      <c r="A1403" s="4"/>
      <c r="B1403" s="1073"/>
      <c r="C1403" s="1073"/>
      <c r="D1403" s="4"/>
      <c r="E1403" s="4"/>
      <c r="F1403" s="4"/>
      <c r="G1403" s="4"/>
      <c r="H1403" s="4"/>
      <c r="I1403" s="26"/>
      <c r="J1403" s="26"/>
      <c r="K1403" s="4"/>
      <c r="L1403" s="4"/>
      <c r="M1403" s="4"/>
      <c r="N1403" s="107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>
      <c r="A1404" s="4"/>
      <c r="B1404" s="1073"/>
      <c r="C1404" s="1073"/>
      <c r="D1404" s="4"/>
      <c r="E1404" s="4"/>
      <c r="F1404" s="4"/>
      <c r="G1404" s="4"/>
      <c r="H1404" s="4"/>
      <c r="I1404" s="26"/>
      <c r="J1404" s="26"/>
      <c r="K1404" s="4"/>
      <c r="L1404" s="4"/>
      <c r="M1404" s="4"/>
      <c r="N1404" s="107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>
      <c r="A1405" s="4"/>
      <c r="B1405" s="1073"/>
      <c r="C1405" s="1073"/>
      <c r="D1405" s="4"/>
      <c r="E1405" s="4"/>
      <c r="F1405" s="4"/>
      <c r="G1405" s="4"/>
      <c r="H1405" s="4"/>
      <c r="I1405" s="26"/>
      <c r="J1405" s="26"/>
      <c r="K1405" s="4"/>
      <c r="L1405" s="4"/>
      <c r="M1405" s="4"/>
      <c r="N1405" s="107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>
      <c r="A1406" s="4"/>
      <c r="B1406" s="1073"/>
      <c r="C1406" s="1073"/>
      <c r="D1406" s="4"/>
      <c r="E1406" s="4"/>
      <c r="F1406" s="4"/>
      <c r="G1406" s="4"/>
      <c r="H1406" s="4"/>
      <c r="I1406" s="26"/>
      <c r="J1406" s="26"/>
      <c r="K1406" s="4"/>
      <c r="L1406" s="4"/>
      <c r="M1406" s="4"/>
      <c r="N1406" s="107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>
      <c r="A1407" s="4"/>
      <c r="B1407" s="1073"/>
      <c r="C1407" s="1073"/>
      <c r="D1407" s="4"/>
      <c r="E1407" s="4"/>
      <c r="F1407" s="4"/>
      <c r="G1407" s="4"/>
      <c r="H1407" s="4"/>
      <c r="I1407" s="26"/>
      <c r="J1407" s="26"/>
      <c r="K1407" s="4"/>
      <c r="L1407" s="4"/>
      <c r="M1407" s="4"/>
      <c r="N1407" s="107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>
      <c r="A1408" s="4"/>
      <c r="B1408" s="1073"/>
      <c r="C1408" s="1073"/>
      <c r="D1408" s="4"/>
      <c r="E1408" s="4"/>
      <c r="F1408" s="4"/>
      <c r="G1408" s="4"/>
      <c r="H1408" s="4"/>
      <c r="I1408" s="26"/>
      <c r="J1408" s="26"/>
      <c r="K1408" s="4"/>
      <c r="L1408" s="4"/>
      <c r="M1408" s="4"/>
      <c r="N1408" s="107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>
      <c r="A1409" s="4"/>
      <c r="B1409" s="1073"/>
      <c r="C1409" s="1073"/>
      <c r="D1409" s="4"/>
      <c r="E1409" s="4"/>
      <c r="F1409" s="4"/>
      <c r="G1409" s="4"/>
      <c r="H1409" s="4"/>
      <c r="I1409" s="26"/>
      <c r="J1409" s="26"/>
      <c r="K1409" s="4"/>
      <c r="L1409" s="4"/>
      <c r="M1409" s="4"/>
      <c r="N1409" s="107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>
      <c r="A1410" s="4"/>
      <c r="B1410" s="1073"/>
      <c r="C1410" s="1073"/>
      <c r="D1410" s="4"/>
      <c r="E1410" s="4"/>
      <c r="F1410" s="4"/>
      <c r="G1410" s="4"/>
      <c r="H1410" s="4"/>
      <c r="I1410" s="26"/>
      <c r="J1410" s="26"/>
      <c r="K1410" s="4"/>
      <c r="L1410" s="4"/>
      <c r="M1410" s="4"/>
      <c r="N1410" s="107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>
      <c r="A1411" s="4"/>
      <c r="B1411" s="1073"/>
      <c r="C1411" s="1073"/>
      <c r="D1411" s="4"/>
      <c r="E1411" s="4"/>
      <c r="F1411" s="4"/>
      <c r="G1411" s="4"/>
      <c r="H1411" s="4"/>
      <c r="I1411" s="26"/>
      <c r="J1411" s="26"/>
      <c r="K1411" s="4"/>
      <c r="L1411" s="4"/>
      <c r="M1411" s="4"/>
      <c r="N1411" s="107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>
      <c r="A1412" s="4"/>
      <c r="B1412" s="1073"/>
      <c r="C1412" s="1073"/>
      <c r="D1412" s="4"/>
      <c r="E1412" s="4"/>
      <c r="F1412" s="4"/>
      <c r="G1412" s="4"/>
      <c r="H1412" s="4"/>
      <c r="I1412" s="26"/>
      <c r="J1412" s="26"/>
      <c r="K1412" s="4"/>
      <c r="L1412" s="4"/>
      <c r="M1412" s="4"/>
      <c r="N1412" s="107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>
      <c r="A1413" s="4"/>
      <c r="B1413" s="1073"/>
      <c r="C1413" s="1073"/>
      <c r="D1413" s="4"/>
      <c r="E1413" s="4"/>
      <c r="F1413" s="4"/>
      <c r="G1413" s="4"/>
      <c r="H1413" s="4"/>
      <c r="I1413" s="26"/>
      <c r="J1413" s="26"/>
      <c r="K1413" s="4"/>
      <c r="L1413" s="4"/>
      <c r="M1413" s="4"/>
      <c r="N1413" s="107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>
      <c r="A1414" s="4"/>
      <c r="B1414" s="1073"/>
      <c r="C1414" s="1073"/>
      <c r="D1414" s="4"/>
      <c r="E1414" s="4"/>
      <c r="F1414" s="4"/>
      <c r="G1414" s="4"/>
      <c r="H1414" s="4"/>
      <c r="I1414" s="26"/>
      <c r="J1414" s="26"/>
      <c r="K1414" s="4"/>
      <c r="L1414" s="4"/>
      <c r="M1414" s="4"/>
      <c r="N1414" s="107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>
      <c r="A1415" s="4"/>
      <c r="B1415" s="1073"/>
      <c r="C1415" s="1073"/>
      <c r="D1415" s="4"/>
      <c r="E1415" s="4"/>
      <c r="F1415" s="4"/>
      <c r="G1415" s="4"/>
      <c r="H1415" s="4"/>
      <c r="I1415" s="26"/>
      <c r="J1415" s="26"/>
      <c r="K1415" s="4"/>
      <c r="L1415" s="4"/>
      <c r="M1415" s="4"/>
      <c r="N1415" s="107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>
      <c r="A1416" s="4"/>
      <c r="B1416" s="1073"/>
      <c r="C1416" s="1073"/>
      <c r="D1416" s="4"/>
      <c r="E1416" s="4"/>
      <c r="F1416" s="4"/>
      <c r="G1416" s="4"/>
      <c r="H1416" s="4"/>
      <c r="I1416" s="26"/>
      <c r="J1416" s="26"/>
      <c r="K1416" s="4"/>
      <c r="L1416" s="4"/>
      <c r="M1416" s="4"/>
      <c r="N1416" s="107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>
      <c r="A1417" s="4"/>
      <c r="B1417" s="1073"/>
      <c r="C1417" s="1073"/>
      <c r="D1417" s="4"/>
      <c r="E1417" s="4"/>
      <c r="F1417" s="4"/>
      <c r="G1417" s="4"/>
      <c r="H1417" s="4"/>
      <c r="I1417" s="26"/>
      <c r="J1417" s="26"/>
      <c r="K1417" s="4"/>
      <c r="L1417" s="4"/>
      <c r="M1417" s="4"/>
      <c r="N1417" s="107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>
      <c r="A1418" s="4"/>
      <c r="B1418" s="1073"/>
      <c r="C1418" s="1073"/>
      <c r="D1418" s="4"/>
      <c r="E1418" s="4"/>
      <c r="F1418" s="4"/>
      <c r="G1418" s="4"/>
      <c r="H1418" s="4"/>
      <c r="I1418" s="26"/>
      <c r="J1418" s="26"/>
      <c r="K1418" s="4"/>
      <c r="L1418" s="4"/>
      <c r="M1418" s="4"/>
      <c r="N1418" s="107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>
      <c r="A1419" s="4"/>
      <c r="B1419" s="1073"/>
      <c r="C1419" s="1073"/>
      <c r="D1419" s="4"/>
      <c r="E1419" s="4"/>
      <c r="F1419" s="4"/>
      <c r="G1419" s="4"/>
      <c r="H1419" s="4"/>
      <c r="I1419" s="26"/>
      <c r="J1419" s="26"/>
      <c r="K1419" s="4"/>
      <c r="L1419" s="4"/>
      <c r="M1419" s="4"/>
      <c r="N1419" s="107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>
      <c r="A1420" s="4"/>
      <c r="B1420" s="1073"/>
      <c r="C1420" s="1073"/>
      <c r="D1420" s="4"/>
      <c r="E1420" s="4"/>
      <c r="F1420" s="4"/>
      <c r="G1420" s="4"/>
      <c r="H1420" s="4"/>
      <c r="I1420" s="26"/>
      <c r="J1420" s="26"/>
      <c r="K1420" s="4"/>
      <c r="L1420" s="4"/>
      <c r="M1420" s="4"/>
      <c r="N1420" s="107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>
      <c r="A1421" s="4"/>
      <c r="B1421" s="1073"/>
      <c r="C1421" s="1073"/>
      <c r="D1421" s="4"/>
      <c r="E1421" s="4"/>
      <c r="F1421" s="4"/>
      <c r="G1421" s="4"/>
      <c r="H1421" s="4"/>
      <c r="I1421" s="26"/>
      <c r="J1421" s="26"/>
      <c r="K1421" s="4"/>
      <c r="L1421" s="4"/>
      <c r="M1421" s="4"/>
      <c r="N1421" s="107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>
      <c r="A1422" s="4"/>
      <c r="B1422" s="1073"/>
      <c r="C1422" s="1073"/>
      <c r="D1422" s="4"/>
      <c r="E1422" s="4"/>
      <c r="F1422" s="4"/>
      <c r="G1422" s="4"/>
      <c r="H1422" s="4"/>
      <c r="I1422" s="26"/>
      <c r="J1422" s="26"/>
      <c r="K1422" s="4"/>
      <c r="L1422" s="4"/>
      <c r="M1422" s="4"/>
      <c r="N1422" s="107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>
      <c r="A1423" s="4"/>
      <c r="B1423" s="1073"/>
      <c r="C1423" s="1073"/>
      <c r="D1423" s="4"/>
      <c r="E1423" s="4"/>
      <c r="F1423" s="4"/>
      <c r="G1423" s="4"/>
      <c r="H1423" s="4"/>
      <c r="I1423" s="26"/>
      <c r="J1423" s="26"/>
      <c r="K1423" s="4"/>
      <c r="L1423" s="4"/>
      <c r="M1423" s="4"/>
      <c r="N1423" s="107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>
      <c r="A1424" s="4"/>
      <c r="B1424" s="1073"/>
      <c r="C1424" s="1073"/>
      <c r="D1424" s="4"/>
      <c r="E1424" s="4"/>
      <c r="F1424" s="4"/>
      <c r="G1424" s="4"/>
      <c r="H1424" s="4"/>
      <c r="I1424" s="26"/>
      <c r="J1424" s="26"/>
      <c r="K1424" s="4"/>
      <c r="L1424" s="4"/>
      <c r="M1424" s="4"/>
      <c r="N1424" s="107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>
      <c r="A1425" s="4"/>
      <c r="B1425" s="1073"/>
      <c r="C1425" s="1073"/>
      <c r="D1425" s="4"/>
      <c r="E1425" s="4"/>
      <c r="F1425" s="4"/>
      <c r="G1425" s="4"/>
      <c r="H1425" s="4"/>
      <c r="I1425" s="26"/>
      <c r="J1425" s="26"/>
      <c r="K1425" s="4"/>
      <c r="L1425" s="4"/>
      <c r="M1425" s="4"/>
      <c r="N1425" s="107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>
      <c r="A1426" s="4"/>
      <c r="B1426" s="1073"/>
      <c r="C1426" s="1073"/>
      <c r="D1426" s="4"/>
      <c r="E1426" s="4"/>
      <c r="F1426" s="4"/>
      <c r="G1426" s="4"/>
      <c r="H1426" s="4"/>
      <c r="I1426" s="26"/>
      <c r="J1426" s="26"/>
      <c r="K1426" s="4"/>
      <c r="L1426" s="4"/>
      <c r="M1426" s="4"/>
      <c r="N1426" s="107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>
      <c r="A1427" s="4"/>
      <c r="B1427" s="1073"/>
      <c r="C1427" s="1073"/>
      <c r="D1427" s="4"/>
      <c r="E1427" s="4"/>
      <c r="F1427" s="4"/>
      <c r="G1427" s="4"/>
      <c r="H1427" s="4"/>
      <c r="I1427" s="26"/>
      <c r="J1427" s="26"/>
      <c r="K1427" s="4"/>
      <c r="L1427" s="4"/>
      <c r="M1427" s="4"/>
      <c r="N1427" s="107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>
      <c r="A1428" s="4"/>
      <c r="B1428" s="1073"/>
      <c r="C1428" s="1073"/>
      <c r="D1428" s="4"/>
      <c r="E1428" s="4"/>
      <c r="F1428" s="4"/>
      <c r="G1428" s="4"/>
      <c r="H1428" s="4"/>
      <c r="I1428" s="26"/>
      <c r="J1428" s="26"/>
      <c r="K1428" s="4"/>
      <c r="L1428" s="4"/>
      <c r="M1428" s="4"/>
      <c r="N1428" s="107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>
      <c r="A1429" s="4"/>
      <c r="B1429" s="1073"/>
      <c r="C1429" s="1073"/>
      <c r="D1429" s="4"/>
      <c r="E1429" s="4"/>
      <c r="F1429" s="4"/>
      <c r="G1429" s="4"/>
      <c r="H1429" s="4"/>
      <c r="I1429" s="26"/>
      <c r="J1429" s="26"/>
      <c r="K1429" s="4"/>
      <c r="L1429" s="4"/>
      <c r="M1429" s="4"/>
      <c r="N1429" s="107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>
      <c r="A1430" s="4"/>
      <c r="B1430" s="1073"/>
      <c r="C1430" s="1073"/>
      <c r="D1430" s="4"/>
      <c r="E1430" s="4"/>
      <c r="F1430" s="4"/>
      <c r="G1430" s="4"/>
      <c r="H1430" s="4"/>
      <c r="I1430" s="26"/>
      <c r="J1430" s="26"/>
      <c r="K1430" s="4"/>
      <c r="L1430" s="4"/>
      <c r="M1430" s="4"/>
      <c r="N1430" s="107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>
      <c r="A1431" s="4"/>
      <c r="B1431" s="1073"/>
      <c r="C1431" s="1073"/>
      <c r="D1431" s="4"/>
      <c r="E1431" s="4"/>
      <c r="F1431" s="4"/>
      <c r="G1431" s="4"/>
      <c r="H1431" s="4"/>
      <c r="I1431" s="26"/>
      <c r="J1431" s="26"/>
      <c r="K1431" s="4"/>
      <c r="L1431" s="4"/>
      <c r="M1431" s="4"/>
      <c r="N1431" s="107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>
      <c r="A1432" s="4"/>
      <c r="B1432" s="1073"/>
      <c r="C1432" s="1073"/>
      <c r="D1432" s="4"/>
      <c r="E1432" s="4"/>
      <c r="F1432" s="4"/>
      <c r="G1432" s="4"/>
      <c r="H1432" s="4"/>
      <c r="I1432" s="26"/>
      <c r="J1432" s="26"/>
      <c r="K1432" s="4"/>
      <c r="L1432" s="4"/>
      <c r="M1432" s="4"/>
      <c r="N1432" s="107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>
      <c r="A1433" s="4"/>
      <c r="B1433" s="1073"/>
      <c r="C1433" s="1073"/>
      <c r="D1433" s="4"/>
      <c r="E1433" s="4"/>
      <c r="F1433" s="4"/>
      <c r="G1433" s="4"/>
      <c r="H1433" s="4"/>
      <c r="I1433" s="26"/>
      <c r="J1433" s="26"/>
      <c r="K1433" s="4"/>
      <c r="L1433" s="4"/>
      <c r="M1433" s="4"/>
      <c r="N1433" s="107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>
      <c r="A1434" s="4"/>
      <c r="B1434" s="1073"/>
      <c r="C1434" s="1073"/>
      <c r="D1434" s="4"/>
      <c r="E1434" s="4"/>
      <c r="F1434" s="4"/>
      <c r="G1434" s="4"/>
      <c r="H1434" s="4"/>
      <c r="I1434" s="26"/>
      <c r="J1434" s="26"/>
      <c r="K1434" s="4"/>
      <c r="L1434" s="4"/>
      <c r="M1434" s="4"/>
      <c r="N1434" s="107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>
      <c r="A1435" s="4"/>
      <c r="B1435" s="1073"/>
      <c r="C1435" s="1073"/>
      <c r="D1435" s="4"/>
      <c r="E1435" s="4"/>
      <c r="F1435" s="4"/>
      <c r="G1435" s="4"/>
      <c r="H1435" s="4"/>
      <c r="I1435" s="26"/>
      <c r="J1435" s="26"/>
      <c r="K1435" s="4"/>
      <c r="L1435" s="4"/>
      <c r="M1435" s="4"/>
      <c r="N1435" s="107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>
      <c r="A1436" s="4"/>
      <c r="B1436" s="1073"/>
      <c r="C1436" s="1073"/>
      <c r="D1436" s="4"/>
      <c r="E1436" s="4"/>
      <c r="F1436" s="4"/>
      <c r="G1436" s="4"/>
      <c r="H1436" s="4"/>
      <c r="I1436" s="26"/>
      <c r="J1436" s="26"/>
      <c r="K1436" s="4"/>
      <c r="L1436" s="4"/>
      <c r="M1436" s="4"/>
      <c r="N1436" s="107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>
      <c r="A1437" s="4"/>
      <c r="B1437" s="1073"/>
      <c r="C1437" s="1073"/>
      <c r="D1437" s="4"/>
      <c r="E1437" s="4"/>
      <c r="F1437" s="4"/>
      <c r="G1437" s="4"/>
      <c r="H1437" s="4"/>
      <c r="I1437" s="26"/>
      <c r="J1437" s="26"/>
      <c r="K1437" s="4"/>
      <c r="L1437" s="4"/>
      <c r="M1437" s="4"/>
      <c r="N1437" s="107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>
      <c r="A1438" s="4"/>
      <c r="B1438" s="1073"/>
      <c r="C1438" s="1073"/>
      <c r="D1438" s="4"/>
      <c r="E1438" s="4"/>
      <c r="F1438" s="4"/>
      <c r="G1438" s="4"/>
      <c r="H1438" s="4"/>
      <c r="I1438" s="26"/>
      <c r="J1438" s="26"/>
      <c r="K1438" s="4"/>
      <c r="L1438" s="4"/>
      <c r="M1438" s="4"/>
      <c r="N1438" s="107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>
      <c r="A1439" s="4"/>
      <c r="B1439" s="1073"/>
      <c r="C1439" s="1073"/>
      <c r="D1439" s="4"/>
      <c r="E1439" s="4"/>
      <c r="F1439" s="4"/>
      <c r="G1439" s="4"/>
      <c r="H1439" s="4"/>
      <c r="I1439" s="26"/>
      <c r="J1439" s="26"/>
      <c r="K1439" s="4"/>
      <c r="L1439" s="4"/>
      <c r="M1439" s="4"/>
      <c r="N1439" s="107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>
      <c r="A1440" s="4"/>
      <c r="B1440" s="1073"/>
      <c r="C1440" s="1073"/>
      <c r="D1440" s="4"/>
      <c r="E1440" s="4"/>
      <c r="F1440" s="4"/>
      <c r="G1440" s="4"/>
      <c r="H1440" s="4"/>
      <c r="I1440" s="26"/>
      <c r="J1440" s="26"/>
      <c r="K1440" s="4"/>
      <c r="L1440" s="4"/>
      <c r="M1440" s="4"/>
      <c r="N1440" s="107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>
      <c r="A1441" s="4"/>
      <c r="B1441" s="1073"/>
      <c r="C1441" s="1073"/>
      <c r="D1441" s="4"/>
      <c r="E1441" s="4"/>
      <c r="F1441" s="4"/>
      <c r="G1441" s="4"/>
      <c r="H1441" s="4"/>
      <c r="I1441" s="26"/>
      <c r="J1441" s="26"/>
      <c r="K1441" s="4"/>
      <c r="L1441" s="4"/>
      <c r="M1441" s="4"/>
      <c r="N1441" s="107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>
      <c r="A1442" s="4"/>
      <c r="B1442" s="1073"/>
      <c r="C1442" s="1073"/>
      <c r="D1442" s="4"/>
      <c r="E1442" s="4"/>
      <c r="F1442" s="4"/>
      <c r="G1442" s="4"/>
      <c r="H1442" s="4"/>
      <c r="I1442" s="26"/>
      <c r="J1442" s="26"/>
      <c r="K1442" s="4"/>
      <c r="L1442" s="4"/>
      <c r="M1442" s="4"/>
      <c r="N1442" s="107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>
      <c r="A1443" s="4"/>
      <c r="B1443" s="1073"/>
      <c r="C1443" s="1073"/>
      <c r="D1443" s="4"/>
      <c r="E1443" s="4"/>
      <c r="F1443" s="4"/>
      <c r="G1443" s="4"/>
      <c r="H1443" s="4"/>
      <c r="I1443" s="26"/>
      <c r="J1443" s="26"/>
      <c r="K1443" s="4"/>
      <c r="L1443" s="4"/>
      <c r="M1443" s="4"/>
      <c r="N1443" s="107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>
      <c r="A1444" s="4"/>
      <c r="B1444" s="1073"/>
      <c r="C1444" s="1073"/>
      <c r="D1444" s="4"/>
      <c r="E1444" s="4"/>
      <c r="F1444" s="4"/>
      <c r="G1444" s="4"/>
      <c r="H1444" s="4"/>
      <c r="I1444" s="26"/>
      <c r="J1444" s="26"/>
      <c r="K1444" s="4"/>
      <c r="L1444" s="4"/>
      <c r="M1444" s="4"/>
      <c r="N1444" s="107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>
      <c r="A1445" s="4"/>
      <c r="B1445" s="1073"/>
      <c r="C1445" s="1073"/>
      <c r="D1445" s="4"/>
      <c r="E1445" s="4"/>
      <c r="F1445" s="4"/>
      <c r="G1445" s="4"/>
      <c r="H1445" s="4"/>
      <c r="I1445" s="26"/>
      <c r="J1445" s="26"/>
      <c r="K1445" s="4"/>
      <c r="L1445" s="4"/>
      <c r="M1445" s="4"/>
      <c r="N1445" s="107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>
      <c r="A1446" s="4"/>
      <c r="B1446" s="1073"/>
      <c r="C1446" s="1073"/>
      <c r="D1446" s="4"/>
      <c r="E1446" s="4"/>
      <c r="F1446" s="4"/>
      <c r="G1446" s="4"/>
      <c r="H1446" s="4"/>
      <c r="I1446" s="26"/>
      <c r="J1446" s="26"/>
      <c r="K1446" s="4"/>
      <c r="L1446" s="4"/>
      <c r="M1446" s="4"/>
      <c r="N1446" s="107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>
      <c r="A1447" s="4"/>
      <c r="B1447" s="1073"/>
      <c r="C1447" s="1073"/>
      <c r="D1447" s="4"/>
      <c r="E1447" s="4"/>
      <c r="F1447" s="4"/>
      <c r="G1447" s="4"/>
      <c r="H1447" s="4"/>
      <c r="I1447" s="26"/>
      <c r="J1447" s="26"/>
      <c r="K1447" s="4"/>
      <c r="L1447" s="4"/>
      <c r="M1447" s="4"/>
      <c r="N1447" s="107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>
      <c r="A1448" s="4"/>
      <c r="B1448" s="1073"/>
      <c r="C1448" s="1073"/>
      <c r="D1448" s="4"/>
      <c r="E1448" s="4"/>
      <c r="F1448" s="4"/>
      <c r="G1448" s="4"/>
      <c r="H1448" s="4"/>
      <c r="I1448" s="26"/>
      <c r="J1448" s="26"/>
      <c r="K1448" s="4"/>
      <c r="L1448" s="4"/>
      <c r="M1448" s="4"/>
      <c r="N1448" s="107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>
      <c r="A1449" s="4"/>
      <c r="B1449" s="1073"/>
      <c r="C1449" s="1073"/>
      <c r="D1449" s="4"/>
      <c r="E1449" s="4"/>
      <c r="F1449" s="4"/>
      <c r="G1449" s="4"/>
      <c r="H1449" s="4"/>
      <c r="I1449" s="26"/>
      <c r="J1449" s="26"/>
      <c r="K1449" s="4"/>
      <c r="L1449" s="4"/>
      <c r="M1449" s="4"/>
      <c r="N1449" s="107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>
      <c r="A1450" s="4"/>
      <c r="B1450" s="1073"/>
      <c r="C1450" s="1073"/>
      <c r="D1450" s="4"/>
      <c r="E1450" s="4"/>
      <c r="F1450" s="4"/>
      <c r="G1450" s="4"/>
      <c r="H1450" s="4"/>
      <c r="I1450" s="26"/>
      <c r="J1450" s="26"/>
      <c r="K1450" s="4"/>
      <c r="L1450" s="4"/>
      <c r="M1450" s="4"/>
      <c r="N1450" s="107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>
      <c r="A1451" s="4"/>
      <c r="B1451" s="1073"/>
      <c r="C1451" s="1073"/>
      <c r="D1451" s="4"/>
      <c r="E1451" s="4"/>
      <c r="F1451" s="4"/>
      <c r="G1451" s="4"/>
      <c r="H1451" s="4"/>
      <c r="I1451" s="26"/>
      <c r="J1451" s="26"/>
      <c r="K1451" s="4"/>
      <c r="L1451" s="4"/>
      <c r="M1451" s="4"/>
      <c r="N1451" s="107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>
      <c r="A1452" s="4"/>
      <c r="B1452" s="1073"/>
      <c r="C1452" s="1073"/>
      <c r="D1452" s="4"/>
      <c r="E1452" s="4"/>
      <c r="F1452" s="4"/>
      <c r="G1452" s="4"/>
      <c r="H1452" s="4"/>
      <c r="I1452" s="26"/>
      <c r="J1452" s="26"/>
      <c r="K1452" s="4"/>
      <c r="L1452" s="4"/>
      <c r="M1452" s="4"/>
      <c r="N1452" s="107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>
      <c r="A1453" s="4"/>
      <c r="B1453" s="1073"/>
      <c r="C1453" s="1073"/>
      <c r="D1453" s="4"/>
      <c r="E1453" s="4"/>
      <c r="F1453" s="4"/>
      <c r="G1453" s="4"/>
      <c r="H1453" s="4"/>
      <c r="I1453" s="26"/>
      <c r="J1453" s="26"/>
      <c r="K1453" s="4"/>
      <c r="L1453" s="4"/>
      <c r="M1453" s="4"/>
      <c r="N1453" s="107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>
      <c r="A1454" s="4"/>
      <c r="B1454" s="1073"/>
      <c r="C1454" s="1073"/>
      <c r="D1454" s="4"/>
      <c r="E1454" s="4"/>
      <c r="F1454" s="4"/>
      <c r="G1454" s="4"/>
      <c r="H1454" s="4"/>
      <c r="I1454" s="26"/>
      <c r="J1454" s="26"/>
      <c r="K1454" s="4"/>
      <c r="L1454" s="4"/>
      <c r="M1454" s="4"/>
      <c r="N1454" s="107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>
      <c r="A1455" s="4"/>
      <c r="B1455" s="1073"/>
      <c r="C1455" s="1073"/>
      <c r="D1455" s="4"/>
      <c r="E1455" s="4"/>
      <c r="F1455" s="4"/>
      <c r="G1455" s="4"/>
      <c r="H1455" s="4"/>
      <c r="I1455" s="26"/>
      <c r="J1455" s="26"/>
      <c r="K1455" s="4"/>
      <c r="L1455" s="4"/>
      <c r="M1455" s="4"/>
      <c r="N1455" s="107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>
      <c r="A1456" s="4"/>
      <c r="B1456" s="1073"/>
      <c r="C1456" s="1073"/>
      <c r="D1456" s="4"/>
      <c r="E1456" s="4"/>
      <c r="F1456" s="4"/>
      <c r="G1456" s="4"/>
      <c r="H1456" s="4"/>
      <c r="I1456" s="26"/>
      <c r="J1456" s="26"/>
      <c r="K1456" s="4"/>
      <c r="L1456" s="4"/>
      <c r="M1456" s="4"/>
      <c r="N1456" s="107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>
      <c r="A1457" s="4"/>
      <c r="B1457" s="1073"/>
      <c r="C1457" s="1073"/>
      <c r="D1457" s="4"/>
      <c r="E1457" s="4"/>
      <c r="F1457" s="4"/>
      <c r="G1457" s="4"/>
      <c r="H1457" s="4"/>
      <c r="I1457" s="26"/>
      <c r="J1457" s="26"/>
      <c r="K1457" s="4"/>
      <c r="L1457" s="4"/>
      <c r="M1457" s="4"/>
      <c r="N1457" s="107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>
      <c r="A1458" s="4"/>
      <c r="B1458" s="1073"/>
      <c r="C1458" s="1073"/>
      <c r="D1458" s="4"/>
      <c r="E1458" s="4"/>
      <c r="F1458" s="4"/>
      <c r="G1458" s="4"/>
      <c r="H1458" s="4"/>
      <c r="I1458" s="26"/>
      <c r="J1458" s="26"/>
      <c r="K1458" s="4"/>
      <c r="L1458" s="4"/>
      <c r="M1458" s="4"/>
      <c r="N1458" s="107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>
      <c r="A1459" s="4"/>
      <c r="B1459" s="1073"/>
      <c r="C1459" s="1073"/>
      <c r="D1459" s="4"/>
      <c r="E1459" s="4"/>
      <c r="F1459" s="4"/>
      <c r="G1459" s="4"/>
      <c r="H1459" s="4"/>
      <c r="I1459" s="26"/>
      <c r="J1459" s="26"/>
      <c r="K1459" s="4"/>
      <c r="L1459" s="4"/>
      <c r="M1459" s="4"/>
      <c r="N1459" s="107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>
      <c r="A1460" s="4"/>
      <c r="B1460" s="1073"/>
      <c r="C1460" s="1073"/>
      <c r="D1460" s="4"/>
      <c r="E1460" s="4"/>
      <c r="F1460" s="4"/>
      <c r="G1460" s="4"/>
      <c r="H1460" s="4"/>
      <c r="I1460" s="26"/>
      <c r="J1460" s="26"/>
      <c r="K1460" s="4"/>
      <c r="L1460" s="4"/>
      <c r="M1460" s="4"/>
      <c r="N1460" s="107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>
      <c r="A1461" s="4"/>
      <c r="B1461" s="1073"/>
      <c r="C1461" s="1073"/>
      <c r="D1461" s="4"/>
      <c r="E1461" s="4"/>
      <c r="F1461" s="4"/>
      <c r="G1461" s="4"/>
      <c r="H1461" s="4"/>
      <c r="I1461" s="26"/>
      <c r="J1461" s="26"/>
      <c r="K1461" s="4"/>
      <c r="L1461" s="4"/>
      <c r="M1461" s="4"/>
      <c r="N1461" s="107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>
      <c r="A1462" s="4"/>
      <c r="B1462" s="1073"/>
      <c r="C1462" s="1073"/>
      <c r="D1462" s="4"/>
      <c r="E1462" s="4"/>
      <c r="F1462" s="4"/>
      <c r="G1462" s="4"/>
      <c r="H1462" s="4"/>
      <c r="I1462" s="26"/>
      <c r="J1462" s="26"/>
      <c r="K1462" s="4"/>
      <c r="L1462" s="4"/>
      <c r="M1462" s="4"/>
      <c r="N1462" s="107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>
      <c r="A1463" s="4"/>
      <c r="B1463" s="1073"/>
      <c r="C1463" s="1073"/>
      <c r="D1463" s="4"/>
      <c r="E1463" s="4"/>
      <c r="F1463" s="4"/>
      <c r="G1463" s="4"/>
      <c r="H1463" s="4"/>
      <c r="I1463" s="26"/>
      <c r="J1463" s="26"/>
      <c r="K1463" s="4"/>
      <c r="L1463" s="4"/>
      <c r="M1463" s="4"/>
      <c r="N1463" s="107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>
      <c r="A1464" s="4"/>
      <c r="B1464" s="1073"/>
      <c r="C1464" s="1073"/>
      <c r="D1464" s="4"/>
      <c r="E1464" s="4"/>
      <c r="F1464" s="4"/>
      <c r="G1464" s="4"/>
      <c r="H1464" s="4"/>
      <c r="I1464" s="26"/>
      <c r="J1464" s="26"/>
      <c r="K1464" s="4"/>
      <c r="L1464" s="4"/>
      <c r="M1464" s="4"/>
      <c r="N1464" s="107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>
      <c r="A1465" s="4"/>
      <c r="B1465" s="1073"/>
      <c r="C1465" s="1073"/>
      <c r="D1465" s="4"/>
      <c r="E1465" s="4"/>
      <c r="F1465" s="4"/>
      <c r="G1465" s="4"/>
      <c r="H1465" s="4"/>
      <c r="I1465" s="26"/>
      <c r="J1465" s="26"/>
      <c r="K1465" s="4"/>
      <c r="L1465" s="4"/>
      <c r="M1465" s="4"/>
      <c r="N1465" s="107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>
      <c r="A1466" s="4"/>
      <c r="B1466" s="1073"/>
      <c r="C1466" s="1073"/>
      <c r="D1466" s="4"/>
      <c r="E1466" s="4"/>
      <c r="F1466" s="4"/>
      <c r="G1466" s="4"/>
      <c r="H1466" s="4"/>
      <c r="I1466" s="26"/>
      <c r="J1466" s="26"/>
      <c r="K1466" s="4"/>
      <c r="L1466" s="4"/>
      <c r="M1466" s="4"/>
      <c r="N1466" s="107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>
      <c r="A1467" s="4"/>
      <c r="B1467" s="1073"/>
      <c r="C1467" s="1073"/>
      <c r="D1467" s="4"/>
      <c r="E1467" s="4"/>
      <c r="F1467" s="4"/>
      <c r="G1467" s="4"/>
      <c r="H1467" s="4"/>
      <c r="I1467" s="26"/>
      <c r="J1467" s="26"/>
      <c r="K1467" s="4"/>
      <c r="L1467" s="4"/>
      <c r="M1467" s="4"/>
      <c r="N1467" s="107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>
      <c r="A1468" s="4"/>
      <c r="B1468" s="1073"/>
      <c r="C1468" s="1073"/>
      <c r="D1468" s="4"/>
      <c r="E1468" s="4"/>
      <c r="F1468" s="4"/>
      <c r="G1468" s="4"/>
      <c r="H1468" s="4"/>
      <c r="I1468" s="26"/>
      <c r="J1468" s="26"/>
      <c r="K1468" s="4"/>
      <c r="L1468" s="4"/>
      <c r="M1468" s="4"/>
      <c r="N1468" s="107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>
      <c r="A1469" s="4"/>
      <c r="B1469" s="1073"/>
      <c r="C1469" s="1073"/>
      <c r="D1469" s="4"/>
      <c r="E1469" s="4"/>
      <c r="F1469" s="4"/>
      <c r="G1469" s="4"/>
      <c r="H1469" s="4"/>
      <c r="I1469" s="26"/>
      <c r="J1469" s="26"/>
      <c r="K1469" s="4"/>
      <c r="L1469" s="4"/>
      <c r="M1469" s="4"/>
      <c r="N1469" s="107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>
      <c r="A1470" s="4"/>
      <c r="B1470" s="1073"/>
      <c r="C1470" s="1073"/>
      <c r="D1470" s="4"/>
      <c r="E1470" s="4"/>
      <c r="F1470" s="4"/>
      <c r="G1470" s="4"/>
      <c r="H1470" s="4"/>
      <c r="I1470" s="26"/>
      <c r="J1470" s="26"/>
      <c r="K1470" s="4"/>
      <c r="L1470" s="4"/>
      <c r="M1470" s="4"/>
      <c r="N1470" s="107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>
      <c r="A1471" s="4"/>
      <c r="B1471" s="1073"/>
      <c r="C1471" s="1073"/>
      <c r="D1471" s="4"/>
      <c r="E1471" s="4"/>
      <c r="F1471" s="4"/>
      <c r="G1471" s="4"/>
      <c r="H1471" s="4"/>
      <c r="I1471" s="26"/>
      <c r="J1471" s="26"/>
      <c r="K1471" s="4"/>
      <c r="L1471" s="4"/>
      <c r="M1471" s="4"/>
      <c r="N1471" s="107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>
      <c r="A1472" s="4"/>
      <c r="B1472" s="1073"/>
      <c r="C1472" s="1073"/>
      <c r="D1472" s="4"/>
      <c r="E1472" s="4"/>
      <c r="F1472" s="4"/>
      <c r="G1472" s="4"/>
      <c r="H1472" s="4"/>
      <c r="I1472" s="26"/>
      <c r="J1472" s="26"/>
      <c r="K1472" s="4"/>
      <c r="L1472" s="4"/>
      <c r="M1472" s="4"/>
      <c r="N1472" s="107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>
      <c r="A1473" s="4"/>
      <c r="B1473" s="1073"/>
      <c r="C1473" s="1073"/>
      <c r="D1473" s="4"/>
      <c r="E1473" s="4"/>
      <c r="F1473" s="4"/>
      <c r="G1473" s="4"/>
      <c r="H1473" s="4"/>
      <c r="I1473" s="26"/>
      <c r="J1473" s="26"/>
      <c r="K1473" s="4"/>
      <c r="L1473" s="4"/>
      <c r="M1473" s="4"/>
      <c r="N1473" s="107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>
      <c r="A1474" s="4"/>
      <c r="B1474" s="1073"/>
      <c r="C1474" s="1073"/>
      <c r="D1474" s="4"/>
      <c r="E1474" s="4"/>
      <c r="F1474" s="4"/>
      <c r="G1474" s="4"/>
      <c r="H1474" s="4"/>
      <c r="I1474" s="26"/>
      <c r="J1474" s="26"/>
      <c r="K1474" s="4"/>
      <c r="L1474" s="4"/>
      <c r="M1474" s="4"/>
      <c r="N1474" s="107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>
      <c r="A1475" s="4"/>
      <c r="B1475" s="1073"/>
      <c r="C1475" s="1073"/>
      <c r="D1475" s="4"/>
      <c r="E1475" s="4"/>
      <c r="F1475" s="4"/>
      <c r="G1475" s="4"/>
      <c r="H1475" s="4"/>
      <c r="I1475" s="26"/>
      <c r="J1475" s="26"/>
      <c r="K1475" s="4"/>
      <c r="L1475" s="4"/>
      <c r="M1475" s="4"/>
      <c r="N1475" s="107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>
      <c r="A1476" s="4"/>
      <c r="B1476" s="1073"/>
      <c r="C1476" s="1073"/>
      <c r="D1476" s="4"/>
      <c r="E1476" s="4"/>
      <c r="F1476" s="4"/>
      <c r="G1476" s="4"/>
      <c r="H1476" s="4"/>
      <c r="I1476" s="26"/>
      <c r="J1476" s="26"/>
      <c r="K1476" s="4"/>
      <c r="L1476" s="4"/>
      <c r="M1476" s="4"/>
      <c r="N1476" s="107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>
      <c r="A1477" s="4"/>
      <c r="B1477" s="1073"/>
      <c r="C1477" s="1073"/>
      <c r="D1477" s="4"/>
      <c r="E1477" s="4"/>
      <c r="F1477" s="4"/>
      <c r="G1477" s="4"/>
      <c r="H1477" s="4"/>
      <c r="I1477" s="26"/>
      <c r="J1477" s="26"/>
      <c r="K1477" s="4"/>
      <c r="L1477" s="4"/>
      <c r="M1477" s="4"/>
      <c r="N1477" s="107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>
      <c r="A1478" s="4"/>
      <c r="B1478" s="1073"/>
      <c r="C1478" s="1073"/>
      <c r="D1478" s="4"/>
      <c r="E1478" s="4"/>
      <c r="F1478" s="4"/>
      <c r="G1478" s="4"/>
      <c r="H1478" s="4"/>
      <c r="I1478" s="26"/>
      <c r="J1478" s="26"/>
      <c r="K1478" s="4"/>
      <c r="L1478" s="4"/>
      <c r="M1478" s="4"/>
      <c r="N1478" s="107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>
      <c r="A1479" s="4"/>
      <c r="B1479" s="1073"/>
      <c r="C1479" s="1073"/>
      <c r="D1479" s="4"/>
      <c r="E1479" s="4"/>
      <c r="F1479" s="4"/>
      <c r="G1479" s="4"/>
      <c r="H1479" s="4"/>
      <c r="I1479" s="26"/>
      <c r="J1479" s="26"/>
      <c r="K1479" s="4"/>
      <c r="L1479" s="4"/>
      <c r="M1479" s="4"/>
      <c r="N1479" s="107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>
      <c r="A1480" s="4"/>
      <c r="B1480" s="1073"/>
      <c r="C1480" s="1073"/>
      <c r="D1480" s="4"/>
      <c r="E1480" s="4"/>
      <c r="F1480" s="4"/>
      <c r="G1480" s="4"/>
      <c r="H1480" s="4"/>
      <c r="I1480" s="26"/>
      <c r="J1480" s="26"/>
      <c r="K1480" s="4"/>
      <c r="L1480" s="4"/>
      <c r="M1480" s="4"/>
      <c r="N1480" s="107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>
      <c r="A1481" s="4"/>
      <c r="B1481" s="1073"/>
      <c r="C1481" s="1073"/>
      <c r="D1481" s="4"/>
      <c r="E1481" s="4"/>
      <c r="F1481" s="4"/>
      <c r="G1481" s="4"/>
      <c r="H1481" s="4"/>
      <c r="I1481" s="26"/>
      <c r="J1481" s="26"/>
      <c r="K1481" s="4"/>
      <c r="L1481" s="4"/>
      <c r="M1481" s="4"/>
      <c r="N1481" s="107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>
      <c r="A1482" s="4"/>
      <c r="B1482" s="1073"/>
      <c r="C1482" s="1073"/>
      <c r="D1482" s="4"/>
      <c r="E1482" s="4"/>
      <c r="F1482" s="4"/>
      <c r="G1482" s="4"/>
      <c r="H1482" s="4"/>
      <c r="I1482" s="26"/>
      <c r="J1482" s="26"/>
      <c r="K1482" s="4"/>
      <c r="L1482" s="4"/>
      <c r="M1482" s="4"/>
      <c r="N1482" s="107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>
      <c r="A1483" s="4"/>
      <c r="B1483" s="1073"/>
      <c r="C1483" s="1073"/>
      <c r="D1483" s="4"/>
      <c r="E1483" s="4"/>
      <c r="F1483" s="4"/>
      <c r="G1483" s="4"/>
      <c r="H1483" s="4"/>
      <c r="I1483" s="26"/>
      <c r="J1483" s="26"/>
      <c r="K1483" s="4"/>
      <c r="L1483" s="4"/>
      <c r="M1483" s="4"/>
      <c r="N1483" s="107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>
      <c r="A1484" s="4"/>
      <c r="B1484" s="1073"/>
      <c r="C1484" s="1073"/>
      <c r="D1484" s="4"/>
      <c r="E1484" s="4"/>
      <c r="F1484" s="4"/>
      <c r="G1484" s="4"/>
      <c r="H1484" s="4"/>
      <c r="I1484" s="26"/>
      <c r="J1484" s="26"/>
      <c r="K1484" s="4"/>
      <c r="L1484" s="4"/>
      <c r="M1484" s="4"/>
      <c r="N1484" s="107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>
      <c r="A1485" s="4"/>
      <c r="B1485" s="1073"/>
      <c r="C1485" s="1073"/>
      <c r="D1485" s="4"/>
      <c r="E1485" s="4"/>
      <c r="F1485" s="4"/>
      <c r="G1485" s="4"/>
      <c r="H1485" s="4"/>
      <c r="I1485" s="26"/>
      <c r="J1485" s="26"/>
      <c r="K1485" s="4"/>
      <c r="L1485" s="4"/>
      <c r="M1485" s="4"/>
      <c r="N1485" s="107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>
      <c r="A1486" s="4"/>
      <c r="B1486" s="1073"/>
      <c r="C1486" s="1073"/>
      <c r="D1486" s="4"/>
      <c r="E1486" s="4"/>
      <c r="F1486" s="4"/>
      <c r="G1486" s="4"/>
      <c r="H1486" s="4"/>
      <c r="I1486" s="26"/>
      <c r="J1486" s="26"/>
      <c r="K1486" s="4"/>
      <c r="L1486" s="4"/>
      <c r="M1486" s="4"/>
      <c r="N1486" s="107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>
      <c r="A1487" s="4"/>
      <c r="B1487" s="1073"/>
      <c r="C1487" s="1073"/>
      <c r="D1487" s="4"/>
      <c r="E1487" s="4"/>
      <c r="F1487" s="4"/>
      <c r="G1487" s="4"/>
      <c r="H1487" s="4"/>
      <c r="I1487" s="26"/>
      <c r="J1487" s="26"/>
      <c r="K1487" s="4"/>
      <c r="L1487" s="4"/>
      <c r="M1487" s="4"/>
      <c r="N1487" s="107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>
      <c r="A1488" s="4"/>
      <c r="B1488" s="1073"/>
      <c r="C1488" s="1073"/>
      <c r="D1488" s="4"/>
      <c r="E1488" s="4"/>
      <c r="F1488" s="4"/>
      <c r="G1488" s="4"/>
      <c r="H1488" s="4"/>
      <c r="I1488" s="26"/>
      <c r="J1488" s="26"/>
      <c r="K1488" s="4"/>
      <c r="L1488" s="4"/>
      <c r="M1488" s="4"/>
      <c r="N1488" s="107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>
      <c r="A1489" s="4"/>
      <c r="B1489" s="1073"/>
      <c r="C1489" s="1073"/>
      <c r="D1489" s="4"/>
      <c r="E1489" s="4"/>
      <c r="F1489" s="4"/>
      <c r="G1489" s="4"/>
      <c r="H1489" s="4"/>
      <c r="I1489" s="26"/>
      <c r="J1489" s="26"/>
      <c r="K1489" s="4"/>
      <c r="L1489" s="4"/>
      <c r="M1489" s="4"/>
      <c r="N1489" s="107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>
      <c r="A1490" s="4"/>
      <c r="B1490" s="1073"/>
      <c r="C1490" s="1073"/>
      <c r="D1490" s="4"/>
      <c r="E1490" s="4"/>
      <c r="F1490" s="4"/>
      <c r="G1490" s="4"/>
      <c r="H1490" s="4"/>
      <c r="I1490" s="26"/>
      <c r="J1490" s="26"/>
      <c r="K1490" s="4"/>
      <c r="L1490" s="4"/>
      <c r="M1490" s="4"/>
      <c r="N1490" s="107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>
      <c r="A1491" s="4"/>
      <c r="B1491" s="1073"/>
      <c r="C1491" s="1073"/>
      <c r="D1491" s="4"/>
      <c r="E1491" s="4"/>
      <c r="F1491" s="4"/>
      <c r="G1491" s="4"/>
      <c r="H1491" s="4"/>
      <c r="I1491" s="26"/>
      <c r="J1491" s="26"/>
      <c r="K1491" s="4"/>
      <c r="L1491" s="4"/>
      <c r="M1491" s="4"/>
      <c r="N1491" s="107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>
      <c r="A1492" s="4"/>
      <c r="B1492" s="1073"/>
      <c r="C1492" s="1073"/>
      <c r="D1492" s="4"/>
      <c r="E1492" s="4"/>
      <c r="F1492" s="4"/>
      <c r="G1492" s="4"/>
      <c r="H1492" s="4"/>
      <c r="I1492" s="26"/>
      <c r="J1492" s="26"/>
      <c r="K1492" s="4"/>
      <c r="L1492" s="4"/>
      <c r="M1492" s="4"/>
      <c r="N1492" s="107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>
      <c r="A1493" s="4"/>
      <c r="B1493" s="1073"/>
      <c r="C1493" s="1073"/>
      <c r="D1493" s="4"/>
      <c r="E1493" s="4"/>
      <c r="F1493" s="4"/>
      <c r="G1493" s="4"/>
      <c r="H1493" s="4"/>
      <c r="I1493" s="26"/>
      <c r="J1493" s="26"/>
      <c r="K1493" s="4"/>
      <c r="L1493" s="4"/>
      <c r="M1493" s="4"/>
      <c r="N1493" s="107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>
      <c r="A1494" s="4"/>
      <c r="B1494" s="1073"/>
      <c r="C1494" s="1073"/>
      <c r="D1494" s="4"/>
      <c r="E1494" s="4"/>
      <c r="F1494" s="4"/>
      <c r="G1494" s="4"/>
      <c r="H1494" s="4"/>
      <c r="I1494" s="26"/>
      <c r="J1494" s="26"/>
      <c r="K1494" s="4"/>
      <c r="L1494" s="4"/>
      <c r="M1494" s="4"/>
      <c r="N1494" s="107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>
      <c r="A1495" s="4"/>
      <c r="B1495" s="1073"/>
      <c r="C1495" s="1073"/>
      <c r="D1495" s="4"/>
      <c r="E1495" s="4"/>
      <c r="F1495" s="4"/>
      <c r="G1495" s="4"/>
      <c r="H1495" s="4"/>
      <c r="I1495" s="26"/>
      <c r="J1495" s="26"/>
      <c r="K1495" s="4"/>
      <c r="L1495" s="4"/>
      <c r="M1495" s="4"/>
      <c r="N1495" s="107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>
      <c r="A1496" s="4"/>
      <c r="B1496" s="1073"/>
      <c r="C1496" s="1073"/>
      <c r="D1496" s="4"/>
      <c r="E1496" s="4"/>
      <c r="F1496" s="4"/>
      <c r="G1496" s="4"/>
      <c r="H1496" s="4"/>
      <c r="I1496" s="26"/>
      <c r="J1496" s="26"/>
      <c r="K1496" s="4"/>
      <c r="L1496" s="4"/>
      <c r="M1496" s="4"/>
      <c r="N1496" s="107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>
      <c r="A1497" s="4"/>
      <c r="B1497" s="1073"/>
      <c r="C1497" s="1073"/>
      <c r="D1497" s="4"/>
      <c r="E1497" s="4"/>
      <c r="F1497" s="4"/>
      <c r="G1497" s="4"/>
      <c r="H1497" s="4"/>
      <c r="I1497" s="26"/>
      <c r="J1497" s="26"/>
      <c r="K1497" s="4"/>
      <c r="L1497" s="4"/>
      <c r="M1497" s="4"/>
      <c r="N1497" s="107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>
      <c r="A1498" s="4"/>
      <c r="B1498" s="1073"/>
      <c r="C1498" s="1073"/>
      <c r="D1498" s="4"/>
      <c r="E1498" s="4"/>
      <c r="F1498" s="4"/>
      <c r="G1498" s="4"/>
      <c r="H1498" s="4"/>
      <c r="I1498" s="26"/>
      <c r="J1498" s="26"/>
      <c r="K1498" s="4"/>
      <c r="L1498" s="4"/>
      <c r="M1498" s="4"/>
      <c r="N1498" s="107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>
      <c r="A1499" s="4"/>
      <c r="B1499" s="1073"/>
      <c r="C1499" s="1073"/>
      <c r="D1499" s="4"/>
      <c r="E1499" s="4"/>
      <c r="F1499" s="4"/>
      <c r="G1499" s="4"/>
      <c r="H1499" s="4"/>
      <c r="I1499" s="26"/>
      <c r="J1499" s="26"/>
      <c r="K1499" s="4"/>
      <c r="L1499" s="4"/>
      <c r="M1499" s="4"/>
      <c r="N1499" s="107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>
      <c r="A1500" s="4"/>
      <c r="B1500" s="1073"/>
      <c r="C1500" s="1073"/>
      <c r="D1500" s="4"/>
      <c r="E1500" s="4"/>
      <c r="F1500" s="4"/>
      <c r="G1500" s="4"/>
      <c r="H1500" s="4"/>
      <c r="I1500" s="26"/>
      <c r="J1500" s="26"/>
      <c r="K1500" s="4"/>
      <c r="L1500" s="4"/>
      <c r="M1500" s="4"/>
      <c r="N1500" s="107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>
      <c r="A1501" s="4"/>
      <c r="B1501" s="1073"/>
      <c r="C1501" s="1073"/>
      <c r="D1501" s="4"/>
      <c r="E1501" s="4"/>
      <c r="F1501" s="4"/>
      <c r="G1501" s="4"/>
      <c r="H1501" s="4"/>
      <c r="I1501" s="26"/>
      <c r="J1501" s="26"/>
      <c r="K1501" s="4"/>
      <c r="L1501" s="4"/>
      <c r="M1501" s="4"/>
      <c r="N1501" s="107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>
      <c r="A1502" s="4"/>
      <c r="B1502" s="1073"/>
      <c r="C1502" s="1073"/>
      <c r="D1502" s="4"/>
      <c r="E1502" s="4"/>
      <c r="F1502" s="4"/>
      <c r="G1502" s="4"/>
      <c r="H1502" s="4"/>
      <c r="I1502" s="26"/>
      <c r="J1502" s="26"/>
      <c r="K1502" s="4"/>
      <c r="L1502" s="4"/>
      <c r="M1502" s="4"/>
      <c r="N1502" s="107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>
      <c r="A1503" s="4"/>
      <c r="B1503" s="1073"/>
      <c r="C1503" s="1073"/>
      <c r="D1503" s="4"/>
      <c r="E1503" s="4"/>
      <c r="F1503" s="4"/>
      <c r="G1503" s="4"/>
      <c r="H1503" s="4"/>
      <c r="I1503" s="26"/>
      <c r="J1503" s="26"/>
      <c r="K1503" s="4"/>
      <c r="L1503" s="4"/>
      <c r="M1503" s="4"/>
      <c r="N1503" s="107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>
      <c r="A1504" s="4"/>
      <c r="B1504" s="1073"/>
      <c r="C1504" s="1073"/>
      <c r="D1504" s="4"/>
      <c r="E1504" s="4"/>
      <c r="F1504" s="4"/>
      <c r="G1504" s="4"/>
      <c r="H1504" s="4"/>
      <c r="I1504" s="26"/>
      <c r="J1504" s="26"/>
      <c r="K1504" s="4"/>
      <c r="L1504" s="4"/>
      <c r="M1504" s="4"/>
      <c r="N1504" s="107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>
      <c r="A1505" s="4"/>
      <c r="B1505" s="1073"/>
      <c r="C1505" s="1073"/>
      <c r="D1505" s="4"/>
      <c r="E1505" s="4"/>
      <c r="F1505" s="4"/>
      <c r="G1505" s="4"/>
      <c r="H1505" s="4"/>
      <c r="I1505" s="26"/>
      <c r="J1505" s="26"/>
      <c r="K1505" s="4"/>
      <c r="L1505" s="4"/>
      <c r="M1505" s="4"/>
      <c r="N1505" s="107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>
      <c r="A1506" s="4"/>
      <c r="B1506" s="1073"/>
      <c r="C1506" s="1073"/>
      <c r="D1506" s="4"/>
      <c r="E1506" s="4"/>
      <c r="F1506" s="4"/>
      <c r="G1506" s="4"/>
      <c r="H1506" s="4"/>
      <c r="I1506" s="26"/>
      <c r="J1506" s="26"/>
      <c r="K1506" s="4"/>
      <c r="L1506" s="4"/>
      <c r="M1506" s="4"/>
      <c r="N1506" s="107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>
      <c r="A1507" s="4"/>
      <c r="B1507" s="1073"/>
      <c r="C1507" s="1073"/>
      <c r="D1507" s="4"/>
      <c r="E1507" s="4"/>
      <c r="F1507" s="4"/>
      <c r="G1507" s="4"/>
      <c r="H1507" s="4"/>
      <c r="I1507" s="26"/>
      <c r="J1507" s="26"/>
      <c r="K1507" s="4"/>
      <c r="L1507" s="4"/>
      <c r="M1507" s="4"/>
      <c r="N1507" s="107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>
      <c r="A1508" s="4"/>
      <c r="B1508" s="1073"/>
      <c r="C1508" s="1073"/>
      <c r="D1508" s="4"/>
      <c r="E1508" s="4"/>
      <c r="F1508" s="4"/>
      <c r="G1508" s="4"/>
      <c r="H1508" s="4"/>
      <c r="I1508" s="26"/>
      <c r="J1508" s="26"/>
      <c r="K1508" s="4"/>
      <c r="L1508" s="4"/>
      <c r="M1508" s="4"/>
      <c r="N1508" s="107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>
      <c r="A1509" s="4"/>
      <c r="B1509" s="1073"/>
      <c r="C1509" s="1073"/>
      <c r="D1509" s="4"/>
      <c r="E1509" s="4"/>
      <c r="F1509" s="4"/>
      <c r="G1509" s="4"/>
      <c r="H1509" s="4"/>
      <c r="I1509" s="26"/>
      <c r="J1509" s="26"/>
      <c r="K1509" s="4"/>
      <c r="L1509" s="4"/>
      <c r="M1509" s="4"/>
      <c r="N1509" s="107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>
      <c r="A1510" s="4"/>
      <c r="B1510" s="1073"/>
      <c r="C1510" s="1073"/>
      <c r="D1510" s="4"/>
      <c r="E1510" s="4"/>
      <c r="F1510" s="4"/>
      <c r="G1510" s="4"/>
      <c r="H1510" s="4"/>
      <c r="I1510" s="26"/>
      <c r="J1510" s="26"/>
      <c r="K1510" s="4"/>
      <c r="L1510" s="4"/>
      <c r="M1510" s="4"/>
      <c r="N1510" s="107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>
      <c r="A1511" s="4"/>
      <c r="B1511" s="1073"/>
      <c r="C1511" s="1073"/>
      <c r="D1511" s="4"/>
      <c r="E1511" s="4"/>
      <c r="F1511" s="4"/>
      <c r="G1511" s="4"/>
      <c r="H1511" s="4"/>
      <c r="I1511" s="26"/>
      <c r="J1511" s="26"/>
      <c r="K1511" s="4"/>
      <c r="L1511" s="4"/>
      <c r="M1511" s="4"/>
      <c r="N1511" s="107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>
      <c r="A1512" s="4"/>
      <c r="B1512" s="1073"/>
      <c r="C1512" s="1073"/>
      <c r="D1512" s="4"/>
      <c r="E1512" s="4"/>
      <c r="F1512" s="4"/>
      <c r="G1512" s="4"/>
      <c r="H1512" s="4"/>
      <c r="I1512" s="26"/>
      <c r="J1512" s="26"/>
      <c r="K1512" s="4"/>
      <c r="L1512" s="4"/>
      <c r="M1512" s="4"/>
      <c r="N1512" s="107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>
      <c r="A1513" s="4"/>
      <c r="B1513" s="1073"/>
      <c r="C1513" s="1073"/>
      <c r="D1513" s="4"/>
      <c r="E1513" s="4"/>
      <c r="F1513" s="4"/>
      <c r="G1513" s="4"/>
      <c r="H1513" s="4"/>
      <c r="I1513" s="26"/>
      <c r="J1513" s="26"/>
      <c r="K1513" s="4"/>
      <c r="L1513" s="4"/>
      <c r="M1513" s="4"/>
      <c r="N1513" s="107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>
      <c r="A1514" s="4"/>
      <c r="B1514" s="1073"/>
      <c r="C1514" s="1073"/>
      <c r="D1514" s="4"/>
      <c r="E1514" s="4"/>
      <c r="F1514" s="4"/>
      <c r="G1514" s="4"/>
      <c r="H1514" s="4"/>
      <c r="I1514" s="26"/>
      <c r="J1514" s="26"/>
      <c r="K1514" s="4"/>
      <c r="L1514" s="4"/>
      <c r="M1514" s="4"/>
      <c r="N1514" s="107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>
      <c r="A1515" s="4"/>
      <c r="B1515" s="1073"/>
      <c r="C1515" s="1073"/>
      <c r="D1515" s="4"/>
      <c r="E1515" s="4"/>
      <c r="F1515" s="4"/>
      <c r="G1515" s="4"/>
      <c r="H1515" s="4"/>
      <c r="I1515" s="26"/>
      <c r="J1515" s="26"/>
      <c r="K1515" s="4"/>
      <c r="L1515" s="4"/>
      <c r="M1515" s="4"/>
      <c r="N1515" s="107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>
      <c r="A1516" s="4"/>
      <c r="B1516" s="1073"/>
      <c r="C1516" s="1073"/>
      <c r="D1516" s="4"/>
      <c r="E1516" s="4"/>
      <c r="F1516" s="4"/>
      <c r="G1516" s="4"/>
      <c r="H1516" s="4"/>
      <c r="I1516" s="26"/>
      <c r="J1516" s="26"/>
      <c r="K1516" s="4"/>
      <c r="L1516" s="4"/>
      <c r="M1516" s="4"/>
      <c r="N1516" s="107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>
      <c r="A1517" s="4"/>
      <c r="B1517" s="1073"/>
      <c r="C1517" s="1073"/>
      <c r="D1517" s="4"/>
      <c r="E1517" s="4"/>
      <c r="F1517" s="4"/>
      <c r="G1517" s="4"/>
      <c r="H1517" s="4"/>
      <c r="I1517" s="26"/>
      <c r="J1517" s="26"/>
      <c r="K1517" s="4"/>
      <c r="L1517" s="4"/>
      <c r="M1517" s="4"/>
      <c r="N1517" s="107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>
      <c r="A1518" s="4"/>
      <c r="B1518" s="1073"/>
      <c r="C1518" s="1073"/>
      <c r="D1518" s="4"/>
      <c r="E1518" s="4"/>
      <c r="F1518" s="4"/>
      <c r="G1518" s="4"/>
      <c r="H1518" s="4"/>
      <c r="I1518" s="26"/>
      <c r="J1518" s="26"/>
      <c r="K1518" s="4"/>
      <c r="L1518" s="4"/>
      <c r="M1518" s="4"/>
      <c r="N1518" s="107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>
      <c r="A1519" s="4"/>
      <c r="B1519" s="1073"/>
      <c r="C1519" s="1073"/>
      <c r="D1519" s="4"/>
      <c r="E1519" s="4"/>
      <c r="F1519" s="4"/>
      <c r="G1519" s="4"/>
      <c r="H1519" s="4"/>
      <c r="I1519" s="26"/>
      <c r="J1519" s="26"/>
      <c r="K1519" s="4"/>
      <c r="L1519" s="4"/>
      <c r="M1519" s="4"/>
      <c r="N1519" s="107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>
      <c r="A1520" s="4"/>
      <c r="B1520" s="1073"/>
      <c r="C1520" s="1073"/>
      <c r="D1520" s="4"/>
      <c r="E1520" s="4"/>
      <c r="F1520" s="4"/>
      <c r="G1520" s="4"/>
      <c r="H1520" s="4"/>
      <c r="I1520" s="26"/>
      <c r="J1520" s="26"/>
      <c r="K1520" s="4"/>
      <c r="L1520" s="4"/>
      <c r="M1520" s="4"/>
      <c r="N1520" s="107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>
      <c r="A1521" s="4"/>
      <c r="B1521" s="1073"/>
      <c r="C1521" s="1073"/>
      <c r="D1521" s="4"/>
      <c r="E1521" s="4"/>
      <c r="F1521" s="4"/>
      <c r="G1521" s="4"/>
      <c r="H1521" s="4"/>
      <c r="I1521" s="26"/>
      <c r="J1521" s="26"/>
      <c r="K1521" s="4"/>
      <c r="L1521" s="4"/>
      <c r="M1521" s="4"/>
      <c r="N1521" s="107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>
      <c r="A1522" s="4"/>
      <c r="B1522" s="1073"/>
      <c r="C1522" s="1073"/>
      <c r="D1522" s="4"/>
      <c r="E1522" s="4"/>
      <c r="F1522" s="4"/>
      <c r="G1522" s="4"/>
      <c r="H1522" s="4"/>
      <c r="I1522" s="26"/>
      <c r="J1522" s="26"/>
      <c r="K1522" s="4"/>
      <c r="L1522" s="4"/>
      <c r="M1522" s="4"/>
      <c r="N1522" s="107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>
      <c r="A1523" s="4"/>
      <c r="B1523" s="1073"/>
      <c r="C1523" s="1073"/>
      <c r="D1523" s="4"/>
      <c r="E1523" s="4"/>
      <c r="F1523" s="4"/>
      <c r="G1523" s="4"/>
      <c r="H1523" s="4"/>
      <c r="I1523" s="26"/>
      <c r="J1523" s="26"/>
      <c r="K1523" s="4"/>
      <c r="L1523" s="4"/>
      <c r="M1523" s="4"/>
      <c r="N1523" s="107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>
      <c r="A1524" s="4"/>
      <c r="B1524" s="1073"/>
      <c r="C1524" s="1073"/>
      <c r="D1524" s="4"/>
      <c r="E1524" s="4"/>
      <c r="F1524" s="4"/>
      <c r="G1524" s="4"/>
      <c r="H1524" s="4"/>
      <c r="I1524" s="26"/>
      <c r="J1524" s="26"/>
      <c r="K1524" s="4"/>
      <c r="L1524" s="4"/>
      <c r="M1524" s="4"/>
      <c r="N1524" s="107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>
      <c r="A1525" s="4"/>
      <c r="B1525" s="1073"/>
      <c r="C1525" s="1073"/>
      <c r="D1525" s="4"/>
      <c r="E1525" s="4"/>
      <c r="F1525" s="4"/>
      <c r="G1525" s="4"/>
      <c r="H1525" s="4"/>
      <c r="I1525" s="26"/>
      <c r="J1525" s="26"/>
      <c r="K1525" s="4"/>
      <c r="L1525" s="4"/>
      <c r="M1525" s="4"/>
      <c r="N1525" s="107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>
      <c r="A1526" s="4"/>
      <c r="B1526" s="1073"/>
      <c r="C1526" s="1073"/>
      <c r="D1526" s="4"/>
      <c r="E1526" s="4"/>
      <c r="F1526" s="4"/>
      <c r="G1526" s="4"/>
      <c r="H1526" s="4"/>
      <c r="I1526" s="26"/>
      <c r="J1526" s="26"/>
      <c r="K1526" s="4"/>
      <c r="L1526" s="4"/>
      <c r="M1526" s="4"/>
      <c r="N1526" s="107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>
      <c r="A1527" s="4"/>
      <c r="B1527" s="1073"/>
      <c r="C1527" s="1073"/>
      <c r="D1527" s="4"/>
      <c r="E1527" s="4"/>
      <c r="F1527" s="4"/>
      <c r="G1527" s="4"/>
      <c r="H1527" s="4"/>
      <c r="I1527" s="26"/>
      <c r="J1527" s="26"/>
      <c r="K1527" s="4"/>
      <c r="L1527" s="4"/>
      <c r="M1527" s="4"/>
      <c r="N1527" s="107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>
      <c r="A1528" s="4"/>
      <c r="B1528" s="1073"/>
      <c r="C1528" s="1073"/>
      <c r="D1528" s="4"/>
      <c r="E1528" s="4"/>
      <c r="F1528" s="4"/>
      <c r="G1528" s="4"/>
      <c r="H1528" s="4"/>
      <c r="I1528" s="26"/>
      <c r="J1528" s="26"/>
      <c r="K1528" s="4"/>
      <c r="L1528" s="4"/>
      <c r="M1528" s="4"/>
      <c r="N1528" s="107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>
      <c r="A1529" s="4"/>
      <c r="B1529" s="1073"/>
      <c r="C1529" s="1073"/>
      <c r="D1529" s="4"/>
      <c r="E1529" s="4"/>
      <c r="F1529" s="4"/>
      <c r="G1529" s="4"/>
      <c r="H1529" s="4"/>
      <c r="I1529" s="26"/>
      <c r="J1529" s="26"/>
      <c r="K1529" s="4"/>
      <c r="L1529" s="4"/>
      <c r="M1529" s="4"/>
      <c r="N1529" s="107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>
      <c r="A1530" s="4"/>
      <c r="B1530" s="1073"/>
      <c r="C1530" s="1073"/>
      <c r="D1530" s="4"/>
      <c r="E1530" s="4"/>
      <c r="F1530" s="4"/>
      <c r="G1530" s="4"/>
      <c r="H1530" s="4"/>
      <c r="I1530" s="26"/>
      <c r="J1530" s="26"/>
      <c r="K1530" s="4"/>
      <c r="L1530" s="4"/>
      <c r="M1530" s="4"/>
      <c r="N1530" s="107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>
      <c r="A1531" s="4"/>
      <c r="B1531" s="1073"/>
      <c r="C1531" s="1073"/>
      <c r="D1531" s="4"/>
      <c r="E1531" s="4"/>
      <c r="F1531" s="4"/>
      <c r="G1531" s="4"/>
      <c r="H1531" s="4"/>
      <c r="I1531" s="26"/>
      <c r="J1531" s="26"/>
      <c r="K1531" s="4"/>
      <c r="L1531" s="4"/>
      <c r="M1531" s="4"/>
      <c r="N1531" s="107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>
      <c r="A1532" s="4"/>
      <c r="B1532" s="1073"/>
      <c r="C1532" s="1073"/>
      <c r="D1532" s="4"/>
      <c r="E1532" s="4"/>
      <c r="F1532" s="4"/>
      <c r="G1532" s="4"/>
      <c r="H1532" s="4"/>
      <c r="I1532" s="26"/>
      <c r="J1532" s="26"/>
      <c r="K1532" s="4"/>
      <c r="L1532" s="4"/>
      <c r="M1532" s="4"/>
      <c r="N1532" s="107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>
      <c r="A1533" s="4"/>
      <c r="B1533" s="1073"/>
      <c r="C1533" s="1073"/>
      <c r="D1533" s="4"/>
      <c r="E1533" s="4"/>
      <c r="F1533" s="4"/>
      <c r="G1533" s="4"/>
      <c r="H1533" s="4"/>
      <c r="I1533" s="26"/>
      <c r="J1533" s="26"/>
      <c r="K1533" s="4"/>
      <c r="L1533" s="4"/>
      <c r="M1533" s="4"/>
      <c r="N1533" s="107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>
      <c r="A1534" s="4"/>
      <c r="B1534" s="1073"/>
      <c r="C1534" s="1073"/>
      <c r="D1534" s="4"/>
      <c r="E1534" s="4"/>
      <c r="F1534" s="4"/>
      <c r="G1534" s="4"/>
      <c r="H1534" s="4"/>
      <c r="I1534" s="26"/>
      <c r="J1534" s="26"/>
      <c r="K1534" s="4"/>
      <c r="L1534" s="4"/>
      <c r="M1534" s="4"/>
      <c r="N1534" s="107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>
      <c r="A1535" s="4"/>
      <c r="B1535" s="1073"/>
      <c r="C1535" s="1073"/>
      <c r="D1535" s="4"/>
      <c r="E1535" s="4"/>
      <c r="F1535" s="4"/>
      <c r="G1535" s="4"/>
      <c r="H1535" s="4"/>
      <c r="I1535" s="26"/>
      <c r="J1535" s="26"/>
      <c r="K1535" s="4"/>
      <c r="L1535" s="4"/>
      <c r="M1535" s="4"/>
      <c r="N1535" s="107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>
      <c r="A1536" s="4"/>
      <c r="B1536" s="1073"/>
      <c r="C1536" s="1073"/>
      <c r="D1536" s="4"/>
      <c r="E1536" s="4"/>
      <c r="F1536" s="4"/>
      <c r="G1536" s="4"/>
      <c r="H1536" s="4"/>
      <c r="I1536" s="26"/>
      <c r="J1536" s="26"/>
      <c r="K1536" s="4"/>
      <c r="L1536" s="4"/>
      <c r="M1536" s="4"/>
      <c r="N1536" s="107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>
      <c r="A1537" s="4"/>
      <c r="B1537" s="1073"/>
      <c r="C1537" s="1073"/>
      <c r="D1537" s="4"/>
      <c r="E1537" s="4"/>
      <c r="F1537" s="4"/>
      <c r="G1537" s="4"/>
      <c r="H1537" s="4"/>
      <c r="I1537" s="26"/>
      <c r="J1537" s="26"/>
      <c r="K1537" s="4"/>
      <c r="L1537" s="4"/>
      <c r="M1537" s="4"/>
      <c r="N1537" s="107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>
      <c r="A1538" s="4"/>
      <c r="B1538" s="1073"/>
      <c r="C1538" s="1073"/>
      <c r="D1538" s="4"/>
      <c r="E1538" s="4"/>
      <c r="F1538" s="4"/>
      <c r="G1538" s="4"/>
      <c r="H1538" s="4"/>
      <c r="I1538" s="26"/>
      <c r="J1538" s="26"/>
      <c r="K1538" s="4"/>
      <c r="L1538" s="4"/>
      <c r="M1538" s="4"/>
      <c r="N1538" s="107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>
      <c r="A1539" s="4"/>
      <c r="B1539" s="1073"/>
      <c r="C1539" s="1073"/>
      <c r="D1539" s="4"/>
      <c r="E1539" s="4"/>
      <c r="F1539" s="4"/>
      <c r="G1539" s="4"/>
      <c r="H1539" s="4"/>
      <c r="I1539" s="26"/>
      <c r="J1539" s="26"/>
      <c r="K1539" s="4"/>
      <c r="L1539" s="4"/>
      <c r="M1539" s="4"/>
      <c r="N1539" s="107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>
      <c r="A1540" s="4"/>
      <c r="B1540" s="1073"/>
      <c r="C1540" s="1073"/>
      <c r="D1540" s="4"/>
      <c r="E1540" s="4"/>
      <c r="F1540" s="4"/>
      <c r="G1540" s="4"/>
      <c r="H1540" s="4"/>
      <c r="I1540" s="26"/>
      <c r="J1540" s="26"/>
      <c r="K1540" s="4"/>
      <c r="L1540" s="4"/>
      <c r="M1540" s="4"/>
      <c r="N1540" s="107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>
      <c r="A1541" s="4"/>
      <c r="B1541" s="1073"/>
      <c r="C1541" s="1073"/>
      <c r="D1541" s="4"/>
      <c r="E1541" s="4"/>
      <c r="F1541" s="4"/>
      <c r="G1541" s="4"/>
      <c r="H1541" s="4"/>
      <c r="I1541" s="26"/>
      <c r="J1541" s="26"/>
      <c r="K1541" s="4"/>
      <c r="L1541" s="4"/>
      <c r="M1541" s="4"/>
      <c r="N1541" s="107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>
      <c r="A1542" s="4"/>
      <c r="B1542" s="1073"/>
      <c r="C1542" s="1073"/>
      <c r="D1542" s="4"/>
      <c r="E1542" s="4"/>
      <c r="F1542" s="4"/>
      <c r="G1542" s="4"/>
      <c r="H1542" s="4"/>
      <c r="I1542" s="26"/>
      <c r="J1542" s="26"/>
      <c r="K1542" s="4"/>
      <c r="L1542" s="4"/>
      <c r="M1542" s="4"/>
      <c r="N1542" s="107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</sheetData>
  <conditionalFormatting sqref="B1:B1542 M1">
    <cfRule type="expression" dxfId="5" priority="1">
      <formula>COUNTIF(B:B,B1)&gt;1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56.0"/>
    <col customWidth="1" min="2" max="12" width="16.86"/>
  </cols>
  <sheetData>
    <row r="1">
      <c r="P1" s="1097" t="s">
        <v>3778</v>
      </c>
      <c r="Q1" s="1098" t="s">
        <v>3779</v>
      </c>
      <c r="R1" s="1097" t="s">
        <v>3780</v>
      </c>
    </row>
    <row r="2">
      <c r="A2" s="90" t="s">
        <v>3781</v>
      </c>
      <c r="P2" s="1" t="s">
        <v>3782</v>
      </c>
      <c r="Q2" s="1099">
        <v>0.16029294582125336</v>
      </c>
      <c r="R2" s="90">
        <v>17.0</v>
      </c>
    </row>
    <row r="3">
      <c r="A3" s="1" t="s">
        <v>1758</v>
      </c>
      <c r="B3" s="1" t="s">
        <v>3783</v>
      </c>
      <c r="C3" s="1" t="s">
        <v>3784</v>
      </c>
      <c r="D3" s="1" t="s">
        <v>3785</v>
      </c>
      <c r="E3" s="1" t="s">
        <v>3786</v>
      </c>
      <c r="F3" s="1" t="s">
        <v>3782</v>
      </c>
      <c r="G3" s="1" t="s">
        <v>3787</v>
      </c>
      <c r="H3" s="1" t="s">
        <v>3788</v>
      </c>
      <c r="I3" s="1" t="s">
        <v>3789</v>
      </c>
      <c r="J3" s="1" t="s">
        <v>3790</v>
      </c>
      <c r="K3" s="1" t="s">
        <v>3791</v>
      </c>
      <c r="L3" s="1" t="s">
        <v>3792</v>
      </c>
      <c r="P3" s="1" t="s">
        <v>3785</v>
      </c>
      <c r="Q3" s="1099">
        <v>0.15998297216413174</v>
      </c>
      <c r="R3" s="90">
        <v>16.0</v>
      </c>
    </row>
    <row r="4">
      <c r="A4" s="1"/>
      <c r="B4" s="104">
        <v>0.0</v>
      </c>
      <c r="C4" s="104">
        <v>0.0</v>
      </c>
      <c r="D4" s="104">
        <v>0.0</v>
      </c>
      <c r="E4" s="104">
        <v>0.0</v>
      </c>
      <c r="F4" s="104">
        <v>0.0</v>
      </c>
      <c r="G4" s="104">
        <v>0.0</v>
      </c>
      <c r="H4" s="104">
        <v>0.0</v>
      </c>
      <c r="I4" s="104">
        <v>0.0</v>
      </c>
      <c r="J4" s="104">
        <v>0.0</v>
      </c>
      <c r="K4" s="104">
        <v>0.0</v>
      </c>
      <c r="L4" s="104">
        <v>0.0</v>
      </c>
      <c r="P4" s="1" t="s">
        <v>3786</v>
      </c>
      <c r="Q4" s="1099">
        <v>0.14608226774037011</v>
      </c>
      <c r="R4" s="90">
        <v>15.0</v>
      </c>
    </row>
    <row r="5">
      <c r="A5" s="1" t="s">
        <v>79</v>
      </c>
      <c r="B5" s="104">
        <v>0.0</v>
      </c>
      <c r="C5" s="104">
        <v>0.0</v>
      </c>
      <c r="D5" s="104">
        <v>0.0</v>
      </c>
      <c r="E5" s="104">
        <v>0.0</v>
      </c>
      <c r="F5" s="104">
        <v>0.0</v>
      </c>
      <c r="G5" s="104">
        <v>0.0</v>
      </c>
      <c r="H5" s="104">
        <v>0.0</v>
      </c>
      <c r="I5" s="104">
        <v>0.0</v>
      </c>
      <c r="J5" s="104">
        <v>0.0</v>
      </c>
      <c r="K5" s="104">
        <v>0.0</v>
      </c>
      <c r="L5" s="104">
        <v>0.0</v>
      </c>
      <c r="P5" s="1" t="s">
        <v>3784</v>
      </c>
      <c r="Q5" s="1099">
        <v>0.11958889655232191</v>
      </c>
      <c r="R5" s="90">
        <v>11.0</v>
      </c>
    </row>
    <row r="6">
      <c r="A6" s="1" t="s">
        <v>1827</v>
      </c>
      <c r="B6" s="104">
        <v>0.0</v>
      </c>
      <c r="C6" s="104">
        <v>0.0</v>
      </c>
      <c r="D6" s="104">
        <v>0.0</v>
      </c>
      <c r="E6" s="104">
        <v>0.0</v>
      </c>
      <c r="F6" s="104">
        <v>0.0</v>
      </c>
      <c r="G6" s="104">
        <v>0.0</v>
      </c>
      <c r="H6" s="104">
        <v>0.0</v>
      </c>
      <c r="I6" s="104">
        <v>0.0</v>
      </c>
      <c r="J6" s="104">
        <v>0.0</v>
      </c>
      <c r="K6" s="104">
        <v>0.0</v>
      </c>
      <c r="L6" s="104">
        <v>0.0</v>
      </c>
      <c r="P6" s="1" t="s">
        <v>3783</v>
      </c>
      <c r="Q6" s="1099">
        <v>0.1077745658841256</v>
      </c>
      <c r="R6" s="90">
        <v>10.0</v>
      </c>
    </row>
    <row r="7">
      <c r="A7" s="1" t="s">
        <v>3637</v>
      </c>
      <c r="B7" s="104">
        <v>0.0</v>
      </c>
      <c r="C7" s="104">
        <v>0.0</v>
      </c>
      <c r="D7" s="104">
        <v>0.0</v>
      </c>
      <c r="E7" s="104">
        <v>0.0</v>
      </c>
      <c r="F7" s="104">
        <v>0.0</v>
      </c>
      <c r="G7" s="104">
        <v>0.0</v>
      </c>
      <c r="H7" s="104">
        <v>0.0</v>
      </c>
      <c r="I7" s="104">
        <v>0.0</v>
      </c>
      <c r="J7" s="104">
        <v>0.0</v>
      </c>
      <c r="K7" s="104">
        <v>0.0</v>
      </c>
      <c r="L7" s="104">
        <v>0.0</v>
      </c>
      <c r="P7" s="1" t="s">
        <v>3787</v>
      </c>
      <c r="Q7" s="1099">
        <v>0.08796325319056113</v>
      </c>
      <c r="R7" s="90">
        <v>9.0</v>
      </c>
    </row>
    <row r="8">
      <c r="A8" s="1" t="s">
        <v>3026</v>
      </c>
      <c r="B8" s="104">
        <v>234103.03280000004</v>
      </c>
      <c r="C8" s="104">
        <v>230778.7832000001</v>
      </c>
      <c r="D8" s="104">
        <v>395085.2143999999</v>
      </c>
      <c r="E8" s="104">
        <v>974162.2560000002</v>
      </c>
      <c r="F8" s="104">
        <v>760922.5320000002</v>
      </c>
      <c r="G8" s="104">
        <v>426074.0351999999</v>
      </c>
      <c r="H8" s="104">
        <v>198657.4744</v>
      </c>
      <c r="I8" s="104">
        <v>114081.70959999999</v>
      </c>
      <c r="J8" s="104">
        <v>195446.54560000004</v>
      </c>
      <c r="K8" s="104">
        <v>18954.462399999997</v>
      </c>
      <c r="L8" s="104">
        <v>0.0</v>
      </c>
      <c r="P8" s="1" t="s">
        <v>3789</v>
      </c>
      <c r="Q8" s="1099">
        <v>0.07538067706827588</v>
      </c>
      <c r="R8" s="90">
        <v>8.0</v>
      </c>
    </row>
    <row r="9">
      <c r="A9" s="1" t="s">
        <v>2848</v>
      </c>
      <c r="B9" s="104">
        <v>474353.8584000001</v>
      </c>
      <c r="C9" s="104">
        <v>680576.988</v>
      </c>
      <c r="D9" s="104">
        <v>679406.4551999997</v>
      </c>
      <c r="E9" s="104">
        <v>784188.42</v>
      </c>
      <c r="F9" s="104">
        <v>898522.3583999999</v>
      </c>
      <c r="G9" s="104">
        <v>572573.5175999996</v>
      </c>
      <c r="H9" s="104">
        <v>316757.60400000017</v>
      </c>
      <c r="I9" s="104">
        <v>514413.73919999984</v>
      </c>
      <c r="J9" s="104">
        <v>402666.8327999997</v>
      </c>
      <c r="K9" s="104">
        <v>202103.78399999993</v>
      </c>
      <c r="L9" s="104">
        <v>0.0</v>
      </c>
      <c r="P9" s="1" t="s">
        <v>3790</v>
      </c>
      <c r="Q9" s="1099">
        <v>0.06816809518003718</v>
      </c>
      <c r="R9" s="90">
        <v>7.0</v>
      </c>
    </row>
    <row r="10">
      <c r="A10" s="1" t="s">
        <v>2706</v>
      </c>
      <c r="B10" s="104">
        <v>0.0</v>
      </c>
      <c r="C10" s="104">
        <v>0.0</v>
      </c>
      <c r="D10" s="104">
        <v>0.0</v>
      </c>
      <c r="E10" s="104">
        <v>0.0</v>
      </c>
      <c r="F10" s="104">
        <v>0.0</v>
      </c>
      <c r="G10" s="104">
        <v>0.0</v>
      </c>
      <c r="H10" s="104">
        <v>0.0</v>
      </c>
      <c r="I10" s="104">
        <v>0.0</v>
      </c>
      <c r="J10" s="104">
        <v>0.0</v>
      </c>
      <c r="K10" s="104">
        <v>0.0</v>
      </c>
      <c r="L10" s="104">
        <v>7113959.097600001</v>
      </c>
      <c r="P10" s="1" t="s">
        <v>3788</v>
      </c>
      <c r="Q10" s="1099">
        <v>0.053209719619008194</v>
      </c>
      <c r="R10" s="90">
        <v>5.0</v>
      </c>
    </row>
    <row r="11">
      <c r="A11" s="1" t="s">
        <v>1815</v>
      </c>
      <c r="B11" s="104">
        <v>708456.8912000001</v>
      </c>
      <c r="C11" s="104">
        <v>911355.7712000001</v>
      </c>
      <c r="D11" s="104">
        <v>1074491.6696</v>
      </c>
      <c r="E11" s="104">
        <v>1758350.6759999986</v>
      </c>
      <c r="F11" s="104">
        <v>1659444.890399999</v>
      </c>
      <c r="G11" s="104">
        <v>998647.552799999</v>
      </c>
      <c r="H11" s="104">
        <v>515415.0784000002</v>
      </c>
      <c r="I11" s="104">
        <v>628495.4487999999</v>
      </c>
      <c r="J11" s="104">
        <v>598113.3783999996</v>
      </c>
      <c r="K11" s="104">
        <v>221058.24639999986</v>
      </c>
      <c r="L11" s="104">
        <v>7113959.097600001</v>
      </c>
      <c r="P11" s="1" t="s">
        <v>3791</v>
      </c>
      <c r="Q11" s="1099">
        <v>0.021556606779914927</v>
      </c>
      <c r="R11" s="90">
        <v>2.0</v>
      </c>
    </row>
    <row r="13">
      <c r="A13" s="90" t="s">
        <v>3793</v>
      </c>
    </row>
    <row r="14">
      <c r="A14" s="1" t="s">
        <v>1758</v>
      </c>
      <c r="B14" s="1" t="s">
        <v>3794</v>
      </c>
      <c r="C14" s="1" t="s">
        <v>3795</v>
      </c>
      <c r="D14" s="1" t="s">
        <v>3796</v>
      </c>
      <c r="E14" s="1" t="s">
        <v>3797</v>
      </c>
      <c r="F14" s="1" t="s">
        <v>3798</v>
      </c>
      <c r="G14" s="1" t="s">
        <v>3799</v>
      </c>
      <c r="H14" s="1" t="s">
        <v>3800</v>
      </c>
      <c r="I14" s="1" t="s">
        <v>3801</v>
      </c>
      <c r="J14" s="1" t="s">
        <v>3802</v>
      </c>
      <c r="K14" s="1" t="s">
        <v>3803</v>
      </c>
      <c r="L14" s="1" t="s">
        <v>3804</v>
      </c>
    </row>
    <row r="15">
      <c r="A15" s="1"/>
      <c r="B15" s="104">
        <v>0.0</v>
      </c>
      <c r="C15" s="104">
        <v>0.0</v>
      </c>
      <c r="D15" s="104">
        <v>0.0</v>
      </c>
      <c r="E15" s="104">
        <v>0.0</v>
      </c>
      <c r="F15" s="104">
        <v>0.0</v>
      </c>
      <c r="G15" s="104">
        <v>0.0</v>
      </c>
      <c r="H15" s="104">
        <v>0.0</v>
      </c>
      <c r="I15" s="104">
        <v>0.0</v>
      </c>
      <c r="J15" s="104">
        <v>0.0</v>
      </c>
      <c r="K15" s="104">
        <v>0.0</v>
      </c>
      <c r="L15" s="104">
        <v>0.0</v>
      </c>
    </row>
    <row r="16">
      <c r="A16" s="1" t="s">
        <v>79</v>
      </c>
      <c r="B16" s="104">
        <v>0.0</v>
      </c>
      <c r="C16" s="104">
        <v>0.0</v>
      </c>
      <c r="D16" s="104">
        <v>0.0</v>
      </c>
      <c r="E16" s="104">
        <v>0.0</v>
      </c>
      <c r="F16" s="104">
        <v>0.0</v>
      </c>
      <c r="G16" s="104">
        <v>0.0</v>
      </c>
      <c r="H16" s="104">
        <v>0.0</v>
      </c>
      <c r="I16" s="104">
        <v>0.0</v>
      </c>
      <c r="J16" s="104">
        <v>0.0</v>
      </c>
      <c r="K16" s="104">
        <v>0.0</v>
      </c>
      <c r="L16" s="104">
        <v>0.0</v>
      </c>
    </row>
    <row r="17">
      <c r="A17" s="1" t="s">
        <v>1827</v>
      </c>
      <c r="B17" s="104">
        <v>0.0</v>
      </c>
      <c r="C17" s="104">
        <v>0.0</v>
      </c>
      <c r="D17" s="104">
        <v>0.0</v>
      </c>
      <c r="E17" s="104">
        <v>0.0</v>
      </c>
      <c r="F17" s="104">
        <v>0.0</v>
      </c>
      <c r="G17" s="104">
        <v>0.0</v>
      </c>
      <c r="H17" s="104">
        <v>0.0</v>
      </c>
      <c r="I17" s="104">
        <v>0.0</v>
      </c>
      <c r="J17" s="104">
        <v>0.0</v>
      </c>
      <c r="K17" s="104">
        <v>0.0</v>
      </c>
      <c r="L17" s="104">
        <v>0.0</v>
      </c>
    </row>
    <row r="18">
      <c r="A18" s="1" t="s">
        <v>3637</v>
      </c>
      <c r="B18" s="104">
        <v>0.0</v>
      </c>
      <c r="C18" s="104">
        <v>0.0</v>
      </c>
      <c r="D18" s="104">
        <v>0.0</v>
      </c>
      <c r="E18" s="104">
        <v>0.0</v>
      </c>
      <c r="F18" s="104">
        <v>0.0</v>
      </c>
      <c r="G18" s="104">
        <v>0.0</v>
      </c>
      <c r="H18" s="104">
        <v>0.0</v>
      </c>
      <c r="I18" s="104">
        <v>0.0</v>
      </c>
      <c r="J18" s="104">
        <v>0.0</v>
      </c>
      <c r="K18" s="104">
        <v>0.0</v>
      </c>
      <c r="L18" s="104">
        <v>0.0</v>
      </c>
    </row>
    <row r="19">
      <c r="A19" s="1" t="s">
        <v>3026</v>
      </c>
      <c r="B19" s="104">
        <v>1398179.6903999993</v>
      </c>
      <c r="C19" s="104">
        <v>1385804.6015999995</v>
      </c>
      <c r="D19" s="104">
        <v>1818044.7951999998</v>
      </c>
      <c r="E19" s="104">
        <v>755864.3207999999</v>
      </c>
      <c r="F19" s="104">
        <v>860950.1591999995</v>
      </c>
      <c r="G19" s="104">
        <v>428436.7866000001</v>
      </c>
      <c r="H19" s="104">
        <v>406114.26000000007</v>
      </c>
      <c r="I19" s="104">
        <v>277536.2287999999</v>
      </c>
      <c r="J19" s="104">
        <v>367319.60199999996</v>
      </c>
      <c r="K19" s="104">
        <v>36544.1432</v>
      </c>
      <c r="L19" s="104">
        <v>0.0</v>
      </c>
    </row>
    <row r="20">
      <c r="A20" s="1" t="s">
        <v>2848</v>
      </c>
      <c r="B20" s="104">
        <v>1144880.7684</v>
      </c>
      <c r="C20" s="104">
        <v>1288746.7523999999</v>
      </c>
      <c r="D20" s="104">
        <v>1781761.6775999996</v>
      </c>
      <c r="E20" s="104">
        <v>1279320.0899999994</v>
      </c>
      <c r="F20" s="104">
        <v>1549130.057999999</v>
      </c>
      <c r="G20" s="104">
        <v>886062.1061999993</v>
      </c>
      <c r="H20" s="104">
        <v>529313.1504</v>
      </c>
      <c r="I20" s="104">
        <v>1018235.6651999996</v>
      </c>
      <c r="J20" s="104">
        <v>902795.6705999994</v>
      </c>
      <c r="K20" s="104">
        <v>287146.7177999997</v>
      </c>
      <c r="L20" s="104">
        <v>0.0</v>
      </c>
    </row>
    <row r="21">
      <c r="A21" s="1" t="s">
        <v>2706</v>
      </c>
      <c r="B21" s="104">
        <v>0.0</v>
      </c>
      <c r="C21" s="104">
        <v>0.0</v>
      </c>
      <c r="D21" s="104">
        <v>0.0</v>
      </c>
      <c r="E21" s="104">
        <v>0.0</v>
      </c>
      <c r="F21" s="104">
        <v>0.0</v>
      </c>
      <c r="G21" s="104">
        <v>0.0</v>
      </c>
      <c r="H21" s="104">
        <v>0.0</v>
      </c>
      <c r="I21" s="104">
        <v>0.0</v>
      </c>
      <c r="J21" s="104">
        <v>0.0</v>
      </c>
      <c r="K21" s="104">
        <v>0.0</v>
      </c>
      <c r="L21" s="104">
        <v>5687854.958399997</v>
      </c>
    </row>
    <row r="22">
      <c r="A22" s="1" t="s">
        <v>1815</v>
      </c>
      <c r="B22" s="104">
        <v>2543060.4588</v>
      </c>
      <c r="C22" s="104">
        <v>2674551.3540000003</v>
      </c>
      <c r="D22" s="104">
        <v>3599806.4727999982</v>
      </c>
      <c r="E22" s="104">
        <v>2035184.4107999993</v>
      </c>
      <c r="F22" s="104">
        <v>2410080.2171999975</v>
      </c>
      <c r="G22" s="104">
        <v>1314498.892799999</v>
      </c>
      <c r="H22" s="104">
        <v>935427.4104000003</v>
      </c>
      <c r="I22" s="104">
        <v>1295771.8939999992</v>
      </c>
      <c r="J22" s="104">
        <v>1270115.2726</v>
      </c>
      <c r="K22" s="104">
        <v>323690.86099999974</v>
      </c>
      <c r="L22" s="104">
        <v>5687854.958399997</v>
      </c>
    </row>
    <row r="24">
      <c r="A24" s="90" t="s">
        <v>3805</v>
      </c>
    </row>
    <row r="25">
      <c r="A25" s="1" t="s">
        <v>1758</v>
      </c>
      <c r="B25" s="1" t="s">
        <v>3806</v>
      </c>
      <c r="C25" s="1" t="s">
        <v>3807</v>
      </c>
      <c r="D25" s="1" t="s">
        <v>3808</v>
      </c>
      <c r="E25" s="1" t="s">
        <v>3809</v>
      </c>
      <c r="F25" s="1" t="s">
        <v>3810</v>
      </c>
      <c r="G25" s="1" t="s">
        <v>3811</v>
      </c>
      <c r="H25" s="1" t="s">
        <v>3812</v>
      </c>
      <c r="I25" s="1" t="s">
        <v>3813</v>
      </c>
      <c r="J25" s="1" t="s">
        <v>3814</v>
      </c>
      <c r="K25" s="1" t="s">
        <v>3815</v>
      </c>
      <c r="L25" s="1" t="s">
        <v>3816</v>
      </c>
    </row>
    <row r="26">
      <c r="A26" s="1"/>
      <c r="B26" s="104">
        <v>0.0</v>
      </c>
      <c r="C26" s="104">
        <v>0.0</v>
      </c>
      <c r="D26" s="104">
        <v>0.0</v>
      </c>
      <c r="E26" s="104">
        <v>0.0</v>
      </c>
      <c r="F26" s="104">
        <v>0.0</v>
      </c>
      <c r="G26" s="104">
        <v>0.0</v>
      </c>
      <c r="H26" s="104">
        <v>0.0</v>
      </c>
      <c r="I26" s="104">
        <v>0.0</v>
      </c>
      <c r="J26" s="104">
        <v>0.0</v>
      </c>
      <c r="K26" s="104">
        <v>0.0</v>
      </c>
      <c r="L26" s="104">
        <v>0.0</v>
      </c>
    </row>
    <row r="27">
      <c r="A27" s="1" t="s">
        <v>79</v>
      </c>
      <c r="B27" s="104">
        <v>0.0</v>
      </c>
      <c r="C27" s="104">
        <v>0.0</v>
      </c>
      <c r="D27" s="104">
        <v>0.0</v>
      </c>
      <c r="E27" s="104">
        <v>0.0</v>
      </c>
      <c r="F27" s="104">
        <v>0.0</v>
      </c>
      <c r="G27" s="104">
        <v>0.0</v>
      </c>
      <c r="H27" s="104">
        <v>0.0</v>
      </c>
      <c r="I27" s="104">
        <v>0.0</v>
      </c>
      <c r="J27" s="104">
        <v>0.0</v>
      </c>
      <c r="K27" s="104">
        <v>0.0</v>
      </c>
      <c r="L27" s="104">
        <v>0.0</v>
      </c>
    </row>
    <row r="28">
      <c r="A28" s="1" t="s">
        <v>1827</v>
      </c>
      <c r="B28" s="104">
        <v>0.0</v>
      </c>
      <c r="C28" s="104">
        <v>0.0</v>
      </c>
      <c r="D28" s="104">
        <v>0.0</v>
      </c>
      <c r="E28" s="104">
        <v>0.0</v>
      </c>
      <c r="F28" s="104">
        <v>0.0</v>
      </c>
      <c r="G28" s="104">
        <v>0.0</v>
      </c>
      <c r="H28" s="104">
        <v>0.0</v>
      </c>
      <c r="I28" s="104">
        <v>0.0</v>
      </c>
      <c r="J28" s="104">
        <v>0.0</v>
      </c>
      <c r="K28" s="104">
        <v>0.0</v>
      </c>
      <c r="L28" s="104">
        <v>0.0</v>
      </c>
    </row>
    <row r="29">
      <c r="A29" s="1" t="s">
        <v>3026</v>
      </c>
      <c r="B29" s="104">
        <v>323025.7727999999</v>
      </c>
      <c r="C29" s="104">
        <v>269729.81040000013</v>
      </c>
      <c r="D29" s="104">
        <v>507138.5416</v>
      </c>
      <c r="E29" s="104">
        <v>560684.3024000004</v>
      </c>
      <c r="F29" s="104">
        <v>804582.9336000003</v>
      </c>
      <c r="G29" s="104">
        <v>250527.85019999996</v>
      </c>
      <c r="H29" s="104">
        <v>129944.65440000003</v>
      </c>
      <c r="I29" s="104">
        <v>177182.1008</v>
      </c>
      <c r="J29" s="104">
        <v>40100.388</v>
      </c>
      <c r="K29" s="104">
        <v>22239.2184</v>
      </c>
      <c r="L29" s="104">
        <v>0.0</v>
      </c>
    </row>
    <row r="30">
      <c r="A30" s="1" t="s">
        <v>2848</v>
      </c>
      <c r="B30" s="104">
        <v>1144880.7684</v>
      </c>
      <c r="C30" s="104">
        <v>1288746.7523999999</v>
      </c>
      <c r="D30" s="104">
        <v>1781761.6775999996</v>
      </c>
      <c r="E30" s="104">
        <v>1279320.0899999994</v>
      </c>
      <c r="F30" s="104">
        <v>1528681.7171999991</v>
      </c>
      <c r="G30" s="104">
        <v>886062.1061999993</v>
      </c>
      <c r="H30" s="104">
        <v>575108.5584</v>
      </c>
      <c r="I30" s="104">
        <v>1025652.0323999996</v>
      </c>
      <c r="J30" s="104">
        <v>918321.4817999994</v>
      </c>
      <c r="K30" s="104">
        <v>290660.47379999975</v>
      </c>
      <c r="L30" s="104">
        <v>0.0</v>
      </c>
    </row>
    <row r="31">
      <c r="A31" s="1" t="s">
        <v>2706</v>
      </c>
      <c r="B31" s="104">
        <v>0.0</v>
      </c>
      <c r="C31" s="104">
        <v>0.0</v>
      </c>
      <c r="D31" s="104">
        <v>0.0</v>
      </c>
      <c r="E31" s="104">
        <v>0.0</v>
      </c>
      <c r="F31" s="104">
        <v>0.0</v>
      </c>
      <c r="G31" s="104">
        <v>0.0</v>
      </c>
      <c r="H31" s="104">
        <v>0.0</v>
      </c>
      <c r="I31" s="104">
        <v>0.0</v>
      </c>
      <c r="J31" s="104">
        <v>0.0</v>
      </c>
      <c r="K31" s="104">
        <v>0.0</v>
      </c>
      <c r="L31" s="104">
        <v>6646005.0287999995</v>
      </c>
    </row>
    <row r="32">
      <c r="A32" s="1" t="s">
        <v>1815</v>
      </c>
      <c r="B32" s="104">
        <v>1467906.5412</v>
      </c>
      <c r="C32" s="104">
        <v>1558476.5627999995</v>
      </c>
      <c r="D32" s="104">
        <v>2288900.219199999</v>
      </c>
      <c r="E32" s="104">
        <v>1840004.3923999986</v>
      </c>
      <c r="F32" s="104">
        <v>2333264.650799998</v>
      </c>
      <c r="G32" s="104">
        <v>1136589.9563999989</v>
      </c>
      <c r="H32" s="104">
        <v>705053.2127999999</v>
      </c>
      <c r="I32" s="104">
        <v>1202834.1332</v>
      </c>
      <c r="J32" s="104">
        <v>958421.8697999995</v>
      </c>
      <c r="K32" s="104">
        <v>312899.6921999997</v>
      </c>
      <c r="L32" s="104">
        <v>6646005.0287999995</v>
      </c>
    </row>
    <row r="33"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</row>
    <row r="34">
      <c r="B34" s="1100"/>
      <c r="C34" s="1100"/>
      <c r="D34" s="1100"/>
      <c r="E34" s="1097" t="s">
        <v>3817</v>
      </c>
      <c r="F34" s="1100"/>
      <c r="G34" s="1100"/>
      <c r="H34" s="1100"/>
      <c r="J34" s="1100"/>
      <c r="K34" s="1100"/>
      <c r="L34" s="1100"/>
    </row>
    <row r="35">
      <c r="A35" s="1101" t="s">
        <v>3778</v>
      </c>
      <c r="B35" s="1101">
        <v>2024.0</v>
      </c>
      <c r="C35" s="1101">
        <v>2025.0</v>
      </c>
      <c r="D35" s="1101">
        <v>2026.0</v>
      </c>
      <c r="E35" s="1102">
        <v>2024.0</v>
      </c>
      <c r="F35" s="1102">
        <v>2025.0</v>
      </c>
      <c r="G35" s="1102">
        <v>2026.0</v>
      </c>
      <c r="H35" s="1102" t="s">
        <v>3779</v>
      </c>
    </row>
    <row r="36">
      <c r="A36" s="412" t="str">
        <f t="array" ref="A36:A46">TRANSPOSE(B3:L3)</f>
        <v>LR/24</v>
      </c>
      <c r="B36" s="411">
        <f t="array" ref="B36:B46">TRANSPOSE(B11:L11)</f>
        <v>708456.8912</v>
      </c>
      <c r="C36" s="411">
        <f t="array" ref="C36:C46">TRANSPOSE(B22:L22)</f>
        <v>2543060.459</v>
      </c>
      <c r="D36" s="411">
        <f t="array" ref="D36:D46">TRANSPOSE(B32:L32)</f>
        <v>1467906.541</v>
      </c>
      <c r="E36" s="1103">
        <f t="shared" ref="E36:E45" si="1">B36/SUM($B$36:$B$45)</f>
        <v>0.0780769446</v>
      </c>
      <c r="F36" s="1103">
        <f t="shared" ref="F36:F45" si="2">C36/SUM($C$36:$C$45)</f>
        <v>0.1381933802</v>
      </c>
      <c r="G36" s="1103">
        <f t="shared" ref="G36:G45" si="3">D36/SUM($D$36:$D$45)</f>
        <v>0.1063365106</v>
      </c>
      <c r="H36" s="1103">
        <f t="shared" ref="H36:H45" si="4">AVERAGE(E36:G36)</f>
        <v>0.1075356118</v>
      </c>
    </row>
    <row r="37">
      <c r="A37" s="412" t="s">
        <v>3784</v>
      </c>
      <c r="B37" s="411">
        <v>911355.7712000001</v>
      </c>
      <c r="C37" s="411">
        <v>2674551.3540000003</v>
      </c>
      <c r="D37" s="411">
        <v>1558476.5627999995</v>
      </c>
      <c r="E37" s="1103">
        <f t="shared" si="1"/>
        <v>0.1004378318</v>
      </c>
      <c r="F37" s="1103">
        <f t="shared" si="2"/>
        <v>0.1453387751</v>
      </c>
      <c r="G37" s="1103">
        <f t="shared" si="3"/>
        <v>0.1128974869</v>
      </c>
      <c r="H37" s="1103">
        <f t="shared" si="4"/>
        <v>0.1195580313</v>
      </c>
    </row>
    <row r="38">
      <c r="A38" s="412" t="s">
        <v>3785</v>
      </c>
      <c r="B38" s="411">
        <v>1074491.6696</v>
      </c>
      <c r="C38" s="411">
        <v>3599806.4727999982</v>
      </c>
      <c r="D38" s="411">
        <v>2288900.219199999</v>
      </c>
      <c r="E38" s="1103">
        <f t="shared" si="1"/>
        <v>0.118416558</v>
      </c>
      <c r="F38" s="1103">
        <f t="shared" si="2"/>
        <v>0.1956184026</v>
      </c>
      <c r="G38" s="1103">
        <f t="shared" si="3"/>
        <v>0.1658100537</v>
      </c>
      <c r="H38" s="1103">
        <f t="shared" si="4"/>
        <v>0.1599483381</v>
      </c>
    </row>
    <row r="39">
      <c r="A39" s="412" t="s">
        <v>3786</v>
      </c>
      <c r="B39" s="411">
        <v>1758350.6759999986</v>
      </c>
      <c r="C39" s="411">
        <v>2035184.4107999993</v>
      </c>
      <c r="D39" s="411">
        <v>1840004.3923999986</v>
      </c>
      <c r="E39" s="1103">
        <f t="shared" si="1"/>
        <v>0.1937826423</v>
      </c>
      <c r="F39" s="1103">
        <f t="shared" si="2"/>
        <v>0.1105947018</v>
      </c>
      <c r="G39" s="1103">
        <f t="shared" si="3"/>
        <v>0.1332916239</v>
      </c>
      <c r="H39" s="1103">
        <f t="shared" si="4"/>
        <v>0.145889656</v>
      </c>
    </row>
    <row r="40">
      <c r="A40" s="412" t="s">
        <v>3782</v>
      </c>
      <c r="B40" s="411">
        <v>1659444.890399999</v>
      </c>
      <c r="C40" s="411">
        <v>2410080.2171999975</v>
      </c>
      <c r="D40" s="411">
        <v>2333264.650799998</v>
      </c>
      <c r="E40" s="1103">
        <f t="shared" si="1"/>
        <v>0.1828825273</v>
      </c>
      <c r="F40" s="1103">
        <f t="shared" si="2"/>
        <v>0.1309670522</v>
      </c>
      <c r="G40" s="1103">
        <f t="shared" si="3"/>
        <v>0.1690238543</v>
      </c>
      <c r="H40" s="1103">
        <f t="shared" si="4"/>
        <v>0.1609578113</v>
      </c>
    </row>
    <row r="41">
      <c r="A41" s="412" t="s">
        <v>3787</v>
      </c>
      <c r="B41" s="411">
        <v>998647.552799999</v>
      </c>
      <c r="C41" s="411">
        <v>1314498.892799999</v>
      </c>
      <c r="D41" s="411">
        <v>1136589.9563999989</v>
      </c>
      <c r="E41" s="1103">
        <f t="shared" si="1"/>
        <v>0.1100580016</v>
      </c>
      <c r="F41" s="1103">
        <f t="shared" si="2"/>
        <v>0.07143166599</v>
      </c>
      <c r="G41" s="1103">
        <f t="shared" si="3"/>
        <v>0.08233563008</v>
      </c>
      <c r="H41" s="1103">
        <f t="shared" si="4"/>
        <v>0.08794176588</v>
      </c>
    </row>
    <row r="42">
      <c r="A42" s="412" t="s">
        <v>3788</v>
      </c>
      <c r="B42" s="411">
        <v>515415.0784000002</v>
      </c>
      <c r="C42" s="411">
        <v>935427.4104000003</v>
      </c>
      <c r="D42" s="411">
        <v>705053.2127999999</v>
      </c>
      <c r="E42" s="1103">
        <f t="shared" si="1"/>
        <v>0.05680237573</v>
      </c>
      <c r="F42" s="1103">
        <f t="shared" si="2"/>
        <v>0.05083240367</v>
      </c>
      <c r="G42" s="1103">
        <f t="shared" si="3"/>
        <v>0.05107470833</v>
      </c>
      <c r="H42" s="1103">
        <f t="shared" si="4"/>
        <v>0.05290316258</v>
      </c>
    </row>
    <row r="43">
      <c r="A43" s="412" t="s">
        <v>3789</v>
      </c>
      <c r="B43" s="411">
        <v>628495.4487999999</v>
      </c>
      <c r="C43" s="411">
        <v>1295771.8939999992</v>
      </c>
      <c r="D43" s="411">
        <v>1202834.1332</v>
      </c>
      <c r="E43" s="1103">
        <f t="shared" si="1"/>
        <v>0.06926462985</v>
      </c>
      <c r="F43" s="1103">
        <f t="shared" si="2"/>
        <v>0.07041401529</v>
      </c>
      <c r="G43" s="1103">
        <f t="shared" si="3"/>
        <v>0.08713441965</v>
      </c>
      <c r="H43" s="1103">
        <f t="shared" si="4"/>
        <v>0.07560435493</v>
      </c>
    </row>
    <row r="44">
      <c r="A44" s="412" t="s">
        <v>3790</v>
      </c>
      <c r="B44" s="411">
        <v>598113.3783999996</v>
      </c>
      <c r="C44" s="411">
        <v>1270115.2726</v>
      </c>
      <c r="D44" s="411">
        <v>958421.8697999995</v>
      </c>
      <c r="E44" s="1103">
        <f t="shared" si="1"/>
        <v>0.06591631148</v>
      </c>
      <c r="F44" s="1103">
        <f t="shared" si="2"/>
        <v>0.06901979943</v>
      </c>
      <c r="G44" s="1103">
        <f t="shared" si="3"/>
        <v>0.06942896872</v>
      </c>
      <c r="H44" s="1103">
        <f t="shared" si="4"/>
        <v>0.06812169321</v>
      </c>
    </row>
    <row r="45">
      <c r="A45" s="412" t="s">
        <v>3791</v>
      </c>
      <c r="B45" s="411">
        <v>221058.24639999986</v>
      </c>
      <c r="C45" s="411">
        <v>323690.86099999974</v>
      </c>
      <c r="D45" s="411">
        <v>312899.6921999997</v>
      </c>
      <c r="E45" s="1103">
        <f t="shared" si="1"/>
        <v>0.02436217739</v>
      </c>
      <c r="F45" s="1103">
        <f t="shared" si="2"/>
        <v>0.01758980368</v>
      </c>
      <c r="G45" s="1103">
        <f t="shared" si="3"/>
        <v>0.02266674377</v>
      </c>
      <c r="H45" s="1103">
        <f t="shared" si="4"/>
        <v>0.02153957495</v>
      </c>
    </row>
    <row r="46">
      <c r="A46" s="412" t="s">
        <v>3792</v>
      </c>
      <c r="B46" s="411">
        <v>7113959.097600001</v>
      </c>
      <c r="C46" s="411">
        <v>5687854.958399997</v>
      </c>
      <c r="D46" s="411">
        <v>6646005.0287999995</v>
      </c>
      <c r="I46" s="1104"/>
      <c r="J46" s="1105"/>
      <c r="K46" s="1105"/>
      <c r="L46" s="1105"/>
      <c r="M46" s="1104"/>
    </row>
    <row r="47">
      <c r="A47" s="1101" t="s">
        <v>3818</v>
      </c>
      <c r="B47" s="411">
        <f t="shared" ref="B47:D47" si="5">SUM(B36:B46)</f>
        <v>16187788.7</v>
      </c>
      <c r="C47" s="411">
        <f t="shared" si="5"/>
        <v>24090042.2</v>
      </c>
      <c r="D47" s="411">
        <f t="shared" si="5"/>
        <v>20450356.26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43.14"/>
    <col customWidth="1" min="2" max="2" width="8.43"/>
    <col customWidth="1" min="3" max="3" width="13.71"/>
    <col customWidth="1" min="4" max="4" width="15.86"/>
    <col customWidth="1" min="5" max="5" width="16.57"/>
  </cols>
  <sheetData>
    <row r="1">
      <c r="A1" s="1106" t="s">
        <v>3819</v>
      </c>
      <c r="E1" s="4"/>
    </row>
    <row r="2">
      <c r="A2" s="7"/>
      <c r="B2" s="4"/>
      <c r="C2" s="4"/>
      <c r="D2" s="4"/>
      <c r="E2" s="4"/>
    </row>
    <row r="3">
      <c r="A3" s="1107" t="s">
        <v>3820</v>
      </c>
      <c r="B3" s="1075" t="e">
        <v>#REF!</v>
      </c>
      <c r="C3" s="1081"/>
      <c r="D3" s="1075"/>
      <c r="E3" s="1075"/>
    </row>
    <row r="4">
      <c r="A4" s="7" t="str">
        <f>IFERROR(VLOOKUP(B4,Procesos!A:W,5,FALSE()))</f>
        <v/>
      </c>
      <c r="B4" s="4"/>
      <c r="C4" s="1074"/>
      <c r="D4" s="4"/>
      <c r="E4" s="4"/>
    </row>
    <row r="5">
      <c r="A5" s="7" t="str">
        <f>IFERROR(VLOOKUP(B5,Procesos!A:W,5,FALSE()))</f>
        <v/>
      </c>
      <c r="B5" s="4"/>
      <c r="C5" s="1074"/>
      <c r="D5" s="4"/>
      <c r="E5" s="4"/>
    </row>
    <row r="6">
      <c r="A6" s="7" t="str">
        <f>IFERROR(VLOOKUP(B6,Procesos!A:W,5,FALSE()))</f>
        <v/>
      </c>
      <c r="B6" s="4"/>
      <c r="C6" s="1074"/>
      <c r="D6" s="4"/>
      <c r="E6" s="4"/>
    </row>
    <row r="7">
      <c r="A7" s="7" t="str">
        <f>IFERROR(VLOOKUP(B7,Procesos!A:W,5,FALSE()))</f>
        <v/>
      </c>
      <c r="B7" s="4"/>
      <c r="C7" s="1074"/>
      <c r="D7" s="4"/>
      <c r="E7" s="4"/>
    </row>
    <row r="8">
      <c r="A8" s="7" t="str">
        <f>IFERROR(VLOOKUP(B8,Procesos!A:W,5,FALSE()))</f>
        <v/>
      </c>
      <c r="B8" s="4"/>
      <c r="C8" s="1074"/>
      <c r="D8" s="4"/>
      <c r="E8" s="4"/>
    </row>
    <row r="9">
      <c r="A9" s="7" t="str">
        <f>IFERROR(VLOOKUP(B9,Procesos!A:W,5,FALSE()))</f>
        <v/>
      </c>
      <c r="B9" s="4"/>
      <c r="C9" s="1074"/>
      <c r="D9" s="4"/>
      <c r="E9" s="4"/>
    </row>
    <row r="10">
      <c r="A10" s="7" t="str">
        <f>IFERROR(VLOOKUP(B10,Procesos!A:W,5,FALSE()))</f>
        <v/>
      </c>
      <c r="B10" s="4"/>
      <c r="C10" s="1074"/>
      <c r="D10" s="4"/>
      <c r="E10" s="4"/>
    </row>
    <row r="11">
      <c r="A11" s="7" t="str">
        <f>IFERROR(VLOOKUP(B11,Procesos!A:W,5,FALSE()))</f>
        <v/>
      </c>
      <c r="B11" s="4"/>
      <c r="C11" s="1074"/>
      <c r="D11" s="4"/>
      <c r="E11" s="4"/>
    </row>
    <row r="12">
      <c r="A12" s="7" t="str">
        <f>IFERROR(VLOOKUP(B12,Procesos!A:W,5,FALSE()))</f>
        <v/>
      </c>
      <c r="B12" s="4"/>
      <c r="C12" s="1074"/>
      <c r="D12" s="4"/>
      <c r="E12" s="4"/>
    </row>
    <row r="13">
      <c r="A13" s="7" t="str">
        <f>IFERROR(VLOOKUP(B13,Procesos!A:W,5,FALSE()))</f>
        <v/>
      </c>
      <c r="B13" s="4"/>
      <c r="C13" s="1074"/>
      <c r="D13" s="4"/>
      <c r="E13" s="4"/>
    </row>
    <row r="14">
      <c r="A14" s="7" t="str">
        <f>IFERROR(VLOOKUP(B14,Procesos!A:W,5,FALSE()))</f>
        <v/>
      </c>
      <c r="B14" s="4"/>
      <c r="C14" s="1074"/>
      <c r="D14" s="4"/>
      <c r="E14" s="4"/>
    </row>
    <row r="15">
      <c r="A15" s="7" t="str">
        <f>IFERROR(VLOOKUP(B15,Procesos!A:W,5,FALSE()))</f>
        <v/>
      </c>
      <c r="B15" s="4"/>
      <c r="C15" s="1074"/>
      <c r="D15" s="4"/>
      <c r="E15" s="4"/>
    </row>
    <row r="16">
      <c r="A16" s="7" t="str">
        <f>IFERROR(VLOOKUP(B16,Procesos!A:W,5,FALSE()))</f>
        <v/>
      </c>
      <c r="B16" s="4"/>
      <c r="C16" s="1074"/>
      <c r="D16" s="4"/>
      <c r="E16" s="4"/>
    </row>
    <row r="17">
      <c r="A17" s="7" t="str">
        <f>IFERROR(VLOOKUP(B17,Procesos!A:W,5,FALSE()))</f>
        <v/>
      </c>
      <c r="B17" s="4"/>
      <c r="C17" s="1074"/>
      <c r="D17" s="4"/>
      <c r="E17" s="4"/>
    </row>
    <row r="18">
      <c r="A18" s="7" t="str">
        <f>IFERROR(VLOOKUP(B18,Procesos!A:W,5,FALSE()))</f>
        <v/>
      </c>
      <c r="B18" s="4"/>
      <c r="C18" s="1074"/>
      <c r="D18" s="4"/>
      <c r="E18" s="4"/>
    </row>
    <row r="19">
      <c r="A19" s="7" t="str">
        <f>IFERROR(VLOOKUP(B19,Procesos!A:W,5,FALSE()))</f>
        <v/>
      </c>
      <c r="B19" s="4"/>
      <c r="C19" s="1074"/>
      <c r="D19" s="4"/>
      <c r="E19" s="4"/>
    </row>
    <row r="20">
      <c r="A20" s="7" t="str">
        <f>IFERROR(VLOOKUP(B20,Procesos!A:W,5,FALSE()))</f>
        <v/>
      </c>
      <c r="B20" s="14" t="s">
        <v>1820</v>
      </c>
      <c r="C20" s="1074"/>
      <c r="D20" s="4">
        <f>SUM(D4:D15)</f>
        <v>0</v>
      </c>
      <c r="E20" s="4"/>
    </row>
    <row r="21">
      <c r="A21" s="7" t="str">
        <f>IFERROR(VLOOKUP(B21,Procesos!A:W,5,FALSE()))</f>
        <v/>
      </c>
      <c r="B21" s="4"/>
      <c r="C21" s="1074"/>
      <c r="D21" s="4"/>
      <c r="E21" s="4"/>
    </row>
    <row r="22">
      <c r="A22" s="7" t="str">
        <f>IFERROR(VLOOKUP(B22,Procesos!A:W,5,FALSE()))</f>
        <v/>
      </c>
      <c r="B22" s="4"/>
      <c r="C22" s="1074"/>
      <c r="D22" s="4"/>
      <c r="E22" s="4"/>
    </row>
  </sheetData>
  <mergeCells count="1">
    <mergeCell ref="A1:D1"/>
  </mergeCells>
  <conditionalFormatting sqref="A2:B22">
    <cfRule type="expression" dxfId="5" priority="1">
      <formula>COUNTIF(B:B,A2)&gt;1</formula>
    </cfRule>
  </conditionalFormatting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17.71"/>
    <col customWidth="1" min="8" max="8" width="15.57"/>
    <col customWidth="1" min="19" max="19" width="26.71"/>
    <col customWidth="1" min="20" max="20" width="17.43"/>
    <col customWidth="1" min="24" max="24" width="18.71"/>
    <col customWidth="1" min="25" max="25" width="20.14"/>
    <col customWidth="1" min="26" max="26" width="19.0"/>
    <col customWidth="1" min="27" max="27" width="15.29"/>
  </cols>
  <sheetData>
    <row r="1">
      <c r="A1" s="10" t="s">
        <v>3821</v>
      </c>
      <c r="G1" s="90"/>
      <c r="M1" s="90"/>
      <c r="S1" s="10">
        <v>2024.0</v>
      </c>
      <c r="W1" s="90" t="s">
        <v>3822</v>
      </c>
    </row>
    <row r="2">
      <c r="A2" s="10" t="s">
        <v>3823</v>
      </c>
      <c r="B2" s="13"/>
      <c r="C2" s="13"/>
      <c r="D2" s="13"/>
      <c r="E2" s="13"/>
      <c r="F2" s="13"/>
      <c r="G2" s="10" t="s">
        <v>3824</v>
      </c>
      <c r="H2" s="13"/>
      <c r="I2" s="13"/>
      <c r="J2" s="13"/>
      <c r="K2" s="13"/>
      <c r="L2" s="13"/>
      <c r="M2" s="10" t="s">
        <v>16</v>
      </c>
      <c r="N2" s="13"/>
      <c r="O2" s="13"/>
      <c r="P2" s="13"/>
      <c r="Q2" s="13"/>
      <c r="R2" s="13"/>
      <c r="S2" s="1108" t="s">
        <v>3825</v>
      </c>
      <c r="T2" s="107"/>
      <c r="U2" s="13"/>
      <c r="V2" s="13"/>
      <c r="W2" s="1109" t="s">
        <v>79</v>
      </c>
      <c r="Y2" s="1110"/>
      <c r="Z2" s="1110"/>
      <c r="AA2" s="1084"/>
      <c r="AB2" s="1110"/>
      <c r="AG2" s="1110"/>
      <c r="AH2" s="1110"/>
      <c r="AI2" s="1110"/>
    </row>
    <row r="3">
      <c r="A3" s="1084" t="s">
        <v>2660</v>
      </c>
      <c r="B3" s="4" t="s">
        <v>1801</v>
      </c>
      <c r="C3" s="4" t="s">
        <v>1802</v>
      </c>
      <c r="D3" s="4" t="s">
        <v>1803</v>
      </c>
      <c r="E3" s="4" t="s">
        <v>3826</v>
      </c>
      <c r="F3" s="4"/>
      <c r="L3" s="4"/>
      <c r="R3" s="4"/>
      <c r="S3" s="1111" t="s">
        <v>3827</v>
      </c>
      <c r="T3" s="1112" t="s">
        <v>3828</v>
      </c>
      <c r="U3" s="4"/>
      <c r="V3" s="4"/>
      <c r="W3" s="1113" t="s">
        <v>3829</v>
      </c>
      <c r="X3" s="1114" t="s">
        <v>3830</v>
      </c>
      <c r="Y3" s="1114" t="s">
        <v>3831</v>
      </c>
      <c r="Z3" s="1114" t="s">
        <v>3832</v>
      </c>
      <c r="AA3" s="1115" t="s">
        <v>3833</v>
      </c>
    </row>
    <row r="4">
      <c r="A4" s="1084" t="s">
        <v>2855</v>
      </c>
      <c r="B4" s="26">
        <v>274568.17199999996</v>
      </c>
      <c r="C4" s="26">
        <v>22705.608</v>
      </c>
      <c r="D4" s="26">
        <v>22705.608</v>
      </c>
      <c r="E4" s="26">
        <v>319979.388</v>
      </c>
      <c r="F4" s="4"/>
      <c r="L4" s="4"/>
      <c r="R4" s="4"/>
      <c r="S4" s="1116">
        <v>34200.0</v>
      </c>
      <c r="T4" s="1117">
        <v>162408.0</v>
      </c>
      <c r="U4" s="4"/>
      <c r="V4" s="14" t="s">
        <v>3834</v>
      </c>
      <c r="W4" s="1118" t="s">
        <v>1774</v>
      </c>
      <c r="X4" s="1119">
        <v>1263259.0</v>
      </c>
      <c r="Y4" s="1119">
        <v>1352728.82</v>
      </c>
      <c r="Z4" s="1119">
        <v>1376760.47</v>
      </c>
      <c r="AA4" s="1120">
        <v>3992748.29</v>
      </c>
      <c r="AC4" s="1121" t="s">
        <v>2630</v>
      </c>
      <c r="AD4" s="1122"/>
      <c r="AE4" s="1122"/>
      <c r="AF4" s="1122"/>
    </row>
    <row r="5">
      <c r="A5" s="1084" t="s">
        <v>2723</v>
      </c>
      <c r="B5" s="26">
        <v>323164.284</v>
      </c>
      <c r="C5" s="26">
        <v>290890.1375999999</v>
      </c>
      <c r="D5" s="26">
        <v>294269.2871999999</v>
      </c>
      <c r="E5" s="26">
        <v>908323.7087999998</v>
      </c>
      <c r="F5" s="4"/>
      <c r="L5" s="4"/>
      <c r="R5" s="4"/>
      <c r="S5" s="1116">
        <v>34500.0</v>
      </c>
      <c r="T5" s="1123">
        <v>13761.0</v>
      </c>
      <c r="U5" s="4"/>
      <c r="V5" s="14" t="s">
        <v>1763</v>
      </c>
      <c r="W5" s="1124" t="s">
        <v>1763</v>
      </c>
      <c r="X5" s="1125">
        <v>236326.47</v>
      </c>
      <c r="Y5" s="1125">
        <v>543332.09</v>
      </c>
      <c r="Z5" s="1125">
        <v>565385.03</v>
      </c>
      <c r="AA5" s="1126">
        <v>1345043.58</v>
      </c>
      <c r="AC5" s="1127"/>
      <c r="AD5" s="1128" t="s">
        <v>2632</v>
      </c>
      <c r="AE5" s="1127"/>
      <c r="AF5" s="1127"/>
      <c r="AH5" s="90" t="s">
        <v>1842</v>
      </c>
    </row>
    <row r="6">
      <c r="A6" s="1084" t="s">
        <v>2709</v>
      </c>
      <c r="B6" s="26">
        <v>4927831.101599998</v>
      </c>
      <c r="C6" s="26">
        <v>9747364.672799995</v>
      </c>
      <c r="D6" s="26">
        <v>9795788.524799999</v>
      </c>
      <c r="E6" s="26">
        <v>2.4470984299200002E7</v>
      </c>
      <c r="F6" s="4"/>
      <c r="L6" s="4"/>
      <c r="R6" s="4"/>
      <c r="S6" s="1116">
        <v>34600.0</v>
      </c>
      <c r="T6" s="1123">
        <v>4601.0</v>
      </c>
      <c r="U6" s="4"/>
      <c r="V6" s="4"/>
      <c r="W6" s="1129" t="s">
        <v>1815</v>
      </c>
      <c r="X6" s="1130">
        <v>1499585.46</v>
      </c>
      <c r="Y6" s="1130">
        <v>1896060.91</v>
      </c>
      <c r="Z6" s="1130">
        <v>1942145.5</v>
      </c>
      <c r="AA6" s="1131">
        <v>5337791.87</v>
      </c>
      <c r="AC6" s="1127"/>
      <c r="AD6" s="1127"/>
      <c r="AE6" s="1132">
        <v>24120.0</v>
      </c>
      <c r="AF6" s="1133">
        <v>5.142344E7</v>
      </c>
    </row>
    <row r="7">
      <c r="A7" s="4" t="s">
        <v>1815</v>
      </c>
      <c r="B7" s="26">
        <v>5525563.557599997</v>
      </c>
      <c r="C7" s="26">
        <v>1.0060960418399999E7</v>
      </c>
      <c r="D7" s="26">
        <v>1.0112763420000002E7</v>
      </c>
      <c r="E7" s="26">
        <v>2.5699287396E7</v>
      </c>
      <c r="F7" s="4"/>
      <c r="L7" s="4"/>
      <c r="M7" s="4"/>
      <c r="N7" s="4"/>
      <c r="O7" s="4"/>
      <c r="P7" s="4"/>
      <c r="Q7" s="4"/>
      <c r="R7" s="4"/>
      <c r="S7" s="1116">
        <v>34800.0</v>
      </c>
      <c r="T7" s="1123">
        <v>140.0</v>
      </c>
      <c r="U7" s="4"/>
      <c r="V7" s="4"/>
      <c r="W7" s="14" t="s">
        <v>3835</v>
      </c>
      <c r="AA7" s="1084"/>
      <c r="AC7" s="1127"/>
      <c r="AD7" s="1134" t="s">
        <v>3836</v>
      </c>
      <c r="AE7" s="1132">
        <v>34110.0</v>
      </c>
      <c r="AF7" s="1133">
        <v>2307278.0</v>
      </c>
      <c r="AG7" s="104">
        <v>1522260.1355500002</v>
      </c>
      <c r="AH7" s="104">
        <f t="shared" ref="AH7:AH16" si="1">AF7-AG7</f>
        <v>785017.8645</v>
      </c>
    </row>
    <row r="8">
      <c r="A8" s="4"/>
      <c r="B8" s="4"/>
      <c r="C8" s="4"/>
      <c r="D8" s="4"/>
      <c r="E8" s="4"/>
      <c r="F8" s="4"/>
      <c r="L8" s="4"/>
      <c r="M8" s="4"/>
      <c r="N8" s="4"/>
      <c r="O8" s="4"/>
      <c r="P8" s="4"/>
      <c r="Q8" s="4"/>
      <c r="R8" s="4"/>
      <c r="S8" s="1116">
        <v>39100.0</v>
      </c>
      <c r="T8" s="1117">
        <v>3122.3999999999996</v>
      </c>
      <c r="U8" s="4"/>
      <c r="V8" s="4"/>
      <c r="W8" s="14" t="s">
        <v>3837</v>
      </c>
      <c r="X8" s="90" t="s">
        <v>3838</v>
      </c>
      <c r="AC8" s="1127"/>
      <c r="AD8" s="1134" t="s">
        <v>3839</v>
      </c>
      <c r="AE8" s="1132">
        <v>34200.0</v>
      </c>
      <c r="AF8" s="1133">
        <v>248889.0</v>
      </c>
      <c r="AG8" s="90">
        <v>162830.17</v>
      </c>
      <c r="AH8" s="104">
        <f t="shared" si="1"/>
        <v>86058.83</v>
      </c>
    </row>
    <row r="9">
      <c r="A9" s="4"/>
      <c r="B9" s="4"/>
      <c r="C9" s="4"/>
      <c r="D9" s="4"/>
      <c r="E9" s="4"/>
      <c r="F9" s="4"/>
      <c r="L9" s="4"/>
      <c r="M9" s="4"/>
      <c r="N9" s="4"/>
      <c r="O9" s="4"/>
      <c r="P9" s="4"/>
      <c r="Q9" s="4"/>
      <c r="R9" s="4"/>
      <c r="S9" s="1116">
        <v>39700.0</v>
      </c>
      <c r="T9" s="1117">
        <v>41688.32</v>
      </c>
      <c r="U9" s="4"/>
      <c r="V9" s="4"/>
      <c r="W9" s="1135" t="s">
        <v>3840</v>
      </c>
      <c r="AC9" s="1127"/>
      <c r="AD9" s="1134" t="s">
        <v>2635</v>
      </c>
      <c r="AE9" s="1132">
        <v>34300.0</v>
      </c>
      <c r="AF9" s="1133">
        <v>1197412.0</v>
      </c>
      <c r="AG9" s="104">
        <v>2313238.5196999996</v>
      </c>
      <c r="AH9" s="104">
        <f t="shared" si="1"/>
        <v>-1115826.52</v>
      </c>
    </row>
    <row r="10">
      <c r="A10" s="4"/>
      <c r="B10" s="4"/>
      <c r="C10" s="4"/>
      <c r="D10" s="4"/>
      <c r="E10" s="4"/>
      <c r="F10" s="4"/>
      <c r="L10" s="4"/>
      <c r="M10" s="4"/>
      <c r="N10" s="4"/>
      <c r="O10" s="4"/>
      <c r="P10" s="4"/>
      <c r="Q10" s="4"/>
      <c r="R10" s="4"/>
      <c r="S10" s="1136">
        <v>39800.0</v>
      </c>
      <c r="T10" s="1137">
        <v>113341.31856</v>
      </c>
      <c r="U10" s="4"/>
      <c r="V10" s="4"/>
      <c r="W10" s="4"/>
      <c r="AC10" s="1127"/>
      <c r="AD10" s="1134" t="s">
        <v>2636</v>
      </c>
      <c r="AE10" s="1132">
        <v>34800.0</v>
      </c>
      <c r="AF10" s="1133">
        <v>66927.0</v>
      </c>
      <c r="AG10" s="104">
        <v>4966.5856</v>
      </c>
      <c r="AH10" s="104">
        <f t="shared" si="1"/>
        <v>61960.4144</v>
      </c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1138" t="s">
        <v>1815</v>
      </c>
      <c r="T11" s="1139">
        <v>339062.0385599999</v>
      </c>
      <c r="U11" s="4"/>
      <c r="V11" s="4"/>
      <c r="W11" s="4"/>
      <c r="AC11" s="1127"/>
      <c r="AD11" s="1134" t="s">
        <v>2637</v>
      </c>
      <c r="AE11" s="1132">
        <v>39100.0</v>
      </c>
      <c r="AF11" s="1133">
        <v>100800.0</v>
      </c>
      <c r="AG11" s="104">
        <v>3122.3999999999996</v>
      </c>
      <c r="AH11" s="104">
        <f t="shared" si="1"/>
        <v>97677.6</v>
      </c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AC12" s="1127"/>
      <c r="AD12" s="1134" t="s">
        <v>3841</v>
      </c>
      <c r="AE12" s="1132">
        <v>39700.0</v>
      </c>
      <c r="AF12" s="1133">
        <v>2608862.0</v>
      </c>
      <c r="AG12" s="104">
        <v>1226977.3746999998</v>
      </c>
      <c r="AH12" s="104">
        <f t="shared" si="1"/>
        <v>1381884.625</v>
      </c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1135" t="s">
        <v>3840</v>
      </c>
      <c r="T13" s="4"/>
      <c r="U13" s="4"/>
      <c r="V13" s="4"/>
      <c r="W13" s="4"/>
      <c r="AC13" s="1127"/>
      <c r="AD13" s="1134" t="s">
        <v>2639</v>
      </c>
      <c r="AE13" s="1132">
        <v>39800.0</v>
      </c>
      <c r="AF13" s="1133">
        <v>3.7832962E7</v>
      </c>
      <c r="AG13" s="104">
        <v>1.5081660307659999E7</v>
      </c>
      <c r="AH13" s="104">
        <f t="shared" si="1"/>
        <v>22751301.69</v>
      </c>
    </row>
    <row r="14">
      <c r="G14" s="10" t="s">
        <v>3842</v>
      </c>
      <c r="S14" s="1140" t="s">
        <v>1778</v>
      </c>
      <c r="AC14" s="1127"/>
      <c r="AD14" s="1134" t="s">
        <v>2640</v>
      </c>
      <c r="AE14" s="1132">
        <v>43700.0</v>
      </c>
      <c r="AF14" s="1133">
        <v>385000.0</v>
      </c>
      <c r="AH14" s="104">
        <f t="shared" si="1"/>
        <v>385000</v>
      </c>
    </row>
    <row r="15">
      <c r="AC15" s="1127"/>
      <c r="AD15" s="1128" t="s">
        <v>2644</v>
      </c>
      <c r="AE15" s="1127"/>
      <c r="AF15" s="1141">
        <v>9.617157E7</v>
      </c>
      <c r="AH15" s="104">
        <f t="shared" si="1"/>
        <v>96171570</v>
      </c>
    </row>
    <row r="16">
      <c r="AC16" s="1142" t="s">
        <v>2645</v>
      </c>
      <c r="AD16" s="1143"/>
      <c r="AE16" s="1143"/>
      <c r="AF16" s="1144">
        <v>9.617157E7</v>
      </c>
      <c r="AH16" s="104">
        <f t="shared" si="1"/>
        <v>96171570</v>
      </c>
    </row>
    <row r="17">
      <c r="AC17" s="1121"/>
      <c r="AD17" s="1122"/>
      <c r="AE17" s="1122"/>
      <c r="AF17" s="1122"/>
    </row>
    <row r="18">
      <c r="AC18" s="1127"/>
      <c r="AD18" s="1128"/>
      <c r="AE18" s="1127"/>
      <c r="AF18" s="1127"/>
    </row>
    <row r="19">
      <c r="AC19" s="1127"/>
      <c r="AD19" s="1127"/>
      <c r="AE19" s="1132"/>
      <c r="AF19" s="1133"/>
    </row>
    <row r="20">
      <c r="AC20" s="1127"/>
      <c r="AD20" s="1127"/>
      <c r="AE20" s="1132"/>
      <c r="AF20" s="1133"/>
    </row>
    <row r="21">
      <c r="AC21" s="1127"/>
      <c r="AD21" s="1127"/>
      <c r="AE21" s="1132"/>
      <c r="AF21" s="1133"/>
    </row>
    <row r="22">
      <c r="G22" s="1097" t="s">
        <v>3843</v>
      </c>
      <c r="S22" s="1097" t="s">
        <v>3844</v>
      </c>
      <c r="T22" s="1145"/>
      <c r="U22" s="1145"/>
      <c r="AC22" s="1127"/>
      <c r="AD22" s="1127"/>
      <c r="AE22" s="1132"/>
      <c r="AF22" s="1133"/>
    </row>
    <row r="23">
      <c r="G23" s="103" t="str">
        <f t="shared" ref="G23:H23" si="2">G16</f>
        <v>39700</v>
      </c>
      <c r="H23" s="104">
        <f t="shared" si="2"/>
        <v>357616.53</v>
      </c>
      <c r="T23" s="1146" t="str">
        <f t="shared" ref="T23:T28" si="3">A4</f>
        <v>34300</v>
      </c>
      <c r="U23" s="278"/>
      <c r="AC23" s="1127"/>
      <c r="AD23" s="1127"/>
      <c r="AE23" s="1132"/>
      <c r="AF23" s="1133"/>
    </row>
    <row r="24">
      <c r="C24" s="1147"/>
      <c r="D24" s="1147"/>
      <c r="E24" s="1147"/>
      <c r="F24" s="1147" t="s">
        <v>3845</v>
      </c>
      <c r="G24" s="103" t="str">
        <f t="shared" ref="G24:G25" si="4">G17</f>
        <v>39800</v>
      </c>
      <c r="H24" s="1148">
        <f>H17-H36</f>
        <v>93672.36</v>
      </c>
      <c r="S24" s="90" t="str">
        <f>A2</f>
        <v>RECURRENTES (TDB)</v>
      </c>
      <c r="T24" s="1146" t="str">
        <f t="shared" si="3"/>
        <v>39700</v>
      </c>
      <c r="U24" s="278">
        <f t="shared" ref="U24:U28" si="5">B5</f>
        <v>323164.284</v>
      </c>
      <c r="AC24" s="1127"/>
      <c r="AD24" s="1127"/>
      <c r="AE24" s="1132"/>
      <c r="AF24" s="1133"/>
    </row>
    <row r="25">
      <c r="C25" s="1145"/>
      <c r="D25" s="1145"/>
      <c r="E25" s="1145"/>
      <c r="F25" s="1145"/>
      <c r="G25" s="1" t="str">
        <f t="shared" si="4"/>
        <v>Suma total</v>
      </c>
      <c r="H25" s="1148">
        <f>H18-H35-54903</f>
        <v>303795.01</v>
      </c>
      <c r="I25" s="104">
        <f>H25</f>
        <v>303795.01</v>
      </c>
      <c r="T25" s="1146" t="str">
        <f t="shared" si="3"/>
        <v>39800</v>
      </c>
      <c r="U25" s="1149">
        <f t="shared" si="5"/>
        <v>4927831.102</v>
      </c>
      <c r="AC25" s="1127"/>
      <c r="AD25" s="1127"/>
      <c r="AE25" s="1132"/>
      <c r="AF25" s="1133"/>
    </row>
    <row r="26">
      <c r="C26" s="1147"/>
      <c r="D26" s="1147"/>
      <c r="E26" s="1147"/>
      <c r="F26" s="1147" t="s">
        <v>3846</v>
      </c>
      <c r="G26" s="1084">
        <f t="shared" ref="G26:H26" si="6">S4</f>
        <v>34200</v>
      </c>
      <c r="H26" s="26">
        <f t="shared" si="6"/>
        <v>162408</v>
      </c>
      <c r="T26" s="1145" t="str">
        <f t="shared" si="3"/>
        <v>Suma total</v>
      </c>
      <c r="U26" s="278">
        <f t="shared" si="5"/>
        <v>5525563.558</v>
      </c>
      <c r="Y26" s="1147" t="s">
        <v>3847</v>
      </c>
      <c r="Z26" s="90" t="s">
        <v>1760</v>
      </c>
      <c r="AC26" s="1127"/>
      <c r="AD26" s="1128"/>
      <c r="AE26" s="1127"/>
      <c r="AF26" s="1141"/>
    </row>
    <row r="27">
      <c r="C27" s="1145"/>
      <c r="D27" s="1145"/>
      <c r="E27" s="1145"/>
      <c r="F27" s="1145"/>
      <c r="G27" s="1084">
        <f t="shared" ref="G27:H27" si="7">S5</f>
        <v>34500</v>
      </c>
      <c r="H27" s="26">
        <f t="shared" si="7"/>
        <v>13761</v>
      </c>
      <c r="T27" s="1145" t="str">
        <f t="shared" si="3"/>
        <v/>
      </c>
      <c r="U27" s="1150" t="str">
        <f t="shared" si="5"/>
        <v/>
      </c>
      <c r="Y27" s="1146" t="s">
        <v>3029</v>
      </c>
      <c r="Z27" s="104"/>
    </row>
    <row r="28">
      <c r="G28" s="1084">
        <f t="shared" ref="G28:H28" si="8">S6</f>
        <v>34600</v>
      </c>
      <c r="H28" s="26">
        <f t="shared" si="8"/>
        <v>4601</v>
      </c>
      <c r="T28" s="1145" t="str">
        <f t="shared" si="3"/>
        <v/>
      </c>
      <c r="U28" s="1150" t="str">
        <f t="shared" si="5"/>
        <v/>
      </c>
      <c r="Y28" s="1146" t="s">
        <v>3102</v>
      </c>
      <c r="Z28" s="104">
        <f t="shared" ref="Z28:Z34" si="11">SUMIF($T$24:$T$46,Y28,$U$24:$U$46)</f>
        <v>0</v>
      </c>
      <c r="AA28" s="90" t="b">
        <v>1</v>
      </c>
    </row>
    <row r="29">
      <c r="G29" s="1084">
        <f t="shared" ref="G29:H29" si="9">S7</f>
        <v>34800</v>
      </c>
      <c r="H29" s="26">
        <f t="shared" si="9"/>
        <v>140</v>
      </c>
      <c r="S29" s="1" t="str">
        <f>G2</f>
        <v>NO RECURRENTES (TDB)</v>
      </c>
      <c r="T29" s="1146" t="str">
        <f t="shared" ref="T29:U29" si="10">G4</f>
        <v>34110</v>
      </c>
      <c r="U29" s="278">
        <f t="shared" si="10"/>
        <v>0</v>
      </c>
      <c r="Y29" s="1146" t="s">
        <v>2855</v>
      </c>
      <c r="Z29" s="104">
        <f t="shared" si="11"/>
        <v>0</v>
      </c>
      <c r="AA29" s="90" t="b">
        <v>1</v>
      </c>
    </row>
    <row r="30">
      <c r="G30" s="1084">
        <f t="shared" ref="G30:H30" si="12">S8</f>
        <v>39100</v>
      </c>
      <c r="H30" s="26">
        <f t="shared" si="12"/>
        <v>3122.4</v>
      </c>
      <c r="T30" s="1146" t="str">
        <f t="shared" ref="T30:U30" si="13">G5</f>
        <v>34200</v>
      </c>
      <c r="U30" s="1149">
        <f t="shared" si="13"/>
        <v>0</v>
      </c>
      <c r="Y30" s="1146" t="s">
        <v>2723</v>
      </c>
      <c r="Z30" s="104">
        <f t="shared" si="11"/>
        <v>2680175.077</v>
      </c>
      <c r="AA30" s="90" t="b">
        <v>1</v>
      </c>
    </row>
    <row r="31">
      <c r="G31" s="1084">
        <f t="shared" ref="G31:H31" si="14">S9</f>
        <v>39700</v>
      </c>
      <c r="H31" s="26">
        <f t="shared" si="14"/>
        <v>41688.32</v>
      </c>
      <c r="T31" s="1146" t="str">
        <f t="shared" ref="T31:U31" si="15">G6</f>
        <v>34300</v>
      </c>
      <c r="U31" s="278">
        <f t="shared" si="15"/>
        <v>0</v>
      </c>
      <c r="Y31" s="1146" t="s">
        <v>2709</v>
      </c>
      <c r="Z31" s="104">
        <f t="shared" si="11"/>
        <v>7641500.066</v>
      </c>
      <c r="AA31" s="90" t="b">
        <v>1</v>
      </c>
    </row>
    <row r="32">
      <c r="G32" s="1084">
        <f t="shared" ref="G32:H32" si="16">S10</f>
        <v>39800</v>
      </c>
      <c r="H32" s="26">
        <f t="shared" si="16"/>
        <v>113341.3186</v>
      </c>
      <c r="T32" s="1146" t="str">
        <f t="shared" ref="T32:U32" si="17">G7</f>
        <v>34800</v>
      </c>
      <c r="U32" s="278">
        <f t="shared" si="17"/>
        <v>4819.6608</v>
      </c>
      <c r="Y32" s="1146" t="s">
        <v>3060</v>
      </c>
      <c r="Z32" s="104">
        <f t="shared" si="11"/>
        <v>4819.6608</v>
      </c>
      <c r="AA32" s="90" t="b">
        <v>1</v>
      </c>
    </row>
    <row r="33">
      <c r="G33" s="1151" t="s">
        <v>1760</v>
      </c>
      <c r="H33" s="26">
        <f>SUM(H26:H32)</f>
        <v>339062.0386</v>
      </c>
      <c r="I33" s="104">
        <f>H33</f>
        <v>339062.0386</v>
      </c>
      <c r="T33" s="1146" t="str">
        <f t="shared" ref="T33:U33" si="18">G8</f>
        <v>39700</v>
      </c>
      <c r="U33" s="1150">
        <f t="shared" si="18"/>
        <v>318734.94</v>
      </c>
      <c r="Y33" s="1145">
        <v>34500.0</v>
      </c>
      <c r="Z33" s="104">
        <f t="shared" si="11"/>
        <v>0</v>
      </c>
      <c r="AA33" s="90" t="b">
        <v>0</v>
      </c>
    </row>
    <row r="34">
      <c r="I34" s="104">
        <f>SUM(I23:I33)</f>
        <v>642857.0486</v>
      </c>
      <c r="T34" s="1146" t="str">
        <f t="shared" ref="T34:U34" si="19">G9</f>
        <v>39800</v>
      </c>
      <c r="U34" s="1150">
        <f t="shared" si="19"/>
        <v>2682252.665</v>
      </c>
      <c r="Y34" s="1145">
        <v>34600.0</v>
      </c>
      <c r="Z34" s="104">
        <f t="shared" si="11"/>
        <v>0</v>
      </c>
      <c r="AA34" s="90" t="b">
        <v>0</v>
      </c>
    </row>
    <row r="35">
      <c r="C35" s="90"/>
      <c r="D35" s="90"/>
      <c r="E35" s="90"/>
      <c r="F35" s="90" t="s">
        <v>3848</v>
      </c>
      <c r="G35" s="90">
        <v>39800.0</v>
      </c>
      <c r="H35" s="1152">
        <v>316340.0</v>
      </c>
      <c r="T35" s="1146"/>
      <c r="U35" s="1150"/>
      <c r="V35" s="104">
        <v>226663.41999999998</v>
      </c>
      <c r="Y35" s="1145"/>
      <c r="Z35" s="104"/>
    </row>
    <row r="36">
      <c r="C36" s="90"/>
      <c r="D36" s="90"/>
      <c r="E36" s="90"/>
      <c r="F36" s="90" t="s">
        <v>3849</v>
      </c>
      <c r="G36" s="90">
        <v>39700.0</v>
      </c>
      <c r="H36" s="1152">
        <v>223749.12</v>
      </c>
      <c r="T36" s="1146"/>
      <c r="U36" s="1150"/>
      <c r="V36" s="104">
        <v>496955.4</v>
      </c>
      <c r="Y36" s="1145">
        <v>39100.0</v>
      </c>
      <c r="Z36" s="104">
        <f>SUMIF($T$24:$T$46,Y36,$U$24:$U$46)</f>
        <v>0</v>
      </c>
      <c r="AA36" s="90" t="b">
        <v>1</v>
      </c>
    </row>
    <row r="37">
      <c r="C37" s="90"/>
      <c r="D37" s="90"/>
      <c r="E37" s="90"/>
      <c r="F37" s="90" t="s">
        <v>3850</v>
      </c>
      <c r="G37" s="90">
        <v>39800.0</v>
      </c>
      <c r="H37" s="1152">
        <v>54903.0</v>
      </c>
      <c r="S37" s="90" t="s">
        <v>3851</v>
      </c>
      <c r="T37" s="1146" t="str">
        <f t="shared" ref="T37:T39" si="20">M4</f>
        <v>39700</v>
      </c>
      <c r="U37" s="278">
        <v>2038275.8531999998</v>
      </c>
      <c r="V37" s="104">
        <v>2038275.8531999998</v>
      </c>
      <c r="Z37" s="104">
        <f>SUM(Z27:Z36)</f>
        <v>10326494.8</v>
      </c>
    </row>
    <row r="38">
      <c r="G38" s="1153" t="s">
        <v>2565</v>
      </c>
      <c r="T38" s="1146" t="str">
        <f t="shared" si="20"/>
        <v>39800</v>
      </c>
      <c r="U38" s="1150">
        <v>31416.299199999998</v>
      </c>
      <c r="V38" s="104">
        <v>31416.299199999998</v>
      </c>
    </row>
    <row r="39">
      <c r="G39" s="103" t="s">
        <v>2723</v>
      </c>
      <c r="H39" s="104">
        <f t="shared" ref="H39:H45" si="21">SUMIF($G$24:$G$32,G39,$H$24:$H$32)</f>
        <v>41688.32</v>
      </c>
      <c r="T39" s="1145" t="str">
        <f t="shared" si="20"/>
        <v>Suma total</v>
      </c>
      <c r="U39" s="1150">
        <v>5030833.534199998</v>
      </c>
      <c r="V39" s="104">
        <v>5030833.534199998</v>
      </c>
    </row>
    <row r="40">
      <c r="G40" s="103" t="s">
        <v>2709</v>
      </c>
      <c r="H40" s="104">
        <f t="shared" si="21"/>
        <v>207013.6786</v>
      </c>
      <c r="S40" s="1" t="str">
        <f>S2</f>
        <v>Insumos y compras Locales (Resumen Por partidas)*</v>
      </c>
      <c r="T40" s="1145"/>
      <c r="U40" s="1149"/>
    </row>
    <row r="41">
      <c r="G41" s="1084">
        <v>34200.0</v>
      </c>
      <c r="H41" s="104">
        <f t="shared" si="21"/>
        <v>162408</v>
      </c>
      <c r="T41" s="1145"/>
      <c r="U41" s="104">
        <f>SUM(U23:U40)</f>
        <v>20882891.9</v>
      </c>
    </row>
    <row r="42">
      <c r="G42" s="1084">
        <v>34500.0</v>
      </c>
      <c r="H42" s="104">
        <f t="shared" si="21"/>
        <v>13761</v>
      </c>
      <c r="T42" s="1145"/>
      <c r="U42" s="278"/>
    </row>
    <row r="43">
      <c r="G43" s="1084">
        <v>34600.0</v>
      </c>
      <c r="H43" s="104">
        <f t="shared" si="21"/>
        <v>4601</v>
      </c>
      <c r="T43" s="1145"/>
      <c r="U43" s="278"/>
    </row>
    <row r="44">
      <c r="G44" s="1084">
        <v>34800.0</v>
      </c>
      <c r="H44" s="104">
        <f t="shared" si="21"/>
        <v>140</v>
      </c>
      <c r="T44" s="1145"/>
      <c r="U44" s="278"/>
    </row>
    <row r="45">
      <c r="G45" s="1084">
        <v>39100.0</v>
      </c>
      <c r="H45" s="104">
        <f t="shared" si="21"/>
        <v>3122.4</v>
      </c>
      <c r="T45" s="1145"/>
      <c r="U45" s="1150"/>
    </row>
    <row r="46">
      <c r="G46" s="1151" t="s">
        <v>3852</v>
      </c>
      <c r="H46" s="104">
        <f>SUM(H39:H45)</f>
        <v>432734.3986</v>
      </c>
      <c r="T46" s="1145"/>
      <c r="U46" s="1150"/>
    </row>
    <row r="47">
      <c r="G47" s="1084"/>
      <c r="T47" s="1146"/>
    </row>
    <row r="48">
      <c r="A48" s="90" t="s">
        <v>3853</v>
      </c>
    </row>
    <row r="51">
      <c r="T51" s="1" t="str">
        <f>S12</f>
        <v/>
      </c>
    </row>
  </sheetData>
  <hyperlinks>
    <hyperlink r:id="rId4" location="gid=1547332198&amp;range=B32" ref="W2"/>
    <hyperlink r:id="rId5" location="gid=335490190" ref="S14"/>
  </hyperlinks>
  <drawing r:id="rId6"/>
</worksheet>
</file>